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uffy3\Desktop\"/>
    </mc:Choice>
  </mc:AlternateContent>
  <xr:revisionPtr revIDLastSave="0" documentId="13_ncr:1_{DE2C1C39-6BFF-4148-BBF9-A903A4C6012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rint Books" sheetId="1" r:id="rId1"/>
  </sheets>
  <definedNames>
    <definedName name="_xlnm._FilterDatabase" localSheetId="0" hidden="1">'Print Books'!$A$1:$BG$4621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47" i="1" l="1"/>
  <c r="AW47" i="1"/>
  <c r="AV46" i="1"/>
  <c r="AW46" i="1"/>
  <c r="AV45" i="1"/>
  <c r="AW45" i="1"/>
  <c r="AV43" i="1" l="1"/>
  <c r="AW43" i="1"/>
  <c r="AW34" i="1" l="1"/>
  <c r="AV34" i="1"/>
  <c r="AW33" i="1"/>
  <c r="AV33" i="1"/>
  <c r="AW32" i="1"/>
  <c r="AV32" i="1"/>
  <c r="AW31" i="1"/>
  <c r="AV31" i="1"/>
  <c r="AW30" i="1"/>
  <c r="AV30" i="1"/>
  <c r="AW29" i="1"/>
  <c r="AV29" i="1"/>
  <c r="AW28" i="1"/>
  <c r="AV28" i="1"/>
  <c r="AW27" i="1"/>
  <c r="AV27" i="1"/>
  <c r="AW26" i="1"/>
  <c r="AV26" i="1"/>
  <c r="AW25" i="1"/>
  <c r="AV25" i="1"/>
  <c r="AW24" i="1"/>
  <c r="AV24" i="1"/>
  <c r="AW23" i="1"/>
  <c r="AV23" i="1"/>
  <c r="AW22" i="1"/>
  <c r="AV22" i="1"/>
  <c r="AW21" i="1"/>
  <c r="AV21" i="1"/>
  <c r="AW20" i="1"/>
  <c r="AV20" i="1"/>
  <c r="AW19" i="1"/>
  <c r="AV19" i="1"/>
  <c r="AW18" i="1"/>
  <c r="AV18" i="1"/>
  <c r="AW17" i="1"/>
  <c r="AV17" i="1"/>
  <c r="AW16" i="1"/>
  <c r="AV16" i="1"/>
  <c r="AW15" i="1"/>
  <c r="AV15" i="1"/>
  <c r="AW14" i="1"/>
  <c r="AV14" i="1"/>
  <c r="AW13" i="1"/>
  <c r="AV13" i="1"/>
  <c r="AW12" i="1"/>
  <c r="AV12" i="1"/>
  <c r="AW11" i="1"/>
  <c r="AV11" i="1"/>
  <c r="AW10" i="1"/>
  <c r="AV10" i="1"/>
  <c r="AW9" i="1"/>
  <c r="AV9" i="1"/>
  <c r="AW8" i="1"/>
  <c r="AV8" i="1"/>
  <c r="AW7" i="1"/>
  <c r="AV7" i="1"/>
  <c r="AW6" i="1"/>
  <c r="AV6" i="1"/>
  <c r="AW5" i="1"/>
  <c r="AV5" i="1"/>
  <c r="AW4" i="1"/>
  <c r="AV4" i="1"/>
  <c r="AW3" i="1"/>
  <c r="AV3" i="1"/>
  <c r="AW2" i="1"/>
  <c r="AV2" i="1"/>
  <c r="AW36" i="1"/>
  <c r="AV36" i="1"/>
  <c r="AW35" i="1"/>
  <c r="AV35" i="1"/>
  <c r="AW37" i="1"/>
  <c r="AV37" i="1"/>
  <c r="AW4623" i="1"/>
  <c r="AV4623" i="1"/>
  <c r="AW4612" i="1"/>
  <c r="AV4612" i="1"/>
  <c r="AU4612" i="1"/>
  <c r="AW4622" i="1"/>
  <c r="AV4622" i="1"/>
  <c r="AU4622" i="1"/>
  <c r="AW4621" i="1"/>
  <c r="AV4621" i="1"/>
  <c r="AU4621" i="1"/>
  <c r="AW4620" i="1"/>
  <c r="AV4620" i="1"/>
  <c r="AU4620" i="1"/>
  <c r="AW4619" i="1"/>
  <c r="AV4619" i="1"/>
  <c r="AU4619" i="1"/>
  <c r="AW4618" i="1"/>
  <c r="AV4618" i="1"/>
  <c r="AW4617" i="1"/>
  <c r="AV4617" i="1"/>
  <c r="AU4617" i="1"/>
  <c r="AW4616" i="1"/>
  <c r="AV4616" i="1"/>
  <c r="AW4615" i="1"/>
  <c r="AV4615" i="1"/>
  <c r="AW4614" i="1"/>
  <c r="AV4614" i="1"/>
  <c r="AW4613" i="1"/>
  <c r="AV4613" i="1"/>
  <c r="AW4611" i="1"/>
  <c r="AV4611" i="1"/>
  <c r="AW4610" i="1"/>
  <c r="AV4610" i="1"/>
  <c r="AW4609" i="1"/>
  <c r="AV4609" i="1"/>
  <c r="AU4609" i="1"/>
  <c r="AW4608" i="1"/>
  <c r="AV4608" i="1"/>
  <c r="AU4608" i="1"/>
  <c r="AW4607" i="1"/>
  <c r="AV4607" i="1"/>
  <c r="AW4606" i="1"/>
  <c r="AV4606" i="1"/>
  <c r="AW4605" i="1"/>
  <c r="AV4605" i="1"/>
  <c r="AU4605" i="1"/>
  <c r="AW4604" i="1"/>
  <c r="AV4604" i="1"/>
  <c r="AW4601" i="1"/>
  <c r="AV4601" i="1"/>
  <c r="AU4601" i="1"/>
  <c r="AW4600" i="1"/>
  <c r="AV4600" i="1"/>
  <c r="AU4600" i="1"/>
  <c r="AW38" i="1"/>
  <c r="AV38" i="1"/>
  <c r="AU38" i="1"/>
  <c r="AW4598" i="1"/>
  <c r="AV4598" i="1"/>
  <c r="AU4598" i="1"/>
  <c r="AW4597" i="1"/>
  <c r="AV4597" i="1"/>
  <c r="AU4597" i="1"/>
  <c r="AW4596" i="1"/>
  <c r="AV4596" i="1"/>
  <c r="AU4596" i="1"/>
  <c r="AW4595" i="1"/>
  <c r="AV4595" i="1"/>
  <c r="AU4595" i="1"/>
  <c r="AW4594" i="1"/>
  <c r="AV4594" i="1"/>
  <c r="AW4593" i="1"/>
  <c r="AV4593" i="1"/>
  <c r="AU4593" i="1"/>
  <c r="AW4592" i="1"/>
  <c r="AV4592" i="1"/>
  <c r="AW4591" i="1"/>
  <c r="AV4591" i="1"/>
  <c r="AW4590" i="1"/>
  <c r="AV4590" i="1"/>
  <c r="AW4589" i="1"/>
  <c r="AV4589" i="1"/>
  <c r="AW4588" i="1"/>
  <c r="AV4588" i="1"/>
  <c r="AW4587" i="1"/>
  <c r="AV4587" i="1"/>
  <c r="AW4586" i="1"/>
  <c r="AV4586" i="1"/>
  <c r="AW4585" i="1"/>
  <c r="AV4585" i="1"/>
  <c r="AW4584" i="1"/>
  <c r="AV4584" i="1"/>
  <c r="AU4584" i="1"/>
  <c r="AW4583" i="1"/>
  <c r="AV4583" i="1"/>
  <c r="AW4582" i="1"/>
  <c r="AV4582" i="1"/>
  <c r="AW4581" i="1"/>
  <c r="AV4581" i="1"/>
  <c r="AW4580" i="1"/>
  <c r="AV4580" i="1"/>
  <c r="AW4579" i="1"/>
  <c r="AV4579" i="1"/>
  <c r="AW4578" i="1"/>
  <c r="AV4578" i="1"/>
  <c r="AU4578" i="1"/>
  <c r="AW4577" i="1"/>
  <c r="AV4577" i="1"/>
  <c r="AU4577" i="1"/>
  <c r="AW4576" i="1"/>
  <c r="AV4576" i="1"/>
  <c r="AW4575" i="1"/>
  <c r="AV4575" i="1"/>
  <c r="AW4574" i="1"/>
  <c r="AV4574" i="1"/>
  <c r="AU4574" i="1"/>
  <c r="AW4573" i="1"/>
  <c r="AV4573" i="1"/>
  <c r="AU4573" i="1"/>
  <c r="AW4572" i="1"/>
  <c r="AV4572" i="1"/>
  <c r="AW4571" i="1"/>
  <c r="AV4571" i="1"/>
  <c r="AU4571" i="1"/>
  <c r="AW4570" i="1"/>
  <c r="AV4570" i="1"/>
  <c r="AW4569" i="1"/>
  <c r="AV4569" i="1"/>
  <c r="AW4568" i="1"/>
  <c r="AV4568" i="1"/>
  <c r="AW4567" i="1"/>
  <c r="AV4567" i="1"/>
  <c r="AU4567" i="1"/>
  <c r="AW4566" i="1"/>
  <c r="AV4566" i="1"/>
  <c r="AU4566" i="1"/>
  <c r="AW4565" i="1"/>
  <c r="AV4565" i="1"/>
  <c r="AU4565" i="1"/>
  <c r="AW4564" i="1"/>
  <c r="AV4564" i="1"/>
  <c r="AW4563" i="1"/>
  <c r="AV4563" i="1"/>
  <c r="AW4562" i="1"/>
  <c r="AV4562" i="1"/>
  <c r="AW4561" i="1"/>
  <c r="AV4561" i="1"/>
  <c r="AU4561" i="1"/>
  <c r="AW4560" i="1"/>
  <c r="AV4560" i="1"/>
  <c r="AU4560" i="1"/>
  <c r="AW4559" i="1"/>
  <c r="AV4559" i="1"/>
  <c r="AW4558" i="1"/>
  <c r="AV4558" i="1"/>
  <c r="AU4558" i="1"/>
  <c r="AW4557" i="1"/>
  <c r="AV4557" i="1"/>
  <c r="AW4556" i="1"/>
  <c r="AV4556" i="1"/>
  <c r="AW4555" i="1"/>
  <c r="AV4555" i="1"/>
  <c r="AW4554" i="1"/>
  <c r="AV4554" i="1"/>
  <c r="AW4553" i="1"/>
  <c r="AV4553" i="1"/>
  <c r="AW4552" i="1"/>
  <c r="AV4552" i="1"/>
  <c r="AW4551" i="1"/>
  <c r="AV4551" i="1"/>
  <c r="AW4550" i="1"/>
  <c r="AV4550" i="1"/>
  <c r="AU4550" i="1"/>
  <c r="AW4549" i="1"/>
  <c r="AV4549" i="1"/>
  <c r="AW4548" i="1"/>
  <c r="AV4548" i="1"/>
  <c r="AW4547" i="1"/>
  <c r="AV4547" i="1"/>
  <c r="AW4546" i="1"/>
  <c r="AV4546" i="1"/>
  <c r="AU4546" i="1"/>
  <c r="AW4545" i="1"/>
  <c r="AV4545" i="1"/>
  <c r="AU4545" i="1"/>
  <c r="AW4544" i="1"/>
  <c r="AV4544" i="1"/>
  <c r="AW4543" i="1"/>
  <c r="AV4543" i="1"/>
  <c r="AU4543" i="1"/>
  <c r="AW4542" i="1"/>
  <c r="AV4542" i="1"/>
  <c r="AU4542" i="1"/>
  <c r="AW4541" i="1"/>
  <c r="AV4541" i="1"/>
  <c r="AW4540" i="1"/>
  <c r="AV4540" i="1"/>
  <c r="AU4540" i="1"/>
  <c r="AW4539" i="1"/>
  <c r="AV4539" i="1"/>
  <c r="AU4539" i="1"/>
  <c r="AW4538" i="1"/>
  <c r="AV4538" i="1"/>
  <c r="AW4537" i="1"/>
  <c r="AV4537" i="1"/>
  <c r="AW4536" i="1"/>
  <c r="AV4536" i="1"/>
  <c r="AU4536" i="1"/>
  <c r="AW4535" i="1"/>
  <c r="AV4535" i="1"/>
  <c r="AW4534" i="1"/>
  <c r="AV4534" i="1"/>
  <c r="AW4533" i="1"/>
  <c r="AV4533" i="1"/>
  <c r="AU4533" i="1"/>
  <c r="AW4532" i="1"/>
  <c r="AV4532" i="1"/>
  <c r="AW4531" i="1"/>
  <c r="AV4531" i="1"/>
  <c r="AW4530" i="1"/>
  <c r="AV4530" i="1"/>
  <c r="AU4530" i="1"/>
  <c r="AW4529" i="1"/>
  <c r="AV4529" i="1"/>
  <c r="AW4528" i="1"/>
  <c r="AV4528" i="1"/>
  <c r="AW4527" i="1"/>
  <c r="AV4527" i="1"/>
  <c r="AU4527" i="1"/>
  <c r="AW4526" i="1"/>
  <c r="AV4526" i="1"/>
  <c r="AW4525" i="1"/>
  <c r="AV4525" i="1"/>
  <c r="AW4524" i="1"/>
  <c r="AV4524" i="1"/>
  <c r="AW4523" i="1"/>
  <c r="AV4523" i="1"/>
  <c r="AW4522" i="1"/>
  <c r="AV4522" i="1"/>
  <c r="AU4522" i="1"/>
  <c r="AW4520" i="1"/>
  <c r="AV4520" i="1"/>
  <c r="AW4521" i="1"/>
  <c r="AV4521" i="1"/>
  <c r="AW4519" i="1"/>
  <c r="AV4519" i="1"/>
  <c r="AW4518" i="1"/>
  <c r="AV4518" i="1"/>
  <c r="AW4517" i="1"/>
  <c r="AV4517" i="1"/>
  <c r="AW4516" i="1"/>
  <c r="AV4516" i="1"/>
  <c r="AW4515" i="1"/>
  <c r="AV4515" i="1"/>
  <c r="AW4514" i="1"/>
  <c r="AV4514" i="1"/>
  <c r="AW4513" i="1"/>
  <c r="AV4513" i="1"/>
  <c r="AW4512" i="1"/>
  <c r="AV4512" i="1"/>
  <c r="AU4512" i="1"/>
  <c r="AW4511" i="1"/>
  <c r="AV4511" i="1"/>
  <c r="AW4510" i="1"/>
  <c r="AV4510" i="1"/>
  <c r="AU4510" i="1"/>
  <c r="AW4509" i="1"/>
  <c r="AV4509" i="1"/>
  <c r="AW4508" i="1"/>
  <c r="AV4508" i="1"/>
  <c r="AU4508" i="1"/>
  <c r="AW4507" i="1"/>
  <c r="AV4507" i="1"/>
  <c r="AW4506" i="1"/>
  <c r="AV4506" i="1"/>
  <c r="AW4505" i="1"/>
  <c r="AV4505" i="1"/>
  <c r="AW4504" i="1"/>
  <c r="AV4504" i="1"/>
  <c r="AW4503" i="1"/>
  <c r="AV4503" i="1"/>
  <c r="AU4503" i="1"/>
  <c r="AW4502" i="1"/>
  <c r="AV4502" i="1"/>
  <c r="AW4501" i="1"/>
  <c r="AV4501" i="1"/>
  <c r="AW4500" i="1"/>
  <c r="AV4500" i="1"/>
  <c r="AW4499" i="1"/>
  <c r="AV4499" i="1"/>
  <c r="AW4498" i="1"/>
  <c r="AV4498" i="1"/>
  <c r="AW4497" i="1"/>
  <c r="AV4497" i="1"/>
  <c r="AW4496" i="1"/>
  <c r="AV4496" i="1"/>
  <c r="AU4496" i="1"/>
  <c r="AW4495" i="1"/>
  <c r="AV4495" i="1"/>
  <c r="AW4494" i="1"/>
  <c r="AV4494" i="1"/>
  <c r="AU4494" i="1"/>
  <c r="AW4493" i="1"/>
  <c r="AV4493" i="1"/>
  <c r="AU4493" i="1"/>
  <c r="AW4492" i="1"/>
  <c r="AV4492" i="1"/>
  <c r="AW4491" i="1"/>
  <c r="AV4491" i="1"/>
  <c r="AU4491" i="1"/>
  <c r="AW4490" i="1"/>
  <c r="AV4490" i="1"/>
  <c r="AW4489" i="1"/>
  <c r="AV4489" i="1"/>
  <c r="AU4489" i="1"/>
  <c r="AW4488" i="1"/>
  <c r="AV4488" i="1"/>
  <c r="AU4488" i="1"/>
  <c r="AW4487" i="1"/>
  <c r="AV4487" i="1"/>
  <c r="AU4487" i="1"/>
  <c r="AW4486" i="1"/>
  <c r="AV4486" i="1"/>
  <c r="AU4486" i="1"/>
  <c r="AW4485" i="1"/>
  <c r="AV4485" i="1"/>
  <c r="AW4484" i="1"/>
  <c r="AV4484" i="1"/>
  <c r="AW4483" i="1"/>
  <c r="AV4483" i="1"/>
  <c r="AU4483" i="1"/>
  <c r="AW4482" i="1"/>
  <c r="AV4482" i="1"/>
  <c r="AU4482" i="1"/>
  <c r="AW4481" i="1"/>
  <c r="AV4481" i="1"/>
  <c r="AW4480" i="1"/>
  <c r="AV4480" i="1"/>
  <c r="AW4479" i="1"/>
  <c r="AV4479" i="1"/>
  <c r="AU4479" i="1"/>
  <c r="AW4478" i="1"/>
  <c r="AV4478" i="1"/>
  <c r="AW4477" i="1"/>
  <c r="AV4477" i="1"/>
  <c r="AU4477" i="1"/>
  <c r="AW4476" i="1"/>
  <c r="AV4476" i="1"/>
  <c r="AW4475" i="1"/>
  <c r="AV4475" i="1"/>
  <c r="AU4475" i="1"/>
  <c r="AW4474" i="1"/>
  <c r="AV4474" i="1"/>
  <c r="AW4473" i="1"/>
  <c r="AV4473" i="1"/>
  <c r="AU4473" i="1"/>
  <c r="AW4472" i="1"/>
  <c r="AV4472" i="1"/>
  <c r="AW4471" i="1"/>
  <c r="AV4471" i="1"/>
  <c r="AW4470" i="1"/>
  <c r="AV4470" i="1"/>
  <c r="AW4469" i="1"/>
  <c r="AV4469" i="1"/>
  <c r="AW4468" i="1"/>
  <c r="AV4468" i="1"/>
  <c r="AU4468" i="1"/>
  <c r="AW4467" i="1"/>
  <c r="AV4467" i="1"/>
  <c r="AU4467" i="1"/>
  <c r="AW4466" i="1"/>
  <c r="AV4466" i="1"/>
  <c r="AW4465" i="1"/>
  <c r="AV4465" i="1"/>
  <c r="AW4464" i="1"/>
  <c r="AV4464" i="1"/>
  <c r="AW4463" i="1"/>
  <c r="AV4463" i="1"/>
  <c r="AU4463" i="1"/>
  <c r="AW4462" i="1"/>
  <c r="AV4462" i="1"/>
  <c r="AW4461" i="1"/>
  <c r="AV4461" i="1"/>
  <c r="AW4452" i="1"/>
  <c r="AV4452" i="1"/>
  <c r="AU4452" i="1"/>
  <c r="AW4451" i="1"/>
  <c r="AV4451" i="1"/>
  <c r="AU4451" i="1"/>
  <c r="AW4450" i="1"/>
  <c r="AV4450" i="1"/>
  <c r="AU4450" i="1"/>
  <c r="AW4449" i="1"/>
  <c r="AV4449" i="1"/>
  <c r="AU4449" i="1"/>
  <c r="AW4448" i="1"/>
  <c r="AV4448" i="1"/>
  <c r="AU4448" i="1"/>
  <c r="AW4447" i="1"/>
  <c r="AV4447" i="1"/>
  <c r="AU4447" i="1"/>
  <c r="AW4460" i="1"/>
  <c r="AV4460" i="1"/>
  <c r="AU4460" i="1"/>
  <c r="AW4459" i="1"/>
  <c r="AV4459" i="1"/>
  <c r="AU4459" i="1"/>
  <c r="AW4458" i="1"/>
  <c r="AV4458" i="1"/>
  <c r="AW4457" i="1"/>
  <c r="AV4457" i="1"/>
  <c r="AW4456" i="1"/>
  <c r="AV4456" i="1"/>
  <c r="AU4456" i="1"/>
  <c r="AW4455" i="1"/>
  <c r="AV4455" i="1"/>
  <c r="AW4454" i="1"/>
  <c r="AV4454" i="1"/>
  <c r="AW4453" i="1"/>
  <c r="AV4453" i="1"/>
  <c r="AW4446" i="1"/>
  <c r="AV4446" i="1"/>
  <c r="AW4445" i="1"/>
  <c r="AV4445" i="1"/>
  <c r="AW4444" i="1"/>
  <c r="AV4444" i="1"/>
  <c r="AU4444" i="1"/>
  <c r="AW4443" i="1"/>
  <c r="AV4443" i="1"/>
  <c r="AU4443" i="1"/>
  <c r="AW4442" i="1"/>
  <c r="AV4442" i="1"/>
  <c r="AU4442" i="1"/>
  <c r="AW4441" i="1"/>
  <c r="AV4441" i="1"/>
  <c r="AW4440" i="1"/>
  <c r="AV4440" i="1"/>
  <c r="AW4438" i="1"/>
  <c r="AV4438" i="1"/>
  <c r="AU4438" i="1"/>
  <c r="AW4437" i="1"/>
  <c r="AV4437" i="1"/>
  <c r="AU4437" i="1"/>
  <c r="AW4436" i="1"/>
  <c r="AV4436" i="1"/>
  <c r="AU4436" i="1"/>
  <c r="AW4434" i="1"/>
  <c r="AV4434" i="1"/>
  <c r="AW4433" i="1"/>
  <c r="AV4433" i="1"/>
  <c r="AU4433" i="1"/>
  <c r="AW4432" i="1"/>
  <c r="AV4432" i="1"/>
  <c r="AU4432" i="1"/>
  <c r="AW4431" i="1"/>
  <c r="AV4431" i="1"/>
  <c r="AW4430" i="1"/>
  <c r="AV4430" i="1"/>
  <c r="AW4429" i="1"/>
  <c r="AV4429" i="1"/>
  <c r="AU4429" i="1"/>
  <c r="AW4428" i="1"/>
  <c r="AV4428" i="1"/>
  <c r="AW4425" i="1"/>
  <c r="AV4425" i="1"/>
  <c r="AW4424" i="1"/>
  <c r="AV4424" i="1"/>
  <c r="AU4424" i="1"/>
  <c r="AW4414" i="1"/>
  <c r="AV4414" i="1"/>
  <c r="AW4413" i="1"/>
  <c r="AV4413" i="1"/>
  <c r="AW4412" i="1"/>
  <c r="AV4412" i="1"/>
  <c r="AW4411" i="1"/>
  <c r="AV4411" i="1"/>
  <c r="AU4411" i="1"/>
  <c r="AW4410" i="1"/>
  <c r="AV4410" i="1"/>
  <c r="AU4410" i="1"/>
  <c r="AW4409" i="1"/>
  <c r="AV4409" i="1"/>
  <c r="AU4409" i="1"/>
  <c r="AW4408" i="1"/>
  <c r="AV4408" i="1"/>
  <c r="AW4407" i="1"/>
  <c r="AV4407" i="1"/>
  <c r="AU4407" i="1"/>
  <c r="AW4402" i="1"/>
  <c r="AV4402" i="1"/>
  <c r="AU4402" i="1"/>
  <c r="AW4401" i="1"/>
  <c r="AV4401" i="1"/>
  <c r="AW4400" i="1"/>
  <c r="AV4400" i="1"/>
  <c r="AU4400" i="1"/>
  <c r="AW4399" i="1"/>
  <c r="AV4399" i="1"/>
  <c r="AU4399" i="1"/>
  <c r="AW4398" i="1"/>
  <c r="AV4398" i="1"/>
  <c r="AW4397" i="1"/>
  <c r="AV4397" i="1"/>
  <c r="AW4396" i="1"/>
  <c r="AV4396" i="1"/>
  <c r="AW4395" i="1"/>
  <c r="AV4395" i="1"/>
  <c r="AU4395" i="1"/>
  <c r="AW4394" i="1"/>
  <c r="AV4394" i="1"/>
  <c r="AU4394" i="1"/>
  <c r="AW4393" i="1"/>
  <c r="AV4393" i="1"/>
  <c r="AU4393" i="1"/>
  <c r="AW4391" i="1"/>
  <c r="AV4391" i="1"/>
  <c r="AU4391" i="1"/>
  <c r="AW4390" i="1"/>
  <c r="AV4390" i="1"/>
  <c r="AU4390" i="1"/>
  <c r="AW4389" i="1"/>
  <c r="AV4389" i="1"/>
  <c r="AU4389" i="1"/>
  <c r="AW4388" i="1"/>
  <c r="AV4388" i="1"/>
  <c r="AW4387" i="1"/>
  <c r="AV4387" i="1"/>
  <c r="AW4386" i="1"/>
  <c r="AV4386" i="1"/>
  <c r="AU4386" i="1"/>
  <c r="AW4385" i="1"/>
  <c r="AV4385" i="1"/>
  <c r="AU4385" i="1"/>
  <c r="AW4384" i="1"/>
  <c r="AV4384" i="1"/>
  <c r="AW4383" i="1"/>
  <c r="AV4383" i="1"/>
  <c r="AW4382" i="1"/>
  <c r="AV4382" i="1"/>
  <c r="AW4381" i="1"/>
  <c r="AV4381" i="1"/>
  <c r="AW4380" i="1"/>
  <c r="AV4380" i="1"/>
  <c r="AW4379" i="1"/>
  <c r="AV4379" i="1"/>
  <c r="AW4378" i="1"/>
  <c r="AV4378" i="1"/>
  <c r="AU4378" i="1"/>
  <c r="AW4377" i="1"/>
  <c r="AV4377" i="1"/>
  <c r="AW4376" i="1"/>
  <c r="AV4376" i="1"/>
  <c r="AU4376" i="1"/>
  <c r="AW4375" i="1"/>
  <c r="AV4375" i="1"/>
  <c r="AW4374" i="1"/>
  <c r="AV4374" i="1"/>
  <c r="AU4374" i="1"/>
  <c r="AW4373" i="1"/>
  <c r="AV4373" i="1"/>
  <c r="AW4372" i="1"/>
  <c r="AV4372" i="1"/>
  <c r="AW4371" i="1"/>
  <c r="AV4371" i="1"/>
  <c r="AW4370" i="1"/>
  <c r="AV4370" i="1"/>
  <c r="AW4369" i="1"/>
  <c r="AV4369" i="1"/>
  <c r="AW4368" i="1"/>
  <c r="AV4368" i="1"/>
  <c r="AW4367" i="1"/>
  <c r="AV4367" i="1"/>
  <c r="AW4366" i="1"/>
  <c r="AV4366" i="1"/>
  <c r="AW4365" i="1"/>
  <c r="AV4365" i="1"/>
  <c r="AU4365" i="1"/>
  <c r="AW4364" i="1"/>
  <c r="AV4364" i="1"/>
  <c r="AW4363" i="1"/>
  <c r="AV4363" i="1"/>
  <c r="AW4362" i="1"/>
  <c r="AV4362" i="1"/>
  <c r="AW4361" i="1"/>
  <c r="AV4361" i="1"/>
  <c r="AW4360" i="1"/>
  <c r="AV4360" i="1"/>
  <c r="AU4360" i="1"/>
  <c r="AW4359" i="1"/>
  <c r="AV4359" i="1"/>
  <c r="AW4358" i="1"/>
  <c r="AV4358" i="1"/>
  <c r="AW4357" i="1"/>
  <c r="AV4357" i="1"/>
  <c r="AW4356" i="1"/>
  <c r="AV4356" i="1"/>
  <c r="AW4355" i="1"/>
  <c r="AV4355" i="1"/>
  <c r="AW4354" i="1"/>
  <c r="AV4354" i="1"/>
  <c r="AW4353" i="1"/>
  <c r="AV4353" i="1"/>
  <c r="AW4352" i="1"/>
  <c r="AV4352" i="1"/>
  <c r="AW4351" i="1"/>
  <c r="AV4351" i="1"/>
  <c r="AW4350" i="1"/>
  <c r="AV4350" i="1"/>
  <c r="AW4349" i="1"/>
  <c r="AV4349" i="1"/>
  <c r="AW4348" i="1"/>
  <c r="AV4348" i="1"/>
  <c r="AW4347" i="1"/>
  <c r="AV4347" i="1"/>
  <c r="AW4346" i="1"/>
  <c r="AV4346" i="1"/>
  <c r="AU4346" i="1"/>
  <c r="AW4345" i="1"/>
  <c r="AV4345" i="1"/>
  <c r="AU4345" i="1"/>
  <c r="AW4344" i="1"/>
  <c r="AV4344" i="1"/>
  <c r="AU4344" i="1"/>
  <c r="AW4343" i="1"/>
  <c r="AV4343" i="1"/>
  <c r="AU4343" i="1"/>
  <c r="AW4342" i="1"/>
  <c r="AV4342" i="1"/>
  <c r="AU4342" i="1"/>
  <c r="AW4341" i="1"/>
  <c r="AV4341" i="1"/>
  <c r="AU4341" i="1"/>
  <c r="AW4340" i="1"/>
  <c r="AV4340" i="1"/>
  <c r="AU4340" i="1"/>
  <c r="AW4339" i="1"/>
  <c r="AV4339" i="1"/>
  <c r="AU4339" i="1"/>
  <c r="AW4338" i="1"/>
  <c r="AV4338" i="1"/>
  <c r="AU4338" i="1"/>
  <c r="AW4337" i="1"/>
  <c r="AV4337" i="1"/>
  <c r="AW4336" i="1"/>
  <c r="AV4336" i="1"/>
  <c r="AU4336" i="1"/>
  <c r="AW4335" i="1"/>
  <c r="AV4335" i="1"/>
  <c r="AU4335" i="1"/>
  <c r="AW4334" i="1"/>
  <c r="AV4334" i="1"/>
  <c r="AW4333" i="1"/>
  <c r="AV4333" i="1"/>
  <c r="AU4333" i="1"/>
  <c r="AW4332" i="1"/>
  <c r="AV4332" i="1"/>
  <c r="AU4332" i="1"/>
  <c r="AW4331" i="1"/>
  <c r="AV4331" i="1"/>
  <c r="AW4330" i="1"/>
  <c r="AV4330" i="1"/>
  <c r="AW4329" i="1"/>
  <c r="AV4329" i="1"/>
  <c r="AU4329" i="1"/>
  <c r="AW4328" i="1"/>
  <c r="AV4328" i="1"/>
  <c r="AW4327" i="1"/>
  <c r="AV4327" i="1"/>
  <c r="AU4327" i="1"/>
  <c r="AW4326" i="1"/>
  <c r="AV4326" i="1"/>
  <c r="AW4325" i="1"/>
  <c r="AV4325" i="1"/>
  <c r="AU4325" i="1"/>
  <c r="AW4324" i="1"/>
  <c r="AV4324" i="1"/>
  <c r="AW4323" i="1"/>
  <c r="AV4323" i="1"/>
  <c r="AU4323" i="1"/>
  <c r="AW4322" i="1"/>
  <c r="AV4322" i="1"/>
  <c r="AW4321" i="1"/>
  <c r="AV4321" i="1"/>
  <c r="AW4320" i="1"/>
  <c r="AV4320" i="1"/>
  <c r="AW4319" i="1"/>
  <c r="AV4319" i="1"/>
  <c r="AU4319" i="1"/>
  <c r="AW4318" i="1"/>
  <c r="AV4318" i="1"/>
  <c r="AU4318" i="1"/>
  <c r="AW4317" i="1"/>
  <c r="AV4317" i="1"/>
  <c r="AW4316" i="1"/>
  <c r="AV4316" i="1"/>
  <c r="AW4315" i="1"/>
  <c r="AV4315" i="1"/>
  <c r="AU4315" i="1"/>
  <c r="AW4314" i="1"/>
  <c r="AV4314" i="1"/>
  <c r="AW4313" i="1"/>
  <c r="AV4313" i="1"/>
  <c r="AU4313" i="1"/>
  <c r="AW4312" i="1"/>
  <c r="AV4312" i="1"/>
  <c r="AU4312" i="1"/>
  <c r="AW4311" i="1"/>
  <c r="AV4311" i="1"/>
  <c r="AW4310" i="1"/>
  <c r="AV4310" i="1"/>
  <c r="AW4309" i="1"/>
  <c r="AV4309" i="1"/>
  <c r="AW4308" i="1"/>
  <c r="AV4308" i="1"/>
  <c r="AU4308" i="1"/>
  <c r="AW4302" i="1"/>
  <c r="AV4302" i="1"/>
  <c r="AU4302" i="1"/>
  <c r="AW4301" i="1"/>
  <c r="AV4301" i="1"/>
  <c r="AU4301" i="1"/>
  <c r="AW4300" i="1"/>
  <c r="AV4300" i="1"/>
  <c r="AU4300" i="1"/>
  <c r="AW4307" i="1"/>
  <c r="AV4307" i="1"/>
  <c r="AW4306" i="1"/>
  <c r="AV4306" i="1"/>
  <c r="AW4305" i="1"/>
  <c r="AV4305" i="1"/>
  <c r="AW4304" i="1"/>
  <c r="AV4304" i="1"/>
  <c r="AW4303" i="1"/>
  <c r="AV4303" i="1"/>
  <c r="AW4299" i="1"/>
  <c r="AV4299" i="1"/>
  <c r="AW4298" i="1"/>
  <c r="AV4298" i="1"/>
  <c r="AW4297" i="1"/>
  <c r="AV4297" i="1"/>
  <c r="AU4297" i="1"/>
  <c r="AW4296" i="1"/>
  <c r="AV4296" i="1"/>
  <c r="AU4296" i="1"/>
  <c r="AW4295" i="1"/>
  <c r="AV4295" i="1"/>
  <c r="AU4295" i="1"/>
  <c r="AW4294" i="1"/>
  <c r="AV4294" i="1"/>
  <c r="AU4294" i="1"/>
  <c r="AW4293" i="1"/>
  <c r="AV4293" i="1"/>
  <c r="AU4293" i="1"/>
  <c r="AW4292" i="1"/>
  <c r="AV4292" i="1"/>
  <c r="AU4292" i="1"/>
  <c r="AW4291" i="1"/>
  <c r="AV4291" i="1"/>
  <c r="AU4291" i="1"/>
  <c r="AW4290" i="1"/>
  <c r="AV4290" i="1"/>
  <c r="AU4290" i="1"/>
  <c r="AW4289" i="1"/>
  <c r="AV4289" i="1"/>
  <c r="AU4289" i="1"/>
  <c r="AW4288" i="1"/>
  <c r="AV4288" i="1"/>
  <c r="AU4288" i="1"/>
  <c r="AW4287" i="1"/>
  <c r="AV4287" i="1"/>
  <c r="AW4286" i="1"/>
  <c r="AV4286" i="1"/>
  <c r="AW4285" i="1"/>
  <c r="AV4285" i="1"/>
  <c r="AW4284" i="1"/>
  <c r="AV4284" i="1"/>
  <c r="AW4283" i="1"/>
  <c r="AV4283" i="1"/>
  <c r="AU4283" i="1"/>
  <c r="AW4282" i="1"/>
  <c r="AV4282" i="1"/>
  <c r="AU4282" i="1"/>
  <c r="AW4281" i="1"/>
  <c r="AV4281" i="1"/>
  <c r="AU4281" i="1"/>
  <c r="AW4280" i="1"/>
  <c r="AV4280" i="1"/>
  <c r="AU4280" i="1"/>
  <c r="AW4279" i="1"/>
  <c r="AV4279" i="1"/>
  <c r="AU4279" i="1"/>
  <c r="AW4278" i="1"/>
  <c r="AV4278" i="1"/>
  <c r="AU4278" i="1"/>
  <c r="AW4277" i="1"/>
  <c r="AV4277" i="1"/>
  <c r="AU4277" i="1"/>
  <c r="AW4276" i="1"/>
  <c r="AV4276" i="1"/>
  <c r="AU4276" i="1"/>
  <c r="AW4275" i="1"/>
  <c r="AV4275" i="1"/>
  <c r="AU4275" i="1"/>
  <c r="AW4274" i="1"/>
  <c r="AV4274" i="1"/>
  <c r="AW4273" i="1"/>
  <c r="AV4273" i="1"/>
  <c r="AW4272" i="1"/>
  <c r="AV4272" i="1"/>
  <c r="AW4271" i="1"/>
  <c r="AV4271" i="1"/>
  <c r="AU4271" i="1"/>
  <c r="AW4270" i="1"/>
  <c r="AV4270" i="1"/>
  <c r="AW4269" i="1"/>
  <c r="AV4269" i="1"/>
  <c r="AW4268" i="1"/>
  <c r="AV4268" i="1"/>
  <c r="AW4267" i="1"/>
  <c r="AV4267" i="1"/>
  <c r="AU4267" i="1"/>
  <c r="AW4266" i="1"/>
  <c r="AV4266" i="1"/>
  <c r="AU4266" i="1"/>
  <c r="AW4265" i="1"/>
  <c r="AV4265" i="1"/>
  <c r="AU4265" i="1"/>
  <c r="AW4264" i="1"/>
  <c r="AV4264" i="1"/>
  <c r="AU4264" i="1"/>
  <c r="AW4263" i="1"/>
  <c r="AV4263" i="1"/>
  <c r="AU4263" i="1"/>
  <c r="AW4262" i="1"/>
  <c r="AV4262" i="1"/>
  <c r="AU4262" i="1"/>
  <c r="AW4261" i="1"/>
  <c r="AV4261" i="1"/>
  <c r="AU4261" i="1"/>
  <c r="AW4260" i="1"/>
  <c r="AV4260" i="1"/>
  <c r="AU4260" i="1"/>
  <c r="AW4259" i="1"/>
  <c r="AV4259" i="1"/>
  <c r="AW4258" i="1"/>
  <c r="AV4258" i="1"/>
  <c r="AW4256" i="1"/>
  <c r="AV4256" i="1"/>
  <c r="AW4254" i="1"/>
  <c r="AV4254" i="1"/>
  <c r="AU4254" i="1"/>
  <c r="AW4253" i="1"/>
  <c r="AV4253" i="1"/>
  <c r="AU4253" i="1"/>
  <c r="AW4252" i="1"/>
  <c r="AV4252" i="1"/>
  <c r="AW4249" i="1"/>
  <c r="AV4249" i="1"/>
  <c r="AU4249" i="1"/>
  <c r="AW4248" i="1"/>
  <c r="AV4248" i="1"/>
  <c r="AU4248" i="1"/>
  <c r="AW4247" i="1"/>
  <c r="AV4247" i="1"/>
  <c r="AU4247" i="1"/>
  <c r="AW4246" i="1"/>
  <c r="AV4246" i="1"/>
  <c r="AU4246" i="1"/>
  <c r="AW4245" i="1"/>
  <c r="AV4245" i="1"/>
  <c r="AW4244" i="1"/>
  <c r="AV4244" i="1"/>
  <c r="AU4244" i="1"/>
  <c r="AW4243" i="1"/>
  <c r="AV4243" i="1"/>
  <c r="AW4241" i="1"/>
  <c r="AV4241" i="1"/>
  <c r="AW4240" i="1"/>
  <c r="AV4240" i="1"/>
  <c r="AW4239" i="1"/>
  <c r="AV4239" i="1"/>
  <c r="AW4238" i="1"/>
  <c r="AV4238" i="1"/>
  <c r="AW4237" i="1"/>
  <c r="AV4237" i="1"/>
  <c r="AW4236" i="1"/>
  <c r="AV4236" i="1"/>
  <c r="AW4235" i="1"/>
  <c r="AV4235" i="1"/>
  <c r="AW4234" i="1"/>
  <c r="AV4234" i="1"/>
  <c r="AW4233" i="1"/>
  <c r="AV4233" i="1"/>
  <c r="AW4232" i="1"/>
  <c r="AV4232" i="1"/>
  <c r="AW4231" i="1"/>
  <c r="AV4231" i="1"/>
  <c r="AW4230" i="1"/>
  <c r="AV4230" i="1"/>
  <c r="AW4229" i="1"/>
  <c r="AV4229" i="1"/>
  <c r="AW4228" i="1"/>
  <c r="AV4228" i="1"/>
  <c r="AW4242" i="1"/>
  <c r="AV4242" i="1"/>
  <c r="AW4227" i="1"/>
  <c r="AV4227" i="1"/>
  <c r="AW4226" i="1"/>
  <c r="AV4226" i="1"/>
  <c r="AW4225" i="1"/>
  <c r="AV4225" i="1"/>
  <c r="AW4224" i="1"/>
  <c r="AV4224" i="1"/>
  <c r="AU4224" i="1"/>
  <c r="AW4223" i="1"/>
  <c r="AV4223" i="1"/>
  <c r="AU4223" i="1"/>
  <c r="AW4222" i="1"/>
  <c r="AV4222" i="1"/>
  <c r="AU4222" i="1"/>
  <c r="AW4221" i="1"/>
  <c r="AV4221" i="1"/>
  <c r="AU4221" i="1"/>
  <c r="AW4220" i="1"/>
  <c r="AV4220" i="1"/>
  <c r="AU4220" i="1"/>
  <c r="AW4219" i="1"/>
  <c r="AV4219" i="1"/>
  <c r="AW4218" i="1"/>
  <c r="AV4218" i="1"/>
  <c r="AU4218" i="1"/>
  <c r="AW4217" i="1"/>
  <c r="AV4217" i="1"/>
  <c r="AW4216" i="1"/>
  <c r="AV4216" i="1"/>
  <c r="AW4215" i="1"/>
  <c r="AV4215" i="1"/>
  <c r="AU4215" i="1"/>
  <c r="AW4214" i="1"/>
  <c r="AV4214" i="1"/>
  <c r="AU4214" i="1"/>
  <c r="AW4213" i="1"/>
  <c r="AV4213" i="1"/>
  <c r="AW4212" i="1"/>
  <c r="AV4212" i="1"/>
  <c r="AW4211" i="1"/>
  <c r="AV4211" i="1"/>
  <c r="AU4211" i="1"/>
  <c r="AW4210" i="1"/>
  <c r="AV4210" i="1"/>
  <c r="AW4209" i="1"/>
  <c r="AV4209" i="1"/>
  <c r="AW4208" i="1"/>
  <c r="AV4208" i="1"/>
  <c r="AU4208" i="1"/>
  <c r="AW4207" i="1"/>
  <c r="AV4207" i="1"/>
  <c r="AU4207" i="1"/>
  <c r="AW4206" i="1"/>
  <c r="AV4206" i="1"/>
  <c r="AW4205" i="1"/>
  <c r="AV4205" i="1"/>
  <c r="AU4205" i="1"/>
  <c r="AW4204" i="1"/>
  <c r="AV4204" i="1"/>
  <c r="AW4203" i="1"/>
  <c r="AV4203" i="1"/>
  <c r="AU4203" i="1"/>
  <c r="AW4202" i="1"/>
  <c r="AV4202" i="1"/>
  <c r="AW4201" i="1"/>
  <c r="AV4201" i="1"/>
  <c r="AW4200" i="1"/>
  <c r="AV4200" i="1"/>
  <c r="AW4199" i="1"/>
  <c r="AV4199" i="1"/>
  <c r="AW4198" i="1"/>
  <c r="AV4198" i="1"/>
  <c r="AU4198" i="1"/>
  <c r="AW4197" i="1"/>
  <c r="AV4197" i="1"/>
  <c r="AU4197" i="1"/>
  <c r="AW4196" i="1"/>
  <c r="AV4196" i="1"/>
  <c r="AW4195" i="1"/>
  <c r="AV4195" i="1"/>
  <c r="AW4194" i="1"/>
  <c r="AV4194" i="1"/>
  <c r="AW4193" i="1"/>
  <c r="AV4193" i="1"/>
  <c r="AU4193" i="1"/>
  <c r="AW4192" i="1"/>
  <c r="AV4192" i="1"/>
  <c r="AW4191" i="1"/>
  <c r="AV4191" i="1"/>
  <c r="AW4190" i="1"/>
  <c r="AV4190" i="1"/>
  <c r="AW4189" i="1"/>
  <c r="AV4189" i="1"/>
  <c r="AU4189" i="1"/>
  <c r="AW4188" i="1"/>
  <c r="AV4188" i="1"/>
  <c r="AW4187" i="1"/>
  <c r="AV4187" i="1"/>
  <c r="AU4187" i="1"/>
  <c r="AW4186" i="1"/>
  <c r="AV4186" i="1"/>
  <c r="AW4185" i="1"/>
  <c r="AV4185" i="1"/>
  <c r="AU4185" i="1"/>
  <c r="AW4184" i="1"/>
  <c r="AV4184" i="1"/>
  <c r="AW4183" i="1"/>
  <c r="AV4183" i="1"/>
  <c r="AW4182" i="1"/>
  <c r="AV4182" i="1"/>
  <c r="AW4181" i="1"/>
  <c r="AV4181" i="1"/>
  <c r="AW4180" i="1"/>
  <c r="AV4180" i="1"/>
  <c r="AW4179" i="1"/>
  <c r="AV4179" i="1"/>
  <c r="AW4178" i="1"/>
  <c r="AV4178" i="1"/>
  <c r="AW4177" i="1"/>
  <c r="AV4177" i="1"/>
  <c r="AW4176" i="1"/>
  <c r="AV4176" i="1"/>
  <c r="AW4175" i="1"/>
  <c r="AV4175" i="1"/>
  <c r="AW4174" i="1"/>
  <c r="AV4174" i="1"/>
  <c r="AW4173" i="1"/>
  <c r="AV4173" i="1"/>
  <c r="AW4172" i="1"/>
  <c r="AV4172" i="1"/>
  <c r="AW4171" i="1"/>
  <c r="AV4171" i="1"/>
  <c r="AW4170" i="1"/>
  <c r="AV4170" i="1"/>
  <c r="AW4169" i="1"/>
  <c r="AV4169" i="1"/>
  <c r="AW4168" i="1"/>
  <c r="AV4168" i="1"/>
  <c r="AW4167" i="1"/>
  <c r="AV4167" i="1"/>
  <c r="AW4166" i="1"/>
  <c r="AV4166" i="1"/>
  <c r="AW4165" i="1"/>
  <c r="AV4165" i="1"/>
  <c r="AW4164" i="1"/>
  <c r="AV4164" i="1"/>
  <c r="AW4163" i="1"/>
  <c r="AV4163" i="1"/>
  <c r="AW4162" i="1"/>
  <c r="AV4162" i="1"/>
  <c r="AW4161" i="1"/>
  <c r="AV4161" i="1"/>
  <c r="AW4160" i="1"/>
  <c r="AV4160" i="1"/>
  <c r="AW4159" i="1"/>
  <c r="AV4159" i="1"/>
  <c r="AW4158" i="1"/>
  <c r="AV4158" i="1"/>
  <c r="AW4157" i="1"/>
  <c r="AV4157" i="1"/>
  <c r="AW4156" i="1"/>
  <c r="AV4156" i="1"/>
  <c r="AW4155" i="1"/>
  <c r="AV4155" i="1"/>
  <c r="AW4154" i="1"/>
  <c r="AV4154" i="1"/>
  <c r="AW4153" i="1"/>
  <c r="AV4153" i="1"/>
  <c r="AW4152" i="1"/>
  <c r="AV4152" i="1"/>
  <c r="AW4151" i="1"/>
  <c r="AV4151" i="1"/>
  <c r="AW4150" i="1"/>
  <c r="AV4150" i="1"/>
  <c r="AW4149" i="1"/>
  <c r="AV4149" i="1"/>
  <c r="AW4148" i="1"/>
  <c r="AV4148" i="1"/>
  <c r="AW4147" i="1"/>
  <c r="AV4147" i="1"/>
  <c r="AW4146" i="1"/>
  <c r="AV4146" i="1"/>
  <c r="AW4145" i="1"/>
  <c r="AV4145" i="1"/>
  <c r="AW4144" i="1"/>
  <c r="AV4144" i="1"/>
  <c r="AW4143" i="1"/>
  <c r="AV4143" i="1"/>
  <c r="AW4142" i="1"/>
  <c r="AV4142" i="1"/>
  <c r="AW4141" i="1"/>
  <c r="AV4141" i="1"/>
  <c r="AW4140" i="1"/>
  <c r="AV4140" i="1"/>
  <c r="AW4139" i="1"/>
  <c r="AV4139" i="1"/>
  <c r="AW4138" i="1"/>
  <c r="AV4138" i="1"/>
  <c r="AW4137" i="1"/>
  <c r="AV4137" i="1"/>
  <c r="AW4136" i="1"/>
  <c r="AV4136" i="1"/>
  <c r="AW4135" i="1"/>
  <c r="AV4135" i="1"/>
  <c r="AW4134" i="1"/>
  <c r="AV4134" i="1"/>
  <c r="AW4133" i="1"/>
  <c r="AV4133" i="1"/>
  <c r="AW4132" i="1"/>
  <c r="AV4132" i="1"/>
  <c r="AW4131" i="1"/>
  <c r="AV4131" i="1"/>
  <c r="AW4130" i="1"/>
  <c r="AV4130" i="1"/>
  <c r="AW4129" i="1"/>
  <c r="AV4129" i="1"/>
  <c r="AW4128" i="1"/>
  <c r="AV4128" i="1"/>
  <c r="AW4127" i="1"/>
  <c r="AV4127" i="1"/>
  <c r="AW4126" i="1"/>
  <c r="AV4126" i="1"/>
  <c r="AW4125" i="1"/>
  <c r="AV4125" i="1"/>
  <c r="AW4124" i="1"/>
  <c r="AV4124" i="1"/>
  <c r="AW4123" i="1"/>
  <c r="AV4123" i="1"/>
  <c r="AW4122" i="1"/>
  <c r="AV4122" i="1"/>
  <c r="AW4121" i="1"/>
  <c r="AV4121" i="1"/>
  <c r="AW4120" i="1"/>
  <c r="AV4120" i="1"/>
  <c r="AW4119" i="1"/>
  <c r="AV4119" i="1"/>
  <c r="AW4118" i="1"/>
  <c r="AV4118" i="1"/>
  <c r="AW4117" i="1"/>
  <c r="AV4117" i="1"/>
  <c r="AW4116" i="1"/>
  <c r="AV4116" i="1"/>
  <c r="AW4115" i="1"/>
  <c r="AV4115" i="1"/>
  <c r="AW4114" i="1"/>
  <c r="AV4114" i="1"/>
  <c r="AW4113" i="1"/>
  <c r="AV4113" i="1"/>
  <c r="AW4112" i="1"/>
  <c r="AV4112" i="1"/>
  <c r="AW4111" i="1"/>
  <c r="AV4111" i="1"/>
  <c r="AW4110" i="1"/>
  <c r="AV4110" i="1"/>
  <c r="AW4109" i="1"/>
  <c r="AV4109" i="1"/>
  <c r="AW4108" i="1"/>
  <c r="AV4108" i="1"/>
  <c r="AW4107" i="1"/>
  <c r="AV4107" i="1"/>
  <c r="AW4106" i="1"/>
  <c r="AV4106" i="1"/>
  <c r="AW4105" i="1"/>
  <c r="AV4105" i="1"/>
  <c r="AW4104" i="1"/>
  <c r="AV4104" i="1"/>
  <c r="AW4103" i="1"/>
  <c r="AV4103" i="1"/>
  <c r="AW4102" i="1"/>
  <c r="AV4102" i="1"/>
  <c r="AW4101" i="1"/>
  <c r="AV4101" i="1"/>
  <c r="AW4100" i="1"/>
  <c r="AV4100" i="1"/>
  <c r="AW4099" i="1"/>
  <c r="AV4099" i="1"/>
  <c r="AW4098" i="1"/>
  <c r="AV4098" i="1"/>
  <c r="AW4097" i="1"/>
  <c r="AV4097" i="1"/>
  <c r="AW4096" i="1"/>
  <c r="AV4096" i="1"/>
  <c r="AW4095" i="1"/>
  <c r="AV4095" i="1"/>
  <c r="AW4094" i="1"/>
  <c r="AV4094" i="1"/>
  <c r="AW4093" i="1"/>
  <c r="AV4093" i="1"/>
  <c r="AW4092" i="1"/>
  <c r="AV4092" i="1"/>
  <c r="AW4091" i="1"/>
  <c r="AV4091" i="1"/>
  <c r="AW4090" i="1"/>
  <c r="AV4090" i="1"/>
  <c r="AW4089" i="1"/>
  <c r="AV4089" i="1"/>
  <c r="AW4088" i="1"/>
  <c r="AV4088" i="1"/>
  <c r="AW4087" i="1"/>
  <c r="AV4087" i="1"/>
  <c r="AW4086" i="1"/>
  <c r="AV4086" i="1"/>
  <c r="AW4085" i="1"/>
  <c r="AV4085" i="1"/>
  <c r="AW4084" i="1"/>
  <c r="AV4084" i="1"/>
  <c r="AW4083" i="1"/>
  <c r="AV4083" i="1"/>
  <c r="AW4082" i="1"/>
  <c r="AV4082" i="1"/>
  <c r="AW4081" i="1"/>
  <c r="AV4081" i="1"/>
  <c r="AW4080" i="1"/>
  <c r="AV4080" i="1"/>
  <c r="AW4079" i="1"/>
  <c r="AV4079" i="1"/>
  <c r="AW4078" i="1"/>
  <c r="AV4078" i="1"/>
  <c r="AW4076" i="1"/>
  <c r="AV4076" i="1"/>
  <c r="AW4075" i="1"/>
  <c r="AV4075" i="1"/>
  <c r="AW4077" i="1"/>
  <c r="AV4077" i="1"/>
  <c r="AW4074" i="1"/>
  <c r="AV4074" i="1"/>
  <c r="AW4073" i="1"/>
  <c r="AV4073" i="1"/>
  <c r="AW4072" i="1"/>
  <c r="AV4072" i="1"/>
  <c r="AW4071" i="1"/>
  <c r="AV4071" i="1"/>
  <c r="AW4070" i="1"/>
  <c r="AV4070" i="1"/>
  <c r="AW4069" i="1"/>
  <c r="AV4069" i="1"/>
  <c r="AW4068" i="1"/>
  <c r="AV4068" i="1"/>
  <c r="AW4067" i="1"/>
  <c r="AV4067" i="1"/>
  <c r="AW4066" i="1"/>
  <c r="AV4066" i="1"/>
  <c r="AW4065" i="1"/>
  <c r="AV4065" i="1"/>
  <c r="AW4064" i="1"/>
  <c r="AV4064" i="1"/>
  <c r="AW4063" i="1"/>
  <c r="AV4063" i="1"/>
  <c r="AW4062" i="1"/>
  <c r="AV4062" i="1"/>
  <c r="AW4061" i="1"/>
  <c r="AV4061" i="1"/>
  <c r="AW4060" i="1"/>
  <c r="AV4060" i="1"/>
  <c r="AW4059" i="1"/>
  <c r="AV4059" i="1"/>
  <c r="AW4058" i="1"/>
  <c r="AV4058" i="1"/>
  <c r="AW4057" i="1"/>
  <c r="AV4057" i="1"/>
  <c r="AW4056" i="1"/>
  <c r="AV4056" i="1"/>
  <c r="AW4055" i="1"/>
  <c r="AV4055" i="1"/>
  <c r="AW4054" i="1"/>
  <c r="AV4054" i="1"/>
  <c r="AW4053" i="1"/>
  <c r="AV4053" i="1"/>
  <c r="AW4052" i="1"/>
  <c r="AV4052" i="1"/>
  <c r="AW4051" i="1"/>
  <c r="AV4051" i="1"/>
  <c r="AW4050" i="1"/>
  <c r="AV4050" i="1"/>
  <c r="AW4049" i="1"/>
  <c r="AV4049" i="1"/>
  <c r="AW4048" i="1"/>
  <c r="AV4048" i="1"/>
  <c r="AW4047" i="1"/>
  <c r="AV4047" i="1"/>
  <c r="AW4046" i="1"/>
  <c r="AV4046" i="1"/>
  <c r="AW4045" i="1"/>
  <c r="AV4045" i="1"/>
  <c r="AW4044" i="1"/>
  <c r="AV4044" i="1"/>
  <c r="AW4043" i="1"/>
  <c r="AV4043" i="1"/>
  <c r="AW4042" i="1"/>
  <c r="AV4042" i="1"/>
  <c r="AW4041" i="1"/>
  <c r="AV4041" i="1"/>
  <c r="AW4040" i="1"/>
  <c r="AV4040" i="1"/>
  <c r="AW4039" i="1"/>
  <c r="AV4039" i="1"/>
  <c r="AW4038" i="1"/>
  <c r="AV4038" i="1"/>
  <c r="AW4037" i="1"/>
  <c r="AV4037" i="1"/>
  <c r="AW4036" i="1"/>
  <c r="AV4036" i="1"/>
  <c r="AW4035" i="1"/>
  <c r="AV4035" i="1"/>
  <c r="AW4034" i="1"/>
  <c r="AV4034" i="1"/>
  <c r="AW4033" i="1"/>
  <c r="AV4033" i="1"/>
  <c r="AW4032" i="1"/>
  <c r="AV4032" i="1"/>
  <c r="AW4031" i="1"/>
  <c r="AV4031" i="1"/>
  <c r="AW4030" i="1"/>
  <c r="AV4030" i="1"/>
  <c r="AW4029" i="1"/>
  <c r="AV4029" i="1"/>
  <c r="AW4028" i="1"/>
  <c r="AV4028" i="1"/>
  <c r="AW4027" i="1"/>
  <c r="AV4027" i="1"/>
  <c r="AW4026" i="1"/>
  <c r="AV4026" i="1"/>
  <c r="AW4025" i="1"/>
  <c r="AV4025" i="1"/>
  <c r="AW4024" i="1"/>
  <c r="AV4024" i="1"/>
  <c r="AW4023" i="1"/>
  <c r="AV4023" i="1"/>
  <c r="AW4022" i="1"/>
  <c r="AV4022" i="1"/>
  <c r="AW4021" i="1"/>
  <c r="AV4021" i="1"/>
  <c r="AW4020" i="1"/>
  <c r="AV4020" i="1"/>
  <c r="AW4019" i="1"/>
  <c r="AV4019" i="1"/>
  <c r="AW4018" i="1"/>
  <c r="AV4018" i="1"/>
  <c r="AW4017" i="1"/>
  <c r="AV4017" i="1"/>
  <c r="AW4016" i="1"/>
  <c r="AV4016" i="1"/>
  <c r="AW4015" i="1"/>
  <c r="AV4015" i="1"/>
  <c r="AW4014" i="1"/>
  <c r="AV4014" i="1"/>
  <c r="AW4013" i="1"/>
  <c r="AV4013" i="1"/>
  <c r="AW4012" i="1"/>
  <c r="AV4012" i="1"/>
  <c r="AW4011" i="1"/>
  <c r="AV4011" i="1"/>
  <c r="AW4010" i="1"/>
  <c r="AV4010" i="1"/>
  <c r="AW4009" i="1"/>
  <c r="AV4009" i="1"/>
  <c r="AW4008" i="1"/>
  <c r="AV4008" i="1"/>
  <c r="AW4007" i="1"/>
  <c r="AV4007" i="1"/>
  <c r="AW4006" i="1"/>
  <c r="AV4006" i="1"/>
  <c r="AW4005" i="1"/>
  <c r="AV4005" i="1"/>
  <c r="AW4004" i="1"/>
  <c r="AV4004" i="1"/>
  <c r="AW4003" i="1"/>
  <c r="AV4003" i="1"/>
  <c r="AW4002" i="1"/>
  <c r="AV4002" i="1"/>
  <c r="AW4001" i="1"/>
  <c r="AV4001" i="1"/>
  <c r="AW4000" i="1"/>
  <c r="AV4000" i="1"/>
  <c r="AU4000" i="1"/>
  <c r="AW3999" i="1"/>
  <c r="AV3999" i="1"/>
  <c r="AW3998" i="1"/>
  <c r="AV3998" i="1"/>
  <c r="AW3997" i="1"/>
  <c r="AV3997" i="1"/>
  <c r="AW3996" i="1"/>
  <c r="AV3996" i="1"/>
  <c r="AW3995" i="1"/>
  <c r="AV3995" i="1"/>
  <c r="AW3994" i="1"/>
  <c r="AV3994" i="1"/>
  <c r="AW3993" i="1"/>
  <c r="AV3993" i="1"/>
  <c r="AW3992" i="1"/>
  <c r="AV3992" i="1"/>
  <c r="AW3991" i="1"/>
  <c r="AV3991" i="1"/>
  <c r="AW3990" i="1"/>
  <c r="AV3990" i="1"/>
  <c r="AW3989" i="1"/>
  <c r="AV3989" i="1"/>
  <c r="AW3988" i="1"/>
  <c r="AV3988" i="1"/>
  <c r="AW3987" i="1"/>
  <c r="AV3987" i="1"/>
  <c r="AW3986" i="1"/>
  <c r="AV3986" i="1"/>
  <c r="AW3985" i="1"/>
  <c r="AV3985" i="1"/>
  <c r="AW3984" i="1"/>
  <c r="AV3984" i="1"/>
  <c r="AW3983" i="1"/>
  <c r="AV3983" i="1"/>
  <c r="AW3982" i="1"/>
  <c r="AV3982" i="1"/>
  <c r="AW3981" i="1"/>
  <c r="AV3981" i="1"/>
  <c r="AW3980" i="1"/>
  <c r="AV3980" i="1"/>
  <c r="AW3979" i="1"/>
  <c r="AV3979" i="1"/>
  <c r="AW3978" i="1"/>
  <c r="AV3978" i="1"/>
  <c r="AU3978" i="1"/>
  <c r="AW3977" i="1"/>
  <c r="AV3977" i="1"/>
  <c r="AU3977" i="1"/>
  <c r="AW3976" i="1"/>
  <c r="AV3976" i="1"/>
  <c r="AU3976" i="1"/>
  <c r="AW3975" i="1"/>
  <c r="AV3975" i="1"/>
  <c r="AW3974" i="1"/>
  <c r="AV3974" i="1"/>
  <c r="AU3974" i="1"/>
  <c r="AW3973" i="1"/>
  <c r="AV3973" i="1"/>
  <c r="AW3972" i="1"/>
  <c r="AV3972" i="1"/>
  <c r="AU3972" i="1"/>
  <c r="AW3970" i="1"/>
  <c r="AV3970" i="1"/>
  <c r="AW3969" i="1"/>
  <c r="AV3969" i="1"/>
  <c r="AW3968" i="1"/>
  <c r="AV3968" i="1"/>
  <c r="AW3967" i="1"/>
  <c r="AV3967" i="1"/>
  <c r="AW3966" i="1"/>
  <c r="AV3966" i="1"/>
  <c r="AU3966" i="1"/>
  <c r="AW3965" i="1"/>
  <c r="AV3965" i="1"/>
  <c r="AW3964" i="1"/>
  <c r="AV3964" i="1"/>
  <c r="AW3963" i="1"/>
  <c r="AV3963" i="1"/>
  <c r="AU3963" i="1"/>
  <c r="AW3962" i="1"/>
  <c r="AV3962" i="1"/>
  <c r="AW3961" i="1"/>
  <c r="AV3961" i="1"/>
  <c r="AW3960" i="1"/>
  <c r="AV3960" i="1"/>
  <c r="AW3959" i="1"/>
  <c r="AV3959" i="1"/>
  <c r="AW3958" i="1"/>
  <c r="AV3958" i="1"/>
  <c r="AW3957" i="1"/>
  <c r="AV3957" i="1"/>
  <c r="AW3956" i="1"/>
  <c r="AV3956" i="1"/>
  <c r="AW3955" i="1"/>
  <c r="AV3955" i="1"/>
  <c r="AU3955" i="1"/>
  <c r="AW3954" i="1"/>
  <c r="AV3954" i="1"/>
  <c r="AW3953" i="1"/>
  <c r="AV3953" i="1"/>
  <c r="AW3952" i="1"/>
  <c r="AV3952" i="1"/>
  <c r="AW3951" i="1"/>
  <c r="AV3951" i="1"/>
  <c r="AW3950" i="1"/>
  <c r="AV3950" i="1"/>
  <c r="AW3949" i="1"/>
  <c r="AV3949" i="1"/>
  <c r="AU3949" i="1"/>
  <c r="AW3948" i="1"/>
  <c r="AV3948" i="1"/>
  <c r="AW3947" i="1"/>
  <c r="AV3947" i="1"/>
  <c r="AW3946" i="1"/>
  <c r="AV3946" i="1"/>
  <c r="AW3945" i="1"/>
  <c r="AV3945" i="1"/>
  <c r="AW3944" i="1"/>
  <c r="AV3944" i="1"/>
  <c r="AW3943" i="1"/>
  <c r="AV3943" i="1"/>
  <c r="AW3942" i="1"/>
  <c r="AV3942" i="1"/>
  <c r="AW3941" i="1"/>
  <c r="AV3941" i="1"/>
  <c r="AU3941" i="1"/>
  <c r="AW3940" i="1"/>
  <c r="AV3940" i="1"/>
  <c r="AU3940" i="1"/>
  <c r="AW3939" i="1"/>
  <c r="AV3939" i="1"/>
  <c r="AU3939" i="1"/>
  <c r="AW3938" i="1"/>
  <c r="AV3938" i="1"/>
  <c r="AW3937" i="1"/>
  <c r="AV3937" i="1"/>
  <c r="AW3936" i="1"/>
  <c r="AV3936" i="1"/>
  <c r="AW3935" i="1"/>
  <c r="AV3935" i="1"/>
  <c r="AW3971" i="1"/>
  <c r="AV3971" i="1"/>
  <c r="AW3934" i="1"/>
  <c r="AV3934" i="1"/>
  <c r="AW3933" i="1"/>
  <c r="AV3933" i="1"/>
  <c r="AW3932" i="1"/>
  <c r="AV3932" i="1"/>
  <c r="AU3932" i="1"/>
  <c r="AW3931" i="1"/>
  <c r="AV3931" i="1"/>
  <c r="AW3930" i="1"/>
  <c r="AV3930" i="1"/>
  <c r="AW3929" i="1"/>
  <c r="AV3929" i="1"/>
  <c r="AU3929" i="1"/>
  <c r="AW3927" i="1"/>
  <c r="AV3927" i="1"/>
  <c r="AU3927" i="1"/>
  <c r="AW3926" i="1"/>
  <c r="AV3926" i="1"/>
  <c r="AU3926" i="1"/>
  <c r="AW3925" i="1"/>
  <c r="AV3925" i="1"/>
  <c r="AU3925" i="1"/>
  <c r="AW3928" i="1"/>
  <c r="AV3928" i="1"/>
  <c r="AW3924" i="1"/>
  <c r="AV3924" i="1"/>
  <c r="AW3923" i="1"/>
  <c r="AV3923" i="1"/>
  <c r="AW3922" i="1"/>
  <c r="AV3922" i="1"/>
  <c r="AW3914" i="1"/>
  <c r="AV3914" i="1"/>
  <c r="AU3914" i="1"/>
  <c r="AW3913" i="1"/>
  <c r="AV3913" i="1"/>
  <c r="AU3913" i="1"/>
  <c r="AW3921" i="1"/>
  <c r="AV3921" i="1"/>
  <c r="AW3920" i="1"/>
  <c r="AV3920" i="1"/>
  <c r="AW3919" i="1"/>
  <c r="AV3919" i="1"/>
  <c r="AW3918" i="1"/>
  <c r="AV3918" i="1"/>
  <c r="AW3917" i="1"/>
  <c r="AV3917" i="1"/>
  <c r="AW3916" i="1"/>
  <c r="AV3916" i="1"/>
  <c r="AU3916" i="1"/>
  <c r="AW3915" i="1"/>
  <c r="AV3915" i="1"/>
  <c r="AW3877" i="1"/>
  <c r="AV3877" i="1"/>
  <c r="AU3877" i="1"/>
  <c r="AW3876" i="1"/>
  <c r="AV3876" i="1"/>
  <c r="AU3876" i="1"/>
  <c r="AW3875" i="1"/>
  <c r="AV3875" i="1"/>
  <c r="AU3875" i="1"/>
  <c r="AW3874" i="1"/>
  <c r="AV3874" i="1"/>
  <c r="AU3874" i="1"/>
  <c r="AW3873" i="1"/>
  <c r="AV3873" i="1"/>
  <c r="AU3873" i="1"/>
  <c r="AW3872" i="1"/>
  <c r="AV3872" i="1"/>
  <c r="AU3872" i="1"/>
  <c r="AW3871" i="1"/>
  <c r="AV3871" i="1"/>
  <c r="AU3871" i="1"/>
  <c r="AW3870" i="1"/>
  <c r="AV3870" i="1"/>
  <c r="AU3870" i="1"/>
  <c r="AW3869" i="1"/>
  <c r="AV3869" i="1"/>
  <c r="AU3869" i="1"/>
  <c r="AW3912" i="1"/>
  <c r="AV3912" i="1"/>
  <c r="AU3912" i="1"/>
  <c r="AW3911" i="1"/>
  <c r="AV3911" i="1"/>
  <c r="AW3910" i="1"/>
  <c r="AV3910" i="1"/>
  <c r="AU3910" i="1"/>
  <c r="AW3909" i="1"/>
  <c r="AV3909" i="1"/>
  <c r="AW3908" i="1"/>
  <c r="AV3908" i="1"/>
  <c r="AU3908" i="1"/>
  <c r="AW3907" i="1"/>
  <c r="AV3907" i="1"/>
  <c r="AU3907" i="1"/>
  <c r="AW3906" i="1"/>
  <c r="AV3906" i="1"/>
  <c r="AW3905" i="1"/>
  <c r="AV3905" i="1"/>
  <c r="AW3904" i="1"/>
  <c r="AV3904" i="1"/>
  <c r="AU3904" i="1"/>
  <c r="AW3903" i="1"/>
  <c r="AV3903" i="1"/>
  <c r="AU3903" i="1"/>
  <c r="AW3902" i="1"/>
  <c r="AV3902" i="1"/>
  <c r="AW3901" i="1"/>
  <c r="AV3901" i="1"/>
  <c r="AU3901" i="1"/>
  <c r="AW3900" i="1"/>
  <c r="AV3900" i="1"/>
  <c r="AU3900" i="1"/>
  <c r="AW3899" i="1"/>
  <c r="AV3899" i="1"/>
  <c r="AU3899" i="1"/>
  <c r="AW3898" i="1"/>
  <c r="AV3898" i="1"/>
  <c r="AW3897" i="1"/>
  <c r="AV3897" i="1"/>
  <c r="AW3896" i="1"/>
  <c r="AV3896" i="1"/>
  <c r="AU3896" i="1"/>
  <c r="AW3895" i="1"/>
  <c r="AV3895" i="1"/>
  <c r="AU3895" i="1"/>
  <c r="AW3894" i="1"/>
  <c r="AV3894" i="1"/>
  <c r="AU3894" i="1"/>
  <c r="AW3893" i="1"/>
  <c r="AV3893" i="1"/>
  <c r="AW3892" i="1"/>
  <c r="AV3892" i="1"/>
  <c r="AW3891" i="1"/>
  <c r="AV3891" i="1"/>
  <c r="AW3890" i="1"/>
  <c r="AV3890" i="1"/>
  <c r="AU3890" i="1"/>
  <c r="AW3889" i="1"/>
  <c r="AV3889" i="1"/>
  <c r="AU3889" i="1"/>
  <c r="AW3888" i="1"/>
  <c r="AV3888" i="1"/>
  <c r="AU3888" i="1"/>
  <c r="AW3887" i="1"/>
  <c r="AV3887" i="1"/>
  <c r="AU3887" i="1"/>
  <c r="AW3886" i="1"/>
  <c r="AV3886" i="1"/>
  <c r="AW3885" i="1"/>
  <c r="AV3885" i="1"/>
  <c r="AU3885" i="1"/>
  <c r="AW3884" i="1"/>
  <c r="AV3884" i="1"/>
  <c r="AU3884" i="1"/>
  <c r="AW3883" i="1"/>
  <c r="AV3883" i="1"/>
  <c r="AU3883" i="1"/>
  <c r="AW3882" i="1"/>
  <c r="AV3882" i="1"/>
  <c r="AU3882" i="1"/>
  <c r="AW3881" i="1"/>
  <c r="AV3881" i="1"/>
  <c r="AW3880" i="1"/>
  <c r="AV3880" i="1"/>
  <c r="AW3879" i="1"/>
  <c r="AV3879" i="1"/>
  <c r="AW3878" i="1"/>
  <c r="AV3878" i="1"/>
  <c r="AW3868" i="1"/>
  <c r="AV3868" i="1"/>
  <c r="AW3867" i="1"/>
  <c r="AV3867" i="1"/>
  <c r="AU3867" i="1"/>
  <c r="AW3866" i="1"/>
  <c r="AV3866" i="1"/>
  <c r="AW3865" i="1"/>
  <c r="AV3865" i="1"/>
  <c r="AW3864" i="1"/>
  <c r="AV3864" i="1"/>
  <c r="AW3863" i="1"/>
  <c r="AV3863" i="1"/>
  <c r="AU3863" i="1"/>
  <c r="AW3862" i="1"/>
  <c r="AV3862" i="1"/>
  <c r="AW3861" i="1"/>
  <c r="AV3861" i="1"/>
  <c r="AU3861" i="1"/>
  <c r="AW3860" i="1"/>
  <c r="AV3860" i="1"/>
  <c r="AU3860" i="1"/>
  <c r="AW3859" i="1"/>
  <c r="AV3859" i="1"/>
  <c r="AW3858" i="1"/>
  <c r="AV3858" i="1"/>
  <c r="AW3857" i="1"/>
  <c r="AV3857" i="1"/>
  <c r="AW3856" i="1"/>
  <c r="AV3856" i="1"/>
  <c r="AW3855" i="1"/>
  <c r="AV3855" i="1"/>
  <c r="AW3854" i="1"/>
  <c r="AV3854" i="1"/>
  <c r="AW3853" i="1"/>
  <c r="AV3853" i="1"/>
  <c r="AW3852" i="1"/>
  <c r="AV3852" i="1"/>
  <c r="AW3851" i="1"/>
  <c r="AV3851" i="1"/>
  <c r="AW3850" i="1"/>
  <c r="AV3850" i="1"/>
  <c r="AW3849" i="1"/>
  <c r="AV3849" i="1"/>
  <c r="AU3849" i="1"/>
  <c r="AW3848" i="1"/>
  <c r="AV3848" i="1"/>
  <c r="AW3847" i="1"/>
  <c r="AV3847" i="1"/>
  <c r="AU3847" i="1"/>
  <c r="AW3846" i="1"/>
  <c r="AV3846" i="1"/>
  <c r="AU3846" i="1"/>
  <c r="AW3845" i="1"/>
  <c r="AV3845" i="1"/>
  <c r="AW3844" i="1"/>
  <c r="AV3844" i="1"/>
  <c r="AW3843" i="1"/>
  <c r="AV3843" i="1"/>
  <c r="AW3841" i="1"/>
  <c r="AV3841" i="1"/>
  <c r="AW3840" i="1"/>
  <c r="AV3840" i="1"/>
  <c r="AU3840" i="1"/>
  <c r="AW3839" i="1"/>
  <c r="AV3839" i="1"/>
  <c r="AW3838" i="1"/>
  <c r="AV3838" i="1"/>
  <c r="AW3837" i="1"/>
  <c r="AV3837" i="1"/>
  <c r="AW3836" i="1"/>
  <c r="AV3836" i="1"/>
  <c r="AW3834" i="1"/>
  <c r="AV3834" i="1"/>
  <c r="AU3834" i="1"/>
  <c r="AW3833" i="1"/>
  <c r="AV3833" i="1"/>
  <c r="AW3832" i="1"/>
  <c r="AV3832" i="1"/>
  <c r="AW3831" i="1"/>
  <c r="AV3831" i="1"/>
  <c r="AW3830" i="1"/>
  <c r="AV3830" i="1"/>
  <c r="AW3835" i="1"/>
  <c r="AV3835" i="1"/>
  <c r="AW3829" i="1"/>
  <c r="AV3829" i="1"/>
  <c r="AW3828" i="1"/>
  <c r="AV3828" i="1"/>
  <c r="AW3827" i="1"/>
  <c r="AV3827" i="1"/>
  <c r="AU3827" i="1"/>
  <c r="AW3826" i="1"/>
  <c r="AV3826" i="1"/>
  <c r="AW3825" i="1"/>
  <c r="AV3825" i="1"/>
  <c r="AW3824" i="1"/>
  <c r="AV3824" i="1"/>
  <c r="AW3823" i="1"/>
  <c r="AV3823" i="1"/>
  <c r="AW3822" i="1"/>
  <c r="AV3822" i="1"/>
  <c r="AU3822" i="1"/>
  <c r="AW3821" i="1"/>
  <c r="AV3821" i="1"/>
  <c r="AW3820" i="1"/>
  <c r="AV3820" i="1"/>
  <c r="AU3820" i="1"/>
  <c r="AW3819" i="1"/>
  <c r="AV3819" i="1"/>
  <c r="AU3819" i="1"/>
  <c r="AW3818" i="1"/>
  <c r="AV3818" i="1"/>
  <c r="AU3818" i="1"/>
  <c r="AW3817" i="1"/>
  <c r="AV3817" i="1"/>
  <c r="AU3817" i="1"/>
  <c r="AW3816" i="1"/>
  <c r="AV3816" i="1"/>
  <c r="AU3816" i="1"/>
  <c r="AW3815" i="1"/>
  <c r="AV3815" i="1"/>
  <c r="AW3814" i="1"/>
  <c r="AV3814" i="1"/>
  <c r="AW3813" i="1"/>
  <c r="AV3813" i="1"/>
  <c r="AW3812" i="1"/>
  <c r="AV3812" i="1"/>
  <c r="AW3811" i="1"/>
  <c r="AV3811" i="1"/>
  <c r="AW3810" i="1"/>
  <c r="AV3810" i="1"/>
  <c r="AW3809" i="1"/>
  <c r="AV3809" i="1"/>
  <c r="AW3808" i="1"/>
  <c r="AV3808" i="1"/>
  <c r="AW3807" i="1"/>
  <c r="AV3807" i="1"/>
  <c r="AW3806" i="1"/>
  <c r="AV3806" i="1"/>
  <c r="AW3805" i="1"/>
  <c r="AV3805" i="1"/>
  <c r="AU3805" i="1"/>
  <c r="AW3804" i="1"/>
  <c r="AV3804" i="1"/>
  <c r="AU3804" i="1"/>
  <c r="AW3803" i="1"/>
  <c r="AV3803" i="1"/>
  <c r="AU3803" i="1"/>
  <c r="AW3802" i="1"/>
  <c r="AV3802" i="1"/>
  <c r="AU3802" i="1"/>
  <c r="AW3801" i="1"/>
  <c r="AV3801" i="1"/>
  <c r="AU3801" i="1"/>
  <c r="AW3800" i="1"/>
  <c r="AV3800" i="1"/>
  <c r="AW3799" i="1"/>
  <c r="AV3799" i="1"/>
  <c r="AW3798" i="1"/>
  <c r="AV3798" i="1"/>
  <c r="AW3797" i="1"/>
  <c r="AV3797" i="1"/>
  <c r="AW3796" i="1"/>
  <c r="AV3796" i="1"/>
  <c r="AW3795" i="1"/>
  <c r="AV3795" i="1"/>
  <c r="AU3795" i="1"/>
  <c r="AW3794" i="1"/>
  <c r="AV3794" i="1"/>
  <c r="AW3793" i="1"/>
  <c r="AV3793" i="1"/>
  <c r="AW3792" i="1"/>
  <c r="AV3792" i="1"/>
  <c r="AU3792" i="1"/>
  <c r="AW3791" i="1"/>
  <c r="AV3791" i="1"/>
  <c r="AW3790" i="1"/>
  <c r="AV3790" i="1"/>
  <c r="AW3789" i="1"/>
  <c r="AV3789" i="1"/>
  <c r="AW3788" i="1"/>
  <c r="AV3788" i="1"/>
  <c r="AU3788" i="1"/>
  <c r="AW3787" i="1"/>
  <c r="AV3787" i="1"/>
  <c r="AW3786" i="1"/>
  <c r="AV3786" i="1"/>
  <c r="AW3785" i="1"/>
  <c r="AV3785" i="1"/>
  <c r="AW3784" i="1"/>
  <c r="AV3784" i="1"/>
  <c r="AU3784" i="1"/>
  <c r="AW3783" i="1"/>
  <c r="AV3783" i="1"/>
  <c r="AU3783" i="1"/>
  <c r="AW3782" i="1"/>
  <c r="AV3782" i="1"/>
  <c r="AU3782" i="1"/>
  <c r="AW3781" i="1"/>
  <c r="AV3781" i="1"/>
  <c r="AU3781" i="1"/>
  <c r="AW3780" i="1"/>
  <c r="AV3780" i="1"/>
  <c r="AU3780" i="1"/>
  <c r="AW3779" i="1"/>
  <c r="AV3779" i="1"/>
  <c r="AW3778" i="1"/>
  <c r="AV3778" i="1"/>
  <c r="AW3842" i="1"/>
  <c r="AV3842" i="1"/>
  <c r="AW3777" i="1"/>
  <c r="AV3777" i="1"/>
  <c r="AW3776" i="1"/>
  <c r="AV3776" i="1"/>
  <c r="AW3775" i="1"/>
  <c r="AV3775" i="1"/>
  <c r="AW3774" i="1"/>
  <c r="AV3774" i="1"/>
  <c r="AW3773" i="1"/>
  <c r="AV3773" i="1"/>
  <c r="AW3772" i="1"/>
  <c r="AV3772" i="1"/>
  <c r="AW3771" i="1"/>
  <c r="AV3771" i="1"/>
  <c r="AW3770" i="1"/>
  <c r="AV3770" i="1"/>
  <c r="AW3769" i="1"/>
  <c r="AV3769" i="1"/>
  <c r="AW3768" i="1"/>
  <c r="AV3768" i="1"/>
  <c r="AW3767" i="1"/>
  <c r="AV3767" i="1"/>
  <c r="AW3766" i="1"/>
  <c r="AV3766" i="1"/>
  <c r="AU3766" i="1"/>
  <c r="AW3765" i="1"/>
  <c r="AV3765" i="1"/>
  <c r="AW3764" i="1"/>
  <c r="AV3764" i="1"/>
  <c r="AW3763" i="1"/>
  <c r="AV3763" i="1"/>
  <c r="AW3762" i="1"/>
  <c r="AV3762" i="1"/>
  <c r="AW3761" i="1"/>
  <c r="AV3761" i="1"/>
  <c r="AW3760" i="1"/>
  <c r="AV3760" i="1"/>
  <c r="AW3759" i="1"/>
  <c r="AV3759" i="1"/>
  <c r="AU3759" i="1"/>
  <c r="AW3758" i="1"/>
  <c r="AV3758" i="1"/>
  <c r="AW3757" i="1"/>
  <c r="AV3757" i="1"/>
  <c r="AW3756" i="1"/>
  <c r="AV3756" i="1"/>
  <c r="AW3755" i="1"/>
  <c r="AV3755" i="1"/>
  <c r="AU3755" i="1"/>
  <c r="AW3754" i="1"/>
  <c r="AV3754" i="1"/>
  <c r="AU3754" i="1"/>
  <c r="AW3753" i="1"/>
  <c r="AV3753" i="1"/>
  <c r="AW3752" i="1"/>
  <c r="AV3752" i="1"/>
  <c r="AU3752" i="1"/>
  <c r="AW3751" i="1"/>
  <c r="AV3751" i="1"/>
  <c r="AW3750" i="1"/>
  <c r="AV3750" i="1"/>
  <c r="AU3750" i="1"/>
  <c r="AW3749" i="1"/>
  <c r="AV3749" i="1"/>
  <c r="AW3748" i="1"/>
  <c r="AV3748" i="1"/>
  <c r="AU3748" i="1"/>
  <c r="AW3747" i="1"/>
  <c r="AV3747" i="1"/>
  <c r="AU3747" i="1"/>
  <c r="AW3746" i="1"/>
  <c r="AV3746" i="1"/>
  <c r="AW3745" i="1"/>
  <c r="AV3745" i="1"/>
  <c r="AW3744" i="1"/>
  <c r="AV3744" i="1"/>
  <c r="AW3743" i="1"/>
  <c r="AV3743" i="1"/>
  <c r="AW3742" i="1"/>
  <c r="AV3742" i="1"/>
  <c r="AW3741" i="1"/>
  <c r="AV3741" i="1"/>
  <c r="AW3740" i="1"/>
  <c r="AV3740" i="1"/>
  <c r="AW3739" i="1"/>
  <c r="AV3739" i="1"/>
  <c r="AW3738" i="1"/>
  <c r="AV3738" i="1"/>
  <c r="AW3737" i="1"/>
  <c r="AV3737" i="1"/>
  <c r="AW3736" i="1"/>
  <c r="AV3736" i="1"/>
  <c r="AW3735" i="1"/>
  <c r="AV3735" i="1"/>
  <c r="AW3734" i="1"/>
  <c r="AV3734" i="1"/>
  <c r="AW3733" i="1"/>
  <c r="AV3733" i="1"/>
  <c r="AW3732" i="1"/>
  <c r="AV3732" i="1"/>
  <c r="AW3731" i="1"/>
  <c r="AV3731" i="1"/>
  <c r="AW3730" i="1"/>
  <c r="AV3730" i="1"/>
  <c r="AW3729" i="1"/>
  <c r="AV3729" i="1"/>
  <c r="AW3728" i="1"/>
  <c r="AV3728" i="1"/>
  <c r="AW3727" i="1"/>
  <c r="AV3727" i="1"/>
  <c r="AW3726" i="1"/>
  <c r="AV3726" i="1"/>
  <c r="AW3725" i="1"/>
  <c r="AV3725" i="1"/>
  <c r="AW3724" i="1"/>
  <c r="AV3724" i="1"/>
  <c r="AW3723" i="1"/>
  <c r="AV3723" i="1"/>
  <c r="AW3722" i="1"/>
  <c r="AV3722" i="1"/>
  <c r="AW3721" i="1"/>
  <c r="AV3721" i="1"/>
  <c r="AW3720" i="1"/>
  <c r="AV3720" i="1"/>
  <c r="AW3719" i="1"/>
  <c r="AV3719" i="1"/>
  <c r="AW3718" i="1"/>
  <c r="AV3718" i="1"/>
  <c r="AW3717" i="1"/>
  <c r="AV3717" i="1"/>
  <c r="AW3716" i="1"/>
  <c r="AV3716" i="1"/>
  <c r="AW3715" i="1"/>
  <c r="AV3715" i="1"/>
  <c r="AW3714" i="1"/>
  <c r="AV3714" i="1"/>
  <c r="AW3713" i="1"/>
  <c r="AV3713" i="1"/>
  <c r="AU3713" i="1"/>
  <c r="AW3712" i="1"/>
  <c r="AV3712" i="1"/>
  <c r="AW3711" i="1"/>
  <c r="AV3711" i="1"/>
  <c r="AW3710" i="1"/>
  <c r="AV3710" i="1"/>
  <c r="AU3710" i="1"/>
  <c r="AW3709" i="1"/>
  <c r="AV3709" i="1"/>
  <c r="AU3709" i="1"/>
  <c r="AW3708" i="1"/>
  <c r="AV3708" i="1"/>
  <c r="AU3708" i="1"/>
  <c r="AW3707" i="1"/>
  <c r="AV3707" i="1"/>
  <c r="AU3707" i="1"/>
  <c r="AW3706" i="1"/>
  <c r="AV3706" i="1"/>
  <c r="AU3706" i="1"/>
  <c r="AW3705" i="1"/>
  <c r="AV3705" i="1"/>
  <c r="AU3705" i="1"/>
  <c r="AW3704" i="1"/>
  <c r="AV3704" i="1"/>
  <c r="AW3703" i="1"/>
  <c r="AV3703" i="1"/>
  <c r="AW3702" i="1"/>
  <c r="AV3702" i="1"/>
  <c r="AW3701" i="1"/>
  <c r="AV3701" i="1"/>
  <c r="AW3700" i="1"/>
  <c r="AV3700" i="1"/>
  <c r="AW3699" i="1"/>
  <c r="AV3699" i="1"/>
  <c r="AW3698" i="1"/>
  <c r="AV3698" i="1"/>
  <c r="AW3697" i="1"/>
  <c r="AV3697" i="1"/>
  <c r="AU3697" i="1"/>
  <c r="AW3696" i="1"/>
  <c r="AV3696" i="1"/>
  <c r="AW3695" i="1"/>
  <c r="AV3695" i="1"/>
  <c r="AW3694" i="1"/>
  <c r="AV3694" i="1"/>
  <c r="AW3693" i="1"/>
  <c r="AV3693" i="1"/>
  <c r="AW3692" i="1"/>
  <c r="AV3692" i="1"/>
  <c r="AW3691" i="1"/>
  <c r="AV3691" i="1"/>
  <c r="AW3690" i="1"/>
  <c r="AV3690" i="1"/>
  <c r="AU3690" i="1"/>
  <c r="AW3689" i="1"/>
  <c r="AV3689" i="1"/>
  <c r="AU3689" i="1"/>
  <c r="AW3688" i="1"/>
  <c r="AV3688" i="1"/>
  <c r="AU3688" i="1"/>
  <c r="AW3687" i="1"/>
  <c r="AV3687" i="1"/>
  <c r="AW3686" i="1"/>
  <c r="AV3686" i="1"/>
  <c r="AW3685" i="1"/>
  <c r="AV3685" i="1"/>
  <c r="AW3684" i="1"/>
  <c r="AV3684" i="1"/>
  <c r="AW3683" i="1"/>
  <c r="AV3683" i="1"/>
  <c r="AW3682" i="1"/>
  <c r="AV3682" i="1"/>
  <c r="AW3681" i="1"/>
  <c r="AV3681" i="1"/>
  <c r="AW3680" i="1"/>
  <c r="AV3680" i="1"/>
  <c r="AW3679" i="1"/>
  <c r="AV3679" i="1"/>
  <c r="AU3679" i="1"/>
  <c r="AW3678" i="1"/>
  <c r="AV3678" i="1"/>
  <c r="AW3677" i="1"/>
  <c r="AV3677" i="1"/>
  <c r="AU3677" i="1"/>
  <c r="AW3676" i="1"/>
  <c r="AV3676" i="1"/>
  <c r="AW3675" i="1"/>
  <c r="AV3675" i="1"/>
  <c r="AW3674" i="1"/>
  <c r="AV3674" i="1"/>
  <c r="AU3674" i="1"/>
  <c r="AW3673" i="1"/>
  <c r="AV3673" i="1"/>
  <c r="AU3673" i="1"/>
  <c r="AW3672" i="1"/>
  <c r="AV3672" i="1"/>
  <c r="AU3672" i="1"/>
  <c r="AW3671" i="1"/>
  <c r="AV3671" i="1"/>
  <c r="AU3671" i="1"/>
  <c r="AW3670" i="1"/>
  <c r="AV3670" i="1"/>
  <c r="AW3668" i="1"/>
  <c r="AV3668" i="1"/>
  <c r="AW3667" i="1"/>
  <c r="AV3667" i="1"/>
  <c r="AW3666" i="1"/>
  <c r="AV3666" i="1"/>
  <c r="AW3665" i="1"/>
  <c r="AV3665" i="1"/>
  <c r="AW3664" i="1"/>
  <c r="AV3664" i="1"/>
  <c r="AW3663" i="1"/>
  <c r="AV3663" i="1"/>
  <c r="AU3663" i="1"/>
  <c r="AW3662" i="1"/>
  <c r="AV3662" i="1"/>
  <c r="AW3661" i="1"/>
  <c r="AV3661" i="1"/>
  <c r="AW3660" i="1"/>
  <c r="AV3660" i="1"/>
  <c r="AW3659" i="1"/>
  <c r="AV3659" i="1"/>
  <c r="AW3658" i="1"/>
  <c r="AV3658" i="1"/>
  <c r="AU3658" i="1"/>
  <c r="AW3669" i="1"/>
  <c r="AV3669" i="1"/>
  <c r="AW3657" i="1"/>
  <c r="AV3657" i="1"/>
  <c r="AW3656" i="1"/>
  <c r="AV3656" i="1"/>
  <c r="AW3655" i="1"/>
  <c r="AV3655" i="1"/>
  <c r="AW3654" i="1"/>
  <c r="AV3654" i="1"/>
  <c r="AW3653" i="1"/>
  <c r="AV3653" i="1"/>
  <c r="AU3653" i="1"/>
  <c r="AW3652" i="1"/>
  <c r="AV3652" i="1"/>
  <c r="AW3651" i="1"/>
  <c r="AV3651" i="1"/>
  <c r="AW3650" i="1"/>
  <c r="AV3650" i="1"/>
  <c r="AW3648" i="1"/>
  <c r="AV3648" i="1"/>
  <c r="AW3647" i="1"/>
  <c r="AV3647" i="1"/>
  <c r="AW3646" i="1"/>
  <c r="AV3646" i="1"/>
  <c r="AW3649" i="1"/>
  <c r="AV3649" i="1"/>
  <c r="AW3645" i="1"/>
  <c r="AV3645" i="1"/>
  <c r="AW3644" i="1"/>
  <c r="AV3644" i="1"/>
  <c r="AW3643" i="1"/>
  <c r="AV3643" i="1"/>
  <c r="AW3642" i="1"/>
  <c r="AV3642" i="1"/>
  <c r="AW3641" i="1"/>
  <c r="AV3641" i="1"/>
  <c r="AU3641" i="1"/>
  <c r="AW3640" i="1"/>
  <c r="AV3640" i="1"/>
  <c r="AW3639" i="1"/>
  <c r="AV3639" i="1"/>
  <c r="AW3638" i="1"/>
  <c r="AV3638" i="1"/>
  <c r="AU3638" i="1"/>
  <c r="AW3637" i="1"/>
  <c r="AV3637" i="1"/>
  <c r="AW3636" i="1"/>
  <c r="AV3636" i="1"/>
  <c r="AW3635" i="1"/>
  <c r="AV3635" i="1"/>
  <c r="AW3634" i="1"/>
  <c r="AV3634" i="1"/>
  <c r="AW3633" i="1"/>
  <c r="AV3633" i="1"/>
  <c r="AU3633" i="1"/>
  <c r="AW3632" i="1"/>
  <c r="AV3632" i="1"/>
  <c r="AW3631" i="1"/>
  <c r="AV3631" i="1"/>
  <c r="AW3630" i="1"/>
  <c r="AV3630" i="1"/>
  <c r="AU3630" i="1"/>
  <c r="AW3629" i="1"/>
  <c r="AV3629" i="1"/>
  <c r="AW3628" i="1"/>
  <c r="AV3628" i="1"/>
  <c r="AW3627" i="1"/>
  <c r="AV3627" i="1"/>
  <c r="AW3626" i="1"/>
  <c r="AV3626" i="1"/>
  <c r="AW3625" i="1"/>
  <c r="AV3625" i="1"/>
  <c r="AW3624" i="1"/>
  <c r="AV3624" i="1"/>
  <c r="AW3623" i="1"/>
  <c r="AV3623" i="1"/>
  <c r="AW3622" i="1"/>
  <c r="AV3622" i="1"/>
  <c r="AW3621" i="1"/>
  <c r="AV3621" i="1"/>
  <c r="AW3620" i="1"/>
  <c r="AV3620" i="1"/>
  <c r="AW3619" i="1"/>
  <c r="AV3619" i="1"/>
  <c r="AU3619" i="1"/>
  <c r="AW3618" i="1"/>
  <c r="AV3618" i="1"/>
  <c r="AU3618" i="1"/>
  <c r="AW3617" i="1"/>
  <c r="AV3617" i="1"/>
  <c r="AW3616" i="1"/>
  <c r="AV3616" i="1"/>
  <c r="AW3615" i="1"/>
  <c r="AV3615" i="1"/>
  <c r="AW3614" i="1"/>
  <c r="AV3614" i="1"/>
  <c r="AW3613" i="1"/>
  <c r="AV3613" i="1"/>
  <c r="AW3612" i="1"/>
  <c r="AV3612" i="1"/>
  <c r="AU3612" i="1"/>
  <c r="AW3611" i="1"/>
  <c r="AV3611" i="1"/>
  <c r="AW3610" i="1"/>
  <c r="AV3610" i="1"/>
  <c r="AW3609" i="1"/>
  <c r="AV3609" i="1"/>
  <c r="AW3608" i="1"/>
  <c r="AV3608" i="1"/>
  <c r="AW3607" i="1"/>
  <c r="AV3607" i="1"/>
  <c r="AW3606" i="1"/>
  <c r="AV3606" i="1"/>
  <c r="AU3606" i="1"/>
  <c r="AW3605" i="1"/>
  <c r="AV3605" i="1"/>
  <c r="AW3604" i="1"/>
  <c r="AV3604" i="1"/>
  <c r="AW3603" i="1"/>
  <c r="AV3603" i="1"/>
  <c r="AW3602" i="1"/>
  <c r="AV3602" i="1"/>
  <c r="AW3601" i="1"/>
  <c r="AV3601" i="1"/>
  <c r="AU3601" i="1"/>
  <c r="AW3600" i="1"/>
  <c r="AV3600" i="1"/>
  <c r="AU3600" i="1"/>
  <c r="AW3599" i="1"/>
  <c r="AV3599" i="1"/>
  <c r="AW3598" i="1"/>
  <c r="AV3598" i="1"/>
  <c r="AU3598" i="1"/>
  <c r="AW3597" i="1"/>
  <c r="AV3597" i="1"/>
  <c r="AU3597" i="1"/>
  <c r="AW3596" i="1"/>
  <c r="AV3596" i="1"/>
  <c r="AW3595" i="1"/>
  <c r="AV3595" i="1"/>
  <c r="AW3594" i="1"/>
  <c r="AV3594" i="1"/>
  <c r="AW3593" i="1"/>
  <c r="AV3593" i="1"/>
  <c r="AW3592" i="1"/>
  <c r="AV3592" i="1"/>
  <c r="AW3591" i="1"/>
  <c r="AV3591" i="1"/>
  <c r="AW3590" i="1"/>
  <c r="AV3590" i="1"/>
  <c r="AW3589" i="1"/>
  <c r="AV3589" i="1"/>
  <c r="AW3588" i="1"/>
  <c r="AV3588" i="1"/>
  <c r="AW3587" i="1"/>
  <c r="AV3587" i="1"/>
  <c r="AW3586" i="1"/>
  <c r="AV3586" i="1"/>
  <c r="AW3585" i="1"/>
  <c r="AV3585" i="1"/>
  <c r="AW3584" i="1"/>
  <c r="AV3584" i="1"/>
  <c r="AW3583" i="1"/>
  <c r="AV3583" i="1"/>
  <c r="AW3582" i="1"/>
  <c r="AV3582" i="1"/>
  <c r="AW3581" i="1"/>
  <c r="AV3581" i="1"/>
  <c r="AW3580" i="1"/>
  <c r="AV3580" i="1"/>
  <c r="AW3579" i="1"/>
  <c r="AV3579" i="1"/>
  <c r="AW3578" i="1"/>
  <c r="AV3578" i="1"/>
  <c r="AW3577" i="1"/>
  <c r="AV3577" i="1"/>
  <c r="AW3576" i="1"/>
  <c r="AV3576" i="1"/>
  <c r="AW3575" i="1"/>
  <c r="AV3575" i="1"/>
  <c r="AW3574" i="1"/>
  <c r="AV3574" i="1"/>
  <c r="AW3573" i="1"/>
  <c r="AV3573" i="1"/>
  <c r="AW3572" i="1"/>
  <c r="AV3572" i="1"/>
  <c r="AW3571" i="1"/>
  <c r="AV3571" i="1"/>
  <c r="AW3549" i="1"/>
  <c r="AV3549" i="1"/>
  <c r="AU3549" i="1"/>
  <c r="AW3548" i="1"/>
  <c r="AV3548" i="1"/>
  <c r="AU3548" i="1"/>
  <c r="AW3547" i="1"/>
  <c r="AV3547" i="1"/>
  <c r="AU3547" i="1"/>
  <c r="AW3546" i="1"/>
  <c r="AV3546" i="1"/>
  <c r="AU3546" i="1"/>
  <c r="AW3570" i="1"/>
  <c r="AV3570" i="1"/>
  <c r="AW3569" i="1"/>
  <c r="AV3569" i="1"/>
  <c r="AW3568" i="1"/>
  <c r="AV3568" i="1"/>
  <c r="AW3567" i="1"/>
  <c r="AV3567" i="1"/>
  <c r="AW3566" i="1"/>
  <c r="AV3566" i="1"/>
  <c r="AU3566" i="1"/>
  <c r="AW3565" i="1"/>
  <c r="AV3565" i="1"/>
  <c r="AW3564" i="1"/>
  <c r="AV3564" i="1"/>
  <c r="AW3563" i="1"/>
  <c r="AV3563" i="1"/>
  <c r="AW3562" i="1"/>
  <c r="AV3562" i="1"/>
  <c r="AW3561" i="1"/>
  <c r="AV3561" i="1"/>
  <c r="AU3561" i="1"/>
  <c r="AW3560" i="1"/>
  <c r="AV3560" i="1"/>
  <c r="AU3560" i="1"/>
  <c r="AW3559" i="1"/>
  <c r="AV3559" i="1"/>
  <c r="AW3558" i="1"/>
  <c r="AV3558" i="1"/>
  <c r="AU3558" i="1"/>
  <c r="AW3557" i="1"/>
  <c r="AV3557" i="1"/>
  <c r="AU3557" i="1"/>
  <c r="AW3556" i="1"/>
  <c r="AV3556" i="1"/>
  <c r="AW3555" i="1"/>
  <c r="AV3555" i="1"/>
  <c r="AU3555" i="1"/>
  <c r="AW3554" i="1"/>
  <c r="AV3554" i="1"/>
  <c r="AU3554" i="1"/>
  <c r="AW3553" i="1"/>
  <c r="AV3553" i="1"/>
  <c r="AU3553" i="1"/>
  <c r="AW3552" i="1"/>
  <c r="AV3552" i="1"/>
  <c r="AU3552" i="1"/>
  <c r="AW3551" i="1"/>
  <c r="AV3551" i="1"/>
  <c r="AU3551" i="1"/>
  <c r="AW3550" i="1"/>
  <c r="AV3550" i="1"/>
  <c r="AU3550" i="1"/>
  <c r="AW3545" i="1"/>
  <c r="AV3545" i="1"/>
  <c r="AW3544" i="1"/>
  <c r="AV3544" i="1"/>
  <c r="AW3543" i="1"/>
  <c r="AV3543" i="1"/>
  <c r="AW3542" i="1"/>
  <c r="AV3542" i="1"/>
  <c r="AU3542" i="1"/>
  <c r="AW3541" i="1"/>
  <c r="AV3541" i="1"/>
  <c r="AU3541" i="1"/>
  <c r="AW3540" i="1"/>
  <c r="AV3540" i="1"/>
  <c r="AU3540" i="1"/>
  <c r="AW3539" i="1"/>
  <c r="AV3539" i="1"/>
  <c r="AW3538" i="1"/>
  <c r="AV3538" i="1"/>
  <c r="AU3538" i="1"/>
  <c r="AW3537" i="1"/>
  <c r="AV3537" i="1"/>
  <c r="AU3537" i="1"/>
  <c r="AW3536" i="1"/>
  <c r="AV3536" i="1"/>
  <c r="AU3536" i="1"/>
  <c r="AW3535" i="1"/>
  <c r="AV3535" i="1"/>
  <c r="AU3535" i="1"/>
  <c r="AW3534" i="1"/>
  <c r="AV3534" i="1"/>
  <c r="AU3534" i="1"/>
  <c r="AW3533" i="1"/>
  <c r="AV3533" i="1"/>
  <c r="AU3533" i="1"/>
  <c r="AW3532" i="1"/>
  <c r="AV3532" i="1"/>
  <c r="AW3531" i="1"/>
  <c r="AV3531" i="1"/>
  <c r="AW3530" i="1"/>
  <c r="AV3530" i="1"/>
  <c r="AW3529" i="1"/>
  <c r="AV3529" i="1"/>
  <c r="AW3528" i="1"/>
  <c r="AV3528" i="1"/>
  <c r="AW3527" i="1"/>
  <c r="AV3527" i="1"/>
  <c r="AW3526" i="1"/>
  <c r="AV3526" i="1"/>
  <c r="AW3525" i="1"/>
  <c r="AV3525" i="1"/>
  <c r="AW3524" i="1"/>
  <c r="AV3524" i="1"/>
  <c r="AW3523" i="1"/>
  <c r="AV3523" i="1"/>
  <c r="AW3522" i="1"/>
  <c r="AV3522" i="1"/>
  <c r="AW3521" i="1"/>
  <c r="AV3521" i="1"/>
  <c r="AW3520" i="1"/>
  <c r="AV3520" i="1"/>
  <c r="AW3519" i="1"/>
  <c r="AV3519" i="1"/>
  <c r="AW3518" i="1"/>
  <c r="AV3518" i="1"/>
  <c r="AW3517" i="1"/>
  <c r="AV3517" i="1"/>
  <c r="AW3516" i="1"/>
  <c r="AV3516" i="1"/>
  <c r="AW3515" i="1"/>
  <c r="AV3515" i="1"/>
  <c r="AU3515" i="1"/>
  <c r="AW3514" i="1"/>
  <c r="AV3514" i="1"/>
  <c r="AW3513" i="1"/>
  <c r="AV3513" i="1"/>
  <c r="AW3512" i="1"/>
  <c r="AV3512" i="1"/>
  <c r="AW3511" i="1"/>
  <c r="AV3511" i="1"/>
  <c r="AU3511" i="1"/>
  <c r="AW3510" i="1"/>
  <c r="AV3510" i="1"/>
  <c r="AU3510" i="1"/>
  <c r="AW3509" i="1"/>
  <c r="AV3509" i="1"/>
  <c r="AW3508" i="1"/>
  <c r="AV3508" i="1"/>
  <c r="AW3507" i="1"/>
  <c r="AV3507" i="1"/>
  <c r="AU3507" i="1"/>
  <c r="AW3506" i="1"/>
  <c r="AV3506" i="1"/>
  <c r="AW3505" i="1"/>
  <c r="AV3505" i="1"/>
  <c r="AW3504" i="1"/>
  <c r="AV3504" i="1"/>
  <c r="AU3504" i="1"/>
  <c r="AW3503" i="1"/>
  <c r="AV3503" i="1"/>
  <c r="AU3503" i="1"/>
  <c r="AW3502" i="1"/>
  <c r="AV3502" i="1"/>
  <c r="AU3502" i="1"/>
  <c r="AW3501" i="1"/>
  <c r="AV3501" i="1"/>
  <c r="AW3500" i="1"/>
  <c r="AV3500" i="1"/>
  <c r="AU3500" i="1"/>
  <c r="AW3499" i="1"/>
  <c r="AV3499" i="1"/>
  <c r="AU3499" i="1"/>
  <c r="AW3498" i="1"/>
  <c r="AV3498" i="1"/>
  <c r="AU3498" i="1"/>
  <c r="AW3497" i="1"/>
  <c r="AV3497" i="1"/>
  <c r="AU3497" i="1"/>
  <c r="AW3496" i="1"/>
  <c r="AV3496" i="1"/>
  <c r="AU3496" i="1"/>
  <c r="AW3495" i="1"/>
  <c r="AV3495" i="1"/>
  <c r="AU3495" i="1"/>
  <c r="AW3494" i="1"/>
  <c r="AV3494" i="1"/>
  <c r="AW3493" i="1"/>
  <c r="AV3493" i="1"/>
  <c r="AU3493" i="1"/>
  <c r="AW3492" i="1"/>
  <c r="AV3492" i="1"/>
  <c r="AW3491" i="1"/>
  <c r="AV3491" i="1"/>
  <c r="AW3490" i="1"/>
  <c r="AV3490" i="1"/>
  <c r="AW3489" i="1"/>
  <c r="AV3489" i="1"/>
  <c r="AW3488" i="1"/>
  <c r="AV3488" i="1"/>
  <c r="AU3488" i="1"/>
  <c r="AW3487" i="1"/>
  <c r="AV3487" i="1"/>
  <c r="AW3486" i="1"/>
  <c r="AV3486" i="1"/>
  <c r="AW3485" i="1"/>
  <c r="AV3485" i="1"/>
  <c r="AW3484" i="1"/>
  <c r="AV3484" i="1"/>
  <c r="AU3484" i="1"/>
  <c r="AW3478" i="1"/>
  <c r="AV3478" i="1"/>
  <c r="AU3478" i="1"/>
  <c r="AW3477" i="1"/>
  <c r="AV3477" i="1"/>
  <c r="AW3476" i="1"/>
  <c r="AV3476" i="1"/>
  <c r="AW3475" i="1"/>
  <c r="AV3475" i="1"/>
  <c r="AW3474" i="1"/>
  <c r="AV3474" i="1"/>
  <c r="AU3474" i="1"/>
  <c r="AW3473" i="1"/>
  <c r="AV3473" i="1"/>
  <c r="AW3472" i="1"/>
  <c r="AV3472" i="1"/>
  <c r="AU3472" i="1"/>
  <c r="AW3471" i="1"/>
  <c r="AV3471" i="1"/>
  <c r="AU3471" i="1"/>
  <c r="AW3470" i="1"/>
  <c r="AV3470" i="1"/>
  <c r="AU3470" i="1"/>
  <c r="AW3469" i="1"/>
  <c r="AV3469" i="1"/>
  <c r="AW3468" i="1"/>
  <c r="AV3468" i="1"/>
  <c r="AU3468" i="1"/>
  <c r="AW3467" i="1"/>
  <c r="AV3467" i="1"/>
  <c r="AU3467" i="1"/>
  <c r="AW3466" i="1"/>
  <c r="AV3466" i="1"/>
  <c r="AU3466" i="1"/>
  <c r="AW3465" i="1"/>
  <c r="AV3465" i="1"/>
  <c r="AW3464" i="1"/>
  <c r="AV3464" i="1"/>
  <c r="AU3464" i="1"/>
  <c r="AW3463" i="1"/>
  <c r="AV3463" i="1"/>
  <c r="AW3462" i="1"/>
  <c r="AV3462" i="1"/>
  <c r="AW3461" i="1"/>
  <c r="AV3461" i="1"/>
  <c r="AU3461" i="1"/>
  <c r="AW3460" i="1"/>
  <c r="AV3460" i="1"/>
  <c r="AU3460" i="1"/>
  <c r="AW3459" i="1"/>
  <c r="AV3459" i="1"/>
  <c r="AW3458" i="1"/>
  <c r="AV3458" i="1"/>
  <c r="AU3458" i="1"/>
  <c r="AW3457" i="1"/>
  <c r="AV3457" i="1"/>
  <c r="AW3456" i="1"/>
  <c r="AV3456" i="1"/>
  <c r="AW3455" i="1"/>
  <c r="AV3455" i="1"/>
  <c r="AU3455" i="1"/>
  <c r="AW3454" i="1"/>
  <c r="AV3454" i="1"/>
  <c r="AW3453" i="1"/>
  <c r="AV3453" i="1"/>
  <c r="AW3452" i="1"/>
  <c r="AV3452" i="1"/>
  <c r="AW3451" i="1"/>
  <c r="AV3451" i="1"/>
  <c r="AW3450" i="1"/>
  <c r="AV3450" i="1"/>
  <c r="AW3449" i="1"/>
  <c r="AV3449" i="1"/>
  <c r="AU3449" i="1"/>
  <c r="AW3448" i="1"/>
  <c r="AV3448" i="1"/>
  <c r="AU3448" i="1"/>
  <c r="AW3447" i="1"/>
  <c r="AV3447" i="1"/>
  <c r="AW3446" i="1"/>
  <c r="AV3446" i="1"/>
  <c r="AW3445" i="1"/>
  <c r="AV3445" i="1"/>
  <c r="AU3445" i="1"/>
  <c r="AW3444" i="1"/>
  <c r="AV3444" i="1"/>
  <c r="AW3443" i="1"/>
  <c r="AV3443" i="1"/>
  <c r="AU3443" i="1"/>
  <c r="AW3442" i="1"/>
  <c r="AV3442" i="1"/>
  <c r="AU3442" i="1"/>
  <c r="AW3441" i="1"/>
  <c r="AV3441" i="1"/>
  <c r="AW3440" i="1"/>
  <c r="AV3440" i="1"/>
  <c r="AW3439" i="1"/>
  <c r="AV3439" i="1"/>
  <c r="AW3438" i="1"/>
  <c r="AV3438" i="1"/>
  <c r="AU3438" i="1"/>
  <c r="AW3437" i="1"/>
  <c r="AV3437" i="1"/>
  <c r="AW3436" i="1"/>
  <c r="AV3436" i="1"/>
  <c r="AW3435" i="1"/>
  <c r="AV3435" i="1"/>
  <c r="AW3434" i="1"/>
  <c r="AV3434" i="1"/>
  <c r="AU3434" i="1"/>
  <c r="AW3433" i="1"/>
  <c r="AV3433" i="1"/>
  <c r="AU3433" i="1"/>
  <c r="AW3432" i="1"/>
  <c r="AV3432" i="1"/>
  <c r="AW3431" i="1"/>
  <c r="AV3431" i="1"/>
  <c r="AU3431" i="1"/>
  <c r="AW3430" i="1"/>
  <c r="AV3430" i="1"/>
  <c r="AW3429" i="1"/>
  <c r="AV3429" i="1"/>
  <c r="AW3428" i="1"/>
  <c r="AV3428" i="1"/>
  <c r="AW3427" i="1"/>
  <c r="AV3427" i="1"/>
  <c r="AW3423" i="1"/>
  <c r="AV3423" i="1"/>
  <c r="AU3423" i="1"/>
  <c r="AW3422" i="1"/>
  <c r="AV3422" i="1"/>
  <c r="AU3422" i="1"/>
  <c r="AW3421" i="1"/>
  <c r="AV3421" i="1"/>
  <c r="AU3421" i="1"/>
  <c r="AW3420" i="1"/>
  <c r="AV3420" i="1"/>
  <c r="AU3420" i="1"/>
  <c r="AW3419" i="1"/>
  <c r="AV3419" i="1"/>
  <c r="AU3419" i="1"/>
  <c r="AW3418" i="1"/>
  <c r="AV3418" i="1"/>
  <c r="AU3418" i="1"/>
  <c r="AW3417" i="1"/>
  <c r="AV3417" i="1"/>
  <c r="AU3417" i="1"/>
  <c r="AW3416" i="1"/>
  <c r="AV3416" i="1"/>
  <c r="AU3416" i="1"/>
  <c r="AW3415" i="1"/>
  <c r="AV3415" i="1"/>
  <c r="AU3415" i="1"/>
  <c r="AW3414" i="1"/>
  <c r="AV3414" i="1"/>
  <c r="AU3414" i="1"/>
  <c r="AW3413" i="1"/>
  <c r="AV3413" i="1"/>
  <c r="AU3413" i="1"/>
  <c r="AW3412" i="1"/>
  <c r="AV3412" i="1"/>
  <c r="AU3412" i="1"/>
  <c r="AW3426" i="1"/>
  <c r="AV3426" i="1"/>
  <c r="AW3425" i="1"/>
  <c r="AV3425" i="1"/>
  <c r="AW3424" i="1"/>
  <c r="AV3424" i="1"/>
  <c r="AU3424" i="1"/>
  <c r="AW3411" i="1"/>
  <c r="AV3411" i="1"/>
  <c r="AU3411" i="1"/>
  <c r="AW3410" i="1"/>
  <c r="AV3410" i="1"/>
  <c r="AW3409" i="1"/>
  <c r="AV3409" i="1"/>
  <c r="AW3408" i="1"/>
  <c r="AV3408" i="1"/>
  <c r="AU3408" i="1"/>
  <c r="AW3407" i="1"/>
  <c r="AV3407" i="1"/>
  <c r="AW3406" i="1"/>
  <c r="AV3406" i="1"/>
  <c r="AW3405" i="1"/>
  <c r="AV3405" i="1"/>
  <c r="AU3405" i="1"/>
  <c r="AW3404" i="1"/>
  <c r="AV3404" i="1"/>
  <c r="AU3404" i="1"/>
  <c r="AW3403" i="1"/>
  <c r="AV3403" i="1"/>
  <c r="AW3402" i="1"/>
  <c r="AV3402" i="1"/>
  <c r="AW3401" i="1"/>
  <c r="AV3401" i="1"/>
  <c r="AW3400" i="1"/>
  <c r="AV3400" i="1"/>
  <c r="AW3399" i="1"/>
  <c r="AV3399" i="1"/>
  <c r="AW3385" i="1"/>
  <c r="AV3385" i="1"/>
  <c r="AU3385" i="1"/>
  <c r="AW3398" i="1"/>
  <c r="AV3398" i="1"/>
  <c r="AW3397" i="1"/>
  <c r="AV3397" i="1"/>
  <c r="AW3396" i="1"/>
  <c r="AV3396" i="1"/>
  <c r="AU3396" i="1"/>
  <c r="AW3395" i="1"/>
  <c r="AV3395" i="1"/>
  <c r="AW3394" i="1"/>
  <c r="AV3394" i="1"/>
  <c r="AU3394" i="1"/>
  <c r="AW3393" i="1"/>
  <c r="AV3393" i="1"/>
  <c r="AW3392" i="1"/>
  <c r="AV3392" i="1"/>
  <c r="AW3391" i="1"/>
  <c r="AV3391" i="1"/>
  <c r="AW3390" i="1"/>
  <c r="AV3390" i="1"/>
  <c r="AW3389" i="1"/>
  <c r="AV3389" i="1"/>
  <c r="AW3388" i="1"/>
  <c r="AV3388" i="1"/>
  <c r="AW3387" i="1"/>
  <c r="AV3387" i="1"/>
  <c r="AW3386" i="1"/>
  <c r="AV3386" i="1"/>
  <c r="AW3384" i="1"/>
  <c r="AV3384" i="1"/>
  <c r="AU3384" i="1"/>
  <c r="AW3383" i="1"/>
  <c r="AV3383" i="1"/>
  <c r="AU3383" i="1"/>
  <c r="AW3382" i="1"/>
  <c r="AV3382" i="1"/>
  <c r="AU3382" i="1"/>
  <c r="AW3381" i="1"/>
  <c r="AV3381" i="1"/>
  <c r="AW3380" i="1"/>
  <c r="AV3380" i="1"/>
  <c r="AW3379" i="1"/>
  <c r="AV3379" i="1"/>
  <c r="AU3379" i="1"/>
  <c r="AW3378" i="1"/>
  <c r="AV3378" i="1"/>
  <c r="AU3378" i="1"/>
  <c r="AW3377" i="1"/>
  <c r="AV3377" i="1"/>
  <c r="AU3377" i="1"/>
  <c r="AW3376" i="1"/>
  <c r="AV3376" i="1"/>
  <c r="AU3376" i="1"/>
  <c r="AW3375" i="1"/>
  <c r="AV3375" i="1"/>
  <c r="AU3375" i="1"/>
  <c r="AW3374" i="1"/>
  <c r="AV3374" i="1"/>
  <c r="AU3374" i="1"/>
  <c r="AW3373" i="1"/>
  <c r="AV3373" i="1"/>
  <c r="AU3373" i="1"/>
  <c r="AW3372" i="1"/>
  <c r="AV3372" i="1"/>
  <c r="AW3359" i="1"/>
  <c r="AV3359" i="1"/>
  <c r="AW3358" i="1"/>
  <c r="AV3358" i="1"/>
  <c r="AW3357" i="1"/>
  <c r="AV3357" i="1"/>
  <c r="AW3356" i="1"/>
  <c r="AV3356" i="1"/>
  <c r="AW3355" i="1"/>
  <c r="AV3355" i="1"/>
  <c r="AW3354" i="1"/>
  <c r="AV3354" i="1"/>
  <c r="AW3353" i="1"/>
  <c r="AV3353" i="1"/>
  <c r="AW3352" i="1"/>
  <c r="AV3352" i="1"/>
  <c r="AW3371" i="1"/>
  <c r="AV3371" i="1"/>
  <c r="AU3371" i="1"/>
  <c r="AW3370" i="1"/>
  <c r="AV3370" i="1"/>
  <c r="AW3369" i="1"/>
  <c r="AV3369" i="1"/>
  <c r="AW3368" i="1"/>
  <c r="AV3368" i="1"/>
  <c r="AU3368" i="1"/>
  <c r="AW3367" i="1"/>
  <c r="AV3367" i="1"/>
  <c r="AW3366" i="1"/>
  <c r="AV3366" i="1"/>
  <c r="AU3366" i="1"/>
  <c r="AW3365" i="1"/>
  <c r="AV3365" i="1"/>
  <c r="AU3365" i="1"/>
  <c r="AW3364" i="1"/>
  <c r="AV3364" i="1"/>
  <c r="AU3364" i="1"/>
  <c r="AW3363" i="1"/>
  <c r="AV3363" i="1"/>
  <c r="AU3363" i="1"/>
  <c r="AW3362" i="1"/>
  <c r="AV3362" i="1"/>
  <c r="AU3362" i="1"/>
  <c r="AW3361" i="1"/>
  <c r="AV3361" i="1"/>
  <c r="AW3360" i="1"/>
  <c r="AV3360" i="1"/>
  <c r="AW3351" i="1"/>
  <c r="AV3351" i="1"/>
  <c r="AU3351" i="1"/>
  <c r="AW3350" i="1"/>
  <c r="AV3350" i="1"/>
  <c r="AW3349" i="1"/>
  <c r="AV3349" i="1"/>
  <c r="AU3349" i="1"/>
  <c r="AW3348" i="1"/>
  <c r="AV3348" i="1"/>
  <c r="AW3347" i="1"/>
  <c r="AV3347" i="1"/>
  <c r="AW3346" i="1"/>
  <c r="AV3346" i="1"/>
  <c r="AW3345" i="1"/>
  <c r="AV3345" i="1"/>
  <c r="AW3344" i="1"/>
  <c r="AV3344" i="1"/>
  <c r="AU3344" i="1"/>
  <c r="AW3343" i="1"/>
  <c r="AV3343" i="1"/>
  <c r="AW3342" i="1"/>
  <c r="AV3342" i="1"/>
  <c r="AW3341" i="1"/>
  <c r="AV3341" i="1"/>
  <c r="AU3341" i="1"/>
  <c r="AW3340" i="1"/>
  <c r="AV3340" i="1"/>
  <c r="AU3340" i="1"/>
  <c r="AW3339" i="1"/>
  <c r="AV3339" i="1"/>
  <c r="AU3339" i="1"/>
  <c r="AW3338" i="1"/>
  <c r="AV3338" i="1"/>
  <c r="AU3338" i="1"/>
  <c r="AW3337" i="1"/>
  <c r="AV3337" i="1"/>
  <c r="AU3337" i="1"/>
  <c r="AW3336" i="1"/>
  <c r="AV3336" i="1"/>
  <c r="AW3335" i="1"/>
  <c r="AV3335" i="1"/>
  <c r="AW3334" i="1"/>
  <c r="AV3334" i="1"/>
  <c r="AU3334" i="1"/>
  <c r="AW3333" i="1"/>
  <c r="AV3333" i="1"/>
  <c r="AU3333" i="1"/>
  <c r="AW3332" i="1"/>
  <c r="AV3332" i="1"/>
  <c r="AU3332" i="1"/>
  <c r="AW3331" i="1"/>
  <c r="AV3331" i="1"/>
  <c r="AU3331" i="1"/>
  <c r="AW3330" i="1"/>
  <c r="AV3330" i="1"/>
  <c r="AW3329" i="1"/>
  <c r="AV3329" i="1"/>
  <c r="AU3329" i="1"/>
  <c r="AW3328" i="1"/>
  <c r="AV3328" i="1"/>
  <c r="AU3328" i="1"/>
  <c r="AW3327" i="1"/>
  <c r="AV3327" i="1"/>
  <c r="AW3326" i="1"/>
  <c r="AV3326" i="1"/>
  <c r="AW3325" i="1"/>
  <c r="AV3325" i="1"/>
  <c r="AW3324" i="1"/>
  <c r="AV3324" i="1"/>
  <c r="AW3323" i="1"/>
  <c r="AV3323" i="1"/>
  <c r="AU3323" i="1"/>
  <c r="AW3322" i="1"/>
  <c r="AV3322" i="1"/>
  <c r="AW3321" i="1"/>
  <c r="AV3321" i="1"/>
  <c r="AU3321" i="1"/>
  <c r="AW3320" i="1"/>
  <c r="AV3320" i="1"/>
  <c r="AW3319" i="1"/>
  <c r="AV3319" i="1"/>
  <c r="AU3319" i="1"/>
  <c r="AW3318" i="1"/>
  <c r="AV3318" i="1"/>
  <c r="AU3318" i="1"/>
  <c r="AW3317" i="1"/>
  <c r="AV3317" i="1"/>
  <c r="AU3317" i="1"/>
  <c r="AW3316" i="1"/>
  <c r="AV3316" i="1"/>
  <c r="AU3316" i="1"/>
  <c r="AW3315" i="1"/>
  <c r="AV3315" i="1"/>
  <c r="AU3315" i="1"/>
  <c r="AW3313" i="1"/>
  <c r="AV3313" i="1"/>
  <c r="AW3312" i="1"/>
  <c r="AV3312" i="1"/>
  <c r="AW3311" i="1"/>
  <c r="AV3311" i="1"/>
  <c r="AW3310" i="1"/>
  <c r="AV3310" i="1"/>
  <c r="AW3309" i="1"/>
  <c r="AV3309" i="1"/>
  <c r="AW3308" i="1"/>
  <c r="AV3308" i="1"/>
  <c r="AW3314" i="1"/>
  <c r="AV3314" i="1"/>
  <c r="AU3314" i="1"/>
  <c r="AW3307" i="1"/>
  <c r="AV3307" i="1"/>
  <c r="AW3306" i="1"/>
  <c r="AV3306" i="1"/>
  <c r="AU3306" i="1"/>
  <c r="AW3305" i="1"/>
  <c r="AV3305" i="1"/>
  <c r="AU3305" i="1"/>
  <c r="AW3304" i="1"/>
  <c r="AV3304" i="1"/>
  <c r="AU3304" i="1"/>
  <c r="AW3303" i="1"/>
  <c r="AV3303" i="1"/>
  <c r="AW3302" i="1"/>
  <c r="AV3302" i="1"/>
  <c r="AW3301" i="1"/>
  <c r="AV3301" i="1"/>
  <c r="AW3300" i="1"/>
  <c r="AV3300" i="1"/>
  <c r="AW3299" i="1"/>
  <c r="AV3299" i="1"/>
  <c r="AW3298" i="1"/>
  <c r="AV3298" i="1"/>
  <c r="AW3297" i="1"/>
  <c r="AV3297" i="1"/>
  <c r="AW3296" i="1"/>
  <c r="AV3296" i="1"/>
  <c r="AU3296" i="1"/>
  <c r="AW3295" i="1"/>
  <c r="AV3295" i="1"/>
  <c r="AU3295" i="1"/>
  <c r="AW3294" i="1"/>
  <c r="AV3294" i="1"/>
  <c r="AW3293" i="1"/>
  <c r="AV3293" i="1"/>
  <c r="AW3292" i="1"/>
  <c r="AV3292" i="1"/>
  <c r="AW3291" i="1"/>
  <c r="AV3291" i="1"/>
  <c r="AU3291" i="1"/>
  <c r="AW3483" i="1"/>
  <c r="AV3483" i="1"/>
  <c r="AW3290" i="1"/>
  <c r="AV3290" i="1"/>
  <c r="AU3290" i="1"/>
  <c r="AW3289" i="1"/>
  <c r="AV3289" i="1"/>
  <c r="AU3289" i="1"/>
  <c r="AW3288" i="1"/>
  <c r="AV3288" i="1"/>
  <c r="AU3288" i="1"/>
  <c r="AW3287" i="1"/>
  <c r="AV3287" i="1"/>
  <c r="AU3287" i="1"/>
  <c r="AW3286" i="1"/>
  <c r="AV3286" i="1"/>
  <c r="AU3286" i="1"/>
  <c r="AW3285" i="1"/>
  <c r="AV3285" i="1"/>
  <c r="AW3284" i="1"/>
  <c r="AV3284" i="1"/>
  <c r="AW3283" i="1"/>
  <c r="AV3283" i="1"/>
  <c r="AW3282" i="1"/>
  <c r="AV3282" i="1"/>
  <c r="AW3281" i="1"/>
  <c r="AV3281" i="1"/>
  <c r="AW3280" i="1"/>
  <c r="AV3280" i="1"/>
  <c r="AU3280" i="1"/>
  <c r="AW3279" i="1"/>
  <c r="AV3279" i="1"/>
  <c r="AU3279" i="1"/>
  <c r="AW3278" i="1"/>
  <c r="AV3278" i="1"/>
  <c r="AU3278" i="1"/>
  <c r="AW3277" i="1"/>
  <c r="AV3277" i="1"/>
  <c r="AU3277" i="1"/>
  <c r="AW3276" i="1"/>
  <c r="AV3276" i="1"/>
  <c r="AU3276" i="1"/>
  <c r="AW3275" i="1"/>
  <c r="AV3275" i="1"/>
  <c r="AU3275" i="1"/>
  <c r="AW3274" i="1"/>
  <c r="AV3274" i="1"/>
  <c r="AU3274" i="1"/>
  <c r="AW3273" i="1"/>
  <c r="AV3273" i="1"/>
  <c r="AU3273" i="1"/>
  <c r="AW3272" i="1"/>
  <c r="AV3272" i="1"/>
  <c r="AW3271" i="1"/>
  <c r="AV3271" i="1"/>
  <c r="AW3270" i="1"/>
  <c r="AV3270" i="1"/>
  <c r="AU3270" i="1"/>
  <c r="AW3269" i="1"/>
  <c r="AV3269" i="1"/>
  <c r="AU3269" i="1"/>
  <c r="AW3268" i="1"/>
  <c r="AV3268" i="1"/>
  <c r="AU3268" i="1"/>
  <c r="AW3267" i="1"/>
  <c r="AV3267" i="1"/>
  <c r="AU3267" i="1"/>
  <c r="AW3266" i="1"/>
  <c r="AV3266" i="1"/>
  <c r="AU3266" i="1"/>
  <c r="AW3265" i="1"/>
  <c r="AV3265" i="1"/>
  <c r="AU3265" i="1"/>
  <c r="AW3120" i="1"/>
  <c r="AV3120" i="1"/>
  <c r="AU3120" i="1"/>
  <c r="AW3119" i="1"/>
  <c r="AV3119" i="1"/>
  <c r="AU3119" i="1"/>
  <c r="AW3264" i="1"/>
  <c r="AV3264" i="1"/>
  <c r="AU3264" i="1"/>
  <c r="AW3263" i="1"/>
  <c r="AV3263" i="1"/>
  <c r="AU3263" i="1"/>
  <c r="AW3262" i="1"/>
  <c r="AV3262" i="1"/>
  <c r="AW3261" i="1"/>
  <c r="AV3261" i="1"/>
  <c r="AU3261" i="1"/>
  <c r="AW3260" i="1"/>
  <c r="AV3260" i="1"/>
  <c r="AU3260" i="1"/>
  <c r="AW3259" i="1"/>
  <c r="AV3259" i="1"/>
  <c r="AU3259" i="1"/>
  <c r="AW3258" i="1"/>
  <c r="AV3258" i="1"/>
  <c r="AW3257" i="1"/>
  <c r="AV3257" i="1"/>
  <c r="AW3256" i="1"/>
  <c r="AV3256" i="1"/>
  <c r="AU3256" i="1"/>
  <c r="AW3255" i="1"/>
  <c r="AV3255" i="1"/>
  <c r="AU3255" i="1"/>
  <c r="AW3254" i="1"/>
  <c r="AV3254" i="1"/>
  <c r="AW3253" i="1"/>
  <c r="AV3253" i="1"/>
  <c r="AU3253" i="1"/>
  <c r="AW3252" i="1"/>
  <c r="AV3252" i="1"/>
  <c r="AU3252" i="1"/>
  <c r="AW3251" i="1"/>
  <c r="AV3251" i="1"/>
  <c r="AW3250" i="1"/>
  <c r="AV3250" i="1"/>
  <c r="AU3250" i="1"/>
  <c r="AW3249" i="1"/>
  <c r="AV3249" i="1"/>
  <c r="AW3248" i="1"/>
  <c r="AV3248" i="1"/>
  <c r="AW3247" i="1"/>
  <c r="AV3247" i="1"/>
  <c r="AU3247" i="1"/>
  <c r="AW3246" i="1"/>
  <c r="AV3246" i="1"/>
  <c r="AU3246" i="1"/>
  <c r="AW3245" i="1"/>
  <c r="AV3245" i="1"/>
  <c r="AU3245" i="1"/>
  <c r="AW3244" i="1"/>
  <c r="AV3244" i="1"/>
  <c r="AW3243" i="1"/>
  <c r="AV3243" i="1"/>
  <c r="AW3242" i="1"/>
  <c r="AV3242" i="1"/>
  <c r="AW3241" i="1"/>
  <c r="AV3241" i="1"/>
  <c r="AW3240" i="1"/>
  <c r="AV3240" i="1"/>
  <c r="AW3239" i="1"/>
  <c r="AV3239" i="1"/>
  <c r="AU3239" i="1"/>
  <c r="AW3238" i="1"/>
  <c r="AV3238" i="1"/>
  <c r="AU3238" i="1"/>
  <c r="AW3237" i="1"/>
  <c r="AV3237" i="1"/>
  <c r="AW3236" i="1"/>
  <c r="AV3236" i="1"/>
  <c r="AW3235" i="1"/>
  <c r="AV3235" i="1"/>
  <c r="AW3234" i="1"/>
  <c r="AV3234" i="1"/>
  <c r="AW3233" i="1"/>
  <c r="AV3233" i="1"/>
  <c r="AU3233" i="1"/>
  <c r="AW3232" i="1"/>
  <c r="AV3232" i="1"/>
  <c r="AU3232" i="1"/>
  <c r="AW3231" i="1"/>
  <c r="AV3231" i="1"/>
  <c r="AU3231" i="1"/>
  <c r="AW3230" i="1"/>
  <c r="AV3230" i="1"/>
  <c r="AU3230" i="1"/>
  <c r="AW3229" i="1"/>
  <c r="AV3229" i="1"/>
  <c r="AU3229" i="1"/>
  <c r="AW3228" i="1"/>
  <c r="AV3228" i="1"/>
  <c r="AU3228" i="1"/>
  <c r="AW3227" i="1"/>
  <c r="AV3227" i="1"/>
  <c r="AU3227" i="1"/>
  <c r="AW3226" i="1"/>
  <c r="AV3226" i="1"/>
  <c r="AW3225" i="1"/>
  <c r="AV3225" i="1"/>
  <c r="AW3224" i="1"/>
  <c r="AV3224" i="1"/>
  <c r="AU3224" i="1"/>
  <c r="AW3223" i="1"/>
  <c r="AV3223" i="1"/>
  <c r="AW3222" i="1"/>
  <c r="AV3222" i="1"/>
  <c r="AW3221" i="1"/>
  <c r="AV3221" i="1"/>
  <c r="AW3220" i="1"/>
  <c r="AV3220" i="1"/>
  <c r="AW3219" i="1"/>
  <c r="AV3219" i="1"/>
  <c r="AU3219" i="1"/>
  <c r="AW3218" i="1"/>
  <c r="AV3218" i="1"/>
  <c r="AU3218" i="1"/>
  <c r="AW3217" i="1"/>
  <c r="AV3217" i="1"/>
  <c r="AU3217" i="1"/>
  <c r="AW3216" i="1"/>
  <c r="AV3216" i="1"/>
  <c r="AU3216" i="1"/>
  <c r="AW3215" i="1"/>
  <c r="AV3215" i="1"/>
  <c r="AU3215" i="1"/>
  <c r="AW3214" i="1"/>
  <c r="AV3214" i="1"/>
  <c r="AW3213" i="1"/>
  <c r="AV3213" i="1"/>
  <c r="AU3213" i="1"/>
  <c r="AW3212" i="1"/>
  <c r="AV3212" i="1"/>
  <c r="AW3211" i="1"/>
  <c r="AV3211" i="1"/>
  <c r="AW3210" i="1"/>
  <c r="AV3210" i="1"/>
  <c r="AW3209" i="1"/>
  <c r="AV3209" i="1"/>
  <c r="AW3208" i="1"/>
  <c r="AV3208" i="1"/>
  <c r="AU3208" i="1"/>
  <c r="AW3207" i="1"/>
  <c r="AV3207" i="1"/>
  <c r="AW3206" i="1"/>
  <c r="AV3206" i="1"/>
  <c r="AW3205" i="1"/>
  <c r="AV3205" i="1"/>
  <c r="AW3204" i="1"/>
  <c r="AV3204" i="1"/>
  <c r="AW3203" i="1"/>
  <c r="AV3203" i="1"/>
  <c r="AW3202" i="1"/>
  <c r="AV3202" i="1"/>
  <c r="AU3202" i="1"/>
  <c r="AW3201" i="1"/>
  <c r="AV3201" i="1"/>
  <c r="AW3200" i="1"/>
  <c r="AV3200" i="1"/>
  <c r="AW3199" i="1"/>
  <c r="AV3199" i="1"/>
  <c r="AW3198" i="1"/>
  <c r="AV3198" i="1"/>
  <c r="AU3198" i="1"/>
  <c r="AW3197" i="1"/>
  <c r="AV3197" i="1"/>
  <c r="AW3196" i="1"/>
  <c r="AV3196" i="1"/>
  <c r="AU3196" i="1"/>
  <c r="AW3195" i="1"/>
  <c r="AV3195" i="1"/>
  <c r="AU3195" i="1"/>
  <c r="AW3194" i="1"/>
  <c r="AV3194" i="1"/>
  <c r="AW3193" i="1"/>
  <c r="AV3193" i="1"/>
  <c r="AW3192" i="1"/>
  <c r="AV3192" i="1"/>
  <c r="AU3192" i="1"/>
  <c r="AW3191" i="1"/>
  <c r="AV3191" i="1"/>
  <c r="AW3482" i="1"/>
  <c r="AV3482" i="1"/>
  <c r="AU3482" i="1"/>
  <c r="AW3190" i="1"/>
  <c r="AV3190" i="1"/>
  <c r="AU3190" i="1"/>
  <c r="AW3189" i="1"/>
  <c r="AV3189" i="1"/>
  <c r="AU3189" i="1"/>
  <c r="AW3188" i="1"/>
  <c r="AV3188" i="1"/>
  <c r="AU3188" i="1"/>
  <c r="AW3187" i="1"/>
  <c r="AV3187" i="1"/>
  <c r="AW3186" i="1"/>
  <c r="AV3186" i="1"/>
  <c r="AW3185" i="1"/>
  <c r="AV3185" i="1"/>
  <c r="AW3184" i="1"/>
  <c r="AV3184" i="1"/>
  <c r="AW3183" i="1"/>
  <c r="AV3183" i="1"/>
  <c r="AU3183" i="1"/>
  <c r="AW3182" i="1"/>
  <c r="AV3182" i="1"/>
  <c r="AU3182" i="1"/>
  <c r="AW3181" i="1"/>
  <c r="AV3181" i="1"/>
  <c r="AW3180" i="1"/>
  <c r="AV3180" i="1"/>
  <c r="AU3180" i="1"/>
  <c r="AW3179" i="1"/>
  <c r="AV3179" i="1"/>
  <c r="AW3178" i="1"/>
  <c r="AV3178" i="1"/>
  <c r="AU3178" i="1"/>
  <c r="AW3177" i="1"/>
  <c r="AV3177" i="1"/>
  <c r="AU3177" i="1"/>
  <c r="AW3176" i="1"/>
  <c r="AV3176" i="1"/>
  <c r="AU3176" i="1"/>
  <c r="AW3175" i="1"/>
  <c r="AV3175" i="1"/>
  <c r="AU3175" i="1"/>
  <c r="AW3174" i="1"/>
  <c r="AV3174" i="1"/>
  <c r="AU3174" i="1"/>
  <c r="AW3173" i="1"/>
  <c r="AV3173" i="1"/>
  <c r="AU3173" i="1"/>
  <c r="AW3172" i="1"/>
  <c r="AV3172" i="1"/>
  <c r="AU3172" i="1"/>
  <c r="AW3171" i="1"/>
  <c r="AV3171" i="1"/>
  <c r="AW3170" i="1"/>
  <c r="AV3170" i="1"/>
  <c r="AU3170" i="1"/>
  <c r="AW3169" i="1"/>
  <c r="AV3169" i="1"/>
  <c r="AW3168" i="1"/>
  <c r="AV3168" i="1"/>
  <c r="AU3168" i="1"/>
  <c r="AW3167" i="1"/>
  <c r="AV3167" i="1"/>
  <c r="AW3166" i="1"/>
  <c r="AV3166" i="1"/>
  <c r="AU3166" i="1"/>
  <c r="AW3165" i="1"/>
  <c r="AV3165" i="1"/>
  <c r="AU3165" i="1"/>
  <c r="AW3164" i="1"/>
  <c r="AV3164" i="1"/>
  <c r="AU3164" i="1"/>
  <c r="AW3163" i="1"/>
  <c r="AV3163" i="1"/>
  <c r="AW3162" i="1"/>
  <c r="AV3162" i="1"/>
  <c r="AW3161" i="1"/>
  <c r="AV3161" i="1"/>
  <c r="AW3160" i="1"/>
  <c r="AV3160" i="1"/>
  <c r="AU3160" i="1"/>
  <c r="AW3159" i="1"/>
  <c r="AV3159" i="1"/>
  <c r="AU3159" i="1"/>
  <c r="AW3158" i="1"/>
  <c r="AV3158" i="1"/>
  <c r="AU3158" i="1"/>
  <c r="AW3157" i="1"/>
  <c r="AV3157" i="1"/>
  <c r="AU3157" i="1"/>
  <c r="AW3156" i="1"/>
  <c r="AV3156" i="1"/>
  <c r="AU3156" i="1"/>
  <c r="AW3155" i="1"/>
  <c r="AV3155" i="1"/>
  <c r="AU3155" i="1"/>
  <c r="AW3154" i="1"/>
  <c r="AV3154" i="1"/>
  <c r="AU3154" i="1"/>
  <c r="AW3153" i="1"/>
  <c r="AV3153" i="1"/>
  <c r="AU3153" i="1"/>
  <c r="AW3152" i="1"/>
  <c r="AV3152" i="1"/>
  <c r="AU3152" i="1"/>
  <c r="AW3151" i="1"/>
  <c r="AV3151" i="1"/>
  <c r="AW3150" i="1"/>
  <c r="AV3150" i="1"/>
  <c r="AW3149" i="1"/>
  <c r="AV3149" i="1"/>
  <c r="AW3148" i="1"/>
  <c r="AV3148" i="1"/>
  <c r="AW3147" i="1"/>
  <c r="AV3147" i="1"/>
  <c r="AU3147" i="1"/>
  <c r="AW3146" i="1"/>
  <c r="AV3146" i="1"/>
  <c r="AU3146" i="1"/>
  <c r="AW3145" i="1"/>
  <c r="AV3145" i="1"/>
  <c r="AU3145" i="1"/>
  <c r="AW3144" i="1"/>
  <c r="AV3144" i="1"/>
  <c r="AW3143" i="1"/>
  <c r="AV3143" i="1"/>
  <c r="AW3142" i="1"/>
  <c r="AV3142" i="1"/>
  <c r="AU3142" i="1"/>
  <c r="AW3141" i="1"/>
  <c r="AV3141" i="1"/>
  <c r="AW3140" i="1"/>
  <c r="AV3140" i="1"/>
  <c r="AW3139" i="1"/>
  <c r="AV3139" i="1"/>
  <c r="AU3139" i="1"/>
  <c r="AW3138" i="1"/>
  <c r="AV3138" i="1"/>
  <c r="AU3138" i="1"/>
  <c r="AW3137" i="1"/>
  <c r="AV3137" i="1"/>
  <c r="AU3137" i="1"/>
  <c r="AW3136" i="1"/>
  <c r="AV3136" i="1"/>
  <c r="AU3136" i="1"/>
  <c r="AW3135" i="1"/>
  <c r="AV3135" i="1"/>
  <c r="AU3135" i="1"/>
  <c r="AW3134" i="1"/>
  <c r="AV3134" i="1"/>
  <c r="AU3134" i="1"/>
  <c r="AW3133" i="1"/>
  <c r="AV3133" i="1"/>
  <c r="AU3133" i="1"/>
  <c r="AW3132" i="1"/>
  <c r="AV3132" i="1"/>
  <c r="AU3132" i="1"/>
  <c r="AW3131" i="1"/>
  <c r="AV3131" i="1"/>
  <c r="AU3131" i="1"/>
  <c r="AW3130" i="1"/>
  <c r="AV3130" i="1"/>
  <c r="AU3130" i="1"/>
  <c r="AW3129" i="1"/>
  <c r="AV3129" i="1"/>
  <c r="AU3129" i="1"/>
  <c r="AW3128" i="1"/>
  <c r="AV3128" i="1"/>
  <c r="AW3127" i="1"/>
  <c r="AV3127" i="1"/>
  <c r="AU3127" i="1"/>
  <c r="AW3126" i="1"/>
  <c r="AV3126" i="1"/>
  <c r="AU3126" i="1"/>
  <c r="AW3125" i="1"/>
  <c r="AV3125" i="1"/>
  <c r="AU3125" i="1"/>
  <c r="AW3124" i="1"/>
  <c r="AV3124" i="1"/>
  <c r="AW3123" i="1"/>
  <c r="AV3123" i="1"/>
  <c r="AU3123" i="1"/>
  <c r="AW3122" i="1"/>
  <c r="AV3122" i="1"/>
  <c r="AU3122" i="1"/>
  <c r="AW3121" i="1"/>
  <c r="AV3121" i="1"/>
  <c r="AU3121" i="1"/>
  <c r="AW3118" i="1"/>
  <c r="AV3118" i="1"/>
  <c r="AU3118" i="1"/>
  <c r="AW3117" i="1"/>
  <c r="AV3117" i="1"/>
  <c r="AU3117" i="1"/>
  <c r="AW3116" i="1"/>
  <c r="AV3116" i="1"/>
  <c r="AW3115" i="1"/>
  <c r="AV3115" i="1"/>
  <c r="AU3115" i="1"/>
  <c r="AW3114" i="1"/>
  <c r="AV3114" i="1"/>
  <c r="AU3114" i="1"/>
  <c r="AW3113" i="1"/>
  <c r="AV3113" i="1"/>
  <c r="AU3113" i="1"/>
  <c r="AW3112" i="1"/>
  <c r="AV3112" i="1"/>
  <c r="AU3112" i="1"/>
  <c r="AW3111" i="1"/>
  <c r="AV3111" i="1"/>
  <c r="AU3111" i="1"/>
  <c r="AW3110" i="1"/>
  <c r="AV3110" i="1"/>
  <c r="AW3109" i="1"/>
  <c r="AV3109" i="1"/>
  <c r="AU3109" i="1"/>
  <c r="AW3108" i="1"/>
  <c r="AV3108" i="1"/>
  <c r="AU3108" i="1"/>
  <c r="AW3107" i="1"/>
  <c r="AV3107" i="1"/>
  <c r="AU3107" i="1"/>
  <c r="AW3106" i="1"/>
  <c r="AV3106" i="1"/>
  <c r="AW3105" i="1"/>
  <c r="AV3105" i="1"/>
  <c r="AU3105" i="1"/>
  <c r="AW3104" i="1"/>
  <c r="AV3104" i="1"/>
  <c r="AU3104" i="1"/>
  <c r="AW3103" i="1"/>
  <c r="AV3103" i="1"/>
  <c r="AW3102" i="1"/>
  <c r="AV3102" i="1"/>
  <c r="AW3101" i="1"/>
  <c r="AV3101" i="1"/>
  <c r="AU3101" i="1"/>
  <c r="AW3100" i="1"/>
  <c r="AV3100" i="1"/>
  <c r="AU3100" i="1"/>
  <c r="AW3099" i="1"/>
  <c r="AV3099" i="1"/>
  <c r="AW3098" i="1"/>
  <c r="AV3098" i="1"/>
  <c r="AW3097" i="1"/>
  <c r="AV3097" i="1"/>
  <c r="AU3097" i="1"/>
  <c r="AW3096" i="1"/>
  <c r="AV3096" i="1"/>
  <c r="AW3095" i="1"/>
  <c r="AV3095" i="1"/>
  <c r="AW3094" i="1"/>
  <c r="AV3094" i="1"/>
  <c r="AW3093" i="1"/>
  <c r="AV3093" i="1"/>
  <c r="AW3092" i="1"/>
  <c r="AV3092" i="1"/>
  <c r="AW3091" i="1"/>
  <c r="AV3091" i="1"/>
  <c r="AW3090" i="1"/>
  <c r="AV3090" i="1"/>
  <c r="AU3090" i="1"/>
  <c r="AW3089" i="1"/>
  <c r="AV3089" i="1"/>
  <c r="AU3089" i="1"/>
  <c r="AW3088" i="1"/>
  <c r="AV3088" i="1"/>
  <c r="AW3087" i="1"/>
  <c r="AV3087" i="1"/>
  <c r="AU3087" i="1"/>
  <c r="AW3086" i="1"/>
  <c r="AV3086" i="1"/>
  <c r="AU3086" i="1"/>
  <c r="AW3085" i="1"/>
  <c r="AV3085" i="1"/>
  <c r="AU3085" i="1"/>
  <c r="AW3084" i="1"/>
  <c r="AV3084" i="1"/>
  <c r="AU3084" i="1"/>
  <c r="AW3083" i="1"/>
  <c r="AV3083" i="1"/>
  <c r="AW3082" i="1"/>
  <c r="AV3082" i="1"/>
  <c r="AW3081" i="1"/>
  <c r="AV3081" i="1"/>
  <c r="AU3081" i="1"/>
  <c r="AW3080" i="1"/>
  <c r="AV3080" i="1"/>
  <c r="AW3079" i="1"/>
  <c r="AV3079" i="1"/>
  <c r="AW3078" i="1"/>
  <c r="AV3078" i="1"/>
  <c r="AU3078" i="1"/>
  <c r="AW3063" i="1"/>
  <c r="AV3063" i="1"/>
  <c r="AU3063" i="1"/>
  <c r="AW3062" i="1"/>
  <c r="AV3062" i="1"/>
  <c r="AU3062" i="1"/>
  <c r="AW3061" i="1"/>
  <c r="AV3061" i="1"/>
  <c r="AU3061" i="1"/>
  <c r="AW3060" i="1"/>
  <c r="AV3060" i="1"/>
  <c r="AU3060" i="1"/>
  <c r="AW3059" i="1"/>
  <c r="AV3059" i="1"/>
  <c r="AU3059" i="1"/>
  <c r="AW3058" i="1"/>
  <c r="AV3058" i="1"/>
  <c r="AU3058" i="1"/>
  <c r="AW3057" i="1"/>
  <c r="AV3057" i="1"/>
  <c r="AU3057" i="1"/>
  <c r="AW3056" i="1"/>
  <c r="AV3056" i="1"/>
  <c r="AU3056" i="1"/>
  <c r="AW3055" i="1"/>
  <c r="AV3055" i="1"/>
  <c r="AW3054" i="1"/>
  <c r="AV3054" i="1"/>
  <c r="AW3053" i="1"/>
  <c r="AV3053" i="1"/>
  <c r="AW3052" i="1"/>
  <c r="AV3052" i="1"/>
  <c r="AW3051" i="1"/>
  <c r="AV3051" i="1"/>
  <c r="AW3050" i="1"/>
  <c r="AV3050" i="1"/>
  <c r="AW3049" i="1"/>
  <c r="AV3049" i="1"/>
  <c r="AW3048" i="1"/>
  <c r="AV3048" i="1"/>
  <c r="AW3047" i="1"/>
  <c r="AV3047" i="1"/>
  <c r="AW3046" i="1"/>
  <c r="AV3046" i="1"/>
  <c r="AW3045" i="1"/>
  <c r="AV3045" i="1"/>
  <c r="AW3044" i="1"/>
  <c r="AV3044" i="1"/>
  <c r="AW3043" i="1"/>
  <c r="AV3043" i="1"/>
  <c r="AW3077" i="1"/>
  <c r="AV3077" i="1"/>
  <c r="AW3076" i="1"/>
  <c r="AV3076" i="1"/>
  <c r="AU3076" i="1"/>
  <c r="AW3075" i="1"/>
  <c r="AV3075" i="1"/>
  <c r="AU3075" i="1"/>
  <c r="AW3074" i="1"/>
  <c r="AV3074" i="1"/>
  <c r="AU3074" i="1"/>
  <c r="AW3073" i="1"/>
  <c r="AV3073" i="1"/>
  <c r="AU3073" i="1"/>
  <c r="AW3072" i="1"/>
  <c r="AV3072" i="1"/>
  <c r="AU3072" i="1"/>
  <c r="AW3071" i="1"/>
  <c r="AV3071" i="1"/>
  <c r="AU3071" i="1"/>
  <c r="AW3070" i="1"/>
  <c r="AV3070" i="1"/>
  <c r="AU3070" i="1"/>
  <c r="AW3069" i="1"/>
  <c r="AV3069" i="1"/>
  <c r="AU3069" i="1"/>
  <c r="AW3068" i="1"/>
  <c r="AV3068" i="1"/>
  <c r="AU3068" i="1"/>
  <c r="AW3067" i="1"/>
  <c r="AV3067" i="1"/>
  <c r="AW3066" i="1"/>
  <c r="AV3066" i="1"/>
  <c r="AU3066" i="1"/>
  <c r="AW3065" i="1"/>
  <c r="AV3065" i="1"/>
  <c r="AU3065" i="1"/>
  <c r="AW3064" i="1"/>
  <c r="AV3064" i="1"/>
  <c r="AU3064" i="1"/>
  <c r="AW3042" i="1"/>
  <c r="AV3042" i="1"/>
  <c r="AU3042" i="1"/>
  <c r="AW3041" i="1"/>
  <c r="AV3041" i="1"/>
  <c r="AU3041" i="1"/>
  <c r="AW3040" i="1"/>
  <c r="AV3040" i="1"/>
  <c r="AU3040" i="1"/>
  <c r="AW3039" i="1"/>
  <c r="AV3039" i="1"/>
  <c r="AU3039" i="1"/>
  <c r="AW3038" i="1"/>
  <c r="AV3038" i="1"/>
  <c r="AU3038" i="1"/>
  <c r="AW3037" i="1"/>
  <c r="AV3037" i="1"/>
  <c r="AU3037" i="1"/>
  <c r="AW3036" i="1"/>
  <c r="AV3036" i="1"/>
  <c r="AU3036" i="1"/>
  <c r="AW3035" i="1"/>
  <c r="AV3035" i="1"/>
  <c r="AU3035" i="1"/>
  <c r="AW3034" i="1"/>
  <c r="AV3034" i="1"/>
  <c r="AU3034" i="1"/>
  <c r="AW3033" i="1"/>
  <c r="AV3033" i="1"/>
  <c r="AU3033" i="1"/>
  <c r="AW3032" i="1"/>
  <c r="AV3032" i="1"/>
  <c r="AW3031" i="1"/>
  <c r="AV3031" i="1"/>
  <c r="AU3031" i="1"/>
  <c r="AW3030" i="1"/>
  <c r="AV3030" i="1"/>
  <c r="AW3029" i="1"/>
  <c r="AV3029" i="1"/>
  <c r="AW3028" i="1"/>
  <c r="AV3028" i="1"/>
  <c r="AU3028" i="1"/>
  <c r="AW3027" i="1"/>
  <c r="AV3027" i="1"/>
  <c r="AW3026" i="1"/>
  <c r="AV3026" i="1"/>
  <c r="AW3025" i="1"/>
  <c r="AV3025" i="1"/>
  <c r="AU3025" i="1"/>
  <c r="AW3024" i="1"/>
  <c r="AV3024" i="1"/>
  <c r="AW3023" i="1"/>
  <c r="AV3023" i="1"/>
  <c r="AW3022" i="1"/>
  <c r="AV3022" i="1"/>
  <c r="AU3022" i="1"/>
  <c r="AW3021" i="1"/>
  <c r="AV3021" i="1"/>
  <c r="AW3020" i="1"/>
  <c r="AV3020" i="1"/>
  <c r="AW3019" i="1"/>
  <c r="AV3019" i="1"/>
  <c r="AU3019" i="1"/>
  <c r="AW3018" i="1"/>
  <c r="AV3018" i="1"/>
  <c r="AU3018" i="1"/>
  <c r="AW3017" i="1"/>
  <c r="AV3017" i="1"/>
  <c r="AW3016" i="1"/>
  <c r="AV3016" i="1"/>
  <c r="AU3016" i="1"/>
  <c r="AW3015" i="1"/>
  <c r="AV3015" i="1"/>
  <c r="AU3015" i="1"/>
  <c r="AW3014" i="1"/>
  <c r="AV3014" i="1"/>
  <c r="AW3013" i="1"/>
  <c r="AV3013" i="1"/>
  <c r="AU3013" i="1"/>
  <c r="AW3012" i="1"/>
  <c r="AV3012" i="1"/>
  <c r="AU3012" i="1"/>
  <c r="AW3011" i="1"/>
  <c r="AV3011" i="1"/>
  <c r="AU3011" i="1"/>
  <c r="AW3010" i="1"/>
  <c r="AV3010" i="1"/>
  <c r="AU3010" i="1"/>
  <c r="AW3000" i="1"/>
  <c r="AV3000" i="1"/>
  <c r="AU3000" i="1"/>
  <c r="AW2999" i="1"/>
  <c r="AV2999" i="1"/>
  <c r="AU2999" i="1"/>
  <c r="AW2998" i="1"/>
  <c r="AV2998" i="1"/>
  <c r="AU2998" i="1"/>
  <c r="AW2997" i="1"/>
  <c r="AV2997" i="1"/>
  <c r="AU2997" i="1"/>
  <c r="AW3009" i="1"/>
  <c r="AV3009" i="1"/>
  <c r="AW3008" i="1"/>
  <c r="AV3008" i="1"/>
  <c r="AW3007" i="1"/>
  <c r="AV3007" i="1"/>
  <c r="AU3007" i="1"/>
  <c r="AW3006" i="1"/>
  <c r="AV3006" i="1"/>
  <c r="AW3005" i="1"/>
  <c r="AV3005" i="1"/>
  <c r="AU3005" i="1"/>
  <c r="AW3004" i="1"/>
  <c r="AV3004" i="1"/>
  <c r="AU3004" i="1"/>
  <c r="AW3003" i="1"/>
  <c r="AV3003" i="1"/>
  <c r="AW3002" i="1"/>
  <c r="AV3002" i="1"/>
  <c r="AW3001" i="1"/>
  <c r="AV3001" i="1"/>
  <c r="AU3001" i="1"/>
  <c r="AW2996" i="1"/>
  <c r="AV2996" i="1"/>
  <c r="AU2996" i="1"/>
  <c r="AW2993" i="1"/>
  <c r="AV2993" i="1"/>
  <c r="AU2993" i="1"/>
  <c r="AW2992" i="1"/>
  <c r="AV2992" i="1"/>
  <c r="AU2992" i="1"/>
  <c r="AW2991" i="1"/>
  <c r="AV2991" i="1"/>
  <c r="AU2991" i="1"/>
  <c r="AW2990" i="1"/>
  <c r="AV2990" i="1"/>
  <c r="AU2990" i="1"/>
  <c r="AW2989" i="1"/>
  <c r="AV2989" i="1"/>
  <c r="AU2989" i="1"/>
  <c r="AW2995" i="1"/>
  <c r="AV2995" i="1"/>
  <c r="AU2995" i="1"/>
  <c r="AW2994" i="1"/>
  <c r="AV2994" i="1"/>
  <c r="AW2987" i="1"/>
  <c r="AV2987" i="1"/>
  <c r="AU2987" i="1"/>
  <c r="AW2986" i="1"/>
  <c r="AV2986" i="1"/>
  <c r="AU2986" i="1"/>
  <c r="AW2988" i="1"/>
  <c r="AV2988" i="1"/>
  <c r="AW2975" i="1"/>
  <c r="AV2975" i="1"/>
  <c r="AW2974" i="1"/>
  <c r="AV2974" i="1"/>
  <c r="AW2973" i="1"/>
  <c r="AV2973" i="1"/>
  <c r="AW2972" i="1"/>
  <c r="AV2972" i="1"/>
  <c r="AW2971" i="1"/>
  <c r="AV2971" i="1"/>
  <c r="AW2985" i="1"/>
  <c r="AV2985" i="1"/>
  <c r="AU2985" i="1"/>
  <c r="AW2984" i="1"/>
  <c r="AV2984" i="1"/>
  <c r="AU2984" i="1"/>
  <c r="AW2983" i="1"/>
  <c r="AV2983" i="1"/>
  <c r="AW2982" i="1"/>
  <c r="AV2982" i="1"/>
  <c r="AW2981" i="1"/>
  <c r="AV2981" i="1"/>
  <c r="AW2980" i="1"/>
  <c r="AV2980" i="1"/>
  <c r="AU2980" i="1"/>
  <c r="AW2979" i="1"/>
  <c r="AV2979" i="1"/>
  <c r="AW2978" i="1"/>
  <c r="AV2978" i="1"/>
  <c r="AW2977" i="1"/>
  <c r="AV2977" i="1"/>
  <c r="AU2977" i="1"/>
  <c r="AW2976" i="1"/>
  <c r="AV2976" i="1"/>
  <c r="AW2970" i="1"/>
  <c r="AV2970" i="1"/>
  <c r="AU2970" i="1"/>
  <c r="AW2969" i="1"/>
  <c r="AV2969" i="1"/>
  <c r="AW2968" i="1"/>
  <c r="AV2968" i="1"/>
  <c r="AU2968" i="1"/>
  <c r="AW2967" i="1"/>
  <c r="AV2967" i="1"/>
  <c r="AW3481" i="1"/>
  <c r="AV3481" i="1"/>
  <c r="AW2966" i="1"/>
  <c r="AV2966" i="1"/>
  <c r="AW2965" i="1"/>
  <c r="AV2965" i="1"/>
  <c r="AW2964" i="1"/>
  <c r="AV2964" i="1"/>
  <c r="AU2964" i="1"/>
  <c r="AW2963" i="1"/>
  <c r="AV2963" i="1"/>
  <c r="AU2963" i="1"/>
  <c r="AW2962" i="1"/>
  <c r="AV2962" i="1"/>
  <c r="AU2962" i="1"/>
  <c r="AW2961" i="1"/>
  <c r="AV2961" i="1"/>
  <c r="AW2960" i="1"/>
  <c r="AV2960" i="1"/>
  <c r="AW2959" i="1"/>
  <c r="AV2959" i="1"/>
  <c r="AW2958" i="1"/>
  <c r="AV2958" i="1"/>
  <c r="AU2958" i="1"/>
  <c r="AW2957" i="1"/>
  <c r="AV2957" i="1"/>
  <c r="AW2956" i="1"/>
  <c r="AV2956" i="1"/>
  <c r="AW2955" i="1"/>
  <c r="AV2955" i="1"/>
  <c r="AW2954" i="1"/>
  <c r="AV2954" i="1"/>
  <c r="AU2954" i="1"/>
  <c r="AW2953" i="1"/>
  <c r="AV2953" i="1"/>
  <c r="AW2952" i="1"/>
  <c r="AV2952" i="1"/>
  <c r="AW2951" i="1"/>
  <c r="AV2951" i="1"/>
  <c r="AW2950" i="1"/>
  <c r="AV2950" i="1"/>
  <c r="AW2949" i="1"/>
  <c r="AV2949" i="1"/>
  <c r="AW2948" i="1"/>
  <c r="AV2948" i="1"/>
  <c r="AU2948" i="1"/>
  <c r="AW2947" i="1"/>
  <c r="AV2947" i="1"/>
  <c r="AU2947" i="1"/>
  <c r="AW2946" i="1"/>
  <c r="AV2946" i="1"/>
  <c r="AU2946" i="1"/>
  <c r="AW2945" i="1"/>
  <c r="AV2945" i="1"/>
  <c r="AU2945" i="1"/>
  <c r="AW2944" i="1"/>
  <c r="AV2944" i="1"/>
  <c r="AU2944" i="1"/>
  <c r="AW2943" i="1"/>
  <c r="AV2943" i="1"/>
  <c r="AU2943" i="1"/>
  <c r="AW2942" i="1"/>
  <c r="AV2942" i="1"/>
  <c r="AU2942" i="1"/>
  <c r="AW2941" i="1"/>
  <c r="AV2941" i="1"/>
  <c r="AU2941" i="1"/>
  <c r="AW2940" i="1"/>
  <c r="AV2940" i="1"/>
  <c r="AU2940" i="1"/>
  <c r="AW2939" i="1"/>
  <c r="AV2939" i="1"/>
  <c r="AW2938" i="1"/>
  <c r="AV2938" i="1"/>
  <c r="AU2938" i="1"/>
  <c r="AW2937" i="1"/>
  <c r="AV2937" i="1"/>
  <c r="AW2936" i="1"/>
  <c r="AV2936" i="1"/>
  <c r="AW2935" i="1"/>
  <c r="AV2935" i="1"/>
  <c r="AW2934" i="1"/>
  <c r="AV2934" i="1"/>
  <c r="AU2934" i="1"/>
  <c r="AW2933" i="1"/>
  <c r="AV2933" i="1"/>
  <c r="AU2933" i="1"/>
  <c r="AW2932" i="1"/>
  <c r="AV2932" i="1"/>
  <c r="AW2931" i="1"/>
  <c r="AV2931" i="1"/>
  <c r="AU2931" i="1"/>
  <c r="AW2930" i="1"/>
  <c r="AV2930" i="1"/>
  <c r="AU2930" i="1"/>
  <c r="AW2929" i="1"/>
  <c r="AV2929" i="1"/>
  <c r="AU2929" i="1"/>
  <c r="AW2928" i="1"/>
  <c r="AV2928" i="1"/>
  <c r="AU2928" i="1"/>
  <c r="AW2927" i="1"/>
  <c r="AV2927" i="1"/>
  <c r="AW2926" i="1"/>
  <c r="AV2926" i="1"/>
  <c r="AU2926" i="1"/>
  <c r="AW2925" i="1"/>
  <c r="AV2925" i="1"/>
  <c r="AW2924" i="1"/>
  <c r="AV2924" i="1"/>
  <c r="AU2924" i="1"/>
  <c r="AW2923" i="1"/>
  <c r="AV2923" i="1"/>
  <c r="AU2923" i="1"/>
  <c r="AW2920" i="1"/>
  <c r="AV2920" i="1"/>
  <c r="AU2920" i="1"/>
  <c r="AW2919" i="1"/>
  <c r="AV2919" i="1"/>
  <c r="AU2919" i="1"/>
  <c r="AW2918" i="1"/>
  <c r="AV2918" i="1"/>
  <c r="AU2918" i="1"/>
  <c r="AW2917" i="1"/>
  <c r="AV2917" i="1"/>
  <c r="AU2917" i="1"/>
  <c r="AW2916" i="1"/>
  <c r="AV2916" i="1"/>
  <c r="AU2916" i="1"/>
  <c r="AW2915" i="1"/>
  <c r="AV2915" i="1"/>
  <c r="AU2915" i="1"/>
  <c r="AW2914" i="1"/>
  <c r="AV2914" i="1"/>
  <c r="AU2914" i="1"/>
  <c r="AW2913" i="1"/>
  <c r="AV2913" i="1"/>
  <c r="AU2913" i="1"/>
  <c r="AW2912" i="1"/>
  <c r="AV2912" i="1"/>
  <c r="AU2912" i="1"/>
  <c r="AW2922" i="1"/>
  <c r="AV2922" i="1"/>
  <c r="AU2922" i="1"/>
  <c r="AW2921" i="1"/>
  <c r="AV2921" i="1"/>
  <c r="AU2921" i="1"/>
  <c r="AW2911" i="1"/>
  <c r="AV2911" i="1"/>
  <c r="AW2910" i="1"/>
  <c r="AV2910" i="1"/>
  <c r="AU2910" i="1"/>
  <c r="AW2909" i="1"/>
  <c r="AV2909" i="1"/>
  <c r="AW2908" i="1"/>
  <c r="AV2908" i="1"/>
  <c r="AW2907" i="1"/>
  <c r="AV2907" i="1"/>
  <c r="AW2906" i="1"/>
  <c r="AV2906" i="1"/>
  <c r="AW2905" i="1"/>
  <c r="AV2905" i="1"/>
  <c r="AU2905" i="1"/>
  <c r="AW2904" i="1"/>
  <c r="AV2904" i="1"/>
  <c r="AU2904" i="1"/>
  <c r="AW2903" i="1"/>
  <c r="AV2903" i="1"/>
  <c r="AU2903" i="1"/>
  <c r="AW2902" i="1"/>
  <c r="AV2902" i="1"/>
  <c r="AU2902" i="1"/>
  <c r="AW2901" i="1"/>
  <c r="AV2901" i="1"/>
  <c r="AW2847" i="1"/>
  <c r="AV2847" i="1"/>
  <c r="AU2847" i="1"/>
  <c r="AW2846" i="1"/>
  <c r="AV2846" i="1"/>
  <c r="AU2846" i="1"/>
  <c r="AW2845" i="1"/>
  <c r="AV2845" i="1"/>
  <c r="AU2845" i="1"/>
  <c r="AW2844" i="1"/>
  <c r="AV2844" i="1"/>
  <c r="AU2844" i="1"/>
  <c r="AW2900" i="1"/>
  <c r="AV2900" i="1"/>
  <c r="AU2900" i="1"/>
  <c r="AW2899" i="1"/>
  <c r="AV2899" i="1"/>
  <c r="AW3480" i="1"/>
  <c r="AV3480" i="1"/>
  <c r="AW2898" i="1"/>
  <c r="AV2898" i="1"/>
  <c r="AW2897" i="1"/>
  <c r="AV2897" i="1"/>
  <c r="AU2897" i="1"/>
  <c r="AW2896" i="1"/>
  <c r="AV2896" i="1"/>
  <c r="AU2896" i="1"/>
  <c r="AW2895" i="1"/>
  <c r="AV2895" i="1"/>
  <c r="AW2894" i="1"/>
  <c r="AV2894" i="1"/>
  <c r="AW2893" i="1"/>
  <c r="AV2893" i="1"/>
  <c r="AW2892" i="1"/>
  <c r="AV2892" i="1"/>
  <c r="AW2891" i="1"/>
  <c r="AV2891" i="1"/>
  <c r="AU2891" i="1"/>
  <c r="AW2890" i="1"/>
  <c r="AV2890" i="1"/>
  <c r="AW2889" i="1"/>
  <c r="AV2889" i="1"/>
  <c r="AW2888" i="1"/>
  <c r="AV2888" i="1"/>
  <c r="AW2887" i="1"/>
  <c r="AV2887" i="1"/>
  <c r="AU2887" i="1"/>
  <c r="AW2886" i="1"/>
  <c r="AV2886" i="1"/>
  <c r="AU2886" i="1"/>
  <c r="AW2885" i="1"/>
  <c r="AV2885" i="1"/>
  <c r="AU2885" i="1"/>
  <c r="AW2884" i="1"/>
  <c r="AV2884" i="1"/>
  <c r="AW2883" i="1"/>
  <c r="AV2883" i="1"/>
  <c r="AU2883" i="1"/>
  <c r="AW2882" i="1"/>
  <c r="AV2882" i="1"/>
  <c r="AU2882" i="1"/>
  <c r="AW2881" i="1"/>
  <c r="AV2881" i="1"/>
  <c r="AW2880" i="1"/>
  <c r="AV2880" i="1"/>
  <c r="AW2879" i="1"/>
  <c r="AV2879" i="1"/>
  <c r="AW2878" i="1"/>
  <c r="AV2878" i="1"/>
  <c r="AW2877" i="1"/>
  <c r="AV2877" i="1"/>
  <c r="AW2876" i="1"/>
  <c r="AV2876" i="1"/>
  <c r="AW2875" i="1"/>
  <c r="AV2875" i="1"/>
  <c r="AW2874" i="1"/>
  <c r="AV2874" i="1"/>
  <c r="AW2873" i="1"/>
  <c r="AV2873" i="1"/>
  <c r="AU2873" i="1"/>
  <c r="AW2872" i="1"/>
  <c r="AV2872" i="1"/>
  <c r="AU2872" i="1"/>
  <c r="AW2871" i="1"/>
  <c r="AV2871" i="1"/>
  <c r="AW2870" i="1"/>
  <c r="AV2870" i="1"/>
  <c r="AW2869" i="1"/>
  <c r="AV2869" i="1"/>
  <c r="AU2869" i="1"/>
  <c r="AW2868" i="1"/>
  <c r="AV2868" i="1"/>
  <c r="AW2867" i="1"/>
  <c r="AV2867" i="1"/>
  <c r="AU2867" i="1"/>
  <c r="AW2866" i="1"/>
  <c r="AV2866" i="1"/>
  <c r="AW2865" i="1"/>
  <c r="AV2865" i="1"/>
  <c r="AW2864" i="1"/>
  <c r="AV2864" i="1"/>
  <c r="AW2863" i="1"/>
  <c r="AV2863" i="1"/>
  <c r="AW2862" i="1"/>
  <c r="AV2862" i="1"/>
  <c r="AU2862" i="1"/>
  <c r="AW2861" i="1"/>
  <c r="AV2861" i="1"/>
  <c r="AW2860" i="1"/>
  <c r="AV2860" i="1"/>
  <c r="AU2860" i="1"/>
  <c r="AW2859" i="1"/>
  <c r="AV2859" i="1"/>
  <c r="AU2859" i="1"/>
  <c r="AW2858" i="1"/>
  <c r="AV2858" i="1"/>
  <c r="AU2858" i="1"/>
  <c r="AW2857" i="1"/>
  <c r="AV2857" i="1"/>
  <c r="AU2857" i="1"/>
  <c r="AW2856" i="1"/>
  <c r="AV2856" i="1"/>
  <c r="AW2855" i="1"/>
  <c r="AV2855" i="1"/>
  <c r="AW2854" i="1"/>
  <c r="AV2854" i="1"/>
  <c r="AW2853" i="1"/>
  <c r="AV2853" i="1"/>
  <c r="AU2853" i="1"/>
  <c r="AW2852" i="1"/>
  <c r="AV2852" i="1"/>
  <c r="AU2852" i="1"/>
  <c r="AW2851" i="1"/>
  <c r="AV2851" i="1"/>
  <c r="AW2850" i="1"/>
  <c r="AV2850" i="1"/>
  <c r="AU2850" i="1"/>
  <c r="AW2849" i="1"/>
  <c r="AV2849" i="1"/>
  <c r="AU2849" i="1"/>
  <c r="AW2848" i="1"/>
  <c r="AV2848" i="1"/>
  <c r="AU2848" i="1"/>
  <c r="AW2843" i="1"/>
  <c r="AV2843" i="1"/>
  <c r="AU2843" i="1"/>
  <c r="AW2842" i="1"/>
  <c r="AV2842" i="1"/>
  <c r="AU2842" i="1"/>
  <c r="AW2841" i="1"/>
  <c r="AV2841" i="1"/>
  <c r="AU2841" i="1"/>
  <c r="AW2840" i="1"/>
  <c r="AV2840" i="1"/>
  <c r="AW2839" i="1"/>
  <c r="AV2839" i="1"/>
  <c r="AW2838" i="1"/>
  <c r="AV2838" i="1"/>
  <c r="AW2837" i="1"/>
  <c r="AV2837" i="1"/>
  <c r="AW2836" i="1"/>
  <c r="AV2836" i="1"/>
  <c r="AW2835" i="1"/>
  <c r="AV2835" i="1"/>
  <c r="AW2834" i="1"/>
  <c r="AV2834" i="1"/>
  <c r="AW2833" i="1"/>
  <c r="AV2833" i="1"/>
  <c r="AW2832" i="1"/>
  <c r="AV2832" i="1"/>
  <c r="AW2831" i="1"/>
  <c r="AV2831" i="1"/>
  <c r="AU2831" i="1"/>
  <c r="AW2830" i="1"/>
  <c r="AV2830" i="1"/>
  <c r="AU2830" i="1"/>
  <c r="AW2829" i="1"/>
  <c r="AV2829" i="1"/>
  <c r="AW2828" i="1"/>
  <c r="AV2828" i="1"/>
  <c r="AU2828" i="1"/>
  <c r="AW3479" i="1"/>
  <c r="AV3479" i="1"/>
  <c r="AW2827" i="1"/>
  <c r="AV2827" i="1"/>
  <c r="AU2827" i="1"/>
  <c r="AW2826" i="1"/>
  <c r="AV2826" i="1"/>
  <c r="AU2826" i="1"/>
  <c r="AW2825" i="1"/>
  <c r="AV2825" i="1"/>
  <c r="AU2825" i="1"/>
  <c r="AW2824" i="1"/>
  <c r="AV2824" i="1"/>
  <c r="AW2823" i="1"/>
  <c r="AV2823" i="1"/>
  <c r="AU2823" i="1"/>
  <c r="AW2822" i="1"/>
  <c r="AV2822" i="1"/>
  <c r="AU2822" i="1"/>
  <c r="AW2821" i="1"/>
  <c r="AV2821" i="1"/>
  <c r="AW2820" i="1"/>
  <c r="AV2820" i="1"/>
  <c r="AW2819" i="1"/>
  <c r="AV2819" i="1"/>
  <c r="AW2818" i="1"/>
  <c r="AV2818" i="1"/>
  <c r="AU2818" i="1"/>
  <c r="AW2817" i="1"/>
  <c r="AV2817" i="1"/>
  <c r="AW2816" i="1"/>
  <c r="AV2816" i="1"/>
  <c r="AW2815" i="1"/>
  <c r="AV2815" i="1"/>
  <c r="AW2784" i="1"/>
  <c r="AV2784" i="1"/>
  <c r="AU2784" i="1"/>
  <c r="AW2783" i="1"/>
  <c r="AV2783" i="1"/>
  <c r="AU2783" i="1"/>
  <c r="AW2782" i="1"/>
  <c r="AV2782" i="1"/>
  <c r="AU2782" i="1"/>
  <c r="AW2781" i="1"/>
  <c r="AV2781" i="1"/>
  <c r="AU2781" i="1"/>
  <c r="AW2780" i="1"/>
  <c r="AV2780" i="1"/>
  <c r="AU2780" i="1"/>
  <c r="AW2779" i="1"/>
  <c r="AV2779" i="1"/>
  <c r="AU2779" i="1"/>
  <c r="AW2778" i="1"/>
  <c r="AV2778" i="1"/>
  <c r="AU2778" i="1"/>
  <c r="AW2777" i="1"/>
  <c r="AV2777" i="1"/>
  <c r="AU2777" i="1"/>
  <c r="AW2776" i="1"/>
  <c r="AV2776" i="1"/>
  <c r="AU2776" i="1"/>
  <c r="AW2814" i="1"/>
  <c r="AV2814" i="1"/>
  <c r="AW2813" i="1"/>
  <c r="AV2813" i="1"/>
  <c r="AW2812" i="1"/>
  <c r="AV2812" i="1"/>
  <c r="AW2811" i="1"/>
  <c r="AV2811" i="1"/>
  <c r="AW2810" i="1"/>
  <c r="AV2810" i="1"/>
  <c r="AW2809" i="1"/>
  <c r="AV2809" i="1"/>
  <c r="AU2809" i="1"/>
  <c r="AW2808" i="1"/>
  <c r="AV2808" i="1"/>
  <c r="AW2807" i="1"/>
  <c r="AV2807" i="1"/>
  <c r="AU2807" i="1"/>
  <c r="AW2806" i="1"/>
  <c r="AV2806" i="1"/>
  <c r="AU2806" i="1"/>
  <c r="AW2805" i="1"/>
  <c r="AV2805" i="1"/>
  <c r="AU2805" i="1"/>
  <c r="AW2804" i="1"/>
  <c r="AV2804" i="1"/>
  <c r="AU2804" i="1"/>
  <c r="AW2803" i="1"/>
  <c r="AV2803" i="1"/>
  <c r="AU2803" i="1"/>
  <c r="AW2802" i="1"/>
  <c r="AV2802" i="1"/>
  <c r="AW2801" i="1"/>
  <c r="AV2801" i="1"/>
  <c r="AU2801" i="1"/>
  <c r="AW2800" i="1"/>
  <c r="AV2800" i="1"/>
  <c r="AU2800" i="1"/>
  <c r="AW2799" i="1"/>
  <c r="AV2799" i="1"/>
  <c r="AW2798" i="1"/>
  <c r="AV2798" i="1"/>
  <c r="AW2797" i="1"/>
  <c r="AV2797" i="1"/>
  <c r="AW2796" i="1"/>
  <c r="AV2796" i="1"/>
  <c r="AW2795" i="1"/>
  <c r="AV2795" i="1"/>
  <c r="AW2794" i="1"/>
  <c r="AV2794" i="1"/>
  <c r="AW2793" i="1"/>
  <c r="AV2793" i="1"/>
  <c r="AW2792" i="1"/>
  <c r="AV2792" i="1"/>
  <c r="AW2791" i="1"/>
  <c r="AV2791" i="1"/>
  <c r="AW2790" i="1"/>
  <c r="AV2790" i="1"/>
  <c r="AU2790" i="1"/>
  <c r="AW2789" i="1"/>
  <c r="AV2789" i="1"/>
  <c r="AU2789" i="1"/>
  <c r="AW2788" i="1"/>
  <c r="AV2788" i="1"/>
  <c r="AU2788" i="1"/>
  <c r="AW2787" i="1"/>
  <c r="AV2787" i="1"/>
  <c r="AW2786" i="1"/>
  <c r="AV2786" i="1"/>
  <c r="AW2785" i="1"/>
  <c r="AV2785" i="1"/>
  <c r="AW2775" i="1"/>
  <c r="AV2775" i="1"/>
  <c r="AW2774" i="1"/>
  <c r="AV2774" i="1"/>
  <c r="AW2773" i="1"/>
  <c r="AV2773" i="1"/>
  <c r="AW2772" i="1"/>
  <c r="AV2772" i="1"/>
  <c r="AW2771" i="1"/>
  <c r="AV2771" i="1"/>
  <c r="AU2771" i="1"/>
  <c r="AW2766" i="1"/>
  <c r="AV2766" i="1"/>
  <c r="AU2766" i="1"/>
  <c r="AW2765" i="1"/>
  <c r="AV2765" i="1"/>
  <c r="AU2765" i="1"/>
  <c r="AW2764" i="1"/>
  <c r="AV2764" i="1"/>
  <c r="AU2764" i="1"/>
  <c r="AW2763" i="1"/>
  <c r="AV2763" i="1"/>
  <c r="AU2763" i="1"/>
  <c r="AW2762" i="1"/>
  <c r="AV2762" i="1"/>
  <c r="AU2762" i="1"/>
  <c r="AW2761" i="1"/>
  <c r="AV2761" i="1"/>
  <c r="AU2761" i="1"/>
  <c r="AW2760" i="1"/>
  <c r="AV2760" i="1"/>
  <c r="AU2760" i="1"/>
  <c r="AW2750" i="1"/>
  <c r="AV2750" i="1"/>
  <c r="AU2750" i="1"/>
  <c r="AW2759" i="1"/>
  <c r="AV2759" i="1"/>
  <c r="AU2759" i="1"/>
  <c r="AW2770" i="1"/>
  <c r="AV2770" i="1"/>
  <c r="AU2770" i="1"/>
  <c r="AW2769" i="1"/>
  <c r="AV2769" i="1"/>
  <c r="AU2769" i="1"/>
  <c r="AW2768" i="1"/>
  <c r="AV2768" i="1"/>
  <c r="AU2768" i="1"/>
  <c r="AW2767" i="1"/>
  <c r="AV2767" i="1"/>
  <c r="AU2767" i="1"/>
  <c r="AW2758" i="1"/>
  <c r="AV2758" i="1"/>
  <c r="AW2757" i="1"/>
  <c r="AV2757" i="1"/>
  <c r="AW2756" i="1"/>
  <c r="AV2756" i="1"/>
  <c r="AW2755" i="1"/>
  <c r="AV2755" i="1"/>
  <c r="AU2755" i="1"/>
  <c r="AW2754" i="1"/>
  <c r="AV2754" i="1"/>
  <c r="AW2753" i="1"/>
  <c r="AV2753" i="1"/>
  <c r="AW2752" i="1"/>
  <c r="AV2752" i="1"/>
  <c r="AW2751" i="1"/>
  <c r="AV2751" i="1"/>
  <c r="AU2751" i="1"/>
  <c r="AW2749" i="1"/>
  <c r="AV2749" i="1"/>
  <c r="AU2749" i="1"/>
  <c r="AW2748" i="1"/>
  <c r="AV2748" i="1"/>
  <c r="AW2747" i="1"/>
  <c r="AV2747" i="1"/>
  <c r="AU2747" i="1"/>
  <c r="AW2746" i="1"/>
  <c r="AV2746" i="1"/>
  <c r="AU2746" i="1"/>
  <c r="AW2745" i="1"/>
  <c r="AV2745" i="1"/>
  <c r="AU2745" i="1"/>
  <c r="AW2744" i="1"/>
  <c r="AV2744" i="1"/>
  <c r="AU2744" i="1"/>
  <c r="AW2743" i="1"/>
  <c r="AV2743" i="1"/>
  <c r="AU2743" i="1"/>
  <c r="AW2742" i="1"/>
  <c r="AV2742" i="1"/>
  <c r="AU2742" i="1"/>
  <c r="AW2741" i="1"/>
  <c r="AV2741" i="1"/>
  <c r="AU2741" i="1"/>
  <c r="AW2740" i="1"/>
  <c r="AV2740" i="1"/>
  <c r="AU2740" i="1"/>
  <c r="AW2739" i="1"/>
  <c r="AV2739" i="1"/>
  <c r="AU2739" i="1"/>
  <c r="AW2738" i="1"/>
  <c r="AV2738" i="1"/>
  <c r="AW2737" i="1"/>
  <c r="AV2737" i="1"/>
  <c r="AW2736" i="1"/>
  <c r="AV2736" i="1"/>
  <c r="AW2735" i="1"/>
  <c r="AV2735" i="1"/>
  <c r="AW2734" i="1"/>
  <c r="AV2734" i="1"/>
  <c r="AW2733" i="1"/>
  <c r="AV2733" i="1"/>
  <c r="AW2732" i="1"/>
  <c r="AV2732" i="1"/>
  <c r="AW2731" i="1"/>
  <c r="AV2731" i="1"/>
  <c r="AU2731" i="1"/>
  <c r="AW2730" i="1"/>
  <c r="AV2730" i="1"/>
  <c r="AU2730" i="1"/>
  <c r="AW2729" i="1"/>
  <c r="AV2729" i="1"/>
  <c r="AU2729" i="1"/>
  <c r="AW2728" i="1"/>
  <c r="AV2728" i="1"/>
  <c r="AU2728" i="1"/>
  <c r="AW2727" i="1"/>
  <c r="AV2727" i="1"/>
  <c r="AU2727" i="1"/>
  <c r="AW2726" i="1"/>
  <c r="AV2726" i="1"/>
  <c r="AU2726" i="1"/>
  <c r="AW2725" i="1"/>
  <c r="AV2725" i="1"/>
  <c r="AU2725" i="1"/>
  <c r="AW2724" i="1"/>
  <c r="AV2724" i="1"/>
  <c r="AU2724" i="1"/>
  <c r="AW2721" i="1"/>
  <c r="AV2721" i="1"/>
  <c r="AU2721" i="1"/>
  <c r="AW2720" i="1"/>
  <c r="AV2720" i="1"/>
  <c r="AU2720" i="1"/>
  <c r="AW2719" i="1"/>
  <c r="AV2719" i="1"/>
  <c r="AU2719" i="1"/>
  <c r="AW2718" i="1"/>
  <c r="AV2718" i="1"/>
  <c r="AU2718" i="1"/>
  <c r="AW2717" i="1"/>
  <c r="AV2717" i="1"/>
  <c r="AU2717" i="1"/>
  <c r="AW2716" i="1"/>
  <c r="AV2716" i="1"/>
  <c r="AU2716" i="1"/>
  <c r="AW2723" i="1"/>
  <c r="AV2723" i="1"/>
  <c r="AW2722" i="1"/>
  <c r="AV2722" i="1"/>
  <c r="AU2722" i="1"/>
  <c r="AW2715" i="1"/>
  <c r="AV2715" i="1"/>
  <c r="AU2715" i="1"/>
  <c r="AW2714" i="1"/>
  <c r="AV2714" i="1"/>
  <c r="AU2714" i="1"/>
  <c r="AW2713" i="1"/>
  <c r="AV2713" i="1"/>
  <c r="AU2713" i="1"/>
  <c r="AW2712" i="1"/>
  <c r="AV2712" i="1"/>
  <c r="AU2712" i="1"/>
  <c r="AW2711" i="1"/>
  <c r="AV2711" i="1"/>
  <c r="AU2711" i="1"/>
  <c r="AW2710" i="1"/>
  <c r="AV2710" i="1"/>
  <c r="AU2710" i="1"/>
  <c r="AW2709" i="1"/>
  <c r="AV2709" i="1"/>
  <c r="AW2708" i="1"/>
  <c r="AV2708" i="1"/>
  <c r="AU2708" i="1"/>
  <c r="AW2707" i="1"/>
  <c r="AV2707" i="1"/>
  <c r="AU2707" i="1"/>
  <c r="AW2706" i="1"/>
  <c r="AV2706" i="1"/>
  <c r="AW2705" i="1"/>
  <c r="AV2705" i="1"/>
  <c r="AW2704" i="1"/>
  <c r="AV2704" i="1"/>
  <c r="AW2703" i="1"/>
  <c r="AV2703" i="1"/>
  <c r="AU2703" i="1"/>
  <c r="AW2702" i="1"/>
  <c r="AV2702" i="1"/>
  <c r="AW2701" i="1"/>
  <c r="AV2701" i="1"/>
  <c r="AU2701" i="1"/>
  <c r="AW2700" i="1"/>
  <c r="AV2700" i="1"/>
  <c r="AU2700" i="1"/>
  <c r="AW2699" i="1"/>
  <c r="AV2699" i="1"/>
  <c r="AW2698" i="1"/>
  <c r="AV2698" i="1"/>
  <c r="AW2697" i="1"/>
  <c r="AV2697" i="1"/>
  <c r="AU2697" i="1"/>
  <c r="AW2696" i="1"/>
  <c r="AV2696" i="1"/>
  <c r="AW2695" i="1"/>
  <c r="AV2695" i="1"/>
  <c r="AW2694" i="1"/>
  <c r="AV2694" i="1"/>
  <c r="AW2693" i="1"/>
  <c r="AV2693" i="1"/>
  <c r="AU2693" i="1"/>
  <c r="AW2692" i="1"/>
  <c r="AV2692" i="1"/>
  <c r="AU2692" i="1"/>
  <c r="AW2691" i="1"/>
  <c r="AV2691" i="1"/>
  <c r="AU2691" i="1"/>
  <c r="AW2690" i="1"/>
  <c r="AV2690" i="1"/>
  <c r="AW2689" i="1"/>
  <c r="AV2689" i="1"/>
  <c r="AW2688" i="1"/>
  <c r="AV2688" i="1"/>
  <c r="AW2687" i="1"/>
  <c r="AV2687" i="1"/>
  <c r="AW2686" i="1"/>
  <c r="AV2686" i="1"/>
  <c r="AU2686" i="1"/>
  <c r="AW2685" i="1"/>
  <c r="AV2685" i="1"/>
  <c r="AU2685" i="1"/>
  <c r="AW2684" i="1"/>
  <c r="AV2684" i="1"/>
  <c r="AW2683" i="1"/>
  <c r="AV2683" i="1"/>
  <c r="AW2682" i="1"/>
  <c r="AV2682" i="1"/>
  <c r="AU2682" i="1"/>
  <c r="AW2681" i="1"/>
  <c r="AV2681" i="1"/>
  <c r="AU2681" i="1"/>
  <c r="AW2680" i="1"/>
  <c r="AV2680" i="1"/>
  <c r="AW2679" i="1"/>
  <c r="AV2679" i="1"/>
  <c r="AW2678" i="1"/>
  <c r="AV2678" i="1"/>
  <c r="AU2678" i="1"/>
  <c r="AW2677" i="1"/>
  <c r="AV2677" i="1"/>
  <c r="AW2676" i="1"/>
  <c r="AV2676" i="1"/>
  <c r="AU2676" i="1"/>
  <c r="AW2675" i="1"/>
  <c r="AV2675" i="1"/>
  <c r="AU2675" i="1"/>
  <c r="AW2674" i="1"/>
  <c r="AV2674" i="1"/>
  <c r="AW2673" i="1"/>
  <c r="AV2673" i="1"/>
  <c r="AW2672" i="1"/>
  <c r="AV2672" i="1"/>
  <c r="AU2672" i="1"/>
  <c r="AW2671" i="1"/>
  <c r="AV2671" i="1"/>
  <c r="AU2671" i="1"/>
  <c r="AW2670" i="1"/>
  <c r="AV2670" i="1"/>
  <c r="AU2670" i="1"/>
  <c r="AW2669" i="1"/>
  <c r="AV2669" i="1"/>
  <c r="AU2669" i="1"/>
  <c r="AW2668" i="1"/>
  <c r="AV2668" i="1"/>
  <c r="AU2668" i="1"/>
  <c r="AW2667" i="1"/>
  <c r="AV2667" i="1"/>
  <c r="AU2667" i="1"/>
  <c r="AW2666" i="1"/>
  <c r="AV2666" i="1"/>
  <c r="AU2666" i="1"/>
  <c r="AW2665" i="1"/>
  <c r="AV2665" i="1"/>
  <c r="AW2664" i="1"/>
  <c r="AV2664" i="1"/>
  <c r="AW2663" i="1"/>
  <c r="AV2663" i="1"/>
  <c r="AW2662" i="1"/>
  <c r="AV2662" i="1"/>
  <c r="AW2661" i="1"/>
  <c r="AV2661" i="1"/>
  <c r="AW2660" i="1"/>
  <c r="AV2660" i="1"/>
  <c r="AU2660" i="1"/>
  <c r="AW2659" i="1"/>
  <c r="AV2659" i="1"/>
  <c r="AU2659" i="1"/>
  <c r="AW2658" i="1"/>
  <c r="AV2658" i="1"/>
  <c r="AU2658" i="1"/>
  <c r="AW2657" i="1"/>
  <c r="AV2657" i="1"/>
  <c r="AW2656" i="1"/>
  <c r="AV2656" i="1"/>
  <c r="AW2655" i="1"/>
  <c r="AV2655" i="1"/>
  <c r="AW2654" i="1"/>
  <c r="AV2654" i="1"/>
  <c r="AW2653" i="1"/>
  <c r="AV2653" i="1"/>
  <c r="AW2652" i="1"/>
  <c r="AV2652" i="1"/>
  <c r="AW2651" i="1"/>
  <c r="AV2651" i="1"/>
  <c r="AU2651" i="1"/>
  <c r="AW2650" i="1"/>
  <c r="AV2650" i="1"/>
  <c r="AU2650" i="1"/>
  <c r="AW2649" i="1"/>
  <c r="AV2649" i="1"/>
  <c r="AU2649" i="1"/>
  <c r="AW2648" i="1"/>
  <c r="AV2648" i="1"/>
  <c r="AU2648" i="1"/>
  <c r="AW2647" i="1"/>
  <c r="AV2647" i="1"/>
  <c r="AU2647" i="1"/>
  <c r="AW2646" i="1"/>
  <c r="AV2646" i="1"/>
  <c r="AW2645" i="1"/>
  <c r="AV2645" i="1"/>
  <c r="AU2645" i="1"/>
  <c r="AW2644" i="1"/>
  <c r="AV2644" i="1"/>
  <c r="AU2644" i="1"/>
  <c r="AW2643" i="1"/>
  <c r="AV2643" i="1"/>
  <c r="AW2642" i="1"/>
  <c r="AV2642" i="1"/>
  <c r="AW2641" i="1"/>
  <c r="AV2641" i="1"/>
  <c r="AW2640" i="1"/>
  <c r="AV2640" i="1"/>
  <c r="AW2639" i="1"/>
  <c r="AV2639" i="1"/>
  <c r="AW2638" i="1"/>
  <c r="AV2638" i="1"/>
  <c r="AW2637" i="1"/>
  <c r="AV2637" i="1"/>
  <c r="AW2636" i="1"/>
  <c r="AV2636" i="1"/>
  <c r="AU2636" i="1"/>
  <c r="AW2635" i="1"/>
  <c r="AV2635" i="1"/>
  <c r="AU2635" i="1"/>
  <c r="AW2634" i="1"/>
  <c r="AV2634" i="1"/>
  <c r="AU2634" i="1"/>
  <c r="AW2633" i="1"/>
  <c r="AV2633" i="1"/>
  <c r="AU2633" i="1"/>
  <c r="AW2632" i="1"/>
  <c r="AV2632" i="1"/>
  <c r="AU2632" i="1"/>
  <c r="AW2631" i="1"/>
  <c r="AV2631" i="1"/>
  <c r="AW2630" i="1"/>
  <c r="AV2630" i="1"/>
  <c r="AW2629" i="1"/>
  <c r="AV2629" i="1"/>
  <c r="AW2628" i="1"/>
  <c r="AV2628" i="1"/>
  <c r="AU2628" i="1"/>
  <c r="AW2627" i="1"/>
  <c r="AV2627" i="1"/>
  <c r="AU2627" i="1"/>
  <c r="AW2626" i="1"/>
  <c r="AV2626" i="1"/>
  <c r="AW2625" i="1"/>
  <c r="AV2625" i="1"/>
  <c r="AW2624" i="1"/>
  <c r="AV2624" i="1"/>
  <c r="AW2623" i="1"/>
  <c r="AV2623" i="1"/>
  <c r="AU2623" i="1"/>
  <c r="AW2622" i="1"/>
  <c r="AV2622" i="1"/>
  <c r="AU2622" i="1"/>
  <c r="AW2621" i="1"/>
  <c r="AV2621" i="1"/>
  <c r="AU2621" i="1"/>
  <c r="AW2620" i="1"/>
  <c r="AV2620" i="1"/>
  <c r="AU2620" i="1"/>
  <c r="AW2619" i="1"/>
  <c r="AV2619" i="1"/>
  <c r="AU2619" i="1"/>
  <c r="AW2618" i="1"/>
  <c r="AV2618" i="1"/>
  <c r="AW2617" i="1"/>
  <c r="AV2617" i="1"/>
  <c r="AW2616" i="1"/>
  <c r="AV2616" i="1"/>
  <c r="AU2616" i="1"/>
  <c r="AW2615" i="1"/>
  <c r="AV2615" i="1"/>
  <c r="AW2614" i="1"/>
  <c r="AV2614" i="1"/>
  <c r="AU2614" i="1"/>
  <c r="AW2613" i="1"/>
  <c r="AV2613" i="1"/>
  <c r="AW2612" i="1"/>
  <c r="AV2612" i="1"/>
  <c r="AU2612" i="1"/>
  <c r="AW2611" i="1"/>
  <c r="AV2611" i="1"/>
  <c r="AU2611" i="1"/>
  <c r="AW2610" i="1"/>
  <c r="AV2610" i="1"/>
  <c r="AU2610" i="1"/>
  <c r="AW2609" i="1"/>
  <c r="AV2609" i="1"/>
  <c r="AU2609" i="1"/>
  <c r="AW2608" i="1"/>
  <c r="AV2608" i="1"/>
  <c r="AW2607" i="1"/>
  <c r="AV2607" i="1"/>
  <c r="AU2607" i="1"/>
  <c r="AW2606" i="1"/>
  <c r="AV2606" i="1"/>
  <c r="AU2606" i="1"/>
  <c r="AW2605" i="1"/>
  <c r="AV2605" i="1"/>
  <c r="AU2605" i="1"/>
  <c r="AW2604" i="1"/>
  <c r="AV2604" i="1"/>
  <c r="AU2604" i="1"/>
  <c r="AW2603" i="1"/>
  <c r="AV2603" i="1"/>
  <c r="AU2603" i="1"/>
  <c r="AW2602" i="1"/>
  <c r="AV2602" i="1"/>
  <c r="AU2602" i="1"/>
  <c r="AW2601" i="1"/>
  <c r="AV2601" i="1"/>
  <c r="AU2601" i="1"/>
  <c r="AW2600" i="1"/>
  <c r="AV2600" i="1"/>
  <c r="AU2600" i="1"/>
  <c r="AW2599" i="1"/>
  <c r="AV2599" i="1"/>
  <c r="AU2599" i="1"/>
  <c r="AW2598" i="1"/>
  <c r="AV2598" i="1"/>
  <c r="AW2597" i="1"/>
  <c r="AV2597" i="1"/>
  <c r="AW2596" i="1"/>
  <c r="AV2596" i="1"/>
  <c r="AU2596" i="1"/>
  <c r="AW2595" i="1"/>
  <c r="AV2595" i="1"/>
  <c r="AW2594" i="1"/>
  <c r="AV2594" i="1"/>
  <c r="AW2593" i="1"/>
  <c r="AV2593" i="1"/>
  <c r="AW2592" i="1"/>
  <c r="AV2592" i="1"/>
  <c r="AW2591" i="1"/>
  <c r="AV2591" i="1"/>
  <c r="AU2591" i="1"/>
  <c r="AW2590" i="1"/>
  <c r="AV2590" i="1"/>
  <c r="AW2589" i="1"/>
  <c r="AV2589" i="1"/>
  <c r="AW2588" i="1"/>
  <c r="AV2588" i="1"/>
  <c r="AW2587" i="1"/>
  <c r="AV2587" i="1"/>
  <c r="AU2587" i="1"/>
  <c r="AW2586" i="1"/>
  <c r="AV2586" i="1"/>
  <c r="AU2586" i="1"/>
  <c r="AW2585" i="1"/>
  <c r="AV2585" i="1"/>
  <c r="AW2584" i="1"/>
  <c r="AV2584" i="1"/>
  <c r="AW2583" i="1"/>
  <c r="AV2583" i="1"/>
  <c r="AU2583" i="1"/>
  <c r="AW2582" i="1"/>
  <c r="AV2582" i="1"/>
  <c r="AU2582" i="1"/>
  <c r="AW2581" i="1"/>
  <c r="AV2581" i="1"/>
  <c r="AW2580" i="1"/>
  <c r="AV2580" i="1"/>
  <c r="AU2580" i="1"/>
  <c r="AW2579" i="1"/>
  <c r="AV2579" i="1"/>
  <c r="AW2578" i="1"/>
  <c r="AV2578" i="1"/>
  <c r="AW2577" i="1"/>
  <c r="AV2577" i="1"/>
  <c r="AW2576" i="1"/>
  <c r="AV2576" i="1"/>
  <c r="AW2575" i="1"/>
  <c r="AV2575" i="1"/>
  <c r="AW2574" i="1"/>
  <c r="AV2574" i="1"/>
  <c r="AW2573" i="1"/>
  <c r="AV2573" i="1"/>
  <c r="AW2562" i="1"/>
  <c r="AV2562" i="1"/>
  <c r="AU2562" i="1"/>
  <c r="AW2572" i="1"/>
  <c r="AV2572" i="1"/>
  <c r="AW2571" i="1"/>
  <c r="AV2571" i="1"/>
  <c r="AW2570" i="1"/>
  <c r="AV2570" i="1"/>
  <c r="AW2569" i="1"/>
  <c r="AV2569" i="1"/>
  <c r="AW2568" i="1"/>
  <c r="AV2568" i="1"/>
  <c r="AW2567" i="1"/>
  <c r="AV2567" i="1"/>
  <c r="AW2566" i="1"/>
  <c r="AV2566" i="1"/>
  <c r="AW2565" i="1"/>
  <c r="AV2565" i="1"/>
  <c r="AW2564" i="1"/>
  <c r="AV2564" i="1"/>
  <c r="AW2563" i="1"/>
  <c r="AV2563" i="1"/>
  <c r="AU2563" i="1"/>
  <c r="AW2561" i="1"/>
  <c r="AV2561" i="1"/>
  <c r="AW2560" i="1"/>
  <c r="AV2560" i="1"/>
  <c r="AU2560" i="1"/>
  <c r="AW2559" i="1"/>
  <c r="AV2559" i="1"/>
  <c r="AW2558" i="1"/>
  <c r="AV2558" i="1"/>
  <c r="AU2558" i="1"/>
  <c r="AW2557" i="1"/>
  <c r="AV2557" i="1"/>
  <c r="AU2557" i="1"/>
  <c r="AW2556" i="1"/>
  <c r="AV2556" i="1"/>
  <c r="AU2556" i="1"/>
  <c r="AW2555" i="1"/>
  <c r="AV2555" i="1"/>
  <c r="AU2555" i="1"/>
  <c r="AW2554" i="1"/>
  <c r="AV2554" i="1"/>
  <c r="AW2553" i="1"/>
  <c r="AV2553" i="1"/>
  <c r="AW2552" i="1"/>
  <c r="AV2552" i="1"/>
  <c r="AW2551" i="1"/>
  <c r="AV2551" i="1"/>
  <c r="AW2549" i="1"/>
  <c r="AV2549" i="1"/>
  <c r="AW2550" i="1"/>
  <c r="AV2550" i="1"/>
  <c r="AU2550" i="1"/>
  <c r="AW2548" i="1"/>
  <c r="AV2548" i="1"/>
  <c r="AW2547" i="1"/>
  <c r="AV2547" i="1"/>
  <c r="AW2546" i="1"/>
  <c r="AV2546" i="1"/>
  <c r="AW2545" i="1"/>
  <c r="AV2545" i="1"/>
  <c r="AW2544" i="1"/>
  <c r="AV2544" i="1"/>
  <c r="AW2543" i="1"/>
  <c r="AV2543" i="1"/>
  <c r="AW2542" i="1"/>
  <c r="AV2542" i="1"/>
  <c r="AW2541" i="1"/>
  <c r="AV2541" i="1"/>
  <c r="AW2540" i="1"/>
  <c r="AV2540" i="1"/>
  <c r="AW2539" i="1"/>
  <c r="AV2539" i="1"/>
  <c r="AW2538" i="1"/>
  <c r="AV2538" i="1"/>
  <c r="AW2537" i="1"/>
  <c r="AV2537" i="1"/>
  <c r="AW2536" i="1"/>
  <c r="AV2536" i="1"/>
  <c r="AW2535" i="1"/>
  <c r="AV2535" i="1"/>
  <c r="AW2534" i="1"/>
  <c r="AV2534" i="1"/>
  <c r="AU2534" i="1"/>
  <c r="AW2533" i="1"/>
  <c r="AV2533" i="1"/>
  <c r="AW2532" i="1"/>
  <c r="AV2532" i="1"/>
  <c r="AU2532" i="1"/>
  <c r="AW2531" i="1"/>
  <c r="AV2531" i="1"/>
  <c r="AW2530" i="1"/>
  <c r="AV2530" i="1"/>
  <c r="AW2529" i="1"/>
  <c r="AV2529" i="1"/>
  <c r="AW2528" i="1"/>
  <c r="AV2528" i="1"/>
  <c r="AW2527" i="1"/>
  <c r="AV2527" i="1"/>
  <c r="AU2527" i="1"/>
  <c r="AW2526" i="1"/>
  <c r="AV2526" i="1"/>
  <c r="AU2526" i="1"/>
  <c r="AW2525" i="1"/>
  <c r="AV2525" i="1"/>
  <c r="AU2525" i="1"/>
  <c r="AW2524" i="1"/>
  <c r="AV2524" i="1"/>
  <c r="AU2524" i="1"/>
  <c r="AW2523" i="1"/>
  <c r="AV2523" i="1"/>
  <c r="AU2523" i="1"/>
  <c r="AW2522" i="1"/>
  <c r="AV2522" i="1"/>
  <c r="AU2522" i="1"/>
  <c r="AW2521" i="1"/>
  <c r="AV2521" i="1"/>
  <c r="AU2521" i="1"/>
  <c r="AW2520" i="1"/>
  <c r="AV2520" i="1"/>
  <c r="AU2520" i="1"/>
  <c r="AW2519" i="1"/>
  <c r="AV2519" i="1"/>
  <c r="AU2519" i="1"/>
  <c r="AW2518" i="1"/>
  <c r="AV2518" i="1"/>
  <c r="AU2518" i="1"/>
  <c r="AW2517" i="1"/>
  <c r="AV2517" i="1"/>
  <c r="AU2517" i="1"/>
  <c r="AW2516" i="1"/>
  <c r="AV2516" i="1"/>
  <c r="AU2516" i="1"/>
  <c r="AW2515" i="1"/>
  <c r="AV2515" i="1"/>
  <c r="AU2515" i="1"/>
  <c r="AW2514" i="1"/>
  <c r="AV2514" i="1"/>
  <c r="AU2514" i="1"/>
  <c r="AW2513" i="1"/>
  <c r="AV2513" i="1"/>
  <c r="AU2513" i="1"/>
  <c r="AW2512" i="1"/>
  <c r="AV2512" i="1"/>
  <c r="AU2512" i="1"/>
  <c r="AW2511" i="1"/>
  <c r="AV2511" i="1"/>
  <c r="AU2511" i="1"/>
  <c r="AW2510" i="1"/>
  <c r="AV2510" i="1"/>
  <c r="AU2510" i="1"/>
  <c r="AW2509" i="1"/>
  <c r="AV2509" i="1"/>
  <c r="AW2508" i="1"/>
  <c r="AV2508" i="1"/>
  <c r="AU2508" i="1"/>
  <c r="AW2507" i="1"/>
  <c r="AV2507" i="1"/>
  <c r="AW2506" i="1"/>
  <c r="AV2506" i="1"/>
  <c r="AW2504" i="1"/>
  <c r="AV2504" i="1"/>
  <c r="AW2505" i="1"/>
  <c r="AV2505" i="1"/>
  <c r="AU2505" i="1"/>
  <c r="AW2503" i="1"/>
  <c r="AV2503" i="1"/>
  <c r="AU2503" i="1"/>
  <c r="AW2502" i="1"/>
  <c r="AV2502" i="1"/>
  <c r="AU2502" i="1"/>
  <c r="AW2501" i="1"/>
  <c r="AV2501" i="1"/>
  <c r="AU2501" i="1"/>
  <c r="AW2500" i="1"/>
  <c r="AV2500" i="1"/>
  <c r="AU2500" i="1"/>
  <c r="AW2499" i="1"/>
  <c r="AV2499" i="1"/>
  <c r="AU2499" i="1"/>
  <c r="AW2498" i="1"/>
  <c r="AV2498" i="1"/>
  <c r="AU2498" i="1"/>
  <c r="AW2497" i="1"/>
  <c r="AV2497" i="1"/>
  <c r="AU2497" i="1"/>
  <c r="AW2496" i="1"/>
  <c r="AV2496" i="1"/>
  <c r="AU2496" i="1"/>
  <c r="AW2495" i="1"/>
  <c r="AV2495" i="1"/>
  <c r="AU2495" i="1"/>
  <c r="AW2494" i="1"/>
  <c r="AV2494" i="1"/>
  <c r="AU2494" i="1"/>
  <c r="AW2493" i="1"/>
  <c r="AV2493" i="1"/>
  <c r="AU2493" i="1"/>
  <c r="AW2492" i="1"/>
  <c r="AV2492" i="1"/>
  <c r="AU2492" i="1"/>
  <c r="AW2491" i="1"/>
  <c r="AV2491" i="1"/>
  <c r="AU2491" i="1"/>
  <c r="AW2490" i="1"/>
  <c r="AV2490" i="1"/>
  <c r="AW2489" i="1"/>
  <c r="AV2489" i="1"/>
  <c r="AW2488" i="1"/>
  <c r="AV2488" i="1"/>
  <c r="AW2487" i="1"/>
  <c r="AV2487" i="1"/>
  <c r="AW2486" i="1"/>
  <c r="AV2486" i="1"/>
  <c r="AW2485" i="1"/>
  <c r="AV2485" i="1"/>
  <c r="AW2484" i="1"/>
  <c r="AV2484" i="1"/>
  <c r="AW2483" i="1"/>
  <c r="AV2483" i="1"/>
  <c r="AU2483" i="1"/>
  <c r="AW2482" i="1"/>
  <c r="AV2482" i="1"/>
  <c r="AU2482" i="1"/>
  <c r="AW2481" i="1"/>
  <c r="AV2481" i="1"/>
  <c r="AU2481" i="1"/>
  <c r="AW2480" i="1"/>
  <c r="AV2480" i="1"/>
  <c r="AU2480" i="1"/>
  <c r="AW2479" i="1"/>
  <c r="AV2479" i="1"/>
  <c r="AU2479" i="1"/>
  <c r="AW2478" i="1"/>
  <c r="AV2478" i="1"/>
  <c r="AU2478" i="1"/>
  <c r="AW2477" i="1"/>
  <c r="AV2477" i="1"/>
  <c r="AU2477" i="1"/>
  <c r="AW2476" i="1"/>
  <c r="AV2476" i="1"/>
  <c r="AU2476" i="1"/>
  <c r="AW2475" i="1"/>
  <c r="AV2475" i="1"/>
  <c r="AU2475" i="1"/>
  <c r="AW2474" i="1"/>
  <c r="AV2474" i="1"/>
  <c r="AU2474" i="1"/>
  <c r="AW2473" i="1"/>
  <c r="AV2473" i="1"/>
  <c r="AU2473" i="1"/>
  <c r="AW2472" i="1"/>
  <c r="AV2472" i="1"/>
  <c r="AU2472" i="1"/>
  <c r="AW2471" i="1"/>
  <c r="AV2471" i="1"/>
  <c r="AU2471" i="1"/>
  <c r="AW2470" i="1"/>
  <c r="AV2470" i="1"/>
  <c r="AU2470" i="1"/>
  <c r="AW2469" i="1"/>
  <c r="AV2469" i="1"/>
  <c r="AU2469" i="1"/>
  <c r="AW2468" i="1"/>
  <c r="AV2468" i="1"/>
  <c r="AU2468" i="1"/>
  <c r="AW2466" i="1"/>
  <c r="AV2466" i="1"/>
  <c r="AU2466" i="1"/>
  <c r="AW2465" i="1"/>
  <c r="AV2465" i="1"/>
  <c r="AW2464" i="1"/>
  <c r="AV2464" i="1"/>
  <c r="AW2463" i="1"/>
  <c r="AV2463" i="1"/>
  <c r="AW2462" i="1"/>
  <c r="AV2462" i="1"/>
  <c r="AU2462" i="1"/>
  <c r="AW2461" i="1"/>
  <c r="AV2461" i="1"/>
  <c r="AU2461" i="1"/>
  <c r="AW2460" i="1"/>
  <c r="AV2460" i="1"/>
  <c r="AU2460" i="1"/>
  <c r="AW2459" i="1"/>
  <c r="AV2459" i="1"/>
  <c r="AU2459" i="1"/>
  <c r="AW2458" i="1"/>
  <c r="AV2458" i="1"/>
  <c r="AU2458" i="1"/>
  <c r="AW2457" i="1"/>
  <c r="AV2457" i="1"/>
  <c r="AU2457" i="1"/>
  <c r="AW2456" i="1"/>
  <c r="AV2456" i="1"/>
  <c r="AU2456" i="1"/>
  <c r="AW2455" i="1"/>
  <c r="AV2455" i="1"/>
  <c r="AU2455" i="1"/>
  <c r="AW2454" i="1"/>
  <c r="AV2454" i="1"/>
  <c r="AU2454" i="1"/>
  <c r="AW2453" i="1"/>
  <c r="AV2453" i="1"/>
  <c r="AU2453" i="1"/>
  <c r="AW2452" i="1"/>
  <c r="AV2452" i="1"/>
  <c r="AU2452" i="1"/>
  <c r="AW2451" i="1"/>
  <c r="AV2451" i="1"/>
  <c r="AU2451" i="1"/>
  <c r="AW2467" i="1"/>
  <c r="AV2467" i="1"/>
  <c r="AW2450" i="1"/>
  <c r="AV2450" i="1"/>
  <c r="AW2449" i="1"/>
  <c r="AV2449" i="1"/>
  <c r="AU2449" i="1"/>
  <c r="AW2448" i="1"/>
  <c r="AV2448" i="1"/>
  <c r="AU2448" i="1"/>
  <c r="AW2447" i="1"/>
  <c r="AV2447" i="1"/>
  <c r="AU2447" i="1"/>
  <c r="AW2446" i="1"/>
  <c r="AV2446" i="1"/>
  <c r="AW2445" i="1"/>
  <c r="AV2445" i="1"/>
  <c r="AU2445" i="1"/>
  <c r="AW2444" i="1"/>
  <c r="AV2444" i="1"/>
  <c r="AU2444" i="1"/>
  <c r="AW2443" i="1"/>
  <c r="AV2443" i="1"/>
  <c r="AU2443" i="1"/>
  <c r="AW2442" i="1"/>
  <c r="AV2442" i="1"/>
  <c r="AU2442" i="1"/>
  <c r="AW2441" i="1"/>
  <c r="AV2441" i="1"/>
  <c r="AU2441" i="1"/>
  <c r="AW2440" i="1"/>
  <c r="AV2440" i="1"/>
  <c r="AW2439" i="1"/>
  <c r="AV2439" i="1"/>
  <c r="AU2439" i="1"/>
  <c r="AW2438" i="1"/>
  <c r="AV2438" i="1"/>
  <c r="AW2437" i="1"/>
  <c r="AV2437" i="1"/>
  <c r="AU2437" i="1"/>
  <c r="AW2436" i="1"/>
  <c r="AV2436" i="1"/>
  <c r="AU2436" i="1"/>
  <c r="AW2435" i="1"/>
  <c r="AV2435" i="1"/>
  <c r="AU2435" i="1"/>
  <c r="AW2434" i="1"/>
  <c r="AV2434" i="1"/>
  <c r="AU2434" i="1"/>
  <c r="AW2433" i="1"/>
  <c r="AV2433" i="1"/>
  <c r="AW2432" i="1"/>
  <c r="AV2432" i="1"/>
  <c r="AW2431" i="1"/>
  <c r="AV2431" i="1"/>
  <c r="AW2430" i="1"/>
  <c r="AV2430" i="1"/>
  <c r="AW2429" i="1"/>
  <c r="AV2429" i="1"/>
  <c r="AW2428" i="1"/>
  <c r="AV2428" i="1"/>
  <c r="AW2427" i="1"/>
  <c r="AV2427" i="1"/>
  <c r="AW2426" i="1"/>
  <c r="AV2426" i="1"/>
  <c r="AW2425" i="1"/>
  <c r="AV2425" i="1"/>
  <c r="AW2424" i="1"/>
  <c r="AV2424" i="1"/>
  <c r="AW2423" i="1"/>
  <c r="AV2423" i="1"/>
  <c r="AU2423" i="1"/>
  <c r="AW2422" i="1"/>
  <c r="AV2422" i="1"/>
  <c r="AU2422" i="1"/>
  <c r="AW2421" i="1"/>
  <c r="AV2421" i="1"/>
  <c r="AU2421" i="1"/>
  <c r="AW2420" i="1"/>
  <c r="AV2420" i="1"/>
  <c r="AW2419" i="1"/>
  <c r="AV2419" i="1"/>
  <c r="AW2418" i="1"/>
  <c r="AV2418" i="1"/>
  <c r="AW2417" i="1"/>
  <c r="AV2417" i="1"/>
  <c r="AW2416" i="1"/>
  <c r="AV2416" i="1"/>
  <c r="AU2416" i="1"/>
  <c r="AW2415" i="1"/>
  <c r="AV2415" i="1"/>
  <c r="AW2414" i="1"/>
  <c r="AV2414" i="1"/>
  <c r="AW2413" i="1"/>
  <c r="AV2413" i="1"/>
  <c r="AU2413" i="1"/>
  <c r="AW2412" i="1"/>
  <c r="AV2412" i="1"/>
  <c r="AU2412" i="1"/>
  <c r="AW2411" i="1"/>
  <c r="AV2411" i="1"/>
  <c r="AU2411" i="1"/>
  <c r="AW2410" i="1"/>
  <c r="AV2410" i="1"/>
  <c r="AU2410" i="1"/>
  <c r="AW2409" i="1"/>
  <c r="AV2409" i="1"/>
  <c r="AW2408" i="1"/>
  <c r="AV2408" i="1"/>
  <c r="AU2408" i="1"/>
  <c r="AW2407" i="1"/>
  <c r="AV2407" i="1"/>
  <c r="AW2406" i="1"/>
  <c r="AV2406" i="1"/>
  <c r="AU2406" i="1"/>
  <c r="AW2405" i="1"/>
  <c r="AV2405" i="1"/>
  <c r="AU2405" i="1"/>
  <c r="AW2404" i="1"/>
  <c r="AV2404" i="1"/>
  <c r="AU2404" i="1"/>
  <c r="AW2403" i="1"/>
  <c r="AV2403" i="1"/>
  <c r="AW2402" i="1"/>
  <c r="AV2402" i="1"/>
  <c r="AW2401" i="1"/>
  <c r="AV2401" i="1"/>
  <c r="AW2400" i="1"/>
  <c r="AV2400" i="1"/>
  <c r="AU2400" i="1"/>
  <c r="AW2399" i="1"/>
  <c r="AV2399" i="1"/>
  <c r="AU2399" i="1"/>
  <c r="AW2398" i="1"/>
  <c r="AV2398" i="1"/>
  <c r="AW2397" i="1"/>
  <c r="AV2397" i="1"/>
  <c r="AU2397" i="1"/>
  <c r="AW2396" i="1"/>
  <c r="AV2396" i="1"/>
  <c r="AW2395" i="1"/>
  <c r="AV2395" i="1"/>
  <c r="AW2394" i="1"/>
  <c r="AV2394" i="1"/>
  <c r="AW2393" i="1"/>
  <c r="AV2393" i="1"/>
  <c r="AU2393" i="1"/>
  <c r="AW2392" i="1"/>
  <c r="AV2392" i="1"/>
  <c r="AU2392" i="1"/>
  <c r="AW2391" i="1"/>
  <c r="AV2391" i="1"/>
  <c r="AW2390" i="1"/>
  <c r="AV2390" i="1"/>
  <c r="AW2389" i="1"/>
  <c r="AV2389" i="1"/>
  <c r="AU2389" i="1"/>
  <c r="AW2388" i="1"/>
  <c r="AV2388" i="1"/>
  <c r="AU2388" i="1"/>
  <c r="AW2387" i="1"/>
  <c r="AV2387" i="1"/>
  <c r="AU2387" i="1"/>
  <c r="AW2386" i="1"/>
  <c r="AV2386" i="1"/>
  <c r="AW2385" i="1"/>
  <c r="AV2385" i="1"/>
  <c r="AU2385" i="1"/>
  <c r="AW2384" i="1"/>
  <c r="AV2384" i="1"/>
  <c r="AW2383" i="1"/>
  <c r="AV2383" i="1"/>
  <c r="AW2382" i="1"/>
  <c r="AV2382" i="1"/>
  <c r="AU2382" i="1"/>
  <c r="AW2381" i="1"/>
  <c r="AV2381" i="1"/>
  <c r="AU2381" i="1"/>
  <c r="AW2380" i="1"/>
  <c r="AV2380" i="1"/>
  <c r="AU2380" i="1"/>
  <c r="AW2379" i="1"/>
  <c r="AV2379" i="1"/>
  <c r="AW2378" i="1"/>
  <c r="AV2378" i="1"/>
  <c r="AW2377" i="1"/>
  <c r="AV2377" i="1"/>
  <c r="AW2376" i="1"/>
  <c r="AV2376" i="1"/>
  <c r="AW2375" i="1"/>
  <c r="AV2375" i="1"/>
  <c r="AW2374" i="1"/>
  <c r="AV2374" i="1"/>
  <c r="AW2373" i="1"/>
  <c r="AV2373" i="1"/>
  <c r="AW2372" i="1"/>
  <c r="AV2372" i="1"/>
  <c r="AU2372" i="1"/>
  <c r="AW2371" i="1"/>
  <c r="AV2371" i="1"/>
  <c r="AU2371" i="1"/>
  <c r="AW2370" i="1"/>
  <c r="AV2370" i="1"/>
  <c r="AU2370" i="1"/>
  <c r="AW2369" i="1"/>
  <c r="AV2369" i="1"/>
  <c r="AU2369" i="1"/>
  <c r="AW2368" i="1"/>
  <c r="AV2368" i="1"/>
  <c r="AU2368" i="1"/>
  <c r="AW2367" i="1"/>
  <c r="AV2367" i="1"/>
  <c r="AW2366" i="1"/>
  <c r="AV2366" i="1"/>
  <c r="AW2365" i="1"/>
  <c r="AV2365" i="1"/>
  <c r="AW2364" i="1"/>
  <c r="AV2364" i="1"/>
  <c r="AW2363" i="1"/>
  <c r="AV2363" i="1"/>
  <c r="AW2362" i="1"/>
  <c r="AV2362" i="1"/>
  <c r="AW2361" i="1"/>
  <c r="AV2361" i="1"/>
  <c r="AU2361" i="1"/>
  <c r="AW2360" i="1"/>
  <c r="AV2360" i="1"/>
  <c r="AU2360" i="1"/>
  <c r="AW2359" i="1"/>
  <c r="AV2359" i="1"/>
  <c r="AU2359" i="1"/>
  <c r="AW2358" i="1"/>
  <c r="AV2358" i="1"/>
  <c r="AW2357" i="1"/>
  <c r="AV2357" i="1"/>
  <c r="AU2357" i="1"/>
  <c r="AW2356" i="1"/>
  <c r="AV2356" i="1"/>
  <c r="AW2355" i="1"/>
  <c r="AV2355" i="1"/>
  <c r="AW2354" i="1"/>
  <c r="AV2354" i="1"/>
  <c r="AU2354" i="1"/>
  <c r="AW2353" i="1"/>
  <c r="AV2353" i="1"/>
  <c r="AW2352" i="1"/>
  <c r="AV2352" i="1"/>
  <c r="AW2351" i="1"/>
  <c r="AV2351" i="1"/>
  <c r="AU2351" i="1"/>
  <c r="AW2350" i="1"/>
  <c r="AV2350" i="1"/>
  <c r="AU2350" i="1"/>
  <c r="AW2349" i="1"/>
  <c r="AV2349" i="1"/>
  <c r="AW2348" i="1"/>
  <c r="AV2348" i="1"/>
  <c r="AU2348" i="1"/>
  <c r="AW2347" i="1"/>
  <c r="AV2347" i="1"/>
  <c r="AW2346" i="1"/>
  <c r="AV2346" i="1"/>
  <c r="AW2345" i="1"/>
  <c r="AV2345" i="1"/>
  <c r="AW2344" i="1"/>
  <c r="AV2344" i="1"/>
  <c r="AW2343" i="1"/>
  <c r="AV2343" i="1"/>
  <c r="AU2343" i="1"/>
  <c r="AW2342" i="1"/>
  <c r="AV2342" i="1"/>
  <c r="AU2342" i="1"/>
  <c r="AW2341" i="1"/>
  <c r="AV2341" i="1"/>
  <c r="AU2341" i="1"/>
  <c r="AW2340" i="1"/>
  <c r="AV2340" i="1"/>
  <c r="AW2339" i="1"/>
  <c r="AV2339" i="1"/>
  <c r="AW2338" i="1"/>
  <c r="AV2338" i="1"/>
  <c r="AW2337" i="1"/>
  <c r="AV2337" i="1"/>
  <c r="AU2337" i="1"/>
  <c r="AW2336" i="1"/>
  <c r="AV2336" i="1"/>
  <c r="AW2335" i="1"/>
  <c r="AV2335" i="1"/>
  <c r="AW2334" i="1"/>
  <c r="AV2334" i="1"/>
  <c r="AW2333" i="1"/>
  <c r="AV2333" i="1"/>
  <c r="AW2332" i="1"/>
  <c r="AV2332" i="1"/>
  <c r="AW2331" i="1"/>
  <c r="AV2331" i="1"/>
  <c r="AW2330" i="1"/>
  <c r="AV2330" i="1"/>
  <c r="AW2329" i="1"/>
  <c r="AV2329" i="1"/>
  <c r="AW2328" i="1"/>
  <c r="AV2328" i="1"/>
  <c r="AW2327" i="1"/>
  <c r="AV2327" i="1"/>
  <c r="AW2326" i="1"/>
  <c r="AV2326" i="1"/>
  <c r="AW2325" i="1"/>
  <c r="AV2325" i="1"/>
  <c r="AW2324" i="1"/>
  <c r="AV2324" i="1"/>
  <c r="AW2323" i="1"/>
  <c r="AV2323" i="1"/>
  <c r="AW2322" i="1"/>
  <c r="AV2322" i="1"/>
  <c r="AW2321" i="1"/>
  <c r="AV2321" i="1"/>
  <c r="AW2320" i="1"/>
  <c r="AV2320" i="1"/>
  <c r="AW2319" i="1"/>
  <c r="AV2319" i="1"/>
  <c r="AW2318" i="1"/>
  <c r="AV2318" i="1"/>
  <c r="AW2317" i="1"/>
  <c r="AV2317" i="1"/>
  <c r="AW2316" i="1"/>
  <c r="AV2316" i="1"/>
  <c r="AW2315" i="1"/>
  <c r="AV2315" i="1"/>
  <c r="AW2314" i="1"/>
  <c r="AV2314" i="1"/>
  <c r="AW2313" i="1"/>
  <c r="AV2313" i="1"/>
  <c r="AW2312" i="1"/>
  <c r="AV2312" i="1"/>
  <c r="AW2311" i="1"/>
  <c r="AV2311" i="1"/>
  <c r="AW2310" i="1"/>
  <c r="AV2310" i="1"/>
  <c r="AW2309" i="1"/>
  <c r="AV2309" i="1"/>
  <c r="AW2308" i="1"/>
  <c r="AV2308" i="1"/>
  <c r="AW2307" i="1"/>
  <c r="AV2307" i="1"/>
  <c r="AW2306" i="1"/>
  <c r="AV2306" i="1"/>
  <c r="AW2305" i="1"/>
  <c r="AV2305" i="1"/>
  <c r="AW2304" i="1"/>
  <c r="AV2304" i="1"/>
  <c r="AW2303" i="1"/>
  <c r="AV2303" i="1"/>
  <c r="AW2302" i="1"/>
  <c r="AV2302" i="1"/>
  <c r="AW2301" i="1"/>
  <c r="AV2301" i="1"/>
  <c r="AW2300" i="1"/>
  <c r="AV2300" i="1"/>
  <c r="AW2299" i="1"/>
  <c r="AV2299" i="1"/>
  <c r="AW2298" i="1"/>
  <c r="AV2298" i="1"/>
  <c r="AW2297" i="1"/>
  <c r="AV2297" i="1"/>
  <c r="AW2296" i="1"/>
  <c r="AV2296" i="1"/>
  <c r="AW2295" i="1"/>
  <c r="AV2295" i="1"/>
  <c r="AW2294" i="1"/>
  <c r="AV2294" i="1"/>
  <c r="AW2293" i="1"/>
  <c r="AV2293" i="1"/>
  <c r="AW2292" i="1"/>
  <c r="AV2292" i="1"/>
  <c r="AW2291" i="1"/>
  <c r="AV2291" i="1"/>
  <c r="AW2290" i="1"/>
  <c r="AV2290" i="1"/>
  <c r="AW2289" i="1"/>
  <c r="AV2289" i="1"/>
  <c r="AW2288" i="1"/>
  <c r="AV2288" i="1"/>
  <c r="AW2287" i="1"/>
  <c r="AV2287" i="1"/>
  <c r="AW2286" i="1"/>
  <c r="AV2286" i="1"/>
  <c r="AW2285" i="1"/>
  <c r="AV2285" i="1"/>
  <c r="AW2284" i="1"/>
  <c r="AV2284" i="1"/>
  <c r="AW2283" i="1"/>
  <c r="AV2283" i="1"/>
  <c r="AW2282" i="1"/>
  <c r="AV2282" i="1"/>
  <c r="AW2281" i="1"/>
  <c r="AV2281" i="1"/>
  <c r="AW2280" i="1"/>
  <c r="AV2280" i="1"/>
  <c r="AW2279" i="1"/>
  <c r="AV2279" i="1"/>
  <c r="AW2278" i="1"/>
  <c r="AV2278" i="1"/>
  <c r="AW2277" i="1"/>
  <c r="AV2277" i="1"/>
  <c r="AW2276" i="1"/>
  <c r="AV2276" i="1"/>
  <c r="AW2275" i="1"/>
  <c r="AV2275" i="1"/>
  <c r="AW2274" i="1"/>
  <c r="AV2274" i="1"/>
  <c r="AU2274" i="1"/>
  <c r="AW2273" i="1"/>
  <c r="AV2273" i="1"/>
  <c r="AW2272" i="1"/>
  <c r="AV2272" i="1"/>
  <c r="AU2272" i="1"/>
  <c r="AW2271" i="1"/>
  <c r="AV2271" i="1"/>
  <c r="AU2271" i="1"/>
  <c r="AW2270" i="1"/>
  <c r="AV2270" i="1"/>
  <c r="AW2269" i="1"/>
  <c r="AV2269" i="1"/>
  <c r="AW2268" i="1"/>
  <c r="AV2268" i="1"/>
  <c r="AW2267" i="1"/>
  <c r="AV2267" i="1"/>
  <c r="AU2267" i="1"/>
  <c r="AW2266" i="1"/>
  <c r="AV2266" i="1"/>
  <c r="AW2265" i="1"/>
  <c r="AV2265" i="1"/>
  <c r="AW2264" i="1"/>
  <c r="AV2264" i="1"/>
  <c r="AW2263" i="1"/>
  <c r="AV2263" i="1"/>
  <c r="AU2263" i="1"/>
  <c r="AW2262" i="1"/>
  <c r="AV2262" i="1"/>
  <c r="AU2262" i="1"/>
  <c r="AW2261" i="1"/>
  <c r="AV2261" i="1"/>
  <c r="AW2260" i="1"/>
  <c r="AV2260" i="1"/>
  <c r="AW2259" i="1"/>
  <c r="AV2259" i="1"/>
  <c r="AW2258" i="1"/>
  <c r="AV2258" i="1"/>
  <c r="AU2258" i="1"/>
  <c r="AW2257" i="1"/>
  <c r="AV2257" i="1"/>
  <c r="AU2257" i="1"/>
  <c r="AW2256" i="1"/>
  <c r="AV2256" i="1"/>
  <c r="AW2255" i="1"/>
  <c r="AV2255" i="1"/>
  <c r="AW2254" i="1"/>
  <c r="AV2254" i="1"/>
  <c r="AW2253" i="1"/>
  <c r="AV2253" i="1"/>
  <c r="AW2252" i="1"/>
  <c r="AV2252" i="1"/>
  <c r="AW2251" i="1"/>
  <c r="AV2251" i="1"/>
  <c r="AU2251" i="1"/>
  <c r="AW2250" i="1"/>
  <c r="AV2250" i="1"/>
  <c r="AU2250" i="1"/>
  <c r="AW2249" i="1"/>
  <c r="AV2249" i="1"/>
  <c r="AW2248" i="1"/>
  <c r="AV2248" i="1"/>
  <c r="AU2248" i="1"/>
  <c r="AW2247" i="1"/>
  <c r="AV2247" i="1"/>
  <c r="AU2247" i="1"/>
  <c r="AW2246" i="1"/>
  <c r="AV2246" i="1"/>
  <c r="AW2245" i="1"/>
  <c r="AV2245" i="1"/>
  <c r="AU2245" i="1"/>
  <c r="AW2244" i="1"/>
  <c r="AV2244" i="1"/>
  <c r="AU2244" i="1"/>
  <c r="AW2243" i="1"/>
  <c r="AV2243" i="1"/>
  <c r="AU2243" i="1"/>
  <c r="AW2242" i="1"/>
  <c r="AV2242" i="1"/>
  <c r="AU2242" i="1"/>
  <c r="AW2241" i="1"/>
  <c r="AV2241" i="1"/>
  <c r="AU2241" i="1"/>
  <c r="AW2240" i="1"/>
  <c r="AV2240" i="1"/>
  <c r="AU2240" i="1"/>
  <c r="AW2239" i="1"/>
  <c r="AV2239" i="1"/>
  <c r="AU2239" i="1"/>
  <c r="AW2238" i="1"/>
  <c r="AV2238" i="1"/>
  <c r="AU2238" i="1"/>
  <c r="AW2237" i="1"/>
  <c r="AV2237" i="1"/>
  <c r="AU2237" i="1"/>
  <c r="AW2236" i="1"/>
  <c r="AV2236" i="1"/>
  <c r="AU2236" i="1"/>
  <c r="AW2235" i="1"/>
  <c r="AV2235" i="1"/>
  <c r="AU2235" i="1"/>
  <c r="AW2234" i="1"/>
  <c r="AV2234" i="1"/>
  <c r="AW2233" i="1"/>
  <c r="AV2233" i="1"/>
  <c r="AW2232" i="1"/>
  <c r="AV2232" i="1"/>
  <c r="AU2232" i="1"/>
  <c r="AW2231" i="1"/>
  <c r="AV2231" i="1"/>
  <c r="AW2230" i="1"/>
  <c r="AV2230" i="1"/>
  <c r="AU2230" i="1"/>
  <c r="AW2219" i="1"/>
  <c r="AV2219" i="1"/>
  <c r="AW2229" i="1"/>
  <c r="AV2229" i="1"/>
  <c r="AW2228" i="1"/>
  <c r="AV2228" i="1"/>
  <c r="AW2227" i="1"/>
  <c r="AV2227" i="1"/>
  <c r="AU2227" i="1"/>
  <c r="AW2226" i="1"/>
  <c r="AV2226" i="1"/>
  <c r="AU2226" i="1"/>
  <c r="AW2225" i="1"/>
  <c r="AV2225" i="1"/>
  <c r="AW2224" i="1"/>
  <c r="AV2224" i="1"/>
  <c r="AU2224" i="1"/>
  <c r="AW2223" i="1"/>
  <c r="AV2223" i="1"/>
  <c r="AW2222" i="1"/>
  <c r="AV2222" i="1"/>
  <c r="AW2221" i="1"/>
  <c r="AV2221" i="1"/>
  <c r="AW2220" i="1"/>
  <c r="AV2220" i="1"/>
  <c r="AW2218" i="1"/>
  <c r="AV2218" i="1"/>
  <c r="AW2217" i="1"/>
  <c r="AV2217" i="1"/>
  <c r="AW2216" i="1"/>
  <c r="AV2216" i="1"/>
  <c r="AU2216" i="1"/>
  <c r="AW2215" i="1"/>
  <c r="AV2215" i="1"/>
  <c r="AU2215" i="1"/>
  <c r="AW2214" i="1"/>
  <c r="AV2214" i="1"/>
  <c r="AW2213" i="1"/>
  <c r="AV2213" i="1"/>
  <c r="AU2213" i="1"/>
  <c r="AW2212" i="1"/>
  <c r="AV2212" i="1"/>
  <c r="AU2212" i="1"/>
  <c r="AW2211" i="1"/>
  <c r="AV2211" i="1"/>
  <c r="AU2211" i="1"/>
  <c r="AW2210" i="1"/>
  <c r="AV2210" i="1"/>
  <c r="AU2210" i="1"/>
  <c r="AW2209" i="1"/>
  <c r="AV2209" i="1"/>
  <c r="AU2209" i="1"/>
  <c r="AW2208" i="1"/>
  <c r="AV2208" i="1"/>
  <c r="AU2208" i="1"/>
  <c r="AW2207" i="1"/>
  <c r="AV2207" i="1"/>
  <c r="AU2207" i="1"/>
  <c r="AW2206" i="1"/>
  <c r="AV2206" i="1"/>
  <c r="AU2206" i="1"/>
  <c r="AW2205" i="1"/>
  <c r="AV2205" i="1"/>
  <c r="AU2205" i="1"/>
  <c r="AW2204" i="1"/>
  <c r="AV2204" i="1"/>
  <c r="AW2203" i="1"/>
  <c r="AV2203" i="1"/>
  <c r="AW2202" i="1"/>
  <c r="AV2202" i="1"/>
  <c r="AU2202" i="1"/>
  <c r="AW2201" i="1"/>
  <c r="AV2201" i="1"/>
  <c r="AW2200" i="1"/>
  <c r="AV2200" i="1"/>
  <c r="AW2199" i="1"/>
  <c r="AV2199" i="1"/>
  <c r="AW2198" i="1"/>
  <c r="AV2198" i="1"/>
  <c r="AW2197" i="1"/>
  <c r="AV2197" i="1"/>
  <c r="AW2196" i="1"/>
  <c r="AV2196" i="1"/>
  <c r="AU2196" i="1"/>
  <c r="AW2195" i="1"/>
  <c r="AV2195" i="1"/>
  <c r="AW2194" i="1"/>
  <c r="AV2194" i="1"/>
  <c r="AW2193" i="1"/>
  <c r="AV2193" i="1"/>
  <c r="AW2192" i="1"/>
  <c r="AV2192" i="1"/>
  <c r="AW2191" i="1"/>
  <c r="AV2191" i="1"/>
  <c r="AU2191" i="1"/>
  <c r="AW2190" i="1"/>
  <c r="AV2190" i="1"/>
  <c r="AU2190" i="1"/>
  <c r="AW2188" i="1"/>
  <c r="AV2188" i="1"/>
  <c r="AW2187" i="1"/>
  <c r="AV2187" i="1"/>
  <c r="AU2187" i="1"/>
  <c r="AW2186" i="1"/>
  <c r="AV2186" i="1"/>
  <c r="AW2185" i="1"/>
  <c r="AV2185" i="1"/>
  <c r="AU2185" i="1"/>
  <c r="AW2184" i="1"/>
  <c r="AV2184" i="1"/>
  <c r="AW2183" i="1"/>
  <c r="AV2183" i="1"/>
  <c r="AU2183" i="1"/>
  <c r="AW2182" i="1"/>
  <c r="AV2182" i="1"/>
  <c r="AU2182" i="1"/>
  <c r="AW2181" i="1"/>
  <c r="AV2181" i="1"/>
  <c r="AU2181" i="1"/>
  <c r="AW2180" i="1"/>
  <c r="AV2180" i="1"/>
  <c r="AU2180" i="1"/>
  <c r="AW2179" i="1"/>
  <c r="AV2179" i="1"/>
  <c r="AU2179" i="1"/>
  <c r="AW2178" i="1"/>
  <c r="AV2178" i="1"/>
  <c r="AU2178" i="1"/>
  <c r="AW2177" i="1"/>
  <c r="AV2177" i="1"/>
  <c r="AU2177" i="1"/>
  <c r="AW2176" i="1"/>
  <c r="AV2176" i="1"/>
  <c r="AU2176" i="1"/>
  <c r="AW2175" i="1"/>
  <c r="AV2175" i="1"/>
  <c r="AU2175" i="1"/>
  <c r="AW2174" i="1"/>
  <c r="AV2174" i="1"/>
  <c r="AW2189" i="1"/>
  <c r="AV2189" i="1"/>
  <c r="AW2173" i="1"/>
  <c r="AV2173" i="1"/>
  <c r="AW2172" i="1"/>
  <c r="AV2172" i="1"/>
  <c r="AW2171" i="1"/>
  <c r="AV2171" i="1"/>
  <c r="AU2171" i="1"/>
  <c r="AW2170" i="1"/>
  <c r="AV2170" i="1"/>
  <c r="AU2170" i="1"/>
  <c r="AW2169" i="1"/>
  <c r="AV2169" i="1"/>
  <c r="AU2169" i="1"/>
  <c r="AW2168" i="1"/>
  <c r="AV2168" i="1"/>
  <c r="AU2168" i="1"/>
  <c r="AW2167" i="1"/>
  <c r="AV2167" i="1"/>
  <c r="AU2167" i="1"/>
  <c r="AW2166" i="1"/>
  <c r="AV2166" i="1"/>
  <c r="AU2166" i="1"/>
  <c r="AW2165" i="1"/>
  <c r="AV2165" i="1"/>
  <c r="AW2164" i="1"/>
  <c r="AV2164" i="1"/>
  <c r="AW2163" i="1"/>
  <c r="AV2163" i="1"/>
  <c r="AW2162" i="1"/>
  <c r="AV2162" i="1"/>
  <c r="AW2161" i="1"/>
  <c r="AV2161" i="1"/>
  <c r="AW2160" i="1"/>
  <c r="AV2160" i="1"/>
  <c r="AW2159" i="1"/>
  <c r="AV2159" i="1"/>
  <c r="AW2158" i="1"/>
  <c r="AV2158" i="1"/>
  <c r="AW2157" i="1"/>
  <c r="AV2157" i="1"/>
  <c r="AW2156" i="1"/>
  <c r="AV2156" i="1"/>
  <c r="AW2155" i="1"/>
  <c r="AV2155" i="1"/>
  <c r="AU2155" i="1"/>
  <c r="AW2154" i="1"/>
  <c r="AV2154" i="1"/>
  <c r="AU2154" i="1"/>
  <c r="AW2153" i="1"/>
  <c r="AV2153" i="1"/>
  <c r="AU2153" i="1"/>
  <c r="AW2152" i="1"/>
  <c r="AV2152" i="1"/>
  <c r="AU2152" i="1"/>
  <c r="AW2151" i="1"/>
  <c r="AV2151" i="1"/>
  <c r="AU2151" i="1"/>
  <c r="AW2150" i="1"/>
  <c r="AV2150" i="1"/>
  <c r="AW2149" i="1"/>
  <c r="AV2149" i="1"/>
  <c r="AU2149" i="1"/>
  <c r="AW2148" i="1"/>
  <c r="AV2148" i="1"/>
  <c r="AW2147" i="1"/>
  <c r="AV2147" i="1"/>
  <c r="AW2146" i="1"/>
  <c r="AV2146" i="1"/>
  <c r="AW2145" i="1"/>
  <c r="AV2145" i="1"/>
  <c r="AW2144" i="1"/>
  <c r="AV2144" i="1"/>
  <c r="AU2144" i="1"/>
  <c r="AW2143" i="1"/>
  <c r="AV2143" i="1"/>
  <c r="AU2143" i="1"/>
  <c r="AW2142" i="1"/>
  <c r="AV2142" i="1"/>
  <c r="AU2142" i="1"/>
  <c r="AW2140" i="1"/>
  <c r="AV2140" i="1"/>
  <c r="AW2139" i="1"/>
  <c r="AV2139" i="1"/>
  <c r="AW2138" i="1"/>
  <c r="AV2138" i="1"/>
  <c r="AW2137" i="1"/>
  <c r="AV2137" i="1"/>
  <c r="AW2136" i="1"/>
  <c r="AV2136" i="1"/>
  <c r="AW2135" i="1"/>
  <c r="AV2135" i="1"/>
  <c r="AW2134" i="1"/>
  <c r="AV2134" i="1"/>
  <c r="AW2133" i="1"/>
  <c r="AV2133" i="1"/>
  <c r="AW2132" i="1"/>
  <c r="AV2132" i="1"/>
  <c r="AW2131" i="1"/>
  <c r="AV2131" i="1"/>
  <c r="AW2130" i="1"/>
  <c r="AV2130" i="1"/>
  <c r="AW2129" i="1"/>
  <c r="AV2129" i="1"/>
  <c r="AW2128" i="1"/>
  <c r="AV2128" i="1"/>
  <c r="AW2127" i="1"/>
  <c r="AV2127" i="1"/>
  <c r="AW2126" i="1"/>
  <c r="AV2126" i="1"/>
  <c r="AU2126" i="1"/>
  <c r="AW2125" i="1"/>
  <c r="AV2125" i="1"/>
  <c r="AU2125" i="1"/>
  <c r="AW2124" i="1"/>
  <c r="AV2124" i="1"/>
  <c r="AU2124" i="1"/>
  <c r="AW2123" i="1"/>
  <c r="AV2123" i="1"/>
  <c r="AU2123" i="1"/>
  <c r="AW2122" i="1"/>
  <c r="AV2122" i="1"/>
  <c r="AW2121" i="1"/>
  <c r="AV2121" i="1"/>
  <c r="AW2120" i="1"/>
  <c r="AV2120" i="1"/>
  <c r="AW2119" i="1"/>
  <c r="AV2119" i="1"/>
  <c r="AU2119" i="1"/>
  <c r="AW2118" i="1"/>
  <c r="AV2118" i="1"/>
  <c r="AU2118" i="1"/>
  <c r="AW2117" i="1"/>
  <c r="AV2117" i="1"/>
  <c r="AU2117" i="1"/>
  <c r="AW2115" i="1"/>
  <c r="AV2115" i="1"/>
  <c r="AU2115" i="1"/>
  <c r="AW2116" i="1"/>
  <c r="AV2116" i="1"/>
  <c r="AW2114" i="1"/>
  <c r="AV2114" i="1"/>
  <c r="AU2114" i="1"/>
  <c r="AW2113" i="1"/>
  <c r="AV2113" i="1"/>
  <c r="AW2112" i="1"/>
  <c r="AV2112" i="1"/>
  <c r="AW2111" i="1"/>
  <c r="AV2111" i="1"/>
  <c r="AW2110" i="1"/>
  <c r="AV2110" i="1"/>
  <c r="AW2109" i="1"/>
  <c r="AV2109" i="1"/>
  <c r="AW2108" i="1"/>
  <c r="AV2108" i="1"/>
  <c r="AU2108" i="1"/>
  <c r="AW2107" i="1"/>
  <c r="AV2107" i="1"/>
  <c r="AU2107" i="1"/>
  <c r="AW2141" i="1"/>
  <c r="AV2141" i="1"/>
  <c r="AW2106" i="1"/>
  <c r="AV2106" i="1"/>
  <c r="AW2105" i="1"/>
  <c r="AV2105" i="1"/>
  <c r="AW2104" i="1"/>
  <c r="AV2104" i="1"/>
  <c r="AW2102" i="1"/>
  <c r="AV2102" i="1"/>
  <c r="AW2101" i="1"/>
  <c r="AV2101" i="1"/>
  <c r="AW2100" i="1"/>
  <c r="AV2100" i="1"/>
  <c r="AU2100" i="1"/>
  <c r="AW2103" i="1"/>
  <c r="AV2103" i="1"/>
  <c r="AU2103" i="1"/>
  <c r="AW2099" i="1"/>
  <c r="AV2099" i="1"/>
  <c r="AW2098" i="1"/>
  <c r="AV2098" i="1"/>
  <c r="AW2097" i="1"/>
  <c r="AV2097" i="1"/>
  <c r="AW2096" i="1"/>
  <c r="AV2096" i="1"/>
  <c r="AW2095" i="1"/>
  <c r="AV2095" i="1"/>
  <c r="AW2094" i="1"/>
  <c r="AV2094" i="1"/>
  <c r="AW2093" i="1"/>
  <c r="AV2093" i="1"/>
  <c r="AW2092" i="1"/>
  <c r="AV2092" i="1"/>
  <c r="AW2091" i="1"/>
  <c r="AV2091" i="1"/>
  <c r="AW2090" i="1"/>
  <c r="AV2090" i="1"/>
  <c r="AU2090" i="1"/>
  <c r="AW2089" i="1"/>
  <c r="AV2089" i="1"/>
  <c r="AW2088" i="1"/>
  <c r="AV2088" i="1"/>
  <c r="AW2087" i="1"/>
  <c r="AV2087" i="1"/>
  <c r="AW2086" i="1"/>
  <c r="AV2086" i="1"/>
  <c r="AW2085" i="1"/>
  <c r="AV2085" i="1"/>
  <c r="AW2084" i="1"/>
  <c r="AV2084" i="1"/>
  <c r="AW2083" i="1"/>
  <c r="AV2083" i="1"/>
  <c r="AW2082" i="1"/>
  <c r="AV2082" i="1"/>
  <c r="AU2082" i="1"/>
  <c r="AW2081" i="1"/>
  <c r="AV2081" i="1"/>
  <c r="AW2080" i="1"/>
  <c r="AV2080" i="1"/>
  <c r="AW2079" i="1"/>
  <c r="AV2079" i="1"/>
  <c r="AW2078" i="1"/>
  <c r="AV2078" i="1"/>
  <c r="AU2078" i="1"/>
  <c r="AW2077" i="1"/>
  <c r="AV2077" i="1"/>
  <c r="AU2077" i="1"/>
  <c r="AW2076" i="1"/>
  <c r="AV2076" i="1"/>
  <c r="AU2076" i="1"/>
  <c r="AW2075" i="1"/>
  <c r="AV2075" i="1"/>
  <c r="AU2075" i="1"/>
  <c r="AW2074" i="1"/>
  <c r="AV2074" i="1"/>
  <c r="AU2074" i="1"/>
  <c r="AW2073" i="1"/>
  <c r="AV2073" i="1"/>
  <c r="AU2073" i="1"/>
  <c r="AW2072" i="1"/>
  <c r="AV2072" i="1"/>
  <c r="AU2072" i="1"/>
  <c r="AW2071" i="1"/>
  <c r="AV2071" i="1"/>
  <c r="AW2070" i="1"/>
  <c r="AV2070" i="1"/>
  <c r="AW2069" i="1"/>
  <c r="AV2069" i="1"/>
  <c r="AU2069" i="1"/>
  <c r="AW2068" i="1"/>
  <c r="AV2068" i="1"/>
  <c r="AU2068" i="1"/>
  <c r="AW2067" i="1"/>
  <c r="AV2067" i="1"/>
  <c r="AW2066" i="1"/>
  <c r="AV2066" i="1"/>
  <c r="AW2065" i="1"/>
  <c r="AV2065" i="1"/>
  <c r="AW2064" i="1"/>
  <c r="AV2064" i="1"/>
  <c r="AU2064" i="1"/>
  <c r="AW2063" i="1"/>
  <c r="AV2063" i="1"/>
  <c r="AU2063" i="1"/>
  <c r="AW2062" i="1"/>
  <c r="AV2062" i="1"/>
  <c r="AU2062" i="1"/>
  <c r="AW2061" i="1"/>
  <c r="AV2061" i="1"/>
  <c r="AU2061" i="1"/>
  <c r="AW2060" i="1"/>
  <c r="AV2060" i="1"/>
  <c r="AU2060" i="1"/>
  <c r="AW2059" i="1"/>
  <c r="AV2059" i="1"/>
  <c r="AU2059" i="1"/>
  <c r="AW2058" i="1"/>
  <c r="AV2058" i="1"/>
  <c r="AU2058" i="1"/>
  <c r="AW2057" i="1"/>
  <c r="AV2057" i="1"/>
  <c r="AU2057" i="1"/>
  <c r="AW2056" i="1"/>
  <c r="AV2056" i="1"/>
  <c r="AU2056" i="1"/>
  <c r="AW2055" i="1"/>
  <c r="AV2055" i="1"/>
  <c r="AU2055" i="1"/>
  <c r="AW2054" i="1"/>
  <c r="AV2054" i="1"/>
  <c r="AU2054" i="1"/>
  <c r="AW2053" i="1"/>
  <c r="AV2053" i="1"/>
  <c r="AU2053" i="1"/>
  <c r="AW2052" i="1"/>
  <c r="AV2052" i="1"/>
  <c r="AU2052" i="1"/>
  <c r="AW2051" i="1"/>
  <c r="AV2051" i="1"/>
  <c r="AU2051" i="1"/>
  <c r="AW2050" i="1"/>
  <c r="AV2050" i="1"/>
  <c r="AU2050" i="1"/>
  <c r="AW2049" i="1"/>
  <c r="AV2049" i="1"/>
  <c r="AU2049" i="1"/>
  <c r="AW2048" i="1"/>
  <c r="AV2048" i="1"/>
  <c r="AU2048" i="1"/>
  <c r="AW2047" i="1"/>
  <c r="AV2047" i="1"/>
  <c r="AU2047" i="1"/>
  <c r="AW2046" i="1"/>
  <c r="AV2046" i="1"/>
  <c r="AU2046" i="1"/>
  <c r="AW2045" i="1"/>
  <c r="AV2045" i="1"/>
  <c r="AU2045" i="1"/>
  <c r="AW2044" i="1"/>
  <c r="AV2044" i="1"/>
  <c r="AU2044" i="1"/>
  <c r="AW2043" i="1"/>
  <c r="AV2043" i="1"/>
  <c r="AU2043" i="1"/>
  <c r="AW2042" i="1"/>
  <c r="AV2042" i="1"/>
  <c r="AU2042" i="1"/>
  <c r="AW2041" i="1"/>
  <c r="AV2041" i="1"/>
  <c r="AU2041" i="1"/>
  <c r="AW2039" i="1"/>
  <c r="AV2039" i="1"/>
  <c r="AU2039" i="1"/>
  <c r="AW2038" i="1"/>
  <c r="AV2038" i="1"/>
  <c r="AW2037" i="1"/>
  <c r="AV2037" i="1"/>
  <c r="AW2036" i="1"/>
  <c r="AV2036" i="1"/>
  <c r="AW2035" i="1"/>
  <c r="AV2035" i="1"/>
  <c r="AU2035" i="1"/>
  <c r="AW2034" i="1"/>
  <c r="AV2034" i="1"/>
  <c r="AU2034" i="1"/>
  <c r="AW2033" i="1"/>
  <c r="AV2033" i="1"/>
  <c r="AU2033" i="1"/>
  <c r="AW2032" i="1"/>
  <c r="AV2032" i="1"/>
  <c r="AW2031" i="1"/>
  <c r="AV2031" i="1"/>
  <c r="AU2031" i="1"/>
  <c r="AW2030" i="1"/>
  <c r="AV2030" i="1"/>
  <c r="AW2029" i="1"/>
  <c r="AV2029" i="1"/>
  <c r="AU2029" i="1"/>
  <c r="AW2028" i="1"/>
  <c r="AV2028" i="1"/>
  <c r="AW2027" i="1"/>
  <c r="AV2027" i="1"/>
  <c r="AW2026" i="1"/>
  <c r="AV2026" i="1"/>
  <c r="AU2026" i="1"/>
  <c r="AW2025" i="1"/>
  <c r="AV2025" i="1"/>
  <c r="AW2024" i="1"/>
  <c r="AV2024" i="1"/>
  <c r="AU2024" i="1"/>
  <c r="AW2023" i="1"/>
  <c r="AV2023" i="1"/>
  <c r="AW2022" i="1"/>
  <c r="AV2022" i="1"/>
  <c r="AW2021" i="1"/>
  <c r="AV2021" i="1"/>
  <c r="AW2020" i="1"/>
  <c r="AV2020" i="1"/>
  <c r="AW2019" i="1"/>
  <c r="AV2019" i="1"/>
  <c r="AW2018" i="1"/>
  <c r="AV2018" i="1"/>
  <c r="AU2018" i="1"/>
  <c r="AW2017" i="1"/>
  <c r="AV2017" i="1"/>
  <c r="AU2017" i="1"/>
  <c r="AW2016" i="1"/>
  <c r="AV2016" i="1"/>
  <c r="AU2016" i="1"/>
  <c r="AW2015" i="1"/>
  <c r="AV2015" i="1"/>
  <c r="AU2015" i="1"/>
  <c r="AW2014" i="1"/>
  <c r="AV2014" i="1"/>
  <c r="AW2013" i="1"/>
  <c r="AV2013" i="1"/>
  <c r="AU2013" i="1"/>
  <c r="AW2012" i="1"/>
  <c r="AV2012" i="1"/>
  <c r="AW2011" i="1"/>
  <c r="AV2011" i="1"/>
  <c r="AU2011" i="1"/>
  <c r="AW2010" i="1"/>
  <c r="AV2010" i="1"/>
  <c r="AU2010" i="1"/>
  <c r="AW2009" i="1"/>
  <c r="AV2009" i="1"/>
  <c r="AU2009" i="1"/>
  <c r="AW2008" i="1"/>
  <c r="AV2008" i="1"/>
  <c r="AW2007" i="1"/>
  <c r="AV2007" i="1"/>
  <c r="AW2006" i="1"/>
  <c r="AV2006" i="1"/>
  <c r="AU2006" i="1"/>
  <c r="AW2005" i="1"/>
  <c r="AV2005" i="1"/>
  <c r="AW2004" i="1"/>
  <c r="AV2004" i="1"/>
  <c r="AU2004" i="1"/>
  <c r="AW2003" i="1"/>
  <c r="AV2003" i="1"/>
  <c r="AU2003" i="1"/>
  <c r="AW2002" i="1"/>
  <c r="AV2002" i="1"/>
  <c r="AW2040" i="1"/>
  <c r="AV2040" i="1"/>
  <c r="AW2001" i="1"/>
  <c r="AV2001" i="1"/>
  <c r="AW2000" i="1"/>
  <c r="AV2000" i="1"/>
  <c r="AU2000" i="1"/>
  <c r="AW1999" i="1"/>
  <c r="AV1999" i="1"/>
  <c r="AU1999" i="1"/>
  <c r="AW1998" i="1"/>
  <c r="AV1998" i="1"/>
  <c r="AW1997" i="1"/>
  <c r="AV1997" i="1"/>
  <c r="AU1997" i="1"/>
  <c r="AW1996" i="1"/>
  <c r="AV1996" i="1"/>
  <c r="AU1996" i="1"/>
  <c r="AW1995" i="1"/>
  <c r="AV1995" i="1"/>
  <c r="AW1994" i="1"/>
  <c r="AV1994" i="1"/>
  <c r="AW1993" i="1"/>
  <c r="AV1993" i="1"/>
  <c r="AW1990" i="1"/>
  <c r="AV1990" i="1"/>
  <c r="AU1990" i="1"/>
  <c r="AW1989" i="1"/>
  <c r="AV1989" i="1"/>
  <c r="AW1988" i="1"/>
  <c r="AV1988" i="1"/>
  <c r="AW1987" i="1"/>
  <c r="AV1987" i="1"/>
  <c r="AW1992" i="1"/>
  <c r="AV1992" i="1"/>
  <c r="AW1991" i="1"/>
  <c r="AV1991" i="1"/>
  <c r="AW1986" i="1"/>
  <c r="AV1986" i="1"/>
  <c r="AW1985" i="1"/>
  <c r="AV1985" i="1"/>
  <c r="AW1984" i="1"/>
  <c r="AV1984" i="1"/>
  <c r="AW1983" i="1"/>
  <c r="AV1983" i="1"/>
  <c r="AW1982" i="1"/>
  <c r="AV1982" i="1"/>
  <c r="AW1981" i="1"/>
  <c r="AV1981" i="1"/>
  <c r="AW1980" i="1"/>
  <c r="AV1980" i="1"/>
  <c r="AW1979" i="1"/>
  <c r="AV1979" i="1"/>
  <c r="AW1978" i="1"/>
  <c r="AV1978" i="1"/>
  <c r="AW1977" i="1"/>
  <c r="AV1977" i="1"/>
  <c r="AW1976" i="1"/>
  <c r="AV1976" i="1"/>
  <c r="AW1975" i="1"/>
  <c r="AV1975" i="1"/>
  <c r="AW1974" i="1"/>
  <c r="AV1974" i="1"/>
  <c r="AW1973" i="1"/>
  <c r="AV1973" i="1"/>
  <c r="AW1972" i="1"/>
  <c r="AV1972" i="1"/>
  <c r="AW1971" i="1"/>
  <c r="AV1971" i="1"/>
  <c r="AW1970" i="1"/>
  <c r="AV1970" i="1"/>
  <c r="AW1969" i="1"/>
  <c r="AV1969" i="1"/>
  <c r="AW1968" i="1"/>
  <c r="AV1968" i="1"/>
  <c r="AW1967" i="1"/>
  <c r="AV1967" i="1"/>
  <c r="AW1966" i="1"/>
  <c r="AV1966" i="1"/>
  <c r="AW1965" i="1"/>
  <c r="AV1965" i="1"/>
  <c r="AW1964" i="1"/>
  <c r="AV1964" i="1"/>
  <c r="AW1963" i="1"/>
  <c r="AV1963" i="1"/>
  <c r="AU1963" i="1"/>
  <c r="AW1962" i="1"/>
  <c r="AV1962" i="1"/>
  <c r="AU1962" i="1"/>
  <c r="AW1961" i="1"/>
  <c r="AV1961" i="1"/>
  <c r="AU1961" i="1"/>
  <c r="AW1960" i="1"/>
  <c r="AV1960" i="1"/>
  <c r="AW1959" i="1"/>
  <c r="AV1959" i="1"/>
  <c r="AW1958" i="1"/>
  <c r="AV1958" i="1"/>
  <c r="AW1957" i="1"/>
  <c r="AV1957" i="1"/>
  <c r="AW1956" i="1"/>
  <c r="AV1956" i="1"/>
  <c r="AW1955" i="1"/>
  <c r="AV1955" i="1"/>
  <c r="AW1954" i="1"/>
  <c r="AV1954" i="1"/>
  <c r="AW1953" i="1"/>
  <c r="AV1953" i="1"/>
  <c r="AU1953" i="1"/>
  <c r="AW1952" i="1"/>
  <c r="AV1952" i="1"/>
  <c r="AW1951" i="1"/>
  <c r="AV1951" i="1"/>
  <c r="AU1951" i="1"/>
  <c r="AW1950" i="1"/>
  <c r="AV1950" i="1"/>
  <c r="AU1950" i="1"/>
  <c r="AW1941" i="1"/>
  <c r="AV1941" i="1"/>
  <c r="AU1941" i="1"/>
  <c r="AW1940" i="1"/>
  <c r="AV1940" i="1"/>
  <c r="AU1940" i="1"/>
  <c r="AW1939" i="1"/>
  <c r="AV1939" i="1"/>
  <c r="AU1939" i="1"/>
  <c r="AW1938" i="1"/>
  <c r="AV1938" i="1"/>
  <c r="AU1938" i="1"/>
  <c r="AW1937" i="1"/>
  <c r="AV1937" i="1"/>
  <c r="AU1937" i="1"/>
  <c r="AW1936" i="1"/>
  <c r="AV1936" i="1"/>
  <c r="AU1936" i="1"/>
  <c r="AW1935" i="1"/>
  <c r="AV1935" i="1"/>
  <c r="AU1935" i="1"/>
  <c r="AW1934" i="1"/>
  <c r="AV1934" i="1"/>
  <c r="AU1934" i="1"/>
  <c r="AW1933" i="1"/>
  <c r="AV1933" i="1"/>
  <c r="AU1933" i="1"/>
  <c r="AW1932" i="1"/>
  <c r="AV1932" i="1"/>
  <c r="AU1932" i="1"/>
  <c r="AW1931" i="1"/>
  <c r="AV1931" i="1"/>
  <c r="AU1931" i="1"/>
  <c r="AW1930" i="1"/>
  <c r="AV1930" i="1"/>
  <c r="AU1930" i="1"/>
  <c r="AW1929" i="1"/>
  <c r="AV1929" i="1"/>
  <c r="AU1929" i="1"/>
  <c r="AW1928" i="1"/>
  <c r="AV1928" i="1"/>
  <c r="AU1928" i="1"/>
  <c r="AW1927" i="1"/>
  <c r="AV1927" i="1"/>
  <c r="AU1927" i="1"/>
  <c r="AW1926" i="1"/>
  <c r="AV1926" i="1"/>
  <c r="AU1926" i="1"/>
  <c r="AW1925" i="1"/>
  <c r="AV1925" i="1"/>
  <c r="AU1925" i="1"/>
  <c r="AW1924" i="1"/>
  <c r="AV1924" i="1"/>
  <c r="AU1924" i="1"/>
  <c r="AW1923" i="1"/>
  <c r="AV1923" i="1"/>
  <c r="AU1923" i="1"/>
  <c r="AW1922" i="1"/>
  <c r="AV1922" i="1"/>
  <c r="AU1922" i="1"/>
  <c r="AW1921" i="1"/>
  <c r="AV1921" i="1"/>
  <c r="AU1921" i="1"/>
  <c r="AW1920" i="1"/>
  <c r="AV1920" i="1"/>
  <c r="AU1920" i="1"/>
  <c r="AW1919" i="1"/>
  <c r="AV1919" i="1"/>
  <c r="AU1919" i="1"/>
  <c r="AW1918" i="1"/>
  <c r="AV1918" i="1"/>
  <c r="AU1918" i="1"/>
  <c r="AW1917" i="1"/>
  <c r="AV1917" i="1"/>
  <c r="AU1917" i="1"/>
  <c r="AW1916" i="1"/>
  <c r="AV1916" i="1"/>
  <c r="AU1916" i="1"/>
  <c r="AW1915" i="1"/>
  <c r="AV1915" i="1"/>
  <c r="AU1915" i="1"/>
  <c r="AW1914" i="1"/>
  <c r="AV1914" i="1"/>
  <c r="AU1914" i="1"/>
  <c r="AW1913" i="1"/>
  <c r="AV1913" i="1"/>
  <c r="AU1913" i="1"/>
  <c r="AW1912" i="1"/>
  <c r="AV1912" i="1"/>
  <c r="AW1911" i="1"/>
  <c r="AV1911" i="1"/>
  <c r="AW1910" i="1"/>
  <c r="AV1910" i="1"/>
  <c r="AW1909" i="1"/>
  <c r="AV1909" i="1"/>
  <c r="AW1908" i="1"/>
  <c r="AV1908" i="1"/>
  <c r="AW1907" i="1"/>
  <c r="AV1907" i="1"/>
  <c r="AW1906" i="1"/>
  <c r="AV1906" i="1"/>
  <c r="AW1905" i="1"/>
  <c r="AV1905" i="1"/>
  <c r="AW1904" i="1"/>
  <c r="AV1904" i="1"/>
  <c r="AW1903" i="1"/>
  <c r="AV1903" i="1"/>
  <c r="AW1902" i="1"/>
  <c r="AV1902" i="1"/>
  <c r="AW1901" i="1"/>
  <c r="AV1901" i="1"/>
  <c r="AW1949" i="1"/>
  <c r="AV1949" i="1"/>
  <c r="AW1948" i="1"/>
  <c r="AV1948" i="1"/>
  <c r="AU1948" i="1"/>
  <c r="AW1947" i="1"/>
  <c r="AV1947" i="1"/>
  <c r="AU1947" i="1"/>
  <c r="AW1946" i="1"/>
  <c r="AV1946" i="1"/>
  <c r="AW1945" i="1"/>
  <c r="AV1945" i="1"/>
  <c r="AW1944" i="1"/>
  <c r="AV1944" i="1"/>
  <c r="AU1944" i="1"/>
  <c r="AW1943" i="1"/>
  <c r="AV1943" i="1"/>
  <c r="AU1943" i="1"/>
  <c r="AW1942" i="1"/>
  <c r="AV1942" i="1"/>
  <c r="AU1942" i="1"/>
  <c r="AW1900" i="1"/>
  <c r="AV1900" i="1"/>
  <c r="AW1898" i="1"/>
  <c r="AV1898" i="1"/>
  <c r="AW1897" i="1"/>
  <c r="AV1897" i="1"/>
  <c r="AU1897" i="1"/>
  <c r="AW1896" i="1"/>
  <c r="AV1896" i="1"/>
  <c r="AU1896" i="1"/>
  <c r="AW1895" i="1"/>
  <c r="AV1895" i="1"/>
  <c r="AU1895" i="1"/>
  <c r="AW1894" i="1"/>
  <c r="AV1894" i="1"/>
  <c r="AU1894" i="1"/>
  <c r="AW1893" i="1"/>
  <c r="AV1893" i="1"/>
  <c r="AU1893" i="1"/>
  <c r="AW1899" i="1"/>
  <c r="AV1899" i="1"/>
  <c r="AU1899" i="1"/>
  <c r="AW1892" i="1"/>
  <c r="AV1892" i="1"/>
  <c r="AU1892" i="1"/>
  <c r="AW1891" i="1"/>
  <c r="AV1891" i="1"/>
  <c r="AW1890" i="1"/>
  <c r="AV1890" i="1"/>
  <c r="AW1889" i="1"/>
  <c r="AV1889" i="1"/>
  <c r="AU1889" i="1"/>
  <c r="AW1888" i="1"/>
  <c r="AV1888" i="1"/>
  <c r="AU1888" i="1"/>
  <c r="AW1887" i="1"/>
  <c r="AV1887" i="1"/>
  <c r="AW1886" i="1"/>
  <c r="AV1886" i="1"/>
  <c r="AU1886" i="1"/>
  <c r="AW1885" i="1"/>
  <c r="AV1885" i="1"/>
  <c r="AW1884" i="1"/>
  <c r="AV1884" i="1"/>
  <c r="AW1883" i="1"/>
  <c r="AV1883" i="1"/>
  <c r="AU1883" i="1"/>
  <c r="AW1882" i="1"/>
  <c r="AV1882" i="1"/>
  <c r="AW1881" i="1"/>
  <c r="AV1881" i="1"/>
  <c r="AW1880" i="1"/>
  <c r="AV1880" i="1"/>
  <c r="AU1880" i="1"/>
  <c r="AW1879" i="1"/>
  <c r="AV1879" i="1"/>
  <c r="AU1879" i="1"/>
  <c r="AW1878" i="1"/>
  <c r="AV1878" i="1"/>
  <c r="AU1878" i="1"/>
  <c r="AW1877" i="1"/>
  <c r="AV1877" i="1"/>
  <c r="AW1876" i="1"/>
  <c r="AV1876" i="1"/>
  <c r="AW1875" i="1"/>
  <c r="AV1875" i="1"/>
  <c r="AU1875" i="1"/>
  <c r="AW1874" i="1"/>
  <c r="AV1874" i="1"/>
  <c r="AU1874" i="1"/>
  <c r="AW1873" i="1"/>
  <c r="AV1873" i="1"/>
  <c r="AW1872" i="1"/>
  <c r="AV1872" i="1"/>
  <c r="AW1871" i="1"/>
  <c r="AV1871" i="1"/>
  <c r="AW1870" i="1"/>
  <c r="AV1870" i="1"/>
  <c r="AW1869" i="1"/>
  <c r="AV1869" i="1"/>
  <c r="AW1868" i="1"/>
  <c r="AV1868" i="1"/>
  <c r="AW1867" i="1"/>
  <c r="AV1867" i="1"/>
  <c r="AW1866" i="1"/>
  <c r="AV1866" i="1"/>
  <c r="AW1865" i="1"/>
  <c r="AV1865" i="1"/>
  <c r="AU1865" i="1"/>
  <c r="AW1864" i="1"/>
  <c r="AV1864" i="1"/>
  <c r="AW1863" i="1"/>
  <c r="AV1863" i="1"/>
  <c r="AW1862" i="1"/>
  <c r="AV1862" i="1"/>
  <c r="AU1862" i="1"/>
  <c r="AW1861" i="1"/>
  <c r="AV1861" i="1"/>
  <c r="AU1861" i="1"/>
  <c r="AW1860" i="1"/>
  <c r="AV1860" i="1"/>
  <c r="AU1860" i="1"/>
  <c r="AW1859" i="1"/>
  <c r="AV1859" i="1"/>
  <c r="AW1858" i="1"/>
  <c r="AV1858" i="1"/>
  <c r="AW1857" i="1"/>
  <c r="AV1857" i="1"/>
  <c r="AW1856" i="1"/>
  <c r="AV1856" i="1"/>
  <c r="AW1855" i="1"/>
  <c r="AV1855" i="1"/>
  <c r="AW1854" i="1"/>
  <c r="AV1854" i="1"/>
  <c r="AW1853" i="1"/>
  <c r="AV1853" i="1"/>
  <c r="AW1852" i="1"/>
  <c r="AV1852" i="1"/>
  <c r="AU1852" i="1"/>
  <c r="AW1851" i="1"/>
  <c r="AV1851" i="1"/>
  <c r="AW1836" i="1"/>
  <c r="AV1836" i="1"/>
  <c r="AW1835" i="1"/>
  <c r="AV1835" i="1"/>
  <c r="AU1835" i="1"/>
  <c r="AW1850" i="1"/>
  <c r="AV1850" i="1"/>
  <c r="AW1849" i="1"/>
  <c r="AV1849" i="1"/>
  <c r="AW1848" i="1"/>
  <c r="AV1848" i="1"/>
  <c r="AW1847" i="1"/>
  <c r="AV1847" i="1"/>
  <c r="AW1846" i="1"/>
  <c r="AV1846" i="1"/>
  <c r="AW1845" i="1"/>
  <c r="AV1845" i="1"/>
  <c r="AW1844" i="1"/>
  <c r="AV1844" i="1"/>
  <c r="AW1843" i="1"/>
  <c r="AV1843" i="1"/>
  <c r="AW1842" i="1"/>
  <c r="AV1842" i="1"/>
  <c r="AU1842" i="1"/>
  <c r="AW1841" i="1"/>
  <c r="AV1841" i="1"/>
  <c r="AU1841" i="1"/>
  <c r="AW1840" i="1"/>
  <c r="AV1840" i="1"/>
  <c r="AU1840" i="1"/>
  <c r="AW1839" i="1"/>
  <c r="AV1839" i="1"/>
  <c r="AW1838" i="1"/>
  <c r="AV1838" i="1"/>
  <c r="AW1837" i="1"/>
  <c r="AV1837" i="1"/>
  <c r="AW1829" i="1"/>
  <c r="AV1829" i="1"/>
  <c r="AW1828" i="1"/>
  <c r="AV1828" i="1"/>
  <c r="AW1827" i="1"/>
  <c r="AV1827" i="1"/>
  <c r="AW1826" i="1"/>
  <c r="AV1826" i="1"/>
  <c r="AU1826" i="1"/>
  <c r="AW1834" i="1"/>
  <c r="AV1834" i="1"/>
  <c r="AU1834" i="1"/>
  <c r="AW1833" i="1"/>
  <c r="AV1833" i="1"/>
  <c r="AW1832" i="1"/>
  <c r="AV1832" i="1"/>
  <c r="AW1831" i="1"/>
  <c r="AV1831" i="1"/>
  <c r="AW1830" i="1"/>
  <c r="AV1830" i="1"/>
  <c r="AW1825" i="1"/>
  <c r="AV1825" i="1"/>
  <c r="AU1825" i="1"/>
  <c r="AW1824" i="1"/>
  <c r="AV1824" i="1"/>
  <c r="AU1824" i="1"/>
  <c r="AW1823" i="1"/>
  <c r="AV1823" i="1"/>
  <c r="AW1822" i="1"/>
  <c r="AV1822" i="1"/>
  <c r="AW1821" i="1"/>
  <c r="AV1821" i="1"/>
  <c r="AW1820" i="1"/>
  <c r="AV1820" i="1"/>
  <c r="AW1819" i="1"/>
  <c r="AV1819" i="1"/>
  <c r="AU1819" i="1"/>
  <c r="AW1818" i="1"/>
  <c r="AV1818" i="1"/>
  <c r="AU1818" i="1"/>
  <c r="AW1817" i="1"/>
  <c r="AV1817" i="1"/>
  <c r="AU1817" i="1"/>
  <c r="AW1816" i="1"/>
  <c r="AV1816" i="1"/>
  <c r="AU1816" i="1"/>
  <c r="AW1815" i="1"/>
  <c r="AV1815" i="1"/>
  <c r="AU1815" i="1"/>
  <c r="AW1814" i="1"/>
  <c r="AV1814" i="1"/>
  <c r="AU1814" i="1"/>
  <c r="AW1813" i="1"/>
  <c r="AV1813" i="1"/>
  <c r="AU1813" i="1"/>
  <c r="AW1812" i="1"/>
  <c r="AV1812" i="1"/>
  <c r="AU1812" i="1"/>
  <c r="AW1811" i="1"/>
  <c r="AV1811" i="1"/>
  <c r="AU1811" i="1"/>
  <c r="AW1810" i="1"/>
  <c r="AV1810" i="1"/>
  <c r="AU1810" i="1"/>
  <c r="AW1809" i="1"/>
  <c r="AV1809" i="1"/>
  <c r="AU1809" i="1"/>
  <c r="AW1808" i="1"/>
  <c r="AV1808" i="1"/>
  <c r="AU1808" i="1"/>
  <c r="AW1807" i="1"/>
  <c r="AV1807" i="1"/>
  <c r="AU1807" i="1"/>
  <c r="AW1806" i="1"/>
  <c r="AV1806" i="1"/>
  <c r="AU1806" i="1"/>
  <c r="AW1805" i="1"/>
  <c r="AV1805" i="1"/>
  <c r="AU1805" i="1"/>
  <c r="AW1804" i="1"/>
  <c r="AV1804" i="1"/>
  <c r="AU1804" i="1"/>
  <c r="AW1803" i="1"/>
  <c r="AV1803" i="1"/>
  <c r="AW1802" i="1"/>
  <c r="AV1802" i="1"/>
  <c r="AU1802" i="1"/>
  <c r="AW1801" i="1"/>
  <c r="AV1801" i="1"/>
  <c r="AU1801" i="1"/>
  <c r="AW1800" i="1"/>
  <c r="AV1800" i="1"/>
  <c r="AW1799" i="1"/>
  <c r="AV1799" i="1"/>
  <c r="AU1799" i="1"/>
  <c r="AW1798" i="1"/>
  <c r="AV1798" i="1"/>
  <c r="AU1798" i="1"/>
  <c r="AW1797" i="1"/>
  <c r="AV1797" i="1"/>
  <c r="AU1797" i="1"/>
  <c r="AW1796" i="1"/>
  <c r="AV1796" i="1"/>
  <c r="AW1795" i="1"/>
  <c r="AV1795" i="1"/>
  <c r="AU1795" i="1"/>
  <c r="AW1794" i="1"/>
  <c r="AV1794" i="1"/>
  <c r="AW1793" i="1"/>
  <c r="AV1793" i="1"/>
  <c r="AW1792" i="1"/>
  <c r="AV1792" i="1"/>
  <c r="AU1792" i="1"/>
  <c r="AW1791" i="1"/>
  <c r="AV1791" i="1"/>
  <c r="AU1791" i="1"/>
  <c r="AW1790" i="1"/>
  <c r="AV1790" i="1"/>
  <c r="AW1787" i="1"/>
  <c r="AV1787" i="1"/>
  <c r="AW1786" i="1"/>
  <c r="AV1786" i="1"/>
  <c r="AW1785" i="1"/>
  <c r="AV1785" i="1"/>
  <c r="AW1784" i="1"/>
  <c r="AV1784" i="1"/>
  <c r="AU1784" i="1"/>
  <c r="AW1783" i="1"/>
  <c r="AV1783" i="1"/>
  <c r="AU1783" i="1"/>
  <c r="AW1782" i="1"/>
  <c r="AV1782" i="1"/>
  <c r="AU1782" i="1"/>
  <c r="AW1789" i="1"/>
  <c r="AV1789" i="1"/>
  <c r="AU1789" i="1"/>
  <c r="AW1788" i="1"/>
  <c r="AV1788" i="1"/>
  <c r="AU1788" i="1"/>
  <c r="AW1781" i="1"/>
  <c r="AV1781" i="1"/>
  <c r="AU1781" i="1"/>
  <c r="AW1780" i="1"/>
  <c r="AV1780" i="1"/>
  <c r="AU1780" i="1"/>
  <c r="AW1779" i="1"/>
  <c r="AV1779" i="1"/>
  <c r="AU1779" i="1"/>
  <c r="AW1778" i="1"/>
  <c r="AV1778" i="1"/>
  <c r="AW1777" i="1"/>
  <c r="AV1777" i="1"/>
  <c r="AU1777" i="1"/>
  <c r="AW1776" i="1"/>
  <c r="AV1776" i="1"/>
  <c r="AU1776" i="1"/>
  <c r="AW1775" i="1"/>
  <c r="AV1775" i="1"/>
  <c r="AW1774" i="1"/>
  <c r="AV1774" i="1"/>
  <c r="AW1773" i="1"/>
  <c r="AV1773" i="1"/>
  <c r="AW1772" i="1"/>
  <c r="AV1772" i="1"/>
  <c r="AW1771" i="1"/>
  <c r="AV1771" i="1"/>
  <c r="AW1770" i="1"/>
  <c r="AV1770" i="1"/>
  <c r="AU1770" i="1"/>
  <c r="AW1756" i="1"/>
  <c r="AV1756" i="1"/>
  <c r="AU1756" i="1"/>
  <c r="AW1769" i="1"/>
  <c r="AV1769" i="1"/>
  <c r="AU1769" i="1"/>
  <c r="AW1768" i="1"/>
  <c r="AV1768" i="1"/>
  <c r="AU1768" i="1"/>
  <c r="AW1755" i="1"/>
  <c r="AV1755" i="1"/>
  <c r="AU1755" i="1"/>
  <c r="AW1767" i="1"/>
  <c r="AV1767" i="1"/>
  <c r="AU1767" i="1"/>
  <c r="AW1766" i="1"/>
  <c r="AV1766" i="1"/>
  <c r="AU1766" i="1"/>
  <c r="AW1765" i="1"/>
  <c r="AV1765" i="1"/>
  <c r="AU1765" i="1"/>
  <c r="AW1764" i="1"/>
  <c r="AV1764" i="1"/>
  <c r="AU1764" i="1"/>
  <c r="AW1763" i="1"/>
  <c r="AV1763" i="1"/>
  <c r="AU1763" i="1"/>
  <c r="AW1762" i="1"/>
  <c r="AV1762" i="1"/>
  <c r="AU1762" i="1"/>
  <c r="AW1761" i="1"/>
  <c r="AV1761" i="1"/>
  <c r="AU1761" i="1"/>
  <c r="AW1760" i="1"/>
  <c r="AV1760" i="1"/>
  <c r="AU1760" i="1"/>
  <c r="AW1759" i="1"/>
  <c r="AV1759" i="1"/>
  <c r="AU1759" i="1"/>
  <c r="AW1758" i="1"/>
  <c r="AV1758" i="1"/>
  <c r="AU1758" i="1"/>
  <c r="AW1757" i="1"/>
  <c r="AV1757" i="1"/>
  <c r="AU1757" i="1"/>
  <c r="AW1753" i="1"/>
  <c r="AV1753" i="1"/>
  <c r="AU1753" i="1"/>
  <c r="AW1752" i="1"/>
  <c r="AV1752" i="1"/>
  <c r="AW1751" i="1"/>
  <c r="AV1751" i="1"/>
  <c r="AW1750" i="1"/>
  <c r="AV1750" i="1"/>
  <c r="AW1749" i="1"/>
  <c r="AV1749" i="1"/>
  <c r="AW1748" i="1"/>
  <c r="AV1748" i="1"/>
  <c r="AW1747" i="1"/>
  <c r="AV1747" i="1"/>
  <c r="AW1746" i="1"/>
  <c r="AV1746" i="1"/>
  <c r="AW1745" i="1"/>
  <c r="AV1745" i="1"/>
  <c r="AW1744" i="1"/>
  <c r="AV1744" i="1"/>
  <c r="AW1743" i="1"/>
  <c r="AV1743" i="1"/>
  <c r="AW1742" i="1"/>
  <c r="AV1742" i="1"/>
  <c r="AW1741" i="1"/>
  <c r="AV1741" i="1"/>
  <c r="AW1740" i="1"/>
  <c r="AV1740" i="1"/>
  <c r="AW1739" i="1"/>
  <c r="AV1739" i="1"/>
  <c r="AW1738" i="1"/>
  <c r="AV1738" i="1"/>
  <c r="AW1737" i="1"/>
  <c r="AV1737" i="1"/>
  <c r="AW1736" i="1"/>
  <c r="AV1736" i="1"/>
  <c r="AW1735" i="1"/>
  <c r="AV1735" i="1"/>
  <c r="AW1734" i="1"/>
  <c r="AV1734" i="1"/>
  <c r="AW1733" i="1"/>
  <c r="AV1733" i="1"/>
  <c r="AW1732" i="1"/>
  <c r="AV1732" i="1"/>
  <c r="AW1731" i="1"/>
  <c r="AV1731" i="1"/>
  <c r="AW1730" i="1"/>
  <c r="AV1730" i="1"/>
  <c r="AW1729" i="1"/>
  <c r="AV1729" i="1"/>
  <c r="AW1728" i="1"/>
  <c r="AV1728" i="1"/>
  <c r="AU1728" i="1"/>
  <c r="AW1727" i="1"/>
  <c r="AV1727" i="1"/>
  <c r="AW1726" i="1"/>
  <c r="AV1726" i="1"/>
  <c r="AW1725" i="1"/>
  <c r="AV1725" i="1"/>
  <c r="AU1725" i="1"/>
  <c r="AW1724" i="1"/>
  <c r="AV1724" i="1"/>
  <c r="AU1724" i="1"/>
  <c r="AW1723" i="1"/>
  <c r="AV1723" i="1"/>
  <c r="AW1722" i="1"/>
  <c r="AV1722" i="1"/>
  <c r="AU1722" i="1"/>
  <c r="AW1721" i="1"/>
  <c r="AV1721" i="1"/>
  <c r="AU1721" i="1"/>
  <c r="AW1720" i="1"/>
  <c r="AV1720" i="1"/>
  <c r="AU1720" i="1"/>
  <c r="AW1719" i="1"/>
  <c r="AV1719" i="1"/>
  <c r="AW1718" i="1"/>
  <c r="AV1718" i="1"/>
  <c r="AU1718" i="1"/>
  <c r="AW1717" i="1"/>
  <c r="AV1717" i="1"/>
  <c r="AW1716" i="1"/>
  <c r="AV1716" i="1"/>
  <c r="AU1716" i="1"/>
  <c r="AW1704" i="1"/>
  <c r="AV1704" i="1"/>
  <c r="AW1703" i="1"/>
  <c r="AV1703" i="1"/>
  <c r="AW1702" i="1"/>
  <c r="AV1702" i="1"/>
  <c r="AW1701" i="1"/>
  <c r="AV1701" i="1"/>
  <c r="AW1700" i="1"/>
  <c r="AV1700" i="1"/>
  <c r="AW1699" i="1"/>
  <c r="AV1699" i="1"/>
  <c r="AW1698" i="1"/>
  <c r="AV1698" i="1"/>
  <c r="AW1697" i="1"/>
  <c r="AV1697" i="1"/>
  <c r="AW1696" i="1"/>
  <c r="AV1696" i="1"/>
  <c r="AW1695" i="1"/>
  <c r="AV1695" i="1"/>
  <c r="AW1694" i="1"/>
  <c r="AV1694" i="1"/>
  <c r="AW1693" i="1"/>
  <c r="AV1693" i="1"/>
  <c r="AW1692" i="1"/>
  <c r="AV1692" i="1"/>
  <c r="AW1691" i="1"/>
  <c r="AV1691" i="1"/>
  <c r="AW1690" i="1"/>
  <c r="AV1690" i="1"/>
  <c r="AW1689" i="1"/>
  <c r="AV1689" i="1"/>
  <c r="AW1688" i="1"/>
  <c r="AV1688" i="1"/>
  <c r="AW1687" i="1"/>
  <c r="AV1687" i="1"/>
  <c r="AW1686" i="1"/>
  <c r="AV1686" i="1"/>
  <c r="AW1685" i="1"/>
  <c r="AV1685" i="1"/>
  <c r="AW1684" i="1"/>
  <c r="AV1684" i="1"/>
  <c r="AW1683" i="1"/>
  <c r="AV1683" i="1"/>
  <c r="AW1715" i="1"/>
  <c r="AV1715" i="1"/>
  <c r="AW1714" i="1"/>
  <c r="AV1714" i="1"/>
  <c r="AU1714" i="1"/>
  <c r="AW1713" i="1"/>
  <c r="AV1713" i="1"/>
  <c r="AU1713" i="1"/>
  <c r="AW1712" i="1"/>
  <c r="AV1712" i="1"/>
  <c r="AU1712" i="1"/>
  <c r="AW1711" i="1"/>
  <c r="AV1711" i="1"/>
  <c r="AW1710" i="1"/>
  <c r="AV1710" i="1"/>
  <c r="AW1709" i="1"/>
  <c r="AV1709" i="1"/>
  <c r="AW1708" i="1"/>
  <c r="AV1708" i="1"/>
  <c r="AU1708" i="1"/>
  <c r="AW1707" i="1"/>
  <c r="AV1707" i="1"/>
  <c r="AW1706" i="1"/>
  <c r="AV1706" i="1"/>
  <c r="AW1705" i="1"/>
  <c r="AV1705" i="1"/>
  <c r="AW1682" i="1"/>
  <c r="AV1682" i="1"/>
  <c r="AU1682" i="1"/>
  <c r="AW1681" i="1"/>
  <c r="AV1681" i="1"/>
  <c r="AW1680" i="1"/>
  <c r="AV1680" i="1"/>
  <c r="AW1663" i="1"/>
  <c r="AV1663" i="1"/>
  <c r="AU1663" i="1"/>
  <c r="AW1662" i="1"/>
  <c r="AV1662" i="1"/>
  <c r="AU1662" i="1"/>
  <c r="AW1661" i="1"/>
  <c r="AV1661" i="1"/>
  <c r="AU1661" i="1"/>
  <c r="AW1660" i="1"/>
  <c r="AV1660" i="1"/>
  <c r="AU1660" i="1"/>
  <c r="AW1679" i="1"/>
  <c r="AV1679" i="1"/>
  <c r="AU1679" i="1"/>
  <c r="AW1678" i="1"/>
  <c r="AV1678" i="1"/>
  <c r="AU1678" i="1"/>
  <c r="AW1677" i="1"/>
  <c r="AV1677" i="1"/>
  <c r="AU1677" i="1"/>
  <c r="AW1676" i="1"/>
  <c r="AV1676" i="1"/>
  <c r="AW1675" i="1"/>
  <c r="AV1675" i="1"/>
  <c r="AW1674" i="1"/>
  <c r="AV1674" i="1"/>
  <c r="AW1673" i="1"/>
  <c r="AV1673" i="1"/>
  <c r="AW1672" i="1"/>
  <c r="AV1672" i="1"/>
  <c r="AW1671" i="1"/>
  <c r="AV1671" i="1"/>
  <c r="AW1670" i="1"/>
  <c r="AV1670" i="1"/>
  <c r="AW1669" i="1"/>
  <c r="AV1669" i="1"/>
  <c r="AW1668" i="1"/>
  <c r="AV1668" i="1"/>
  <c r="AW1667" i="1"/>
  <c r="AV1667" i="1"/>
  <c r="AW1666" i="1"/>
  <c r="AV1666" i="1"/>
  <c r="AU1666" i="1"/>
  <c r="AW1665" i="1"/>
  <c r="AV1665" i="1"/>
  <c r="AU1665" i="1"/>
  <c r="AW1664" i="1"/>
  <c r="AV1664" i="1"/>
  <c r="AU1664" i="1"/>
  <c r="AW1659" i="1"/>
  <c r="AV1659" i="1"/>
  <c r="AW1658" i="1"/>
  <c r="AV1658" i="1"/>
  <c r="AW1657" i="1"/>
  <c r="AV1657" i="1"/>
  <c r="AU1657" i="1"/>
  <c r="AW1656" i="1"/>
  <c r="AV1656" i="1"/>
  <c r="AU1656" i="1"/>
  <c r="AW1655" i="1"/>
  <c r="AV1655" i="1"/>
  <c r="AW1654" i="1"/>
  <c r="AV1654" i="1"/>
  <c r="AU1654" i="1"/>
  <c r="AW1653" i="1"/>
  <c r="AV1653" i="1"/>
  <c r="AU1653" i="1"/>
  <c r="AW1652" i="1"/>
  <c r="AV1652" i="1"/>
  <c r="AU1652" i="1"/>
  <c r="AW1651" i="1"/>
  <c r="AV1651" i="1"/>
  <c r="AW1649" i="1"/>
  <c r="AV1649" i="1"/>
  <c r="AU1649" i="1"/>
  <c r="AW1648" i="1"/>
  <c r="AV1648" i="1"/>
  <c r="AU1648" i="1"/>
  <c r="AW1647" i="1"/>
  <c r="AV1647" i="1"/>
  <c r="AU1647" i="1"/>
  <c r="AW1646" i="1"/>
  <c r="AV1646" i="1"/>
  <c r="AU1646" i="1"/>
  <c r="AW1645" i="1"/>
  <c r="AV1645" i="1"/>
  <c r="AU1645" i="1"/>
  <c r="AW1644" i="1"/>
  <c r="AV1644" i="1"/>
  <c r="AU1644" i="1"/>
  <c r="AW1643" i="1"/>
  <c r="AV1643" i="1"/>
  <c r="AU1643" i="1"/>
  <c r="AW1642" i="1"/>
  <c r="AV1642" i="1"/>
  <c r="AU1642" i="1"/>
  <c r="AW1641" i="1"/>
  <c r="AV1641" i="1"/>
  <c r="AU1641" i="1"/>
  <c r="AW1640" i="1"/>
  <c r="AV1640" i="1"/>
  <c r="AU1640" i="1"/>
  <c r="AW1639" i="1"/>
  <c r="AV1639" i="1"/>
  <c r="AU1639" i="1"/>
  <c r="AW1638" i="1"/>
  <c r="AV1638" i="1"/>
  <c r="AU1638" i="1"/>
  <c r="AW1650" i="1"/>
  <c r="AV1650" i="1"/>
  <c r="AW1637" i="1"/>
  <c r="AV1637" i="1"/>
  <c r="AU1637" i="1"/>
  <c r="AW1636" i="1"/>
  <c r="AV1636" i="1"/>
  <c r="AW1635" i="1"/>
  <c r="AV1635" i="1"/>
  <c r="AU1635" i="1"/>
  <c r="AW1634" i="1"/>
  <c r="AV1634" i="1"/>
  <c r="AU1634" i="1"/>
  <c r="AW1621" i="1"/>
  <c r="AV1621" i="1"/>
  <c r="AU1621" i="1"/>
  <c r="AW1620" i="1"/>
  <c r="AV1620" i="1"/>
  <c r="AU1620" i="1"/>
  <c r="AW1605" i="1"/>
  <c r="AV1605" i="1"/>
  <c r="AU1605" i="1"/>
  <c r="AW1619" i="1"/>
  <c r="AV1619" i="1"/>
  <c r="AU1619" i="1"/>
  <c r="AW1618" i="1"/>
  <c r="AV1618" i="1"/>
  <c r="AU1618" i="1"/>
  <c r="AW1617" i="1"/>
  <c r="AV1617" i="1"/>
  <c r="AU1617" i="1"/>
  <c r="AW1616" i="1"/>
  <c r="AV1616" i="1"/>
  <c r="AU1616" i="1"/>
  <c r="AW1615" i="1"/>
  <c r="AV1615" i="1"/>
  <c r="AU1615" i="1"/>
  <c r="AW1614" i="1"/>
  <c r="AV1614" i="1"/>
  <c r="AU1614" i="1"/>
  <c r="AW1613" i="1"/>
  <c r="AV1613" i="1"/>
  <c r="AU1613" i="1"/>
  <c r="AW1612" i="1"/>
  <c r="AV1612" i="1"/>
  <c r="AU1612" i="1"/>
  <c r="AW1611" i="1"/>
  <c r="AV1611" i="1"/>
  <c r="AU1611" i="1"/>
  <c r="AW1610" i="1"/>
  <c r="AV1610" i="1"/>
  <c r="AW1609" i="1"/>
  <c r="AV1609" i="1"/>
  <c r="AW1608" i="1"/>
  <c r="AV1608" i="1"/>
  <c r="AW1607" i="1"/>
  <c r="AV1607" i="1"/>
  <c r="AW1606" i="1"/>
  <c r="AV1606" i="1"/>
  <c r="AW1633" i="1"/>
  <c r="AV1633" i="1"/>
  <c r="AU1633" i="1"/>
  <c r="AW1632" i="1"/>
  <c r="AV1632" i="1"/>
  <c r="AU1632" i="1"/>
  <c r="AW1631" i="1"/>
  <c r="AV1631" i="1"/>
  <c r="AW1630" i="1"/>
  <c r="AV1630" i="1"/>
  <c r="AW1629" i="1"/>
  <c r="AV1629" i="1"/>
  <c r="AW1628" i="1"/>
  <c r="AV1628" i="1"/>
  <c r="AW1627" i="1"/>
  <c r="AV1627" i="1"/>
  <c r="AU1627" i="1"/>
  <c r="AW1626" i="1"/>
  <c r="AV1626" i="1"/>
  <c r="AU1626" i="1"/>
  <c r="AW1625" i="1"/>
  <c r="AV1625" i="1"/>
  <c r="AW1624" i="1"/>
  <c r="AV1624" i="1"/>
  <c r="AW1623" i="1"/>
  <c r="AV1623" i="1"/>
  <c r="AW1622" i="1"/>
  <c r="AV1622" i="1"/>
  <c r="AU1622" i="1"/>
  <c r="AW1604" i="1"/>
  <c r="AV1604" i="1"/>
  <c r="AU1604" i="1"/>
  <c r="AW1603" i="1"/>
  <c r="AV1603" i="1"/>
  <c r="AU1603" i="1"/>
  <c r="AW1602" i="1"/>
  <c r="AV1602" i="1"/>
  <c r="AU1602" i="1"/>
  <c r="AW1601" i="1"/>
  <c r="AV1601" i="1"/>
  <c r="AU1601" i="1"/>
  <c r="AW1600" i="1"/>
  <c r="AV1600" i="1"/>
  <c r="AU1600" i="1"/>
  <c r="AW1599" i="1"/>
  <c r="AV1599" i="1"/>
  <c r="AW1598" i="1"/>
  <c r="AV1598" i="1"/>
  <c r="AW1597" i="1"/>
  <c r="AV1597" i="1"/>
  <c r="AW1596" i="1"/>
  <c r="AV1596" i="1"/>
  <c r="AU1596" i="1"/>
  <c r="AW1595" i="1"/>
  <c r="AV1595" i="1"/>
  <c r="AU1595" i="1"/>
  <c r="AW1594" i="1"/>
  <c r="AV1594" i="1"/>
  <c r="AU1594" i="1"/>
  <c r="AW1593" i="1"/>
  <c r="AV1593" i="1"/>
  <c r="AW1592" i="1"/>
  <c r="AV1592" i="1"/>
  <c r="AW1591" i="1"/>
  <c r="AV1591" i="1"/>
  <c r="AW1590" i="1"/>
  <c r="AV1590" i="1"/>
  <c r="AU1590" i="1"/>
  <c r="AW1589" i="1"/>
  <c r="AV1589" i="1"/>
  <c r="AU1589" i="1"/>
  <c r="AW1588" i="1"/>
  <c r="AV1588" i="1"/>
  <c r="AU1588" i="1"/>
  <c r="AW1587" i="1"/>
  <c r="AV1587" i="1"/>
  <c r="AU1587" i="1"/>
  <c r="AW1586" i="1"/>
  <c r="AV1586" i="1"/>
  <c r="AU1586" i="1"/>
  <c r="AW1585" i="1"/>
  <c r="AV1585" i="1"/>
  <c r="AU1585" i="1"/>
  <c r="AW1584" i="1"/>
  <c r="AV1584" i="1"/>
  <c r="AU1584" i="1"/>
  <c r="AW1583" i="1"/>
  <c r="AV1583" i="1"/>
  <c r="AU1583" i="1"/>
  <c r="AW1582" i="1"/>
  <c r="AV1582" i="1"/>
  <c r="AW1581" i="1"/>
  <c r="AV1581" i="1"/>
  <c r="AU1581" i="1"/>
  <c r="AW1580" i="1"/>
  <c r="AV1580" i="1"/>
  <c r="AU1580" i="1"/>
  <c r="AW1579" i="1"/>
  <c r="AV1579" i="1"/>
  <c r="AW1578" i="1"/>
  <c r="AV1578" i="1"/>
  <c r="AU1578" i="1"/>
  <c r="AW1577" i="1"/>
  <c r="AV1577" i="1"/>
  <c r="AU1577" i="1"/>
  <c r="AW1576" i="1"/>
  <c r="AV1576" i="1"/>
  <c r="AW1575" i="1"/>
  <c r="AV1575" i="1"/>
  <c r="AW1574" i="1"/>
  <c r="AV1574" i="1"/>
  <c r="AW1573" i="1"/>
  <c r="AV1573" i="1"/>
  <c r="AU1573" i="1"/>
  <c r="AW1572" i="1"/>
  <c r="AV1572" i="1"/>
  <c r="AU1572" i="1"/>
  <c r="AW1571" i="1"/>
  <c r="AV1571" i="1"/>
  <c r="AU1571" i="1"/>
  <c r="AW1570" i="1"/>
  <c r="AV1570" i="1"/>
  <c r="AU1570" i="1"/>
  <c r="AW1569" i="1"/>
  <c r="AV1569" i="1"/>
  <c r="AU1569" i="1"/>
  <c r="AW1568" i="1"/>
  <c r="AV1568" i="1"/>
  <c r="AW1567" i="1"/>
  <c r="AV1567" i="1"/>
  <c r="AW1566" i="1"/>
  <c r="AV1566" i="1"/>
  <c r="AU1566" i="1"/>
  <c r="AW1565" i="1"/>
  <c r="AV1565" i="1"/>
  <c r="AW1564" i="1"/>
  <c r="AV1564" i="1"/>
  <c r="AW1563" i="1"/>
  <c r="AV1563" i="1"/>
  <c r="AU1563" i="1"/>
  <c r="AW1562" i="1"/>
  <c r="AV1562" i="1"/>
  <c r="AW1561" i="1"/>
  <c r="AV1561" i="1"/>
  <c r="AW1560" i="1"/>
  <c r="AV1560" i="1"/>
  <c r="AU1560" i="1"/>
  <c r="AW1559" i="1"/>
  <c r="AV1559" i="1"/>
  <c r="AW1558" i="1"/>
  <c r="AV1558" i="1"/>
  <c r="AU1558" i="1"/>
  <c r="AW1557" i="1"/>
  <c r="AV1557" i="1"/>
  <c r="AU1557" i="1"/>
  <c r="AW1556" i="1"/>
  <c r="AV1556" i="1"/>
  <c r="AU1556" i="1"/>
  <c r="AW1555" i="1"/>
  <c r="AV1555" i="1"/>
  <c r="AU1555" i="1"/>
  <c r="AW1554" i="1"/>
  <c r="AV1554" i="1"/>
  <c r="AU1554" i="1"/>
  <c r="AW1553" i="1"/>
  <c r="AV1553" i="1"/>
  <c r="AU1553" i="1"/>
  <c r="AW1552" i="1"/>
  <c r="AV1552" i="1"/>
  <c r="AU1552" i="1"/>
  <c r="AW1551" i="1"/>
  <c r="AV1551" i="1"/>
  <c r="AU1551" i="1"/>
  <c r="AW1550" i="1"/>
  <c r="AV1550" i="1"/>
  <c r="AU1550" i="1"/>
  <c r="AW1549" i="1"/>
  <c r="AV1549" i="1"/>
  <c r="AU1549" i="1"/>
  <c r="AW1548" i="1"/>
  <c r="AV1548" i="1"/>
  <c r="AU1548" i="1"/>
  <c r="AW1547" i="1"/>
  <c r="AV1547" i="1"/>
  <c r="AU1547" i="1"/>
  <c r="AW1546" i="1"/>
  <c r="AV1546" i="1"/>
  <c r="AU1546" i="1"/>
  <c r="AW1545" i="1"/>
  <c r="AV1545" i="1"/>
  <c r="AU1545" i="1"/>
  <c r="AW1544" i="1"/>
  <c r="AV1544" i="1"/>
  <c r="AU1544" i="1"/>
  <c r="AW1543" i="1"/>
  <c r="AV1543" i="1"/>
  <c r="AW1542" i="1"/>
  <c r="AV1542" i="1"/>
  <c r="AW1541" i="1"/>
  <c r="AV1541" i="1"/>
  <c r="AW1540" i="1"/>
  <c r="AV1540" i="1"/>
  <c r="AW1539" i="1"/>
  <c r="AV1539" i="1"/>
  <c r="AW1538" i="1"/>
  <c r="AV1538" i="1"/>
  <c r="AW1537" i="1"/>
  <c r="AV1537" i="1"/>
  <c r="AW1536" i="1"/>
  <c r="AV1536" i="1"/>
  <c r="AW1535" i="1"/>
  <c r="AV1535" i="1"/>
  <c r="AW1534" i="1"/>
  <c r="AV1534" i="1"/>
  <c r="AW1533" i="1"/>
  <c r="AV1533" i="1"/>
  <c r="AW1532" i="1"/>
  <c r="AV1532" i="1"/>
  <c r="AW1531" i="1"/>
  <c r="AV1531" i="1"/>
  <c r="AW1530" i="1"/>
  <c r="AV1530" i="1"/>
  <c r="AW1529" i="1"/>
  <c r="AV1529" i="1"/>
  <c r="AW1528" i="1"/>
  <c r="AV1528" i="1"/>
  <c r="AW1527" i="1"/>
  <c r="AV1527" i="1"/>
  <c r="AU1527" i="1"/>
  <c r="AW1526" i="1"/>
  <c r="AV1526" i="1"/>
  <c r="AU1526" i="1"/>
  <c r="AW1525" i="1"/>
  <c r="AV1525" i="1"/>
  <c r="AU1525" i="1"/>
  <c r="AW1524" i="1"/>
  <c r="AV1524" i="1"/>
  <c r="AU1524" i="1"/>
  <c r="AW1523" i="1"/>
  <c r="AV1523" i="1"/>
  <c r="AU1523" i="1"/>
  <c r="AW1522" i="1"/>
  <c r="AV1522" i="1"/>
  <c r="AU1522" i="1"/>
  <c r="AW1521" i="1"/>
  <c r="AV1521" i="1"/>
  <c r="AU1521" i="1"/>
  <c r="AW1520" i="1"/>
  <c r="AV1520" i="1"/>
  <c r="AU1520" i="1"/>
  <c r="AW1519" i="1"/>
  <c r="AV1519" i="1"/>
  <c r="AU1519" i="1"/>
  <c r="AW1518" i="1"/>
  <c r="AV1518" i="1"/>
  <c r="AU1518" i="1"/>
  <c r="AW1517" i="1"/>
  <c r="AV1517" i="1"/>
  <c r="AU1517" i="1"/>
  <c r="AW1516" i="1"/>
  <c r="AV1516" i="1"/>
  <c r="AU1516" i="1"/>
  <c r="AW1515" i="1"/>
  <c r="AV1515" i="1"/>
  <c r="AU1515" i="1"/>
  <c r="AW1514" i="1"/>
  <c r="AV1514" i="1"/>
  <c r="AU1514" i="1"/>
  <c r="AW1513" i="1"/>
  <c r="AV1513" i="1"/>
  <c r="AU1513" i="1"/>
  <c r="AW1512" i="1"/>
  <c r="AV1512" i="1"/>
  <c r="AU1512" i="1"/>
  <c r="AW1511" i="1"/>
  <c r="AV1511" i="1"/>
  <c r="AU1511" i="1"/>
  <c r="AW1510" i="1"/>
  <c r="AV1510" i="1"/>
  <c r="AU1510" i="1"/>
  <c r="AW1509" i="1"/>
  <c r="AV1509" i="1"/>
  <c r="AU1509" i="1"/>
  <c r="AW1508" i="1"/>
  <c r="AV1508" i="1"/>
  <c r="AU1508" i="1"/>
  <c r="AW1507" i="1"/>
  <c r="AV1507" i="1"/>
  <c r="AU1507" i="1"/>
  <c r="AW1506" i="1"/>
  <c r="AV1506" i="1"/>
  <c r="AU1506" i="1"/>
  <c r="AW1505" i="1"/>
  <c r="AV1505" i="1"/>
  <c r="AU1505" i="1"/>
  <c r="AW1504" i="1"/>
  <c r="AV1504" i="1"/>
  <c r="AW1503" i="1"/>
  <c r="AV1503" i="1"/>
  <c r="AW1502" i="1"/>
  <c r="AV1502" i="1"/>
  <c r="AW1501" i="1"/>
  <c r="AV1501" i="1"/>
  <c r="AU1501" i="1"/>
  <c r="AW1500" i="1"/>
  <c r="AV1500" i="1"/>
  <c r="AU1500" i="1"/>
  <c r="AW1499" i="1"/>
  <c r="AV1499" i="1"/>
  <c r="AU1499" i="1"/>
  <c r="AW1498" i="1"/>
  <c r="AV1498" i="1"/>
  <c r="AW1497" i="1"/>
  <c r="AV1497" i="1"/>
  <c r="AU1497" i="1"/>
  <c r="AW1496" i="1"/>
  <c r="AV1496" i="1"/>
  <c r="AU1496" i="1"/>
  <c r="AW1495" i="1"/>
  <c r="AV1495" i="1"/>
  <c r="AU1495" i="1"/>
  <c r="AW1494" i="1"/>
  <c r="AV1494" i="1"/>
  <c r="AU1494" i="1"/>
  <c r="AW1493" i="1"/>
  <c r="AV1493" i="1"/>
  <c r="AU1493" i="1"/>
  <c r="AW1492" i="1"/>
  <c r="AV1492" i="1"/>
  <c r="AW1491" i="1"/>
  <c r="AV1491" i="1"/>
  <c r="AW1490" i="1"/>
  <c r="AV1490" i="1"/>
  <c r="AU1490" i="1"/>
  <c r="AW1489" i="1"/>
  <c r="AV1489" i="1"/>
  <c r="AU1489" i="1"/>
  <c r="AW1488" i="1"/>
  <c r="AV1488" i="1"/>
  <c r="AW1487" i="1"/>
  <c r="AV1487" i="1"/>
  <c r="AW1486" i="1"/>
  <c r="AV1486" i="1"/>
  <c r="AU1486" i="1"/>
  <c r="AW1485" i="1"/>
  <c r="AV1485" i="1"/>
  <c r="AU1485" i="1"/>
  <c r="AW1484" i="1"/>
  <c r="AV1484" i="1"/>
  <c r="AU1484" i="1"/>
  <c r="AW1483" i="1"/>
  <c r="AV1483" i="1"/>
  <c r="AU1483" i="1"/>
  <c r="AW1482" i="1"/>
  <c r="AV1482" i="1"/>
  <c r="AW1481" i="1"/>
  <c r="AV1481" i="1"/>
  <c r="AU1481" i="1"/>
  <c r="AW1480" i="1"/>
  <c r="AV1480" i="1"/>
  <c r="AU1480" i="1"/>
  <c r="AW1479" i="1"/>
  <c r="AV1479" i="1"/>
  <c r="AU1479" i="1"/>
  <c r="AW1478" i="1"/>
  <c r="AV1478" i="1"/>
  <c r="AU1478" i="1"/>
  <c r="AW1477" i="1"/>
  <c r="AV1477" i="1"/>
  <c r="AW1476" i="1"/>
  <c r="AV1476" i="1"/>
  <c r="AU1476" i="1"/>
  <c r="AW1475" i="1"/>
  <c r="AV1475" i="1"/>
  <c r="AU1475" i="1"/>
  <c r="AW1474" i="1"/>
  <c r="AV1474" i="1"/>
  <c r="AU1474" i="1"/>
  <c r="AW1473" i="1"/>
  <c r="AV1473" i="1"/>
  <c r="AU1473" i="1"/>
  <c r="AW1472" i="1"/>
  <c r="AV1472" i="1"/>
  <c r="AU1472" i="1"/>
  <c r="AW1471" i="1"/>
  <c r="AV1471" i="1"/>
  <c r="AU1471" i="1"/>
  <c r="AW1470" i="1"/>
  <c r="AV1470" i="1"/>
  <c r="AU1470" i="1"/>
  <c r="AW1469" i="1"/>
  <c r="AV1469" i="1"/>
  <c r="AW1468" i="1"/>
  <c r="AV1468" i="1"/>
  <c r="AU1468" i="1"/>
  <c r="AW1467" i="1"/>
  <c r="AV1467" i="1"/>
  <c r="AU1467" i="1"/>
  <c r="AW1466" i="1"/>
  <c r="AV1466" i="1"/>
  <c r="AU1466" i="1"/>
  <c r="AW1465" i="1"/>
  <c r="AV1465" i="1"/>
  <c r="AW1464" i="1"/>
  <c r="AV1464" i="1"/>
  <c r="AU1464" i="1"/>
  <c r="AW1463" i="1"/>
  <c r="AV1463" i="1"/>
  <c r="AW1462" i="1"/>
  <c r="AV1462" i="1"/>
  <c r="AU1462" i="1"/>
  <c r="AW1461" i="1"/>
  <c r="AV1461" i="1"/>
  <c r="AW1460" i="1"/>
  <c r="AV1460" i="1"/>
  <c r="AU1460" i="1"/>
  <c r="AW1459" i="1"/>
  <c r="AV1459" i="1"/>
  <c r="AU1459" i="1"/>
  <c r="AW1458" i="1"/>
  <c r="AV1458" i="1"/>
  <c r="AU1458" i="1"/>
  <c r="AW1457" i="1"/>
  <c r="AV1457" i="1"/>
  <c r="AU1457" i="1"/>
  <c r="AW1456" i="1"/>
  <c r="AV1456" i="1"/>
  <c r="AU1456" i="1"/>
  <c r="AW1455" i="1"/>
  <c r="AV1455" i="1"/>
  <c r="AU1455" i="1"/>
  <c r="AW1454" i="1"/>
  <c r="AV1454" i="1"/>
  <c r="AU1454" i="1"/>
  <c r="AW1453" i="1"/>
  <c r="AV1453" i="1"/>
  <c r="AU1453" i="1"/>
  <c r="AW1452" i="1"/>
  <c r="AV1452" i="1"/>
  <c r="AU1452" i="1"/>
  <c r="AW1451" i="1"/>
  <c r="AV1451" i="1"/>
  <c r="AW1450" i="1"/>
  <c r="AV1450" i="1"/>
  <c r="AW1449" i="1"/>
  <c r="AV1449" i="1"/>
  <c r="AW1448" i="1"/>
  <c r="AV1448" i="1"/>
  <c r="AW1447" i="1"/>
  <c r="AV1447" i="1"/>
  <c r="AW1446" i="1"/>
  <c r="AV1446" i="1"/>
  <c r="AU1446" i="1"/>
  <c r="AW1445" i="1"/>
  <c r="AV1445" i="1"/>
  <c r="AW1444" i="1"/>
  <c r="AV1444" i="1"/>
  <c r="AW1443" i="1"/>
  <c r="AV1443" i="1"/>
  <c r="AW1442" i="1"/>
  <c r="AV1442" i="1"/>
  <c r="AW1441" i="1"/>
  <c r="AV1441" i="1"/>
  <c r="AW1440" i="1"/>
  <c r="AV1440" i="1"/>
  <c r="AW1439" i="1"/>
  <c r="AV1439" i="1"/>
  <c r="AW1438" i="1"/>
  <c r="AV1438" i="1"/>
  <c r="AW1437" i="1"/>
  <c r="AV1437" i="1"/>
  <c r="AW1436" i="1"/>
  <c r="AV1436" i="1"/>
  <c r="AW1435" i="1"/>
  <c r="AV1435" i="1"/>
  <c r="AU1435" i="1"/>
  <c r="AW1434" i="1"/>
  <c r="AV1434" i="1"/>
  <c r="AU1434" i="1"/>
  <c r="AW1433" i="1"/>
  <c r="AV1433" i="1"/>
  <c r="AW1432" i="1"/>
  <c r="AV1432" i="1"/>
  <c r="AW1431" i="1"/>
  <c r="AV1431" i="1"/>
  <c r="AW1430" i="1"/>
  <c r="AV1430" i="1"/>
  <c r="AW1429" i="1"/>
  <c r="AV1429" i="1"/>
  <c r="AU1429" i="1"/>
  <c r="AW1428" i="1"/>
  <c r="AV1428" i="1"/>
  <c r="AW1427" i="1"/>
  <c r="AV1427" i="1"/>
  <c r="AU1427" i="1"/>
  <c r="AW1426" i="1"/>
  <c r="AV1426" i="1"/>
  <c r="AU1426" i="1"/>
  <c r="AW1425" i="1"/>
  <c r="AV1425" i="1"/>
  <c r="AU1425" i="1"/>
  <c r="AW1424" i="1"/>
  <c r="AV1424" i="1"/>
  <c r="AU1424" i="1"/>
  <c r="AW1423" i="1"/>
  <c r="AV1423" i="1"/>
  <c r="AU1423" i="1"/>
  <c r="AW1422" i="1"/>
  <c r="AV1422" i="1"/>
  <c r="AU1422" i="1"/>
  <c r="AW1421" i="1"/>
  <c r="AV1421" i="1"/>
  <c r="AU1421" i="1"/>
  <c r="AW1420" i="1"/>
  <c r="AV1420" i="1"/>
  <c r="AU1420" i="1"/>
  <c r="AW1419" i="1"/>
  <c r="AV1419" i="1"/>
  <c r="AW1418" i="1"/>
  <c r="AV1418" i="1"/>
  <c r="AW1417" i="1"/>
  <c r="AV1417" i="1"/>
  <c r="AW1416" i="1"/>
  <c r="AV1416" i="1"/>
  <c r="AW1415" i="1"/>
  <c r="AV1415" i="1"/>
  <c r="AW1414" i="1"/>
  <c r="AV1414" i="1"/>
  <c r="AW1413" i="1"/>
  <c r="AV1413" i="1"/>
  <c r="AU1413" i="1"/>
  <c r="AW1412" i="1"/>
  <c r="AV1412" i="1"/>
  <c r="AW1411" i="1"/>
  <c r="AV1411" i="1"/>
  <c r="AU1411" i="1"/>
  <c r="AW1410" i="1"/>
  <c r="AV1410" i="1"/>
  <c r="AW1409" i="1"/>
  <c r="AV1409" i="1"/>
  <c r="AW1408" i="1"/>
  <c r="AV1408" i="1"/>
  <c r="AW1407" i="1"/>
  <c r="AV1407" i="1"/>
  <c r="AU1407" i="1"/>
  <c r="AW1406" i="1"/>
  <c r="AV1406" i="1"/>
  <c r="AW1405" i="1"/>
  <c r="AV1405" i="1"/>
  <c r="AU1405" i="1"/>
  <c r="AW1404" i="1"/>
  <c r="AV1404" i="1"/>
  <c r="AU1404" i="1"/>
  <c r="AW1403" i="1"/>
  <c r="AV1403" i="1"/>
  <c r="AU1403" i="1"/>
  <c r="AW1402" i="1"/>
  <c r="AV1402" i="1"/>
  <c r="AU1402" i="1"/>
  <c r="AW1401" i="1"/>
  <c r="AV1401" i="1"/>
  <c r="AW1400" i="1"/>
  <c r="AV1400" i="1"/>
  <c r="AW1399" i="1"/>
  <c r="AV1399" i="1"/>
  <c r="AW1398" i="1"/>
  <c r="AV1398" i="1"/>
  <c r="AU1398" i="1"/>
  <c r="AW1397" i="1"/>
  <c r="AV1397" i="1"/>
  <c r="AU1397" i="1"/>
  <c r="AW1396" i="1"/>
  <c r="AV1396" i="1"/>
  <c r="AU1396" i="1"/>
  <c r="AW1395" i="1"/>
  <c r="AV1395" i="1"/>
  <c r="AU1395" i="1"/>
  <c r="AW1394" i="1"/>
  <c r="AV1394" i="1"/>
  <c r="AU1394" i="1"/>
  <c r="AW1393" i="1"/>
  <c r="AV1393" i="1"/>
  <c r="AU1393" i="1"/>
  <c r="AW1392" i="1"/>
  <c r="AV1392" i="1"/>
  <c r="AU1392" i="1"/>
  <c r="AW1391" i="1"/>
  <c r="AV1391" i="1"/>
  <c r="AW1390" i="1"/>
  <c r="AV1390" i="1"/>
  <c r="AW1389" i="1"/>
  <c r="AV1389" i="1"/>
  <c r="AW1388" i="1"/>
  <c r="AV1388" i="1"/>
  <c r="AU1388" i="1"/>
  <c r="AW1387" i="1"/>
  <c r="AV1387" i="1"/>
  <c r="AU1387" i="1"/>
  <c r="AW1386" i="1"/>
  <c r="AV1386" i="1"/>
  <c r="AU1386" i="1"/>
  <c r="AW1385" i="1"/>
  <c r="AV1385" i="1"/>
  <c r="AU1385" i="1"/>
  <c r="AW1384" i="1"/>
  <c r="AV1384" i="1"/>
  <c r="AU1384" i="1"/>
  <c r="AW1383" i="1"/>
  <c r="AV1383" i="1"/>
  <c r="AU1383" i="1"/>
  <c r="AW1382" i="1"/>
  <c r="AV1382" i="1"/>
  <c r="AU1382" i="1"/>
  <c r="AW1381" i="1"/>
  <c r="AV1381" i="1"/>
  <c r="AU1381" i="1"/>
  <c r="AW1380" i="1"/>
  <c r="AV1380" i="1"/>
  <c r="AU1380" i="1"/>
  <c r="AW1379" i="1"/>
  <c r="AV1379" i="1"/>
  <c r="AU1379" i="1"/>
  <c r="AW1378" i="1"/>
  <c r="AV1378" i="1"/>
  <c r="AU1378" i="1"/>
  <c r="AW1377" i="1"/>
  <c r="AV1377" i="1"/>
  <c r="AU1377" i="1"/>
  <c r="AW1376" i="1"/>
  <c r="AV1376" i="1"/>
  <c r="AU1376" i="1"/>
  <c r="AW1375" i="1"/>
  <c r="AV1375" i="1"/>
  <c r="AU1375" i="1"/>
  <c r="AW1374" i="1"/>
  <c r="AV1374" i="1"/>
  <c r="AU1374" i="1"/>
  <c r="AW1373" i="1"/>
  <c r="AV1373" i="1"/>
  <c r="AU1373" i="1"/>
  <c r="AW1372" i="1"/>
  <c r="AV1372" i="1"/>
  <c r="AU1372" i="1"/>
  <c r="AW1371" i="1"/>
  <c r="AV1371" i="1"/>
  <c r="AU1371" i="1"/>
  <c r="AW1370" i="1"/>
  <c r="AV1370" i="1"/>
  <c r="AU1370" i="1"/>
  <c r="AW1369" i="1"/>
  <c r="AV1369" i="1"/>
  <c r="AU1369" i="1"/>
  <c r="AW1368" i="1"/>
  <c r="AV1368" i="1"/>
  <c r="AU1368" i="1"/>
  <c r="AW1367" i="1"/>
  <c r="AV1367" i="1"/>
  <c r="AU1367" i="1"/>
  <c r="AW1366" i="1"/>
  <c r="AV1366" i="1"/>
  <c r="AU1366" i="1"/>
  <c r="AW1365" i="1"/>
  <c r="AV1365" i="1"/>
  <c r="AU1365" i="1"/>
  <c r="AW1364" i="1"/>
  <c r="AV1364" i="1"/>
  <c r="AU1364" i="1"/>
  <c r="AW1363" i="1"/>
  <c r="AV1363" i="1"/>
  <c r="AW1362" i="1"/>
  <c r="AV1362" i="1"/>
  <c r="AU1362" i="1"/>
  <c r="AW1361" i="1"/>
  <c r="AV1361" i="1"/>
  <c r="AW1360" i="1"/>
  <c r="AV1360" i="1"/>
  <c r="AU1360" i="1"/>
  <c r="AW1359" i="1"/>
  <c r="AV1359" i="1"/>
  <c r="AU1359" i="1"/>
  <c r="AW1358" i="1"/>
  <c r="AV1358" i="1"/>
  <c r="AW1357" i="1"/>
  <c r="AV1357" i="1"/>
  <c r="AU1357" i="1"/>
  <c r="AW1356" i="1"/>
  <c r="AV1356" i="1"/>
  <c r="AU1356" i="1"/>
  <c r="AW1355" i="1"/>
  <c r="AV1355" i="1"/>
  <c r="AU1355" i="1"/>
  <c r="AW1354" i="1"/>
  <c r="AV1354" i="1"/>
  <c r="AU1354" i="1"/>
  <c r="AW1353" i="1"/>
  <c r="AV1353" i="1"/>
  <c r="AW1352" i="1"/>
  <c r="AV1352" i="1"/>
  <c r="AW1351" i="1"/>
  <c r="AV1351" i="1"/>
  <c r="AW1350" i="1"/>
  <c r="AV1350" i="1"/>
  <c r="AW1349" i="1"/>
  <c r="AV1349" i="1"/>
  <c r="AW1348" i="1"/>
  <c r="AV1348" i="1"/>
  <c r="AW1347" i="1"/>
  <c r="AV1347" i="1"/>
  <c r="AW1346" i="1"/>
  <c r="AV1346" i="1"/>
  <c r="AW1345" i="1"/>
  <c r="AV1345" i="1"/>
  <c r="AW1344" i="1"/>
  <c r="AV1344" i="1"/>
  <c r="AW1343" i="1"/>
  <c r="AV1343" i="1"/>
  <c r="AW1342" i="1"/>
  <c r="AV1342" i="1"/>
  <c r="AW1341" i="1"/>
  <c r="AV1341" i="1"/>
  <c r="AW1340" i="1"/>
  <c r="AV1340" i="1"/>
  <c r="AW1339" i="1"/>
  <c r="AV1339" i="1"/>
  <c r="AW1338" i="1"/>
  <c r="AV1338" i="1"/>
  <c r="AW1337" i="1"/>
  <c r="AV1337" i="1"/>
  <c r="AU1337" i="1"/>
  <c r="AW1336" i="1"/>
  <c r="AV1336" i="1"/>
  <c r="AW1335" i="1"/>
  <c r="AV1335" i="1"/>
  <c r="AW1334" i="1"/>
  <c r="AV1334" i="1"/>
  <c r="AW1333" i="1"/>
  <c r="AV1333" i="1"/>
  <c r="AW1332" i="1"/>
  <c r="AV1332" i="1"/>
  <c r="AW1331" i="1"/>
  <c r="AV1331" i="1"/>
  <c r="AU1331" i="1"/>
  <c r="AW1330" i="1"/>
  <c r="AV1330" i="1"/>
  <c r="AU1330" i="1"/>
  <c r="AW1329" i="1"/>
  <c r="AV1329" i="1"/>
  <c r="AU1329" i="1"/>
  <c r="AW1328" i="1"/>
  <c r="AV1328" i="1"/>
  <c r="AU1328" i="1"/>
  <c r="AW1327" i="1"/>
  <c r="AV1327" i="1"/>
  <c r="AW1326" i="1"/>
  <c r="AV1326" i="1"/>
  <c r="AW1325" i="1"/>
  <c r="AV1325" i="1"/>
  <c r="AU1325" i="1"/>
  <c r="AW1324" i="1"/>
  <c r="AV1324" i="1"/>
  <c r="AU1324" i="1"/>
  <c r="AW1323" i="1"/>
  <c r="AV1323" i="1"/>
  <c r="AU1323" i="1"/>
  <c r="AW1322" i="1"/>
  <c r="AV1322" i="1"/>
  <c r="AU1322" i="1"/>
  <c r="AW1321" i="1"/>
  <c r="AV1321" i="1"/>
  <c r="AW1320" i="1"/>
  <c r="AV1320" i="1"/>
  <c r="AW1319" i="1"/>
  <c r="AV1319" i="1"/>
  <c r="AW1318" i="1"/>
  <c r="AV1318" i="1"/>
  <c r="AU1318" i="1"/>
  <c r="AW1317" i="1"/>
  <c r="AV1317" i="1"/>
  <c r="AW1316" i="1"/>
  <c r="AV1316" i="1"/>
  <c r="AW1315" i="1"/>
  <c r="AV1315" i="1"/>
  <c r="AW1314" i="1"/>
  <c r="AV1314" i="1"/>
  <c r="AW1313" i="1"/>
  <c r="AV1313" i="1"/>
  <c r="AW1312" i="1"/>
  <c r="AV1312" i="1"/>
  <c r="AW1311" i="1"/>
  <c r="AV1311" i="1"/>
  <c r="AW1310" i="1"/>
  <c r="AV1310" i="1"/>
  <c r="AU1310" i="1"/>
  <c r="AW1309" i="1"/>
  <c r="AV1309" i="1"/>
  <c r="AW1308" i="1"/>
  <c r="AV1308" i="1"/>
  <c r="AW1307" i="1"/>
  <c r="AV1307" i="1"/>
  <c r="AW1306" i="1"/>
  <c r="AV1306" i="1"/>
  <c r="AW1305" i="1"/>
  <c r="AV1305" i="1"/>
  <c r="AU1305" i="1"/>
  <c r="AW1304" i="1"/>
  <c r="AV1304" i="1"/>
  <c r="AW1303" i="1"/>
  <c r="AV1303" i="1"/>
  <c r="AW1302" i="1"/>
  <c r="AV1302" i="1"/>
  <c r="AU1302" i="1"/>
  <c r="AW1301" i="1"/>
  <c r="AV1301" i="1"/>
  <c r="AW1300" i="1"/>
  <c r="AV1300" i="1"/>
  <c r="AW1299" i="1"/>
  <c r="AV1299" i="1"/>
  <c r="AW1298" i="1"/>
  <c r="AV1298" i="1"/>
  <c r="AU1298" i="1"/>
  <c r="AW1297" i="1"/>
  <c r="AV1297" i="1"/>
  <c r="AW1296" i="1"/>
  <c r="AV1296" i="1"/>
  <c r="AW1295" i="1"/>
  <c r="AV1295" i="1"/>
  <c r="AU1295" i="1"/>
  <c r="AW1294" i="1"/>
  <c r="AV1294" i="1"/>
  <c r="AU1294" i="1"/>
  <c r="AW1290" i="1"/>
  <c r="AV1290" i="1"/>
  <c r="AU1290" i="1"/>
  <c r="AW1289" i="1"/>
  <c r="AV1289" i="1"/>
  <c r="AU1289" i="1"/>
  <c r="AW1288" i="1"/>
  <c r="AV1288" i="1"/>
  <c r="AW1287" i="1"/>
  <c r="AV1287" i="1"/>
  <c r="AW1293" i="1"/>
  <c r="AV1293" i="1"/>
  <c r="AU1293" i="1"/>
  <c r="AW1292" i="1"/>
  <c r="AV1292" i="1"/>
  <c r="AU1292" i="1"/>
  <c r="AW1291" i="1"/>
  <c r="AV1291" i="1"/>
  <c r="AU1291" i="1"/>
  <c r="AW1285" i="1"/>
  <c r="AV1285" i="1"/>
  <c r="AW1284" i="1"/>
  <c r="AV1284" i="1"/>
  <c r="AW1283" i="1"/>
  <c r="AV1283" i="1"/>
  <c r="AW1282" i="1"/>
  <c r="AV1282" i="1"/>
  <c r="AW1281" i="1"/>
  <c r="AV1281" i="1"/>
  <c r="AW1280" i="1"/>
  <c r="AV1280" i="1"/>
  <c r="AW1279" i="1"/>
  <c r="AV1279" i="1"/>
  <c r="AW1286" i="1"/>
  <c r="AV1286" i="1"/>
  <c r="AU1286" i="1"/>
  <c r="AW1278" i="1"/>
  <c r="AV1278" i="1"/>
  <c r="AU1278" i="1"/>
  <c r="AW1277" i="1"/>
  <c r="AV1277" i="1"/>
  <c r="AW1276" i="1"/>
  <c r="AV1276" i="1"/>
  <c r="AW1275" i="1"/>
  <c r="AV1275" i="1"/>
  <c r="AW1274" i="1"/>
  <c r="AV1274" i="1"/>
  <c r="AW1273" i="1"/>
  <c r="AV1273" i="1"/>
  <c r="AU1273" i="1"/>
  <c r="AW1268" i="1"/>
  <c r="AV1268" i="1"/>
  <c r="AW1267" i="1"/>
  <c r="AV1267" i="1"/>
  <c r="AW1266" i="1"/>
  <c r="AV1266" i="1"/>
  <c r="AW1265" i="1"/>
  <c r="AV1265" i="1"/>
  <c r="AU1265" i="1"/>
  <c r="AW1264" i="1"/>
  <c r="AV1264" i="1"/>
  <c r="AU1264" i="1"/>
  <c r="AW1263" i="1"/>
  <c r="AV1263" i="1"/>
  <c r="AW1272" i="1"/>
  <c r="AV1272" i="1"/>
  <c r="AW1271" i="1"/>
  <c r="AV1271" i="1"/>
  <c r="AW1270" i="1"/>
  <c r="AV1270" i="1"/>
  <c r="AU1270" i="1"/>
  <c r="AW1269" i="1"/>
  <c r="AV1269" i="1"/>
  <c r="AU1269" i="1"/>
  <c r="AW1262" i="1"/>
  <c r="AV1262" i="1"/>
  <c r="AU1262" i="1"/>
  <c r="AW1261" i="1"/>
  <c r="AV1261" i="1"/>
  <c r="AU1261" i="1"/>
  <c r="AW1260" i="1"/>
  <c r="AV1260" i="1"/>
  <c r="AU1260" i="1"/>
  <c r="AW1259" i="1"/>
  <c r="AV1259" i="1"/>
  <c r="AU1259" i="1"/>
  <c r="AW1258" i="1"/>
  <c r="AV1258" i="1"/>
  <c r="AU1258" i="1"/>
  <c r="AW1257" i="1"/>
  <c r="AV1257" i="1"/>
  <c r="AU1257" i="1"/>
  <c r="AW1256" i="1"/>
  <c r="AV1256" i="1"/>
  <c r="AU1256" i="1"/>
  <c r="AW1255" i="1"/>
  <c r="AV1255" i="1"/>
  <c r="AU1255" i="1"/>
  <c r="AW1254" i="1"/>
  <c r="AV1254" i="1"/>
  <c r="AW1253" i="1"/>
  <c r="AV1253" i="1"/>
  <c r="AW1252" i="1"/>
  <c r="AV1252" i="1"/>
  <c r="AW1251" i="1"/>
  <c r="AV1251" i="1"/>
  <c r="AW1250" i="1"/>
  <c r="AV1250" i="1"/>
  <c r="AU1250" i="1"/>
  <c r="AW1249" i="1"/>
  <c r="AV1249" i="1"/>
  <c r="AU1249" i="1"/>
  <c r="AW1248" i="1"/>
  <c r="AV1248" i="1"/>
  <c r="AU1248" i="1"/>
  <c r="AW1247" i="1"/>
  <c r="AV1247" i="1"/>
  <c r="AU1247" i="1"/>
  <c r="AW1246" i="1"/>
  <c r="AV1246" i="1"/>
  <c r="AU1246" i="1"/>
  <c r="AW1245" i="1"/>
  <c r="AV1245" i="1"/>
  <c r="AU1245" i="1"/>
  <c r="AW1244" i="1"/>
  <c r="AV1244" i="1"/>
  <c r="AW1243" i="1"/>
  <c r="AV1243" i="1"/>
  <c r="AU1243" i="1"/>
  <c r="AW1242" i="1"/>
  <c r="AV1242" i="1"/>
  <c r="AW1241" i="1"/>
  <c r="AV1241" i="1"/>
  <c r="AW1240" i="1"/>
  <c r="AV1240" i="1"/>
  <c r="AU1240" i="1"/>
  <c r="AW1239" i="1"/>
  <c r="AV1239" i="1"/>
  <c r="AW1235" i="1"/>
  <c r="AV1235" i="1"/>
  <c r="AW1234" i="1"/>
  <c r="AV1234" i="1"/>
  <c r="AU1234" i="1"/>
  <c r="AW1233" i="1"/>
  <c r="AV1233" i="1"/>
  <c r="AU1233" i="1"/>
  <c r="AW1238" i="1"/>
  <c r="AV1238" i="1"/>
  <c r="AU1238" i="1"/>
  <c r="AW1237" i="1"/>
  <c r="AV1237" i="1"/>
  <c r="AU1237" i="1"/>
  <c r="AW1236" i="1"/>
  <c r="AV1236" i="1"/>
  <c r="AU1236" i="1"/>
  <c r="AW1232" i="1"/>
  <c r="AV1232" i="1"/>
  <c r="AW1231" i="1"/>
  <c r="AV1231" i="1"/>
  <c r="AW1230" i="1"/>
  <c r="AV1230" i="1"/>
  <c r="AU1230" i="1"/>
  <c r="AW1229" i="1"/>
  <c r="AV1229" i="1"/>
  <c r="AW1228" i="1"/>
  <c r="AV1228" i="1"/>
  <c r="AU1228" i="1"/>
  <c r="AW1227" i="1"/>
  <c r="AV1227" i="1"/>
  <c r="AU1227" i="1"/>
  <c r="AW1226" i="1"/>
  <c r="AV1226" i="1"/>
  <c r="AU1226" i="1"/>
  <c r="AW1225" i="1"/>
  <c r="AV1225" i="1"/>
  <c r="AU1225" i="1"/>
  <c r="AW1224" i="1"/>
  <c r="AV1224" i="1"/>
  <c r="AU1224" i="1"/>
  <c r="AW1223" i="1"/>
  <c r="AV1223" i="1"/>
  <c r="AW1222" i="1"/>
  <c r="AV1222" i="1"/>
  <c r="AW1221" i="1"/>
  <c r="AV1221" i="1"/>
  <c r="AU1221" i="1"/>
  <c r="AW1220" i="1"/>
  <c r="AV1220" i="1"/>
  <c r="AW1219" i="1"/>
  <c r="AV1219" i="1"/>
  <c r="AW1218" i="1"/>
  <c r="AV1218" i="1"/>
  <c r="AU1218" i="1"/>
  <c r="AW1217" i="1"/>
  <c r="AV1217" i="1"/>
  <c r="AU1217" i="1"/>
  <c r="AW1216" i="1"/>
  <c r="AV1216" i="1"/>
  <c r="AU1216" i="1"/>
  <c r="AW1215" i="1"/>
  <c r="AV1215" i="1"/>
  <c r="AW1214" i="1"/>
  <c r="AV1214" i="1"/>
  <c r="AW1213" i="1"/>
  <c r="AV1213" i="1"/>
  <c r="AU1213" i="1"/>
  <c r="AW1212" i="1"/>
  <c r="AV1212" i="1"/>
  <c r="AU1212" i="1"/>
  <c r="AW1211" i="1"/>
  <c r="AV1211" i="1"/>
  <c r="AW1210" i="1"/>
  <c r="AV1210" i="1"/>
  <c r="AU1210" i="1"/>
  <c r="AW1209" i="1"/>
  <c r="AV1209" i="1"/>
  <c r="AU1209" i="1"/>
  <c r="AW1208" i="1"/>
  <c r="AV1208" i="1"/>
  <c r="AU1208" i="1"/>
  <c r="AW1207" i="1"/>
  <c r="AV1207" i="1"/>
  <c r="AW1206" i="1"/>
  <c r="AV1206" i="1"/>
  <c r="AW1205" i="1"/>
  <c r="AV1205" i="1"/>
  <c r="AW1204" i="1"/>
  <c r="AV1204" i="1"/>
  <c r="AW1203" i="1"/>
  <c r="AV1203" i="1"/>
  <c r="AU1203" i="1"/>
  <c r="AW1202" i="1"/>
  <c r="AV1202" i="1"/>
  <c r="AW1201" i="1"/>
  <c r="AV1201" i="1"/>
  <c r="AU1201" i="1"/>
  <c r="AW1200" i="1"/>
  <c r="AV1200" i="1"/>
  <c r="AW1199" i="1"/>
  <c r="AV1199" i="1"/>
  <c r="AU1199" i="1"/>
  <c r="AW1198" i="1"/>
  <c r="AV1198" i="1"/>
  <c r="AW1197" i="1"/>
  <c r="AV1197" i="1"/>
  <c r="AU1197" i="1"/>
  <c r="AW1174" i="1"/>
  <c r="AV1174" i="1"/>
  <c r="AW1196" i="1"/>
  <c r="AV1196" i="1"/>
  <c r="AU1196" i="1"/>
  <c r="AW1195" i="1"/>
  <c r="AV1195" i="1"/>
  <c r="AU1195" i="1"/>
  <c r="AW1194" i="1"/>
  <c r="AV1194" i="1"/>
  <c r="AU1194" i="1"/>
  <c r="AW1193" i="1"/>
  <c r="AV1193" i="1"/>
  <c r="AU1193" i="1"/>
  <c r="AW1192" i="1"/>
  <c r="AV1192" i="1"/>
  <c r="AU1192" i="1"/>
  <c r="AW1191" i="1"/>
  <c r="AV1191" i="1"/>
  <c r="AU1191" i="1"/>
  <c r="AW1190" i="1"/>
  <c r="AV1190" i="1"/>
  <c r="AU1190" i="1"/>
  <c r="AW1189" i="1"/>
  <c r="AV1189" i="1"/>
  <c r="AU1189" i="1"/>
  <c r="AW1188" i="1"/>
  <c r="AV1188" i="1"/>
  <c r="AW1187" i="1"/>
  <c r="AV1187" i="1"/>
  <c r="AU1187" i="1"/>
  <c r="AW1186" i="1"/>
  <c r="AV1186" i="1"/>
  <c r="AU1186" i="1"/>
  <c r="AW1185" i="1"/>
  <c r="AV1185" i="1"/>
  <c r="AU1185" i="1"/>
  <c r="AW1184" i="1"/>
  <c r="AV1184" i="1"/>
  <c r="AU1184" i="1"/>
  <c r="AW1183" i="1"/>
  <c r="AV1183" i="1"/>
  <c r="AW1182" i="1"/>
  <c r="AV1182" i="1"/>
  <c r="AU1182" i="1"/>
  <c r="AW1181" i="1"/>
  <c r="AV1181" i="1"/>
  <c r="AU1181" i="1"/>
  <c r="AW1180" i="1"/>
  <c r="AV1180" i="1"/>
  <c r="AU1180" i="1"/>
  <c r="AW1179" i="1"/>
  <c r="AV1179" i="1"/>
  <c r="AW1178" i="1"/>
  <c r="AV1178" i="1"/>
  <c r="AU1178" i="1"/>
  <c r="AW1177" i="1"/>
  <c r="AV1177" i="1"/>
  <c r="AU1177" i="1"/>
  <c r="AW1176" i="1"/>
  <c r="AV1176" i="1"/>
  <c r="AU1176" i="1"/>
  <c r="AW1175" i="1"/>
  <c r="AV1175" i="1"/>
  <c r="AW1173" i="1"/>
  <c r="AV1173" i="1"/>
  <c r="AW1172" i="1"/>
  <c r="AV1172" i="1"/>
  <c r="AW1171" i="1"/>
  <c r="AV1171" i="1"/>
  <c r="AW1170" i="1"/>
  <c r="AV1170" i="1"/>
  <c r="AW1169" i="1"/>
  <c r="AV1169" i="1"/>
  <c r="AW1168" i="1"/>
  <c r="AV1168" i="1"/>
  <c r="AU1168" i="1"/>
  <c r="AW1167" i="1"/>
  <c r="AV1167" i="1"/>
  <c r="AU1167" i="1"/>
  <c r="AW1166" i="1"/>
  <c r="AV1166" i="1"/>
  <c r="AU1166" i="1"/>
  <c r="AW1165" i="1"/>
  <c r="AV1165" i="1"/>
  <c r="AW1164" i="1"/>
  <c r="AV1164" i="1"/>
  <c r="AW1163" i="1"/>
  <c r="AV1163" i="1"/>
  <c r="AU1163" i="1"/>
  <c r="AW1161" i="1"/>
  <c r="AV1161" i="1"/>
  <c r="AW1162" i="1"/>
  <c r="AV1162" i="1"/>
  <c r="AW1160" i="1"/>
  <c r="AV1160" i="1"/>
  <c r="AW1159" i="1"/>
  <c r="AV1159" i="1"/>
  <c r="AW1158" i="1"/>
  <c r="AV1158" i="1"/>
  <c r="AU1158" i="1"/>
  <c r="AW1157" i="1"/>
  <c r="AV1157" i="1"/>
  <c r="AU1157" i="1"/>
  <c r="AW1156" i="1"/>
  <c r="AV1156" i="1"/>
  <c r="AW1155" i="1"/>
  <c r="AV1155" i="1"/>
  <c r="AW1154" i="1"/>
  <c r="AV1154" i="1"/>
  <c r="AU1154" i="1"/>
  <c r="AW1153" i="1"/>
  <c r="AV1153" i="1"/>
  <c r="AU1153" i="1"/>
  <c r="AW1068" i="1"/>
  <c r="AV1068" i="1"/>
  <c r="AU1068" i="1"/>
  <c r="AW1067" i="1"/>
  <c r="AV1067" i="1"/>
  <c r="AU1067" i="1"/>
  <c r="AW1152" i="1"/>
  <c r="AV1152" i="1"/>
  <c r="AU1152" i="1"/>
  <c r="AW1151" i="1"/>
  <c r="AV1151" i="1"/>
  <c r="AU1151" i="1"/>
  <c r="AW1066" i="1"/>
  <c r="AV1066" i="1"/>
  <c r="AU1066" i="1"/>
  <c r="AW1150" i="1"/>
  <c r="AV1150" i="1"/>
  <c r="AU1150" i="1"/>
  <c r="AW1149" i="1"/>
  <c r="AV1149" i="1"/>
  <c r="AU1149" i="1"/>
  <c r="AW1148" i="1"/>
  <c r="AV1148" i="1"/>
  <c r="AU1148" i="1"/>
  <c r="AW1147" i="1"/>
  <c r="AV1147" i="1"/>
  <c r="AU1147" i="1"/>
  <c r="AW1146" i="1"/>
  <c r="AV1146" i="1"/>
  <c r="AU1146" i="1"/>
  <c r="AW1145" i="1"/>
  <c r="AV1145" i="1"/>
  <c r="AU1145" i="1"/>
  <c r="AW1144" i="1"/>
  <c r="AV1144" i="1"/>
  <c r="AU1144" i="1"/>
  <c r="AW1065" i="1"/>
  <c r="AV1065" i="1"/>
  <c r="AU1065" i="1"/>
  <c r="AW1143" i="1"/>
  <c r="AV1143" i="1"/>
  <c r="AU1143" i="1"/>
  <c r="AW1142" i="1"/>
  <c r="AV1142" i="1"/>
  <c r="AU1142" i="1"/>
  <c r="AW1141" i="1"/>
  <c r="AV1141" i="1"/>
  <c r="AU1141" i="1"/>
  <c r="AW1140" i="1"/>
  <c r="AV1140" i="1"/>
  <c r="AU1140" i="1"/>
  <c r="AW1139" i="1"/>
  <c r="AV1139" i="1"/>
  <c r="AU1139" i="1"/>
  <c r="AW1138" i="1"/>
  <c r="AV1138" i="1"/>
  <c r="AU1138" i="1"/>
  <c r="AW1137" i="1"/>
  <c r="AV1137" i="1"/>
  <c r="AU1137" i="1"/>
  <c r="AW1136" i="1"/>
  <c r="AV1136" i="1"/>
  <c r="AU1136" i="1"/>
  <c r="AW1135" i="1"/>
  <c r="AV1135" i="1"/>
  <c r="AU1135" i="1"/>
  <c r="AW1134" i="1"/>
  <c r="AV1134" i="1"/>
  <c r="AU1134" i="1"/>
  <c r="AW1133" i="1"/>
  <c r="AV1133" i="1"/>
  <c r="AU1133" i="1"/>
  <c r="AW1132" i="1"/>
  <c r="AV1132" i="1"/>
  <c r="AU1132" i="1"/>
  <c r="AW1131" i="1"/>
  <c r="AV1131" i="1"/>
  <c r="AU1131" i="1"/>
  <c r="AW1130" i="1"/>
  <c r="AV1130" i="1"/>
  <c r="AU1130" i="1"/>
  <c r="AW1129" i="1"/>
  <c r="AV1129" i="1"/>
  <c r="AU1129" i="1"/>
  <c r="AW1128" i="1"/>
  <c r="AV1128" i="1"/>
  <c r="AU1128" i="1"/>
  <c r="AW1127" i="1"/>
  <c r="AV1127" i="1"/>
  <c r="AU1127" i="1"/>
  <c r="AW1126" i="1"/>
  <c r="AV1126" i="1"/>
  <c r="AU1126" i="1"/>
  <c r="AW1125" i="1"/>
  <c r="AV1125" i="1"/>
  <c r="AU1125" i="1"/>
  <c r="AW1124" i="1"/>
  <c r="AV1124" i="1"/>
  <c r="AU1124" i="1"/>
  <c r="AW1123" i="1"/>
  <c r="AV1123" i="1"/>
  <c r="AU1123" i="1"/>
  <c r="AW1122" i="1"/>
  <c r="AV1122" i="1"/>
  <c r="AU1122" i="1"/>
  <c r="AW1121" i="1"/>
  <c r="AV1121" i="1"/>
  <c r="AU1121" i="1"/>
  <c r="AW1120" i="1"/>
  <c r="AV1120" i="1"/>
  <c r="AU1120" i="1"/>
  <c r="AW1119" i="1"/>
  <c r="AV1119" i="1"/>
  <c r="AU1119" i="1"/>
  <c r="AW1118" i="1"/>
  <c r="AV1118" i="1"/>
  <c r="AU1118" i="1"/>
  <c r="AW1117" i="1"/>
  <c r="AV1117" i="1"/>
  <c r="AU1117" i="1"/>
  <c r="AW1116" i="1"/>
  <c r="AV1116" i="1"/>
  <c r="AU1116" i="1"/>
  <c r="AW1115" i="1"/>
  <c r="AV1115" i="1"/>
  <c r="AU1115" i="1"/>
  <c r="AW1114" i="1"/>
  <c r="AV1114" i="1"/>
  <c r="AU1114" i="1"/>
  <c r="AW1113" i="1"/>
  <c r="AV1113" i="1"/>
  <c r="AU1113" i="1"/>
  <c r="AW1112" i="1"/>
  <c r="AV1112" i="1"/>
  <c r="AU1112" i="1"/>
  <c r="AW1111" i="1"/>
  <c r="AV1111" i="1"/>
  <c r="AU1111" i="1"/>
  <c r="AW1110" i="1"/>
  <c r="AV1110" i="1"/>
  <c r="AU1110" i="1"/>
  <c r="AW1109" i="1"/>
  <c r="AV1109" i="1"/>
  <c r="AU1109" i="1"/>
  <c r="AW1108" i="1"/>
  <c r="AV1108" i="1"/>
  <c r="AU1108" i="1"/>
  <c r="AW1107" i="1"/>
  <c r="AV1107" i="1"/>
  <c r="AU1107" i="1"/>
  <c r="AW1106" i="1"/>
  <c r="AV1106" i="1"/>
  <c r="AU1106" i="1"/>
  <c r="AW1105" i="1"/>
  <c r="AV1105" i="1"/>
  <c r="AU1105" i="1"/>
  <c r="AW1104" i="1"/>
  <c r="AV1104" i="1"/>
  <c r="AU1104" i="1"/>
  <c r="AW1103" i="1"/>
  <c r="AV1103" i="1"/>
  <c r="AU1103" i="1"/>
  <c r="AW1102" i="1"/>
  <c r="AV1102" i="1"/>
  <c r="AU1102" i="1"/>
  <c r="AW1101" i="1"/>
  <c r="AV1101" i="1"/>
  <c r="AU1101" i="1"/>
  <c r="AW1100" i="1"/>
  <c r="AV1100" i="1"/>
  <c r="AU1100" i="1"/>
  <c r="AW1099" i="1"/>
  <c r="AV1099" i="1"/>
  <c r="AU1099" i="1"/>
  <c r="AW1098" i="1"/>
  <c r="AV1098" i="1"/>
  <c r="AU1098" i="1"/>
  <c r="AW1097" i="1"/>
  <c r="AV1097" i="1"/>
  <c r="AU1097" i="1"/>
  <c r="AW1096" i="1"/>
  <c r="AV1096" i="1"/>
  <c r="AU1096" i="1"/>
  <c r="AW1095" i="1"/>
  <c r="AV1095" i="1"/>
  <c r="AU1095" i="1"/>
  <c r="AW1094" i="1"/>
  <c r="AV1094" i="1"/>
  <c r="AU1094" i="1"/>
  <c r="AW1093" i="1"/>
  <c r="AV1093" i="1"/>
  <c r="AU1093" i="1"/>
  <c r="AW1092" i="1"/>
  <c r="AV1092" i="1"/>
  <c r="AU1092" i="1"/>
  <c r="AW1091" i="1"/>
  <c r="AV1091" i="1"/>
  <c r="AU1091" i="1"/>
  <c r="AW1090" i="1"/>
  <c r="AV1090" i="1"/>
  <c r="AU1090" i="1"/>
  <c r="AW1089" i="1"/>
  <c r="AV1089" i="1"/>
  <c r="AU1089" i="1"/>
  <c r="AW1088" i="1"/>
  <c r="AV1088" i="1"/>
  <c r="AW1087" i="1"/>
  <c r="AV1087" i="1"/>
  <c r="AW1086" i="1"/>
  <c r="AV1086" i="1"/>
  <c r="AW1085" i="1"/>
  <c r="AV1085" i="1"/>
  <c r="AW1084" i="1"/>
  <c r="AV1084" i="1"/>
  <c r="AW1083" i="1"/>
  <c r="AV1083" i="1"/>
  <c r="AW1082" i="1"/>
  <c r="AV1082" i="1"/>
  <c r="AW1081" i="1"/>
  <c r="AV1081" i="1"/>
  <c r="AW1080" i="1"/>
  <c r="AV1080" i="1"/>
  <c r="AW1079" i="1"/>
  <c r="AV1079" i="1"/>
  <c r="AW1078" i="1"/>
  <c r="AV1078" i="1"/>
  <c r="AW1077" i="1"/>
  <c r="AV1077" i="1"/>
  <c r="AW1076" i="1"/>
  <c r="AV1076" i="1"/>
  <c r="AW1075" i="1"/>
  <c r="AV1075" i="1"/>
  <c r="AW1074" i="1"/>
  <c r="AV1074" i="1"/>
  <c r="AW1073" i="1"/>
  <c r="AV1073" i="1"/>
  <c r="AW1072" i="1"/>
  <c r="AV1072" i="1"/>
  <c r="AW1071" i="1"/>
  <c r="AV1071" i="1"/>
  <c r="AW1070" i="1"/>
  <c r="AV1070" i="1"/>
  <c r="AW1069" i="1"/>
  <c r="AV1069" i="1"/>
  <c r="AW1064" i="1"/>
  <c r="AV1064" i="1"/>
  <c r="AU1064" i="1"/>
  <c r="AW1063" i="1"/>
  <c r="AV1063" i="1"/>
  <c r="AU1063" i="1"/>
  <c r="AW1062" i="1"/>
  <c r="AV1062" i="1"/>
  <c r="AU1062" i="1"/>
  <c r="AW1061" i="1"/>
  <c r="AV1061" i="1"/>
  <c r="AU1061" i="1"/>
  <c r="AW1060" i="1"/>
  <c r="AV1060" i="1"/>
  <c r="AU1060" i="1"/>
  <c r="AW1059" i="1"/>
  <c r="AV1059" i="1"/>
  <c r="AU1059" i="1"/>
  <c r="AW1058" i="1"/>
  <c r="AV1058" i="1"/>
  <c r="AU1058" i="1"/>
  <c r="AW1057" i="1"/>
  <c r="AV1057" i="1"/>
  <c r="AW1056" i="1"/>
  <c r="AV1056" i="1"/>
  <c r="AU1056" i="1"/>
  <c r="AW1055" i="1"/>
  <c r="AV1055" i="1"/>
  <c r="AW1054" i="1"/>
  <c r="AV1054" i="1"/>
  <c r="AW1053" i="1"/>
  <c r="AV1053" i="1"/>
  <c r="AW1052" i="1"/>
  <c r="AV1052" i="1"/>
  <c r="AW1051" i="1"/>
  <c r="AV1051" i="1"/>
  <c r="AW1050" i="1"/>
  <c r="AV1050" i="1"/>
  <c r="AW1049" i="1"/>
  <c r="AV1049" i="1"/>
  <c r="AU1049" i="1"/>
  <c r="AW1048" i="1"/>
  <c r="AV1048" i="1"/>
  <c r="AU1048" i="1"/>
  <c r="AW1047" i="1"/>
  <c r="AV1047" i="1"/>
  <c r="AU1047" i="1"/>
  <c r="AW1046" i="1"/>
  <c r="AV1046" i="1"/>
  <c r="AU1046" i="1"/>
  <c r="AW1045" i="1"/>
  <c r="AV1045" i="1"/>
  <c r="AU1045" i="1"/>
  <c r="AW1044" i="1"/>
  <c r="AV1044" i="1"/>
  <c r="AU1044" i="1"/>
  <c r="AW1043" i="1"/>
  <c r="AV1043" i="1"/>
  <c r="AU1043" i="1"/>
  <c r="AW1042" i="1"/>
  <c r="AV1042" i="1"/>
  <c r="AU1042" i="1"/>
  <c r="AW1041" i="1"/>
  <c r="AV1041" i="1"/>
  <c r="AU1041" i="1"/>
  <c r="AW1040" i="1"/>
  <c r="AV1040" i="1"/>
  <c r="AW1039" i="1"/>
  <c r="AV1039" i="1"/>
  <c r="AU1039" i="1"/>
  <c r="AW1038" i="1"/>
  <c r="AV1038" i="1"/>
  <c r="AW1037" i="1"/>
  <c r="AV1037" i="1"/>
  <c r="AW1036" i="1"/>
  <c r="AV1036" i="1"/>
  <c r="AU1036" i="1"/>
  <c r="AW1035" i="1"/>
  <c r="AV1035" i="1"/>
  <c r="AW1034" i="1"/>
  <c r="AV1034" i="1"/>
  <c r="AW1033" i="1"/>
  <c r="AV1033" i="1"/>
  <c r="AU1033" i="1"/>
  <c r="AW1032" i="1"/>
  <c r="AV1032" i="1"/>
  <c r="AU1032" i="1"/>
  <c r="AW1031" i="1"/>
  <c r="AV1031" i="1"/>
  <c r="AU1031" i="1"/>
  <c r="AW1030" i="1"/>
  <c r="AV1030" i="1"/>
  <c r="AU1030" i="1"/>
  <c r="AW1029" i="1"/>
  <c r="AV1029" i="1"/>
  <c r="AU1029" i="1"/>
  <c r="AW1028" i="1"/>
  <c r="AV1028" i="1"/>
  <c r="AU1028" i="1"/>
  <c r="AW1027" i="1"/>
  <c r="AV1027" i="1"/>
  <c r="AU1027" i="1"/>
  <c r="AW1026" i="1"/>
  <c r="AV1026" i="1"/>
  <c r="AU1026" i="1"/>
  <c r="AW1025" i="1"/>
  <c r="AV1025" i="1"/>
  <c r="AU1025" i="1"/>
  <c r="AW1024" i="1"/>
  <c r="AV1024" i="1"/>
  <c r="AU1024" i="1"/>
  <c r="AW1019" i="1"/>
  <c r="AV1019" i="1"/>
  <c r="AU1019" i="1"/>
  <c r="AW1018" i="1"/>
  <c r="AV1018" i="1"/>
  <c r="AU1018" i="1"/>
  <c r="AW1017" i="1"/>
  <c r="AV1017" i="1"/>
  <c r="AU1017" i="1"/>
  <c r="AW1023" i="1"/>
  <c r="AV1023" i="1"/>
  <c r="AU1023" i="1"/>
  <c r="AW1022" i="1"/>
  <c r="AV1022" i="1"/>
  <c r="AU1022" i="1"/>
  <c r="AW1021" i="1"/>
  <c r="AV1021" i="1"/>
  <c r="AU1021" i="1"/>
  <c r="AW1020" i="1"/>
  <c r="AV1020" i="1"/>
  <c r="AW1016" i="1"/>
  <c r="AV1016" i="1"/>
  <c r="AW1015" i="1"/>
  <c r="AV1015" i="1"/>
  <c r="AU1015" i="1"/>
  <c r="AW1014" i="1"/>
  <c r="AV1014" i="1"/>
  <c r="AW1013" i="1"/>
  <c r="AV1013" i="1"/>
  <c r="AW1012" i="1"/>
  <c r="AV1012" i="1"/>
  <c r="AU1012" i="1"/>
  <c r="AW1011" i="1"/>
  <c r="AV1011" i="1"/>
  <c r="AU1011" i="1"/>
  <c r="AW1010" i="1"/>
  <c r="AV1010" i="1"/>
  <c r="AW1009" i="1"/>
  <c r="AV1009" i="1"/>
  <c r="AU1009" i="1"/>
  <c r="AW1008" i="1"/>
  <c r="AV1008" i="1"/>
  <c r="AW1007" i="1"/>
  <c r="AV1007" i="1"/>
  <c r="AW1006" i="1"/>
  <c r="AV1006" i="1"/>
  <c r="AW1005" i="1"/>
  <c r="AV1005" i="1"/>
  <c r="AW1004" i="1"/>
  <c r="AV1004" i="1"/>
  <c r="AW1003" i="1"/>
  <c r="AV1003" i="1"/>
  <c r="AU1003" i="1"/>
  <c r="AW1002" i="1"/>
  <c r="AV1002" i="1"/>
  <c r="AU1002" i="1"/>
  <c r="AW1001" i="1"/>
  <c r="AV1001" i="1"/>
  <c r="AU1001" i="1"/>
  <c r="AW1000" i="1"/>
  <c r="AV1000" i="1"/>
  <c r="AW999" i="1"/>
  <c r="AV999" i="1"/>
  <c r="AW998" i="1"/>
  <c r="AV998" i="1"/>
  <c r="AU998" i="1"/>
  <c r="AW997" i="1"/>
  <c r="AV997" i="1"/>
  <c r="AW996" i="1"/>
  <c r="AV996" i="1"/>
  <c r="AW995" i="1"/>
  <c r="AV995" i="1"/>
  <c r="AU995" i="1"/>
  <c r="AW994" i="1"/>
  <c r="AV994" i="1"/>
  <c r="AU994" i="1"/>
  <c r="AW993" i="1"/>
  <c r="AV993" i="1"/>
  <c r="AW992" i="1"/>
  <c r="AV992" i="1"/>
  <c r="AW991" i="1"/>
  <c r="AV991" i="1"/>
  <c r="AU991" i="1"/>
  <c r="AW990" i="1"/>
  <c r="AV990" i="1"/>
  <c r="AW989" i="1"/>
  <c r="AV989" i="1"/>
  <c r="AW988" i="1"/>
  <c r="AV988" i="1"/>
  <c r="AW987" i="1"/>
  <c r="AV987" i="1"/>
  <c r="AW986" i="1"/>
  <c r="AV986" i="1"/>
  <c r="AW985" i="1"/>
  <c r="AV985" i="1"/>
  <c r="AW984" i="1"/>
  <c r="AV984" i="1"/>
  <c r="AW983" i="1"/>
  <c r="AV983" i="1"/>
  <c r="AU983" i="1"/>
  <c r="AW982" i="1"/>
  <c r="AV982" i="1"/>
  <c r="AW981" i="1"/>
  <c r="AV981" i="1"/>
  <c r="AW980" i="1"/>
  <c r="AV980" i="1"/>
  <c r="AW979" i="1"/>
  <c r="AV979" i="1"/>
  <c r="AW978" i="1"/>
  <c r="AV978" i="1"/>
  <c r="AW977" i="1"/>
  <c r="AV977" i="1"/>
  <c r="AW976" i="1"/>
  <c r="AV976" i="1"/>
  <c r="AW975" i="1"/>
  <c r="AV975" i="1"/>
  <c r="AU975" i="1"/>
  <c r="AW974" i="1"/>
  <c r="AV974" i="1"/>
  <c r="AU974" i="1"/>
  <c r="AW973" i="1"/>
  <c r="AV973" i="1"/>
  <c r="AU973" i="1"/>
  <c r="AW972" i="1"/>
  <c r="AV972" i="1"/>
  <c r="AU972" i="1"/>
  <c r="AW971" i="1"/>
  <c r="AV971" i="1"/>
  <c r="AW970" i="1"/>
  <c r="AV970" i="1"/>
  <c r="AU970" i="1"/>
  <c r="AW969" i="1"/>
  <c r="AV969" i="1"/>
  <c r="AW968" i="1"/>
  <c r="AV968" i="1"/>
  <c r="AW967" i="1"/>
  <c r="AV967" i="1"/>
  <c r="AW966" i="1"/>
  <c r="AV966" i="1"/>
  <c r="AW965" i="1"/>
  <c r="AV965" i="1"/>
  <c r="AU965" i="1"/>
  <c r="AW964" i="1"/>
  <c r="AV964" i="1"/>
  <c r="AW963" i="1"/>
  <c r="AV963" i="1"/>
  <c r="AW962" i="1"/>
  <c r="AV962" i="1"/>
  <c r="AW961" i="1"/>
  <c r="AV961" i="1"/>
  <c r="AU961" i="1"/>
  <c r="AW960" i="1"/>
  <c r="AV960" i="1"/>
  <c r="AU960" i="1"/>
  <c r="AW959" i="1"/>
  <c r="AV959" i="1"/>
  <c r="AU959" i="1"/>
  <c r="AW958" i="1"/>
  <c r="AV958" i="1"/>
  <c r="AW957" i="1"/>
  <c r="AV957" i="1"/>
  <c r="AW956" i="1"/>
  <c r="AV956" i="1"/>
  <c r="AU956" i="1"/>
  <c r="AW955" i="1"/>
  <c r="AV955" i="1"/>
  <c r="AU955" i="1"/>
  <c r="AW954" i="1"/>
  <c r="AV954" i="1"/>
  <c r="AU954" i="1"/>
  <c r="AW953" i="1"/>
  <c r="AV953" i="1"/>
  <c r="AW952" i="1"/>
  <c r="AV952" i="1"/>
  <c r="AU952" i="1"/>
  <c r="AW951" i="1"/>
  <c r="AV951" i="1"/>
  <c r="AU951" i="1"/>
  <c r="AW950" i="1"/>
  <c r="AV950" i="1"/>
  <c r="AU950" i="1"/>
  <c r="AW949" i="1"/>
  <c r="AV949" i="1"/>
  <c r="AU949" i="1"/>
  <c r="AW948" i="1"/>
  <c r="AV948" i="1"/>
  <c r="AU948" i="1"/>
  <c r="AW947" i="1"/>
  <c r="AV947" i="1"/>
  <c r="AW946" i="1"/>
  <c r="AV946" i="1"/>
  <c r="AW945" i="1"/>
  <c r="AV945" i="1"/>
  <c r="AW944" i="1"/>
  <c r="AV944" i="1"/>
  <c r="AW943" i="1"/>
  <c r="AV943" i="1"/>
  <c r="AW942" i="1"/>
  <c r="AV942" i="1"/>
  <c r="AU942" i="1"/>
  <c r="AW941" i="1"/>
  <c r="AV941" i="1"/>
  <c r="AU941" i="1"/>
  <c r="AW940" i="1"/>
  <c r="AV940" i="1"/>
  <c r="AW939" i="1"/>
  <c r="AV939" i="1"/>
  <c r="AW938" i="1"/>
  <c r="AV938" i="1"/>
  <c r="AW937" i="1"/>
  <c r="AV937" i="1"/>
  <c r="AW936" i="1"/>
  <c r="AV936" i="1"/>
  <c r="AW935" i="1"/>
  <c r="AV935" i="1"/>
  <c r="AU935" i="1"/>
  <c r="AW934" i="1"/>
  <c r="AV934" i="1"/>
  <c r="AW933" i="1"/>
  <c r="AV933" i="1"/>
  <c r="AU933" i="1"/>
  <c r="AW932" i="1"/>
  <c r="AV932" i="1"/>
  <c r="AU932" i="1"/>
  <c r="AW931" i="1"/>
  <c r="AV931" i="1"/>
  <c r="AU931" i="1"/>
  <c r="AW930" i="1"/>
  <c r="AV930" i="1"/>
  <c r="AU930" i="1"/>
  <c r="AW929" i="1"/>
  <c r="AV929" i="1"/>
  <c r="AU929" i="1"/>
  <c r="AW928" i="1"/>
  <c r="AV928" i="1"/>
  <c r="AW927" i="1"/>
  <c r="AV927" i="1"/>
  <c r="AW926" i="1"/>
  <c r="AV926" i="1"/>
  <c r="AW925" i="1"/>
  <c r="AV925" i="1"/>
  <c r="AU925" i="1"/>
  <c r="AW924" i="1"/>
  <c r="AV924" i="1"/>
  <c r="AU924" i="1"/>
  <c r="AW923" i="1"/>
  <c r="AV923" i="1"/>
  <c r="AW922" i="1"/>
  <c r="AV922" i="1"/>
  <c r="AW921" i="1"/>
  <c r="AV921" i="1"/>
  <c r="AU921" i="1"/>
  <c r="AW920" i="1"/>
  <c r="AV920" i="1"/>
  <c r="AU920" i="1"/>
  <c r="AW919" i="1"/>
  <c r="AV919" i="1"/>
  <c r="AU919" i="1"/>
  <c r="AW918" i="1"/>
  <c r="AV918" i="1"/>
  <c r="AU918" i="1"/>
  <c r="AW917" i="1"/>
  <c r="AV917" i="1"/>
  <c r="AU917" i="1"/>
  <c r="AW916" i="1"/>
  <c r="AV916" i="1"/>
  <c r="AU916" i="1"/>
  <c r="AW915" i="1"/>
  <c r="AV915" i="1"/>
  <c r="AU915" i="1"/>
  <c r="AW914" i="1"/>
  <c r="AV914" i="1"/>
  <c r="AU914" i="1"/>
  <c r="AW913" i="1"/>
  <c r="AV913" i="1"/>
  <c r="AU913" i="1"/>
  <c r="AW912" i="1"/>
  <c r="AV912" i="1"/>
  <c r="AU912" i="1"/>
  <c r="AW911" i="1"/>
  <c r="AV911" i="1"/>
  <c r="AU911" i="1"/>
  <c r="AW910" i="1"/>
  <c r="AV910" i="1"/>
  <c r="AU910" i="1"/>
  <c r="AW909" i="1"/>
  <c r="AV909" i="1"/>
  <c r="AU909" i="1"/>
  <c r="AW908" i="1"/>
  <c r="AV908" i="1"/>
  <c r="AU908" i="1"/>
  <c r="AW907" i="1"/>
  <c r="AV907" i="1"/>
  <c r="AU907" i="1"/>
  <c r="AW906" i="1"/>
  <c r="AV906" i="1"/>
  <c r="AU906" i="1"/>
  <c r="AW905" i="1"/>
  <c r="AV905" i="1"/>
  <c r="AU905" i="1"/>
  <c r="AW904" i="1"/>
  <c r="AV904" i="1"/>
  <c r="AU904" i="1"/>
  <c r="AW903" i="1"/>
  <c r="AV903" i="1"/>
  <c r="AU903" i="1"/>
  <c r="AW902" i="1"/>
  <c r="AV902" i="1"/>
  <c r="AU902" i="1"/>
  <c r="AW901" i="1"/>
  <c r="AV901" i="1"/>
  <c r="AU901" i="1"/>
  <c r="AW900" i="1"/>
  <c r="AV900" i="1"/>
  <c r="AU900" i="1"/>
  <c r="AW899" i="1"/>
  <c r="AV899" i="1"/>
  <c r="AU899" i="1"/>
  <c r="AW898" i="1"/>
  <c r="AV898" i="1"/>
  <c r="AU898" i="1"/>
  <c r="AW897" i="1"/>
  <c r="AV897" i="1"/>
  <c r="AW896" i="1"/>
  <c r="AV896" i="1"/>
  <c r="AU896" i="1"/>
  <c r="AW895" i="1"/>
  <c r="AV895" i="1"/>
  <c r="AU895" i="1"/>
  <c r="AW894" i="1"/>
  <c r="AV894" i="1"/>
  <c r="AU894" i="1"/>
  <c r="AW893" i="1"/>
  <c r="AV893" i="1"/>
  <c r="AU893" i="1"/>
  <c r="AW892" i="1"/>
  <c r="AV892" i="1"/>
  <c r="AU892" i="1"/>
  <c r="AW891" i="1"/>
  <c r="AV891" i="1"/>
  <c r="AU891" i="1"/>
  <c r="AW890" i="1"/>
  <c r="AV890" i="1"/>
  <c r="AW889" i="1"/>
  <c r="AV889" i="1"/>
  <c r="AW888" i="1"/>
  <c r="AV888" i="1"/>
  <c r="AW887" i="1"/>
  <c r="AV887" i="1"/>
  <c r="AU887" i="1"/>
  <c r="AW886" i="1"/>
  <c r="AV886" i="1"/>
  <c r="AW885" i="1"/>
  <c r="AV885" i="1"/>
  <c r="AU885" i="1"/>
  <c r="AW884" i="1"/>
  <c r="AV884" i="1"/>
  <c r="AW883" i="1"/>
  <c r="AV883" i="1"/>
  <c r="AU883" i="1"/>
  <c r="AW882" i="1"/>
  <c r="AV882" i="1"/>
  <c r="AU882" i="1"/>
  <c r="AW881" i="1"/>
  <c r="AV881" i="1"/>
  <c r="AU881" i="1"/>
  <c r="AW880" i="1"/>
  <c r="AV880" i="1"/>
  <c r="AU880" i="1"/>
  <c r="AW879" i="1"/>
  <c r="AV879" i="1"/>
  <c r="AU879" i="1"/>
  <c r="AW878" i="1"/>
  <c r="AV878" i="1"/>
  <c r="AU878" i="1"/>
  <c r="AW877" i="1"/>
  <c r="AV877" i="1"/>
  <c r="AW876" i="1"/>
  <c r="AV876" i="1"/>
  <c r="AW875" i="1"/>
  <c r="AV875" i="1"/>
  <c r="AU875" i="1"/>
  <c r="AW874" i="1"/>
  <c r="AV874" i="1"/>
  <c r="AU874" i="1"/>
  <c r="AW873" i="1"/>
  <c r="AV873" i="1"/>
  <c r="AU873" i="1"/>
  <c r="AW872" i="1"/>
  <c r="AV872" i="1"/>
  <c r="AU872" i="1"/>
  <c r="AW871" i="1"/>
  <c r="AV871" i="1"/>
  <c r="AU871" i="1"/>
  <c r="AW870" i="1"/>
  <c r="AV870" i="1"/>
  <c r="AU870" i="1"/>
  <c r="AW869" i="1"/>
  <c r="AV869" i="1"/>
  <c r="AU869" i="1"/>
  <c r="AW868" i="1"/>
  <c r="AV868" i="1"/>
  <c r="AU868" i="1"/>
  <c r="AW867" i="1"/>
  <c r="AV867" i="1"/>
  <c r="AU867" i="1"/>
  <c r="AW866" i="1"/>
  <c r="AV866" i="1"/>
  <c r="AU866" i="1"/>
  <c r="AW865" i="1"/>
  <c r="AV865" i="1"/>
  <c r="AW864" i="1"/>
  <c r="AV864" i="1"/>
  <c r="AW863" i="1"/>
  <c r="AV863" i="1"/>
  <c r="AU863" i="1"/>
  <c r="AW862" i="1"/>
  <c r="AV862" i="1"/>
  <c r="AW861" i="1"/>
  <c r="AV861" i="1"/>
  <c r="AW860" i="1"/>
  <c r="AV860" i="1"/>
  <c r="AW859" i="1"/>
  <c r="AV859" i="1"/>
  <c r="AW858" i="1"/>
  <c r="AV858" i="1"/>
  <c r="AU858" i="1"/>
  <c r="AW857" i="1"/>
  <c r="AV857" i="1"/>
  <c r="AU857" i="1"/>
  <c r="AW856" i="1"/>
  <c r="AV856" i="1"/>
  <c r="AU856" i="1"/>
  <c r="AW855" i="1"/>
  <c r="AV855" i="1"/>
  <c r="AU855" i="1"/>
  <c r="AW854" i="1"/>
  <c r="AV854" i="1"/>
  <c r="AW853" i="1"/>
  <c r="AV853" i="1"/>
  <c r="AU853" i="1"/>
  <c r="AW852" i="1"/>
  <c r="AV852" i="1"/>
  <c r="AU852" i="1"/>
  <c r="AW851" i="1"/>
  <c r="AV851" i="1"/>
  <c r="AU851" i="1"/>
  <c r="AW850" i="1"/>
  <c r="AV850" i="1"/>
  <c r="AU850" i="1"/>
  <c r="AW849" i="1"/>
  <c r="AV849" i="1"/>
  <c r="AW848" i="1"/>
  <c r="AV848" i="1"/>
  <c r="AU848" i="1"/>
  <c r="AW847" i="1"/>
  <c r="AV847" i="1"/>
  <c r="AU847" i="1"/>
  <c r="AW846" i="1"/>
  <c r="AV846" i="1"/>
  <c r="AW845" i="1"/>
  <c r="AV845" i="1"/>
  <c r="AW844" i="1"/>
  <c r="AV844" i="1"/>
  <c r="AU844" i="1"/>
  <c r="AW843" i="1"/>
  <c r="AV843" i="1"/>
  <c r="AW842" i="1"/>
  <c r="AV842" i="1"/>
  <c r="AU842" i="1"/>
  <c r="AW841" i="1"/>
  <c r="AV841" i="1"/>
  <c r="AU841" i="1"/>
  <c r="AW840" i="1"/>
  <c r="AV840" i="1"/>
  <c r="AU840" i="1"/>
  <c r="AW839" i="1"/>
  <c r="AV839" i="1"/>
  <c r="AU839" i="1"/>
  <c r="AW838" i="1"/>
  <c r="AV838" i="1"/>
  <c r="AW837" i="1"/>
  <c r="AV837" i="1"/>
  <c r="AW836" i="1"/>
  <c r="AV836" i="1"/>
  <c r="AU836" i="1"/>
  <c r="AW835" i="1"/>
  <c r="AV835" i="1"/>
  <c r="AU835" i="1"/>
  <c r="AW834" i="1"/>
  <c r="AV834" i="1"/>
  <c r="AW833" i="1"/>
  <c r="AV833" i="1"/>
  <c r="AW832" i="1"/>
  <c r="AV832" i="1"/>
  <c r="AU832" i="1"/>
  <c r="AW831" i="1"/>
  <c r="AV831" i="1"/>
  <c r="AW830" i="1"/>
  <c r="AV830" i="1"/>
  <c r="AU830" i="1"/>
  <c r="AW829" i="1"/>
  <c r="AV829" i="1"/>
  <c r="AW828" i="1"/>
  <c r="AV828" i="1"/>
  <c r="AW827" i="1"/>
  <c r="AV827" i="1"/>
  <c r="AU827" i="1"/>
  <c r="AW826" i="1"/>
  <c r="AV826" i="1"/>
  <c r="AU826" i="1"/>
  <c r="AW825" i="1"/>
  <c r="AV825" i="1"/>
  <c r="AW824" i="1"/>
  <c r="AV824" i="1"/>
  <c r="AU824" i="1"/>
  <c r="AW823" i="1"/>
  <c r="AV823" i="1"/>
  <c r="AU823" i="1"/>
  <c r="AW822" i="1"/>
  <c r="AV822" i="1"/>
  <c r="AW821" i="1"/>
  <c r="AV821" i="1"/>
  <c r="AW820" i="1"/>
  <c r="AV820" i="1"/>
  <c r="AW819" i="1"/>
  <c r="AV819" i="1"/>
  <c r="AW818" i="1"/>
  <c r="AV818" i="1"/>
  <c r="AU818" i="1"/>
  <c r="AW817" i="1"/>
  <c r="AV817" i="1"/>
  <c r="AU817" i="1"/>
  <c r="AW816" i="1"/>
  <c r="AV816" i="1"/>
  <c r="AU816" i="1"/>
  <c r="AW815" i="1"/>
  <c r="AV815" i="1"/>
  <c r="AU815" i="1"/>
  <c r="AW814" i="1"/>
  <c r="AV814" i="1"/>
  <c r="AU814" i="1"/>
  <c r="AW813" i="1"/>
  <c r="AV813" i="1"/>
  <c r="AU813" i="1"/>
  <c r="AW812" i="1"/>
  <c r="AV812" i="1"/>
  <c r="AW811" i="1"/>
  <c r="AV811" i="1"/>
  <c r="AU811" i="1"/>
  <c r="AW810" i="1"/>
  <c r="AV810" i="1"/>
  <c r="AW809" i="1"/>
  <c r="AV809" i="1"/>
  <c r="AU809" i="1"/>
  <c r="AW808" i="1"/>
  <c r="AV808" i="1"/>
  <c r="AU808" i="1"/>
  <c r="AW807" i="1"/>
  <c r="AV807" i="1"/>
  <c r="AU807" i="1"/>
  <c r="AW806" i="1"/>
  <c r="AV806" i="1"/>
  <c r="AU806" i="1"/>
  <c r="AW805" i="1"/>
  <c r="AV805" i="1"/>
  <c r="AW804" i="1"/>
  <c r="AV804" i="1"/>
  <c r="AU804" i="1"/>
  <c r="AW803" i="1"/>
  <c r="AV803" i="1"/>
  <c r="AU803" i="1"/>
  <c r="AW802" i="1"/>
  <c r="AV802" i="1"/>
  <c r="AW801" i="1"/>
  <c r="AV801" i="1"/>
  <c r="AW800" i="1"/>
  <c r="AV800" i="1"/>
  <c r="AU800" i="1"/>
  <c r="AW799" i="1"/>
  <c r="AV799" i="1"/>
  <c r="AW798" i="1"/>
  <c r="AV798" i="1"/>
  <c r="AW797" i="1"/>
  <c r="AV797" i="1"/>
  <c r="AU797" i="1"/>
  <c r="AW796" i="1"/>
  <c r="AV796" i="1"/>
  <c r="AW795" i="1"/>
  <c r="AV795" i="1"/>
  <c r="AU795" i="1"/>
  <c r="AW794" i="1"/>
  <c r="AV794" i="1"/>
  <c r="AW793" i="1"/>
  <c r="AV793" i="1"/>
  <c r="AU793" i="1"/>
  <c r="AW792" i="1"/>
  <c r="AV792" i="1"/>
  <c r="AU792" i="1"/>
  <c r="AW791" i="1"/>
  <c r="AV791" i="1"/>
  <c r="AW790" i="1"/>
  <c r="AV790" i="1"/>
  <c r="AU790" i="1"/>
  <c r="AW789" i="1"/>
  <c r="AV789" i="1"/>
  <c r="AU789" i="1"/>
  <c r="AW788" i="1"/>
  <c r="AV788" i="1"/>
  <c r="AU788" i="1"/>
  <c r="AW787" i="1"/>
  <c r="AV787" i="1"/>
  <c r="AW786" i="1"/>
  <c r="AV786" i="1"/>
  <c r="AU786" i="1"/>
  <c r="AW785" i="1"/>
  <c r="AV785" i="1"/>
  <c r="AU785" i="1"/>
  <c r="AW784" i="1"/>
  <c r="AV784" i="1"/>
  <c r="AU784" i="1"/>
  <c r="AW783" i="1"/>
  <c r="AV783" i="1"/>
  <c r="AW782" i="1"/>
  <c r="AV782" i="1"/>
  <c r="AU782" i="1"/>
  <c r="AW781" i="1"/>
  <c r="AV781" i="1"/>
  <c r="AU781" i="1"/>
  <c r="AW780" i="1"/>
  <c r="AV780" i="1"/>
  <c r="AU780" i="1"/>
  <c r="AW779" i="1"/>
  <c r="AV779" i="1"/>
  <c r="AU779" i="1"/>
  <c r="AW778" i="1"/>
  <c r="AV778" i="1"/>
  <c r="AU778" i="1"/>
  <c r="AW777" i="1"/>
  <c r="AV777" i="1"/>
  <c r="AU777" i="1"/>
  <c r="AW776" i="1"/>
  <c r="AV776" i="1"/>
  <c r="AU776" i="1"/>
  <c r="AW775" i="1"/>
  <c r="AV775" i="1"/>
  <c r="AU775" i="1"/>
  <c r="AW774" i="1"/>
  <c r="AV774" i="1"/>
  <c r="AW773" i="1"/>
  <c r="AV773" i="1"/>
  <c r="AU773" i="1"/>
  <c r="AW772" i="1"/>
  <c r="AV772" i="1"/>
  <c r="AW771" i="1"/>
  <c r="AV771" i="1"/>
  <c r="AW770" i="1"/>
  <c r="AV770" i="1"/>
  <c r="AW769" i="1"/>
  <c r="AV769" i="1"/>
  <c r="AW768" i="1"/>
  <c r="AV768" i="1"/>
  <c r="AU768" i="1"/>
  <c r="AW767" i="1"/>
  <c r="AV767" i="1"/>
  <c r="AU767" i="1"/>
  <c r="AW766" i="1"/>
  <c r="AV766" i="1"/>
  <c r="AU766" i="1"/>
  <c r="AW765" i="1"/>
  <c r="AV765" i="1"/>
  <c r="AU765" i="1"/>
  <c r="AW764" i="1"/>
  <c r="AV764" i="1"/>
  <c r="AW763" i="1"/>
  <c r="AV763" i="1"/>
  <c r="AU763" i="1"/>
  <c r="AW762" i="1"/>
  <c r="AV762" i="1"/>
  <c r="AW761" i="1"/>
  <c r="AV761" i="1"/>
  <c r="AW760" i="1"/>
  <c r="AV760" i="1"/>
  <c r="AW759" i="1"/>
  <c r="AV759" i="1"/>
  <c r="AW758" i="1"/>
  <c r="AV758" i="1"/>
  <c r="AW757" i="1"/>
  <c r="AV757" i="1"/>
  <c r="AU757" i="1"/>
  <c r="AW756" i="1"/>
  <c r="AV756" i="1"/>
  <c r="AU756" i="1"/>
  <c r="AW755" i="1"/>
  <c r="AV755" i="1"/>
  <c r="AW754" i="1"/>
  <c r="AV754" i="1"/>
  <c r="AU754" i="1"/>
  <c r="AW753" i="1"/>
  <c r="AV753" i="1"/>
  <c r="AU753" i="1"/>
  <c r="AW752" i="1"/>
  <c r="AV752" i="1"/>
  <c r="AW751" i="1"/>
  <c r="AV751" i="1"/>
  <c r="AW750" i="1"/>
  <c r="AV750" i="1"/>
  <c r="AW749" i="1"/>
  <c r="AV749" i="1"/>
  <c r="AW748" i="1"/>
  <c r="AV748" i="1"/>
  <c r="AW747" i="1"/>
  <c r="AV747" i="1"/>
  <c r="AW746" i="1"/>
  <c r="AV746" i="1"/>
  <c r="AW745" i="1"/>
  <c r="AV745" i="1"/>
  <c r="AU745" i="1"/>
  <c r="AW744" i="1"/>
  <c r="AV744" i="1"/>
  <c r="AW743" i="1"/>
  <c r="AV743" i="1"/>
  <c r="AW742" i="1"/>
  <c r="AV742" i="1"/>
  <c r="AW741" i="1"/>
  <c r="AV741" i="1"/>
  <c r="AW740" i="1"/>
  <c r="AV740" i="1"/>
  <c r="AW739" i="1"/>
  <c r="AV739" i="1"/>
  <c r="AU739" i="1"/>
  <c r="AW738" i="1"/>
  <c r="AV738" i="1"/>
  <c r="AU738" i="1"/>
  <c r="AW737" i="1"/>
  <c r="AV737" i="1"/>
  <c r="AU737" i="1"/>
  <c r="AW736" i="1"/>
  <c r="AV736" i="1"/>
  <c r="AW735" i="1"/>
  <c r="AV735" i="1"/>
  <c r="AW734" i="1"/>
  <c r="AV734" i="1"/>
  <c r="AW733" i="1"/>
  <c r="AV733" i="1"/>
  <c r="AW732" i="1"/>
  <c r="AV732" i="1"/>
  <c r="AW731" i="1"/>
  <c r="AV731" i="1"/>
  <c r="AW730" i="1"/>
  <c r="AV730" i="1"/>
  <c r="AW729" i="1"/>
  <c r="AV729" i="1"/>
  <c r="AW728" i="1"/>
  <c r="AV728" i="1"/>
  <c r="AU728" i="1"/>
  <c r="AW727" i="1"/>
  <c r="AV727" i="1"/>
  <c r="AW726" i="1"/>
  <c r="AV726" i="1"/>
  <c r="AW725" i="1"/>
  <c r="AV725" i="1"/>
  <c r="AW724" i="1"/>
  <c r="AV724" i="1"/>
  <c r="AU724" i="1"/>
  <c r="AW723" i="1"/>
  <c r="AV723" i="1"/>
  <c r="AW722" i="1"/>
  <c r="AV722" i="1"/>
  <c r="AW721" i="1"/>
  <c r="AV721" i="1"/>
  <c r="AU721" i="1"/>
  <c r="AW720" i="1"/>
  <c r="AV720" i="1"/>
  <c r="AW719" i="1"/>
  <c r="AV719" i="1"/>
  <c r="AU719" i="1"/>
  <c r="AW718" i="1"/>
  <c r="AV718" i="1"/>
  <c r="AU718" i="1"/>
  <c r="AW717" i="1"/>
  <c r="AV717" i="1"/>
  <c r="AU717" i="1"/>
  <c r="AW716" i="1"/>
  <c r="AV716" i="1"/>
  <c r="AW715" i="1"/>
  <c r="AV715" i="1"/>
  <c r="AW714" i="1"/>
  <c r="AV714" i="1"/>
  <c r="AU714" i="1"/>
  <c r="AW713" i="1"/>
  <c r="AV713" i="1"/>
  <c r="AW712" i="1"/>
  <c r="AV712" i="1"/>
  <c r="AU712" i="1"/>
  <c r="AW711" i="1"/>
  <c r="AV711" i="1"/>
  <c r="AU711" i="1"/>
  <c r="AW710" i="1"/>
  <c r="AV710" i="1"/>
  <c r="AU710" i="1"/>
  <c r="AW709" i="1"/>
  <c r="AV709" i="1"/>
  <c r="AU709" i="1"/>
  <c r="AW708" i="1"/>
  <c r="AV708" i="1"/>
  <c r="AU708" i="1"/>
  <c r="AW707" i="1"/>
  <c r="AV707" i="1"/>
  <c r="AU707" i="1"/>
  <c r="AW706" i="1"/>
  <c r="AV706" i="1"/>
  <c r="AU706" i="1"/>
  <c r="AW705" i="1"/>
  <c r="AV705" i="1"/>
  <c r="AW704" i="1"/>
  <c r="AV704" i="1"/>
  <c r="AW703" i="1"/>
  <c r="AV703" i="1"/>
  <c r="AU703" i="1"/>
  <c r="AW702" i="1"/>
  <c r="AV702" i="1"/>
  <c r="AU702" i="1"/>
  <c r="AW701" i="1"/>
  <c r="AV701" i="1"/>
  <c r="AU701" i="1"/>
  <c r="AW700" i="1"/>
  <c r="AV700" i="1"/>
  <c r="AW699" i="1"/>
  <c r="AV699" i="1"/>
  <c r="AU699" i="1"/>
  <c r="AW698" i="1"/>
  <c r="AV698" i="1"/>
  <c r="AW697" i="1"/>
  <c r="AV697" i="1"/>
  <c r="AW696" i="1"/>
  <c r="AV696" i="1"/>
  <c r="AU696" i="1"/>
  <c r="AW695" i="1"/>
  <c r="AV695" i="1"/>
  <c r="AU695" i="1"/>
  <c r="AW694" i="1"/>
  <c r="AV694" i="1"/>
  <c r="AU694" i="1"/>
  <c r="AW693" i="1"/>
  <c r="AV693" i="1"/>
  <c r="AW692" i="1"/>
  <c r="AV692" i="1"/>
  <c r="AW691" i="1"/>
  <c r="AV691" i="1"/>
  <c r="AW690" i="1"/>
  <c r="AV690" i="1"/>
  <c r="AU690" i="1"/>
  <c r="AW689" i="1"/>
  <c r="AV689" i="1"/>
  <c r="AU689" i="1"/>
  <c r="AW688" i="1"/>
  <c r="AV688" i="1"/>
  <c r="AU688" i="1"/>
  <c r="AW687" i="1"/>
  <c r="AV687" i="1"/>
  <c r="AU687" i="1"/>
  <c r="AW686" i="1"/>
  <c r="AV686" i="1"/>
  <c r="AU686" i="1"/>
  <c r="AW685" i="1"/>
  <c r="AV685" i="1"/>
  <c r="AU685" i="1"/>
  <c r="AW684" i="1"/>
  <c r="AV684" i="1"/>
  <c r="AU684" i="1"/>
  <c r="AW683" i="1"/>
  <c r="AV683" i="1"/>
  <c r="AU683" i="1"/>
  <c r="AW682" i="1"/>
  <c r="AV682" i="1"/>
  <c r="AU682" i="1"/>
  <c r="AW681" i="1"/>
  <c r="AV681" i="1"/>
  <c r="AU681" i="1"/>
  <c r="AW680" i="1"/>
  <c r="AV680" i="1"/>
  <c r="AU680" i="1"/>
  <c r="AW679" i="1"/>
  <c r="AV679" i="1"/>
  <c r="AW678" i="1"/>
  <c r="AV678" i="1"/>
  <c r="AU678" i="1"/>
  <c r="AW677" i="1"/>
  <c r="AV677" i="1"/>
  <c r="AU677" i="1"/>
  <c r="AW676" i="1"/>
  <c r="AV676" i="1"/>
  <c r="AU676" i="1"/>
  <c r="AW675" i="1"/>
  <c r="AV675" i="1"/>
  <c r="AU675" i="1"/>
  <c r="AW674" i="1"/>
  <c r="AV674" i="1"/>
  <c r="AU674" i="1"/>
  <c r="AW673" i="1"/>
  <c r="AV673" i="1"/>
  <c r="AU673" i="1"/>
  <c r="AW672" i="1"/>
  <c r="AV672" i="1"/>
  <c r="AU672" i="1"/>
  <c r="AW671" i="1"/>
  <c r="AV671" i="1"/>
  <c r="AU671" i="1"/>
  <c r="AW670" i="1"/>
  <c r="AV670" i="1"/>
  <c r="AU670" i="1"/>
  <c r="AW669" i="1"/>
  <c r="AV669" i="1"/>
  <c r="AU669" i="1"/>
  <c r="AW668" i="1"/>
  <c r="AV668" i="1"/>
  <c r="AU668" i="1"/>
  <c r="AW667" i="1"/>
  <c r="AV667" i="1"/>
  <c r="AU667" i="1"/>
  <c r="AW666" i="1"/>
  <c r="AV666" i="1"/>
  <c r="AU666" i="1"/>
  <c r="AW665" i="1"/>
  <c r="AV665" i="1"/>
  <c r="AU665" i="1"/>
  <c r="AW664" i="1"/>
  <c r="AV664" i="1"/>
  <c r="AU664" i="1"/>
  <c r="AW663" i="1"/>
  <c r="AV663" i="1"/>
  <c r="AW662" i="1"/>
  <c r="AV662" i="1"/>
  <c r="AU662" i="1"/>
  <c r="AW661" i="1"/>
  <c r="AV661" i="1"/>
  <c r="AW660" i="1"/>
  <c r="AV660" i="1"/>
  <c r="AW659" i="1"/>
  <c r="AV659" i="1"/>
  <c r="AU659" i="1"/>
  <c r="AW658" i="1"/>
  <c r="AV658" i="1"/>
  <c r="AW657" i="1"/>
  <c r="AV657" i="1"/>
  <c r="AW656" i="1"/>
  <c r="AV656" i="1"/>
  <c r="AU656" i="1"/>
  <c r="AW655" i="1"/>
  <c r="AV655" i="1"/>
  <c r="AU655" i="1"/>
  <c r="AW654" i="1"/>
  <c r="AV654" i="1"/>
  <c r="AU654" i="1"/>
  <c r="AW653" i="1"/>
  <c r="AV653" i="1"/>
  <c r="AU653" i="1"/>
  <c r="AW652" i="1"/>
  <c r="AV652" i="1"/>
  <c r="AU652" i="1"/>
  <c r="AW651" i="1"/>
  <c r="AV651" i="1"/>
  <c r="AU651" i="1"/>
  <c r="AW650" i="1"/>
  <c r="AV650" i="1"/>
  <c r="AU650" i="1"/>
  <c r="AW649" i="1"/>
  <c r="AV649" i="1"/>
  <c r="AW648" i="1"/>
  <c r="AV648" i="1"/>
  <c r="AW647" i="1"/>
  <c r="AV647" i="1"/>
  <c r="AW646" i="1"/>
  <c r="AV646" i="1"/>
  <c r="AU646" i="1"/>
  <c r="AW645" i="1"/>
  <c r="AV645" i="1"/>
  <c r="AW644" i="1"/>
  <c r="AV644" i="1"/>
  <c r="AU644" i="1"/>
  <c r="AW643" i="1"/>
  <c r="AV643" i="1"/>
  <c r="AU643" i="1"/>
  <c r="AW642" i="1"/>
  <c r="AV642" i="1"/>
  <c r="AU642" i="1"/>
  <c r="AW641" i="1"/>
  <c r="AV641" i="1"/>
  <c r="AW640" i="1"/>
  <c r="AV640" i="1"/>
  <c r="AW639" i="1"/>
  <c r="AV639" i="1"/>
  <c r="AW638" i="1"/>
  <c r="AV638" i="1"/>
  <c r="AU638" i="1"/>
  <c r="AW637" i="1"/>
  <c r="AV637" i="1"/>
  <c r="AW636" i="1"/>
  <c r="AV636" i="1"/>
  <c r="AW635" i="1"/>
  <c r="AV635" i="1"/>
  <c r="AW634" i="1"/>
  <c r="AV634" i="1"/>
  <c r="AW633" i="1"/>
  <c r="AV633" i="1"/>
  <c r="AW632" i="1"/>
  <c r="AV632" i="1"/>
  <c r="AU632" i="1"/>
  <c r="AW624" i="1"/>
  <c r="AV624" i="1"/>
  <c r="AW631" i="1"/>
  <c r="AV631" i="1"/>
  <c r="AW630" i="1"/>
  <c r="AV630" i="1"/>
  <c r="AW629" i="1"/>
  <c r="AV629" i="1"/>
  <c r="AW628" i="1"/>
  <c r="AV628" i="1"/>
  <c r="AW627" i="1"/>
  <c r="AV627" i="1"/>
  <c r="AW626" i="1"/>
  <c r="AV626" i="1"/>
  <c r="AU626" i="1"/>
  <c r="AW625" i="1"/>
  <c r="AV625" i="1"/>
  <c r="AW623" i="1"/>
  <c r="AV623" i="1"/>
  <c r="AU623" i="1"/>
  <c r="AW622" i="1"/>
  <c r="AV622" i="1"/>
  <c r="AW621" i="1"/>
  <c r="AV621" i="1"/>
  <c r="AU621" i="1"/>
  <c r="AW620" i="1"/>
  <c r="AV620" i="1"/>
  <c r="AU620" i="1"/>
  <c r="AW619" i="1"/>
  <c r="AV619" i="1"/>
  <c r="AU619" i="1"/>
  <c r="AW618" i="1"/>
  <c r="AV618" i="1"/>
  <c r="AU618" i="1"/>
  <c r="AW617" i="1"/>
  <c r="AV617" i="1"/>
  <c r="AU617" i="1"/>
  <c r="AW616" i="1"/>
  <c r="AV616" i="1"/>
  <c r="AU616" i="1"/>
  <c r="AW615" i="1"/>
  <c r="AV615" i="1"/>
  <c r="AU615" i="1"/>
  <c r="AW614" i="1"/>
  <c r="AV614" i="1"/>
  <c r="AU614" i="1"/>
  <c r="AW613" i="1"/>
  <c r="AV613" i="1"/>
  <c r="AU613" i="1"/>
  <c r="AW612" i="1"/>
  <c r="AV612" i="1"/>
  <c r="AU612" i="1"/>
  <c r="AW611" i="1"/>
  <c r="AV611" i="1"/>
  <c r="AW610" i="1"/>
  <c r="AV610" i="1"/>
  <c r="AU610" i="1"/>
  <c r="AW609" i="1"/>
  <c r="AV609" i="1"/>
  <c r="AU609" i="1"/>
  <c r="AW608" i="1"/>
  <c r="AV608" i="1"/>
  <c r="AU608" i="1"/>
  <c r="AW607" i="1"/>
  <c r="AV607" i="1"/>
  <c r="AU607" i="1"/>
  <c r="AW606" i="1"/>
  <c r="AV606" i="1"/>
  <c r="AW605" i="1"/>
  <c r="AV605" i="1"/>
  <c r="AW604" i="1"/>
  <c r="AV604" i="1"/>
  <c r="AW603" i="1"/>
  <c r="AV603" i="1"/>
  <c r="AW602" i="1"/>
  <c r="AV602" i="1"/>
  <c r="AW601" i="1"/>
  <c r="AV601" i="1"/>
  <c r="AW600" i="1"/>
  <c r="AV600" i="1"/>
  <c r="AW599" i="1"/>
  <c r="AV599" i="1"/>
  <c r="AW598" i="1"/>
  <c r="AV598" i="1"/>
  <c r="AW597" i="1"/>
  <c r="AV597" i="1"/>
  <c r="AU597" i="1"/>
  <c r="AW596" i="1"/>
  <c r="AV596" i="1"/>
  <c r="AU596" i="1"/>
  <c r="AW595" i="1"/>
  <c r="AV595" i="1"/>
  <c r="AU595" i="1"/>
  <c r="AW594" i="1"/>
  <c r="AV594" i="1"/>
  <c r="AU594" i="1"/>
  <c r="AW593" i="1"/>
  <c r="AV593" i="1"/>
  <c r="AU593" i="1"/>
  <c r="AW592" i="1"/>
  <c r="AV592" i="1"/>
  <c r="AU592" i="1"/>
  <c r="AW591" i="1"/>
  <c r="AV591" i="1"/>
  <c r="AW590" i="1"/>
  <c r="AV590" i="1"/>
  <c r="AU590" i="1"/>
  <c r="AW589" i="1"/>
  <c r="AV589" i="1"/>
  <c r="AW588" i="1"/>
  <c r="AV588" i="1"/>
  <c r="AU588" i="1"/>
  <c r="AW587" i="1"/>
  <c r="AV587" i="1"/>
  <c r="AU587" i="1"/>
  <c r="AW586" i="1"/>
  <c r="AV586" i="1"/>
  <c r="AU586" i="1"/>
  <c r="AW585" i="1"/>
  <c r="AV585" i="1"/>
  <c r="AU585" i="1"/>
  <c r="AW584" i="1"/>
  <c r="AV584" i="1"/>
  <c r="AU584" i="1"/>
  <c r="AW583" i="1"/>
  <c r="AV583" i="1"/>
  <c r="AU583" i="1"/>
  <c r="AW582" i="1"/>
  <c r="AV582" i="1"/>
  <c r="AW581" i="1"/>
  <c r="AV581" i="1"/>
  <c r="AU581" i="1"/>
  <c r="AW580" i="1"/>
  <c r="AV580" i="1"/>
  <c r="AU580" i="1"/>
  <c r="AW579" i="1"/>
  <c r="AV579" i="1"/>
  <c r="AW578" i="1"/>
  <c r="AV578" i="1"/>
  <c r="AW577" i="1"/>
  <c r="AV577" i="1"/>
  <c r="AW576" i="1"/>
  <c r="AV576" i="1"/>
  <c r="AW575" i="1"/>
  <c r="AV575" i="1"/>
  <c r="AU575" i="1"/>
  <c r="AW574" i="1"/>
  <c r="AV574" i="1"/>
  <c r="AW573" i="1"/>
  <c r="AV573" i="1"/>
  <c r="AW572" i="1"/>
  <c r="AV572" i="1"/>
  <c r="AU572" i="1"/>
  <c r="AW571" i="1"/>
  <c r="AV571" i="1"/>
  <c r="AW570" i="1"/>
  <c r="AV570" i="1"/>
  <c r="AW569" i="1"/>
  <c r="AV569" i="1"/>
  <c r="AU569" i="1"/>
  <c r="AW568" i="1"/>
  <c r="AV568" i="1"/>
  <c r="AU568" i="1"/>
  <c r="AW567" i="1"/>
  <c r="AV567" i="1"/>
  <c r="AU567" i="1"/>
  <c r="AW566" i="1"/>
  <c r="AV566" i="1"/>
  <c r="AU566" i="1"/>
  <c r="AW565" i="1"/>
  <c r="AV565" i="1"/>
  <c r="AU565" i="1"/>
  <c r="AW564" i="1"/>
  <c r="AV564" i="1"/>
  <c r="AW563" i="1"/>
  <c r="AV563" i="1"/>
  <c r="AW562" i="1"/>
  <c r="AV562" i="1"/>
  <c r="AW561" i="1"/>
  <c r="AV561" i="1"/>
  <c r="AW560" i="1"/>
  <c r="AV560" i="1"/>
  <c r="AW559" i="1"/>
  <c r="AV559" i="1"/>
  <c r="AW558" i="1"/>
  <c r="AV558" i="1"/>
  <c r="AW557" i="1"/>
  <c r="AV557" i="1"/>
  <c r="AW556" i="1"/>
  <c r="AV556" i="1"/>
  <c r="AW555" i="1"/>
  <c r="AV555" i="1"/>
  <c r="AU555" i="1"/>
  <c r="AW554" i="1"/>
  <c r="AV554" i="1"/>
  <c r="AW553" i="1"/>
  <c r="AV553" i="1"/>
  <c r="AU553" i="1"/>
  <c r="AW552" i="1"/>
  <c r="AV552" i="1"/>
  <c r="AW551" i="1"/>
  <c r="AV551" i="1"/>
  <c r="AU551" i="1"/>
  <c r="AW550" i="1"/>
  <c r="AV550" i="1"/>
  <c r="AU550" i="1"/>
  <c r="AW549" i="1"/>
  <c r="AV549" i="1"/>
  <c r="AU549" i="1"/>
  <c r="AW548" i="1"/>
  <c r="AV548" i="1"/>
  <c r="AW547" i="1"/>
  <c r="AV547" i="1"/>
  <c r="AU547" i="1"/>
  <c r="AW546" i="1"/>
  <c r="AV546" i="1"/>
  <c r="AU546" i="1"/>
  <c r="AW545" i="1"/>
  <c r="AV545" i="1"/>
  <c r="AU545" i="1"/>
  <c r="AW544" i="1"/>
  <c r="AV544" i="1"/>
  <c r="AU544" i="1"/>
  <c r="AW543" i="1"/>
  <c r="AV543" i="1"/>
  <c r="AU543" i="1"/>
  <c r="AW542" i="1"/>
  <c r="AV542" i="1"/>
  <c r="AU542" i="1"/>
  <c r="AW541" i="1"/>
  <c r="AV541" i="1"/>
  <c r="AU541" i="1"/>
  <c r="AW540" i="1"/>
  <c r="AV540" i="1"/>
  <c r="AU540" i="1"/>
  <c r="AW539" i="1"/>
  <c r="AV539" i="1"/>
  <c r="AU539" i="1"/>
  <c r="AW538" i="1"/>
  <c r="AV538" i="1"/>
  <c r="AU538" i="1"/>
  <c r="AW537" i="1"/>
  <c r="AV537" i="1"/>
  <c r="AU537" i="1"/>
  <c r="AW536" i="1"/>
  <c r="AV536" i="1"/>
  <c r="AW535" i="1"/>
  <c r="AV535" i="1"/>
  <c r="AU535" i="1"/>
  <c r="AW534" i="1"/>
  <c r="AV534" i="1"/>
  <c r="AU534" i="1"/>
  <c r="AW533" i="1"/>
  <c r="AV533" i="1"/>
  <c r="AU533" i="1"/>
  <c r="AW532" i="1"/>
  <c r="AV532" i="1"/>
  <c r="AU532" i="1"/>
  <c r="AW531" i="1"/>
  <c r="AV531" i="1"/>
  <c r="AW530" i="1"/>
  <c r="AV530" i="1"/>
  <c r="AW529" i="1"/>
  <c r="AV529" i="1"/>
  <c r="AU529" i="1"/>
  <c r="AW528" i="1"/>
  <c r="AV528" i="1"/>
  <c r="AW527" i="1"/>
  <c r="AV527" i="1"/>
  <c r="AU527" i="1"/>
  <c r="AW526" i="1"/>
  <c r="AV526" i="1"/>
  <c r="AW525" i="1"/>
  <c r="AV525" i="1"/>
  <c r="AW524" i="1"/>
  <c r="AV524" i="1"/>
  <c r="AW523" i="1"/>
  <c r="AV523" i="1"/>
  <c r="AW522" i="1"/>
  <c r="AV522" i="1"/>
  <c r="AW521" i="1"/>
  <c r="AV521" i="1"/>
  <c r="AU521" i="1"/>
  <c r="AW520" i="1"/>
  <c r="AV520" i="1"/>
  <c r="AW519" i="1"/>
  <c r="AV519" i="1"/>
  <c r="AW518" i="1"/>
  <c r="AV518" i="1"/>
  <c r="AU518" i="1"/>
  <c r="AW517" i="1"/>
  <c r="AV517" i="1"/>
  <c r="AW516" i="1"/>
  <c r="AV516" i="1"/>
  <c r="AW515" i="1"/>
  <c r="AV515" i="1"/>
  <c r="AU515" i="1"/>
  <c r="AW514" i="1"/>
  <c r="AV514" i="1"/>
  <c r="AU514" i="1"/>
  <c r="AW513" i="1"/>
  <c r="AV513" i="1"/>
  <c r="AU513" i="1"/>
  <c r="AW512" i="1"/>
  <c r="AV512" i="1"/>
  <c r="AU512" i="1"/>
  <c r="AW511" i="1"/>
  <c r="AV511" i="1"/>
  <c r="AU511" i="1"/>
  <c r="AW510" i="1"/>
  <c r="AV510" i="1"/>
  <c r="AW509" i="1"/>
  <c r="AV509" i="1"/>
  <c r="AW508" i="1"/>
  <c r="AV508" i="1"/>
  <c r="AW507" i="1"/>
  <c r="AV507" i="1"/>
  <c r="AW506" i="1"/>
  <c r="AV506" i="1"/>
  <c r="AW505" i="1"/>
  <c r="AV505" i="1"/>
  <c r="AW504" i="1"/>
  <c r="AV504" i="1"/>
  <c r="AW503" i="1"/>
  <c r="AV503" i="1"/>
  <c r="AW502" i="1"/>
  <c r="AV502" i="1"/>
  <c r="AW501" i="1"/>
  <c r="AV501" i="1"/>
  <c r="AW500" i="1"/>
  <c r="AV500" i="1"/>
  <c r="AW499" i="1"/>
  <c r="AV499" i="1"/>
  <c r="AU499" i="1"/>
  <c r="AW498" i="1"/>
  <c r="AV498" i="1"/>
  <c r="AW497" i="1"/>
  <c r="AV497" i="1"/>
  <c r="AU497" i="1"/>
  <c r="AW496" i="1"/>
  <c r="AV496" i="1"/>
  <c r="AU496" i="1"/>
  <c r="AW495" i="1"/>
  <c r="AV495" i="1"/>
  <c r="AW494" i="1"/>
  <c r="AV494" i="1"/>
  <c r="AU494" i="1"/>
  <c r="AW493" i="1"/>
  <c r="AV493" i="1"/>
  <c r="AW492" i="1"/>
  <c r="AV492" i="1"/>
  <c r="AW491" i="1"/>
  <c r="AV491" i="1"/>
  <c r="AW490" i="1"/>
  <c r="AV490" i="1"/>
  <c r="AW489" i="1"/>
  <c r="AV489" i="1"/>
  <c r="AU489" i="1"/>
  <c r="AW488" i="1"/>
  <c r="AV488" i="1"/>
  <c r="AW487" i="1"/>
  <c r="AV487" i="1"/>
  <c r="AW486" i="1"/>
  <c r="AV486" i="1"/>
  <c r="AW485" i="1"/>
  <c r="AV485" i="1"/>
  <c r="AU485" i="1"/>
  <c r="AW484" i="1"/>
  <c r="AV484" i="1"/>
  <c r="AW483" i="1"/>
  <c r="AV483" i="1"/>
  <c r="AW482" i="1"/>
  <c r="AV482" i="1"/>
  <c r="AW481" i="1"/>
  <c r="AV481" i="1"/>
  <c r="AU481" i="1"/>
  <c r="AW480" i="1"/>
  <c r="AV480" i="1"/>
  <c r="AU480" i="1"/>
  <c r="AW479" i="1"/>
  <c r="AV479" i="1"/>
  <c r="AW478" i="1"/>
  <c r="AV478" i="1"/>
  <c r="AW477" i="1"/>
  <c r="AV477" i="1"/>
  <c r="AW476" i="1"/>
  <c r="AV476" i="1"/>
  <c r="AW475" i="1"/>
  <c r="AV475" i="1"/>
  <c r="AU475" i="1"/>
  <c r="AW474" i="1"/>
  <c r="AV474" i="1"/>
  <c r="AU474" i="1"/>
  <c r="AW473" i="1"/>
  <c r="AV473" i="1"/>
  <c r="AU473" i="1"/>
  <c r="AW472" i="1"/>
  <c r="AV472" i="1"/>
  <c r="AU472" i="1"/>
  <c r="AW471" i="1"/>
  <c r="AV471" i="1"/>
  <c r="AU471" i="1"/>
  <c r="AW470" i="1"/>
  <c r="AV470" i="1"/>
  <c r="AU470" i="1"/>
  <c r="AW469" i="1"/>
  <c r="AV469" i="1"/>
  <c r="AW468" i="1"/>
  <c r="AV468" i="1"/>
  <c r="AU468" i="1"/>
  <c r="AW467" i="1"/>
  <c r="AV467" i="1"/>
  <c r="AU467" i="1"/>
  <c r="AW466" i="1"/>
  <c r="AV466" i="1"/>
  <c r="AU466" i="1"/>
  <c r="AW465" i="1"/>
  <c r="AV465" i="1"/>
  <c r="AU465" i="1"/>
  <c r="AW464" i="1"/>
  <c r="AV464" i="1"/>
  <c r="AW463" i="1"/>
  <c r="AV463" i="1"/>
  <c r="AW462" i="1"/>
  <c r="AV462" i="1"/>
  <c r="AW461" i="1"/>
  <c r="AV461" i="1"/>
  <c r="AW460" i="1"/>
  <c r="AV460" i="1"/>
  <c r="AW459" i="1"/>
  <c r="AV459" i="1"/>
  <c r="AU459" i="1"/>
  <c r="AW458" i="1"/>
  <c r="AV458" i="1"/>
  <c r="AU458" i="1"/>
  <c r="AW457" i="1"/>
  <c r="AV457" i="1"/>
  <c r="AU457" i="1"/>
  <c r="AW456" i="1"/>
  <c r="AV456" i="1"/>
  <c r="AU456" i="1"/>
  <c r="AW455" i="1"/>
  <c r="AV455" i="1"/>
  <c r="AU455" i="1"/>
  <c r="AW454" i="1"/>
  <c r="AV454" i="1"/>
  <c r="AU454" i="1"/>
  <c r="AW453" i="1"/>
  <c r="AV453" i="1"/>
  <c r="AU453" i="1"/>
  <c r="AW452" i="1"/>
  <c r="AV452" i="1"/>
  <c r="AU452" i="1"/>
  <c r="AW451" i="1"/>
  <c r="AV451" i="1"/>
  <c r="AW450" i="1"/>
  <c r="AV450" i="1"/>
  <c r="AU450" i="1"/>
  <c r="AW449" i="1"/>
  <c r="AV449" i="1"/>
  <c r="AU449" i="1"/>
  <c r="AW448" i="1"/>
  <c r="AV448" i="1"/>
  <c r="AW447" i="1"/>
  <c r="AV447" i="1"/>
  <c r="AU447" i="1"/>
  <c r="AW446" i="1"/>
  <c r="AV446" i="1"/>
  <c r="AU446" i="1"/>
  <c r="AW445" i="1"/>
  <c r="AV445" i="1"/>
  <c r="AW444" i="1"/>
  <c r="AV444" i="1"/>
  <c r="AW443" i="1"/>
  <c r="AV443" i="1"/>
  <c r="AU443" i="1"/>
  <c r="AW442" i="1"/>
  <c r="AV442" i="1"/>
  <c r="AU442" i="1"/>
  <c r="AW441" i="1"/>
  <c r="AV441" i="1"/>
  <c r="AW440" i="1"/>
  <c r="AV440" i="1"/>
  <c r="AW439" i="1"/>
  <c r="AV439" i="1"/>
  <c r="AW438" i="1"/>
  <c r="AV438" i="1"/>
  <c r="AW437" i="1"/>
  <c r="AV437" i="1"/>
  <c r="AW436" i="1"/>
  <c r="AV436" i="1"/>
  <c r="AW435" i="1"/>
  <c r="AV435" i="1"/>
  <c r="AW434" i="1"/>
  <c r="AV434" i="1"/>
  <c r="AU434" i="1"/>
  <c r="AW433" i="1"/>
  <c r="AV433" i="1"/>
  <c r="AW432" i="1"/>
  <c r="AV432" i="1"/>
  <c r="AW431" i="1"/>
  <c r="AV431" i="1"/>
  <c r="AU431" i="1"/>
  <c r="AW430" i="1"/>
  <c r="AV430" i="1"/>
  <c r="AW429" i="1"/>
  <c r="AV429" i="1"/>
  <c r="AU429" i="1"/>
  <c r="AW428" i="1"/>
  <c r="AV428" i="1"/>
  <c r="AW427" i="1"/>
  <c r="AV427" i="1"/>
  <c r="AW426" i="1"/>
  <c r="AV426" i="1"/>
  <c r="AW425" i="1"/>
  <c r="AV425" i="1"/>
  <c r="AW424" i="1"/>
  <c r="AV424" i="1"/>
  <c r="AW423" i="1"/>
  <c r="AV423" i="1"/>
  <c r="AU423" i="1"/>
  <c r="AW422" i="1"/>
  <c r="AV422" i="1"/>
  <c r="AW421" i="1"/>
  <c r="AV421" i="1"/>
  <c r="AU421" i="1"/>
  <c r="AW420" i="1"/>
  <c r="AV420" i="1"/>
  <c r="AU420" i="1"/>
  <c r="AW419" i="1"/>
  <c r="AV419" i="1"/>
  <c r="AU419" i="1"/>
  <c r="AW418" i="1"/>
  <c r="AV418" i="1"/>
  <c r="AU418" i="1"/>
  <c r="AW417" i="1"/>
  <c r="AV417" i="1"/>
  <c r="AU417" i="1"/>
  <c r="AW416" i="1"/>
  <c r="AV416" i="1"/>
  <c r="AW415" i="1"/>
  <c r="AV415" i="1"/>
  <c r="AW414" i="1"/>
  <c r="AV414" i="1"/>
  <c r="AW413" i="1"/>
  <c r="AV413" i="1"/>
  <c r="AU413" i="1"/>
  <c r="AW412" i="1"/>
  <c r="AV412" i="1"/>
  <c r="AU412" i="1"/>
  <c r="AW411" i="1"/>
  <c r="AV411" i="1"/>
  <c r="AW410" i="1"/>
  <c r="AV410" i="1"/>
  <c r="AW409" i="1"/>
  <c r="AV409" i="1"/>
  <c r="AU409" i="1"/>
  <c r="AW408" i="1"/>
  <c r="AV408" i="1"/>
  <c r="AW407" i="1"/>
  <c r="AV407" i="1"/>
  <c r="AW406" i="1"/>
  <c r="AV406" i="1"/>
  <c r="AW405" i="1"/>
  <c r="AV405" i="1"/>
  <c r="AU405" i="1"/>
  <c r="AW404" i="1"/>
  <c r="AV404" i="1"/>
  <c r="AU404" i="1"/>
  <c r="AW403" i="1"/>
  <c r="AV403" i="1"/>
  <c r="AU403" i="1"/>
  <c r="AW402" i="1"/>
  <c r="AV402" i="1"/>
  <c r="AU402" i="1"/>
  <c r="AW401" i="1"/>
  <c r="AV401" i="1"/>
  <c r="AW400" i="1"/>
  <c r="AV400" i="1"/>
  <c r="AU400" i="1"/>
  <c r="AW399" i="1"/>
  <c r="AV399" i="1"/>
  <c r="AW398" i="1"/>
  <c r="AV398" i="1"/>
  <c r="AU398" i="1"/>
  <c r="AW397" i="1"/>
  <c r="AV397" i="1"/>
  <c r="AU397" i="1"/>
  <c r="AW396" i="1"/>
  <c r="AV396" i="1"/>
  <c r="AU396" i="1"/>
  <c r="AW395" i="1"/>
  <c r="AV395" i="1"/>
  <c r="AU395" i="1"/>
  <c r="AW394" i="1"/>
  <c r="AV394" i="1"/>
  <c r="AW393" i="1"/>
  <c r="AV393" i="1"/>
  <c r="AU393" i="1"/>
  <c r="AW392" i="1"/>
  <c r="AV392" i="1"/>
  <c r="AW391" i="1"/>
  <c r="AV391" i="1"/>
  <c r="AW390" i="1"/>
  <c r="AV390" i="1"/>
  <c r="AU390" i="1"/>
  <c r="AW389" i="1"/>
  <c r="AV389" i="1"/>
  <c r="AU389" i="1"/>
  <c r="AW388" i="1"/>
  <c r="AV388" i="1"/>
  <c r="AU388" i="1"/>
  <c r="AW387" i="1"/>
  <c r="AV387" i="1"/>
  <c r="AU387" i="1"/>
  <c r="AW386" i="1"/>
  <c r="AV386" i="1"/>
  <c r="AW385" i="1"/>
  <c r="AV385" i="1"/>
  <c r="AW384" i="1"/>
  <c r="AV384" i="1"/>
  <c r="AW383" i="1"/>
  <c r="AV383" i="1"/>
  <c r="AW382" i="1"/>
  <c r="AV382" i="1"/>
  <c r="AW381" i="1"/>
  <c r="AV381" i="1"/>
  <c r="AU381" i="1"/>
  <c r="AW380" i="1"/>
  <c r="AV380" i="1"/>
  <c r="AU380" i="1"/>
  <c r="AW379" i="1"/>
  <c r="AV379" i="1"/>
  <c r="AW378" i="1"/>
  <c r="AV378" i="1"/>
  <c r="AU378" i="1"/>
  <c r="AW377" i="1"/>
  <c r="AV377" i="1"/>
  <c r="AU377" i="1"/>
  <c r="AW376" i="1"/>
  <c r="AV376" i="1"/>
  <c r="AU376" i="1"/>
  <c r="AW375" i="1"/>
  <c r="AV375" i="1"/>
  <c r="AU375" i="1"/>
  <c r="AW374" i="1"/>
  <c r="AV374" i="1"/>
  <c r="AW373" i="1"/>
  <c r="AV373" i="1"/>
  <c r="AW372" i="1"/>
  <c r="AV372" i="1"/>
  <c r="AW371" i="1"/>
  <c r="AV371" i="1"/>
  <c r="AU371" i="1"/>
  <c r="AW370" i="1"/>
  <c r="AV370" i="1"/>
  <c r="AW369" i="1"/>
  <c r="AV369" i="1"/>
  <c r="AU369" i="1"/>
  <c r="AW368" i="1"/>
  <c r="AV368" i="1"/>
  <c r="AW367" i="1"/>
  <c r="AV367" i="1"/>
  <c r="AU367" i="1"/>
  <c r="AW366" i="1"/>
  <c r="AV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W360" i="1"/>
  <c r="AV360" i="1"/>
  <c r="AW359" i="1"/>
  <c r="AV359" i="1"/>
  <c r="AW358" i="1"/>
  <c r="AV358" i="1"/>
  <c r="AW357" i="1"/>
  <c r="AV357" i="1"/>
  <c r="AW356" i="1"/>
  <c r="AV356" i="1"/>
  <c r="AU356" i="1"/>
  <c r="AW355" i="1"/>
  <c r="AV355" i="1"/>
  <c r="AW354" i="1"/>
  <c r="AV354" i="1"/>
  <c r="AW353" i="1"/>
  <c r="AV353" i="1"/>
  <c r="AW352" i="1"/>
  <c r="AV352" i="1"/>
  <c r="AW351" i="1"/>
  <c r="AV351" i="1"/>
  <c r="AW350" i="1"/>
  <c r="AV350" i="1"/>
  <c r="AW349" i="1"/>
  <c r="AV349" i="1"/>
  <c r="AW348" i="1"/>
  <c r="AV348" i="1"/>
  <c r="AW347" i="1"/>
  <c r="AV347" i="1"/>
  <c r="AU347" i="1"/>
  <c r="AW346" i="1"/>
  <c r="AV346" i="1"/>
  <c r="AU346" i="1"/>
  <c r="AW345" i="1"/>
  <c r="AV345" i="1"/>
  <c r="AW344" i="1"/>
  <c r="AV344" i="1"/>
  <c r="AW343" i="1"/>
  <c r="AV343" i="1"/>
  <c r="AW342" i="1"/>
  <c r="AV342" i="1"/>
  <c r="AW341" i="1"/>
  <c r="AV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W335" i="1"/>
  <c r="AV335" i="1"/>
  <c r="AW334" i="1"/>
  <c r="AV334" i="1"/>
  <c r="AW333" i="1"/>
  <c r="AV333" i="1"/>
  <c r="AW332" i="1"/>
  <c r="AV332" i="1"/>
  <c r="AW331" i="1"/>
  <c r="AV331" i="1"/>
  <c r="AW330" i="1"/>
  <c r="AV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W324" i="1"/>
  <c r="AV324" i="1"/>
  <c r="AW322" i="1"/>
  <c r="AV322" i="1"/>
  <c r="AU322" i="1"/>
  <c r="AW321" i="1"/>
  <c r="AV321" i="1"/>
  <c r="AU321" i="1"/>
  <c r="AW320" i="1"/>
  <c r="AV320" i="1"/>
  <c r="AW319" i="1"/>
  <c r="AV319" i="1"/>
  <c r="AW318" i="1"/>
  <c r="AV318" i="1"/>
  <c r="AW317" i="1"/>
  <c r="AV317" i="1"/>
  <c r="AW316" i="1"/>
  <c r="AV316" i="1"/>
  <c r="AW315" i="1"/>
  <c r="AV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W309" i="1"/>
  <c r="AV309" i="1"/>
  <c r="AW308" i="1"/>
  <c r="AV308" i="1"/>
  <c r="AU308" i="1"/>
  <c r="AW307" i="1"/>
  <c r="AV307" i="1"/>
  <c r="AU307" i="1"/>
  <c r="AW306" i="1"/>
  <c r="AV306" i="1"/>
  <c r="AU306" i="1"/>
  <c r="AW305" i="1"/>
  <c r="AV305" i="1"/>
  <c r="AW304" i="1"/>
  <c r="AV304" i="1"/>
  <c r="AW303" i="1"/>
  <c r="AV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W294" i="1"/>
  <c r="AV294" i="1"/>
  <c r="AU294" i="1"/>
  <c r="AW293" i="1"/>
  <c r="AV293" i="1"/>
  <c r="AU293" i="1"/>
  <c r="AW292" i="1"/>
  <c r="AV292" i="1"/>
  <c r="AW291" i="1"/>
  <c r="AV291" i="1"/>
  <c r="AU291" i="1"/>
  <c r="AW290" i="1"/>
  <c r="AV290" i="1"/>
  <c r="AW289" i="1"/>
  <c r="AV289" i="1"/>
  <c r="AW288" i="1"/>
  <c r="AV288" i="1"/>
  <c r="AW287" i="1"/>
  <c r="AV287" i="1"/>
  <c r="AW286" i="1"/>
  <c r="AV286" i="1"/>
  <c r="AW285" i="1"/>
  <c r="AV285" i="1"/>
  <c r="AW284" i="1"/>
  <c r="AV284" i="1"/>
  <c r="AU284" i="1"/>
  <c r="AW283" i="1"/>
  <c r="AV283" i="1"/>
  <c r="AU283" i="1"/>
  <c r="AW282" i="1"/>
  <c r="AV282" i="1"/>
  <c r="AW281" i="1"/>
  <c r="AV281" i="1"/>
  <c r="AW280" i="1"/>
  <c r="AV280" i="1"/>
  <c r="AW279" i="1"/>
  <c r="AV279" i="1"/>
  <c r="AW278" i="1"/>
  <c r="AV278" i="1"/>
  <c r="AW277" i="1"/>
  <c r="AV277" i="1"/>
  <c r="AU277" i="1"/>
  <c r="AW276" i="1"/>
  <c r="AV276" i="1"/>
  <c r="AW275" i="1"/>
  <c r="AV275" i="1"/>
  <c r="AW274" i="1"/>
  <c r="AV274" i="1"/>
  <c r="AW273" i="1"/>
  <c r="AV273" i="1"/>
  <c r="AW272" i="1"/>
  <c r="AV272" i="1"/>
  <c r="AW271" i="1"/>
  <c r="AV271" i="1"/>
  <c r="AW270" i="1"/>
  <c r="AV270" i="1"/>
  <c r="AW269" i="1"/>
  <c r="AV269" i="1"/>
  <c r="AW268" i="1"/>
  <c r="AV268" i="1"/>
  <c r="AW267" i="1"/>
  <c r="AV267" i="1"/>
  <c r="AW266" i="1"/>
  <c r="AV266" i="1"/>
  <c r="AW265" i="1"/>
  <c r="AV265" i="1"/>
  <c r="AW264" i="1"/>
  <c r="AV264" i="1"/>
  <c r="AW263" i="1"/>
  <c r="AV263" i="1"/>
  <c r="AW262" i="1"/>
  <c r="AV262" i="1"/>
  <c r="AW261" i="1"/>
  <c r="AV261" i="1"/>
  <c r="AW260" i="1"/>
  <c r="AV260" i="1"/>
  <c r="AW259" i="1"/>
  <c r="AV259" i="1"/>
  <c r="AU259" i="1"/>
  <c r="AW258" i="1"/>
  <c r="AV258" i="1"/>
  <c r="AW257" i="1"/>
  <c r="AV257" i="1"/>
  <c r="AW256" i="1"/>
  <c r="AV256" i="1"/>
  <c r="AW255" i="1"/>
  <c r="AV255" i="1"/>
  <c r="AU255" i="1"/>
  <c r="AW254" i="1"/>
  <c r="AV254" i="1"/>
  <c r="AW253" i="1"/>
  <c r="AV253" i="1"/>
  <c r="AU253" i="1"/>
  <c r="AW252" i="1"/>
  <c r="AV252" i="1"/>
  <c r="AW251" i="1"/>
  <c r="AV251" i="1"/>
  <c r="AW250" i="1"/>
  <c r="AV250" i="1"/>
  <c r="AW249" i="1"/>
  <c r="AV249" i="1"/>
  <c r="AW248" i="1"/>
  <c r="AV248" i="1"/>
  <c r="AW247" i="1"/>
  <c r="AV247" i="1"/>
  <c r="AW246" i="1"/>
  <c r="AV246" i="1"/>
  <c r="AW245" i="1"/>
  <c r="AV245" i="1"/>
  <c r="AW244" i="1"/>
  <c r="AV244" i="1"/>
  <c r="AU244" i="1"/>
  <c r="AW243" i="1"/>
  <c r="AV243" i="1"/>
  <c r="AU243" i="1"/>
  <c r="AW242" i="1"/>
  <c r="AV242" i="1"/>
  <c r="AW241" i="1"/>
  <c r="AV241" i="1"/>
  <c r="AW240" i="1"/>
  <c r="AV240" i="1"/>
  <c r="AU240" i="1"/>
  <c r="AW239" i="1"/>
  <c r="AV239" i="1"/>
  <c r="AW238" i="1"/>
  <c r="AV238" i="1"/>
  <c r="AW237" i="1"/>
  <c r="AV237" i="1"/>
  <c r="AU237" i="1"/>
  <c r="AW236" i="1"/>
  <c r="AV236" i="1"/>
  <c r="AW235" i="1"/>
  <c r="AV235" i="1"/>
  <c r="AU235" i="1"/>
  <c r="AW234" i="1"/>
  <c r="AV234" i="1"/>
  <c r="AU234" i="1"/>
  <c r="AW233" i="1"/>
  <c r="AV233" i="1"/>
  <c r="AW232" i="1"/>
  <c r="AV232" i="1"/>
  <c r="AU232" i="1"/>
  <c r="AW231" i="1"/>
  <c r="AV231" i="1"/>
  <c r="AU231" i="1"/>
  <c r="AW230" i="1"/>
  <c r="AV230" i="1"/>
  <c r="AW229" i="1"/>
  <c r="AV229" i="1"/>
  <c r="AU229" i="1"/>
  <c r="AW228" i="1"/>
  <c r="AV228" i="1"/>
  <c r="AW227" i="1"/>
  <c r="AV227" i="1"/>
  <c r="AW226" i="1"/>
  <c r="AV226" i="1"/>
  <c r="AW225" i="1"/>
  <c r="AV225" i="1"/>
  <c r="AU225" i="1"/>
  <c r="AW224" i="1"/>
  <c r="AV224" i="1"/>
  <c r="AW223" i="1"/>
  <c r="AV223" i="1"/>
  <c r="AW222" i="1"/>
  <c r="AV222" i="1"/>
  <c r="AU222" i="1"/>
  <c r="AW221" i="1"/>
  <c r="AV221" i="1"/>
  <c r="AU221" i="1"/>
  <c r="AW220" i="1"/>
  <c r="AV220" i="1"/>
  <c r="AU220" i="1"/>
  <c r="AW219" i="1"/>
  <c r="AV219" i="1"/>
  <c r="AW218" i="1"/>
  <c r="AV218" i="1"/>
  <c r="AW217" i="1"/>
  <c r="AV217" i="1"/>
  <c r="AU217" i="1"/>
  <c r="AW216" i="1"/>
  <c r="AV216" i="1"/>
  <c r="AU216" i="1"/>
  <c r="AW215" i="1"/>
  <c r="AV215" i="1"/>
  <c r="AU215" i="1"/>
  <c r="AW214" i="1"/>
  <c r="AV214" i="1"/>
  <c r="AU214" i="1"/>
  <c r="AW213" i="1"/>
  <c r="AV213" i="1"/>
  <c r="AW212" i="1"/>
  <c r="AV212" i="1"/>
  <c r="AW211" i="1"/>
  <c r="AV211" i="1"/>
  <c r="AU211" i="1"/>
  <c r="AW210" i="1"/>
  <c r="AV210" i="1"/>
  <c r="AU210" i="1"/>
  <c r="AW209" i="1"/>
  <c r="AV209" i="1"/>
  <c r="AW208" i="1"/>
  <c r="AV208" i="1"/>
  <c r="AW207" i="1"/>
  <c r="AV207" i="1"/>
  <c r="AU207" i="1"/>
  <c r="AW206" i="1"/>
  <c r="AV206" i="1"/>
  <c r="AU206" i="1"/>
  <c r="AW205" i="1"/>
  <c r="AV205" i="1"/>
  <c r="AW204" i="1"/>
  <c r="AV204" i="1"/>
  <c r="AW203" i="1"/>
  <c r="AV203" i="1"/>
  <c r="AW202" i="1"/>
  <c r="AV202" i="1"/>
  <c r="AW201" i="1"/>
  <c r="AV201" i="1"/>
  <c r="AW200" i="1"/>
  <c r="AV200" i="1"/>
  <c r="AW199" i="1"/>
  <c r="AV199" i="1"/>
  <c r="AW198" i="1"/>
  <c r="AV198" i="1"/>
  <c r="AW197" i="1"/>
  <c r="AV197" i="1"/>
  <c r="AW196" i="1"/>
  <c r="AV196" i="1"/>
  <c r="AW195" i="1"/>
  <c r="AV195" i="1"/>
  <c r="AW194" i="1"/>
  <c r="AV194" i="1"/>
  <c r="AU194" i="1"/>
  <c r="AW193" i="1"/>
  <c r="AV193" i="1"/>
  <c r="AU193" i="1"/>
  <c r="AW192" i="1"/>
  <c r="AV192" i="1"/>
  <c r="AU192" i="1"/>
  <c r="AW191" i="1"/>
  <c r="AV191" i="1"/>
  <c r="AW190" i="1"/>
  <c r="AV190" i="1"/>
  <c r="AU190" i="1"/>
  <c r="AW189" i="1"/>
  <c r="AV189" i="1"/>
  <c r="AW188" i="1"/>
  <c r="AV188" i="1"/>
  <c r="AU188" i="1"/>
  <c r="AW187" i="1"/>
  <c r="AV187" i="1"/>
  <c r="AW186" i="1"/>
  <c r="AV186" i="1"/>
  <c r="AU186" i="1"/>
  <c r="AW185" i="1"/>
  <c r="AV185" i="1"/>
  <c r="AW184" i="1"/>
  <c r="AV184" i="1"/>
  <c r="AW183" i="1"/>
  <c r="AV183" i="1"/>
  <c r="AW182" i="1"/>
  <c r="AV182" i="1"/>
  <c r="AW181" i="1"/>
  <c r="AV181" i="1"/>
  <c r="AW180" i="1"/>
  <c r="AV180" i="1"/>
  <c r="AU180" i="1"/>
  <c r="AW179" i="1"/>
  <c r="AV179" i="1"/>
  <c r="AU179" i="1"/>
  <c r="AW178" i="1"/>
  <c r="AV178" i="1"/>
  <c r="AU178" i="1"/>
  <c r="AW177" i="1"/>
  <c r="AV177" i="1"/>
  <c r="AU177" i="1"/>
  <c r="AW176" i="1"/>
  <c r="AV176" i="1"/>
  <c r="AW175" i="1"/>
  <c r="AV175" i="1"/>
  <c r="AU175" i="1"/>
  <c r="AW174" i="1"/>
  <c r="AV174" i="1"/>
  <c r="AW173" i="1"/>
  <c r="AV173" i="1"/>
  <c r="AW172" i="1"/>
  <c r="AV172" i="1"/>
  <c r="AW171" i="1"/>
  <c r="AV171" i="1"/>
  <c r="AW170" i="1"/>
  <c r="AV170" i="1"/>
  <c r="AW169" i="1"/>
  <c r="AV169" i="1"/>
  <c r="AW168" i="1"/>
  <c r="AV168" i="1"/>
  <c r="AW167" i="1"/>
  <c r="AV167" i="1"/>
  <c r="AW166" i="1"/>
  <c r="AV166" i="1"/>
  <c r="AW165" i="1"/>
  <c r="AV165" i="1"/>
  <c r="AW164" i="1"/>
  <c r="AV164" i="1"/>
  <c r="AU164" i="1"/>
  <c r="AW163" i="1"/>
  <c r="AV163" i="1"/>
  <c r="AU163" i="1"/>
  <c r="AW162" i="1"/>
  <c r="AV162" i="1"/>
  <c r="AU162" i="1"/>
  <c r="AW161" i="1"/>
  <c r="AV161" i="1"/>
  <c r="AW160" i="1"/>
  <c r="AV160" i="1"/>
  <c r="AW159" i="1"/>
  <c r="AV159" i="1"/>
  <c r="AU159" i="1"/>
  <c r="AW158" i="1"/>
  <c r="AV158" i="1"/>
  <c r="AW157" i="1"/>
  <c r="AV157" i="1"/>
  <c r="AW156" i="1"/>
  <c r="AV156" i="1"/>
  <c r="AW155" i="1"/>
  <c r="AV155" i="1"/>
  <c r="AW154" i="1"/>
  <c r="AV154" i="1"/>
  <c r="AW153" i="1"/>
  <c r="AV153" i="1"/>
  <c r="AU153" i="1"/>
  <c r="AW152" i="1"/>
  <c r="AV152" i="1"/>
  <c r="AW151" i="1"/>
  <c r="AV151" i="1"/>
  <c r="AW150" i="1"/>
  <c r="AV150" i="1"/>
  <c r="AW149" i="1"/>
  <c r="AV149" i="1"/>
  <c r="AW148" i="1"/>
  <c r="AV148" i="1"/>
  <c r="AU148" i="1"/>
  <c r="AW147" i="1"/>
  <c r="AV147" i="1"/>
  <c r="AW146" i="1"/>
  <c r="AV146" i="1"/>
  <c r="AW145" i="1"/>
  <c r="AV145" i="1"/>
  <c r="AW144" i="1"/>
  <c r="AV144" i="1"/>
  <c r="AU144" i="1"/>
  <c r="AW143" i="1"/>
  <c r="AV143" i="1"/>
  <c r="AW142" i="1"/>
  <c r="AV142" i="1"/>
  <c r="AU142" i="1"/>
  <c r="AW141" i="1"/>
  <c r="AV141" i="1"/>
  <c r="AU141" i="1"/>
  <c r="AW140" i="1"/>
  <c r="AV140" i="1"/>
  <c r="AU140" i="1"/>
  <c r="AW139" i="1"/>
  <c r="AV139" i="1"/>
  <c r="AU139" i="1"/>
  <c r="AW138" i="1"/>
  <c r="AV138" i="1"/>
  <c r="AU138" i="1"/>
  <c r="AW137" i="1"/>
  <c r="AV137" i="1"/>
  <c r="AW136" i="1"/>
  <c r="AV136" i="1"/>
  <c r="AW135" i="1"/>
  <c r="AV135" i="1"/>
  <c r="AW134" i="1"/>
  <c r="AV134" i="1"/>
  <c r="AW133" i="1"/>
  <c r="AV133" i="1"/>
  <c r="AU133" i="1"/>
  <c r="AW132" i="1"/>
  <c r="AV132" i="1"/>
  <c r="AU132" i="1"/>
  <c r="AW131" i="1"/>
  <c r="AV131" i="1"/>
  <c r="AU131" i="1"/>
  <c r="AW130" i="1"/>
  <c r="AV130" i="1"/>
  <c r="AU130" i="1"/>
  <c r="AW129" i="1"/>
  <c r="AV129" i="1"/>
  <c r="AU129" i="1"/>
  <c r="AW128" i="1"/>
  <c r="AV128" i="1"/>
  <c r="AU128" i="1"/>
  <c r="AW127" i="1"/>
  <c r="AV127" i="1"/>
  <c r="AU127" i="1"/>
  <c r="AW126" i="1"/>
  <c r="AV126" i="1"/>
  <c r="AU126" i="1"/>
  <c r="AW125" i="1"/>
  <c r="AV125" i="1"/>
  <c r="AU125" i="1"/>
  <c r="AW124" i="1"/>
  <c r="AV124" i="1"/>
  <c r="AU124" i="1"/>
  <c r="AW123" i="1"/>
  <c r="AV123" i="1"/>
  <c r="AU123" i="1"/>
  <c r="AW121" i="1"/>
  <c r="AV121" i="1"/>
  <c r="AU121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16" i="1"/>
  <c r="AV116" i="1"/>
  <c r="AW115" i="1"/>
  <c r="AV115" i="1"/>
  <c r="AU115" i="1"/>
  <c r="AW114" i="1"/>
  <c r="AV114" i="1"/>
  <c r="AU114" i="1"/>
  <c r="AW113" i="1"/>
  <c r="AV113" i="1"/>
  <c r="AU113" i="1"/>
  <c r="AW112" i="1"/>
  <c r="AV112" i="1"/>
  <c r="AW111" i="1"/>
  <c r="AV111" i="1"/>
  <c r="AU111" i="1"/>
  <c r="AW110" i="1"/>
  <c r="AV110" i="1"/>
  <c r="AW109" i="1"/>
  <c r="AV109" i="1"/>
  <c r="AW108" i="1"/>
  <c r="AV108" i="1"/>
  <c r="AW107" i="1"/>
  <c r="AV107" i="1"/>
  <c r="AW106" i="1"/>
  <c r="AV106" i="1"/>
  <c r="AW105" i="1"/>
  <c r="AV105" i="1"/>
  <c r="AW104" i="1"/>
  <c r="AV104" i="1"/>
  <c r="AU104" i="1"/>
  <c r="AW103" i="1"/>
  <c r="AV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W94" i="1"/>
  <c r="AV94" i="1"/>
  <c r="AU94" i="1"/>
  <c r="AW93" i="1"/>
  <c r="AV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88" i="1"/>
  <c r="AV88" i="1"/>
  <c r="AW87" i="1"/>
  <c r="AV87" i="1"/>
  <c r="AW86" i="1"/>
  <c r="AV86" i="1"/>
  <c r="AU86" i="1"/>
  <c r="AW85" i="1"/>
  <c r="AV85" i="1"/>
  <c r="AU85" i="1"/>
  <c r="AW84" i="1"/>
  <c r="AV84" i="1"/>
  <c r="AU84" i="1"/>
  <c r="AW83" i="1"/>
  <c r="AV83" i="1"/>
  <c r="AU83" i="1"/>
  <c r="AW82" i="1"/>
  <c r="AV82" i="1"/>
  <c r="AU82" i="1"/>
  <c r="AW81" i="1"/>
  <c r="AV81" i="1"/>
  <c r="AW80" i="1"/>
  <c r="AV80" i="1"/>
  <c r="AU80" i="1"/>
  <c r="AW79" i="1"/>
  <c r="AV79" i="1"/>
  <c r="AU79" i="1"/>
  <c r="AW78" i="1"/>
  <c r="AV78" i="1"/>
  <c r="AU78" i="1"/>
  <c r="AW77" i="1"/>
  <c r="AV77" i="1"/>
  <c r="AW76" i="1"/>
  <c r="AV76" i="1"/>
  <c r="AU76" i="1"/>
  <c r="AW75" i="1"/>
  <c r="AV75" i="1"/>
  <c r="AW74" i="1"/>
  <c r="AV74" i="1"/>
  <c r="AU74" i="1"/>
  <c r="AW73" i="1"/>
  <c r="AV73" i="1"/>
  <c r="AU73" i="1"/>
  <c r="AW72" i="1"/>
  <c r="AV72" i="1"/>
  <c r="AU72" i="1"/>
  <c r="AW71" i="1"/>
  <c r="AV71" i="1"/>
  <c r="AW67" i="1"/>
  <c r="AV67" i="1"/>
  <c r="AW66" i="1"/>
  <c r="AV66" i="1"/>
  <c r="AU66" i="1"/>
  <c r="AW65" i="1"/>
  <c r="AV65" i="1"/>
  <c r="AU65" i="1"/>
  <c r="AW64" i="1"/>
  <c r="AV64" i="1"/>
  <c r="AW63" i="1"/>
  <c r="AV63" i="1"/>
  <c r="AU63" i="1"/>
  <c r="AW62" i="1"/>
  <c r="AV62" i="1"/>
  <c r="AU62" i="1"/>
  <c r="AW61" i="1"/>
  <c r="AV61" i="1"/>
  <c r="AU61" i="1"/>
  <c r="AW60" i="1"/>
  <c r="AV60" i="1"/>
  <c r="AW59" i="1"/>
  <c r="AV59" i="1"/>
  <c r="AU59" i="1"/>
  <c r="AW58" i="1"/>
  <c r="AV58" i="1"/>
  <c r="AW57" i="1"/>
  <c r="AV57" i="1"/>
  <c r="AU57" i="1"/>
  <c r="AW56" i="1"/>
  <c r="AV56" i="1"/>
  <c r="AW55" i="1"/>
  <c r="AV55" i="1"/>
  <c r="AW54" i="1"/>
  <c r="AV54" i="1"/>
  <c r="AU54" i="1"/>
  <c r="AW53" i="1"/>
  <c r="AV53" i="1"/>
  <c r="AW52" i="1"/>
  <c r="AV52" i="1"/>
  <c r="AW4625" i="1"/>
  <c r="AV4625" i="1"/>
  <c r="AW4624" i="1"/>
  <c r="AV4624" i="1"/>
  <c r="AW4603" i="1"/>
  <c r="AV4603" i="1"/>
  <c r="AU4603" i="1"/>
  <c r="AW4602" i="1"/>
  <c r="AV4602" i="1"/>
  <c r="AU4602" i="1"/>
  <c r="AW4439" i="1"/>
  <c r="AV4439" i="1"/>
  <c r="AU4439" i="1"/>
  <c r="AW4435" i="1"/>
  <c r="AV4435" i="1"/>
  <c r="AW4427" i="1"/>
  <c r="AV4427" i="1"/>
  <c r="AU4427" i="1"/>
  <c r="AW4426" i="1"/>
  <c r="AV4426" i="1"/>
  <c r="AU4426" i="1"/>
  <c r="AW4422" i="1"/>
  <c r="AV4422" i="1"/>
  <c r="AU4422" i="1"/>
  <c r="AW4421" i="1"/>
  <c r="AV4421" i="1"/>
  <c r="AU4421" i="1"/>
  <c r="AW4420" i="1"/>
  <c r="AV4420" i="1"/>
  <c r="AW4419" i="1"/>
  <c r="AV4419" i="1"/>
  <c r="AW4418" i="1"/>
  <c r="AV4418" i="1"/>
  <c r="AU4418" i="1"/>
  <c r="AW4417" i="1"/>
  <c r="AV4417" i="1"/>
  <c r="AU4417" i="1"/>
  <c r="AW4416" i="1"/>
  <c r="AV4416" i="1"/>
  <c r="AU4416" i="1"/>
  <c r="AW4415" i="1"/>
  <c r="AV4415" i="1"/>
  <c r="AU4415" i="1"/>
  <c r="AW4405" i="1"/>
  <c r="AV4405" i="1"/>
  <c r="AU4405" i="1"/>
  <c r="AW4404" i="1"/>
  <c r="AV4404" i="1"/>
  <c r="AW4403" i="1"/>
  <c r="AV4403" i="1"/>
  <c r="AW4392" i="1"/>
  <c r="AV4392" i="1"/>
  <c r="AU4392" i="1"/>
  <c r="AW1754" i="1"/>
  <c r="AV1754" i="1"/>
  <c r="AU1754" i="1"/>
  <c r="AW122" i="1"/>
  <c r="AV122" i="1"/>
  <c r="AW4599" i="1"/>
  <c r="AV4599" i="1"/>
  <c r="AU4599" i="1"/>
  <c r="AW4423" i="1"/>
  <c r="AV4423" i="1"/>
  <c r="AW4406" i="1"/>
  <c r="AV4406" i="1"/>
  <c r="AW4257" i="1"/>
  <c r="AV4257" i="1"/>
  <c r="AU4257" i="1"/>
  <c r="AW4255" i="1"/>
  <c r="AV4255" i="1"/>
  <c r="AW4251" i="1"/>
  <c r="AV4251" i="1"/>
  <c r="AW4250" i="1"/>
  <c r="AV4250" i="1"/>
  <c r="AU4250" i="1"/>
  <c r="AW323" i="1"/>
  <c r="AV323" i="1"/>
  <c r="AW70" i="1"/>
  <c r="AV70" i="1"/>
  <c r="AW69" i="1"/>
  <c r="AV69" i="1"/>
  <c r="AU69" i="1"/>
  <c r="AW68" i="1"/>
  <c r="AV68" i="1"/>
  <c r="AU68" i="1"/>
  <c r="AW51" i="1"/>
  <c r="AV51" i="1"/>
  <c r="AW50" i="1"/>
  <c r="AV50" i="1"/>
  <c r="AW49" i="1"/>
  <c r="AV49" i="1"/>
  <c r="AW48" i="1"/>
  <c r="AV48" i="1"/>
  <c r="AW44" i="1"/>
  <c r="AV44" i="1"/>
  <c r="AW42" i="1"/>
  <c r="AV42" i="1"/>
  <c r="AW41" i="1"/>
  <c r="AV41" i="1"/>
  <c r="AW40" i="1"/>
  <c r="AV40" i="1"/>
  <c r="AW39" i="1"/>
  <c r="AV39" i="1"/>
</calcChain>
</file>

<file path=xl/sharedStrings.xml><?xml version="1.0" encoding="utf-8"?>
<sst xmlns="http://schemas.openxmlformats.org/spreadsheetml/2006/main" count="143757" uniqueCount="40594">
  <si>
    <t>Collection Code</t>
  </si>
  <si>
    <t>Location Code</t>
  </si>
  <si>
    <t>Display Call Number</t>
  </si>
  <si>
    <t>Display Call Number Normalized</t>
  </si>
  <si>
    <t>Title</t>
  </si>
  <si>
    <t>Enumeration</t>
  </si>
  <si>
    <t>Possible Multi-Volume Set</t>
  </si>
  <si>
    <t>Copy Number</t>
  </si>
  <si>
    <t>Possible Duplicate</t>
  </si>
  <si>
    <t>Multi-Edition Title</t>
  </si>
  <si>
    <t>Number of Related Ebooks</t>
  </si>
  <si>
    <t>Author</t>
  </si>
  <si>
    <t>Publisher</t>
  </si>
  <si>
    <t>Publication Year</t>
  </si>
  <si>
    <t>Edition</t>
  </si>
  <si>
    <t>Primary Language</t>
  </si>
  <si>
    <t>Series</t>
  </si>
  <si>
    <t>LC Subclass</t>
  </si>
  <si>
    <t>Recorded Uses - Item</t>
  </si>
  <si>
    <t>Recorded Uses - Title</t>
  </si>
  <si>
    <t>Last Charge Date - Item</t>
  </si>
  <si>
    <t>Last Charge Date - Title</t>
  </si>
  <si>
    <t>Last Add Date - Item</t>
  </si>
  <si>
    <t>Last Add Date - Title</t>
  </si>
  <si>
    <t>Global Holdings - Same Edition</t>
  </si>
  <si>
    <t>Canada Holdings - Same Edition</t>
  </si>
  <si>
    <t>Canada Holdings - Any Edition</t>
  </si>
  <si>
    <t>Quebec Holdings - Same Edition</t>
  </si>
  <si>
    <t>Quebec Holdings - Any Edition</t>
  </si>
  <si>
    <t>All Comparator Library Holdings - Same Edition</t>
  </si>
  <si>
    <t>All Comparator Library Holdings - Any Edition</t>
  </si>
  <si>
    <t>BCI - Same Edition</t>
  </si>
  <si>
    <t>BCI - Any Edition</t>
  </si>
  <si>
    <t>ARL Libraries - Same Edition</t>
  </si>
  <si>
    <t>ARL Libraries - Any Edition</t>
  </si>
  <si>
    <t>CARL - Same Edition</t>
  </si>
  <si>
    <t>CARL - Any Edition</t>
  </si>
  <si>
    <t>AAU - Same Edition</t>
  </si>
  <si>
    <t>AAU - Any Edition</t>
  </si>
  <si>
    <t>HathiTrust Retention Commitments - Same Edition</t>
  </si>
  <si>
    <t>HathiTrust Retention Commitments - Any Edition</t>
  </si>
  <si>
    <t>CRKN - Same Edition</t>
  </si>
  <si>
    <t>CRKN - Any Edition</t>
  </si>
  <si>
    <t>Published in Canada</t>
  </si>
  <si>
    <t>HathiTrust Public Domain</t>
  </si>
  <si>
    <t>HathiTrust In Copyright</t>
  </si>
  <si>
    <t>HathiTrust URL</t>
  </si>
  <si>
    <t>OPAC URL</t>
  </si>
  <si>
    <t>WorldCat URL</t>
  </si>
  <si>
    <t>OCLC Work ID</t>
  </si>
  <si>
    <t>WorldCat OCLC Number</t>
  </si>
  <si>
    <t>Bib Record Number</t>
  </si>
  <si>
    <t>Bib Control Number</t>
  </si>
  <si>
    <t>Item Control Number</t>
  </si>
  <si>
    <t>Item Type Code</t>
  </si>
  <si>
    <t>Item Status Code</t>
  </si>
  <si>
    <t>ISBN</t>
  </si>
  <si>
    <t>Barcode</t>
  </si>
  <si>
    <t>SCS Item ID</t>
  </si>
  <si>
    <t>LGGG</t>
  </si>
  <si>
    <t>- Main Collection - Regular Loan</t>
  </si>
  <si>
    <t>V. 2</t>
  </si>
  <si>
    <t>Yes</t>
  </si>
  <si>
    <t>No</t>
  </si>
  <si>
    <t>0</t>
  </si>
  <si>
    <t>1977</t>
  </si>
  <si>
    <t>eng</t>
  </si>
  <si>
    <t xml:space="preserve">PG </t>
  </si>
  <si>
    <t>2019-05-08</t>
  </si>
  <si>
    <t>2019-02-02</t>
  </si>
  <si>
    <t>AVAILABLE</t>
  </si>
  <si>
    <t>PG1 S73</t>
  </si>
  <si>
    <t>0                      PG 0001000S  73</t>
  </si>
  <si>
    <t>Venok : studia slavica Stefano Garzonio sexagenario oblata = in honor of Stefano Garzonio / edited by Guido Carpi, Lazar Fleishman, Bianca Sulpasso.</t>
  </si>
  <si>
    <t>v.41</t>
  </si>
  <si>
    <t>Stanford : Department of Slavic Languages and Literatures, Stanford University, 2012.</t>
  </si>
  <si>
    <t>2012</t>
  </si>
  <si>
    <t>Stanford Slavic studies ; v. 40, 41</t>
  </si>
  <si>
    <t>3375948508:eng</t>
  </si>
  <si>
    <t>827003605</t>
  </si>
  <si>
    <t>ocn827003605</t>
  </si>
  <si>
    <t>3103469154F</t>
  </si>
  <si>
    <t>Book</t>
  </si>
  <si>
    <t>9781572010918</t>
  </si>
  <si>
    <t>794939669</t>
  </si>
  <si>
    <t>v.40</t>
  </si>
  <si>
    <t>3103469149H</t>
  </si>
  <si>
    <t>794939670</t>
  </si>
  <si>
    <t>Avoti : trudy po balto-rossiĭskim otnoshenii︠a︡m i russkoĭ literature : v chestʹ 70-letii︠a︡ Borisa Ravdina / pod redakt︠s︡ieĭ Iriny Belobrovt︠s︡evoĭ, Auriki Meimre i Lazari︠a︡ Fleĭshmana.</t>
  </si>
  <si>
    <t>v.43</t>
  </si>
  <si>
    <t>rus</t>
  </si>
  <si>
    <t>Stanford Slavic studies ; volumes 42-43</t>
  </si>
  <si>
    <t>1216882867:rus</t>
  </si>
  <si>
    <t>833573732</t>
  </si>
  <si>
    <t>ocn833573732</t>
  </si>
  <si>
    <t>3103454523Y</t>
  </si>
  <si>
    <t>9781572010949</t>
  </si>
  <si>
    <t>794944223</t>
  </si>
  <si>
    <t>v.42</t>
  </si>
  <si>
    <t>3103454518$</t>
  </si>
  <si>
    <t>794944224</t>
  </si>
  <si>
    <t>PG1 S73 v. 47</t>
  </si>
  <si>
    <t>0                      PG 0001000S  73                                                      v. 47</t>
  </si>
  <si>
    <t>Russophone periodicals in Israel : a bibliography / edited by Polina Besprozvannaya, Andrei Rogachevskii, Roman Timenchick.</t>
  </si>
  <si>
    <t>v. 47*</t>
  </si>
  <si>
    <t>Stanford : The Department of Slavic Languages and Literatures, Stanford University, 2016.</t>
  </si>
  <si>
    <t>2016</t>
  </si>
  <si>
    <t>Stanford Slavic studies ; volume 47</t>
  </si>
  <si>
    <t>2998818114:rus</t>
  </si>
  <si>
    <t>948846110</t>
  </si>
  <si>
    <t>ocn948846110</t>
  </si>
  <si>
    <t>31036710380</t>
  </si>
  <si>
    <t>9781572011014</t>
  </si>
  <si>
    <t>795015839</t>
  </si>
  <si>
    <t>PG1 S73 v.39</t>
  </si>
  <si>
    <t>0                      PG 0001000S  73                                                      v.39</t>
  </si>
  <si>
    <t>When the elephant broke out of the zoo : a festschrift for Donald Rayfield / edited by Andreas Schönle, Olga Makarova, and Jeremy Hicks.</t>
  </si>
  <si>
    <t>v.39*</t>
  </si>
  <si>
    <t>Stanford Slavic studies ; v. 39</t>
  </si>
  <si>
    <t>1144643673:eng</t>
  </si>
  <si>
    <t>780483686</t>
  </si>
  <si>
    <t>ocn780483686</t>
  </si>
  <si>
    <t>3103430498C</t>
  </si>
  <si>
    <t>9781572010888</t>
  </si>
  <si>
    <t>794912303</t>
  </si>
  <si>
    <t>PG1 S73 v.44</t>
  </si>
  <si>
    <t>0                      PG 0001000S  73                                                      v.44</t>
  </si>
  <si>
    <t>Zhabotinskiĭ i Rossii︠a︡ : sbornik trudov Mezhdunarodnoĭ Konferent︠s︡ii "Russian Jabotinsky : Jabotinsky and Russia", posvi︠a︡shchënnoĭ 130-letii︠u︡ V.E. Zhabotinskogo (Evreĭskiĭ Universitet v Ierusalime, ii︠u︡lʹ 2010) / pod redakt︠s︡ieĭ Leonida Kat︠s︡isa i Eleny Tolstoĭ.</t>
  </si>
  <si>
    <t>v.44*</t>
  </si>
  <si>
    <t>Stanford : Department of Slavic Languages and Literatures, Stanford University, 2013.</t>
  </si>
  <si>
    <t>2013</t>
  </si>
  <si>
    <t>Stanford Slavic studies ; volume 44</t>
  </si>
  <si>
    <t>3862123264:rus</t>
  </si>
  <si>
    <t>843089354</t>
  </si>
  <si>
    <t>ocn843089354</t>
  </si>
  <si>
    <t>31034983018</t>
  </si>
  <si>
    <t>9781572010956</t>
  </si>
  <si>
    <t>794947877</t>
  </si>
  <si>
    <t>PG1 S73 v.45-46</t>
  </si>
  <si>
    <t>0                      PG 0001000S  73                                                      v.45-46</t>
  </si>
  <si>
    <t>New studies in modern Russian literature and culture : essays in honor of Stanley J. Rabinowitz ; edited by Catherine Ciepiela and Lazar Fleishman.</t>
  </si>
  <si>
    <t>pt.1</t>
  </si>
  <si>
    <t>Oakland, Calif. : Berkeley Slavic Specialties, 2014.</t>
  </si>
  <si>
    <t>2014</t>
  </si>
  <si>
    <t>Stanford Slavic studies ; v. 45-46</t>
  </si>
  <si>
    <t>10141629632:eng</t>
  </si>
  <si>
    <t>892581021</t>
  </si>
  <si>
    <t>ocn892581021</t>
  </si>
  <si>
    <t>3103581193N</t>
  </si>
  <si>
    <t>9781572010963</t>
  </si>
  <si>
    <t>794980943</t>
  </si>
  <si>
    <t>pt.2</t>
  </si>
  <si>
    <t>3103581686A</t>
  </si>
  <si>
    <t>794980942</t>
  </si>
  <si>
    <t>1955</t>
  </si>
  <si>
    <t>2015-04-13</t>
  </si>
  <si>
    <t>PG13 M46 no.31</t>
  </si>
  <si>
    <t>0                      PG 0013000M  46                                                      no.31</t>
  </si>
  <si>
    <t>Monumenta Polonica : the first four centuries of Polish poetry : a bilingual anthology / Bogdana Carpenter.</t>
  </si>
  <si>
    <t>no.31*</t>
  </si>
  <si>
    <t>Ann Arbor : Michigan Slavic Publications, [1989]</t>
  </si>
  <si>
    <t>1989</t>
  </si>
  <si>
    <t>Michigan Slavic materials ; no. 31</t>
  </si>
  <si>
    <t>2017-04-09</t>
  </si>
  <si>
    <t>795556202:eng</t>
  </si>
  <si>
    <t>20852381</t>
  </si>
  <si>
    <t>ocm20852381</t>
  </si>
  <si>
    <t>31002176183</t>
  </si>
  <si>
    <t>9780930042684</t>
  </si>
  <si>
    <t>793101341</t>
  </si>
  <si>
    <t>PG13 M46 no.43</t>
  </si>
  <si>
    <t>0                      PG 0013000M  46                                                      no.43</t>
  </si>
  <si>
    <t>Annual workshop on formal approaches to Slavic linguistics. The Connecticut meeting, 1997 / edited by Željko Bošković, Steven Franks, and William Snyder.</t>
  </si>
  <si>
    <t>no.43*</t>
  </si>
  <si>
    <t>Annual Workshop on Formal Approaches to Slavic Linguistics (6th : 1997 : Storrs, Conn.)</t>
  </si>
  <si>
    <t>Ann Arbor : Michigan Slavic Publications, 1998.</t>
  </si>
  <si>
    <t>1998</t>
  </si>
  <si>
    <t>Michigan Slavic materials ; v. 43</t>
  </si>
  <si>
    <t>2015-04-27</t>
  </si>
  <si>
    <t>479153203:eng</t>
  </si>
  <si>
    <t>38580322</t>
  </si>
  <si>
    <t>ocm38580322</t>
  </si>
  <si>
    <t>31018708934</t>
  </si>
  <si>
    <t>9780930042820</t>
  </si>
  <si>
    <t>793527547</t>
  </si>
  <si>
    <t>PG13 S524 no.22</t>
  </si>
  <si>
    <t>0                      PG 0013000S  524                                                     no.22</t>
  </si>
  <si>
    <t>Words, deeds and values : the intelligentsias in Russia and Poland during the nineteenth and twentieth centuries / editors, Fiona Björling, Alexander Pereswetoff-Morath.</t>
  </si>
  <si>
    <t>book+ addendum</t>
  </si>
  <si>
    <t>Lund : Department of East and Central European Studies, 2005.</t>
  </si>
  <si>
    <t>2005</t>
  </si>
  <si>
    <t>Slavica Lundensia ; 22</t>
  </si>
  <si>
    <t>2019-02-16</t>
  </si>
  <si>
    <t>864145536:eng</t>
  </si>
  <si>
    <t>67613454</t>
  </si>
  <si>
    <t>ocm67613454</t>
  </si>
  <si>
    <t>31028287456</t>
  </si>
  <si>
    <t>9789197020190</t>
  </si>
  <si>
    <t>794141078</t>
  </si>
  <si>
    <t>PG25 S34 1996</t>
  </si>
  <si>
    <t>0                      PG 0025000S  34          1996</t>
  </si>
  <si>
    <t>The dawn of Slavic : an introduction to Slavic philology / Alexander M. Schenker.</t>
  </si>
  <si>
    <t>Schenker, Alexander M.</t>
  </si>
  <si>
    <t>New Haven ; London : Yale University Press, 1996.</t>
  </si>
  <si>
    <t>1996</t>
  </si>
  <si>
    <t>Yale language series</t>
  </si>
  <si>
    <t>2019-08-02</t>
  </si>
  <si>
    <t>806516685:eng</t>
  </si>
  <si>
    <t>59619598</t>
  </si>
  <si>
    <t>ocm59619598</t>
  </si>
  <si>
    <t>3101563538$</t>
  </si>
  <si>
    <t>9780300058468</t>
  </si>
  <si>
    <t>793930803</t>
  </si>
  <si>
    <t>1957</t>
  </si>
  <si>
    <t>2016-02-09</t>
  </si>
  <si>
    <t>1</t>
  </si>
  <si>
    <t>PG41 S58 1993</t>
  </si>
  <si>
    <t>0                      PG 0041000S  58          1993</t>
  </si>
  <si>
    <t>The Slavonic languages / edited by Bernard Comrie and Greville G. Corbett.</t>
  </si>
  <si>
    <t>London ; New York : Routledge, 1993.</t>
  </si>
  <si>
    <t>1993</t>
  </si>
  <si>
    <t>Routledge reference</t>
  </si>
  <si>
    <t>2017-03-30</t>
  </si>
  <si>
    <t>350239223:eng</t>
  </si>
  <si>
    <t>24796613</t>
  </si>
  <si>
    <t>ocm24796613</t>
  </si>
  <si>
    <t>3102507758$</t>
  </si>
  <si>
    <t>9780415047555</t>
  </si>
  <si>
    <t>793205485</t>
  </si>
  <si>
    <t>PG41 S87 2006</t>
  </si>
  <si>
    <t>0                      PG 0041000S  87          2006</t>
  </si>
  <si>
    <t>The Slavic languages / Roland Sussex, Paul Cubberley.</t>
  </si>
  <si>
    <t>Sussex, Roland.</t>
  </si>
  <si>
    <t>Cambridge, UK ; New York : Cambridge University Press, 2006.</t>
  </si>
  <si>
    <t>2006</t>
  </si>
  <si>
    <t>Cambridge language surveys</t>
  </si>
  <si>
    <t>2015-03-29</t>
  </si>
  <si>
    <t>908082:eng</t>
  </si>
  <si>
    <t>56643252</t>
  </si>
  <si>
    <t>ocm56643252</t>
  </si>
  <si>
    <t>3102565569I</t>
  </si>
  <si>
    <t>9780521223157</t>
  </si>
  <si>
    <t>793897860</t>
  </si>
  <si>
    <t>PG44 S58 1982</t>
  </si>
  <si>
    <t>0                      PG 0044000S  58          1982</t>
  </si>
  <si>
    <t>The Slavic languages in emigre communities / Roland Sussex.</t>
  </si>
  <si>
    <t>Carbondale, USA : Linguistic Research, ©1982.</t>
  </si>
  <si>
    <t>1982</t>
  </si>
  <si>
    <t>Current inquiry into language, linguistics, and human communication ; 42</t>
  </si>
  <si>
    <t>2015-03-24</t>
  </si>
  <si>
    <t>42928498:eng</t>
  </si>
  <si>
    <t>9550139</t>
  </si>
  <si>
    <t>ocm09550139</t>
  </si>
  <si>
    <t>3000345479N</t>
  </si>
  <si>
    <t>9780887830464</t>
  </si>
  <si>
    <t>792681414</t>
  </si>
  <si>
    <t>PG46 B73 2007</t>
  </si>
  <si>
    <t>0                      PG 0046000B  73          2007</t>
  </si>
  <si>
    <t>The origins of Slavonic : language contact and language change / Noel C. Brackney.</t>
  </si>
  <si>
    <t>Brackney, Noel C.</t>
  </si>
  <si>
    <t>München : LINCOM Europa, 2007.</t>
  </si>
  <si>
    <t>2007</t>
  </si>
  <si>
    <t>LINCOM studies in Slavic linguistics ; 29</t>
  </si>
  <si>
    <t>2015-06-03</t>
  </si>
  <si>
    <t>792126488:eng</t>
  </si>
  <si>
    <t>182732023</t>
  </si>
  <si>
    <t>ocn182732023</t>
  </si>
  <si>
    <t>3102861646H</t>
  </si>
  <si>
    <t>9783895860713</t>
  </si>
  <si>
    <t>794285264</t>
  </si>
  <si>
    <t>PG59 S554 1999</t>
  </si>
  <si>
    <t>0                      PG 0059000S  554         1999</t>
  </si>
  <si>
    <t>Slavic in head-driven phrase structure grammar / edited by Robert Borsley, Adam Przepiórkowski.</t>
  </si>
  <si>
    <t>Stanford, Calif. : Center for the Study of Language and Information, 1999.</t>
  </si>
  <si>
    <t>1999</t>
  </si>
  <si>
    <t>Studies in constraint-based lexicalism</t>
  </si>
  <si>
    <t>2016-11-29</t>
  </si>
  <si>
    <t>502176974:eng</t>
  </si>
  <si>
    <t>40783963</t>
  </si>
  <si>
    <t>ocm40783963</t>
  </si>
  <si>
    <t>3102014516O</t>
  </si>
  <si>
    <t>9781575861746</t>
  </si>
  <si>
    <t>793575687</t>
  </si>
  <si>
    <t>PG64 D53 2018</t>
  </si>
  <si>
    <t>0                      PG 0064000D  53          2018</t>
  </si>
  <si>
    <t>Diachronic Slavonic syntax : the interplay between internal development, language contact and metalinguistic factors / edited by Jasmina Grković-Major, Björn Hansen, Barbara Sonnenhauser.</t>
  </si>
  <si>
    <t>Berlin : De Gruyter Mouton, [2018]</t>
  </si>
  <si>
    <t>2018</t>
  </si>
  <si>
    <t>Trends in linguistics. Studies and monographs, 1861-4078 ; volume 315</t>
  </si>
  <si>
    <t>4547797626:eng</t>
  </si>
  <si>
    <t>1028527395</t>
  </si>
  <si>
    <t>on1028527395</t>
  </si>
  <si>
    <t>3103738251J</t>
  </si>
  <si>
    <t>9783110529296</t>
  </si>
  <si>
    <t>795053150</t>
  </si>
  <si>
    <t>PG77 S3</t>
  </si>
  <si>
    <t>0                      PG 0077000S  3</t>
  </si>
  <si>
    <t>The phoneme jat' in Slavic.</t>
  </si>
  <si>
    <t>Samilov, Michael.</t>
  </si>
  <si>
    <t>The Hague, Mouton, 1964.</t>
  </si>
  <si>
    <t>1964</t>
  </si>
  <si>
    <t>Slavistic printings and reprintings, 32</t>
  </si>
  <si>
    <t>2017-10-11</t>
  </si>
  <si>
    <t>2105787:eng</t>
  </si>
  <si>
    <t>1167257</t>
  </si>
  <si>
    <t>ocm01167257</t>
  </si>
  <si>
    <t>3000749612$</t>
  </si>
  <si>
    <t>791562986</t>
  </si>
  <si>
    <t>PG145 C53 2010</t>
  </si>
  <si>
    <t>0                      PG 0145000C  53          2010</t>
  </si>
  <si>
    <t>The chain of being and having in Slavic / by Steven J. Clancy.</t>
  </si>
  <si>
    <t>Clancy, Steven J.</t>
  </si>
  <si>
    <t>Amsterdam ; Philadelphia : John Benjamins Pub. Co., 2010.</t>
  </si>
  <si>
    <t>2010</t>
  </si>
  <si>
    <t>Studies in language companion series; v. 122</t>
  </si>
  <si>
    <t>34963944:eng</t>
  </si>
  <si>
    <t>667213241</t>
  </si>
  <si>
    <t>ocn667213241</t>
  </si>
  <si>
    <t>3103313660G</t>
  </si>
  <si>
    <t>9789027205896</t>
  </si>
  <si>
    <t>794845468</t>
  </si>
  <si>
    <t>PG334 E8 F35 2009</t>
  </si>
  <si>
    <t>0                      PG 0334000E  8                  F  35          2009</t>
  </si>
  <si>
    <t>Eugene Onegin : a novel in verse / Alexander Pushkin ; translated with an introduction and notes by James E. Falen.</t>
  </si>
  <si>
    <t>Pushkin, Aleksandr Sergeevich, 1799-1837.</t>
  </si>
  <si>
    <t>Oxford ; New York : Oxford University Press, [2009]</t>
  </si>
  <si>
    <t>2009</t>
  </si>
  <si>
    <t>Oxford world's classics</t>
  </si>
  <si>
    <t>2018-09-12</t>
  </si>
  <si>
    <t>9490526987:eng</t>
  </si>
  <si>
    <t>271771898</t>
  </si>
  <si>
    <t>ocn271771898</t>
  </si>
  <si>
    <t>3103440113W</t>
  </si>
  <si>
    <t>9780199538645</t>
  </si>
  <si>
    <t>794414893</t>
  </si>
  <si>
    <t>PG504.5 E54 1996</t>
  </si>
  <si>
    <t>0                      PG 0504500E  54          1996</t>
  </si>
  <si>
    <t>Engendering Slavic literatures / edited by Pamela Chester &amp; Sibelan Forrester.</t>
  </si>
  <si>
    <t>Bloomington : Indiana University Press, ©1996.</t>
  </si>
  <si>
    <t>2017-01-19</t>
  </si>
  <si>
    <t>38502706:eng</t>
  </si>
  <si>
    <t>33443392</t>
  </si>
  <si>
    <t>ocm33443392</t>
  </si>
  <si>
    <t>3102914263W</t>
  </si>
  <si>
    <t>9780253330161</t>
  </si>
  <si>
    <t>793409704</t>
  </si>
  <si>
    <t>PG569 E95 S467 2010</t>
  </si>
  <si>
    <t>0                      PG 0569000E  95                 S  467         2010</t>
  </si>
  <si>
    <t>Shoreless bridges : south east European writing in diaspora / edited by Elka Agoston-Nikolova.</t>
  </si>
  <si>
    <t>Amsterdam ; New York : Rodopi, 2010.</t>
  </si>
  <si>
    <t>Studies in Slavic literature and poetics, 0169-0175 ; v. 55</t>
  </si>
  <si>
    <t>2014-03-12</t>
  </si>
  <si>
    <t>796278825:eng</t>
  </si>
  <si>
    <t>643058174</t>
  </si>
  <si>
    <t>ocn643058174</t>
  </si>
  <si>
    <t>31032292801</t>
  </si>
  <si>
    <t>9789042030206</t>
  </si>
  <si>
    <t>794828676</t>
  </si>
  <si>
    <t>PG580 P578 2001</t>
  </si>
  <si>
    <t>0                      PG 0580000P  578         2001</t>
  </si>
  <si>
    <t>Pisatelji za mir = Writers for peace = Književnici za mir / [glavni urednik, editor-in-chief, Evald Flisar].</t>
  </si>
  <si>
    <t>Ljubljana : Cankarjeva založba, 2001.</t>
  </si>
  <si>
    <t>2001</t>
  </si>
  <si>
    <t>slv</t>
  </si>
  <si>
    <t>2017-10-28</t>
  </si>
  <si>
    <t>478152849:slv</t>
  </si>
  <si>
    <t>47935568</t>
  </si>
  <si>
    <t>ocm47935568</t>
  </si>
  <si>
    <t>3102420117C</t>
  </si>
  <si>
    <t>793711568</t>
  </si>
  <si>
    <t>PG584 E1 B35 1995</t>
  </si>
  <si>
    <t>0                      PG 0584000E  1                  B  35          1995</t>
  </si>
  <si>
    <t>Balkan Blues : writing out of Yugoslavia / edited by Joanna Labon.</t>
  </si>
  <si>
    <t>Evanston, Ill. : Northwestern University Press, 1995.</t>
  </si>
  <si>
    <t>1995</t>
  </si>
  <si>
    <t>Writings from an unbound Europe</t>
  </si>
  <si>
    <t>2016-12-05</t>
  </si>
  <si>
    <t>55958517:eng</t>
  </si>
  <si>
    <t>33013625</t>
  </si>
  <si>
    <t>ocm33013625</t>
  </si>
  <si>
    <t>31015410554</t>
  </si>
  <si>
    <t>9780810113251</t>
  </si>
  <si>
    <t>793399777</t>
  </si>
  <si>
    <t>PG619 G37 2001</t>
  </si>
  <si>
    <t>0                      PG 0619000G  37          2001</t>
  </si>
  <si>
    <t>Old Church Slavonic / Boris Gasparov.</t>
  </si>
  <si>
    <t>Gasparov, B.</t>
  </si>
  <si>
    <t>München : LINCOM Europa, 2001.</t>
  </si>
  <si>
    <t>Languages of the world. Materials ; 338</t>
  </si>
  <si>
    <t>2016-04-11</t>
  </si>
  <si>
    <t>38089362:eng</t>
  </si>
  <si>
    <t>48919311</t>
  </si>
  <si>
    <t>ocm48919311</t>
  </si>
  <si>
    <t>3102188093V</t>
  </si>
  <si>
    <t>9783895868894</t>
  </si>
  <si>
    <t>793730402</t>
  </si>
  <si>
    <t>PG619 L8 1966</t>
  </si>
  <si>
    <t>0                      PG 0619000L  8           1966</t>
  </si>
  <si>
    <t>Old church Slavonic grammar, by Horace G. Lunt.</t>
  </si>
  <si>
    <t>Lunt, Horace G. (Horace Gray), 1918-2010.</t>
  </si>
  <si>
    <t>'s-Gravenhage, Mouton &amp; Co., 1966.</t>
  </si>
  <si>
    <t>1966</t>
  </si>
  <si>
    <t>4th ed.</t>
  </si>
  <si>
    <t>Slavistic printings and reprintings, 3</t>
  </si>
  <si>
    <t>2015-05-11</t>
  </si>
  <si>
    <t>9964605275:eng</t>
  </si>
  <si>
    <t>468739</t>
  </si>
  <si>
    <t>ocm00468739</t>
  </si>
  <si>
    <t>3102914353V</t>
  </si>
  <si>
    <t>791386706</t>
  </si>
  <si>
    <t>PG619 L8 2001</t>
  </si>
  <si>
    <t>0                      PG 0619000L  8           2001</t>
  </si>
  <si>
    <t>Old Church Slavonic grammar / by Horace G. Lunt.</t>
  </si>
  <si>
    <t>Berlin ; New York : Mouton de Gruyter, 2001.</t>
  </si>
  <si>
    <t>7th rev. ed.</t>
  </si>
  <si>
    <t>2019-02-03</t>
  </si>
  <si>
    <t>5090362839:eng</t>
  </si>
  <si>
    <t>46421814</t>
  </si>
  <si>
    <t>ocm46421814</t>
  </si>
  <si>
    <t>3102914358V</t>
  </si>
  <si>
    <t>9783110162844</t>
  </si>
  <si>
    <t>793684359</t>
  </si>
  <si>
    <t>PG619 N36 1988</t>
  </si>
  <si>
    <t>0                      PG 0619000N  36          1988</t>
  </si>
  <si>
    <t>Old Church Slavonic grammar / by Grigore Nandris.</t>
  </si>
  <si>
    <t>Nandris, Grigore, 1895-1968.</t>
  </si>
  <si>
    <t>London ; Atlantic Highlands, NJ : Athlone Press, 1988, ©1959.</t>
  </si>
  <si>
    <t>1988</t>
  </si>
  <si>
    <t>London East European series. Group I, Descriptive grammars</t>
  </si>
  <si>
    <t>2017-03-06</t>
  </si>
  <si>
    <t>3768831425:eng</t>
  </si>
  <si>
    <t>17548452</t>
  </si>
  <si>
    <t>ocm17548452</t>
  </si>
  <si>
    <t>3102914362T</t>
  </si>
  <si>
    <t>9780485175202</t>
  </si>
  <si>
    <t>792995048</t>
  </si>
  <si>
    <t>PG623 D5</t>
  </si>
  <si>
    <t>0                      PG 0623000D  5</t>
  </si>
  <si>
    <t>Altkirchenslavische Grammatik : mit einer Auswahl von Texten und einem Wörterbuch / von Paul Diels.</t>
  </si>
  <si>
    <t>Diels, Paul, 1882-1963.</t>
  </si>
  <si>
    <t>Heidelberg : C. Winter, 1932-1934.</t>
  </si>
  <si>
    <t>1932</t>
  </si>
  <si>
    <t>ger</t>
  </si>
  <si>
    <t>Sammlung Slavischer Lehr- und Handbücher : 1. Reihe, Grammatiken ; 6</t>
  </si>
  <si>
    <t>2018-01-25</t>
  </si>
  <si>
    <t>7137254:ger</t>
  </si>
  <si>
    <t>3060793</t>
  </si>
  <si>
    <t>ocm03060793</t>
  </si>
  <si>
    <t>3102914374R</t>
  </si>
  <si>
    <t>792212320</t>
  </si>
  <si>
    <t>PG623 G3 1984</t>
  </si>
  <si>
    <t>0                      PG 0623000G  3           1984</t>
  </si>
  <si>
    <t>Old church Slavonic : an elementary grammar / S.C. Gardiner.</t>
  </si>
  <si>
    <t>Gardiner, S. C. (Sunray Cythna)</t>
  </si>
  <si>
    <t>Cambridge [Cambridgeshire] ; New York : Cambridge University Press, 1984.</t>
  </si>
  <si>
    <t>1984</t>
  </si>
  <si>
    <t>2018-02-27</t>
  </si>
  <si>
    <t>290638056:eng</t>
  </si>
  <si>
    <t>7814243</t>
  </si>
  <si>
    <t>ocm07814243</t>
  </si>
  <si>
    <t>3102914365T</t>
  </si>
  <si>
    <t>9780521236744</t>
  </si>
  <si>
    <t>792581109</t>
  </si>
  <si>
    <t>PG623 S33x</t>
  </si>
  <si>
    <t>0                      PG 0623000S  33x</t>
  </si>
  <si>
    <t>An introduction to Old Church Slavic / William R. Schmalstieg.</t>
  </si>
  <si>
    <t>Schmalstieg, William R.</t>
  </si>
  <si>
    <t>Cambridge, Mass. : Slavica Publishers, 1976.</t>
  </si>
  <si>
    <t>1976</t>
  </si>
  <si>
    <t>2015-10-02</t>
  </si>
  <si>
    <t>5589276:eng</t>
  </si>
  <si>
    <t>2616994</t>
  </si>
  <si>
    <t>ocm02616994</t>
  </si>
  <si>
    <t>3102914370R</t>
  </si>
  <si>
    <t>792153415</t>
  </si>
  <si>
    <t>PG632 A43 1991</t>
  </si>
  <si>
    <t>0                      PG 0632000A  43          1991</t>
  </si>
  <si>
    <t>On Church Slavonic accentuation : the accentuation of a Russian Church Slavonic Gospel manuscript from the fifteenth century / by Per Ambrosiani.</t>
  </si>
  <si>
    <t>Ambrosiani, Per.</t>
  </si>
  <si>
    <t>Stockholm : Almqvist &amp; Wiksell Int., 1991.</t>
  </si>
  <si>
    <t>1991</t>
  </si>
  <si>
    <t>Acta Universitatis Stockholmiensis. Stockholm Slavic studies, 0585-3575 ; 21</t>
  </si>
  <si>
    <t>2016-01-25</t>
  </si>
  <si>
    <t>220154259:eng</t>
  </si>
  <si>
    <t>24870178</t>
  </si>
  <si>
    <t>ocm24870178</t>
  </si>
  <si>
    <t>3102914341X</t>
  </si>
  <si>
    <t>9789122014461</t>
  </si>
  <si>
    <t>793206935</t>
  </si>
  <si>
    <t>PG693 D53 1993</t>
  </si>
  <si>
    <t>0                      PG 0693000D  53          1993</t>
  </si>
  <si>
    <t>Polnyĭ t︠s︡erkovno-slavi︠a︡nskiĭ slovarʹ : so vnesenīem v nego vazhni︠e︡ĭshikh drevne-russkikh slov i vyrazhenīĭ / sostavil Grigorīĭ Dʹi︠a︡chenko.</t>
  </si>
  <si>
    <t>Dʹi︠a︡chenko, Grigorīĭ.</t>
  </si>
  <si>
    <t>Moskva : Izdatelʹskiĭ otdel Moskovskogo Patriarkhata, 1993.</t>
  </si>
  <si>
    <t>3855431336:rus</t>
  </si>
  <si>
    <t>31402889</t>
  </si>
  <si>
    <t>ocm31402889</t>
  </si>
  <si>
    <t>3101846254Q</t>
  </si>
  <si>
    <t>9785873010684</t>
  </si>
  <si>
    <t>793360339</t>
  </si>
  <si>
    <t>PG701.45 T48 1999</t>
  </si>
  <si>
    <t>0                      PG 0701450T  48          1999</t>
  </si>
  <si>
    <t>The reception of Byzantine culture in mediaeval Russia / Francis J. Thomson.</t>
  </si>
  <si>
    <t>Thomson, Francis J.</t>
  </si>
  <si>
    <t>Aldershot [England] ; Brookfield, Vt. : Ashgate, c1999.</t>
  </si>
  <si>
    <t>Variorum collected studies series ; CS590</t>
  </si>
  <si>
    <t>2015-09-29</t>
  </si>
  <si>
    <t>637212:eng</t>
  </si>
  <si>
    <t>41581300</t>
  </si>
  <si>
    <t>ocm41581300</t>
  </si>
  <si>
    <t>31020708799</t>
  </si>
  <si>
    <t>9780860786504</t>
  </si>
  <si>
    <t>793594630</t>
  </si>
  <si>
    <t>PG705 E63 O35 1989</t>
  </si>
  <si>
    <t>0                      PG 0705000E  63                 O  35          1989</t>
  </si>
  <si>
    <t>Parenesis Efrema Sirina : k istorii slavi︠a︡nskogo perevoda = Ephrem the Syrian's Paraenesis : a contribution to the history of the Slavic translation / Irina Ogren.</t>
  </si>
  <si>
    <t>Ogren, Irina.</t>
  </si>
  <si>
    <t>Uppsala : [publisher not identified] ; Stockholm, Sweden : Distributor, Almqvist &amp; Wiksell International, 1989.</t>
  </si>
  <si>
    <t>Acta Universitatis Upsaliensis. Studia Slavica Upsaliensia, 0562-3030 ; 26</t>
  </si>
  <si>
    <t>2017-04-06</t>
  </si>
  <si>
    <t>8907597180:rus</t>
  </si>
  <si>
    <t>21157822</t>
  </si>
  <si>
    <t>ocm21157822</t>
  </si>
  <si>
    <t>3102914414$</t>
  </si>
  <si>
    <t>Book_thsis</t>
  </si>
  <si>
    <t>9789155423452</t>
  </si>
  <si>
    <t>793110990</t>
  </si>
  <si>
    <t>PG715 E8 H34 1992</t>
  </si>
  <si>
    <t>0                      PG 0715000E  8                  H  34          1992</t>
  </si>
  <si>
    <t>The Hagiography of Kievan Rusʹ / translated with an introduction by Paul Hollingsworth.</t>
  </si>
  <si>
    <t>[Boston] : Distributed by Harvard University Press for the Ukrainian Research Institute of Harvard University, ©1992.</t>
  </si>
  <si>
    <t>1992</t>
  </si>
  <si>
    <t>Harvard library of early Ukrainian literature. English translations ; v. 2</t>
  </si>
  <si>
    <t>2015-03-03</t>
  </si>
  <si>
    <t>381328:eng</t>
  </si>
  <si>
    <t>27377178</t>
  </si>
  <si>
    <t>ocm27377178</t>
  </si>
  <si>
    <t>3102914420Y</t>
  </si>
  <si>
    <t>ON_LOAN</t>
  </si>
  <si>
    <t>9780916458522</t>
  </si>
  <si>
    <t>793265056</t>
  </si>
  <si>
    <t>PG831 B4 1950</t>
  </si>
  <si>
    <t>0                      PG 0831000B  4           1950</t>
  </si>
  <si>
    <t>Grammaire de la langue bulgare par Léon Beaulieux avec le concours de Stefan Mladenov.</t>
  </si>
  <si>
    <t>Beaulieux, Léon, 1876-</t>
  </si>
  <si>
    <t>Paris Institut d'études slaves, 1950.</t>
  </si>
  <si>
    <t>1950</t>
  </si>
  <si>
    <t>2. éd., rev. et corr.</t>
  </si>
  <si>
    <t>fre</t>
  </si>
  <si>
    <t>Université de Paris. Institut d'études slaves. Collection de grammaires, 4</t>
  </si>
  <si>
    <t>2017-02-15</t>
  </si>
  <si>
    <t>9438447329:fre</t>
  </si>
  <si>
    <t>2097739</t>
  </si>
  <si>
    <t>ocm02097739</t>
  </si>
  <si>
    <t>31029144011</t>
  </si>
  <si>
    <t>792045472</t>
  </si>
  <si>
    <t>PG831 S25 1984</t>
  </si>
  <si>
    <t>0                      PG 0831000S  25          1984</t>
  </si>
  <si>
    <t>A reference grammar of modern Bulgarian / Ernest A. Scatton.</t>
  </si>
  <si>
    <t>Scatton, Ernest A.</t>
  </si>
  <si>
    <t>Columbus, Ohio : Slavica Publishers, 1984, ©1983.</t>
  </si>
  <si>
    <t>2017-02-08</t>
  </si>
  <si>
    <t>4520717:eng</t>
  </si>
  <si>
    <t>11578222</t>
  </si>
  <si>
    <t>ocm11578222</t>
  </si>
  <si>
    <t>3102914333Z</t>
  </si>
  <si>
    <t>9780893571238</t>
  </si>
  <si>
    <t>792779248</t>
  </si>
  <si>
    <t>PG979 B8 1993</t>
  </si>
  <si>
    <t>0                      PG 0979000B  8           1993</t>
  </si>
  <si>
    <t>Bŭlgarsko-angliĭski rechnik / T. Atanasova [and others].</t>
  </si>
  <si>
    <t>t.1</t>
  </si>
  <si>
    <t>Sofii︠a︡ : Izd-vo Nauka i izkustvo, 1993.</t>
  </si>
  <si>
    <t>4. steriotipno izd. s priturka.</t>
  </si>
  <si>
    <t>bul</t>
  </si>
  <si>
    <t>2018-10-28</t>
  </si>
  <si>
    <t>53840625:bul</t>
  </si>
  <si>
    <t>33836826</t>
  </si>
  <si>
    <t>ocm33836826</t>
  </si>
  <si>
    <t>3101702117D</t>
  </si>
  <si>
    <t>9789540201221</t>
  </si>
  <si>
    <t>793412203</t>
  </si>
  <si>
    <t>t.2</t>
  </si>
  <si>
    <t>3101702113L</t>
  </si>
  <si>
    <t>793412202</t>
  </si>
  <si>
    <t>PG1038 O36 H3613 2012</t>
  </si>
  <si>
    <t>0                      PG 1038000O  36                 H  3613        2012</t>
  </si>
  <si>
    <t>A hand full of water / Tzveta Sofronieva ; translated from the German by Chantal Wright.</t>
  </si>
  <si>
    <t>Sofronieva, Tzveta, 1963-</t>
  </si>
  <si>
    <t>Buffalo, N.Y. : White Pine Press, ©2012.</t>
  </si>
  <si>
    <t>1st ed.</t>
  </si>
  <si>
    <t>Cliff Becker book prize in translation ; v. 1</t>
  </si>
  <si>
    <t>1178415098:eng</t>
  </si>
  <si>
    <t>783151442</t>
  </si>
  <si>
    <t>ocn783151442</t>
  </si>
  <si>
    <t>31034720612</t>
  </si>
  <si>
    <t>9781935210375</t>
  </si>
  <si>
    <t>794913930</t>
  </si>
  <si>
    <t>PG1038.17 O85 Z46 2016</t>
  </si>
  <si>
    <t>0                      PG 1038170O  85                 Z  46          2016</t>
  </si>
  <si>
    <t>The story smuggler / Georgi Gospodinov ; translated from the Bulgarian by Kristina Kovacheva and Dan Gunn ; illustrations by Theodore Ushev.</t>
  </si>
  <si>
    <t>Gospodinov, Georgi, 1968- author.</t>
  </si>
  <si>
    <t>Paris : Center for Writers &amp; Translators, The American University of Paris ; London : Sylph Editions, 2016.</t>
  </si>
  <si>
    <t>The Cahiers Series ; number 29</t>
  </si>
  <si>
    <t>2946712950:eng</t>
  </si>
  <si>
    <t>944087671</t>
  </si>
  <si>
    <t>ocn944087671</t>
  </si>
  <si>
    <t>3103394709I</t>
  </si>
  <si>
    <t>9781909631205</t>
  </si>
  <si>
    <t>795012722</t>
  </si>
  <si>
    <t>PG1038.23 A76 1984</t>
  </si>
  <si>
    <t>0                      PG 1038230A  76          1984</t>
  </si>
  <si>
    <t>Goli Otok : the island of death : a diary in letters / by Venko Markovski.</t>
  </si>
  <si>
    <t>Markovski, Venko.</t>
  </si>
  <si>
    <t>Boulder : Social Science Monographs ; New York : Distributed by Columbia University Press, 1984.</t>
  </si>
  <si>
    <t>East European monographs ; no. 163</t>
  </si>
  <si>
    <t>2016-01-29</t>
  </si>
  <si>
    <t>197856480:eng</t>
  </si>
  <si>
    <t>11603207</t>
  </si>
  <si>
    <t>ocm11603207</t>
  </si>
  <si>
    <t>30003646018</t>
  </si>
  <si>
    <t>9780880330558</t>
  </si>
  <si>
    <t>792780305</t>
  </si>
  <si>
    <t>PG1159 K736 2011</t>
  </si>
  <si>
    <t>0                      PG 1159000K  736         2011</t>
  </si>
  <si>
    <t>Macedonian : a course for beginning and intermediate students / Christina E. Kramer and Liljana Mitkovsk.</t>
  </si>
  <si>
    <t>(text + 2 CDs)</t>
  </si>
  <si>
    <t>Kramer, Christina Elizabeth.</t>
  </si>
  <si>
    <t>Madison, Wis. : University of Wisconsin Press, ©2011.</t>
  </si>
  <si>
    <t>2011</t>
  </si>
  <si>
    <t>3rd ed.</t>
  </si>
  <si>
    <t>mul</t>
  </si>
  <si>
    <t>2016-03-05</t>
  </si>
  <si>
    <t>894668630:mul</t>
  </si>
  <si>
    <t>720899846</t>
  </si>
  <si>
    <t>ocn720899846</t>
  </si>
  <si>
    <t>31035351513</t>
  </si>
  <si>
    <t>9780299247645</t>
  </si>
  <si>
    <t>794875227</t>
  </si>
  <si>
    <t>PG1196.29 T37 A313 2012</t>
  </si>
  <si>
    <t>0                      PG 1196290T  37                 A  313         2012</t>
  </si>
  <si>
    <t>My father's books / Luan Starova ; translated by Christina E. Kramer.</t>
  </si>
  <si>
    <t>Starova, Luan, author.</t>
  </si>
  <si>
    <t>Madison : The University of Wisconsin Press, ©2012.</t>
  </si>
  <si>
    <t>1391896274:eng</t>
  </si>
  <si>
    <t>760176454</t>
  </si>
  <si>
    <t>ocn760176454</t>
  </si>
  <si>
    <t>3103455603V</t>
  </si>
  <si>
    <t>9780299287948</t>
  </si>
  <si>
    <t>794898383</t>
  </si>
  <si>
    <t>PG1209 K27 V9</t>
  </si>
  <si>
    <t>0                      PG 1209000K  27                 V  9</t>
  </si>
  <si>
    <t>Vukovi zapisi / priredio Vojislav Đurić.</t>
  </si>
  <si>
    <t>Karadžić, Vuk Stefanović, 1787-1864.</t>
  </si>
  <si>
    <t>Beograd : Srpska književna zadruga, 1964.</t>
  </si>
  <si>
    <t>srp</t>
  </si>
  <si>
    <t>Srpska književna zadruga [Izdanja]</t>
  </si>
  <si>
    <t>2017-10-21</t>
  </si>
  <si>
    <t>5666041:srp</t>
  </si>
  <si>
    <t>12881253</t>
  </si>
  <si>
    <t>ocm12881253</t>
  </si>
  <si>
    <t>3000651571S</t>
  </si>
  <si>
    <t>792831653</t>
  </si>
  <si>
    <t>PG1217 K3 D45 1990</t>
  </si>
  <si>
    <t>0                      PG 1217000K  3                  D  45          1990</t>
  </si>
  <si>
    <t>Tradicija i Vuk Stef. Karadžić / Jovan Delić.</t>
  </si>
  <si>
    <t>Delić, Jovan.</t>
  </si>
  <si>
    <t>Beograd : Beogradski izdavačko-grafički zavod, 1990.</t>
  </si>
  <si>
    <t>1990</t>
  </si>
  <si>
    <t>Posebna izdanja</t>
  </si>
  <si>
    <t>27426546:srp</t>
  </si>
  <si>
    <t>24885023</t>
  </si>
  <si>
    <t>ocm24885023</t>
  </si>
  <si>
    <t>31014264981</t>
  </si>
  <si>
    <t>9788613004561</t>
  </si>
  <si>
    <t>793207493</t>
  </si>
  <si>
    <t>PG1217 K3 Z9</t>
  </si>
  <si>
    <t>0                      PG 1217000K  3                  Z  9</t>
  </si>
  <si>
    <t>The life and times of Vuk Stefanović Karadzić, 1787-1864; literacy, literature and national independence in Serbia.</t>
  </si>
  <si>
    <t>Wilson, Duncan, Sir.</t>
  </si>
  <si>
    <t>Oxford [England] Clarendon Press, 1970.</t>
  </si>
  <si>
    <t>1970</t>
  </si>
  <si>
    <t>2018-07-18</t>
  </si>
  <si>
    <t>1309431:eng</t>
  </si>
  <si>
    <t>93330</t>
  </si>
  <si>
    <t>ocm00093330</t>
  </si>
  <si>
    <t>3103488209G</t>
  </si>
  <si>
    <t>791253546</t>
  </si>
  <si>
    <t>PG1224.7 G74 2004</t>
  </si>
  <si>
    <t>0                      PG 1224700G  74          2004</t>
  </si>
  <si>
    <t>Language and identity in the Balkans : Serbo-Croatian and its disintegration / Robert D. Greenberg.</t>
  </si>
  <si>
    <t>Greenberg, Robert D. (Robert David)</t>
  </si>
  <si>
    <t>Oxford ; New York : Oxford University Press, 2004.</t>
  </si>
  <si>
    <t>2004</t>
  </si>
  <si>
    <t>2017-03-02</t>
  </si>
  <si>
    <t>4916463251:eng</t>
  </si>
  <si>
    <t>53156200</t>
  </si>
  <si>
    <t>ocm53156200</t>
  </si>
  <si>
    <t>31025775527</t>
  </si>
  <si>
    <t>9780199258154</t>
  </si>
  <si>
    <t>793822661</t>
  </si>
  <si>
    <t>PG1231 M25 1986</t>
  </si>
  <si>
    <t>0                      PG 1231000M  25          1986</t>
  </si>
  <si>
    <t>Relativization in English and Serbo-Croatian / Dora Maček ; with pedagogical material by Mirjana Vilke ; edited by Rudolf Filipović.</t>
  </si>
  <si>
    <t>Maček, Dora.</t>
  </si>
  <si>
    <t>Zagreb : University of Zagreb, Faculty of Philosophy, Institute of Linguistics, 1986.</t>
  </si>
  <si>
    <t>1986</t>
  </si>
  <si>
    <t>New studies / Institute of Linguistics, Faculty of Philosophy, University of Zagreb ; v. 3</t>
  </si>
  <si>
    <t>8315095:eng</t>
  </si>
  <si>
    <t>14710495</t>
  </si>
  <si>
    <t>ocm14710495</t>
  </si>
  <si>
    <t>3100213631V</t>
  </si>
  <si>
    <t>792899751</t>
  </si>
  <si>
    <t>PG1231 M26 1991</t>
  </si>
  <si>
    <t>0                      PG 1231000M  26          1991</t>
  </si>
  <si>
    <t>Introduction to the Croatian and Serbian language / Thomas F. Magner.</t>
  </si>
  <si>
    <t>Magner, Thomas F.</t>
  </si>
  <si>
    <t>University Park : Pennsylvania State University Press, ©1991.</t>
  </si>
  <si>
    <t>Rev. ed.</t>
  </si>
  <si>
    <t>2018-09-13</t>
  </si>
  <si>
    <t>1408763:eng</t>
  </si>
  <si>
    <t>20091787</t>
  </si>
  <si>
    <t>ocm20091787</t>
  </si>
  <si>
    <t>3101941070H</t>
  </si>
  <si>
    <t>9780271006857</t>
  </si>
  <si>
    <t>793077171</t>
  </si>
  <si>
    <t>PG1232 V53 1975</t>
  </si>
  <si>
    <t>0                      PG 1232000V  53          1975</t>
  </si>
  <si>
    <t>Croatian grammar for upper level secondary schools in emigration = Hrvatska slovnica za više razrede pučkih škola u iseljeništvu / prepared by Božidar Vidov.</t>
  </si>
  <si>
    <t>Vidov, Božidar.</t>
  </si>
  <si>
    <t>Toronto : B. Vidov, 1975.</t>
  </si>
  <si>
    <t>1975</t>
  </si>
  <si>
    <t>2019-11-05</t>
  </si>
  <si>
    <t>6541881:eng</t>
  </si>
  <si>
    <t>2913843</t>
  </si>
  <si>
    <t>ocm02913843</t>
  </si>
  <si>
    <t>3101189483L</t>
  </si>
  <si>
    <t>792192769</t>
  </si>
  <si>
    <t>PG1235.5 J38 1972</t>
  </si>
  <si>
    <t>0                      PG 1235500J  38          1972</t>
  </si>
  <si>
    <t>Teach yourself Serbo-Croat / Vera Javarek and Miroslava Sudjić.</t>
  </si>
  <si>
    <t>Javarek, Vera.</t>
  </si>
  <si>
    <t>New York : D. McKay for English Universities Press, 1972.</t>
  </si>
  <si>
    <t>1972</t>
  </si>
  <si>
    <t>2d ed.</t>
  </si>
  <si>
    <t>Teach yourself books</t>
  </si>
  <si>
    <t>2017-11-28</t>
  </si>
  <si>
    <t>2191245:eng</t>
  </si>
  <si>
    <t>427908574</t>
  </si>
  <si>
    <t>ocn427908574</t>
  </si>
  <si>
    <t>3101187171D</t>
  </si>
  <si>
    <t>9780340165539</t>
  </si>
  <si>
    <t>794710222</t>
  </si>
  <si>
    <t>PG1237 K3</t>
  </si>
  <si>
    <t>0                      PG 1237000K  3</t>
  </si>
  <si>
    <t>Croatian reader, with vocabulary.</t>
  </si>
  <si>
    <t>Kadić, Ante, editor.</t>
  </si>
  <si>
    <t>s'-Gravenhage, Mouton, 1960.</t>
  </si>
  <si>
    <t>1960</t>
  </si>
  <si>
    <t>2017-05-16</t>
  </si>
  <si>
    <t>1863679:eng</t>
  </si>
  <si>
    <t>919735</t>
  </si>
  <si>
    <t>ocm00919735</t>
  </si>
  <si>
    <t>31032932096</t>
  </si>
  <si>
    <t>791502286</t>
  </si>
  <si>
    <t>PG1239 M3 1957</t>
  </si>
  <si>
    <t>0                      PG 1239000M  3           1957</t>
  </si>
  <si>
    <t>Srpskohrvatski jezik; udžbenik za početnike.</t>
  </si>
  <si>
    <t>Marković, Jelica.</t>
  </si>
  <si>
    <t>hrv</t>
  </si>
  <si>
    <t>6977275:hrv</t>
  </si>
  <si>
    <t>4346812</t>
  </si>
  <si>
    <t>ocm04346812</t>
  </si>
  <si>
    <t>3102999886O</t>
  </si>
  <si>
    <t>792342690</t>
  </si>
  <si>
    <t>PG1239.5 E5 H3 1986</t>
  </si>
  <si>
    <t>0                      PG 1239500E  5                  H  3           1986</t>
  </si>
  <si>
    <t>Colloquial Serbo-Croat / Celia Hawkesworth.</t>
  </si>
  <si>
    <t>Hawkesworth, Celia, 1942-</t>
  </si>
  <si>
    <t>London ; Boston : Routledge &amp; Kegan Paul, 1986.</t>
  </si>
  <si>
    <t>Colloquial series</t>
  </si>
  <si>
    <t>4504334:eng</t>
  </si>
  <si>
    <t>11970899</t>
  </si>
  <si>
    <t>ocm11970899</t>
  </si>
  <si>
    <t>31009657095</t>
  </si>
  <si>
    <t>9780710099204</t>
  </si>
  <si>
    <t>792795327</t>
  </si>
  <si>
    <t>PG1325 B76 1986</t>
  </si>
  <si>
    <t>0                      PG 1325000B  76          1986</t>
  </si>
  <si>
    <t>Relative clauses in Serbo-Croatian in comparison with English / Wayles Browne ; edited by Rudolf Filipović.</t>
  </si>
  <si>
    <t>Browne, Wayles.</t>
  </si>
  <si>
    <t>Zagreb : Faculty of Philosophy, University of Zagreb, 1986.</t>
  </si>
  <si>
    <t>New studies series / University of Zagreb. Institute of Linguistics ; v. 4</t>
  </si>
  <si>
    <t>923862:eng</t>
  </si>
  <si>
    <t>427344277</t>
  </si>
  <si>
    <t>ocn427344277</t>
  </si>
  <si>
    <t>3100877031V</t>
  </si>
  <si>
    <t>794612932</t>
  </si>
  <si>
    <t>PG1364 T8 S54</t>
  </si>
  <si>
    <t>0                      PG 1364000T  8                  S  54</t>
  </si>
  <si>
    <t>Turcizmi u srpskohrvatskom jeziku.</t>
  </si>
  <si>
    <t>Škaljić, Abdulah.</t>
  </si>
  <si>
    <t>Biblioteka "Kulturno nasljede"</t>
  </si>
  <si>
    <t>2017-10-03</t>
  </si>
  <si>
    <t>11343382:hrv</t>
  </si>
  <si>
    <t>7921233</t>
  </si>
  <si>
    <t>ocm07921233</t>
  </si>
  <si>
    <t>3000613711F</t>
  </si>
  <si>
    <t>792586795</t>
  </si>
  <si>
    <t>PG1376 B38</t>
  </si>
  <si>
    <t>0                      PG 1376000B  38</t>
  </si>
  <si>
    <t>An English-Serbocroatian dictionary / Morton Benson.</t>
  </si>
  <si>
    <t>Benson, Morton.</t>
  </si>
  <si>
    <t>[Philadelphia] : University of Pennsylvania Press, 1979.</t>
  </si>
  <si>
    <t>1978</t>
  </si>
  <si>
    <t>2016-04-12</t>
  </si>
  <si>
    <t>3855324191:eng</t>
  </si>
  <si>
    <t>4490734</t>
  </si>
  <si>
    <t>ocm04490734</t>
  </si>
  <si>
    <t>31022277597</t>
  </si>
  <si>
    <t>9780812277647</t>
  </si>
  <si>
    <t>792354183</t>
  </si>
  <si>
    <t>PG1376 B4</t>
  </si>
  <si>
    <t>0                      PG 1376000B  4</t>
  </si>
  <si>
    <t>SerboCroatian-English dictionary = Srpskohrvatsko-engleski rečnik / Morton Benson ; with the collaboration of Biljana Šljivić-Šimšić.</t>
  </si>
  <si>
    <t>[Philadelphia] : University of Pennsylvania Press ; Beograd : Prosveta, 1971.</t>
  </si>
  <si>
    <t>1971</t>
  </si>
  <si>
    <t>258533</t>
  </si>
  <si>
    <t>ocm00258533</t>
  </si>
  <si>
    <t>3100579900H</t>
  </si>
  <si>
    <t>9780812276367</t>
  </si>
  <si>
    <t>791312803</t>
  </si>
  <si>
    <t>PG1377 B72 1952</t>
  </si>
  <si>
    <t>0                      PG 1377000B  72          1952</t>
  </si>
  <si>
    <t>New English-Croatian and Croatian-English dictionary. 3d ed., enl. and corr., with an appendix comprising a short grammar of the English language, foreign words and phrases, Christian names, and other information.</t>
  </si>
  <si>
    <t>Bogadek, F. A. (Francis Aloysius), 1882-1951.</t>
  </si>
  <si>
    <t>New York : [publisher not identified], 1952.</t>
  </si>
  <si>
    <t>1952</t>
  </si>
  <si>
    <t>3d ed., enl. and corr.</t>
  </si>
  <si>
    <t>2018-02-20</t>
  </si>
  <si>
    <t>5577796708:eng</t>
  </si>
  <si>
    <t>61603414</t>
  </si>
  <si>
    <t>ocm61603414</t>
  </si>
  <si>
    <t>30007365386</t>
  </si>
  <si>
    <t>794042027</t>
  </si>
  <si>
    <t>PG1377 L45 1979</t>
  </si>
  <si>
    <t>0                      PG 1377000L  45          1979</t>
  </si>
  <si>
    <t>Leksikon društveno-političke i samoupravne terminologije : srpskohrvatski--engleski / sastavio Novak Strugar.</t>
  </si>
  <si>
    <t>Beograd : Aktuelna pitanja socijalizma, 1979.</t>
  </si>
  <si>
    <t>1979</t>
  </si>
  <si>
    <t>Biblioteka aktuelna pitanja socijalizma</t>
  </si>
  <si>
    <t>2017-10-22</t>
  </si>
  <si>
    <t>61527157:hrv</t>
  </si>
  <si>
    <t>23572528</t>
  </si>
  <si>
    <t>ocm23572528</t>
  </si>
  <si>
    <t>3101810770J</t>
  </si>
  <si>
    <t>793176663</t>
  </si>
  <si>
    <t>PG1377 P88 1995</t>
  </si>
  <si>
    <t>0                      PG 1377000P  88          1995</t>
  </si>
  <si>
    <t>Francusko-hrvatski rječnik = Dictionnaire français-croate / Valentin Putanec.</t>
  </si>
  <si>
    <t>Putanec, Valentin.</t>
  </si>
  <si>
    <t>Zagreb : Školska knjiga, 1995.</t>
  </si>
  <si>
    <t>7. izd.</t>
  </si>
  <si>
    <t>350496794:hrv</t>
  </si>
  <si>
    <t>35194801</t>
  </si>
  <si>
    <t>ocm35194801</t>
  </si>
  <si>
    <t>3101947856N</t>
  </si>
  <si>
    <t>9789530404021</t>
  </si>
  <si>
    <t>793446545</t>
  </si>
  <si>
    <t>PG1408.2 N37 M55 2010</t>
  </si>
  <si>
    <t>0                      PG 1408200N  37                 M  55          2010</t>
  </si>
  <si>
    <t>What is the west : nationalism, cosmopolitanism and the west in early twentieth-century Serbian culture / Zoran Milutinović.</t>
  </si>
  <si>
    <t>Milutinović, Zoran, 1962-</t>
  </si>
  <si>
    <t>Pittsburgh, Pa : Center for Russian and East European Studies, University Center for International Studies, University of Pittsburgh, 2010.</t>
  </si>
  <si>
    <t>The Carl Beck papers in Russian &amp; East European studies, 0889-275X ; no. 2007</t>
  </si>
  <si>
    <t>1090033901:eng</t>
  </si>
  <si>
    <t>679520810</t>
  </si>
  <si>
    <t>ocn679520810</t>
  </si>
  <si>
    <t>3103213780F</t>
  </si>
  <si>
    <t>794850641</t>
  </si>
  <si>
    <t>PG1410 D6</t>
  </si>
  <si>
    <t>0                      PG 1410000D  6</t>
  </si>
  <si>
    <t>Beleške o našoj narodnoj poeziji.</t>
  </si>
  <si>
    <t>Đorđević, Tihomir R.</t>
  </si>
  <si>
    <t>Beograd [Državna štamparija] 1939.</t>
  </si>
  <si>
    <t>1939</t>
  </si>
  <si>
    <t>2017-09-17</t>
  </si>
  <si>
    <t>3354013:srp</t>
  </si>
  <si>
    <t>10989673</t>
  </si>
  <si>
    <t>ocm10989673</t>
  </si>
  <si>
    <t>30006181172</t>
  </si>
  <si>
    <t>792752831</t>
  </si>
  <si>
    <t>PG1413 R3</t>
  </si>
  <si>
    <t>0                      PG 1413000R  3</t>
  </si>
  <si>
    <t>Antologija stare srpske književnosti, XI-XVIII veka.</t>
  </si>
  <si>
    <t>Radojičić, Đorđe Sp, d. and tr.</t>
  </si>
  <si>
    <t>Biblioteka Antologija jugoslovenske književnosti</t>
  </si>
  <si>
    <t>317847405:srp</t>
  </si>
  <si>
    <t>3953431</t>
  </si>
  <si>
    <t>ocm03953431</t>
  </si>
  <si>
    <t>30006137181</t>
  </si>
  <si>
    <t>792307973</t>
  </si>
  <si>
    <t>PG1414 A6 Z725 1995</t>
  </si>
  <si>
    <t>0                      PG 1414000A  6                  Z  725         1995</t>
  </si>
  <si>
    <t>Ivo Andrić revisited : the bridge still stands / Wayne S. Vucinich, editor.</t>
  </si>
  <si>
    <t>[Berkeley, California] : International and Area Studies, University of California at Berkeley, [1995]</t>
  </si>
  <si>
    <t>Research series ; number 92</t>
  </si>
  <si>
    <t>2019-03-25</t>
  </si>
  <si>
    <t>37457631:eng</t>
  </si>
  <si>
    <t>33013637</t>
  </si>
  <si>
    <t>ocm33013637</t>
  </si>
  <si>
    <t>3101570542H</t>
  </si>
  <si>
    <t>9780877251927</t>
  </si>
  <si>
    <t>793399779</t>
  </si>
  <si>
    <t>PG1417 B6 N28</t>
  </si>
  <si>
    <t>0                      PG 1417000B  6                  N  28</t>
  </si>
  <si>
    <t>Junačke narodne pjesme bosanskohercegovačkih muslimana / Sabrao &lt;[i] "Uz ove pjesme" [napisao]&gt; Alija Nametak.</t>
  </si>
  <si>
    <t>Sarajevo, Izdavač, Alija Nametak, Kozaračka 56, 1967.</t>
  </si>
  <si>
    <t>1967</t>
  </si>
  <si>
    <t>2015-10-17</t>
  </si>
  <si>
    <t>3857622691:hrv</t>
  </si>
  <si>
    <t>44664399</t>
  </si>
  <si>
    <t>ocm44664399</t>
  </si>
  <si>
    <t>3100234052U</t>
  </si>
  <si>
    <t>793655346</t>
  </si>
  <si>
    <t>PG1417 B6 N3</t>
  </si>
  <si>
    <t>0                      PG 1417000B  6                  N  3</t>
  </si>
  <si>
    <t>Narodne, pjesme muslimana u Bosni i Hercegovini. Iz rukopisne ostavštine Koste Hörmanna. Redakcija, uvod i komentari Đenana Buturović. &lt;Odgovorni urednik: Vlajko Palavestra&gt;.</t>
  </si>
  <si>
    <t>Sarajevo, &lt;Zemaljski muzej Bosne i Hercegovine&gt;, 1966.</t>
  </si>
  <si>
    <t>4095479559:hrv</t>
  </si>
  <si>
    <t>16504241</t>
  </si>
  <si>
    <t>ocm16504241</t>
  </si>
  <si>
    <t>3000618121B</t>
  </si>
  <si>
    <t>792964131</t>
  </si>
  <si>
    <t>PG1417 B6 O7</t>
  </si>
  <si>
    <t>0                      PG 1417000B  6                  O  7</t>
  </si>
  <si>
    <t>Sevdalinke; balade i romanse Bosne i Hercegovine. Prikupio, izbor i red. izvršio Sait Orahovac.</t>
  </si>
  <si>
    <t>Orahovac, Sait, editor.</t>
  </si>
  <si>
    <t>Sarajevo Svjetlost izdav. preduzeće, 1968.</t>
  </si>
  <si>
    <t>1968</t>
  </si>
  <si>
    <t>Ser. Biblioteka kult. nasledje</t>
  </si>
  <si>
    <t>2017-06-05</t>
  </si>
  <si>
    <t>34060746:hrv</t>
  </si>
  <si>
    <t>7165487</t>
  </si>
  <si>
    <t>ocm07165487</t>
  </si>
  <si>
    <t>3103741330F</t>
  </si>
  <si>
    <t>792543054</t>
  </si>
  <si>
    <t>PG1418 A6 A24 1968</t>
  </si>
  <si>
    <t>0                      PG 1418000A  6                  A  24          1968</t>
  </si>
  <si>
    <t>The Pasha's concubine and other tales / Ivo Andrić ; translated from the Serbo-Croatian by Joseph Hitrec.</t>
  </si>
  <si>
    <t>Andrić, Ivo, 1892-1975, author.</t>
  </si>
  <si>
    <t>New York : Alfred A. Knopf, [1968]</t>
  </si>
  <si>
    <t>First American edition</t>
  </si>
  <si>
    <t>2018-12-03</t>
  </si>
  <si>
    <t>196542183:eng</t>
  </si>
  <si>
    <t>712278</t>
  </si>
  <si>
    <t>ocm00712278</t>
  </si>
  <si>
    <t>30001940474</t>
  </si>
  <si>
    <t>791452963</t>
  </si>
  <si>
    <t>3102757779W</t>
  </si>
  <si>
    <t>791452964</t>
  </si>
  <si>
    <t>PG1418 A6 A25x</t>
  </si>
  <si>
    <t>0                      PG 1418000A  6                  A  25x</t>
  </si>
  <si>
    <t>S.Y. Agnon [and] Ivo Andrić.</t>
  </si>
  <si>
    <t>New York, A Gregory [1971]</t>
  </si>
  <si>
    <t>Nobel Prize library</t>
  </si>
  <si>
    <t>5164567015:eng</t>
  </si>
  <si>
    <t>207412</t>
  </si>
  <si>
    <t>ocm00207412</t>
  </si>
  <si>
    <t>3000613721C</t>
  </si>
  <si>
    <t>791293795</t>
  </si>
  <si>
    <t>PG1418 A6 A28x 1970</t>
  </si>
  <si>
    <t>0                      PG 1418000A  6                  A  28x         1970</t>
  </si>
  <si>
    <t>The vizier's elephant; three novellas. Translated from the Serbo-Croat by Drenka Willen.</t>
  </si>
  <si>
    <t>Andrić, Ivo, 1892-1975.</t>
  </si>
  <si>
    <t>Chicago, Regnery [1970, ©1962]</t>
  </si>
  <si>
    <t>[1st ed.].</t>
  </si>
  <si>
    <t>A Gateway edition, 6142</t>
  </si>
  <si>
    <t>2020-01-15</t>
  </si>
  <si>
    <t>1737436:eng</t>
  </si>
  <si>
    <t>7531298</t>
  </si>
  <si>
    <t>ocm07531298</t>
  </si>
  <si>
    <t>3000618428M</t>
  </si>
  <si>
    <t>792563785</t>
  </si>
  <si>
    <t>PG1418 A6 A6 1992</t>
  </si>
  <si>
    <t>0                      PG 1418000A  6                  A  6           1992</t>
  </si>
  <si>
    <t>Conversation with Goya ; Bridges ; Signs / Ivo Andrić ; translated by Celia Hawkesworth and Andrew Harvey.</t>
  </si>
  <si>
    <t>London : Menard Press with the School of Slavonic and East European Studies, University of London ; Berkeley, CA, USA : Distribution in North America by SPD, 1992.</t>
  </si>
  <si>
    <t>2015-02-05</t>
  </si>
  <si>
    <t>31901784:eng</t>
  </si>
  <si>
    <t>30322572</t>
  </si>
  <si>
    <t>ocm30322572</t>
  </si>
  <si>
    <t>3101455791R</t>
  </si>
  <si>
    <t>9780903400770</t>
  </si>
  <si>
    <t>793332548</t>
  </si>
  <si>
    <t>PG1418 A6 D313 1992</t>
  </si>
  <si>
    <t>0                      PG 1418000A  6                  D  313         1992</t>
  </si>
  <si>
    <t>The damned yard and other stories / Ivo Andrić ; edited by Celia Hawkesworth.</t>
  </si>
  <si>
    <t>London ; Boston : Forest Books ; Belgrade : Dereta, 1992.</t>
  </si>
  <si>
    <t>2017-08-21</t>
  </si>
  <si>
    <t>2890869078:eng</t>
  </si>
  <si>
    <t>27409529</t>
  </si>
  <si>
    <t>ocm27409529</t>
  </si>
  <si>
    <t>3103007772I</t>
  </si>
  <si>
    <t>9781856100229</t>
  </si>
  <si>
    <t>793265846</t>
  </si>
  <si>
    <t>PG1418 A6 N3</t>
  </si>
  <si>
    <t>0                      PG 1418000A  6                  N  3</t>
  </si>
  <si>
    <t>The bridge on the Drina / Ivo Andrić ; translated from the Serbo-Croat by Lovett F. Edwards.</t>
  </si>
  <si>
    <t>New York : The Macmillan Company, 1959.</t>
  </si>
  <si>
    <t>1959</t>
  </si>
  <si>
    <t>2019-01-28</t>
  </si>
  <si>
    <t>10115223438:eng</t>
  </si>
  <si>
    <t>322670</t>
  </si>
  <si>
    <t>ocm00322670</t>
  </si>
  <si>
    <t>30007966618</t>
  </si>
  <si>
    <t>9780226020457</t>
  </si>
  <si>
    <t>791336658</t>
  </si>
  <si>
    <t>- Reserves and A/V Room - Reserve Collection - 24 Hour Loan</t>
  </si>
  <si>
    <t>PG1418 A6 N313 1995</t>
  </si>
  <si>
    <t>0                      PG 1418000A  6                  N  313         1995</t>
  </si>
  <si>
    <t>The bridge over the Drina / Ivo Andrić ; translated from the Serbo-Croat by Lovett F. Edwards ; with an introduction by William H. McNeill.</t>
  </si>
  <si>
    <t>London : Harvill, 1994.</t>
  </si>
  <si>
    <t>1994</t>
  </si>
  <si>
    <t>2019-04-15</t>
  </si>
  <si>
    <t>9349778879:eng</t>
  </si>
  <si>
    <t>30155986</t>
  </si>
  <si>
    <t>ocm30155986</t>
  </si>
  <si>
    <t>31032247994</t>
  </si>
  <si>
    <t>9780002730006</t>
  </si>
  <si>
    <t>793331042</t>
  </si>
  <si>
    <t>PG1418 A6 N33x</t>
  </si>
  <si>
    <t>0                      PG 1418000A  6                  N  33x</t>
  </si>
  <si>
    <t>The bridge on the Drina / Ivo Andrić ; translated from the Serbo-Croat by Lovett F. Edwards ; with an afterword by John Simon.</t>
  </si>
  <si>
    <t>New York : New American Library, [1967]</t>
  </si>
  <si>
    <t>1st Signet classic ed.</t>
  </si>
  <si>
    <t>A Signet classic</t>
  </si>
  <si>
    <t>2019-03-15</t>
  </si>
  <si>
    <t>3850913</t>
  </si>
  <si>
    <t>ocm03850913</t>
  </si>
  <si>
    <t>3000613722A</t>
  </si>
  <si>
    <t>792298607</t>
  </si>
  <si>
    <t>PG1418 A6 P763</t>
  </si>
  <si>
    <t>0                      PG 1418000A  6                  P  763</t>
  </si>
  <si>
    <t>Devil's yard / Ivo Andrić; translated by Kenneth Johnstone.</t>
  </si>
  <si>
    <t>New York: Grove Press, [1962].</t>
  </si>
  <si>
    <t>1962</t>
  </si>
  <si>
    <t>2019-08-29</t>
  </si>
  <si>
    <t>501338:eng</t>
  </si>
  <si>
    <t>282332</t>
  </si>
  <si>
    <t>ocm00282332</t>
  </si>
  <si>
    <t>3000618431X</t>
  </si>
  <si>
    <t>791322664</t>
  </si>
  <si>
    <t>PG1418 A6 T7</t>
  </si>
  <si>
    <t>0                      PG 1418000A  6                  T  7</t>
  </si>
  <si>
    <t>Travnička hronika : konsulka vremena / Ivo Andrić.</t>
  </si>
  <si>
    <t>Zagreb : Mladost, 1962.</t>
  </si>
  <si>
    <t>Suvremeni pisci</t>
  </si>
  <si>
    <t>5481418826:hrv</t>
  </si>
  <si>
    <t>18997102</t>
  </si>
  <si>
    <t>ocm18997102</t>
  </si>
  <si>
    <t>3102914426Y</t>
  </si>
  <si>
    <t>793044054</t>
  </si>
  <si>
    <t>PG1418 A6 T713 1996</t>
  </si>
  <si>
    <t>0                      PG 1418000A  6                  T  713         1996</t>
  </si>
  <si>
    <t>Bosnian chronicle, or, The days of the consuls / Ivo Andrić ; translated from the Serbo-Croat by Celia Hawkesworth in collaboration with Bogdan Rakić.</t>
  </si>
  <si>
    <t>London : Harvill Press, 1996.</t>
  </si>
  <si>
    <t>387762:eng</t>
  </si>
  <si>
    <t>35581116</t>
  </si>
  <si>
    <t>ocm35581116</t>
  </si>
  <si>
    <t>3101802779Y</t>
  </si>
  <si>
    <t>9781860461217</t>
  </si>
  <si>
    <t>793452655</t>
  </si>
  <si>
    <t>PG1418 A6 T73 1992</t>
  </si>
  <si>
    <t>0                      PG 1418000A  6                  T  73          1992</t>
  </si>
  <si>
    <t>The days of the consuls / Ivo Andrić ; translated by Celia Hawkesworth in collaboration with Bogdan Rakić.</t>
  </si>
  <si>
    <t>London ; Boston : Forest Books, ©1992.</t>
  </si>
  <si>
    <t>27433010</t>
  </si>
  <si>
    <t>ocm27433010</t>
  </si>
  <si>
    <t>3101213454J</t>
  </si>
  <si>
    <t>9781856100243</t>
  </si>
  <si>
    <t>793266682</t>
  </si>
  <si>
    <t>PG1418 A6 Z48 1984</t>
  </si>
  <si>
    <t>0                      PG 1418000A  6                  Z  48          1984</t>
  </si>
  <si>
    <t>Letters / translated, edited and with an introduction by Želimir B. Juričić.</t>
  </si>
  <si>
    <t>Toronto : Serbian Heritage Academy, 1984.</t>
  </si>
  <si>
    <t>293171083:eng</t>
  </si>
  <si>
    <t>12072260</t>
  </si>
  <si>
    <t>ocm12072260</t>
  </si>
  <si>
    <t>31001781885</t>
  </si>
  <si>
    <t>9780920069011</t>
  </si>
  <si>
    <t>792799750</t>
  </si>
  <si>
    <t>PG1418 O18 1850</t>
  </si>
  <si>
    <t>0                      PG 1418000O  18          1850</t>
  </si>
  <si>
    <t>Ci︠e︡lokupna di︠e︡la Dositea Obradovića.</t>
  </si>
  <si>
    <t>V. 1</t>
  </si>
  <si>
    <t>Obradović, Dositej, 1739-1811.</t>
  </si>
  <si>
    <t>U Zemunu : Nar. knjigopečatni︠a︡ Dan. Medakovića, 1850.</t>
  </si>
  <si>
    <t>1850</t>
  </si>
  <si>
    <t>2015-10-20</t>
  </si>
  <si>
    <t>5456728:srp</t>
  </si>
  <si>
    <t>13007968</t>
  </si>
  <si>
    <t>ocm13007968</t>
  </si>
  <si>
    <t>3102914490K</t>
  </si>
  <si>
    <t>792837051</t>
  </si>
  <si>
    <t>V. 6</t>
  </si>
  <si>
    <t>3102914496K</t>
  </si>
  <si>
    <t>792837050</t>
  </si>
  <si>
    <t>PG1418 S3 A25 1997</t>
  </si>
  <si>
    <t>0                      PG 1418000S  3                  A  25          1997</t>
  </si>
  <si>
    <t>Tales of old Sarajevo / Isak Samokovlija ; with an introduction by Ivo Andrić ; edited by Zdenko Lešić ; translated by Celia Hawkesworth and Christina Pribićević-Zorić.</t>
  </si>
  <si>
    <t>Samokovlija, Isak.</t>
  </si>
  <si>
    <t>London ; Portland, Ore. : Vallentine Mitchell, 1997.</t>
  </si>
  <si>
    <t>1997</t>
  </si>
  <si>
    <t>2015-12-23</t>
  </si>
  <si>
    <t>234307997:eng</t>
  </si>
  <si>
    <t>37011254</t>
  </si>
  <si>
    <t>ocm37011254</t>
  </si>
  <si>
    <t>3102914479O</t>
  </si>
  <si>
    <t>9780853033325</t>
  </si>
  <si>
    <t>793489839</t>
  </si>
  <si>
    <t>PG1419.12 A79 K5613 2004</t>
  </si>
  <si>
    <t>0                      PG 1419120A  79                 K  5613        2004</t>
  </si>
  <si>
    <t>Chinese letter : [a novel] / Svetislav Basara ; translation by Ana Lučić.</t>
  </si>
  <si>
    <t>Basara, Svetislav, 1953-</t>
  </si>
  <si>
    <t>Normal, Ill. : Dalkey Archive Press, 2004.</t>
  </si>
  <si>
    <t>1st English ed.</t>
  </si>
  <si>
    <t>Eastern European literature series</t>
  </si>
  <si>
    <t>2016-10-20</t>
  </si>
  <si>
    <t>1050246:eng</t>
  </si>
  <si>
    <t>55625557</t>
  </si>
  <si>
    <t>ocm55625557</t>
  </si>
  <si>
    <t>3102914492K</t>
  </si>
  <si>
    <t>9781564783745</t>
  </si>
  <si>
    <t>793879730</t>
  </si>
  <si>
    <t>PG1419.21 I8 E513 1989</t>
  </si>
  <si>
    <t>0                      PG 1419210I  8                  E  513         1989</t>
  </si>
  <si>
    <t>The encyclopedia of the dead / Danilo Kiš ; translated by Michael Henry Heim.</t>
  </si>
  <si>
    <t>Kiš, Danilo, 1935-1989.</t>
  </si>
  <si>
    <t>New York : Farrar Straus Giroux, 1989.</t>
  </si>
  <si>
    <t>2020-01-09</t>
  </si>
  <si>
    <t>114361393:eng</t>
  </si>
  <si>
    <t>18715784</t>
  </si>
  <si>
    <t>ocm18715784</t>
  </si>
  <si>
    <t>3102718724L</t>
  </si>
  <si>
    <t>9780374148263</t>
  </si>
  <si>
    <t>793035228</t>
  </si>
  <si>
    <t>PG1419.21 I8 G713 1978</t>
  </si>
  <si>
    <t>0                      PG 1419210I  8                  G  713         1978</t>
  </si>
  <si>
    <t>A tomb for Boris Davidovich : a novel / by Danilo Kiš ; translated by Duška Mikić-Mitchell.</t>
  </si>
  <si>
    <t>New York : Harcourt Brace Jovanovich, [1978]</t>
  </si>
  <si>
    <t>2018-08-31</t>
  </si>
  <si>
    <t>4494903360:eng</t>
  </si>
  <si>
    <t>3327596</t>
  </si>
  <si>
    <t>ocm03327596</t>
  </si>
  <si>
    <t>3102914473O</t>
  </si>
  <si>
    <t>9780151904860</t>
  </si>
  <si>
    <t>792242864</t>
  </si>
  <si>
    <t>PG1419.21 I8 H66 1995</t>
  </si>
  <si>
    <t>0                      PG 1419210I  8                  H  66          1995</t>
  </si>
  <si>
    <t>Homo poeticus : essays and interviews / Danilo Kiš ; edited, and with an introduction by Susan Sontag.</t>
  </si>
  <si>
    <t>New York : Farrar, Straus, Giroux, ©1995.</t>
  </si>
  <si>
    <t>2016-10-13</t>
  </si>
  <si>
    <t>3943689470:eng</t>
  </si>
  <si>
    <t>31075113</t>
  </si>
  <si>
    <t>ocm31075113</t>
  </si>
  <si>
    <t>3102779766G</t>
  </si>
  <si>
    <t>9780374257910</t>
  </si>
  <si>
    <t>793352776</t>
  </si>
  <si>
    <t>PG1419.21 I8 L3813 2012</t>
  </si>
  <si>
    <t>0                      PG 1419210I  8                  L  3813        2012</t>
  </si>
  <si>
    <t>The lute and the scars / Danilo Kiš ; preface by Adam Thirlwell ; translated and with an introduction by John K. Cox.</t>
  </si>
  <si>
    <t>Champaign, Ill. : Dalkey Archive Press, 2012.</t>
  </si>
  <si>
    <t>2016-11-18</t>
  </si>
  <si>
    <t>2909616546:eng</t>
  </si>
  <si>
    <t>767564365</t>
  </si>
  <si>
    <t>ocn767564365</t>
  </si>
  <si>
    <t>3103414261I</t>
  </si>
  <si>
    <t>9781564787354</t>
  </si>
  <si>
    <t>794901071</t>
  </si>
  <si>
    <t>PG1419.21 I8 M313 2012</t>
  </si>
  <si>
    <t>0                      PG 1419210I  8                  M  313         2012</t>
  </si>
  <si>
    <t>The attic / Danilo Kiš ; translated and with an introduction by John K. Cox.</t>
  </si>
  <si>
    <t>2909445927:eng</t>
  </si>
  <si>
    <t>767564355</t>
  </si>
  <si>
    <t>ocn767564355</t>
  </si>
  <si>
    <t>3103456933C</t>
  </si>
  <si>
    <t>9781564787347</t>
  </si>
  <si>
    <t>794901066</t>
  </si>
  <si>
    <t>PG1419.21 I8 P413 1990</t>
  </si>
  <si>
    <t>0                      PG 1419210I  8                  P  413         1990</t>
  </si>
  <si>
    <t>Hourglass / Danilo Kiš ; translated from the Serbo-Croatian by Ralph Manheim.</t>
  </si>
  <si>
    <t>New York : Farrar Straus Giroux, 1990.</t>
  </si>
  <si>
    <t>2019-01-31</t>
  </si>
  <si>
    <t>117205022:eng</t>
  </si>
  <si>
    <t>21563440</t>
  </si>
  <si>
    <t>ocm21563440</t>
  </si>
  <si>
    <t>3102914475O</t>
  </si>
  <si>
    <t>9780374172879</t>
  </si>
  <si>
    <t>793122901</t>
  </si>
  <si>
    <t>PG1419.21 I8 P7713 2012</t>
  </si>
  <si>
    <t>0                      PG 1419210I  8                  P  7713        2012</t>
  </si>
  <si>
    <t>Psalm 44 / Danilo Kiš ; preface by Aleksandar Hemon ; translated and with an afterword by John K. Cox.</t>
  </si>
  <si>
    <t>2016-11-27</t>
  </si>
  <si>
    <t>117205070:eng</t>
  </si>
  <si>
    <t>767564404</t>
  </si>
  <si>
    <t>ocn767564404</t>
  </si>
  <si>
    <t>3103414269I</t>
  </si>
  <si>
    <t>9781564787620</t>
  </si>
  <si>
    <t>794901080</t>
  </si>
  <si>
    <t>PG1419.21 I8 Z896 2013</t>
  </si>
  <si>
    <t>0                      PG 1419210I  8                  Z  896         2013</t>
  </si>
  <si>
    <t>Birth certificate : the story of Danilo Kiš / Mark Thompson.</t>
  </si>
  <si>
    <t>Thompson, Mark, 1959-</t>
  </si>
  <si>
    <t>Ithaca : Cornell University Press, 2013.</t>
  </si>
  <si>
    <t>1262030450:eng</t>
  </si>
  <si>
    <t>799253446</t>
  </si>
  <si>
    <t>ocn799253446</t>
  </si>
  <si>
    <t>31034541681</t>
  </si>
  <si>
    <t>9780801448881</t>
  </si>
  <si>
    <t>794924310</t>
  </si>
  <si>
    <t>PG1419.22 A939 W3 2003</t>
  </si>
  <si>
    <t>0                      PG 1419220A  939                W  3           2003</t>
  </si>
  <si>
    <t>A wake for the living / Radmila Lazić ; translated from the Serbian by Charles Simic.</t>
  </si>
  <si>
    <t>Lazić, Radmila, 1949-</t>
  </si>
  <si>
    <t>Saint Paul, Minn. : Graywolf, 2003.</t>
  </si>
  <si>
    <t>2003</t>
  </si>
  <si>
    <t>Bilingual ed.</t>
  </si>
  <si>
    <t>A Lannan translation selection</t>
  </si>
  <si>
    <t>2019-02-08</t>
  </si>
  <si>
    <t>375314034:eng</t>
  </si>
  <si>
    <t>52919220</t>
  </si>
  <si>
    <t>ocm52919220</t>
  </si>
  <si>
    <t>3102914476O</t>
  </si>
  <si>
    <t>9781555973902</t>
  </si>
  <si>
    <t>793817200</t>
  </si>
  <si>
    <t>PG1419.23 E37 S2713 1998</t>
  </si>
  <si>
    <t>0                      PG 1419230E  37                 S  2713        1998</t>
  </si>
  <si>
    <t>Sarajevo blues / Semezdin Mehmedinović ; translated from the Bosnian and with an introduction by Ammiel Alcalay.</t>
  </si>
  <si>
    <t>Mehmedinović, Semezdin, 1960-</t>
  </si>
  <si>
    <t>San Francisco, Calif. : City Lights Books, 1998.</t>
  </si>
  <si>
    <t>2017-01-17</t>
  </si>
  <si>
    <t>16202592:eng</t>
  </si>
  <si>
    <t>39505582</t>
  </si>
  <si>
    <t>ocm39505582</t>
  </si>
  <si>
    <t>3102917377F</t>
  </si>
  <si>
    <t>9780872863453</t>
  </si>
  <si>
    <t>793547272</t>
  </si>
  <si>
    <t>PG1419.26 A78 H313 1988</t>
  </si>
  <si>
    <t>0                      PG 1419260A  78                 H  313         1988</t>
  </si>
  <si>
    <t>Dictionary of the Khazars : a lexicon novel in 100,000 words / Milorad Pavić ; translated from the Serbo-Croatian by Christina Pribićević-Zorić.</t>
  </si>
  <si>
    <t>Pavić, Milorad.</t>
  </si>
  <si>
    <t>New York : Knopf : Distributed by Random House, 1988.</t>
  </si>
  <si>
    <t>1st American ed., Male ed.</t>
  </si>
  <si>
    <t>3855431083:eng</t>
  </si>
  <si>
    <t>18190882</t>
  </si>
  <si>
    <t>ocm18190882</t>
  </si>
  <si>
    <t>3103301023I</t>
  </si>
  <si>
    <t>9780394571836</t>
  </si>
  <si>
    <t>793017064</t>
  </si>
  <si>
    <t>PG1419.26 A78 H313 1989b</t>
  </si>
  <si>
    <t>0                      PG 1419260A  78                 H  313         1989b</t>
  </si>
  <si>
    <t>New York : Knopf, 1989.</t>
  </si>
  <si>
    <t>1st American ed., female ed.</t>
  </si>
  <si>
    <t>2019-02-07</t>
  </si>
  <si>
    <t>427544657</t>
  </si>
  <si>
    <t>ocn427544657</t>
  </si>
  <si>
    <t>3102785157A</t>
  </si>
  <si>
    <t>9780394572369</t>
  </si>
  <si>
    <t>794681707</t>
  </si>
  <si>
    <t>PG1419.26 E5 K313 2005</t>
  </si>
  <si>
    <t>0                      PG 1419260E  5                  K  313         2005</t>
  </si>
  <si>
    <t>How to quiet a vampire : a sotie / Borislav Pekić ; translated from the Serbian by Stephen M. Dickey and Bogdan Rakić.</t>
  </si>
  <si>
    <t>Pekić, Borislav, 1930-1992.</t>
  </si>
  <si>
    <t>Evanston, Ill. : Northwestern Univ. Press, 2005.</t>
  </si>
  <si>
    <t>365859444:eng</t>
  </si>
  <si>
    <t>51647561</t>
  </si>
  <si>
    <t>ocm51647561</t>
  </si>
  <si>
    <t>3102504666C</t>
  </si>
  <si>
    <t>9780810117198</t>
  </si>
  <si>
    <t>793788601</t>
  </si>
  <si>
    <t>PG1419.26 E5 O313 2012</t>
  </si>
  <si>
    <t>0                      PG 1419260E  5                  O  313         2012</t>
  </si>
  <si>
    <t>The apology and the last days : a novel / Borislav Pekić ; translated from the Serbian by Bojan Mišić.</t>
  </si>
  <si>
    <t>Evanston, Ill. : Northwestern University Press, 2012.</t>
  </si>
  <si>
    <t>1128143342:eng</t>
  </si>
  <si>
    <t>749855427</t>
  </si>
  <si>
    <t>ocn749855427</t>
  </si>
  <si>
    <t>3103669060A</t>
  </si>
  <si>
    <t>9780810128231</t>
  </si>
  <si>
    <t>794889917</t>
  </si>
  <si>
    <t>PG1419.26 O48 A26</t>
  </si>
  <si>
    <t>0                      PG 1419260O  48                 A  26</t>
  </si>
  <si>
    <t>Selected poems / Vasko Popa ; translated by Anne Pennington, with an introduction by Ted Hughes.</t>
  </si>
  <si>
    <t>Popa, Vasko.</t>
  </si>
  <si>
    <t>Harmondsworth : Penguin Books, 1969.</t>
  </si>
  <si>
    <t>1969</t>
  </si>
  <si>
    <t>Penguin modern European poets D114</t>
  </si>
  <si>
    <t>2018-06-14</t>
  </si>
  <si>
    <t>4922108033:eng</t>
  </si>
  <si>
    <t>25360</t>
  </si>
  <si>
    <t>ocm00025360</t>
  </si>
  <si>
    <t>3102914544R</t>
  </si>
  <si>
    <t>791232490</t>
  </si>
  <si>
    <t>PG1419.29 E43 D413 1996</t>
  </si>
  <si>
    <t>0                      PG 1419290E  43                 D  413         1996</t>
  </si>
  <si>
    <t>Death and the dervish / Meša Selimović ; translated by Bogdan Rakić and Stephen M. Dickey ; introduction by Henry R. Cooper, Jr.</t>
  </si>
  <si>
    <t>Selimović, Meša.</t>
  </si>
  <si>
    <t>Evanston, Ill. : Northwestern University Press, ©1996.</t>
  </si>
  <si>
    <t>2015-03-17</t>
  </si>
  <si>
    <t>4917803168:eng</t>
  </si>
  <si>
    <t>34590962</t>
  </si>
  <si>
    <t>ocm34590962</t>
  </si>
  <si>
    <t>3103586385$</t>
  </si>
  <si>
    <t>9780810112964</t>
  </si>
  <si>
    <t>793430655</t>
  </si>
  <si>
    <t>PG1419.29 E43 T913 1999</t>
  </si>
  <si>
    <t>0                      PG 1419290E  43                 T  913         1999</t>
  </si>
  <si>
    <t>The fortress / Meša Selimović ; translated from the Serbo-Croatian by E.D. Goy and Jasna Levinger.</t>
  </si>
  <si>
    <t>Evanston, Ill. : Northwestern University Press, ©1999.</t>
  </si>
  <si>
    <t>2015-12-19</t>
  </si>
  <si>
    <t>3908636:eng</t>
  </si>
  <si>
    <t>41173672</t>
  </si>
  <si>
    <t>ocm41173672</t>
  </si>
  <si>
    <t>3102914555P</t>
  </si>
  <si>
    <t>9780810117129</t>
  </si>
  <si>
    <t>793586065</t>
  </si>
  <si>
    <t>PG1419.3 I8 K5713 1998</t>
  </si>
  <si>
    <t>0                      PG 1419300I  8                  K  5713        1998</t>
  </si>
  <si>
    <t>The book of Blam / Aleksandar Tišma ; translated from the Serbo-Croatian by Michael Henry Heim.</t>
  </si>
  <si>
    <t>Tišma, Aleksandar, 1924-2003.</t>
  </si>
  <si>
    <t>New York : Harcourt Brace, ©1998.</t>
  </si>
  <si>
    <t>148085063:eng</t>
  </si>
  <si>
    <t>38438505</t>
  </si>
  <si>
    <t>ocm38438505</t>
  </si>
  <si>
    <t>3102914540R</t>
  </si>
  <si>
    <t>9780151002351</t>
  </si>
  <si>
    <t>793523922</t>
  </si>
  <si>
    <t>PG1419.36 I954 V7413 2000</t>
  </si>
  <si>
    <t>0                      PG 1419360I  954                V  7413        2000</t>
  </si>
  <si>
    <t>Time gifts / Zoran Živković ; translated from the Serbian by Alice Copple-Tosi.</t>
  </si>
  <si>
    <t>Živković, Zoran.</t>
  </si>
  <si>
    <t>Evanston : Northwestern University Press, 2000.</t>
  </si>
  <si>
    <t>2000</t>
  </si>
  <si>
    <t>2542489988:eng</t>
  </si>
  <si>
    <t>43790499</t>
  </si>
  <si>
    <t>ocm43790499</t>
  </si>
  <si>
    <t>3102914545R</t>
  </si>
  <si>
    <t>9780810117815</t>
  </si>
  <si>
    <t>793634620</t>
  </si>
  <si>
    <t>PG1455 B34 V5 2003</t>
  </si>
  <si>
    <t>0                      PG 1455000B  34                 V  5           2003</t>
  </si>
  <si>
    <t>Embroidered with gold, strung with pearls : the traditional ballads of Bosnian women / Aida Vidan.</t>
  </si>
  <si>
    <t>Vidan, Aida.</t>
  </si>
  <si>
    <t>Cambridge, Mass. : The Milman Parry Collection of Oral Literature, ©2003.</t>
  </si>
  <si>
    <t>Publications of the Milman Parry Collection of Oral Literature ; no. 1</t>
  </si>
  <si>
    <t>2016-02-15</t>
  </si>
  <si>
    <t>1807826393:eng</t>
  </si>
  <si>
    <t>51454504</t>
  </si>
  <si>
    <t>ocm51454504</t>
  </si>
  <si>
    <t>3102914546R</t>
  </si>
  <si>
    <t>9780674011076</t>
  </si>
  <si>
    <t>793784644</t>
  </si>
  <si>
    <t>PG1464 H87 1896</t>
  </si>
  <si>
    <t>0                      PG 1464000H  87          1896</t>
  </si>
  <si>
    <t>Hrvatske narodne pesme.</t>
  </si>
  <si>
    <t>V. 4</t>
  </si>
  <si>
    <t>Matica hrvatska.</t>
  </si>
  <si>
    <t>1896</t>
  </si>
  <si>
    <t>8861164552:hrv</t>
  </si>
  <si>
    <t>4953098</t>
  </si>
  <si>
    <t>ocm04953098</t>
  </si>
  <si>
    <t>3102914471O</t>
  </si>
  <si>
    <t>792396363</t>
  </si>
  <si>
    <t>3102914526V</t>
  </si>
  <si>
    <t>792396365</t>
  </si>
  <si>
    <t>V. 10</t>
  </si>
  <si>
    <t>3102914534T</t>
  </si>
  <si>
    <t>792396357</t>
  </si>
  <si>
    <t>V. 3</t>
  </si>
  <si>
    <t>3102914521V</t>
  </si>
  <si>
    <t>792396364</t>
  </si>
  <si>
    <t>3102914531T</t>
  </si>
  <si>
    <t>792396366</t>
  </si>
  <si>
    <t>V. 7</t>
  </si>
  <si>
    <t>3102914543R</t>
  </si>
  <si>
    <t>792396360</t>
  </si>
  <si>
    <t>V. 9</t>
  </si>
  <si>
    <t>3102914537T</t>
  </si>
  <si>
    <t>792396358</t>
  </si>
  <si>
    <t>V. 5</t>
  </si>
  <si>
    <t>3102914470O</t>
  </si>
  <si>
    <t>792396362</t>
  </si>
  <si>
    <t>3102914538T</t>
  </si>
  <si>
    <t>792396361</t>
  </si>
  <si>
    <t>V. 8</t>
  </si>
  <si>
    <t>3102914542R</t>
  </si>
  <si>
    <t>792396359</t>
  </si>
  <si>
    <t>PG1464 K365</t>
  </si>
  <si>
    <t>0                      PG 1464000K  365</t>
  </si>
  <si>
    <t>Srpske narodne pjesme / iz neobjavljenih rukopisa Vuka Stef. Karadžića.</t>
  </si>
  <si>
    <t>Beograd : Prosveta, 1953-58.</t>
  </si>
  <si>
    <t>1953</t>
  </si>
  <si>
    <t>2908425968:srp</t>
  </si>
  <si>
    <t>427253709</t>
  </si>
  <si>
    <t>ocn427253709</t>
  </si>
  <si>
    <t>3102914527V</t>
  </si>
  <si>
    <t>794553727</t>
  </si>
  <si>
    <t>3102914528V</t>
  </si>
  <si>
    <t>794553728</t>
  </si>
  <si>
    <t>3102914524V</t>
  </si>
  <si>
    <t>794553726</t>
  </si>
  <si>
    <t>3102914529V</t>
  </si>
  <si>
    <t>794553729</t>
  </si>
  <si>
    <t>PG1465 B38 1987</t>
  </si>
  <si>
    <t>0                      PG 1465000B  38          1987</t>
  </si>
  <si>
    <t>The battle of Kosovo / translated from the Serbian by John Matthias and Vladeta Vučković ; preface by Charles Simic.</t>
  </si>
  <si>
    <t>Leek, Staffordshire : Aquila Publishing (UK) Ltd, [1987]</t>
  </si>
  <si>
    <t>1987</t>
  </si>
  <si>
    <t>Aquila poetry</t>
  </si>
  <si>
    <t>2015-12-21</t>
  </si>
  <si>
    <t>341861526:eng</t>
  </si>
  <si>
    <t>922588746</t>
  </si>
  <si>
    <t>ocn922588746</t>
  </si>
  <si>
    <t>31028660759</t>
  </si>
  <si>
    <t>9780727503664</t>
  </si>
  <si>
    <t>795003951</t>
  </si>
  <si>
    <t>PG1465 M6</t>
  </si>
  <si>
    <t>0                      PG 1465000M  6</t>
  </si>
  <si>
    <t>The revolt of the Serbs against the Turks (1804-18130 / translations from the Serbian National Ballads of the period, with an introduction, by W.A. Morison.</t>
  </si>
  <si>
    <t>Morison, Walter Angus.</t>
  </si>
  <si>
    <t>Cambridge : At the University Press, 1942.</t>
  </si>
  <si>
    <t>1942</t>
  </si>
  <si>
    <t>2017-04-03</t>
  </si>
  <si>
    <t>46173856:eng</t>
  </si>
  <si>
    <t>61614652</t>
  </si>
  <si>
    <t>ocm61614652</t>
  </si>
  <si>
    <t>3102914514X</t>
  </si>
  <si>
    <t>794052835</t>
  </si>
  <si>
    <t>PG1465 S66 1997</t>
  </si>
  <si>
    <t>0                      PG 1465000S  66          1997</t>
  </si>
  <si>
    <t>Songs of the Serbian people : from the collections of Vuk Karadžić / translated and edited by Milne Holton and Vasa D. Mihailovich.</t>
  </si>
  <si>
    <t>Pittsburgh, Pa. : University of Pittsburgh Press, ©1997.</t>
  </si>
  <si>
    <t>Pitt series in Russian and East European studies</t>
  </si>
  <si>
    <t>2018-01-03</t>
  </si>
  <si>
    <t>626924:eng</t>
  </si>
  <si>
    <t>36201296</t>
  </si>
  <si>
    <t>ocm36201296</t>
  </si>
  <si>
    <t>3102914513X</t>
  </si>
  <si>
    <t>9780822939528</t>
  </si>
  <si>
    <t>793469040</t>
  </si>
  <si>
    <t>PG1595 E3 A5 1984</t>
  </si>
  <si>
    <t>0                      PG 1595000E  3                  A  5           1984</t>
  </si>
  <si>
    <t>Anthology of Serbian poetry : the golden age / [compiled] by Mihailo Dordević.</t>
  </si>
  <si>
    <t>New York, N.Y. : Philosophical Library, 1984.</t>
  </si>
  <si>
    <t>2017-01-28</t>
  </si>
  <si>
    <t>54638608:eng</t>
  </si>
  <si>
    <t>10696288</t>
  </si>
  <si>
    <t>ocm10696288</t>
  </si>
  <si>
    <t>3102914596H</t>
  </si>
  <si>
    <t>9780802224675</t>
  </si>
  <si>
    <t>792738018</t>
  </si>
  <si>
    <t>PG1595 E3 H65 1988</t>
  </si>
  <si>
    <t>0                      PG 1595000E  3                  H  65          1988</t>
  </si>
  <si>
    <t>Serbian poetry from the beginnings to the present / Milne Holton and Vasa D. Mihailovich.</t>
  </si>
  <si>
    <t>Holton, Milne.</t>
  </si>
  <si>
    <t>New Haven : Yale Center for International and Area Studies ; Columbus, OH : Distributed by Slavica Publishers, 1988.</t>
  </si>
  <si>
    <t>Yale Russian and East European publications ; no. 11</t>
  </si>
  <si>
    <t>2018-02-26</t>
  </si>
  <si>
    <t>22776400:eng</t>
  </si>
  <si>
    <t>20498334</t>
  </si>
  <si>
    <t>ocm20498334</t>
  </si>
  <si>
    <t>3102914601W</t>
  </si>
  <si>
    <t>793089867</t>
  </si>
  <si>
    <t>PG1595 E3 R48 2011</t>
  </si>
  <si>
    <t>0                      PG 1595000E  3                  R  48          2011</t>
  </si>
  <si>
    <t>The revolt of the Serbs against the Turks : 1804-1813 / translated by W.A. Morison.</t>
  </si>
  <si>
    <t>Cambridge : Cambridge University Press, 2012.</t>
  </si>
  <si>
    <t>1807758:eng</t>
  </si>
  <si>
    <t>758397343</t>
  </si>
  <si>
    <t>ocn758397343</t>
  </si>
  <si>
    <t>3103655783X</t>
  </si>
  <si>
    <t>9781107676060</t>
  </si>
  <si>
    <t>794896340</t>
  </si>
  <si>
    <t>PG1595 E8 P75 1998</t>
  </si>
  <si>
    <t>0                      PG 1595000E  8                  P  75          1998</t>
  </si>
  <si>
    <t>The prince of fire : an anthology of contemporary Serbian short stories / edited by Radmila J. Gorup and Nadežda Obradović ; with a foreword by Charles Simic.</t>
  </si>
  <si>
    <t>Pittsburgh, Pa. : University of Pittsburgh Press, ©1998.</t>
  </si>
  <si>
    <t>3943997041:eng</t>
  </si>
  <si>
    <t>37976785</t>
  </si>
  <si>
    <t>ocm37976785</t>
  </si>
  <si>
    <t>3102914566N</t>
  </si>
  <si>
    <t>9780822940586</t>
  </si>
  <si>
    <t>793511701</t>
  </si>
  <si>
    <t>PG1618 D57 K3 1999</t>
  </si>
  <si>
    <t>0                      PG 1618000D  57                 K  3           1999</t>
  </si>
  <si>
    <t>Kameni spavač = Stone sleeper / Mak Dizdar ; prijevod Francis R. Jones ; pogovor Rusmir Mahmut Ćehajić, pogovor i bilješke Francis R. Jones ; grafičko oblikovanje Dževad Hozo.</t>
  </si>
  <si>
    <t>Dizdar, Mak.</t>
  </si>
  <si>
    <t>Sarajevo : Did, 1999.</t>
  </si>
  <si>
    <t>2017-06-10</t>
  </si>
  <si>
    <t>7661590:hrv</t>
  </si>
  <si>
    <t>41429999</t>
  </si>
  <si>
    <t>ocm41429999</t>
  </si>
  <si>
    <t>3102914585J</t>
  </si>
  <si>
    <t>9789958511028</t>
  </si>
  <si>
    <t>793591237</t>
  </si>
  <si>
    <t>PG1618 D57 Z77 2011</t>
  </si>
  <si>
    <t>0                      PG 1618000D  57                 Z  77          2011</t>
  </si>
  <si>
    <t>Across the river : on the poetry of Mak Dizdar / Rusmir Mahmutcehajic ; translated by Saba Risaluddin, with poetry translations by Francis R. Jones.</t>
  </si>
  <si>
    <t>Mahmutćehajić, Rusmir, 1948-</t>
  </si>
  <si>
    <t>New York : Fordham University Press, 2011.</t>
  </si>
  <si>
    <t>Abrahamic dialogues</t>
  </si>
  <si>
    <t>204697132:eng</t>
  </si>
  <si>
    <t>326466145</t>
  </si>
  <si>
    <t>ocn326466145</t>
  </si>
  <si>
    <t>3103362418B</t>
  </si>
  <si>
    <t>9780823231683</t>
  </si>
  <si>
    <t>794490357</t>
  </si>
  <si>
    <t>PG1618 K69 P6 1969</t>
  </si>
  <si>
    <t>0                      PG 1618000K  69                 P  6           1969</t>
  </si>
  <si>
    <t>Povratak Filipa Latinovicza / Miroslav Krleža.</t>
  </si>
  <si>
    <t>Krleža, Miroslav, 1893-1981.</t>
  </si>
  <si>
    <t>Zagreb : Zora, 1969.</t>
  </si>
  <si>
    <t>Sabrana djela Miroslava Krleže ; sv. 3</t>
  </si>
  <si>
    <t>2017-07-10</t>
  </si>
  <si>
    <t>2070161959:hrv</t>
  </si>
  <si>
    <t>26514018</t>
  </si>
  <si>
    <t>ocm26514018</t>
  </si>
  <si>
    <t>3102914589J</t>
  </si>
  <si>
    <t>793246263</t>
  </si>
  <si>
    <t>PG1618 K69 Z7</t>
  </si>
  <si>
    <t>0                      PG 1618000K  69                 Z  7</t>
  </si>
  <si>
    <t>Razgovori s Miroslavom Krležom.</t>
  </si>
  <si>
    <t>Matvejević, Predrag, 1932-</t>
  </si>
  <si>
    <t>Zagreb : Naprijed, 1969.</t>
  </si>
  <si>
    <t>2018-06-11</t>
  </si>
  <si>
    <t>4576987:hrv</t>
  </si>
  <si>
    <t>15102837</t>
  </si>
  <si>
    <t>ocm15102837</t>
  </si>
  <si>
    <t>3102914583J</t>
  </si>
  <si>
    <t>792920006</t>
  </si>
  <si>
    <t>PG1619.14 R58 8 E3813 201</t>
  </si>
  <si>
    <t>0                      PG 1619140R  58                                                      8 E3813 201</t>
  </si>
  <si>
    <t>EEG / Daša Drndić ; translated from the Croatian by Celia Hawkesworth.</t>
  </si>
  <si>
    <t>Drndić, Daša, 1946-2018, author.</t>
  </si>
  <si>
    <t>New York : New Directions Publishing Corporation, [2018]</t>
  </si>
  <si>
    <t>2020-01-13</t>
  </si>
  <si>
    <t>3190760519:eng</t>
  </si>
  <si>
    <t>1042353085</t>
  </si>
  <si>
    <t>on1042353085</t>
  </si>
  <si>
    <t>31038127232</t>
  </si>
  <si>
    <t>9780811228480</t>
  </si>
  <si>
    <t>795059510</t>
  </si>
  <si>
    <t>PG1619.14 R58 B4513 2017</t>
  </si>
  <si>
    <t>0                      PG 1619140R  58                 B  4513        2017</t>
  </si>
  <si>
    <t>Belladonna / Daša Drndić ; translated from the Croatian by Celia Hawkesworth.</t>
  </si>
  <si>
    <t>New York : New Directions Publishing Corporation, [2017]</t>
  </si>
  <si>
    <t>2017</t>
  </si>
  <si>
    <t>New Directions paperbook ; 1388</t>
  </si>
  <si>
    <t>1203213166:eng</t>
  </si>
  <si>
    <t>975849062</t>
  </si>
  <si>
    <t>ocn975849062</t>
  </si>
  <si>
    <t>31038084847</t>
  </si>
  <si>
    <t>9780811227216</t>
  </si>
  <si>
    <t>795030246</t>
  </si>
  <si>
    <t>PG1619.14 R58 S6613 2014</t>
  </si>
  <si>
    <t>0                      PG 1619140R  58                 S  6613        2014</t>
  </si>
  <si>
    <t>Trieste / Daša Drndić ; translated from the Croatian by Ellen Elias-Bursać.</t>
  </si>
  <si>
    <t>Boston : Houghton Mifflin Harcourt, 2014.</t>
  </si>
  <si>
    <t>First U.S. edition.</t>
  </si>
  <si>
    <t>2017-06-07</t>
  </si>
  <si>
    <t>962176835:eng</t>
  </si>
  <si>
    <t>823044643</t>
  </si>
  <si>
    <t>ocn823044643</t>
  </si>
  <si>
    <t>3103532123L</t>
  </si>
  <si>
    <t>9780547725147</t>
  </si>
  <si>
    <t>794936916</t>
  </si>
  <si>
    <t>PG1619.2.U25 Z46 2017</t>
  </si>
  <si>
    <t>0                      PG 1619200U  25                 Z  46          2017</t>
  </si>
  <si>
    <t>Apocalyptic days : in the shadow of deception / Janko Bubalo.</t>
  </si>
  <si>
    <t>Bubalo, Janko, 1913-1997, author.</t>
  </si>
  <si>
    <t>Chicago, Illinois : CroLibertas Publishers, 2017.</t>
  </si>
  <si>
    <t>319220717:eng</t>
  </si>
  <si>
    <t>997574397</t>
  </si>
  <si>
    <t>ocn997574397</t>
  </si>
  <si>
    <t>31035889948</t>
  </si>
  <si>
    <t>9780988898387</t>
  </si>
  <si>
    <t>795039823</t>
  </si>
  <si>
    <t>PG1619.31 G7 F6713 1993</t>
  </si>
  <si>
    <t>0                      PG 1619310G  7                  F  6713        1993</t>
  </si>
  <si>
    <t>Fording the stream of consciousness / Dubravka Ugrešić ; translated by Michael Henry Heim.</t>
  </si>
  <si>
    <t>Ugrešić, Dubravka.</t>
  </si>
  <si>
    <t>Evanston, Ill. : Northwestern University Press, 1993.</t>
  </si>
  <si>
    <t>2016-04-25</t>
  </si>
  <si>
    <t>10141730107:eng</t>
  </si>
  <si>
    <t>28721927</t>
  </si>
  <si>
    <t>ocm28721927</t>
  </si>
  <si>
    <t>3102914577L</t>
  </si>
  <si>
    <t>9780810110991</t>
  </si>
  <si>
    <t>793294735</t>
  </si>
  <si>
    <t>PG1619.31 G7 L5713 2018</t>
  </si>
  <si>
    <t>0                      PG 1619310G  7                  L  5713        2018</t>
  </si>
  <si>
    <t>Fox / Dubravka Ugresic ; translated from the Croatian by Ellen Elias-Bursać and David Williams.</t>
  </si>
  <si>
    <t>Ugrešić, Dubravka, author.</t>
  </si>
  <si>
    <t>Rochester, NY : Open Letter, 2018.</t>
  </si>
  <si>
    <t>First edition.</t>
  </si>
  <si>
    <t>2018-07-17</t>
  </si>
  <si>
    <t>4534500167:eng</t>
  </si>
  <si>
    <t>1006315744</t>
  </si>
  <si>
    <t>on1006315744</t>
  </si>
  <si>
    <t>3103793708Q</t>
  </si>
  <si>
    <t>MISSING</t>
  </si>
  <si>
    <t>9781940953762</t>
  </si>
  <si>
    <t>795042956</t>
  </si>
  <si>
    <t>PG1619.31 G7 M8913 1998</t>
  </si>
  <si>
    <t>0                      PG 1619310G  7                  M  8913        1998</t>
  </si>
  <si>
    <t>The museum of unconditional surrender / Dubravka Ugrešić ; translated by Celia Hawkesworth.</t>
  </si>
  <si>
    <t>London : Phoenix House, 1998.</t>
  </si>
  <si>
    <t>2017-05-14</t>
  </si>
  <si>
    <t>9062315:eng</t>
  </si>
  <si>
    <t>40533569</t>
  </si>
  <si>
    <t>ocm40533569</t>
  </si>
  <si>
    <t>3102914572L</t>
  </si>
  <si>
    <t>9781861590961</t>
  </si>
  <si>
    <t>793569144</t>
  </si>
  <si>
    <t>PG1891 G729 1994</t>
  </si>
  <si>
    <t>0                      PG 1891000G  729         1994</t>
  </si>
  <si>
    <t>Slovensko-angleški slovar = Slovene-English dictionary / Anton Grad, Henry Leeming.</t>
  </si>
  <si>
    <t>Grad, Anton.</t>
  </si>
  <si>
    <t>Ljubljana : DZS, 1994.</t>
  </si>
  <si>
    <t>Slovarji DZS</t>
  </si>
  <si>
    <t>2015-03-20</t>
  </si>
  <si>
    <t>3943833419:slv</t>
  </si>
  <si>
    <t>32016067</t>
  </si>
  <si>
    <t>ocm32016067</t>
  </si>
  <si>
    <t>31014266577</t>
  </si>
  <si>
    <t>9788634109849</t>
  </si>
  <si>
    <t>793373491</t>
  </si>
  <si>
    <t>PG1902.4 K754 2013</t>
  </si>
  <si>
    <t>0                      PG 1902400K  754         2013</t>
  </si>
  <si>
    <t>Krieg, Widerstand, Befreiung : ihr Nachhall in den Kulturen und Literaturen des Alpen-Adria-Raums / Fabjan Hafner, Johann Strutz (Hg.).</t>
  </si>
  <si>
    <t>Klagenfurt : Drava, [2013]</t>
  </si>
  <si>
    <t>1324326940:ger</t>
  </si>
  <si>
    <t>844683921</t>
  </si>
  <si>
    <t>ocn844683921</t>
  </si>
  <si>
    <t>3103515423A</t>
  </si>
  <si>
    <t>9783854356912</t>
  </si>
  <si>
    <t>794948622</t>
  </si>
  <si>
    <t>PG1918 B33 A714 1998</t>
  </si>
  <si>
    <t>0                      PG 1918000B  33                 A  714         1998</t>
  </si>
  <si>
    <t>Alamut : roman / Vladimir Bartol ; traduit du slovène par Claude Vincenot ; texte franais revu par Jean-Pierre Sicre.</t>
  </si>
  <si>
    <t>Bartol, Vladimir, 1903-1967.</t>
  </si>
  <si>
    <t>Paris : Phébus, 1998.</t>
  </si>
  <si>
    <t>Phébus libretto ; 3</t>
  </si>
  <si>
    <t>989385:fre</t>
  </si>
  <si>
    <t>428038614</t>
  </si>
  <si>
    <t>ocn428038614</t>
  </si>
  <si>
    <t>31019903498</t>
  </si>
  <si>
    <t>9782859405182</t>
  </si>
  <si>
    <t>794758995</t>
  </si>
  <si>
    <t>PG1918 K58 A17 1999</t>
  </si>
  <si>
    <t>0                      PG 1918000K  58                 A  17          1999</t>
  </si>
  <si>
    <t>Embers in the house of night : selected poems of Edvard Kocbek / translated from the Slovene by Sonja Kravanja ; with an introduction by Richard Jackson.</t>
  </si>
  <si>
    <t>Kocbek, Edvard.</t>
  </si>
  <si>
    <t>Santa Fe, N.M. : Lumen, ©1999.</t>
  </si>
  <si>
    <t>Witter Bynner translation series</t>
  </si>
  <si>
    <t>1059374436:eng</t>
  </si>
  <si>
    <t>53375265</t>
  </si>
  <si>
    <t>ocm53375265</t>
  </si>
  <si>
    <t>31019887356</t>
  </si>
  <si>
    <t>9780930829421</t>
  </si>
  <si>
    <t>793827437</t>
  </si>
  <si>
    <t>PG1918 P28 T7414 2018</t>
  </si>
  <si>
    <t>0                      PG 1918000P  28                 T  7414        2018</t>
  </si>
  <si>
    <t>Place Oberdan À Trieste : nouvelles / traduit du slovène par Andrée Lüxk Gaye.</t>
  </si>
  <si>
    <t>Pahor, Boris, author.</t>
  </si>
  <si>
    <t>Paris : Pierre-Guillaume de roux, 2018.</t>
  </si>
  <si>
    <t>2018-06-01</t>
  </si>
  <si>
    <t>4770274356:fre</t>
  </si>
  <si>
    <t>1030227603</t>
  </si>
  <si>
    <t>on1030227603</t>
  </si>
  <si>
    <t>31037688831</t>
  </si>
  <si>
    <t>9782363712301</t>
  </si>
  <si>
    <t>795054497</t>
  </si>
  <si>
    <t>PG1919.21.R324 M63 2011</t>
  </si>
  <si>
    <t>0                      PG 1919210R  324                M  63          2011</t>
  </si>
  <si>
    <t>Mobilizacije = Mobilisations = Mobilizations = Mobilitazioni / Taja Kramberger ; traductions en français par David Jauzion-Graverolles, Braco Rotar et Anne Talvaz ; translations in English by Ana Jalnikar ; traduzione in italiano di Michele Obit.</t>
  </si>
  <si>
    <t>Kramberger, Taja, author.</t>
  </si>
  <si>
    <t>Koper [Slovenia] : KUD AAC Zrakogled, 2011.</t>
  </si>
  <si>
    <t>2. dopolnjena izdaja.</t>
  </si>
  <si>
    <t>2019-05-07</t>
  </si>
  <si>
    <t>334968443:slv</t>
  </si>
  <si>
    <t>897006087</t>
  </si>
  <si>
    <t>ocn897006087</t>
  </si>
  <si>
    <t>3103561704X</t>
  </si>
  <si>
    <t>9789619309919</t>
  </si>
  <si>
    <t>794984736</t>
  </si>
  <si>
    <t>PG1919.29 A5 A23 2000</t>
  </si>
  <si>
    <t>0                      PG 1919290A  5                  A  23          2000</t>
  </si>
  <si>
    <t>Feast : poems / edited by Charles Simic, foreword by Edward Hirsch ; [translated from the Slovenian by Joshua Beckman and others].</t>
  </si>
  <si>
    <t>Šalamun, Tomaž.</t>
  </si>
  <si>
    <t>New York : Harcourt, ©2000.</t>
  </si>
  <si>
    <t>2019-10-26</t>
  </si>
  <si>
    <t>1059359768:eng</t>
  </si>
  <si>
    <t>42290917</t>
  </si>
  <si>
    <t>ocm42290917</t>
  </si>
  <si>
    <t>31020414100</t>
  </si>
  <si>
    <t>9780151005604</t>
  </si>
  <si>
    <t>793604496</t>
  </si>
  <si>
    <t>PG1919.29 A5 A25 1997</t>
  </si>
  <si>
    <t>0                      PG 1919290A  5                  A  25          1997</t>
  </si>
  <si>
    <t>The four questions of melancholy : new and selected poems / Tomaž Šalamun ; edited by Christopher Merrill.</t>
  </si>
  <si>
    <t>Šalamun, Tomaž, author.</t>
  </si>
  <si>
    <t>Fredonia, New York : White Pine Press, [1997]</t>
  </si>
  <si>
    <t>Terra incognita ; vol. 1</t>
  </si>
  <si>
    <t>2017-07-08</t>
  </si>
  <si>
    <t>1059233640:eng</t>
  </si>
  <si>
    <t>36891898</t>
  </si>
  <si>
    <t>ocm36891898</t>
  </si>
  <si>
    <t>3101728397D</t>
  </si>
  <si>
    <t>9781877727573</t>
  </si>
  <si>
    <t>793486826</t>
  </si>
  <si>
    <t>PG1919.3 A9 V6413 2000</t>
  </si>
  <si>
    <t>0                      PG 1919300A  9                  V  6413        2000</t>
  </si>
  <si>
    <t>Waterlings / Veno Taufer ; translated from the Slovene by Milne Holton and Veno Taufer.</t>
  </si>
  <si>
    <t>Taufer, Veno, 1933-</t>
  </si>
  <si>
    <t>Evanston, Ill. : Northwestern University Press, ©2000.</t>
  </si>
  <si>
    <t>A bilingual ed.</t>
  </si>
  <si>
    <t>2018-12-02</t>
  </si>
  <si>
    <t>1810521350:eng</t>
  </si>
  <si>
    <t>44391401</t>
  </si>
  <si>
    <t>ocm44391401</t>
  </si>
  <si>
    <t>3102041153V</t>
  </si>
  <si>
    <t>9780810118102</t>
  </si>
  <si>
    <t>793645124</t>
  </si>
  <si>
    <t>PG2051 I5</t>
  </si>
  <si>
    <t>0                      PG 2051000I  5</t>
  </si>
  <si>
    <t>An introduction to Russian language and literature / edited by Robert Auty and Dimitri Obolensky ; with the editorial assistance of Anthony Kingsford.</t>
  </si>
  <si>
    <t>Cambridge ; New York : Cambridge University Press, 1977.</t>
  </si>
  <si>
    <t>Companion to Russian studies ; 2</t>
  </si>
  <si>
    <t>2018-08-21</t>
  </si>
  <si>
    <t>355682097:eng</t>
  </si>
  <si>
    <t>2237557</t>
  </si>
  <si>
    <t>ocm02237557</t>
  </si>
  <si>
    <t>3000449617A</t>
  </si>
  <si>
    <t>9780521208949</t>
  </si>
  <si>
    <t>792072015</t>
  </si>
  <si>
    <t>PG2067 A63 2019</t>
  </si>
  <si>
    <t>0                      PG 2067000A  63          2019</t>
  </si>
  <si>
    <t>Trenirovochnye testy po russkomu i︠a︡zyku kak inostrannomu : II sertifikat︠s︡ionnyĭ urovenʹ obshchee vladenie / N.P. Andri︠u︡shina, M.N. Makov.</t>
  </si>
  <si>
    <t>Andri︠u︡shina, N. P., author.</t>
  </si>
  <si>
    <t>Sankt-Peterburg : Zlatoust, 2019.</t>
  </si>
  <si>
    <t>2019</t>
  </si>
  <si>
    <t>2019-12-11</t>
  </si>
  <si>
    <t>9795890578:rus</t>
  </si>
  <si>
    <t>1130310486</t>
  </si>
  <si>
    <t>on1130310486</t>
  </si>
  <si>
    <t>3103880345D</t>
  </si>
  <si>
    <t>9785865478553</t>
  </si>
  <si>
    <t>795086769</t>
  </si>
  <si>
    <t>PG2067 A68 2016</t>
  </si>
  <si>
    <t>0                      PG 2067000A  68          2016</t>
  </si>
  <si>
    <t>Tipovye testy po russkomu i︠a︡zyku kak inostrannomu : bazovyĭ urovenʹ : obshchee vladenie : varianty / avtory V.E. Antonova [and three others].</t>
  </si>
  <si>
    <t>Antonova, V. E., author.</t>
  </si>
  <si>
    <t>Sankt-Peterburg : Zlatoust, 2016.</t>
  </si>
  <si>
    <t>5-e izd.</t>
  </si>
  <si>
    <t>9792146422:rus</t>
  </si>
  <si>
    <t>1130289416</t>
  </si>
  <si>
    <t>on1130289416</t>
  </si>
  <si>
    <t>3103880337C</t>
  </si>
  <si>
    <t>9785865475354</t>
  </si>
  <si>
    <t>795086760</t>
  </si>
  <si>
    <t>PG2067 A684 2018</t>
  </si>
  <si>
    <t>0                      PG 2067000A  684         2018</t>
  </si>
  <si>
    <t>Tipovye testy po russkomu i︠a︡zyku kak inostrannomu : ėlementarnyĭ urovenʹ obshchee vladenie varianty / avtory, V.E. Antonova, M.M. Nakhabina, A.A. Tolstykh.</t>
  </si>
  <si>
    <t>Sankt-Peterburg : Zlatoust, 2018.</t>
  </si>
  <si>
    <t>5-e izdanie.</t>
  </si>
  <si>
    <t>10032843981:rus</t>
  </si>
  <si>
    <t>1130289678</t>
  </si>
  <si>
    <t>on1130289678</t>
  </si>
  <si>
    <t>31038803584</t>
  </si>
  <si>
    <t>9785865478003</t>
  </si>
  <si>
    <t>795086761</t>
  </si>
  <si>
    <t>PG2067 K57 2018</t>
  </si>
  <si>
    <t>0                      PG 2067000K  57          2018</t>
  </si>
  <si>
    <t>Malenʹkai︠a︡ devochka Sasha / Eleonora Kirpichnikova ; illi︠u︡strat︠s︡ii: Eleonora Kirpichnikova.</t>
  </si>
  <si>
    <t>Kirpichnikova, Eleonora, author.</t>
  </si>
  <si>
    <t>Middletown, Delaware : [manufacturer not dentified], 2018.</t>
  </si>
  <si>
    <t>2018-09-22</t>
  </si>
  <si>
    <t>5105106113:rus</t>
  </si>
  <si>
    <t>1035419991</t>
  </si>
  <si>
    <t>on1035419991</t>
  </si>
  <si>
    <t>3103767382S</t>
  </si>
  <si>
    <t>9781548685881</t>
  </si>
  <si>
    <t>795057609</t>
  </si>
  <si>
    <t>PG2067 K75 2018</t>
  </si>
  <si>
    <t>0                      PG 2067000K  75          2018</t>
  </si>
  <si>
    <t>Prakticheskai︠a︡ metodika obuchenii︠a︡ russkomu i︠a︡zyku kak inostrannomu : uchebnoe posobie / L.S. Kri︠u︡chkova, N.V. Moshchinskai︠a︡.</t>
  </si>
  <si>
    <t>Kri︠u︡chkova, L. S. (Li︠u︡dmila Sergeevna), author.</t>
  </si>
  <si>
    <t>Moskva : Izdatelʹstvo "FLINTA" : Izdatelʹstvo "Nauka", 2018.</t>
  </si>
  <si>
    <t>8-e izdanie, stereotipnoe.</t>
  </si>
  <si>
    <t>Russkiĭ i︠a︡zyk kak inostrannyĭ</t>
  </si>
  <si>
    <t>4241608168:rus</t>
  </si>
  <si>
    <t>1050870251</t>
  </si>
  <si>
    <t>on1050870251</t>
  </si>
  <si>
    <t>31037682228</t>
  </si>
  <si>
    <t>9785976500303</t>
  </si>
  <si>
    <t>795061604</t>
  </si>
  <si>
    <t>PG2067 L45 B39 2016</t>
  </si>
  <si>
    <t>0                      PG 2067000L  45                 B  39          2016</t>
  </si>
  <si>
    <t>Leksicheskiĭ minimum po russkomu i︠a︡zyku kak inostrannomu. bazovyĭ uroven : obshchee vladenie / [sostaviteli, N.P. Andri︠u︡shina, T.V. Kozlova.</t>
  </si>
  <si>
    <t>Moskva : T︠S︡MO MGU ; Sankt Peterburg : Zlatoust, 2016.</t>
  </si>
  <si>
    <t>6-e izdanie.</t>
  </si>
  <si>
    <t>2019-12-10</t>
  </si>
  <si>
    <t>10032977205:rus</t>
  </si>
  <si>
    <t>1130234135</t>
  </si>
  <si>
    <t>on1130234135</t>
  </si>
  <si>
    <t>3103880336E</t>
  </si>
  <si>
    <t>9785865476016</t>
  </si>
  <si>
    <t>795086751</t>
  </si>
  <si>
    <t>PG2067 L45 E54 2014</t>
  </si>
  <si>
    <t>0                      PG 2067000L  45                 E  54          2014</t>
  </si>
  <si>
    <t>Leksicheskiĭ minimum po russkomu i︠a︡zyku kak inostrannomu : Ėlementarnyĭ urovenʹ : obshchee vladenie / Sostaviteli: Andri︠u︡shina N.P., Kozlova T.V.</t>
  </si>
  <si>
    <t>Sankt-Peterburg : Zlatoust, 2014.</t>
  </si>
  <si>
    <t>5623345531:rus</t>
  </si>
  <si>
    <t>1130288307</t>
  </si>
  <si>
    <t>on1130288307</t>
  </si>
  <si>
    <t>3103880346B</t>
  </si>
  <si>
    <t>9785865478584</t>
  </si>
  <si>
    <t>795086756</t>
  </si>
  <si>
    <t>PG2067 U354 2017</t>
  </si>
  <si>
    <t>0                      PG 2067000U  354         2017</t>
  </si>
  <si>
    <t>Uchebno-trenirovochnye testy po russkomu i︠a︡zyku kak inostrannomu, Vypusk 4. Audirovanie, govorenie / avtory: A. I. Zacharova [ and 3 others], pod obshch. red. A. I. Zacharova .</t>
  </si>
  <si>
    <t>Sankt-Peterburg : "Zlatoust," 2017.</t>
  </si>
  <si>
    <t>4-e izdanie</t>
  </si>
  <si>
    <t>10032977214:rus</t>
  </si>
  <si>
    <t>1130290001</t>
  </si>
  <si>
    <t>on1130290001</t>
  </si>
  <si>
    <t>3103880354C</t>
  </si>
  <si>
    <t>9785865478164</t>
  </si>
  <si>
    <t>795086764</t>
  </si>
  <si>
    <t>PG2067 U356 2018</t>
  </si>
  <si>
    <t>0                      PG 2067000U  356         2018</t>
  </si>
  <si>
    <t>Uchebno-trenirovochnye testy po russkomu i︠a︡zyku kak inostrannomu. Vypusk 3, Pis'mo : uchebnoe posobie / avtory: A. I. Zacharova [ and 4 others], pod obshch. red. M.È. Paret︠s︡koĭ.</t>
  </si>
  <si>
    <t>8-e izdanie.</t>
  </si>
  <si>
    <t>9795880604:rus</t>
  </si>
  <si>
    <t>1130308830</t>
  </si>
  <si>
    <t>on1130308830</t>
  </si>
  <si>
    <t>3103880343H</t>
  </si>
  <si>
    <t>9785865477488</t>
  </si>
  <si>
    <t>795086765</t>
  </si>
  <si>
    <t>PG2074 C6 1995</t>
  </si>
  <si>
    <t>0                      PG 2074000C  6           1995</t>
  </si>
  <si>
    <t>The Russian language in the twentieth century / Bernard Comrie, Gerald Stone, Maria Polinsky.</t>
  </si>
  <si>
    <t>Comrie, Bernard, 1947-</t>
  </si>
  <si>
    <t>Oxford : Clarendon Press ; New York : Oxford University Press, 1996.</t>
  </si>
  <si>
    <t>2nd ed.</t>
  </si>
  <si>
    <t>5612686879:eng</t>
  </si>
  <si>
    <t>32821362</t>
  </si>
  <si>
    <t>ocm32821362</t>
  </si>
  <si>
    <t>3102914668K</t>
  </si>
  <si>
    <t>9780198240662</t>
  </si>
  <si>
    <t>793395167</t>
  </si>
  <si>
    <t>PG2074.73 L35 1998</t>
  </si>
  <si>
    <t>0                      PG 2074730L  35          1998</t>
  </si>
  <si>
    <t>Identity in formation : the Russian-speaking populations in the near abroad / David D. Laitin.</t>
  </si>
  <si>
    <t>Laitin, David D.</t>
  </si>
  <si>
    <t>Ithaca : Cornell University Press, 1998.</t>
  </si>
  <si>
    <t>The Wilder House series in politics, history, and culture</t>
  </si>
  <si>
    <t>2016-05-10</t>
  </si>
  <si>
    <t>837027744:eng</t>
  </si>
  <si>
    <t>38024176</t>
  </si>
  <si>
    <t>ocm38024176</t>
  </si>
  <si>
    <t>31028660749</t>
  </si>
  <si>
    <t>9780801434952</t>
  </si>
  <si>
    <t>793513169</t>
  </si>
  <si>
    <t>PG2075 P747 2007</t>
  </si>
  <si>
    <t>0                      PG 2075000P  747         2007</t>
  </si>
  <si>
    <t>A history of the Russian language and its speakers / Ian Press.</t>
  </si>
  <si>
    <t>Press, Ian, 1947-</t>
  </si>
  <si>
    <t>München : Lincom, 2007.</t>
  </si>
  <si>
    <t>LINCOM studies in Slavic linguistics ; 26</t>
  </si>
  <si>
    <t>2016-01-27</t>
  </si>
  <si>
    <t>102711149:eng</t>
  </si>
  <si>
    <t>124070325</t>
  </si>
  <si>
    <t>ocn124070325</t>
  </si>
  <si>
    <t>3102719058W</t>
  </si>
  <si>
    <t>9783895868061</t>
  </si>
  <si>
    <t>794230391</t>
  </si>
  <si>
    <t>PG2075 S719</t>
  </si>
  <si>
    <t>0                      PG 2075000S  719</t>
  </si>
  <si>
    <t>A history of the Russian language / by A.A. Sokolsky.</t>
  </si>
  <si>
    <t>Sokolʹskiĭ, A. A.</t>
  </si>
  <si>
    <t>Madrid : Impr. Taravilla], 1966, [©1965]</t>
  </si>
  <si>
    <t>1492384:eng</t>
  </si>
  <si>
    <t>295769</t>
  </si>
  <si>
    <t>ocm00295769</t>
  </si>
  <si>
    <t>3102914740L</t>
  </si>
  <si>
    <t>791327582</t>
  </si>
  <si>
    <t>PG2075 T5</t>
  </si>
  <si>
    <t>0                      PG 2075000T  5</t>
  </si>
  <si>
    <t>The history of the Russian literary language from the seventeenth century to the nineteenth / Vinogradov. A condensed adaptation into English with an introd. by Lawrence L. Thomas.</t>
  </si>
  <si>
    <t>Thomas, Lawrence L. (Lawrence Leslie), 1924-</t>
  </si>
  <si>
    <t>Madison : University of Wisconsin Press, 1969.</t>
  </si>
  <si>
    <t>2018-07-25</t>
  </si>
  <si>
    <t>2790446005:eng</t>
  </si>
  <si>
    <t>12478</t>
  </si>
  <si>
    <t>ocm00012478</t>
  </si>
  <si>
    <t>3102914760H</t>
  </si>
  <si>
    <t>9780299052607</t>
  </si>
  <si>
    <t>791228097</t>
  </si>
  <si>
    <t>PG2075 U87 1985</t>
  </si>
  <si>
    <t>0                      PG 2075000U  87          1985</t>
  </si>
  <si>
    <t>Iz istorii russkogo literaturnogo i︠a︡zyka XVIII-nachala XIX veka : i︠a︡zykovai︠a︡ programma Karamzina i ee istoricheskie korni / B.A. Uspenskiĭ.</t>
  </si>
  <si>
    <t>Uspenskiĭ, Boris Andreevich.</t>
  </si>
  <si>
    <t>Moskva : Izd-vo Moskovskogo universiteta, 1985.</t>
  </si>
  <si>
    <t>1985</t>
  </si>
  <si>
    <t>2015-06-15</t>
  </si>
  <si>
    <t>3901490795:rus</t>
  </si>
  <si>
    <t>12772521</t>
  </si>
  <si>
    <t>ocm12772521</t>
  </si>
  <si>
    <t>3102914770F</t>
  </si>
  <si>
    <t>792827459</t>
  </si>
  <si>
    <t>PG2075 V4x</t>
  </si>
  <si>
    <t>0                      PG 2075000V  4x</t>
  </si>
  <si>
    <t>Vesti-kuranty. [Teksty] Izd.podgot. N.I. Tarabasova, V.G. Dem'ianov &amp; A.I. Sumkina. Pod red. S.I. Kotkova.</t>
  </si>
  <si>
    <t>Kn. 1</t>
  </si>
  <si>
    <t>Tarabasova, N. I., compiler.</t>
  </si>
  <si>
    <t>Moskva, Nauka, 1972-</t>
  </si>
  <si>
    <t>2019-04-22</t>
  </si>
  <si>
    <t>10033037229:rus</t>
  </si>
  <si>
    <t>234329366</t>
  </si>
  <si>
    <t>ocn234329366</t>
  </si>
  <si>
    <t>3102914775F</t>
  </si>
  <si>
    <t>794369532</t>
  </si>
  <si>
    <t>Kn. 2</t>
  </si>
  <si>
    <t>3102914780D</t>
  </si>
  <si>
    <t>794369531</t>
  </si>
  <si>
    <t>Kn. 4</t>
  </si>
  <si>
    <t>3102914774F</t>
  </si>
  <si>
    <t>794369529</t>
  </si>
  <si>
    <t>Kn. 3</t>
  </si>
  <si>
    <t>3102914779F</t>
  </si>
  <si>
    <t>794369530</t>
  </si>
  <si>
    <t>PG2075 Z4813 2009</t>
  </si>
  <si>
    <t>0                      PG 2075000Z  4813        2009</t>
  </si>
  <si>
    <t>Language and culture in eighteenth-century Russia / Victor Zhivov.</t>
  </si>
  <si>
    <t>Zhivov, V. M., author.</t>
  </si>
  <si>
    <t>Boston : Academic Studies Press, 2009.</t>
  </si>
  <si>
    <t>Studies in Russian and Slavic literatures, cultures and history</t>
  </si>
  <si>
    <t>3901335532:eng</t>
  </si>
  <si>
    <t>344061958</t>
  </si>
  <si>
    <t>ocn344061958</t>
  </si>
  <si>
    <t>3103135380F</t>
  </si>
  <si>
    <t>9781934843123</t>
  </si>
  <si>
    <t>794491126</t>
  </si>
  <si>
    <t>PG2083 S64 2006</t>
  </si>
  <si>
    <t>0                      PG 2083000S  64          2006</t>
  </si>
  <si>
    <t>The influence of French on eighteenth-century literary Russian : semantic and phraseological calques / May Smith.</t>
  </si>
  <si>
    <t>Smith, May, Ph.D.</t>
  </si>
  <si>
    <t>Oxford ; New York : Peter Lang, ©2006.</t>
  </si>
  <si>
    <t>2018-12-04</t>
  </si>
  <si>
    <t>278086103:eng</t>
  </si>
  <si>
    <t>124075343</t>
  </si>
  <si>
    <t>ocn124075343</t>
  </si>
  <si>
    <t>3102631287B</t>
  </si>
  <si>
    <t>9783039102884</t>
  </si>
  <si>
    <t>794230520</t>
  </si>
  <si>
    <t>PG2099 W353 2012</t>
  </si>
  <si>
    <t>0                      PG 2099000W  353         2012</t>
  </si>
  <si>
    <t>The grammaticalization of "give" + infinitive : a comparative study of Russian, Polish, and Czech / by Ruprecht von Waldenfels.</t>
  </si>
  <si>
    <t>Waldenfels, Ruprecht von.</t>
  </si>
  <si>
    <t>Berlin ; Boston : De Gruyter Mouton, ©2012.</t>
  </si>
  <si>
    <t>Trends in linguistics. Studies and monographs ; 256</t>
  </si>
  <si>
    <t>1169658992:eng</t>
  </si>
  <si>
    <t>798612991</t>
  </si>
  <si>
    <t>ocn798612991</t>
  </si>
  <si>
    <t>31034568767</t>
  </si>
  <si>
    <t>9783110293692</t>
  </si>
  <si>
    <t>794923848</t>
  </si>
  <si>
    <t>PG2101 V55 1985</t>
  </si>
  <si>
    <t>0                      PG 2101000V  55          1985</t>
  </si>
  <si>
    <t>A linguistic history of Russian to the end of the eighteenth century / A.P. Vlasto.</t>
  </si>
  <si>
    <t>Vlasto, A. P.</t>
  </si>
  <si>
    <t>Oxford : Clarendon Press ; Oxford ; New York : Oxford University Press, 1985.</t>
  </si>
  <si>
    <t>3949930:eng</t>
  </si>
  <si>
    <t>185065979</t>
  </si>
  <si>
    <t>ocn185065979</t>
  </si>
  <si>
    <t>3102914812O</t>
  </si>
  <si>
    <t>9780198156604</t>
  </si>
  <si>
    <t>794292304</t>
  </si>
  <si>
    <t>PG2106 A53 2001</t>
  </si>
  <si>
    <t>0                      PG 2106000A  53          2001</t>
  </si>
  <si>
    <t>Russian / Edna Andrews.</t>
  </si>
  <si>
    <t>Andrews, Edna, 1958-</t>
  </si>
  <si>
    <t>München : Lincom, 2001.</t>
  </si>
  <si>
    <t>Languages of the world. Materials ; 145</t>
  </si>
  <si>
    <t>37405964:eng</t>
  </si>
  <si>
    <t>48518602</t>
  </si>
  <si>
    <t>ocm48518602</t>
  </si>
  <si>
    <t>3102870479G</t>
  </si>
  <si>
    <t>9783895861598</t>
  </si>
  <si>
    <t>793723060</t>
  </si>
  <si>
    <t>PG2106 B47 2010</t>
  </si>
  <si>
    <t>0                      PG 2106000B  47          2010</t>
  </si>
  <si>
    <t>The Russian word's worth : a humorous and informative guide to Russian language, culture and translation / Michele A. Berdy.</t>
  </si>
  <si>
    <t>Berdy, Michele A.</t>
  </si>
  <si>
    <t>Moscow : Glas ; [Minneapolis, MN] : Distribution in North America, Consortium Book Sales &amp; Distribution, ©2011.</t>
  </si>
  <si>
    <t>Glas new Russian writing ; v. 48</t>
  </si>
  <si>
    <t>2019-02-22</t>
  </si>
  <si>
    <t>1048079506:eng</t>
  </si>
  <si>
    <t>647672889</t>
  </si>
  <si>
    <t>ocn647672889</t>
  </si>
  <si>
    <t>3103365491K</t>
  </si>
  <si>
    <t>9785717200875</t>
  </si>
  <si>
    <t>794830862</t>
  </si>
  <si>
    <t>PG2106 B47 2011</t>
  </si>
  <si>
    <t>0                      PG 2106000B  47          2011</t>
  </si>
  <si>
    <t>The Russian word's worth : a humorous and informative guide to Russian language, culture, and translation / Michele A. Berdy.</t>
  </si>
  <si>
    <t>2nd rev. ed.</t>
  </si>
  <si>
    <t>Glas new Russian writing ; v. 50</t>
  </si>
  <si>
    <t>775360238</t>
  </si>
  <si>
    <t>ocn775360238</t>
  </si>
  <si>
    <t>31034057880</t>
  </si>
  <si>
    <t>9785717200912</t>
  </si>
  <si>
    <t>794907377</t>
  </si>
  <si>
    <t>PG2106 J34 1984</t>
  </si>
  <si>
    <t>0                      PG 2106000J  34          1984</t>
  </si>
  <si>
    <t>Russian and Slavic grammar : studies, 1931-1981 / Roman Jakobson ; edited by Linda R. Waugh and Morris Halle.</t>
  </si>
  <si>
    <t>Jakobson, Roman, 1896-1982.</t>
  </si>
  <si>
    <t>Berlin ; New York : Mouton Publishers, ©1984.</t>
  </si>
  <si>
    <t>Janua linguarum. Series maior ; 106</t>
  </si>
  <si>
    <t>2015-10-05</t>
  </si>
  <si>
    <t>1059215055:eng</t>
  </si>
  <si>
    <t>10349268</t>
  </si>
  <si>
    <t>ocm10349268</t>
  </si>
  <si>
    <t>3000356354W</t>
  </si>
  <si>
    <t>9789027930293</t>
  </si>
  <si>
    <t>792721879</t>
  </si>
  <si>
    <t>PG2106 S68 1981</t>
  </si>
  <si>
    <t>0                      PG 2106000S  68          1981</t>
  </si>
  <si>
    <t>Sovremennyĭ russkiĭ literaturnyĭ i︠a︡zyk / pod redakt︠s︡ieĭ N.M. Shanskogo ; [avtory N.M. Shanskiĭ and others].</t>
  </si>
  <si>
    <t>Leningrad : "Prosveshchenie, " Leningradskoe otd-nie, 1981.</t>
  </si>
  <si>
    <t>1981</t>
  </si>
  <si>
    <t>2019-05-29</t>
  </si>
  <si>
    <t>3856066685:rus</t>
  </si>
  <si>
    <t>8846899</t>
  </si>
  <si>
    <t>ocm08846899</t>
  </si>
  <si>
    <t>3102914866E</t>
  </si>
  <si>
    <t>792644429</t>
  </si>
  <si>
    <t>PG2106 T74 2003</t>
  </si>
  <si>
    <t>0                      PG 2106000T  74          2003</t>
  </si>
  <si>
    <t>Complete Russian grammar : uchebnik russkoĭi grammatiki dli︠a︡ anglo-govori︠a︡shchikh inostrant︠s︡ev / Vladimir Tsekhovoy.</t>
  </si>
  <si>
    <t>Tsekhovoy, Vladimir.</t>
  </si>
  <si>
    <t>St. Petersburg : D. Bulanin, 2003.</t>
  </si>
  <si>
    <t>9690608:eng</t>
  </si>
  <si>
    <t>52227644</t>
  </si>
  <si>
    <t>ocm52227644</t>
  </si>
  <si>
    <t>3102960262N</t>
  </si>
  <si>
    <t>9785860073692</t>
  </si>
  <si>
    <t>793801478</t>
  </si>
  <si>
    <t>PG2106 W33 1992</t>
  </si>
  <si>
    <t>0                      PG 2106000W  33          1992</t>
  </si>
  <si>
    <t>A comprehensive Russian grammar / Terence Wade.</t>
  </si>
  <si>
    <t>Wade, Terence Leslie Brian.</t>
  </si>
  <si>
    <t>Oxford, UK ; Cambridge, USA : B. Blackwell, 1992.</t>
  </si>
  <si>
    <t>2018-10-21</t>
  </si>
  <si>
    <t>915102:eng</t>
  </si>
  <si>
    <t>21969826</t>
  </si>
  <si>
    <t>ocm21969826</t>
  </si>
  <si>
    <t>3103087937H</t>
  </si>
  <si>
    <t>9780631158158</t>
  </si>
  <si>
    <t>793131644</t>
  </si>
  <si>
    <t>PG2106 W33 2000</t>
  </si>
  <si>
    <t>0                      PG 2106000W  33          2000</t>
  </si>
  <si>
    <t>A comprehensive Russian grammar / Terence Wade ; edited by Michael J. de K. Holman.</t>
  </si>
  <si>
    <t>Wade, Terence, 1930-2005.</t>
  </si>
  <si>
    <t>Malden, MA : Blackwell Publishers, 2000.</t>
  </si>
  <si>
    <t>2nd ed., rev. and expanded.</t>
  </si>
  <si>
    <t>Blackwell reference grammars</t>
  </si>
  <si>
    <t>2017-09-07</t>
  </si>
  <si>
    <t>42437139</t>
  </si>
  <si>
    <t>ocm42437139</t>
  </si>
  <si>
    <t>3102503914H</t>
  </si>
  <si>
    <t>9780631218913</t>
  </si>
  <si>
    <t>793607645</t>
  </si>
  <si>
    <t>2007-10-25</t>
  </si>
  <si>
    <t>3102542893P</t>
  </si>
  <si>
    <t>793607644</t>
  </si>
  <si>
    <t>PG2106 W33 2011</t>
  </si>
  <si>
    <t>0                      PG 2106000W  33          2011</t>
  </si>
  <si>
    <t>A comprehensive Russian grammar / Terence Wade ; revised and updated by David Gillespie.</t>
  </si>
  <si>
    <t>Chichester, West Sussex ; Malden, MA : Wiley-Blackwell, 2011.</t>
  </si>
  <si>
    <t>2018-05-28</t>
  </si>
  <si>
    <t>633146402</t>
  </si>
  <si>
    <t>ocn633146402</t>
  </si>
  <si>
    <t>31033121236</t>
  </si>
  <si>
    <t>9781405136396</t>
  </si>
  <si>
    <t>794825277</t>
  </si>
  <si>
    <t>PG2106 W333 2002</t>
  </si>
  <si>
    <t>0                      PG 2106000W  333         2002</t>
  </si>
  <si>
    <t>The Oxford Russian grammar and verbs / Terence Wade.</t>
  </si>
  <si>
    <t>Oxford : Oxford University Press, 2002.</t>
  </si>
  <si>
    <t>2002</t>
  </si>
  <si>
    <t>2019-01-06</t>
  </si>
  <si>
    <t>1217578264:eng</t>
  </si>
  <si>
    <t>59416831</t>
  </si>
  <si>
    <t>ocm59416831</t>
  </si>
  <si>
    <t>3102814540X</t>
  </si>
  <si>
    <t>9780198603801</t>
  </si>
  <si>
    <t>793929908</t>
  </si>
  <si>
    <t>PG2111 B412x</t>
  </si>
  <si>
    <t>0                      PG 2111000B  412x</t>
  </si>
  <si>
    <t>Russkiĭ i︠a︡zyk : uchebnoe posobie dli︠a︡ nerusskikh pedagogicheskikh uchilisch / A.S. Bedni︠a︡kov i A.S. Matiĭchenko.</t>
  </si>
  <si>
    <t>Ch. 1</t>
  </si>
  <si>
    <t>Bedni︠a︡kov, A. S. (Aleksandr Semenovich)</t>
  </si>
  <si>
    <t>Moskva : Gos. uchebno-pedagog izd-vo, 1959-</t>
  </si>
  <si>
    <t>Izd. 2.</t>
  </si>
  <si>
    <t>2018-10-16</t>
  </si>
  <si>
    <t>10032621962:rus</t>
  </si>
  <si>
    <t>5576533</t>
  </si>
  <si>
    <t>ocm05576533</t>
  </si>
  <si>
    <t>31028105884</t>
  </si>
  <si>
    <t>792440302</t>
  </si>
  <si>
    <t>Ch. 2</t>
  </si>
  <si>
    <t>2008-09-16</t>
  </si>
  <si>
    <t>3102914845I</t>
  </si>
  <si>
    <t>792440301</t>
  </si>
  <si>
    <t>PG2111 C5 1967</t>
  </si>
  <si>
    <t>0                      PG 2111000C  5           1967</t>
  </si>
  <si>
    <t>Russian for Americans [by] Ben T. Clark.</t>
  </si>
  <si>
    <t>Clark, Ben T.</t>
  </si>
  <si>
    <t>New York, Harper &amp; Row [1967]</t>
  </si>
  <si>
    <t>2015-04-12</t>
  </si>
  <si>
    <t>3857738404:eng</t>
  </si>
  <si>
    <t>322248</t>
  </si>
  <si>
    <t>ocm00322248</t>
  </si>
  <si>
    <t>3102914870C</t>
  </si>
  <si>
    <t>791336502</t>
  </si>
  <si>
    <t>PG2111 D65 1961</t>
  </si>
  <si>
    <t>0                      PG 2111000D  65          1961</t>
  </si>
  <si>
    <t>Basic Russian : a textbook for beginners / Rebecca A. Domar.</t>
  </si>
  <si>
    <t>Domar, Rebecca A.</t>
  </si>
  <si>
    <t>New York : McGraw-Hill, 1961.</t>
  </si>
  <si>
    <t>1961</t>
  </si>
  <si>
    <t>2017-02-11</t>
  </si>
  <si>
    <t>2493979:eng</t>
  </si>
  <si>
    <t>1668862</t>
  </si>
  <si>
    <t>ocm01668862</t>
  </si>
  <si>
    <t>3102914854G</t>
  </si>
  <si>
    <t>791826753</t>
  </si>
  <si>
    <t>PG2111 D89 1962</t>
  </si>
  <si>
    <t>0                      PG 2111000D  89          1962</t>
  </si>
  <si>
    <t>Russian for beginners / by Charles Duff and Dmitri Makaroff.</t>
  </si>
  <si>
    <t>C. 1</t>
  </si>
  <si>
    <t>Duff, Charles, 1894-1966.</t>
  </si>
  <si>
    <t>New York : Barnes &amp; Noble, [1962]</t>
  </si>
  <si>
    <t>Everyday handbook ; no. 287</t>
  </si>
  <si>
    <t>422975351:eng</t>
  </si>
  <si>
    <t>1080515</t>
  </si>
  <si>
    <t>ocm01080515</t>
  </si>
  <si>
    <t>3103601757A</t>
  </si>
  <si>
    <t>791540688</t>
  </si>
  <si>
    <t>2010-06-28</t>
  </si>
  <si>
    <t>3102785844S</t>
  </si>
  <si>
    <t>791540689</t>
  </si>
  <si>
    <t>PG2111 F6 1964</t>
  </si>
  <si>
    <t>0                      PG 2111000F  6           1964</t>
  </si>
  <si>
    <t>Russian grammar.</t>
  </si>
  <si>
    <t>Forbes, Nevill, 1883-1929.</t>
  </si>
  <si>
    <t>Oxford, Clarendon Press, 1964.</t>
  </si>
  <si>
    <t>3d ed., rev. and enl., by J.C. Dumbreck.</t>
  </si>
  <si>
    <t>1431944:eng</t>
  </si>
  <si>
    <t>450819</t>
  </si>
  <si>
    <t>ocm00450819</t>
  </si>
  <si>
    <t>3102914839K</t>
  </si>
  <si>
    <t>791382248</t>
  </si>
  <si>
    <t>PG2111 G7 1958</t>
  </si>
  <si>
    <t>0                      PG 2111000G  7           1958</t>
  </si>
  <si>
    <t>Essentials of Russian : reading, conversation, grammar / A. v. Gronicka, H. Bates-Yakobson.</t>
  </si>
  <si>
    <t>Von Gronicka, André, 1912-1999.</t>
  </si>
  <si>
    <t>Englewood Cliffs, N.J. : Prentice-Hall, 1958.</t>
  </si>
  <si>
    <t>1958</t>
  </si>
  <si>
    <t>2015-05-14</t>
  </si>
  <si>
    <t>289989722:eng</t>
  </si>
  <si>
    <t>234171217</t>
  </si>
  <si>
    <t>ocn234171217</t>
  </si>
  <si>
    <t>3102795987C</t>
  </si>
  <si>
    <t>794368855</t>
  </si>
  <si>
    <t>PG2111 K59 1959</t>
  </si>
  <si>
    <t>0                      PG 2111000K  59          1959</t>
  </si>
  <si>
    <t>A progressive Russian grammar : an up-to-date grammar for general use, having the new orthography and the simplified forms of grammar confirmed by the Commissariat of education of the R.S.F.S.R. / by J. Kolni-Balozky.</t>
  </si>
  <si>
    <t>Kolni-Balozky, J.</t>
  </si>
  <si>
    <t>London : [publisher not identified], [1959]</t>
  </si>
  <si>
    <t>Complete ed.</t>
  </si>
  <si>
    <t>2019-10-16</t>
  </si>
  <si>
    <t>5219219530:eng</t>
  </si>
  <si>
    <t>427569321</t>
  </si>
  <si>
    <t>ocn427569321</t>
  </si>
  <si>
    <t>3102914831K</t>
  </si>
  <si>
    <t>794690433</t>
  </si>
  <si>
    <t>PG2111 L83 1958</t>
  </si>
  <si>
    <t>0                      PG 2111000L  83          1958</t>
  </si>
  <si>
    <t>Fundamentals of Russian ; first Russian course.</t>
  </si>
  <si>
    <t>New York, Norton [1958]</t>
  </si>
  <si>
    <t>1405035:eng</t>
  </si>
  <si>
    <t>322689</t>
  </si>
  <si>
    <t>ocm00322689</t>
  </si>
  <si>
    <t>3102914853G</t>
  </si>
  <si>
    <t>791336663</t>
  </si>
  <si>
    <t>PG2111 M8 1960</t>
  </si>
  <si>
    <t>0                      PG 2111000M  8           1960</t>
  </si>
  <si>
    <t>Sixty Russian proses / A.B. Murphy and G.M. Schatunowski.</t>
  </si>
  <si>
    <t>Murphy, A. B. (Arthur Burgess)</t>
  </si>
  <si>
    <t>London : Methuen, ©1960.</t>
  </si>
  <si>
    <t>3374234922:eng</t>
  </si>
  <si>
    <t>6743686</t>
  </si>
  <si>
    <t>ocm06743686</t>
  </si>
  <si>
    <t>31030464879</t>
  </si>
  <si>
    <t>792520691</t>
  </si>
  <si>
    <t>PG2111 P552 1965</t>
  </si>
  <si>
    <t>0                      PG 2111000P  552         1965</t>
  </si>
  <si>
    <t>Russkiĭ i︠a︡zyk : vtorai︠a︡ kniga : russkai︠a︡ kul'tura / by Marianna Poltoratzky.</t>
  </si>
  <si>
    <t>Poltoratzky, Marianna A., 1906-</t>
  </si>
  <si>
    <t>Milwaukee, Wis. : Bruce Pub. Co., ©1965.</t>
  </si>
  <si>
    <t>1965</t>
  </si>
  <si>
    <t>Modern series in foreign languages</t>
  </si>
  <si>
    <t>2018-05-15</t>
  </si>
  <si>
    <t>5090536751:rus</t>
  </si>
  <si>
    <t>5235159</t>
  </si>
  <si>
    <t>ocm05235159</t>
  </si>
  <si>
    <t>3102914828M</t>
  </si>
  <si>
    <t>792418301</t>
  </si>
  <si>
    <t>PG2111 R5 1878</t>
  </si>
  <si>
    <t>0                      PG 2111000R  5           1878</t>
  </si>
  <si>
    <t>How to learn Russian, a manual for students of Russian, based upon the Ollendorffian system of teaching languages, and adapted for self-instruction, with a preface by W.R.S. Ralston.</t>
  </si>
  <si>
    <t>Riola, Henry.</t>
  </si>
  <si>
    <t>Boston : Houghton, Osgood &amp; Co., 1878.</t>
  </si>
  <si>
    <t>1878</t>
  </si>
  <si>
    <t>2015-09-11</t>
  </si>
  <si>
    <t>5614089:eng</t>
  </si>
  <si>
    <t>427545577</t>
  </si>
  <si>
    <t>ocn427545577</t>
  </si>
  <si>
    <t>3102927373A</t>
  </si>
  <si>
    <t>794682122</t>
  </si>
  <si>
    <t>PG2111 R83 1970z</t>
  </si>
  <si>
    <t>0                      PG 2111000R  83          1970z</t>
  </si>
  <si>
    <t>Russian in three months : an easy and rapid self-instructor ; grammar, exercises, key and vocabularies with imitated pronounciation.</t>
  </si>
  <si>
    <t>[London] : [Hugo's Language Books], [197-?]</t>
  </si>
  <si>
    <t>1900</t>
  </si>
  <si>
    <t>2019-09-17</t>
  </si>
  <si>
    <t>8912325107:eng</t>
  </si>
  <si>
    <t>7768131</t>
  </si>
  <si>
    <t>ocm07768131</t>
  </si>
  <si>
    <t>3102914857G</t>
  </si>
  <si>
    <t>792578657</t>
  </si>
  <si>
    <t>PG2111 S4 1962</t>
  </si>
  <si>
    <t>0                      PG 2111000S  4           1962</t>
  </si>
  <si>
    <t>Elementary Russian grammar [by] Louis Segal and K.H. Whibley.</t>
  </si>
  <si>
    <t>Segal, Louis, 1887-</t>
  </si>
  <si>
    <t>Cambridge, Harvard University Press, 1961 [i.e. 1962]</t>
  </si>
  <si>
    <t>1405028:rus</t>
  </si>
  <si>
    <t>322686</t>
  </si>
  <si>
    <t>ocm00322686</t>
  </si>
  <si>
    <t>3103601704V</t>
  </si>
  <si>
    <t>791336661</t>
  </si>
  <si>
    <t>PG2111 S56</t>
  </si>
  <si>
    <t>0                      PG 2111000S  56</t>
  </si>
  <si>
    <t>Posobie po russkomu i︠a︡zyku dli︠a︡ nachinai︠u︡shchikh : dli︠a︡ inostrant︠s︡ev / N.E. Shmidt, A.V. Frolkina.</t>
  </si>
  <si>
    <t>Shmidt, Natalʹi︠a︡ Eduardovna.</t>
  </si>
  <si>
    <t>Moskva : Izd-vo Moskovskogo universiteta, 1963.</t>
  </si>
  <si>
    <t>1963</t>
  </si>
  <si>
    <t>2017-12-06</t>
  </si>
  <si>
    <t>3857242536:rus</t>
  </si>
  <si>
    <t>2830916</t>
  </si>
  <si>
    <t>ocm02830916</t>
  </si>
  <si>
    <t>3102914837K</t>
  </si>
  <si>
    <t>792182244</t>
  </si>
  <si>
    <t>PG2111 Z5</t>
  </si>
  <si>
    <t>0                      PG 2111000Z  5</t>
  </si>
  <si>
    <t>Conversational Russian : a beginner's manual / by George A. Znamensky.</t>
  </si>
  <si>
    <t>Znamenskiĭ, G. A. (Georgiĭ Aleksandrovich), 1890-1975.</t>
  </si>
  <si>
    <t>Boston : Ginn and Co., ©1948.</t>
  </si>
  <si>
    <t>1948</t>
  </si>
  <si>
    <t>2016-10-17</t>
  </si>
  <si>
    <t>1026987860:rus</t>
  </si>
  <si>
    <t>2865481</t>
  </si>
  <si>
    <t>ocm02865481</t>
  </si>
  <si>
    <t>3102914911L</t>
  </si>
  <si>
    <t>792186735</t>
  </si>
  <si>
    <t>PG2112 B5</t>
  </si>
  <si>
    <t>0                      PG 2112000B  5</t>
  </si>
  <si>
    <t>The structure of Russian in outline / [by] Charles E. Bidwell.</t>
  </si>
  <si>
    <t>Bidwell, Charles E. (Charles Everett), 1923- author.</t>
  </si>
  <si>
    <t>[Pittsburgh] : University of Pittsburgh Press, [©1969]</t>
  </si>
  <si>
    <t>1194651:eng</t>
  </si>
  <si>
    <t>58052</t>
  </si>
  <si>
    <t>ocm00058052</t>
  </si>
  <si>
    <t>31029149915</t>
  </si>
  <si>
    <t>9780822931850</t>
  </si>
  <si>
    <t>791241886</t>
  </si>
  <si>
    <t>PG2112 D67 2003</t>
  </si>
  <si>
    <t>0                      PG 2112000D  67          2003</t>
  </si>
  <si>
    <t>Učebnaâ grammatika russkogo âzyka [Texte imprimé] : bazovyj kurs : 53 modeli / T.M. Dorofeeva, M.N. Lebedeva = Russian grammar in use : Basic course : 53 models / T.M. Dorofeyeva, M.N. Lebedeva.</t>
  </si>
  <si>
    <t>Dorofeeva, Tatʹâna Mihajlovna, Auteur.</t>
  </si>
  <si>
    <t>Moskva : Russkij âzyk Kursy, 2003.</t>
  </si>
  <si>
    <t>2017-09-19</t>
  </si>
  <si>
    <t>3863892244:rus</t>
  </si>
  <si>
    <t>496737122</t>
  </si>
  <si>
    <t>ocn496737122</t>
  </si>
  <si>
    <t>3103251234S</t>
  </si>
  <si>
    <t>9785883370174</t>
  </si>
  <si>
    <t>794802679</t>
  </si>
  <si>
    <t>PG2112 D862 2010</t>
  </si>
  <si>
    <t>0                      PG 2112000D  862         2010</t>
  </si>
  <si>
    <t>Modern Russian grammar workbook / by John Dunn, Shamil Khairov.</t>
  </si>
  <si>
    <t>Dunn, J. A. (John A.), 1949-</t>
  </si>
  <si>
    <t>London : Routledge, 2010.</t>
  </si>
  <si>
    <t>Routledge modern grammar</t>
  </si>
  <si>
    <t>2019-06-22</t>
  </si>
  <si>
    <t>3374165215:eng</t>
  </si>
  <si>
    <t>653082854</t>
  </si>
  <si>
    <t>ocn653082854</t>
  </si>
  <si>
    <t>3103344051H</t>
  </si>
  <si>
    <t>9780415425544</t>
  </si>
  <si>
    <t>794833614</t>
  </si>
  <si>
    <t>PG2112 F3</t>
  </si>
  <si>
    <t>0                      PG 2112000F  3</t>
  </si>
  <si>
    <t>Basic Russian, including audio-lingual materials [by] Mischa H. Fayer.</t>
  </si>
  <si>
    <t>Fayer, Mischa H. (Mischa Harry), 1902-1977.</t>
  </si>
  <si>
    <t>New York, Pitman Pub. Corp. [1969]-</t>
  </si>
  <si>
    <t>3943320156:eng</t>
  </si>
  <si>
    <t>12205</t>
  </si>
  <si>
    <t>ocm00012205</t>
  </si>
  <si>
    <t>3102810227P</t>
  </si>
  <si>
    <t>791227952</t>
  </si>
  <si>
    <t>V. 2, Pt. 1</t>
  </si>
  <si>
    <t>3102914885A</t>
  </si>
  <si>
    <t>791227951</t>
  </si>
  <si>
    <t>V. 2, Pt. 2</t>
  </si>
  <si>
    <t>31029148908</t>
  </si>
  <si>
    <t>791227950</t>
  </si>
  <si>
    <t>PG2112 K34 2002</t>
  </si>
  <si>
    <t>0                      PG 2112000K  34          2002</t>
  </si>
  <si>
    <t>Russian for Russians = Russkiĭ dli︠a︡ russkikh / Olga Kagan, Tatiana Akishina, Richard Robin.</t>
  </si>
  <si>
    <t>Kagan, Olga.</t>
  </si>
  <si>
    <t>Bloomington, Ind. : Slavica, 2002.</t>
  </si>
  <si>
    <t>2018-12-11</t>
  </si>
  <si>
    <t>738135:rus</t>
  </si>
  <si>
    <t>51741681</t>
  </si>
  <si>
    <t>ocm51741681</t>
  </si>
  <si>
    <t>31029148958</t>
  </si>
  <si>
    <t>9780893573010</t>
  </si>
  <si>
    <t>793790045</t>
  </si>
  <si>
    <t>PG2112 K5 1984</t>
  </si>
  <si>
    <t>0                      PG 2112000K  5           1984</t>
  </si>
  <si>
    <t>Russian in exercises / S. Khavronina, A. Shirochenskaya.</t>
  </si>
  <si>
    <t>Khavronina, S. A.</t>
  </si>
  <si>
    <t>Moscow : Russky yazyk, 1984.</t>
  </si>
  <si>
    <t>5th ed., rev. and enl.</t>
  </si>
  <si>
    <t>60765064:eng</t>
  </si>
  <si>
    <t>12337279</t>
  </si>
  <si>
    <t>ocm12337279</t>
  </si>
  <si>
    <t>3102914936H</t>
  </si>
  <si>
    <t>792810954</t>
  </si>
  <si>
    <t>PG2112 L39</t>
  </si>
  <si>
    <t>0                      PG 2112000L  39</t>
  </si>
  <si>
    <t>Reading modern Russian / Jules F. Levin and Peter D. Haikalis, with Anatole A. Forostenko.</t>
  </si>
  <si>
    <t>Levin, Jules F., author.</t>
  </si>
  <si>
    <t>Columbus, Ohio : Slavica Publishers, 1979.</t>
  </si>
  <si>
    <t>2017-05-17</t>
  </si>
  <si>
    <t>15182089:eng</t>
  </si>
  <si>
    <t>5020695</t>
  </si>
  <si>
    <t>ocm05020695</t>
  </si>
  <si>
    <t>3102914872C</t>
  </si>
  <si>
    <t>9780893570590</t>
  </si>
  <si>
    <t>792401918</t>
  </si>
  <si>
    <t>PG2112 M47 1993</t>
  </si>
  <si>
    <t>0                      PG 2112000M  47          1993</t>
  </si>
  <si>
    <t>Russkiĭ i︠a︡zyk v chasy dosuga : uchebnoe posobie / N.A. Mets, A.A. Akishina.</t>
  </si>
  <si>
    <t>Mets, N. A. (Nadezhda Andreevna)</t>
  </si>
  <si>
    <t>Moskva : Russkiĭ i︠a︡zyk, 1993.</t>
  </si>
  <si>
    <t>1915254774:rus</t>
  </si>
  <si>
    <t>30580583</t>
  </si>
  <si>
    <t>ocm30580583</t>
  </si>
  <si>
    <t>3102914877C</t>
  </si>
  <si>
    <t>9785200005895</t>
  </si>
  <si>
    <t>793339317</t>
  </si>
  <si>
    <t>PG2112 M7</t>
  </si>
  <si>
    <t>0                      PG 2112000M  7</t>
  </si>
  <si>
    <t>Russkii iazyk (prakticheskii kurs i grammaticheskii spravochnik.</t>
  </si>
  <si>
    <t>Mrevlishvili, T. N.</t>
  </si>
  <si>
    <t>Tbilisi, Izd-vo Tbilisskogo u-ta, 1974.</t>
  </si>
  <si>
    <t>1974</t>
  </si>
  <si>
    <t>34082301:rus</t>
  </si>
  <si>
    <t>21135124</t>
  </si>
  <si>
    <t>ocm21135124</t>
  </si>
  <si>
    <t>3102914843I</t>
  </si>
  <si>
    <t>793110089</t>
  </si>
  <si>
    <t>PG2112 R87 1976</t>
  </si>
  <si>
    <t>0                      PG 2112000R  87          1976</t>
  </si>
  <si>
    <t>Russkiĭ i︠a︡zyk : uchebnik dli︠a︡ 5-6 klassov / [avtory: M.T. Baranov ... et al. ; nauchnyĭ redaktor, N.M. Shanskiĭ].</t>
  </si>
  <si>
    <t>Moskva : Prosveshchenie, 1976.</t>
  </si>
  <si>
    <t>3-e izd.</t>
  </si>
  <si>
    <t>2016-06-08</t>
  </si>
  <si>
    <t>3859434083:rus</t>
  </si>
  <si>
    <t>57250094</t>
  </si>
  <si>
    <t>ocm57250094</t>
  </si>
  <si>
    <t>3102820957U</t>
  </si>
  <si>
    <t>793909746</t>
  </si>
  <si>
    <t>PG2112 S32 1965</t>
  </si>
  <si>
    <t>0                      PG 2112000S  32          1965</t>
  </si>
  <si>
    <t>Sbornik uprazhneniĭ po leksike : prakticheskoe posobie po russkomu i︠a︡zyku dli︠a︡ inostrant︠s︡ev / redaktor O.A. Satirova; avtory razdelov : Ė.I. Amiantova [and seven others].</t>
  </si>
  <si>
    <t>Moskva : Izdatelʹstvo Moskovskogo universiteta, 1965.</t>
  </si>
  <si>
    <t>4131903522:rus</t>
  </si>
  <si>
    <t>7261932</t>
  </si>
  <si>
    <t>ocm07261932</t>
  </si>
  <si>
    <t>3102914907N</t>
  </si>
  <si>
    <t>792549612</t>
  </si>
  <si>
    <t>PG2112 Z246 1965</t>
  </si>
  <si>
    <t>0                      PG 2112000Z  246         1965</t>
  </si>
  <si>
    <t>Russkiĭ i︠a︡zyk : Uchebnik dli︠a︡ chetvertogo klassa nachalʹnoĭ shkoly / M.L. Zakozhurnikova i N.S. Rozhdestvenskiĭ ; Pod red. M.A. Melʹnikova.</t>
  </si>
  <si>
    <t>Zakozhurnikova, M. L. (Marii︠a︡ Leonidovna)</t>
  </si>
  <si>
    <t>Moskva : Prosveshchenie, 1965.</t>
  </si>
  <si>
    <t>Izd. 11.</t>
  </si>
  <si>
    <t>2018-10-04</t>
  </si>
  <si>
    <t>3857701688:rus</t>
  </si>
  <si>
    <t>61597867</t>
  </si>
  <si>
    <t>ocm61597867</t>
  </si>
  <si>
    <t>3102914903N</t>
  </si>
  <si>
    <t>794037103</t>
  </si>
  <si>
    <t>PG2113 G73 1952</t>
  </si>
  <si>
    <t>0                      PG 2113000G  73          1952</t>
  </si>
  <si>
    <t>Graded Russian readers; books one to five. general editors; O.F. Bond and C.V. Bobrinskoy.</t>
  </si>
  <si>
    <t>Bond, Otto F. (Otto Ferdinand), 1885-1980, editor.</t>
  </si>
  <si>
    <t>Boston D.C. Heath and Co., ©1952.</t>
  </si>
  <si>
    <t>The Heath-Chicago Russian series</t>
  </si>
  <si>
    <t>2018-12-16</t>
  </si>
  <si>
    <t>6943782:eng</t>
  </si>
  <si>
    <t>1265139</t>
  </si>
  <si>
    <t>ocm01265139</t>
  </si>
  <si>
    <t>3102914908N</t>
  </si>
  <si>
    <t>791587583</t>
  </si>
  <si>
    <t>PG2113 K65</t>
  </si>
  <si>
    <t>0                      PG 2113000K  65</t>
  </si>
  <si>
    <t>Russian prose, edited by S. Konovalov and F. Friedeberg Seeley.</t>
  </si>
  <si>
    <t>Konovalov, S. (Serge), 1899-1982, editor.</t>
  </si>
  <si>
    <t>New York, International universities Press [1945]-</t>
  </si>
  <si>
    <t>1945</t>
  </si>
  <si>
    <t>Russian texts; general editor: S. Konovalov</t>
  </si>
  <si>
    <t>1879846054:rus</t>
  </si>
  <si>
    <t>1706806</t>
  </si>
  <si>
    <t>ocm01706806</t>
  </si>
  <si>
    <t>3102914913L</t>
  </si>
  <si>
    <t>791841142</t>
  </si>
  <si>
    <t>PG2115 S53 2008</t>
  </si>
  <si>
    <t>0                      PG 2115000S  53          2008</t>
  </si>
  <si>
    <t>Shkatulochka : posobie po chtenii︠u︡ dli︠a︡ inostrant︠s︡ev, nachinai︠u︡shchikh izuchatʹ russkiĭ i︠a︡zyk (nachalʹnyĭ ėtap) / pod redakt︠s︡ieĭ O.Ė. Chubarovoĭ.</t>
  </si>
  <si>
    <t>Moskva : Russkiĭ i︠a︡zyk Kursy, 2008.</t>
  </si>
  <si>
    <t>2008</t>
  </si>
  <si>
    <t>10033274608:rus</t>
  </si>
  <si>
    <t>729256244</t>
  </si>
  <si>
    <t>ocn729256244</t>
  </si>
  <si>
    <t>3103340504S</t>
  </si>
  <si>
    <t>9785883371782</t>
  </si>
  <si>
    <t>794879157</t>
  </si>
  <si>
    <t>PG2117 B3x</t>
  </si>
  <si>
    <t>0                      PG 2117000B  3x</t>
  </si>
  <si>
    <t>Kniga dli︠a︡ chtenii︠a︡ po russkomu i︠a︡zyku / sostaviteli, A.N. Barykina, V.V. Dobrovolʹskai︠a︡.</t>
  </si>
  <si>
    <t>Moskva : Izd-vo Moskovskogo universiteta, 1964.</t>
  </si>
  <si>
    <t>Dli︠a︡ inostrant︠s︡ev</t>
  </si>
  <si>
    <t>57596063:rus</t>
  </si>
  <si>
    <t>3753025</t>
  </si>
  <si>
    <t>ocm03753025</t>
  </si>
  <si>
    <t>3102914884A</t>
  </si>
  <si>
    <t>792287910</t>
  </si>
  <si>
    <t>PG2117 B58 1962</t>
  </si>
  <si>
    <t>0                      PG 2117000B  58          1962</t>
  </si>
  <si>
    <t>Golden age of Russian literature, by Tatiana Bobrinskoy and Irina Gsovskaya.</t>
  </si>
  <si>
    <t>Bobrinskoy, Tania.</t>
  </si>
  <si>
    <t>New York, Pitman Pub. Corp. [1962]</t>
  </si>
  <si>
    <t>2018-02-22</t>
  </si>
  <si>
    <t>10142894257:rus</t>
  </si>
  <si>
    <t>2921963</t>
  </si>
  <si>
    <t>ocm02921963</t>
  </si>
  <si>
    <t>3102914889A</t>
  </si>
  <si>
    <t>792193853</t>
  </si>
  <si>
    <t>PG2117 E76 2010</t>
  </si>
  <si>
    <t>0                      PG 2117000E  76          2010</t>
  </si>
  <si>
    <t>Po stranit︠s︡am Pushkina / podgotovka teksta, V.S. Ermachenkova.</t>
  </si>
  <si>
    <t>Ermachenkova, V. S., compiler.</t>
  </si>
  <si>
    <t>Sankt-Peterburg : Zlatoust, 2010.</t>
  </si>
  <si>
    <t>Biblioteka Zlatousta</t>
  </si>
  <si>
    <t>2019-04-19</t>
  </si>
  <si>
    <t>865152469:rus</t>
  </si>
  <si>
    <t>711888792</t>
  </si>
  <si>
    <t>ocn711888792</t>
  </si>
  <si>
    <t>3103340604P</t>
  </si>
  <si>
    <t>9785865475194</t>
  </si>
  <si>
    <t>794871358</t>
  </si>
  <si>
    <t>PG2117 H3</t>
  </si>
  <si>
    <t>0                      PG 2117000H  3</t>
  </si>
  <si>
    <t>New voices : contemporary Soviet short stories / edited by Kenneth Harper, Galina Konlaeff, Margarita Gisetti, University of California at Los Angeles.</t>
  </si>
  <si>
    <t>New York ; San Diego ; Chicago ; San Francisco ; Atlanta : Harcourt, Brace Jovanovich, Inc., [1966]</t>
  </si>
  <si>
    <t>2018-04-16</t>
  </si>
  <si>
    <t>375105729:rus</t>
  </si>
  <si>
    <t>322834</t>
  </si>
  <si>
    <t>ocm00322834</t>
  </si>
  <si>
    <t>3102914905N</t>
  </si>
  <si>
    <t>791336735</t>
  </si>
  <si>
    <t>PG2117 I28 2009</t>
  </si>
  <si>
    <t>0                      PG 2117000I  28          2009</t>
  </si>
  <si>
    <t>Kaleidoscope : Russia reading book / Vladimir Iatselenko = Kaleĭdoskop : kniga dli︠a︡ chtenii︠a︡ na russkom i︠a︡zyke dli︠a︡ inostrant︠s︡ev / V.A. I︠A︡t︠s︡elenko.</t>
  </si>
  <si>
    <t>I︠A︡t︠s︡elenko, Vladimir (Vladimir Aleksandrovich)</t>
  </si>
  <si>
    <t>Moskva : Russkiĭ i︠a︡zyk. Kursy, 2009.</t>
  </si>
  <si>
    <t>907658258:rus</t>
  </si>
  <si>
    <t>729424409</t>
  </si>
  <si>
    <t>ocn729424409</t>
  </si>
  <si>
    <t>3103340571E</t>
  </si>
  <si>
    <t>9785883371805</t>
  </si>
  <si>
    <t>794879465</t>
  </si>
  <si>
    <t>PG2117 I9</t>
  </si>
  <si>
    <t>0                      PG 2117000I  9</t>
  </si>
  <si>
    <t>Russian short stories. Selected and edited for intermediate classes. / General editor: George V. Bobrinskoy.</t>
  </si>
  <si>
    <t>Iwanik, John, editor.</t>
  </si>
  <si>
    <t>Boston, Mass. : D.C. Heath, [1962]</t>
  </si>
  <si>
    <t>10032682054:eng</t>
  </si>
  <si>
    <t>61585462</t>
  </si>
  <si>
    <t>ocm61585462</t>
  </si>
  <si>
    <t>3102914951D</t>
  </si>
  <si>
    <t>794023140</t>
  </si>
  <si>
    <t>PG2117 J57 1971</t>
  </si>
  <si>
    <t>0                      PG 2117000J  57          1971</t>
  </si>
  <si>
    <t>Jokes, anecdotes, short stories / [compiled by B.G. Anpilogova, E.Y. Vladimirsky and E.Y. Sosenko. Notes translated by V.N. Korotky].</t>
  </si>
  <si>
    <t>Moscow : Progress Publishers, 1973.</t>
  </si>
  <si>
    <t>1973</t>
  </si>
  <si>
    <t>58396913:rus</t>
  </si>
  <si>
    <t>227410</t>
  </si>
  <si>
    <t>ocm00227410</t>
  </si>
  <si>
    <t>3102914961B</t>
  </si>
  <si>
    <t>791300527</t>
  </si>
  <si>
    <t>PG2117 L56 1965</t>
  </si>
  <si>
    <t>0                      PG 2117000L  56          1965</t>
  </si>
  <si>
    <t>To Moscow : V Moskvu: kniga dli︠a︡ chtenii︠a︡.</t>
  </si>
  <si>
    <t>Lloyd, C. C.</t>
  </si>
  <si>
    <t>Oxford Pergamon Press [1965]</t>
  </si>
  <si>
    <t>The Commonwealth and international library of science, technology, engineering and liberal studies</t>
  </si>
  <si>
    <t>8427703:eng</t>
  </si>
  <si>
    <t>427504170</t>
  </si>
  <si>
    <t>ocn427504170</t>
  </si>
  <si>
    <t>3102914935H</t>
  </si>
  <si>
    <t>794669437</t>
  </si>
  <si>
    <t>PG2117 N56 1998</t>
  </si>
  <si>
    <t>0                      PG 2117000N  56          1998</t>
  </si>
  <si>
    <t>Nineteenth-century Russian literature : an introductory reader / text compiled by Boris Lanin ; edited with notes &amp; vocabulary by David Gillespie.</t>
  </si>
  <si>
    <t>London : Bristol Classical Press, 1998.</t>
  </si>
  <si>
    <t>Russian studies</t>
  </si>
  <si>
    <t>2018-08-22</t>
  </si>
  <si>
    <t>816283:rus</t>
  </si>
  <si>
    <t>42215416</t>
  </si>
  <si>
    <t>ocm42215416</t>
  </si>
  <si>
    <t>3102523898V</t>
  </si>
  <si>
    <t>9781853995699</t>
  </si>
  <si>
    <t>793603344</t>
  </si>
  <si>
    <t>PG2117 N683 2010</t>
  </si>
  <si>
    <t>0                      PG 2117000N  683         2010</t>
  </si>
  <si>
    <t>Udivitelʹnye istorii : 116 tekstov dli︠a︡ chtenii︠a︡, izuchenii︠a︡ i razvlechenii︠a︡ : uchebnoe posobie / N.S. Novikova, O.M. Shcherbakova.</t>
  </si>
  <si>
    <t>Novikova, N. S. (Natalʹii︠a︡ Stepanovna), author.</t>
  </si>
  <si>
    <t>Moskva : Flinta : Nauka, 2010.</t>
  </si>
  <si>
    <t>2018-03-22</t>
  </si>
  <si>
    <t>5417855250:rus</t>
  </si>
  <si>
    <t>1050872578</t>
  </si>
  <si>
    <t>on1050872578</t>
  </si>
  <si>
    <t>3103284173X</t>
  </si>
  <si>
    <t>9785893493931</t>
  </si>
  <si>
    <t>795061621</t>
  </si>
  <si>
    <t>PG2117 P44 1959</t>
  </si>
  <si>
    <t>0                      PG 2117000P  44          1959</t>
  </si>
  <si>
    <t>Elementary Russian reader.</t>
  </si>
  <si>
    <t>Patrick, George Z. (George Zinovei), 1886-1946.</t>
  </si>
  <si>
    <t>New York, Pitman [1959]</t>
  </si>
  <si>
    <t>2d ed. rev. by Ludmilla A. Patrick.</t>
  </si>
  <si>
    <t>2584970:eng</t>
  </si>
  <si>
    <t>1812222</t>
  </si>
  <si>
    <t>ocm01812222</t>
  </si>
  <si>
    <t>3102914919L</t>
  </si>
  <si>
    <t>791992693</t>
  </si>
  <si>
    <t>PG2117 P5x</t>
  </si>
  <si>
    <t>0                      PG 2117000P  5x</t>
  </si>
  <si>
    <t>Everyday Russian : a reader / edited by H.J. Pitcher.</t>
  </si>
  <si>
    <t>Pitcher, Harvey J., editor.</t>
  </si>
  <si>
    <t>Letchworth, Hert. : Bradda Books, 1966.</t>
  </si>
  <si>
    <t>2018-03-10</t>
  </si>
  <si>
    <t>1324099:eng</t>
  </si>
  <si>
    <t>1474373</t>
  </si>
  <si>
    <t>ocm01474373</t>
  </si>
  <si>
    <t>3102914924J</t>
  </si>
  <si>
    <t>791641401</t>
  </si>
  <si>
    <t>PG2117 R63 2009</t>
  </si>
  <si>
    <t>0                      PG 2117000R  63          2009</t>
  </si>
  <si>
    <t>Russia day by day / Alla Rodimkina, Neil Landsman.</t>
  </si>
  <si>
    <t>v.1</t>
  </si>
  <si>
    <t>Rodimkina, Alla.</t>
  </si>
  <si>
    <t>St. Petersburg : Zlatoust, 2009-</t>
  </si>
  <si>
    <t>1233219512:rus</t>
  </si>
  <si>
    <t>608559457</t>
  </si>
  <si>
    <t>ocn608559457</t>
  </si>
  <si>
    <t>3103302929O</t>
  </si>
  <si>
    <t>9785865474890</t>
  </si>
  <si>
    <t>794819533</t>
  </si>
  <si>
    <t>PG2117 S53 2017</t>
  </si>
  <si>
    <t>0                      PG 2117000S  53          2017</t>
  </si>
  <si>
    <t>Shkatulka : posobie po chtenii︠u︡ dli︠a︡ inostrannt︠s︡ev, nachinai︠u︡shchikh izuchatʹ russkiĭ i︠a︡zyk / pod redakt︠s︡ieĭ O. Ė Chubarovoĭ ; [avtory tekstov: K.B. Baburina [and seven others]] ; [avtory uprazhneniĭ: K.B. Baburina, O.Ė. Chubarova].</t>
  </si>
  <si>
    <t>Moskva : Russkiĭ i︠a︡zyk Kursy, 2017.</t>
  </si>
  <si>
    <t>Devi︠a︡toe izdanie, stereotipnoe.</t>
  </si>
  <si>
    <t>2018-09-30</t>
  </si>
  <si>
    <t>3860722497:rus</t>
  </si>
  <si>
    <t>1035765175</t>
  </si>
  <si>
    <t>on1035765175</t>
  </si>
  <si>
    <t>3103767398D</t>
  </si>
  <si>
    <t>9785883370921</t>
  </si>
  <si>
    <t>795057813</t>
  </si>
  <si>
    <t>PG2117 W4</t>
  </si>
  <si>
    <t>0                      PG 2117000W  4</t>
  </si>
  <si>
    <t>We read Russian : collection of Russian texts with notes and exercises for English-speaking students of Russian / L. Astakhova [and others] ; edited by N. Fudel.</t>
  </si>
  <si>
    <t>Moscow : Foreign Languages Pub. House, [1963?]</t>
  </si>
  <si>
    <t>2015-11-19</t>
  </si>
  <si>
    <t>474249321:eng</t>
  </si>
  <si>
    <t>215812</t>
  </si>
  <si>
    <t>ocm00215812</t>
  </si>
  <si>
    <t>3102914959D</t>
  </si>
  <si>
    <t>791296138</t>
  </si>
  <si>
    <t>PG2119 L45 2014</t>
  </si>
  <si>
    <t>0                      PG 2119000L  45          2014</t>
  </si>
  <si>
    <t>Leksicheskiĭ minimum po russkomu i︠a︡zyku kak inostrannomu. Vtoroĭ sertifikat︠s︡ionnyĭ urovenʹ : obshchee vladenie / [sostaviteli, Andri︠u︡shina N.P. ... (et al.)].</t>
  </si>
  <si>
    <t>Moskva : T︠S︡MO MGU ; Sankt Peterburg : Zlatoust, 2014.</t>
  </si>
  <si>
    <t>2869332532:rus</t>
  </si>
  <si>
    <t>904958534</t>
  </si>
  <si>
    <t>ocn904958534</t>
  </si>
  <si>
    <t>31038803479</t>
  </si>
  <si>
    <t>9785865477990</t>
  </si>
  <si>
    <t>794990959</t>
  </si>
  <si>
    <t>PG2119 L45 2018</t>
  </si>
  <si>
    <t>0                      PG 2119000L  45          2018</t>
  </si>
  <si>
    <t>Leksicheskiĭ minimum po russkomu i︠a︡zyku kak inostrannomu. Tretiĭ sertifikat︠s︡ionnyĭ urovenʹ : obshchee vladenie / sostaviteli : N.P. Andri︠u︡shina [and others].</t>
  </si>
  <si>
    <t>Sankt-Peterburg : "Zlatoust", 2018.</t>
  </si>
  <si>
    <t>10032966295:rus</t>
  </si>
  <si>
    <t>1124345886</t>
  </si>
  <si>
    <t>on1124345886</t>
  </si>
  <si>
    <t>3103880331O</t>
  </si>
  <si>
    <t>9785865479703</t>
  </si>
  <si>
    <t>795085547</t>
  </si>
  <si>
    <t>PG2119 T47 2009</t>
  </si>
  <si>
    <t>0                      PG 2119000T  47          2009</t>
  </si>
  <si>
    <t>Testy, testy, testy-- : posobie dli︠a︡ podgotovki k sertifikat︠s︡ionnomu ėkzamenu po leksike i grammatike / [avtorskiĭ kollektiv, T.I. Kapitonova and others].</t>
  </si>
  <si>
    <t>Sankt-Peterburg : Zlatoust, 2009.</t>
  </si>
  <si>
    <t>3. izd.</t>
  </si>
  <si>
    <t>2018-10-29</t>
  </si>
  <si>
    <t>3091416008:rus</t>
  </si>
  <si>
    <t>493990763</t>
  </si>
  <si>
    <t>ocn493990763</t>
  </si>
  <si>
    <t>3103340519Q</t>
  </si>
  <si>
    <t>9785865474067</t>
  </si>
  <si>
    <t>794801337</t>
  </si>
  <si>
    <t>PG2119 T47 2018</t>
  </si>
  <si>
    <t>0                      PG 2119000T  47          2018</t>
  </si>
  <si>
    <t>Testy, testy, testy ... : II sertifikat︠s︡ionnyĭ uroven'] : posobie dli︠a︡ podgotovki k sertifikat︠s︡ionnomu ėkzamenu po leksike i grammatike / nauchnyĭ redaktor T.I. Kapitonova.</t>
  </si>
  <si>
    <t>12-e izdanie.</t>
  </si>
  <si>
    <t>9795881628:rus</t>
  </si>
  <si>
    <t>1130310275</t>
  </si>
  <si>
    <t>on1130310275</t>
  </si>
  <si>
    <t>3103880323N</t>
  </si>
  <si>
    <t>9785865478201</t>
  </si>
  <si>
    <t>795086767</t>
  </si>
  <si>
    <t>PG2121 G43 1974</t>
  </si>
  <si>
    <t>0                      PG 2121000G  43          1974</t>
  </si>
  <si>
    <t>The Russian's world : life and language.</t>
  </si>
  <si>
    <t>Gerhart, Genevra.</t>
  </si>
  <si>
    <t>New York : Harcourt Brace Jovanovich, [1974]</t>
  </si>
  <si>
    <t>2016-09-19</t>
  </si>
  <si>
    <t>413890:eng</t>
  </si>
  <si>
    <t>983699</t>
  </si>
  <si>
    <t>ocm00983699</t>
  </si>
  <si>
    <t>31029149965</t>
  </si>
  <si>
    <t>9780155779839</t>
  </si>
  <si>
    <t>791518278</t>
  </si>
  <si>
    <t>PG2121 L364 2010</t>
  </si>
  <si>
    <t>0                      PG 2121000L  364         2010</t>
  </si>
  <si>
    <t>Colloquial Russian : the complete course for beginners / Svetlana le Fleming and Susan E. Kay.</t>
  </si>
  <si>
    <t>Le Fleming, Svetlana.</t>
  </si>
  <si>
    <t>Milton Park, Abingdon, Oxon ; New York : Routledge, 2010.</t>
  </si>
  <si>
    <t>New ed.</t>
  </si>
  <si>
    <t>The colloquial series</t>
  </si>
  <si>
    <t>2019-10-24</t>
  </si>
  <si>
    <t>796410273:eng</t>
  </si>
  <si>
    <t>302099335</t>
  </si>
  <si>
    <t>ocn302099335</t>
  </si>
  <si>
    <t>31032528424</t>
  </si>
  <si>
    <t>9780415469951</t>
  </si>
  <si>
    <t>794433341</t>
  </si>
  <si>
    <t>PG2127 H5 S67</t>
  </si>
  <si>
    <t>0                      PG 2127000H  5                  S  67</t>
  </si>
  <si>
    <t>Graded readings in Russian history; the formation of the Russian state.</t>
  </si>
  <si>
    <t>Stilman, Leon.</t>
  </si>
  <si>
    <t>New York, Columbia University Press, 1960.</t>
  </si>
  <si>
    <t>Columbia Slavic studies</t>
  </si>
  <si>
    <t>2017-05-29</t>
  </si>
  <si>
    <t>235347273:rus</t>
  </si>
  <si>
    <t>1210458</t>
  </si>
  <si>
    <t>ocm01210458</t>
  </si>
  <si>
    <t>31029150009</t>
  </si>
  <si>
    <t>791574339</t>
  </si>
  <si>
    <t>PG2128 A45 2009</t>
  </si>
  <si>
    <t>0                      PG 2128000A  45          2009</t>
  </si>
  <si>
    <t>Ėmot︠s︡ii i mnenii︠a︡ : vyrazhenie chuvstv v russkom i︠a︡zyke : posobie po razviti︠u︡ russkoĭ ustnoĭ rechi / A.A. Akishina, T.E. Akishina.</t>
  </si>
  <si>
    <t>(text + CD)</t>
  </si>
  <si>
    <t>Akishina, Alla Aleksandrovna.</t>
  </si>
  <si>
    <t>Moskva : Russkiĭ i︠a︡zyk Kursy, 2009.</t>
  </si>
  <si>
    <t>Izd. 3., stereotipnoe.</t>
  </si>
  <si>
    <t>2018-05-03</t>
  </si>
  <si>
    <t>10033280332:rus</t>
  </si>
  <si>
    <t>729756923</t>
  </si>
  <si>
    <t>ocn729756923</t>
  </si>
  <si>
    <t>3103340606P</t>
  </si>
  <si>
    <t>9785883370419</t>
  </si>
  <si>
    <t>794879644</t>
  </si>
  <si>
    <t>PG2128 B646 2009</t>
  </si>
  <si>
    <t>0                      PG 2128000B  646         2009</t>
  </si>
  <si>
    <t>Novosti iz Rossii 2009 : russkiĭ i︠a︡zyk v sredstvakh massovoĭ informat︠s︡ii : posobie dli︠a︡ izuchai︠u︡shchikh russkiĭ i︠a︡zyk kak inostrannyĭ / A.N. Bogomolov.</t>
  </si>
  <si>
    <t>Bogomolov, Andreĭ.</t>
  </si>
  <si>
    <t>Izd. 4. pererabotannoe i dopolnennoe.</t>
  </si>
  <si>
    <t>2015-12-18</t>
  </si>
  <si>
    <t>5083311935:rus</t>
  </si>
  <si>
    <t>429189545</t>
  </si>
  <si>
    <t>ocn429189545</t>
  </si>
  <si>
    <t>3103150831K</t>
  </si>
  <si>
    <t>9785883372048</t>
  </si>
  <si>
    <t>794779531</t>
  </si>
  <si>
    <t>PG2128 K67 2010</t>
  </si>
  <si>
    <t>0                      PG 2128000K  67          2010</t>
  </si>
  <si>
    <t>Zagadaĭ zhelanie : posobie po razvitii︠u︡ rechi dli︠a︡ izuchai︠u︡shchikh russkiĭ i︠a︡zyk kak inostrannyĭ / O.N. Korotkova, I.V. Odint︠s︡ova.</t>
  </si>
  <si>
    <t>Korotkova, O. N.</t>
  </si>
  <si>
    <t>2. izd., ispr.</t>
  </si>
  <si>
    <t>2013-06-17</t>
  </si>
  <si>
    <t>8911659624:rus</t>
  </si>
  <si>
    <t>588533261</t>
  </si>
  <si>
    <t>ocn588533261</t>
  </si>
  <si>
    <t>31033407944</t>
  </si>
  <si>
    <t>9785865475248</t>
  </si>
  <si>
    <t>794814645</t>
  </si>
  <si>
    <t>PG2128 Z6</t>
  </si>
  <si>
    <t>0                      PG 2128000Z  6</t>
  </si>
  <si>
    <t>Posobie po razvitii︠u︡ navykov russkoĭ razgovornoĭ rechi : intensivnyĭ kurs dli︠a︡ inostrant︠s︡ev, passivno vladei︠u︡shchikh rus. i︠a︡z. / E.A. Zlobina, I.T. Temchina.</t>
  </si>
  <si>
    <t>Zlobina, E. A. (Ekaterina Antonovna)</t>
  </si>
  <si>
    <t>Moskva : Nauka, 1975.</t>
  </si>
  <si>
    <t>3857250459:rus</t>
  </si>
  <si>
    <t>2600723</t>
  </si>
  <si>
    <t>ocm02600723</t>
  </si>
  <si>
    <t>3000650402J</t>
  </si>
  <si>
    <t>792150279</t>
  </si>
  <si>
    <t>PG2129 E5 K337 2015</t>
  </si>
  <si>
    <t>0                      PG 2129000E  5                  K  337         2015</t>
  </si>
  <si>
    <t>Russian : from intermediate to advanced / Olga E. Kagan, Anna S. Kudyma, Frank J. Miller.</t>
  </si>
  <si>
    <t>Kagan, Olga, author.</t>
  </si>
  <si>
    <t>Abingdon, Oxon : Routledge, an imprint of the Taylor &amp; Francis Group, 2015.</t>
  </si>
  <si>
    <t>2015</t>
  </si>
  <si>
    <t>2019-09-18</t>
  </si>
  <si>
    <t>2019-10-15</t>
  </si>
  <si>
    <t>2178363596:eng</t>
  </si>
  <si>
    <t>870199365</t>
  </si>
  <si>
    <t>ocn870199365</t>
  </si>
  <si>
    <t>3103863072J</t>
  </si>
  <si>
    <t>9780415712279</t>
  </si>
  <si>
    <t>794966196</t>
  </si>
  <si>
    <t>31037102054</t>
  </si>
  <si>
    <t>794966197</t>
  </si>
  <si>
    <t>PG2129 E5 K3814 2008</t>
  </si>
  <si>
    <t>0                      PG 2129000E  5                  K  3814        2008</t>
  </si>
  <si>
    <t>Le russe pour les nuls / Andrew Kaufman, Serafima Gettys ; traduction par Cécile Giroldi ; adaptation par Vincent Bénet, Oleg Chinkarouk.</t>
  </si>
  <si>
    <t>&lt;text + 1 CD&gt;</t>
  </si>
  <si>
    <t>Kaufman, Andrew, 1969- author.</t>
  </si>
  <si>
    <t>Paris : First editions, 2008.</t>
  </si>
  <si>
    <t>Pour les nuls</t>
  </si>
  <si>
    <t>2016-09-28</t>
  </si>
  <si>
    <t>4495166370:fre</t>
  </si>
  <si>
    <t>959414501</t>
  </si>
  <si>
    <t>ocn959414501</t>
  </si>
  <si>
    <t>3103683850$</t>
  </si>
  <si>
    <t>9782754008136</t>
  </si>
  <si>
    <t>795022413</t>
  </si>
  <si>
    <t>PG2129 E5 K83 2010</t>
  </si>
  <si>
    <t>0                      PG 2129000E  5                  K  83          2010</t>
  </si>
  <si>
    <t>Beginner's Russian with interactive online workbook : a basic Russian course / Anna S. Kudyma, Frank J. Miller, Olga E. Kagan.</t>
  </si>
  <si>
    <t>Kudyma, Anna.</t>
  </si>
  <si>
    <t>New York : Hippocrene Books, ©2010.</t>
  </si>
  <si>
    <t>2019-07-02</t>
  </si>
  <si>
    <t>2289478691:eng</t>
  </si>
  <si>
    <t>642510245</t>
  </si>
  <si>
    <t>ocn642510245</t>
  </si>
  <si>
    <t>31035568379</t>
  </si>
  <si>
    <t>9780781812511</t>
  </si>
  <si>
    <t>794828285</t>
  </si>
  <si>
    <t>PG2129 E5 L8 2001</t>
  </si>
  <si>
    <t>0                      PG 2129000E  5                  L  8           2001</t>
  </si>
  <si>
    <t>Nachalo / Sophia Lubensky, Larry McLellan, Gerald L. Ervin, Donald K. Jarvis.</t>
  </si>
  <si>
    <t>textbook 2</t>
  </si>
  <si>
    <t>Boston, Mass. : McGraw-Hill, ©2001-2002.</t>
  </si>
  <si>
    <t>2019-07-25</t>
  </si>
  <si>
    <t>3702686274:eng</t>
  </si>
  <si>
    <t>44712976</t>
  </si>
  <si>
    <t>ocm44712976</t>
  </si>
  <si>
    <t>31025083409</t>
  </si>
  <si>
    <t>9780073655154</t>
  </si>
  <si>
    <t>793656396</t>
  </si>
  <si>
    <t>Workbook 2 (+ CD1-2)</t>
  </si>
  <si>
    <t>3103404193K</t>
  </si>
  <si>
    <t>793656393</t>
  </si>
  <si>
    <t>textbook 1 ( + 2 CDs)</t>
  </si>
  <si>
    <t>3102537002F</t>
  </si>
  <si>
    <t>793656397</t>
  </si>
  <si>
    <t>(Workbook 2 + 2 CDs)</t>
  </si>
  <si>
    <t>2012-05-02</t>
  </si>
  <si>
    <t>31025083429</t>
  </si>
  <si>
    <t>793656395</t>
  </si>
  <si>
    <t>3103404198K</t>
  </si>
  <si>
    <t>793656394</t>
  </si>
  <si>
    <t>PG2129 E5 M47 2006</t>
  </si>
  <si>
    <t>0                      PG 2129000E  5                  M  47          2006</t>
  </si>
  <si>
    <t>Kinotalk : Russian cinema and conversation / Olga Mesropova.</t>
  </si>
  <si>
    <t>Mesropova, Olga, 1974-</t>
  </si>
  <si>
    <t>Bloomington, IN : Slavica Publishers, 2006.</t>
  </si>
  <si>
    <t>1035840270:eng</t>
  </si>
  <si>
    <t>68416948</t>
  </si>
  <si>
    <t>ocm68416948</t>
  </si>
  <si>
    <t>3102637743H</t>
  </si>
  <si>
    <t>9780893573249</t>
  </si>
  <si>
    <t>794143275</t>
  </si>
  <si>
    <t>PG2129 E5 O97 2008</t>
  </si>
  <si>
    <t>0                      PG 2129000E  5                  O  97          2008</t>
  </si>
  <si>
    <t>Russkii iazyk dlia nachinaiushchikh. Kniga 1 Uchebnik. Dlia govoriashchikh na angliiskom iazyke IU. G. Ovsienko.</t>
  </si>
  <si>
    <t>Ovsienko, IU. G.</t>
  </si>
  <si>
    <t>Moskva Russkii Iazyk 2008.</t>
  </si>
  <si>
    <t>15th ed. stereotype.</t>
  </si>
  <si>
    <t>3858178785:rus</t>
  </si>
  <si>
    <t>436108679</t>
  </si>
  <si>
    <t>ocn436108679</t>
  </si>
  <si>
    <t>3103212870I</t>
  </si>
  <si>
    <t>9785883371195</t>
  </si>
  <si>
    <t>794784310</t>
  </si>
  <si>
    <t>PG2129 E5 R53 2007</t>
  </si>
  <si>
    <t>0                      PG 2129000E  5                  R  53          2007</t>
  </si>
  <si>
    <t>Advanced Russian through history / Benjamin Rifkin and Olga Kagan.</t>
  </si>
  <si>
    <t>(Text + CD-ROM)</t>
  </si>
  <si>
    <t>Rifkin, Benjamin, 1960-</t>
  </si>
  <si>
    <t>New Haven, Conn. ; London : Yale University Press, 2007.</t>
  </si>
  <si>
    <t>58292345:eng</t>
  </si>
  <si>
    <t>71347268</t>
  </si>
  <si>
    <t>ocm71347268</t>
  </si>
  <si>
    <t>3102594033S</t>
  </si>
  <si>
    <t>9780300109474</t>
  </si>
  <si>
    <t>794165894</t>
  </si>
  <si>
    <t>PG2129 E5 R63 2012</t>
  </si>
  <si>
    <t>0                      PG 2129000E  5                  R  63          2012</t>
  </si>
  <si>
    <t>Golosa : a basic course in Russian. / by Richard M. Robin [and others].</t>
  </si>
  <si>
    <t>text</t>
  </si>
  <si>
    <t>Upper Saddle River, N.J. : Prentice Hall ; London : Pearson Education [distributor], 2011.</t>
  </si>
  <si>
    <t>5th ed.</t>
  </si>
  <si>
    <t>2019-09-09</t>
  </si>
  <si>
    <t>3943743298:eng</t>
  </si>
  <si>
    <t>751820519</t>
  </si>
  <si>
    <t>ocn751820519</t>
  </si>
  <si>
    <t>31037590196</t>
  </si>
  <si>
    <t>9780205741359</t>
  </si>
  <si>
    <t>794891166</t>
  </si>
  <si>
    <t>manual</t>
  </si>
  <si>
    <t>2019-09-05</t>
  </si>
  <si>
    <t>31037588780</t>
  </si>
  <si>
    <t>794891169</t>
  </si>
  <si>
    <t>3 CDs</t>
  </si>
  <si>
    <t>2019-01-15</t>
  </si>
  <si>
    <t>3103742763G</t>
  </si>
  <si>
    <t>794891170</t>
  </si>
  <si>
    <t>2018-02-23</t>
  </si>
  <si>
    <t>3103736928X</t>
  </si>
  <si>
    <t>794891167</t>
  </si>
  <si>
    <t>31037588837</t>
  </si>
  <si>
    <t>794891168</t>
  </si>
  <si>
    <t>PG2129 E5 R64 2004</t>
  </si>
  <si>
    <t>0                      PG 2129000E  5                  R  64          2004</t>
  </si>
  <si>
    <t>A guide to Russian words and expressions that cause difficulties / Marina Rojavin and Allan Reid.</t>
  </si>
  <si>
    <t>Rojavin, Marina.</t>
  </si>
  <si>
    <t>Lewiston, N.Y. : Edwin Mellen Press, ©2004.</t>
  </si>
  <si>
    <t>Studies in Slavic languages and literature ; v. 23</t>
  </si>
  <si>
    <t>901496:eng</t>
  </si>
  <si>
    <t>55495228</t>
  </si>
  <si>
    <t>ocm55495228</t>
  </si>
  <si>
    <t>3102480925U</t>
  </si>
  <si>
    <t>9780773463028</t>
  </si>
  <si>
    <t>793877185</t>
  </si>
  <si>
    <t>- McLennan Basement - A/V Collection - By Request</t>
  </si>
  <si>
    <t>PG2129 E5 R65 1996</t>
  </si>
  <si>
    <t>0                      PG 2129000E  5                  R  65          1996</t>
  </si>
  <si>
    <t>Focus on Russian : an interactive approach to communication / Sandra F. Rosengrant, Elena D. Lifschitz.</t>
  </si>
  <si>
    <t>A-cass.</t>
  </si>
  <si>
    <t>Rosengrant, Sandra F.</t>
  </si>
  <si>
    <t>New York : John Wiley, ©1996.</t>
  </si>
  <si>
    <t>2006-04-24</t>
  </si>
  <si>
    <t>2015-03-27</t>
  </si>
  <si>
    <t>3857860392:eng</t>
  </si>
  <si>
    <t>32853780</t>
  </si>
  <si>
    <t>ocm32853780</t>
  </si>
  <si>
    <t>3103100219U</t>
  </si>
  <si>
    <t>9780471109983</t>
  </si>
  <si>
    <t>793395755</t>
  </si>
  <si>
    <t>2013-08-26</t>
  </si>
  <si>
    <t>3103100224S</t>
  </si>
  <si>
    <t>793395757</t>
  </si>
  <si>
    <t>TEXT</t>
  </si>
  <si>
    <t>3102465657N</t>
  </si>
  <si>
    <t>793395756</t>
  </si>
  <si>
    <t>PG2129 E5 R656 2007</t>
  </si>
  <si>
    <t>0                      PG 2129000E  5                  R  656         2007</t>
  </si>
  <si>
    <t>Russian in use : an interactive approach to advanced communicative competence / Sandra Freels Rosengrant.</t>
  </si>
  <si>
    <t>(Text + 1 DVD)</t>
  </si>
  <si>
    <t>New Haven : Yale University Press, 2007.</t>
  </si>
  <si>
    <t>2018-12-12</t>
  </si>
  <si>
    <t>1062281104:eng</t>
  </si>
  <si>
    <t>62732877</t>
  </si>
  <si>
    <t>ocm62732877</t>
  </si>
  <si>
    <t>3103478687U</t>
  </si>
  <si>
    <t>9780300109436</t>
  </si>
  <si>
    <t>794111438</t>
  </si>
  <si>
    <t>PG2129 E5 U35 2008 CD</t>
  </si>
  <si>
    <t>0                      PG 2129000E  5                  U  35          2008                  CD</t>
  </si>
  <si>
    <t>Oxford take off in Russian / Nick Ukiah.</t>
  </si>
  <si>
    <t>CD*</t>
  </si>
  <si>
    <t>Ukiah, Nick.</t>
  </si>
  <si>
    <t>Oxford : Oxford University Press, 2008.</t>
  </si>
  <si>
    <t>Take of on ...</t>
  </si>
  <si>
    <t>2017-09-12</t>
  </si>
  <si>
    <t>35801230:eng</t>
  </si>
  <si>
    <t>191242832</t>
  </si>
  <si>
    <t>ocn191242832</t>
  </si>
  <si>
    <t>3103031156C</t>
  </si>
  <si>
    <t>9780199534296</t>
  </si>
  <si>
    <t>794297526</t>
  </si>
  <si>
    <t>PG2131 D39</t>
  </si>
  <si>
    <t>0                      PG 2131000D  39</t>
  </si>
  <si>
    <t>Reading rules for Russian : a systematic approach to Russian spelling and pronunciation with notes on dialectal and stylistic variation / Bruce L. Derwing, Tom M.S. Priestly.</t>
  </si>
  <si>
    <t>Derwing, Bruce L.</t>
  </si>
  <si>
    <t>Columbus, Ohio : Slavica Publishers, 1980.</t>
  </si>
  <si>
    <t>1980</t>
  </si>
  <si>
    <t>199063153:eng</t>
  </si>
  <si>
    <t>6604451</t>
  </si>
  <si>
    <t>ocm06604451</t>
  </si>
  <si>
    <t>31029150099</t>
  </si>
  <si>
    <t>9780893570668</t>
  </si>
  <si>
    <t>792511445</t>
  </si>
  <si>
    <t>PG2131 H35</t>
  </si>
  <si>
    <t>0                      PG 2131000H  35</t>
  </si>
  <si>
    <t>Introduction to Russian phonology and word structure / William S. Hamilton.</t>
  </si>
  <si>
    <t>Hamilton, William S.</t>
  </si>
  <si>
    <t>22734171:eng</t>
  </si>
  <si>
    <t>6604461</t>
  </si>
  <si>
    <t>ocm06604461</t>
  </si>
  <si>
    <t>31029150245</t>
  </si>
  <si>
    <t>9780893570637</t>
  </si>
  <si>
    <t>792511448</t>
  </si>
  <si>
    <t>PG2131 P75 2010</t>
  </si>
  <si>
    <t>0                      PG 2131000P  75          2010</t>
  </si>
  <si>
    <t>Pronunciation rules for Russian : a systematic approach for converting Russian spelling to sound / Tom M.S. Priestly, Bruce L. Derwing ; with Benoît Brière.</t>
  </si>
  <si>
    <t>Priestly, Tom M. S.</t>
  </si>
  <si>
    <t>Bloomington, Ind. : Slavica, 2010.</t>
  </si>
  <si>
    <t>2011-11-09</t>
  </si>
  <si>
    <t>103642887:eng</t>
  </si>
  <si>
    <t>149100572</t>
  </si>
  <si>
    <t>ocn149100572</t>
  </si>
  <si>
    <t>31032356506</t>
  </si>
  <si>
    <t>9780893572990</t>
  </si>
  <si>
    <t>794241316</t>
  </si>
  <si>
    <t>PG2131 R87 2012</t>
  </si>
  <si>
    <t>0                      PG 2131000R  87          2012</t>
  </si>
  <si>
    <t>Russian language studies in North America : new perspectives from theoretical and applied linguistics / edited by Veronika Makarova.</t>
  </si>
  <si>
    <t>London ; New York : Anthem Press, ©2012.</t>
  </si>
  <si>
    <t>Anthem series on Russian, East European and Eurasian studies</t>
  </si>
  <si>
    <t>1142598531:eng</t>
  </si>
  <si>
    <t>690088378</t>
  </si>
  <si>
    <t>ocn690088378</t>
  </si>
  <si>
    <t>3103469839Z</t>
  </si>
  <si>
    <t>9780857287847</t>
  </si>
  <si>
    <t>794855199</t>
  </si>
  <si>
    <t>PG2135 .J6 1969</t>
  </si>
  <si>
    <t>0                      PG 2135000J  6           1969</t>
  </si>
  <si>
    <t>The phonetics of Russian [by] the late Daniel Jones and Dennis Ward.</t>
  </si>
  <si>
    <t>Jones, Daniel, 1881-1967.</t>
  </si>
  <si>
    <t>London, Cambridge U.P., 1969.</t>
  </si>
  <si>
    <t>1220035:eng</t>
  </si>
  <si>
    <t>59311</t>
  </si>
  <si>
    <t>ocm00059311</t>
  </si>
  <si>
    <t>31029150343</t>
  </si>
  <si>
    <t>9780521067362</t>
  </si>
  <si>
    <t>791242317</t>
  </si>
  <si>
    <t>2008-03-10</t>
  </si>
  <si>
    <t>3102456105C</t>
  </si>
  <si>
    <t>791242316</t>
  </si>
  <si>
    <t>PG2139 A813 1964</t>
  </si>
  <si>
    <t>0                      PG 2139000A  813         1964</t>
  </si>
  <si>
    <t>Modern Russian stress [by] R.I. Avanesov. Translated by D. Buckley.</t>
  </si>
  <si>
    <t>Avanesov, R. I. (Ruben Ivanovich), 1902-1982.</t>
  </si>
  <si>
    <t>Oxford, Pergamon Press; New York, Macmillan [1964]</t>
  </si>
  <si>
    <t>The commonwealth and international library of science, technology, engineering and liberal studies</t>
  </si>
  <si>
    <t>1881864365:eng</t>
  </si>
  <si>
    <t>1675277</t>
  </si>
  <si>
    <t>ocm01675277</t>
  </si>
  <si>
    <t>30006099801</t>
  </si>
  <si>
    <t>791827817</t>
  </si>
  <si>
    <t>PG2143 A44 2010</t>
  </si>
  <si>
    <t>0                      PG 2143000A  44          2010</t>
  </si>
  <si>
    <t>Russkiĭ i︠a︡zyk v tablit︠s︡akh i skhemakh / E.V. Amelina.</t>
  </si>
  <si>
    <t>Amelina, E. V. (Elena Vladimirovna)</t>
  </si>
  <si>
    <t>Rostov-na-Donu : "Feniks", 2010.</t>
  </si>
  <si>
    <t>Serii︠a︡ "Bez repetitora"</t>
  </si>
  <si>
    <t>906054329:rus</t>
  </si>
  <si>
    <t>728241536</t>
  </si>
  <si>
    <t>ocn728241536</t>
  </si>
  <si>
    <t>3103340484F</t>
  </si>
  <si>
    <t>9785222169919</t>
  </si>
  <si>
    <t>794878839</t>
  </si>
  <si>
    <t>PG2171 M549 2010</t>
  </si>
  <si>
    <t>0                      PG 2171000M  549         2010</t>
  </si>
  <si>
    <t>Nominal morphology in Russian correspondence 1700-1715 / Isabelle Midy.</t>
  </si>
  <si>
    <t>Midy, Isabelle.</t>
  </si>
  <si>
    <t>Stockholm : Stockholm University, 2010.</t>
  </si>
  <si>
    <t>Acta Universitatis Stockholmiensis. Stockholm Slavic studies, 0585-3575 ; 40</t>
  </si>
  <si>
    <t>5218793441:eng</t>
  </si>
  <si>
    <t>702676005</t>
  </si>
  <si>
    <t>ocn702676005</t>
  </si>
  <si>
    <t>3103334227M</t>
  </si>
  <si>
    <t>9789186071615</t>
  </si>
  <si>
    <t>794864248</t>
  </si>
  <si>
    <t>PG2175 A747 1996</t>
  </si>
  <si>
    <t>0                      PG 2175000A  747         1996</t>
  </si>
  <si>
    <t>The semantics of suffixation / Edna Andrews.</t>
  </si>
  <si>
    <t>München : LINCOM Europa, 1996.</t>
  </si>
  <si>
    <t>LINCOM studies in Slavic linguistics ; 5</t>
  </si>
  <si>
    <t>39842969:eng</t>
  </si>
  <si>
    <t>35314866</t>
  </si>
  <si>
    <t>ocm35314866</t>
  </si>
  <si>
    <t>31029151292</t>
  </si>
  <si>
    <t>9783895860737</t>
  </si>
  <si>
    <t>793449261</t>
  </si>
  <si>
    <t>PG2175 B7x</t>
  </si>
  <si>
    <t>0                      PG 2175000B  7x</t>
  </si>
  <si>
    <t>The formation and expressive use of diminutives / B.V. Bratus.</t>
  </si>
  <si>
    <t>Bratusʹ, B. V. (Boris Vasilʹevich)</t>
  </si>
  <si>
    <t>London : Cambridge University Press, 1969.</t>
  </si>
  <si>
    <t>Studies in the modern Russian language ; 6</t>
  </si>
  <si>
    <t>2018-11-26</t>
  </si>
  <si>
    <t>1144769:eng</t>
  </si>
  <si>
    <t>22539</t>
  </si>
  <si>
    <t>ocm00022539</t>
  </si>
  <si>
    <t>31029151232</t>
  </si>
  <si>
    <t>9780521073615</t>
  </si>
  <si>
    <t>791231261</t>
  </si>
  <si>
    <t>PG2175 G45 1982</t>
  </si>
  <si>
    <t>0                      PG 2175000G  45          1982</t>
  </si>
  <si>
    <t>The roots of Russian through Chekhov : a study in word-formation / Margaret I. Gibson.</t>
  </si>
  <si>
    <t>Gibson, Margaret I.</t>
  </si>
  <si>
    <t>Washington, D.C. : University Press of America, ©1982.</t>
  </si>
  <si>
    <t>2019-04-16</t>
  </si>
  <si>
    <t>293667099:eng</t>
  </si>
  <si>
    <t>8666847</t>
  </si>
  <si>
    <t>ocm08666847</t>
  </si>
  <si>
    <t>31029151046</t>
  </si>
  <si>
    <t>9780819126818</t>
  </si>
  <si>
    <t>792633683</t>
  </si>
  <si>
    <t>PG2175 N6</t>
  </si>
  <si>
    <t>0                      PG 2175000N  6</t>
  </si>
  <si>
    <t>Word formation in the noun and adjective [by] J.K.W. Norbury.</t>
  </si>
  <si>
    <t>Norbury, J. K. W.</t>
  </si>
  <si>
    <t>Cambridge, Cambridge University Press, 1967.</t>
  </si>
  <si>
    <t>Studies in the modern Russian language, 3</t>
  </si>
  <si>
    <t>1818154:eng</t>
  </si>
  <si>
    <t>849566</t>
  </si>
  <si>
    <t>ocm00849566</t>
  </si>
  <si>
    <t>31029151124</t>
  </si>
  <si>
    <t>791486093</t>
  </si>
  <si>
    <t>PG2175 P3 1938</t>
  </si>
  <si>
    <t>0                      PG 2175000P  3           1938</t>
  </si>
  <si>
    <t>Roots of the Russian language : an elementary guide to Russian word-building / by George Z. Patrick.</t>
  </si>
  <si>
    <t>New York ; Chicago : Pitman Pub. Corp., 1938.</t>
  </si>
  <si>
    <t>1938</t>
  </si>
  <si>
    <t>434724195:rus</t>
  </si>
  <si>
    <t>322679</t>
  </si>
  <si>
    <t>ocm00322679</t>
  </si>
  <si>
    <t>3102915227$</t>
  </si>
  <si>
    <t>791336660</t>
  </si>
  <si>
    <t>PG2175 T6 1975</t>
  </si>
  <si>
    <t>0                      PG 2175000T  6           1975</t>
  </si>
  <si>
    <t>Russian word-formation / by Charles E. Townsend.</t>
  </si>
  <si>
    <t>Townsend, Charles E. (Charles Edward), 1932-2015.</t>
  </si>
  <si>
    <t>Cambridge, Mass. : Slavica Publishers, 1975.</t>
  </si>
  <si>
    <t>2017-01-12</t>
  </si>
  <si>
    <t>1555838:eng</t>
  </si>
  <si>
    <t>1562079</t>
  </si>
  <si>
    <t>ocm01562079</t>
  </si>
  <si>
    <t>3102667983P</t>
  </si>
  <si>
    <t>9780893570231</t>
  </si>
  <si>
    <t>791723918</t>
  </si>
  <si>
    <t>2011-04-28</t>
  </si>
  <si>
    <t>3102915175T</t>
  </si>
  <si>
    <t>791723917</t>
  </si>
  <si>
    <t>PG2258 R6 G74 1994</t>
  </si>
  <si>
    <t>0                      PG 2258000R  6                  G  74          1994</t>
  </si>
  <si>
    <t>Pushkin and romantic fashion : fragment, elegy, Orient, irony / Monika Greenleaf.</t>
  </si>
  <si>
    <t>Greenleaf, Monika, 1952-</t>
  </si>
  <si>
    <t>Stanford, Calif. : Stanford University Press, 1994.</t>
  </si>
  <si>
    <t>2015-05-15</t>
  </si>
  <si>
    <t>52853217:eng</t>
  </si>
  <si>
    <t>30318484</t>
  </si>
  <si>
    <t>ocm30318484</t>
  </si>
  <si>
    <t>31028374778</t>
  </si>
  <si>
    <t>9780804722872</t>
  </si>
  <si>
    <t>793332152</t>
  </si>
  <si>
    <t>2014-11-06</t>
  </si>
  <si>
    <t>3102939712Y</t>
  </si>
  <si>
    <t>793332151</t>
  </si>
  <si>
    <t>31028374728</t>
  </si>
  <si>
    <t>793332153</t>
  </si>
  <si>
    <t>PG2271 B48 2008</t>
  </si>
  <si>
    <t>0                      PG 2271000B  48          2008</t>
  </si>
  <si>
    <t>501 Russian verbs : fully conjugated in all the tenses in a new, easy-to-learn format, alphabetically arranged / by Thomas R. Beyer, Jr.</t>
  </si>
  <si>
    <t>Beyer, Thomas R., author.</t>
  </si>
  <si>
    <t>Hauppauge : Barron's, [2008]</t>
  </si>
  <si>
    <t>Third edition.</t>
  </si>
  <si>
    <t>Barron's foreign language guides</t>
  </si>
  <si>
    <t>2017-01-09</t>
  </si>
  <si>
    <t>25993625:eng</t>
  </si>
  <si>
    <t>124074974</t>
  </si>
  <si>
    <t>ocn124074974</t>
  </si>
  <si>
    <t>3103625928E</t>
  </si>
  <si>
    <t>9780764137433</t>
  </si>
  <si>
    <t>794230502</t>
  </si>
  <si>
    <t>PG2271 F63</t>
  </si>
  <si>
    <t>0                      PG 2271000F  63</t>
  </si>
  <si>
    <t>A grammar of aspect; usage and meaning in the Russian verb [by] J. Forsyth.</t>
  </si>
  <si>
    <t>Forsyth, James, 1928-</t>
  </si>
  <si>
    <t>Cambridge [England] University Press, 1970.</t>
  </si>
  <si>
    <t>Studies in the modern Russian language, extra v.</t>
  </si>
  <si>
    <t>151180519:eng</t>
  </si>
  <si>
    <t>100770</t>
  </si>
  <si>
    <t>ocm00100770</t>
  </si>
  <si>
    <t>3102915162V</t>
  </si>
  <si>
    <t>9780521075145</t>
  </si>
  <si>
    <t>791256917</t>
  </si>
  <si>
    <t>PG2271 F69 1950</t>
  </si>
  <si>
    <t>0                      PG 2271000F  69          1950</t>
  </si>
  <si>
    <t>The Russian verb, being the Second Russian book, by Nevill Forbes ...</t>
  </si>
  <si>
    <t>Oxford : [publisher not identified], [1950]</t>
  </si>
  <si>
    <t>2015-02-21</t>
  </si>
  <si>
    <t>1724879:eng</t>
  </si>
  <si>
    <t>427546566</t>
  </si>
  <si>
    <t>ocn427546566</t>
  </si>
  <si>
    <t>3102915178T</t>
  </si>
  <si>
    <t>794682512</t>
  </si>
  <si>
    <t>PG2271 M234 1996</t>
  </si>
  <si>
    <t>0                      PG 2271000M  234         1996</t>
  </si>
  <si>
    <t>Russian motion verbs for intermediate students / William J. Mahota.</t>
  </si>
  <si>
    <t>Mahota, William J., 1956-</t>
  </si>
  <si>
    <t>New Haven : Yale University Press, ©1996.</t>
  </si>
  <si>
    <t>2017-07-18</t>
  </si>
  <si>
    <t>38403009:eng</t>
  </si>
  <si>
    <t>33440397</t>
  </si>
  <si>
    <t>ocm33440397</t>
  </si>
  <si>
    <t>3102915198P</t>
  </si>
  <si>
    <t>9780300064131</t>
  </si>
  <si>
    <t>793409519</t>
  </si>
  <si>
    <t>PG2271 P5 1960z</t>
  </si>
  <si>
    <t>0                      PG 2271000P  5           1960z</t>
  </si>
  <si>
    <t>Conjugation of Russian verbs / L.I. Pirogova ; [foreword and explanatory text translated from the Russian by V. Korotky].</t>
  </si>
  <si>
    <t>Pirogova, L. I. (Lidii︠a︡ Ivanovna)</t>
  </si>
  <si>
    <t>Moscow : Russky Yazyk, 1988.</t>
  </si>
  <si>
    <t>2nd ed., rev. and enl.</t>
  </si>
  <si>
    <t>2015-09-17</t>
  </si>
  <si>
    <t>2946098565:eng</t>
  </si>
  <si>
    <t>18235359</t>
  </si>
  <si>
    <t>ocm18235359</t>
  </si>
  <si>
    <t>31029152141</t>
  </si>
  <si>
    <t>9785200004041</t>
  </si>
  <si>
    <t>793018139</t>
  </si>
  <si>
    <t>PG2335 S855 1998</t>
  </si>
  <si>
    <t>0                      PG 2335000S  855         1998</t>
  </si>
  <si>
    <t>Space and time in Russian : a description of the locus prepositions of Russian / William J. Sullivan.</t>
  </si>
  <si>
    <t>Sullivan, William J. (William Joseph), 1940-</t>
  </si>
  <si>
    <t>München : LINCOM EUROPA, 1998.</t>
  </si>
  <si>
    <t>LINCOM studies in Slavic linguistics ; 08</t>
  </si>
  <si>
    <t>346139301:eng</t>
  </si>
  <si>
    <t>39926618</t>
  </si>
  <si>
    <t>ocm39926618</t>
  </si>
  <si>
    <t>3101941140M</t>
  </si>
  <si>
    <t>9783895861765</t>
  </si>
  <si>
    <t>793557023</t>
  </si>
  <si>
    <t>PG2359 N4 B76 1999</t>
  </si>
  <si>
    <t>0                      PG 2359000N  4                  B  76          1999</t>
  </si>
  <si>
    <t>The syntax of negation in Russian : a minimalist approach / Sue Brown.</t>
  </si>
  <si>
    <t>Brown, Sue, 1967-</t>
  </si>
  <si>
    <t>Stanford, Calif. : Center for the Study of Language and Information, ©1999.</t>
  </si>
  <si>
    <t>Stanford monographs in linguistics</t>
  </si>
  <si>
    <t>2016-02-08</t>
  </si>
  <si>
    <t>25589415:eng</t>
  </si>
  <si>
    <t>40723746</t>
  </si>
  <si>
    <t>ocm40723746</t>
  </si>
  <si>
    <t>3101970470P</t>
  </si>
  <si>
    <t>9781575861685</t>
  </si>
  <si>
    <t>793574030</t>
  </si>
  <si>
    <t>PG2361 B255 2012</t>
  </si>
  <si>
    <t>0                      PG 2361000B  255         2012</t>
  </si>
  <si>
    <t>The syntax of Russian / John Frederick Bailyn.</t>
  </si>
  <si>
    <t>Bailyn, John F.</t>
  </si>
  <si>
    <t>Cambridge ; New York : Cambridge University Press, 2012.</t>
  </si>
  <si>
    <t>Cambridge syntax guides</t>
  </si>
  <si>
    <t>9381164544:eng</t>
  </si>
  <si>
    <t>762680183</t>
  </si>
  <si>
    <t>ocn762680183</t>
  </si>
  <si>
    <t>3103381569T</t>
  </si>
  <si>
    <t>9780521885744</t>
  </si>
  <si>
    <t>794899955</t>
  </si>
  <si>
    <t>PG2361 O37 1996</t>
  </si>
  <si>
    <t>0                      PG 2361000O  37          1996</t>
  </si>
  <si>
    <t>Using Russian : a guide to contemporary usage / Derek Offord.</t>
  </si>
  <si>
    <t>Offord, Derek.</t>
  </si>
  <si>
    <t>Cambridge [England] ; New York : Cambridge University Press, 1996.</t>
  </si>
  <si>
    <t>2015-09-24</t>
  </si>
  <si>
    <t>1978061:eng</t>
  </si>
  <si>
    <t>36036905</t>
  </si>
  <si>
    <t>ocm36036905</t>
  </si>
  <si>
    <t>3101811102I</t>
  </si>
  <si>
    <t>9780521451307</t>
  </si>
  <si>
    <t>793464548</t>
  </si>
  <si>
    <t>PG2361 S25 1960</t>
  </si>
  <si>
    <t>0                      PG 2361000S  25          1960</t>
  </si>
  <si>
    <t>Sbornik uprazhneniĭ po sintaksisu russkogo i︠a︡zyka : s kommentarii︠a︡mi / V.S. Belevit︠s︡kai︠a︡-Khalizeva, G.V. Donchenko, S.A. Zhizhina, G.F. Lebedeva, L.S. Muravʹeva, D.I. Fursenko, N.N. Shiĭko = Exercises in Russian syntax : with explanatory notes / V.S. Belevitskaya-Khalizeva, G.V. Donchenko, S.A. Zhizhina, G.F. Lebedeva, L.S. Muravyova, D.I. Fursenko, N.N. Shiyko ; foreword, assignments, and notes translated from the Russian by V. Korotky ; edited by R. Dixon.</t>
  </si>
  <si>
    <t>V. 1 (1960)</t>
  </si>
  <si>
    <t>Moskva : Izdatelʹstvo literatury na inostrannykh i︠a︡zykakh, [1960?]</t>
  </si>
  <si>
    <t>2017-10-15</t>
  </si>
  <si>
    <t>3372570420:rus</t>
  </si>
  <si>
    <t>6246103</t>
  </si>
  <si>
    <t>ocm06246103</t>
  </si>
  <si>
    <t>31029152073</t>
  </si>
  <si>
    <t>792485460</t>
  </si>
  <si>
    <t>V. 2 (1960)</t>
  </si>
  <si>
    <t>31029152023</t>
  </si>
  <si>
    <t>792485459</t>
  </si>
  <si>
    <t>PG2369 N35 1991</t>
  </si>
  <si>
    <t>0                      PG 2369000N  35          1991</t>
  </si>
  <si>
    <t>Aktualʹnye problemy modalʹnosti v sovremennom russkom i︠a︡zyke / G.P. Nemet︠s︡ ; otvetstvennyĭ redaktor V.V. Kazmin.</t>
  </si>
  <si>
    <t>Nemet︠s︡, G. P. (Georgiĭ Pavlovich)</t>
  </si>
  <si>
    <t>Rostov-na-Donu : Izd-vo Rostovskogo universiteta, 1991.</t>
  </si>
  <si>
    <t>29551927:rus</t>
  </si>
  <si>
    <t>27209335</t>
  </si>
  <si>
    <t>ocm27209335</t>
  </si>
  <si>
    <t>3102915265S</t>
  </si>
  <si>
    <t>9785750703418</t>
  </si>
  <si>
    <t>793261712</t>
  </si>
  <si>
    <t>PG2380 A36 2009</t>
  </si>
  <si>
    <t>0                      PG 2380000A  36          2009</t>
  </si>
  <si>
    <t>Zhesty i mimika v russkoĭ rechi : lingvostranovedcheskiĭ slovarʹ = Gestos y mímica en el lenguaje ruso diccionario lingüístico-cultural (en ruso) / A.A. Akishina, Kh. Kano, T.E. Akishina.</t>
  </si>
  <si>
    <t>Moskva : Krasand, 2010.</t>
  </si>
  <si>
    <t>3770358347:rus</t>
  </si>
  <si>
    <t>541765516</t>
  </si>
  <si>
    <t>ocn541765516</t>
  </si>
  <si>
    <t>3103252085K</t>
  </si>
  <si>
    <t>9785396000841</t>
  </si>
  <si>
    <t>794810769</t>
  </si>
  <si>
    <t>PG2440 A37 2010</t>
  </si>
  <si>
    <t>0                      PG 2440000A  37          2010</t>
  </si>
  <si>
    <t>Grammatika chuvstv : posobie po razvitii︠u︡ ustnoĭ russkoĭ rechi / A.A. Akishina, T.E. Akishina.</t>
  </si>
  <si>
    <t>(text+CD)</t>
  </si>
  <si>
    <t>Akishina, A. A. (Alla Aleksandrovna)</t>
  </si>
  <si>
    <t>Moskva : Russkiĭ i︠a︡zyk kursy, 2010.</t>
  </si>
  <si>
    <t>2013-06-05</t>
  </si>
  <si>
    <t>865024882:rus</t>
  </si>
  <si>
    <t>709594922</t>
  </si>
  <si>
    <t>ocn709594922</t>
  </si>
  <si>
    <t>3103369324L</t>
  </si>
  <si>
    <t>9785883371515</t>
  </si>
  <si>
    <t>794869460</t>
  </si>
  <si>
    <t>PG2440 L41 1996</t>
  </si>
  <si>
    <t>0                      PG 2440000L  41          1996</t>
  </si>
  <si>
    <t>A guide to essay writing in Russian / Svetlana and Stephen Le Fleming.</t>
  </si>
  <si>
    <t>London : Bristol Classical Press, 1996.</t>
  </si>
  <si>
    <t>40852169:eng</t>
  </si>
  <si>
    <t>36418652</t>
  </si>
  <si>
    <t>ocm36418652</t>
  </si>
  <si>
    <t>3102915362P</t>
  </si>
  <si>
    <t>9781853994937</t>
  </si>
  <si>
    <t>793474843</t>
  </si>
  <si>
    <t>PG2445 W33 2004</t>
  </si>
  <si>
    <t>0                      PG 2445000W  33          2004</t>
  </si>
  <si>
    <t>Using Russian synonyms / Terence Wade, Nijole White.</t>
  </si>
  <si>
    <t>Cambridge ; New York : Cambridge University Press, 2004.</t>
  </si>
  <si>
    <t>2019-03-28</t>
  </si>
  <si>
    <t>145580712:eng</t>
  </si>
  <si>
    <t>51569214</t>
  </si>
  <si>
    <t>ocm51569214</t>
  </si>
  <si>
    <t>3102915380L</t>
  </si>
  <si>
    <t>9780521790840</t>
  </si>
  <si>
    <t>793787109</t>
  </si>
  <si>
    <t>PG2450 V28 2004</t>
  </si>
  <si>
    <t>0                      PG 2450000V  28          2004</t>
  </si>
  <si>
    <t>Russian punctuation &amp; related symbols : a guide for English speakers / Edward Vajda &amp; Valentina Umanets.</t>
  </si>
  <si>
    <t>Vajda, Edward J.</t>
  </si>
  <si>
    <t>Bloomington, Ind. : Slavica Publishers, 2004.</t>
  </si>
  <si>
    <t>932405:eng</t>
  </si>
  <si>
    <t>53356628</t>
  </si>
  <si>
    <t>ocm53356628</t>
  </si>
  <si>
    <t>3102648602J</t>
  </si>
  <si>
    <t>9780893572754</t>
  </si>
  <si>
    <t>793826952</t>
  </si>
  <si>
    <t>PG2498 P48 2007</t>
  </si>
  <si>
    <t>0                      PG 2498000P  48          2007</t>
  </si>
  <si>
    <t>Translating music / Richard Pevear.</t>
  </si>
  <si>
    <t>Pevear, Richard, 1943-</t>
  </si>
  <si>
    <t>[Paris] : Center for Writers &amp; Translators, the Arts Arena ; Lewes [England] : Sylph Editions, 2007.</t>
  </si>
  <si>
    <t>The Cahiers series ; no. 1</t>
  </si>
  <si>
    <t>2017-08-16</t>
  </si>
  <si>
    <t>111300800:eng</t>
  </si>
  <si>
    <t>163613796</t>
  </si>
  <si>
    <t>ocn163613796</t>
  </si>
  <si>
    <t>3103610266S</t>
  </si>
  <si>
    <t>9780955296314</t>
  </si>
  <si>
    <t>794258225</t>
  </si>
  <si>
    <t>PG2498 P8 1981</t>
  </si>
  <si>
    <t>0                      PG 2498000P  8           1981</t>
  </si>
  <si>
    <t>Vvedenie v praktiku perevoda nauchnoĭ i tekhnicheskoĭ literatury na angliĭskiĭ i︠a︡zyk / A.L. Pumpi︠a︡nskiĭ.</t>
  </si>
  <si>
    <t>Pumpi︠a︡nskiĭ, A. L. (Alekseĭ Leonidovich)</t>
  </si>
  <si>
    <t>Moskva : Nauka, 1981.</t>
  </si>
  <si>
    <t>Izd. 2., dop.</t>
  </si>
  <si>
    <t>20701783:rus</t>
  </si>
  <si>
    <t>8788416</t>
  </si>
  <si>
    <t>ocm08788416</t>
  </si>
  <si>
    <t>3102915367P</t>
  </si>
  <si>
    <t>792641172</t>
  </si>
  <si>
    <t>PG2498 R33 1998</t>
  </si>
  <si>
    <t>0                      PG 2498000R  33          1998</t>
  </si>
  <si>
    <t>Translating from English into Russian : reference grammar for students of Russian / Serafima Radivilova.</t>
  </si>
  <si>
    <t>Radivilova, Serafima.</t>
  </si>
  <si>
    <t>Lanham : University Press of America, ©1998.</t>
  </si>
  <si>
    <t>476239468:eng</t>
  </si>
  <si>
    <t>38993110</t>
  </si>
  <si>
    <t>ocm38993110</t>
  </si>
  <si>
    <t>3102915382L</t>
  </si>
  <si>
    <t>9780761811565</t>
  </si>
  <si>
    <t>793535224</t>
  </si>
  <si>
    <t>PG2498 V55 1991</t>
  </si>
  <si>
    <t>0                      PG 2498000V  55          1991</t>
  </si>
  <si>
    <t>From Russian into English : an introduction to simultaneous interpretation / by Lynn Visson.</t>
  </si>
  <si>
    <t>Visson, Lynn.</t>
  </si>
  <si>
    <t>Ann Arbor, Mich. : Ardis, ©1991.</t>
  </si>
  <si>
    <t>46688598:eng</t>
  </si>
  <si>
    <t>23213960</t>
  </si>
  <si>
    <t>ocm23213960</t>
  </si>
  <si>
    <t>3102915372N</t>
  </si>
  <si>
    <t>9780875010953</t>
  </si>
  <si>
    <t>793164625</t>
  </si>
  <si>
    <t>PG2511 K67 2013</t>
  </si>
  <si>
    <t>0                      PG 2511000K  67          2013</t>
  </si>
  <si>
    <t>Korpusnyĭ analiz russkogo stikha : sbornik nauchnykh stateĭ / [otv. red. V.A. Plungi︠a︡n, L.L. Shestakova.</t>
  </si>
  <si>
    <t>Moskva : Izdatelʹskiĭ t︠s︡entr "Azbukovnik", 2013-&lt;2014&gt;</t>
  </si>
  <si>
    <t>4095648520:rus</t>
  </si>
  <si>
    <t>834453892</t>
  </si>
  <si>
    <t>ocn834453892</t>
  </si>
  <si>
    <t>3103557234N</t>
  </si>
  <si>
    <t>9785911720735</t>
  </si>
  <si>
    <t>794944354</t>
  </si>
  <si>
    <t>PG2571 E86 2012</t>
  </si>
  <si>
    <t>0                      PG 2571000E  86          2012</t>
  </si>
  <si>
    <t>Ėvoli︠u︡t︠s︡ii︠a︡ poni︠a︡tiĭ v svete istorii russkoĭ kulʹtury / otvetstvennye redaktory: V.M. Zhivov, I︠U︡.V. Kagarlit︠s︡kiĭ.</t>
  </si>
  <si>
    <t>Moskva : I︠A︡zyki slavi︠a︡nskikh kulʹtur, 2012.</t>
  </si>
  <si>
    <t>Studia philologica</t>
  </si>
  <si>
    <t>1749177797:rus</t>
  </si>
  <si>
    <t>816554611</t>
  </si>
  <si>
    <t>ocn816554611</t>
  </si>
  <si>
    <t>3103483700L</t>
  </si>
  <si>
    <t>9785955105581</t>
  </si>
  <si>
    <t>794933211</t>
  </si>
  <si>
    <t>PG2580 W33 1996</t>
  </si>
  <si>
    <t>0                      PG 2580000W  33          1996</t>
  </si>
  <si>
    <t>Russian etymological dictionary / Terence Wade.</t>
  </si>
  <si>
    <t>London : Bristol Classical Press ; Newburyport, MA : Available in USA and Canada from Focus Information Group, 1996.</t>
  </si>
  <si>
    <t>2017-09-24</t>
  </si>
  <si>
    <t>325409006:eng</t>
  </si>
  <si>
    <t>34686688</t>
  </si>
  <si>
    <t>ocm34686688</t>
  </si>
  <si>
    <t>3101800267Y</t>
  </si>
  <si>
    <t>9781853994142</t>
  </si>
  <si>
    <t>793433226</t>
  </si>
  <si>
    <t>2015-03-16</t>
  </si>
  <si>
    <t>3102953331J</t>
  </si>
  <si>
    <t>793433225</t>
  </si>
  <si>
    <t>PG2582 G4 B6</t>
  </si>
  <si>
    <t>0                      PG 2582000G  4                  B  6</t>
  </si>
  <si>
    <t>German Loanwords in the Russian language of the Petrine period / Anatole Bond.</t>
  </si>
  <si>
    <t>Bond, Anatole.</t>
  </si>
  <si>
    <t>Bern : Herbert Lang, 1974.</t>
  </si>
  <si>
    <t>European university papers : Series 16, Slavonic languages and literatures; 5</t>
  </si>
  <si>
    <t>2021229:eng</t>
  </si>
  <si>
    <t>1120267</t>
  </si>
  <si>
    <t>ocm01120267</t>
  </si>
  <si>
    <t>3000400271F</t>
  </si>
  <si>
    <t>9783261013774</t>
  </si>
  <si>
    <t>791550989</t>
  </si>
  <si>
    <t>PG2585 S49 1969</t>
  </si>
  <si>
    <t>0                      PG 2585000S  49          1969</t>
  </si>
  <si>
    <t>Russian lexicology [by] N.M. Shanskii. Translated by B.S. Johnson. Edited by J.E.S. Cooper.</t>
  </si>
  <si>
    <t>Shanskiĭ, N. M. (Nikolaĭ Maksimovich)</t>
  </si>
  <si>
    <t>Oxford, New York, Pergamon Press [1969]</t>
  </si>
  <si>
    <t>The Commonwealth and international library</t>
  </si>
  <si>
    <t>1405260:eng</t>
  </si>
  <si>
    <t>322772</t>
  </si>
  <si>
    <t>ocm00322772</t>
  </si>
  <si>
    <t>3000617554M</t>
  </si>
  <si>
    <t>9780080128429</t>
  </si>
  <si>
    <t>791336715</t>
  </si>
  <si>
    <t>PG2585 Z37 2012</t>
  </si>
  <si>
    <t>0                      PG 2585000Z  37          2012</t>
  </si>
  <si>
    <t>Konstanty i peremennye russkoĭ i︠a︡zykovoĭ kartiny mira / Anna A. Zalizni︠a︡k, I.B. Levontina, A.D. Shmelev.</t>
  </si>
  <si>
    <t>Zalizni︠a︡k, Anna A.</t>
  </si>
  <si>
    <t>Moskva : I︠A︡zyki slavi︠a︡nskoĭ kulʹtury, 2012.</t>
  </si>
  <si>
    <t>I︠A︡zyk. Semiotika. Kulʹtura</t>
  </si>
  <si>
    <t>3861608297:rus</t>
  </si>
  <si>
    <t>793187408</t>
  </si>
  <si>
    <t>ocn793187408</t>
  </si>
  <si>
    <t>31035270533</t>
  </si>
  <si>
    <t>9785955104942</t>
  </si>
  <si>
    <t>794917654</t>
  </si>
  <si>
    <t>PG2640 C36 2011</t>
  </si>
  <si>
    <t>0                      PG 2640000C  36          2011</t>
  </si>
  <si>
    <t>Cambridge learner's dictionary : English-Russian.</t>
  </si>
  <si>
    <t>(Text + 1 CD-ROM)</t>
  </si>
  <si>
    <t>Cambridge, UK ; New York : Cambridge University Press, 2011.</t>
  </si>
  <si>
    <t>2019-12-15</t>
  </si>
  <si>
    <t>3944671677:eng</t>
  </si>
  <si>
    <t>714728191</t>
  </si>
  <si>
    <t>ocn714728191</t>
  </si>
  <si>
    <t>31033816041</t>
  </si>
  <si>
    <t>9780521181976</t>
  </si>
  <si>
    <t>794873608</t>
  </si>
  <si>
    <t>- Reserves and A/V Room - Reserve Collection - 2 Day Loan</t>
  </si>
  <si>
    <t>PG2640 C64 2013</t>
  </si>
  <si>
    <t>0                      PG 2640000C  64          2013</t>
  </si>
  <si>
    <t>Compact Oxford Russian dictionary / edited by Della Thompson.</t>
  </si>
  <si>
    <t>Oxford : Oxford University Press, 2013.</t>
  </si>
  <si>
    <t>2019-11-28</t>
  </si>
  <si>
    <t>1201187682:eng</t>
  </si>
  <si>
    <t>824180055</t>
  </si>
  <si>
    <t>ocn824180055</t>
  </si>
  <si>
    <t>3103759016C</t>
  </si>
  <si>
    <t>9780199576173</t>
  </si>
  <si>
    <t>794937651</t>
  </si>
  <si>
    <t>SSLS</t>
  </si>
  <si>
    <t>- Schulich Section 1 - By Request</t>
  </si>
  <si>
    <t>PG2640 E5x 1973</t>
  </si>
  <si>
    <t>0                      PG 2640000E  5x          1973</t>
  </si>
  <si>
    <t>Essential Russian-English dictionary / B. Anpilogova [and others] ; [English translations by V. Korotky].</t>
  </si>
  <si>
    <t>Moscow : Progress Publishers, [1973]</t>
  </si>
  <si>
    <t>2018-12-06</t>
  </si>
  <si>
    <t>392459345:eng</t>
  </si>
  <si>
    <t>2912856</t>
  </si>
  <si>
    <t>ocm02912856</t>
  </si>
  <si>
    <t>3103560375Z</t>
  </si>
  <si>
    <t>792192540</t>
  </si>
  <si>
    <t>PG2640 H3x</t>
  </si>
  <si>
    <t>0                      PG 2640000H  3x</t>
  </si>
  <si>
    <t>Russian-English and English-Russian dictionary / by W. Harrison and Svetlana Le Fleming.</t>
  </si>
  <si>
    <t>Harrison, William, 1934-2012.</t>
  </si>
  <si>
    <t>London : Routledge and Kegan Paul, 1973.</t>
  </si>
  <si>
    <t>2019-10-07</t>
  </si>
  <si>
    <t>445397:eng</t>
  </si>
  <si>
    <t>667802</t>
  </si>
  <si>
    <t>ocm00667802</t>
  </si>
  <si>
    <t>3000617557G</t>
  </si>
  <si>
    <t>9780710069603</t>
  </si>
  <si>
    <t>791441642</t>
  </si>
  <si>
    <t>PG2640 O94 2009</t>
  </si>
  <si>
    <t>0                      PG 2640000O  94          2009</t>
  </si>
  <si>
    <t>Oxford essential Russian dictionary : Russian-English, English-Russian / [edited by Della Thompson].</t>
  </si>
  <si>
    <t>Oxford : Oxford University Press, ©2009.</t>
  </si>
  <si>
    <t>2019-03-27</t>
  </si>
  <si>
    <t>5614484169:eng</t>
  </si>
  <si>
    <t>502676920</t>
  </si>
  <si>
    <t>ocn502676920</t>
  </si>
  <si>
    <t>3103133864C</t>
  </si>
  <si>
    <t>9780199576432</t>
  </si>
  <si>
    <t>794805954</t>
  </si>
  <si>
    <t>PG2640 O95 2006</t>
  </si>
  <si>
    <t>0                      PG 2640000O  95          2006</t>
  </si>
  <si>
    <t>Oxford beginner's Russian dictionary / edited by Della Thompson.</t>
  </si>
  <si>
    <t>Oxford ; New York : Oxford University Press, ©2006.</t>
  </si>
  <si>
    <t>2019-05-21</t>
  </si>
  <si>
    <t>49053880:eng</t>
  </si>
  <si>
    <t>65203012</t>
  </si>
  <si>
    <t>ocm65203012</t>
  </si>
  <si>
    <t>3103437666L</t>
  </si>
  <si>
    <t>9780199298549</t>
  </si>
  <si>
    <t>794133200</t>
  </si>
  <si>
    <t>PG2640 P658 2004</t>
  </si>
  <si>
    <t>0                      PG 2640000P  658         2004</t>
  </si>
  <si>
    <t>Sovremennyĭ anglo-russkiĭ slovarʹ : okolo 50,000 slov i 70,000 slovosochetaniĭ / L.P. Popova, N.R. Mokina, G.V. Zakharova.</t>
  </si>
  <si>
    <t>Popova, L. P. (Li︠u︡dmila Petrovna)</t>
  </si>
  <si>
    <t>Moskva : RUSSO, 2004.</t>
  </si>
  <si>
    <t>2015-10-06</t>
  </si>
  <si>
    <t>363516967:rus</t>
  </si>
  <si>
    <t>57209105</t>
  </si>
  <si>
    <t>ocm57209105</t>
  </si>
  <si>
    <t>31026047457</t>
  </si>
  <si>
    <t>9785887212746</t>
  </si>
  <si>
    <t>793909019</t>
  </si>
  <si>
    <t>PG2640 S5 1959</t>
  </si>
  <si>
    <t>0                      PG 2640000S  5           1959</t>
  </si>
  <si>
    <t>Russian-English dictionary / compiled by O.S. Akhmanova [and others] ; under the general direction of A.I. Smirnitsky.</t>
  </si>
  <si>
    <t>New York : E.P. Dutton, 1959.</t>
  </si>
  <si>
    <t>3rd ed. rev. and enl. / under the editorship of O.S. Akhmanova.</t>
  </si>
  <si>
    <t>2016-10-28</t>
  </si>
  <si>
    <t>4915220377:rus</t>
  </si>
  <si>
    <t>1073147</t>
  </si>
  <si>
    <t>ocm01073147</t>
  </si>
  <si>
    <t>3000515215O</t>
  </si>
  <si>
    <t>791539035</t>
  </si>
  <si>
    <t>PG2640 U55 1958</t>
  </si>
  <si>
    <t>0                      PG 2640000U  55          1958</t>
  </si>
  <si>
    <t>Dictionary of spoken Russian; Russian-English, English-Russian.</t>
  </si>
  <si>
    <t>United States. War Department.</t>
  </si>
  <si>
    <t>New York, Dover Publications [1958]</t>
  </si>
  <si>
    <t>2019-04-26</t>
  </si>
  <si>
    <t>4020341744:eng</t>
  </si>
  <si>
    <t>322311</t>
  </si>
  <si>
    <t>ocm00322311</t>
  </si>
  <si>
    <t>3000961304O</t>
  </si>
  <si>
    <t>9780486204963</t>
  </si>
  <si>
    <t>791336519</t>
  </si>
  <si>
    <t>- Reference Collection - In Library Use</t>
  </si>
  <si>
    <t>3101406577H</t>
  </si>
  <si>
    <t>791336520</t>
  </si>
  <si>
    <t>PG2640 W4 2000</t>
  </si>
  <si>
    <t>0                      PG 2640000W  4           2000</t>
  </si>
  <si>
    <t>The Oxford Russian Dictionary / Russian-English, Edited by Marcus Wheeler and Boris Unbegaun ; English-Russian, Edited by Paul Falla ; Revised and Updated by Della Thompson.</t>
  </si>
  <si>
    <t>Oxford ; New York : Oxford University Press, 2000.</t>
  </si>
  <si>
    <t>2015-08-06</t>
  </si>
  <si>
    <t>254990:eng</t>
  </si>
  <si>
    <t>42745273</t>
  </si>
  <si>
    <t>ocm42745273</t>
  </si>
  <si>
    <t>3102030050F</t>
  </si>
  <si>
    <t>9780198601609</t>
  </si>
  <si>
    <t>793613364</t>
  </si>
  <si>
    <t>PG2640 W5 2007</t>
  </si>
  <si>
    <t>0                      PG 2640000W  5           2007</t>
  </si>
  <si>
    <t>Oxford Russian dictionary / Russian-English, edited by Marcus Wheeler and Boris Unbegaun ; English-Russian, edited by Paul Falla ; revised and updated by Della Thompson.</t>
  </si>
  <si>
    <t>Oxford ; New York : Oxford University Press, 2007.</t>
  </si>
  <si>
    <t>81452841</t>
  </si>
  <si>
    <t>ocm81452841</t>
  </si>
  <si>
    <t>31025703574</t>
  </si>
  <si>
    <t>9780198614203</t>
  </si>
  <si>
    <t>794203400</t>
  </si>
  <si>
    <t>PG2645 F5 M35 2004</t>
  </si>
  <si>
    <t>0                      PG 2645000F  5                  M  35          2004</t>
  </si>
  <si>
    <t>Polnyǐ frant︠s︡uzsko-russkiǐ slovarʹ : okolo 70 000 slov = Dictionnaire français-russe complet / N.P. Makarov.</t>
  </si>
  <si>
    <t>Makarov, N. (Nikolaĭ), 1810-1890.</t>
  </si>
  <si>
    <t>Moskva : AST-Astrelʹ", 2004.</t>
  </si>
  <si>
    <t>2018-12-20</t>
  </si>
  <si>
    <t>8911569650:fre</t>
  </si>
  <si>
    <t>74826881</t>
  </si>
  <si>
    <t>ocm74826881</t>
  </si>
  <si>
    <t>3102782302Q</t>
  </si>
  <si>
    <t>9785170222537</t>
  </si>
  <si>
    <t>794173703</t>
  </si>
  <si>
    <t>PG2645 F5 R34 1992</t>
  </si>
  <si>
    <t>0                      PG 2645000F  5                  R  34          1992</t>
  </si>
  <si>
    <t>Karmannyĭ russko-frant︠s︡uzskiĭ slovar ́ / O.V. Raevskai︠a︡.</t>
  </si>
  <si>
    <t>Raevskai︠a︡, O. V. (Olʹga Vladimirovna)</t>
  </si>
  <si>
    <t>Moskva : Russkiĭ i︠a︡zyk, 1992.</t>
  </si>
  <si>
    <t>41281634:rus</t>
  </si>
  <si>
    <t>37165218</t>
  </si>
  <si>
    <t>ocm37165218</t>
  </si>
  <si>
    <t>3101241518B</t>
  </si>
  <si>
    <t>9785200016853</t>
  </si>
  <si>
    <t>793492091</t>
  </si>
  <si>
    <t>PG2645 F5 R87 2016</t>
  </si>
  <si>
    <t>0                      PG 2645000F  5                  R  87          2016</t>
  </si>
  <si>
    <t>Russe : dictionniare français-russe, russe-français.</t>
  </si>
  <si>
    <t>Paris : Larousse, 2016.</t>
  </si>
  <si>
    <t>2018-10-02</t>
  </si>
  <si>
    <t>4539688814:fre</t>
  </si>
  <si>
    <t>1005934225</t>
  </si>
  <si>
    <t>on1005934225</t>
  </si>
  <si>
    <t>31037684042</t>
  </si>
  <si>
    <t>9782035915986</t>
  </si>
  <si>
    <t>795042850</t>
  </si>
  <si>
    <t>PG2691 B76 1996</t>
  </si>
  <si>
    <t>0                      PG 2691000B  76          1996</t>
  </si>
  <si>
    <t>Russian learners' dictionary : 10,000 words in frequency order / Nicholas J. Brown.</t>
  </si>
  <si>
    <t>Brown, Nicholas J., 1948-</t>
  </si>
  <si>
    <t>London ; New York : Routledge, 1996.</t>
  </si>
  <si>
    <t>2018-09-25</t>
  </si>
  <si>
    <t>328315762:eng</t>
  </si>
  <si>
    <t>33044963</t>
  </si>
  <si>
    <t>ocm33044963</t>
  </si>
  <si>
    <t>3101703068W</t>
  </si>
  <si>
    <t>9780415137911</t>
  </si>
  <si>
    <t>793400389</t>
  </si>
  <si>
    <t>PG2691 C6 1992</t>
  </si>
  <si>
    <t>0                      PG 2691000C  6           1992</t>
  </si>
  <si>
    <t>Vocabulary of Soviet society and culture : a selected guide to Russian words, idioms, and expressions of the post-Stalin era, 1953-1991 / Irina H. Corten.</t>
  </si>
  <si>
    <t>Corten, Irina H.</t>
  </si>
  <si>
    <t>Durham : Duke University Press, 1992.</t>
  </si>
  <si>
    <t>2015-04-20</t>
  </si>
  <si>
    <t>964977:eng</t>
  </si>
  <si>
    <t>24377280</t>
  </si>
  <si>
    <t>ocm24377280</t>
  </si>
  <si>
    <t>3100965044V</t>
  </si>
  <si>
    <t>9780822312130</t>
  </si>
  <si>
    <t>793196753</t>
  </si>
  <si>
    <t>PG2691 D7 1980</t>
  </si>
  <si>
    <t>0                      PG 2691000D  7           1980</t>
  </si>
  <si>
    <t>Dictionary of Russian obscenities / compiled by D.A. Drummond and G. Perkins.</t>
  </si>
  <si>
    <t>Drummond, D. A. (David Alan), 1945-</t>
  </si>
  <si>
    <t>Berekeley : Berkeley Slavic Specialities, 1980.</t>
  </si>
  <si>
    <t>Scythian books</t>
  </si>
  <si>
    <t>2017-04-04</t>
  </si>
  <si>
    <t>16329650:eng</t>
  </si>
  <si>
    <t>63011102</t>
  </si>
  <si>
    <t>ocm63011102</t>
  </si>
  <si>
    <t>3000321242C</t>
  </si>
  <si>
    <t>9780933884175</t>
  </si>
  <si>
    <t>794117294</t>
  </si>
  <si>
    <t>PG2691 K68 1983</t>
  </si>
  <si>
    <t>0                      PG 2691000K  68          1983</t>
  </si>
  <si>
    <t>Sobranie russkikh vorovskikh slovareĭ / sostavlenie i primechanii︠a︡ Vladimira Kozlovskogo.</t>
  </si>
  <si>
    <t>T. 4</t>
  </si>
  <si>
    <t>New York : Chalidze Publications, 1983.</t>
  </si>
  <si>
    <t>1983</t>
  </si>
  <si>
    <t>2018-06-07</t>
  </si>
  <si>
    <t>2909007876:rus</t>
  </si>
  <si>
    <t>54180523</t>
  </si>
  <si>
    <t>ocm54180523</t>
  </si>
  <si>
    <t>3100843592T</t>
  </si>
  <si>
    <t>793858481</t>
  </si>
  <si>
    <t>T. 2</t>
  </si>
  <si>
    <t>3100843590X</t>
  </si>
  <si>
    <t>793858483</t>
  </si>
  <si>
    <t>T. 3</t>
  </si>
  <si>
    <t>3100843591V</t>
  </si>
  <si>
    <t>793858482</t>
  </si>
  <si>
    <t>T. 1</t>
  </si>
  <si>
    <t>30003701957</t>
  </si>
  <si>
    <t>793858484</t>
  </si>
  <si>
    <t>PG2691 M64 1995</t>
  </si>
  <si>
    <t>0                      PG 2691000M  64          1995</t>
  </si>
  <si>
    <t>Slovarʹ russkoĭ brannoĭ leksiki : matizmy, obst︠s︡enizmy, ėvfemizmy s istoriko-ėtimologicheskimi kommentarii︠a︡mi : A-A-I︠A︡I︠A︡ / V.M. Mokienko.</t>
  </si>
  <si>
    <t>Mokienko, Valeriĭ Mikhaĭlovich.</t>
  </si>
  <si>
    <t>Berlin : Dieter Lenz Verlag, 1995.</t>
  </si>
  <si>
    <t>1. Aufl.</t>
  </si>
  <si>
    <t>2018-06-15</t>
  </si>
  <si>
    <t>8926377661:rus</t>
  </si>
  <si>
    <t>39000504</t>
  </si>
  <si>
    <t>ocm39000504</t>
  </si>
  <si>
    <t>31018663922</t>
  </si>
  <si>
    <t>9783927114012</t>
  </si>
  <si>
    <t>793535492</t>
  </si>
  <si>
    <t>PG2691 P6 1992</t>
  </si>
  <si>
    <t>0                      PG 2691000P  6           1992</t>
  </si>
  <si>
    <t>Po tu storonu zakona : ėnt︠s︡iklopedii︠a︡ prestupnogo mira / Lev Milʹi︠a︡nenkov.</t>
  </si>
  <si>
    <t>Milʹi︠a︡nenkov, Lev.</t>
  </si>
  <si>
    <t>Sankt-Peterburg : Damy i gospoda, 1992.</t>
  </si>
  <si>
    <t>31229306:rus</t>
  </si>
  <si>
    <t>28923120</t>
  </si>
  <si>
    <t>ocm28923120</t>
  </si>
  <si>
    <t>3101224737X</t>
  </si>
  <si>
    <t>9785878300063</t>
  </si>
  <si>
    <t>793299376</t>
  </si>
  <si>
    <t>PG2693 E45 2017</t>
  </si>
  <si>
    <t>0                      PG 2693000E  45          2017</t>
  </si>
  <si>
    <t>Slovarʹ abbreviatur i akronimov russkogo i︠a︡zyka / I.A. Eliseev.</t>
  </si>
  <si>
    <t>Eliseev, Igorʹ, author.</t>
  </si>
  <si>
    <t>Moskva : INFRA-M, 2017.</t>
  </si>
  <si>
    <t>Biblioteka slovareĭ INFRA-M</t>
  </si>
  <si>
    <t>2450136611:rus</t>
  </si>
  <si>
    <t>959567858</t>
  </si>
  <si>
    <t>ocn959567858</t>
  </si>
  <si>
    <t>3103699116S</t>
  </si>
  <si>
    <t>9785160104201</t>
  </si>
  <si>
    <t>795022466</t>
  </si>
  <si>
    <t>PG2693 Z3</t>
  </si>
  <si>
    <t>0                      PG 2693000Z  3</t>
  </si>
  <si>
    <t>Dictionary of Russian technical and scientific abbreviations : with their full meaning in Russian, English and German / compiled and arranged on a Russian alphabetical basis by Henryk Załucki.</t>
  </si>
  <si>
    <t>Zalucky, Henry K.</t>
  </si>
  <si>
    <t>Amsterdam ; New York : Elsevier Pub. Co., 1968.</t>
  </si>
  <si>
    <t>1405389:eng</t>
  </si>
  <si>
    <t>322821</t>
  </si>
  <si>
    <t>ocm00322821</t>
  </si>
  <si>
    <t>3000067044K</t>
  </si>
  <si>
    <t>791336734</t>
  </si>
  <si>
    <t>PG2741 E24 2011</t>
  </si>
  <si>
    <t>0                      PG 2741000E  24          2011</t>
  </si>
  <si>
    <t>Old Russian possessive constructions : a construction grammar approach / by Hanne Martine Eckhoff.</t>
  </si>
  <si>
    <t>Eckhoff, Hanne Martine.</t>
  </si>
  <si>
    <t>Berlin ; Boston : De Gruyter Mouton, ©2011.</t>
  </si>
  <si>
    <t>Trends in linguistics. Studies and monographs ; 237</t>
  </si>
  <si>
    <t>999123351:eng</t>
  </si>
  <si>
    <t>747314114</t>
  </si>
  <si>
    <t>ocn747314114</t>
  </si>
  <si>
    <t>3103384809K</t>
  </si>
  <si>
    <t>9783110255034</t>
  </si>
  <si>
    <t>794888007</t>
  </si>
  <si>
    <t>PG2743 K28 2014</t>
  </si>
  <si>
    <t>0                      PG 2743000K  28          2014</t>
  </si>
  <si>
    <t>Katalog pami︠a︡tnikov drevnerusskoĭ pisʹmennosti XI-XIV vv. : rukopisnye knigi / otvetstvennyĭ redaktor D.M. Bulanin.</t>
  </si>
  <si>
    <t>Sankt-Peterburg : Dmitriĭ Bulanin, 2014.</t>
  </si>
  <si>
    <t>Studiorum Slavicorum Orbis, 2220-5489 ; vyp. 7</t>
  </si>
  <si>
    <t>1852910416:rus</t>
  </si>
  <si>
    <t>875257501</t>
  </si>
  <si>
    <t>ocn875257501</t>
  </si>
  <si>
    <t>31036991111</t>
  </si>
  <si>
    <t>9785860077591</t>
  </si>
  <si>
    <t>794969360</t>
  </si>
  <si>
    <t>PG2750 L37 L45 1994</t>
  </si>
  <si>
    <t>0                      PG 2750000L  37                 L  45          1994</t>
  </si>
  <si>
    <t>Leksika russkikh staroobri︠a︡dcheskikh govorov : na materiale, sobrannom v Latgalii i na Zhitomirshchine = The lexicon of Russian Old-Believers : based on material from Latgale and the Žitomir area / Tamara Lënngren ; with a summary in English.</t>
  </si>
  <si>
    <t>Lënngren, Tamara.</t>
  </si>
  <si>
    <t>Uppsala : [Uppsala University] ; Stockholm, Sweden : Almquist &amp; Wiksell International, distributor, 1994.</t>
  </si>
  <si>
    <t>Acta Universitatis Upsaliensis. Studia Slavica Upsaliensia, 0562-3030 ; 34</t>
  </si>
  <si>
    <t>2016-01-23</t>
  </si>
  <si>
    <t>5612761892:rus</t>
  </si>
  <si>
    <t>31932680</t>
  </si>
  <si>
    <t>ocm31932680</t>
  </si>
  <si>
    <t>3102922185Y</t>
  </si>
  <si>
    <t>9789155433727</t>
  </si>
  <si>
    <t>793371533</t>
  </si>
  <si>
    <t>PG2752 K63 2013</t>
  </si>
  <si>
    <t>0                      PG 2752000K  63          2013</t>
  </si>
  <si>
    <t>Russian World War II dictionary : a Russian-English glossary of special terms, expressions and soldiers' slang / Isaak Kobylyansky &amp; Stuart Britton.</t>
  </si>
  <si>
    <t>Kobylyanskiy, Isaak, 1923- author.</t>
  </si>
  <si>
    <t>Solihull : Helion, 2013.</t>
  </si>
  <si>
    <t>4027532343:eng</t>
  </si>
  <si>
    <t>843811698</t>
  </si>
  <si>
    <t>ocn843811698</t>
  </si>
  <si>
    <t>31035046763</t>
  </si>
  <si>
    <t>9781909384064</t>
  </si>
  <si>
    <t>794948201</t>
  </si>
  <si>
    <t>PG2752 M35 1997</t>
  </si>
  <si>
    <t>0                      PG 2752000M  35          1997</t>
  </si>
  <si>
    <t>Zhargon-ėnt︠s︡iklopedii︠a︡ moskovskoĭ tusovki : nauchnoe izdanie / Tomas Maklovski, Mėri Kli︠a︡ĭn, Aleksandr Shchuplov.</t>
  </si>
  <si>
    <t>McLovsky, Thomas.</t>
  </si>
  <si>
    <t>Moskva : Izdatelʹskiĭ t︠s︡entr, 1997.</t>
  </si>
  <si>
    <t>Sobesedniki angelov</t>
  </si>
  <si>
    <t>2018-09-20</t>
  </si>
  <si>
    <t>3858037401:rus</t>
  </si>
  <si>
    <t>37596988</t>
  </si>
  <si>
    <t>ocm37596988</t>
  </si>
  <si>
    <t>3102922199W</t>
  </si>
  <si>
    <t>9785875321078</t>
  </si>
  <si>
    <t>793502390</t>
  </si>
  <si>
    <t>PG2752 M45 2003</t>
  </si>
  <si>
    <t>0                      PG 2752000M  45          2003</t>
  </si>
  <si>
    <t>Russkiĭ mat kak muzhskoĭ obest︠s︡enennyĭ kod : problema proiskhozhdenii︠a︡ i ėvoli︠u︡t︠s︡ii︠a︡ statusa / V. I︠U︡. Mikhaĭlin.</t>
  </si>
  <si>
    <t>Mikhaĭlin, V. I︠U︡.</t>
  </si>
  <si>
    <t>Saratov : Laboratorii︠a︡ istoricheskoĭ, sot︠s︡ialʹnoĭ i kulʹturnoĭ antropologii, 2003.</t>
  </si>
  <si>
    <t>145573027:rus</t>
  </si>
  <si>
    <t>55646700</t>
  </si>
  <si>
    <t>ocm55646700</t>
  </si>
  <si>
    <t>3102396601K</t>
  </si>
  <si>
    <t>793880135</t>
  </si>
  <si>
    <t>PG2752 M65 2000</t>
  </si>
  <si>
    <t>0                      PG 2752000M  65          2000</t>
  </si>
  <si>
    <t>Bolʹshoĭ slovarʹ russkogo zhargona : 25,000 slov, 7,000 ustoĭchivykh sochetaniĭ / V.M. Mokienko, T.G. Nikitina.</t>
  </si>
  <si>
    <t>Mokienko, V. M. (Valeriĭ Mikhaĭlovich)</t>
  </si>
  <si>
    <t>Sankt-Peterburg : Norint, 2000.</t>
  </si>
  <si>
    <t>3901682079:rus</t>
  </si>
  <si>
    <t>45368039</t>
  </si>
  <si>
    <t>ocm45368039</t>
  </si>
  <si>
    <t>3102922188Y</t>
  </si>
  <si>
    <t>9785771100913</t>
  </si>
  <si>
    <t>793670200</t>
  </si>
  <si>
    <t>PG2752 S53 2005</t>
  </si>
  <si>
    <t>0                      PG 2752000S  53          2005</t>
  </si>
  <si>
    <t>Ėnt︠s︡iklopedii︠a︡ "Tusovka" / Aleksandr Shchuplov.</t>
  </si>
  <si>
    <t>Shchuplov, Aleksandr Nikolaevich.</t>
  </si>
  <si>
    <t>Moskva : Ėlʹf IPR, 2005.</t>
  </si>
  <si>
    <t>Serii︠a︡ "Parsuna"</t>
  </si>
  <si>
    <t>2019-02-14</t>
  </si>
  <si>
    <t>110314407:rus</t>
  </si>
  <si>
    <t>64191791</t>
  </si>
  <si>
    <t>ocm64191791</t>
  </si>
  <si>
    <t>3102674342L</t>
  </si>
  <si>
    <t>9785900891385</t>
  </si>
  <si>
    <t>794125658</t>
  </si>
  <si>
    <t>PG2833 W4</t>
  </si>
  <si>
    <t>0                      PG 2833000W  4</t>
  </si>
  <si>
    <t>A historical phonology of the Belorussian language / Paul Wexler.</t>
  </si>
  <si>
    <t>Wexler, Paul.</t>
  </si>
  <si>
    <t>Heidelberg : Winter, 1977.</t>
  </si>
  <si>
    <t>Historical phonology of the Slavic languages ; 3</t>
  </si>
  <si>
    <t>2018-07-10</t>
  </si>
  <si>
    <t>845743:eng</t>
  </si>
  <si>
    <t>4141833</t>
  </si>
  <si>
    <t>ocm04141833</t>
  </si>
  <si>
    <t>3102922192W</t>
  </si>
  <si>
    <t>9783533025764</t>
  </si>
  <si>
    <t>792325557</t>
  </si>
  <si>
    <t>PG2834 U84 1992</t>
  </si>
  <si>
    <t>0                      PG 2834000U  84          1992</t>
  </si>
  <si>
    <t>Byelorussian-English, English-Byelorussian dictionary : with complete phonetics / Alexander Ushkevich, Alexandra Zezulin.</t>
  </si>
  <si>
    <t>Ushkevich, Alexander.</t>
  </si>
  <si>
    <t>New York : Hippocrene Books, ©1992.</t>
  </si>
  <si>
    <t>Hippocrene concise dictionary</t>
  </si>
  <si>
    <t>896344371:eng</t>
  </si>
  <si>
    <t>25487197</t>
  </si>
  <si>
    <t>ocm25487197</t>
  </si>
  <si>
    <t>3101257839T</t>
  </si>
  <si>
    <t>9780870521140</t>
  </si>
  <si>
    <t>793222899</t>
  </si>
  <si>
    <t>PG2834.2 A3</t>
  </si>
  <si>
    <t>0                      PG 2834200A  3</t>
  </si>
  <si>
    <t>Opposition to sovietization in Belorussian literature, 1917-1957 / Anthony Adamovich ; with foreword by Alexander Dallin.</t>
  </si>
  <si>
    <t>Adamovich, Ant. (Anton)</t>
  </si>
  <si>
    <t>Munich ; New York : Published by the Institute for the Study of the USSR for Scarecrow Press, 1958.</t>
  </si>
  <si>
    <t>Monographs / Institute for study of the USSR, Munich ; 38</t>
  </si>
  <si>
    <t>2018-08-13</t>
  </si>
  <si>
    <t>428096762:eng</t>
  </si>
  <si>
    <t>2125628</t>
  </si>
  <si>
    <t>ocm02125628</t>
  </si>
  <si>
    <t>3000620176K</t>
  </si>
  <si>
    <t>792051826</t>
  </si>
  <si>
    <t>PG2835.2 B9 A6513 2012</t>
  </si>
  <si>
    <t>0                      PG 2835200B  9                  A  6513        2012</t>
  </si>
  <si>
    <t>The scared generation / [editors, Natasha Perova and Joanne Turnbull].</t>
  </si>
  <si>
    <t>[Moscow, Russia] : GLAS ; Minneapolis, Min. : Distribution in North America, Consortium Book Sales and Distribution, ©2012.</t>
  </si>
  <si>
    <t>Glas new Russian writing ; v. 51</t>
  </si>
  <si>
    <t>2015-03-30</t>
  </si>
  <si>
    <t>3374666082:eng</t>
  </si>
  <si>
    <t>775442177</t>
  </si>
  <si>
    <t>ocn775442177</t>
  </si>
  <si>
    <t>31033956597</t>
  </si>
  <si>
    <t>9785717200905</t>
  </si>
  <si>
    <t>794907611</t>
  </si>
  <si>
    <t>PG2835.2 B9 Z413 1990</t>
  </si>
  <si>
    <t>0                      PG 2835200B  9                  Z  413         1990</t>
  </si>
  <si>
    <t>Sign of misfortune / Vasil Bykov ; translated from the Russian by Alan Myers.</t>
  </si>
  <si>
    <t>Bykaŭ, Vasilʹ, 1924-2003.</t>
  </si>
  <si>
    <t>New York, NY : Allerton Press, ©1990.</t>
  </si>
  <si>
    <t>104080561:eng</t>
  </si>
  <si>
    <t>20566808</t>
  </si>
  <si>
    <t>ocm20566808</t>
  </si>
  <si>
    <t>31029222462</t>
  </si>
  <si>
    <t>9780898640496</t>
  </si>
  <si>
    <t>793091663</t>
  </si>
  <si>
    <t>PG2835.3 K34 M98 2011</t>
  </si>
  <si>
    <t>0                      PG 2835300K  34                 M  98          2011</t>
  </si>
  <si>
    <t>Muzhchiny i zhenshchiny sushchestvui︠u︡t / Grigoriĭ Kakovkin.</t>
  </si>
  <si>
    <t>Kakovkin, Grigoriĭ.</t>
  </si>
  <si>
    <t>Moskva : AST : Astrelʹ : Poligrafizdat, 2011.</t>
  </si>
  <si>
    <t>2018-11-14</t>
  </si>
  <si>
    <t>3815327089:rus</t>
  </si>
  <si>
    <t>739837304</t>
  </si>
  <si>
    <t>ocn739837304</t>
  </si>
  <si>
    <t>3103478979N</t>
  </si>
  <si>
    <t>9785170724765</t>
  </si>
  <si>
    <t>794883051</t>
  </si>
  <si>
    <t>PG2838 M36 2002</t>
  </si>
  <si>
    <t>0                      PG 2838000M  36          2002</t>
  </si>
  <si>
    <t>Belarusian literature of the diaspora / Arnold Mcmillin.</t>
  </si>
  <si>
    <t>McMillin, Arnold B. (Arnold Barrett), 1941-</t>
  </si>
  <si>
    <t>Birmingham : University of Birmingham Central Printing Services, 2002.</t>
  </si>
  <si>
    <t>Birmingham Slavonic monographs, 0141-3805 ; no. 34</t>
  </si>
  <si>
    <t>2018-07-27</t>
  </si>
  <si>
    <t>6040567:eng</t>
  </si>
  <si>
    <t>50158285</t>
  </si>
  <si>
    <t>ocm50158285</t>
  </si>
  <si>
    <t>31029222314</t>
  </si>
  <si>
    <t>9780704423275</t>
  </si>
  <si>
    <t>793756948</t>
  </si>
  <si>
    <t>2018-07-12</t>
  </si>
  <si>
    <t>2015-07-02</t>
  </si>
  <si>
    <t>2000-12-19</t>
  </si>
  <si>
    <t>2002-06-05</t>
  </si>
  <si>
    <t>2016-10-25</t>
  </si>
  <si>
    <t>PG2925 V68 1934mt</t>
  </si>
  <si>
    <t>0                      PG 2925000V  68          1934mt</t>
  </si>
  <si>
    <t>Problems of Soviet literature : reports and speeches at the first Soviet writers' congress / by A. Zhdanov [and others] ; edited by H.G. Scott.</t>
  </si>
  <si>
    <t>Vsesoi︠u︡znyĭ sʺezd sovetskikh pisateleĭ (1st : 1934 : Moscow, R.S.F.S.R.)</t>
  </si>
  <si>
    <t>London : M. Lawrence, [1935?]</t>
  </si>
  <si>
    <t>1935</t>
  </si>
  <si>
    <t>2019-10-23</t>
  </si>
  <si>
    <t>445564:eng</t>
  </si>
  <si>
    <t>1086971607</t>
  </si>
  <si>
    <t>on1086971607</t>
  </si>
  <si>
    <t>3102922281V</t>
  </si>
  <si>
    <t>795079044</t>
  </si>
  <si>
    <t>PG2932 J33 F74 1995</t>
  </si>
  <si>
    <t>0                      PG 2932000J  33                 F  74          1995</t>
  </si>
  <si>
    <t>Freedom and responsibility in Russian literature : essays in honor of Robert Louis Jackson / edited by Elizabeth Cheresh Allen and Gary Saul Morson.</t>
  </si>
  <si>
    <t>Evanston, Ill. : Northwestern University Press ; [New Haven] : Yale Center for International and Area Studies, ©1995.</t>
  </si>
  <si>
    <t>Studies in Russian literature and theory</t>
  </si>
  <si>
    <t>2012-09-10</t>
  </si>
  <si>
    <t>2016-05-07</t>
  </si>
  <si>
    <t>33398692:eng</t>
  </si>
  <si>
    <t>31239449</t>
  </si>
  <si>
    <t>ocm31239449</t>
  </si>
  <si>
    <t>3102922277X</t>
  </si>
  <si>
    <t>9780810111462</t>
  </si>
  <si>
    <t>793356632</t>
  </si>
  <si>
    <t>3103358455L</t>
  </si>
  <si>
    <t>793356631</t>
  </si>
  <si>
    <t>PG2932 M35</t>
  </si>
  <si>
    <t>0                      PG 2932000M  35</t>
  </si>
  <si>
    <t>Belinsky, Chernyshevsky, and Dobrolyubov : selected criticism / edited and with an introd. by Ralph E. Matlaw.</t>
  </si>
  <si>
    <t>New York : Dutton, 1962.</t>
  </si>
  <si>
    <t>2742833:eng</t>
  </si>
  <si>
    <t>11796729</t>
  </si>
  <si>
    <t>ocm11796729</t>
  </si>
  <si>
    <t>3102802321J</t>
  </si>
  <si>
    <t>792788301</t>
  </si>
  <si>
    <t>2007-04-09</t>
  </si>
  <si>
    <t>3102922274X</t>
  </si>
  <si>
    <t>792788300</t>
  </si>
  <si>
    <t>PG2932 T9</t>
  </si>
  <si>
    <t>0                      PG 2932000T  9</t>
  </si>
  <si>
    <t>Twentieth-century Russian literary criticism / edited by Victor Erlich.</t>
  </si>
  <si>
    <t>New Haven : Yale University Press, 1975.</t>
  </si>
  <si>
    <t>140880577:eng</t>
  </si>
  <si>
    <t>1730146</t>
  </si>
  <si>
    <t>ocm01730146</t>
  </si>
  <si>
    <t>3103592957O</t>
  </si>
  <si>
    <t>9780300018639</t>
  </si>
  <si>
    <t>791855848</t>
  </si>
  <si>
    <t>2013-04-08</t>
  </si>
  <si>
    <t>3102922265Z</t>
  </si>
  <si>
    <t>791855849</t>
  </si>
  <si>
    <t>PG2932 Z46 2018</t>
  </si>
  <si>
    <t>0                      PG 2932000Z  46          2018</t>
  </si>
  <si>
    <t>A/Z : essays in honor of Alexander Zholkovsky / edited by Dennis Ioffe, Marcus Levitt, Joe Peschio, and Igor Pilshchikov.</t>
  </si>
  <si>
    <t>Brighton, MA : Academic Studies Press, 2018.</t>
  </si>
  <si>
    <t>4558020654:eng</t>
  </si>
  <si>
    <t>1007507992</t>
  </si>
  <si>
    <t>on1007507992</t>
  </si>
  <si>
    <t>3103738361C</t>
  </si>
  <si>
    <t>9781618117205</t>
  </si>
  <si>
    <t>795044154</t>
  </si>
  <si>
    <t>PG2933 M2713 1977</t>
  </si>
  <si>
    <t>0                      PG 2933000M  2713        1977</t>
  </si>
  <si>
    <t>Osip Mandelstam, selected essays / translated by Sidney Monas.</t>
  </si>
  <si>
    <t>Mandelʹshtam, Osip, 1891-1938.</t>
  </si>
  <si>
    <t>Austin : University of Texas Press, ©1977.</t>
  </si>
  <si>
    <t>The Dan Danciger publication series</t>
  </si>
  <si>
    <t>2015-05-20</t>
  </si>
  <si>
    <t>3901453713:eng</t>
  </si>
  <si>
    <t>2331489</t>
  </si>
  <si>
    <t>ocm02331489</t>
  </si>
  <si>
    <t>3102922262Z</t>
  </si>
  <si>
    <t>9780292760066</t>
  </si>
  <si>
    <t>792104951</t>
  </si>
  <si>
    <t>PG2933 Y3</t>
  </si>
  <si>
    <t>0                      PG 2933000Y  3</t>
  </si>
  <si>
    <t>The Russian literary imagination.</t>
  </si>
  <si>
    <t>Yarmolinsky, Avrahm, 1890-1975.</t>
  </si>
  <si>
    <t>New York, Funk &amp; Wagnalls [1969]</t>
  </si>
  <si>
    <t>1146749:eng</t>
  </si>
  <si>
    <t>24541</t>
  </si>
  <si>
    <t>ocm00024541</t>
  </si>
  <si>
    <t>31029223047</t>
  </si>
  <si>
    <t>791232270</t>
  </si>
  <si>
    <t>PG2940 H29 1985</t>
  </si>
  <si>
    <t>0                      PG 2940000H  29          1985</t>
  </si>
  <si>
    <t>Handbook of Russian literature / edited by Victor Terras.</t>
  </si>
  <si>
    <t>New Haven : Yale University Press, [1985]</t>
  </si>
  <si>
    <t>2018-11-08</t>
  </si>
  <si>
    <t>3351842:eng</t>
  </si>
  <si>
    <t>10824864</t>
  </si>
  <si>
    <t>ocm10824864</t>
  </si>
  <si>
    <t>3000952566W</t>
  </si>
  <si>
    <t>9780300031553</t>
  </si>
  <si>
    <t>792745417</t>
  </si>
  <si>
    <t>PG2944 B34 2010</t>
  </si>
  <si>
    <t>0                      PG 2944000B  34          2010</t>
  </si>
  <si>
    <t>Russkai︠a︡ filosofskai︠a︡ proza : voprosy poėtiki / Ė.A. Balʹburov, otvetstvennyĭ redaktor E.K. Romodanovskai︠a︡.</t>
  </si>
  <si>
    <t>Balʹburov, Ė. A. (Ėduard Afrikanovich)</t>
  </si>
  <si>
    <t>Moskva : I︠A︡zyki slavi︠a︡nskoĭ kulʹtury, 2010.</t>
  </si>
  <si>
    <t>Kommunikativnye strategii kulʹtury</t>
  </si>
  <si>
    <t>3860390857:rus</t>
  </si>
  <si>
    <t>656165833</t>
  </si>
  <si>
    <t>ocn656165833</t>
  </si>
  <si>
    <t>3103340489F</t>
  </si>
  <si>
    <t>9785955104065</t>
  </si>
  <si>
    <t>794834569</t>
  </si>
  <si>
    <t>PG2944 S55 2014</t>
  </si>
  <si>
    <t>0                      PG 2944000S  55          2014</t>
  </si>
  <si>
    <t>"V zagovore protiv pustoty i nebytii︠a︡" : neotradit︠s︡ionalizm v russkoĭ literature XX veka : monografii︠a︡ / O.N. Skli︠a︡rov.</t>
  </si>
  <si>
    <t>Skli︠a︡rov, O. N. (Oleg Nikolaevich), 1966- author.</t>
  </si>
  <si>
    <t>Moskva : Izdatelʹstvo PSTGU, 2014.</t>
  </si>
  <si>
    <t>2067131633:rus</t>
  </si>
  <si>
    <t>889864572</t>
  </si>
  <si>
    <t>ocn889864572</t>
  </si>
  <si>
    <t>31031988139</t>
  </si>
  <si>
    <t>9785742909101</t>
  </si>
  <si>
    <t>794978661</t>
  </si>
  <si>
    <t>PG2944 T33 2015</t>
  </si>
  <si>
    <t>0                      PG 2944000T  33          2015</t>
  </si>
  <si>
    <t>Russian irrationalism from Pushkin to Brodsky : seven essays in literature and thought / Olga Tabachnikova.</t>
  </si>
  <si>
    <t>Tabachnikova, Olga, 1967- author.</t>
  </si>
  <si>
    <t>New York : Bloomsbury Academic, 2015.</t>
  </si>
  <si>
    <t>2271831499:eng</t>
  </si>
  <si>
    <t>893099348</t>
  </si>
  <si>
    <t>ocn893099348</t>
  </si>
  <si>
    <t>3103612438F</t>
  </si>
  <si>
    <t>9781441171207</t>
  </si>
  <si>
    <t>794981337</t>
  </si>
  <si>
    <t>PG2945 B946 2007</t>
  </si>
  <si>
    <t>0                      PG 2945000B  946         2007</t>
  </si>
  <si>
    <t>Literary scholarship in late Imperial Russia : rituals of academic institutionalization / Andy Byford.</t>
  </si>
  <si>
    <t>Byford, Andy, 1972-</t>
  </si>
  <si>
    <t>London : Modern Humanities Research Association : Maney Pub., 2007.</t>
  </si>
  <si>
    <t>Legenda</t>
  </si>
  <si>
    <t>2015-11-26</t>
  </si>
  <si>
    <t>891273189:eng</t>
  </si>
  <si>
    <t>192026605</t>
  </si>
  <si>
    <t>ocn192026605</t>
  </si>
  <si>
    <t>3102654370P</t>
  </si>
  <si>
    <t>9781904350910</t>
  </si>
  <si>
    <t>794302671</t>
  </si>
  <si>
    <t>PG2947 B3 A2</t>
  </si>
  <si>
    <t>0                      PG 2947000B  3                  A  2</t>
  </si>
  <si>
    <t>Sobranie sochineniĭ : v semi tomakh / M.M. Bakhtin ; [redaktory toma, S.G. Bocharov, N.I. Nikolaev].</t>
  </si>
  <si>
    <t>t.5</t>
  </si>
  <si>
    <t>Bakhtin, M. M. (Mikhail Mikhaĭlovich), 1895-1975</t>
  </si>
  <si>
    <t>Moskva : Russkie slovari, 1996-</t>
  </si>
  <si>
    <t>Sobranie sochineniĭ ; tom 5, Raboty</t>
  </si>
  <si>
    <t>2011-02-22</t>
  </si>
  <si>
    <t>2016-02-06</t>
  </si>
  <si>
    <t>2863982913:rus</t>
  </si>
  <si>
    <t>40491509</t>
  </si>
  <si>
    <t>ocm40491509</t>
  </si>
  <si>
    <t>3102922359Y</t>
  </si>
  <si>
    <t>9785892160100</t>
  </si>
  <si>
    <t>793568441</t>
  </si>
  <si>
    <t>2008-04-30</t>
  </si>
  <si>
    <t>3102922354Y</t>
  </si>
  <si>
    <t>793568442</t>
  </si>
  <si>
    <t>3102922349$</t>
  </si>
  <si>
    <t>793568443</t>
  </si>
  <si>
    <t>t. 6</t>
  </si>
  <si>
    <t>2015-11-17</t>
  </si>
  <si>
    <t>31034827927</t>
  </si>
  <si>
    <t>793568440</t>
  </si>
  <si>
    <t>PG2947 B3 B3 2001</t>
  </si>
  <si>
    <t>0                      PG 2947000B  3                  B  3           2001</t>
  </si>
  <si>
    <t>Bakhtin and cultural theory / edited by Ken Hirschkop and David Shepherd.</t>
  </si>
  <si>
    <t>Manchester ; New York : Manchester University Press ; New York : Distributed exclusively in the U.S.A. by Palgrave, 2001.</t>
  </si>
  <si>
    <t>Rev. and expanded 2nd ed.</t>
  </si>
  <si>
    <t>2015-09-22</t>
  </si>
  <si>
    <t>351478885:eng</t>
  </si>
  <si>
    <t>45845562</t>
  </si>
  <si>
    <t>ocm45845562</t>
  </si>
  <si>
    <t>31021491599</t>
  </si>
  <si>
    <t>9780719049897</t>
  </si>
  <si>
    <t>793679496</t>
  </si>
  <si>
    <t>PG2947 B3 B325 2013</t>
  </si>
  <si>
    <t>0                      PG 2947000B  3                  B  325         2013</t>
  </si>
  <si>
    <t>Bakhtin and his Others : (inter)subjectivity, chronotope, dialogism / edited by Liisa Steinby and Tintti Klapuri.</t>
  </si>
  <si>
    <t>London ; New York : Anthem Press, [2013]</t>
  </si>
  <si>
    <t>2019-04-04</t>
  </si>
  <si>
    <t>1313772158:eng</t>
  </si>
  <si>
    <t>843946301</t>
  </si>
  <si>
    <t>ocn843946301</t>
  </si>
  <si>
    <t>3103499829M</t>
  </si>
  <si>
    <t>9780857283085</t>
  </si>
  <si>
    <t>794948349</t>
  </si>
  <si>
    <t>PG2947 B3 B43 2007</t>
  </si>
  <si>
    <t>0                      PG 2947000B  3                  B  43          2007</t>
  </si>
  <si>
    <t>Mikhail Bakhtin and Walter Benjamin : experience and form / Tim Beasley-Murray.</t>
  </si>
  <si>
    <t>Beasley-Murray, Tim, 1971-</t>
  </si>
  <si>
    <t>New York : Palgrave Macmillan, 2007.</t>
  </si>
  <si>
    <t>2015-06-19</t>
  </si>
  <si>
    <t>197504783:eng</t>
  </si>
  <si>
    <t>181368779</t>
  </si>
  <si>
    <t>ocn181368779</t>
  </si>
  <si>
    <t>3102574247U</t>
  </si>
  <si>
    <t>9780230535350</t>
  </si>
  <si>
    <t>794282287</t>
  </si>
  <si>
    <t>PG2947 B3 B76 2011</t>
  </si>
  <si>
    <t>0                      PG 2947000B  3                  B  76          2011</t>
  </si>
  <si>
    <t>Bakhtine démasqué : histoire d'un menteur, d'une escroquerie et d'un délire collectif / Jean-Paul Bronckart, Cristian Bota.</t>
  </si>
  <si>
    <t>Bronckart, Jean-Paul, 1946-</t>
  </si>
  <si>
    <t>Genève : Droz, 2011.</t>
  </si>
  <si>
    <t>Titre courant ; 45</t>
  </si>
  <si>
    <t>1019345277:fre</t>
  </si>
  <si>
    <t>759903292</t>
  </si>
  <si>
    <t>ocn759903292</t>
  </si>
  <si>
    <t>31035865481</t>
  </si>
  <si>
    <t>9782600005456</t>
  </si>
  <si>
    <t>794897769</t>
  </si>
  <si>
    <t>PG2947 B3 C58 1984</t>
  </si>
  <si>
    <t>0                      PG 2947000B  3                  C  58          1984</t>
  </si>
  <si>
    <t>Mikhail Bakhtin / Katerina Clark, Michael Holquist.</t>
  </si>
  <si>
    <t>Clark, Katerina.</t>
  </si>
  <si>
    <t>Cambridge, Mass. : Belknap Press of Harvard University Press, 1984.</t>
  </si>
  <si>
    <t>2015-11-13</t>
  </si>
  <si>
    <t>2019-03-11</t>
  </si>
  <si>
    <t>3550673:eng</t>
  </si>
  <si>
    <t>10727282</t>
  </si>
  <si>
    <t>ocm10727282</t>
  </si>
  <si>
    <t>3103201088C</t>
  </si>
  <si>
    <t>9780674574168</t>
  </si>
  <si>
    <t>792740077</t>
  </si>
  <si>
    <t>2017-04-08</t>
  </si>
  <si>
    <t>3100012000B</t>
  </si>
  <si>
    <t>792740078</t>
  </si>
  <si>
    <t>31021116964</t>
  </si>
  <si>
    <t>792740076</t>
  </si>
  <si>
    <t>PG2947 B3 H47 1997</t>
  </si>
  <si>
    <t>0                      PG 2947000B  3                  H  47          1997</t>
  </si>
  <si>
    <t>L'héritage de Mikhaïl Bakhtine / édition préparée par Catherine Depretto.</t>
  </si>
  <si>
    <t>Bordeaux (France) : Presses universitaires de Bordeaux, ©1997.</t>
  </si>
  <si>
    <t>Sémaphores</t>
  </si>
  <si>
    <t>45007458:fre</t>
  </si>
  <si>
    <t>37648708</t>
  </si>
  <si>
    <t>ocm37648708</t>
  </si>
  <si>
    <t>3101845861A</t>
  </si>
  <si>
    <t>9782867812019</t>
  </si>
  <si>
    <t>793503733</t>
  </si>
  <si>
    <t>PG2947 B3 H6 2002</t>
  </si>
  <si>
    <t>0                      PG 2947000B  3                  H  6           2002</t>
  </si>
  <si>
    <t>Dialogism : Bakhtin and his world / Michael Holquist.</t>
  </si>
  <si>
    <t>Holquist, Michael, 1935-2016.</t>
  </si>
  <si>
    <t>London ; New York : Routledge, 2002.</t>
  </si>
  <si>
    <t>New accents</t>
  </si>
  <si>
    <t>2015-07-23</t>
  </si>
  <si>
    <t>902841:eng</t>
  </si>
  <si>
    <t>49593835</t>
  </si>
  <si>
    <t>ocm49593835</t>
  </si>
  <si>
    <t>31022841733</t>
  </si>
  <si>
    <t>9780415280075</t>
  </si>
  <si>
    <t>793743662</t>
  </si>
  <si>
    <t>PG2947 B3 K58 2010</t>
  </si>
  <si>
    <t>0                      PG 2947000B  3                  K  58          2010</t>
  </si>
  <si>
    <t>M.M. Bakhtin--myslitelʹ, pedagog, chelovek / I.V. Kli︠u︡eva, L.M. Lisunova.</t>
  </si>
  <si>
    <t>Kli︠u︡eva, I. V.</t>
  </si>
  <si>
    <t>Saransk : Krasnyĭ Okti︠a︡brʹ, 2010.</t>
  </si>
  <si>
    <t>892738684:rus</t>
  </si>
  <si>
    <t>635865112</t>
  </si>
  <si>
    <t>ocn635865112</t>
  </si>
  <si>
    <t>3103303097X</t>
  </si>
  <si>
    <t>9785749314793</t>
  </si>
  <si>
    <t>794825829</t>
  </si>
  <si>
    <t>PG2947 B3 L63 1990</t>
  </si>
  <si>
    <t>0                      PG 2947000B  3                  L  63          1990</t>
  </si>
  <si>
    <t>After Bakhtin : essays on fiction and criticism / David Lodge.</t>
  </si>
  <si>
    <t>Lodge, David, 1935-</t>
  </si>
  <si>
    <t>London ; New York : Routledge, 1990.</t>
  </si>
  <si>
    <t>2016-12-12</t>
  </si>
  <si>
    <t>808349096:eng</t>
  </si>
  <si>
    <t>20799043</t>
  </si>
  <si>
    <t>ocm20799043</t>
  </si>
  <si>
    <t>3102741461Z</t>
  </si>
  <si>
    <t>9780415050371</t>
  </si>
  <si>
    <t>793099033</t>
  </si>
  <si>
    <t>PG2947 B3 M55 2003</t>
  </si>
  <si>
    <t>0                      PG 2947000B  3                  M  55          2003</t>
  </si>
  <si>
    <t>Mikhail Bakhtin / edited by Michael E. Gardiner.</t>
  </si>
  <si>
    <t>v.4</t>
  </si>
  <si>
    <t>London ; Thousand Oaks, Calif. : SAGE, 2003.</t>
  </si>
  <si>
    <t>Sage masters of modern social thought</t>
  </si>
  <si>
    <t>2013-01-07</t>
  </si>
  <si>
    <t>2019-03-08</t>
  </si>
  <si>
    <t>2865597516:eng</t>
  </si>
  <si>
    <t>50614517</t>
  </si>
  <si>
    <t>ocm50614517</t>
  </si>
  <si>
    <t>31029224260</t>
  </si>
  <si>
    <t>9780761974475</t>
  </si>
  <si>
    <t>793768901</t>
  </si>
  <si>
    <t>3102922396Q</t>
  </si>
  <si>
    <t>793768904</t>
  </si>
  <si>
    <t>v.2</t>
  </si>
  <si>
    <t>31029224014</t>
  </si>
  <si>
    <t>793768903</t>
  </si>
  <si>
    <t>v.3</t>
  </si>
  <si>
    <t>3102922431Z</t>
  </si>
  <si>
    <t>793768902</t>
  </si>
  <si>
    <t>PG2947 B3 M67 1990</t>
  </si>
  <si>
    <t>0                      PG 2947000B  3                  M  67          1990</t>
  </si>
  <si>
    <t>Mikhail Bakhtin : creation of a prosaics / Gary Saul Morson &amp; Caryl Emerson.</t>
  </si>
  <si>
    <t>Morson, Gary Saul, 1948-</t>
  </si>
  <si>
    <t>Stanford, Calif. : Stanford Univ. Press, 1990.</t>
  </si>
  <si>
    <t>2018-12-21</t>
  </si>
  <si>
    <t>23286933:eng</t>
  </si>
  <si>
    <t>21876199</t>
  </si>
  <si>
    <t>ocm21876199</t>
  </si>
  <si>
    <t>31029224112</t>
  </si>
  <si>
    <t>9780804718219</t>
  </si>
  <si>
    <t>793128980</t>
  </si>
  <si>
    <t>3103621631K</t>
  </si>
  <si>
    <t>793128979</t>
  </si>
  <si>
    <t>PG2947 B3 P36 2010</t>
  </si>
  <si>
    <t>0                      PG 2947000B  3                  P  36          2010</t>
  </si>
  <si>
    <t>Voprosy biografii i nauchnogo tvorchestva M.M. Bakhtina / N.A. Panʹkov.</t>
  </si>
  <si>
    <t>Panʹkov, N. A. (Nikolaĭ Alekseevich)</t>
  </si>
  <si>
    <t>Moskva : Moskovskiĭ gos. universitet, 2010.</t>
  </si>
  <si>
    <t>3859431802:rus</t>
  </si>
  <si>
    <t>645891450</t>
  </si>
  <si>
    <t>ocn645891450</t>
  </si>
  <si>
    <t>3103284177X</t>
  </si>
  <si>
    <t>9785211057067</t>
  </si>
  <si>
    <t>794829923</t>
  </si>
  <si>
    <t>PG2947 B3 P44 2008</t>
  </si>
  <si>
    <t>0                      PG 2947000B  3                  P  44          2008</t>
  </si>
  <si>
    <t>Intersubjectivities and popular culture : Bakhtin and beyond / Esther Peeren.</t>
  </si>
  <si>
    <t>Peeren, Esther.</t>
  </si>
  <si>
    <t>Stanford : Stanford University Press, 2008.</t>
  </si>
  <si>
    <t>Cultural memory in the present</t>
  </si>
  <si>
    <t>2017-07-14</t>
  </si>
  <si>
    <t>327344132:eng</t>
  </si>
  <si>
    <t>123284921</t>
  </si>
  <si>
    <t>ocn123284921</t>
  </si>
  <si>
    <t>3102643210C</t>
  </si>
  <si>
    <t>9780804756693</t>
  </si>
  <si>
    <t>794226048</t>
  </si>
  <si>
    <t>PG2947 B3 P49 1995</t>
  </si>
  <si>
    <t>0                      PG 2947000B  3                  P  49          1995</t>
  </si>
  <si>
    <t>Mikhaïl Bakhtine : dialogisme et analyse du discours / par Jean Peytard.</t>
  </si>
  <si>
    <t>Peytard, Jean.</t>
  </si>
  <si>
    <t>Paris : Bertrand-Lacoste, ©1995.</t>
  </si>
  <si>
    <t>Référence ; 11</t>
  </si>
  <si>
    <t>307294234:fre</t>
  </si>
  <si>
    <t>239751993</t>
  </si>
  <si>
    <t>ocn239751993</t>
  </si>
  <si>
    <t>3102922347$</t>
  </si>
  <si>
    <t>9782735211111</t>
  </si>
  <si>
    <t>794374523</t>
  </si>
  <si>
    <t>PG2947 B3 R45 1990</t>
  </si>
  <si>
    <t>0                      PG 2947000B  3                  R  45          1990</t>
  </si>
  <si>
    <t>Literature as communication and cognition in Bakhtin and Lotman / Allan Reid.</t>
  </si>
  <si>
    <t>Reid, Allan, Dr.</t>
  </si>
  <si>
    <t>New York : Garland Pub., 1990.</t>
  </si>
  <si>
    <t>Garland studies in comparative literature</t>
  </si>
  <si>
    <t>909467:eng</t>
  </si>
  <si>
    <t>21909760</t>
  </si>
  <si>
    <t>ocm21909760</t>
  </si>
  <si>
    <t>3102922352Y</t>
  </si>
  <si>
    <t>9780824025212</t>
  </si>
  <si>
    <t>793130009</t>
  </si>
  <si>
    <t>PG2947 B3 R48 1989</t>
  </si>
  <si>
    <t>0                      PG 2947000B  3                  R  48          1989</t>
  </si>
  <si>
    <t>Rethinking Bakhtin : extensions and challenges / edited by Gary Saul Morson and Caryl Emerson.</t>
  </si>
  <si>
    <t>Evanston, Ill. : Northwestern University Press, ©1989.</t>
  </si>
  <si>
    <t>Series in Russian literature and theory</t>
  </si>
  <si>
    <t>2014-09-10</t>
  </si>
  <si>
    <t>889728705:eng</t>
  </si>
  <si>
    <t>18833123</t>
  </si>
  <si>
    <t>ocm18833123</t>
  </si>
  <si>
    <t>3102922357Y</t>
  </si>
  <si>
    <t>9780810108097</t>
  </si>
  <si>
    <t>793038526</t>
  </si>
  <si>
    <t>3102922362W</t>
  </si>
  <si>
    <t>793038525</t>
  </si>
  <si>
    <t>PG2947 B3 S63 2010</t>
  </si>
  <si>
    <t>0                      PG 2947000B  3                  S  63          2010</t>
  </si>
  <si>
    <t>Die Philosophie Michail Bachtins : von der existentiellen Ontologie zur dialogischen Vernunft / Maja Soboleva.</t>
  </si>
  <si>
    <t>Soboleva, M. E.</t>
  </si>
  <si>
    <t>Hildesheim : Olms, 2010.</t>
  </si>
  <si>
    <t>Studien und Materialien zur Geschichte der Philosophie, 0585-5802 ; Bd. 79</t>
  </si>
  <si>
    <t>427121963:ger</t>
  </si>
  <si>
    <t>555636905</t>
  </si>
  <si>
    <t>ocn555636905</t>
  </si>
  <si>
    <t>3103250905H</t>
  </si>
  <si>
    <t>9783487142975</t>
  </si>
  <si>
    <t>794812036</t>
  </si>
  <si>
    <t>PG2947 B3 T613 1984</t>
  </si>
  <si>
    <t>0                      PG 2947000B  3                  T  613         1984</t>
  </si>
  <si>
    <t>Mikhail Bakhtin : the dialogical principle / Tzvetan Todorov ; translated by Wlad Godzich.</t>
  </si>
  <si>
    <t>Todorov, Tzvetan, 1939-2017.</t>
  </si>
  <si>
    <t>Minneapolis : University of Minnesota Press, ©1984.</t>
  </si>
  <si>
    <t>Theory and history of literature ; v. 13</t>
  </si>
  <si>
    <t>2012-04-24</t>
  </si>
  <si>
    <t>2018-02-06</t>
  </si>
  <si>
    <t>3387105:eng</t>
  </si>
  <si>
    <t>10484277</t>
  </si>
  <si>
    <t>ocm10484277</t>
  </si>
  <si>
    <t>31029297102</t>
  </si>
  <si>
    <t>9780816612901</t>
  </si>
  <si>
    <t>792728593</t>
  </si>
  <si>
    <t>3103201103P</t>
  </si>
  <si>
    <t>792728592</t>
  </si>
  <si>
    <t>PG2947 B5 T4</t>
  </si>
  <si>
    <t>0                      PG 2947000B  5                  T  4</t>
  </si>
  <si>
    <t>Belinskij and Russian literary criticism; the heritage of organic aesthetics.</t>
  </si>
  <si>
    <t>Terras, Victor.</t>
  </si>
  <si>
    <t>[Madison] University of Wisconsin Press [1974]</t>
  </si>
  <si>
    <t>2007-05-01</t>
  </si>
  <si>
    <t>2018-11-21</t>
  </si>
  <si>
    <t>292959134:eng</t>
  </si>
  <si>
    <t>724193</t>
  </si>
  <si>
    <t>ocm00724193</t>
  </si>
  <si>
    <t>31029224220</t>
  </si>
  <si>
    <t>9780299063504</t>
  </si>
  <si>
    <t>791455673</t>
  </si>
  <si>
    <t>2004-11-27</t>
  </si>
  <si>
    <t>31029224172</t>
  </si>
  <si>
    <t>791455672</t>
  </si>
  <si>
    <t>31029224270</t>
  </si>
  <si>
    <t>791455671</t>
  </si>
  <si>
    <t>PG2947 C3 P3 1988</t>
  </si>
  <si>
    <t>0                      PG 2947000C  3                  P  3           1988</t>
  </si>
  <si>
    <t>Chernyshevsky and the age of realism : a study in the semiotics of behavior / Irina Paperno.</t>
  </si>
  <si>
    <t>Paperno, Irina.</t>
  </si>
  <si>
    <t>Stanford, Calif. : Stanford University Press, 1988.</t>
  </si>
  <si>
    <t>2018-01-23</t>
  </si>
  <si>
    <t>1008972753:eng</t>
  </si>
  <si>
    <t>17621740</t>
  </si>
  <si>
    <t>ocm17621740</t>
  </si>
  <si>
    <t>31029224280</t>
  </si>
  <si>
    <t>9780804714532</t>
  </si>
  <si>
    <t>792997817</t>
  </si>
  <si>
    <t>PG2947 G475 A3 2004b</t>
  </si>
  <si>
    <t>0                      PG 2947000G  475                A  3           2004b</t>
  </si>
  <si>
    <t>Moscow memoirs / Emma Gerstein ; translated and edited by John Crowfoot.</t>
  </si>
  <si>
    <t>Gershteĭn, Ė. (Ėmma)</t>
  </si>
  <si>
    <t>London : Harvill, 2003.</t>
  </si>
  <si>
    <t>2018-02-19</t>
  </si>
  <si>
    <t>4451789816:eng</t>
  </si>
  <si>
    <t>52829501</t>
  </si>
  <si>
    <t>ocm52829501</t>
  </si>
  <si>
    <t>3102922437Z</t>
  </si>
  <si>
    <t>9781860468834</t>
  </si>
  <si>
    <t>793815153</t>
  </si>
  <si>
    <t>PG2947 N5 A3 2001</t>
  </si>
  <si>
    <t>0                      PG 2947000N  5                  A  3           2001</t>
  </si>
  <si>
    <t>Up from serfdom : my childhood and youth in Russia 1804-1824 / translated by Helen Saltz Jacobson ; foreword by Peter Kolchin.</t>
  </si>
  <si>
    <t>Nikitenko, A. (Aleksandr), 1804 or 1805-1877, author.</t>
  </si>
  <si>
    <t>New Haven, CT : Yale University Press, ©2001.</t>
  </si>
  <si>
    <t>2019-11-25</t>
  </si>
  <si>
    <t>1811276528:eng</t>
  </si>
  <si>
    <t>44868881</t>
  </si>
  <si>
    <t>ocm44868881</t>
  </si>
  <si>
    <t>3102922471R</t>
  </si>
  <si>
    <t>9780300084146</t>
  </si>
  <si>
    <t>793659506</t>
  </si>
  <si>
    <t>PG2947 S7 G4</t>
  </si>
  <si>
    <t>0                      PG 2947000S  7                  G  4</t>
  </si>
  <si>
    <t>Nikolai Strakhov.</t>
  </si>
  <si>
    <t>Gerstein, Linda, 1938-</t>
  </si>
  <si>
    <t>Cambridge, Harvard University Press, 1971.</t>
  </si>
  <si>
    <t>Russian Research Center studies, 65</t>
  </si>
  <si>
    <t>2017-11-21</t>
  </si>
  <si>
    <t>1285335:eng</t>
  </si>
  <si>
    <t>136101</t>
  </si>
  <si>
    <t>ocm00136101</t>
  </si>
  <si>
    <t>3000506865N</t>
  </si>
  <si>
    <t>9780674624757</t>
  </si>
  <si>
    <t>791268156</t>
  </si>
  <si>
    <t>PG2948 L33 1990</t>
  </si>
  <si>
    <t>0                      PG 2948000L  33          1990</t>
  </si>
  <si>
    <t>Gedächtnis und Literatur : Intertextualität in der russischen Moderne / Renate Lachmann.</t>
  </si>
  <si>
    <t>Lachmann, Renate, 1936-</t>
  </si>
  <si>
    <t>Frankfurt am Main : Suhrkamp, 1990.</t>
  </si>
  <si>
    <t>3943564707:ger</t>
  </si>
  <si>
    <t>22837228</t>
  </si>
  <si>
    <t>ocm22837228</t>
  </si>
  <si>
    <t>3103009927E</t>
  </si>
  <si>
    <t>9783518580196</t>
  </si>
  <si>
    <t>793154847</t>
  </si>
  <si>
    <t>PG2948 L3313 1997</t>
  </si>
  <si>
    <t>0                      PG 2948000L  3313        1997</t>
  </si>
  <si>
    <t>Memory and literature : intertextuality in Russian modernism / Renate Lachmann ; translated by Roy Sellars and Anthony Wall ; foreword by Wolfgang Iser.</t>
  </si>
  <si>
    <t>Minneapolis : University of Minnesota Press, ©1997.</t>
  </si>
  <si>
    <t>Theory and history of literature ; v. 87</t>
  </si>
  <si>
    <t>2017-11-23</t>
  </si>
  <si>
    <t>3943564707:eng</t>
  </si>
  <si>
    <t>35986424</t>
  </si>
  <si>
    <t>ocm35986424</t>
  </si>
  <si>
    <t>3101856722D</t>
  </si>
  <si>
    <t>9780816629060</t>
  </si>
  <si>
    <t>793463342</t>
  </si>
  <si>
    <t>PG2948 S55 2013</t>
  </si>
  <si>
    <t>0                      PG 2948000S  55          2013</t>
  </si>
  <si>
    <t>Sila slova : istorii︠a︡ literatury, stilʹ, khudozhestvennai︠a︡ praktika : Kollektivnai︠a︡ monografii︠a︡, posvi︠a︡shchennai︠a︡ 65-letnemu i︠u︡bilei︠u︡ doktora filologicheskikh nauk, professora, Zasluzhennogo dei︠a︡teli︠a︡ nauki RF I︠U︡rii︠a︡ Ivanovicha Mineralova / Avtory: d.f.n. I︠U︡.I. Mineralov [and others].</t>
  </si>
  <si>
    <t>Mineralov, I︠U︡riĭ Ivanovich, 1948-</t>
  </si>
  <si>
    <t>Moskva : Izdatelʹstvo Literaturogo instituta im. A.M. Gorʹkogo, 2013.</t>
  </si>
  <si>
    <t>1356665173:rus</t>
  </si>
  <si>
    <t>846816030</t>
  </si>
  <si>
    <t>ocn846816030</t>
  </si>
  <si>
    <t>3103527074$</t>
  </si>
  <si>
    <t>9785706001452</t>
  </si>
  <si>
    <t>794949293</t>
  </si>
  <si>
    <t>PG2949 H57 2011</t>
  </si>
  <si>
    <t>0                      PG 2949000H  57          2011</t>
  </si>
  <si>
    <t>A history of Russian literary theory and criticism : the Soviet age and beyond / edited by Evgeny Dobrenko and Galin Tihanov.</t>
  </si>
  <si>
    <t>Pittsburgh : University of Pittsburgh Press, ©2011.</t>
  </si>
  <si>
    <t>2018-08-29</t>
  </si>
  <si>
    <t>904390047:eng</t>
  </si>
  <si>
    <t>727357058</t>
  </si>
  <si>
    <t>ocn727357058</t>
  </si>
  <si>
    <t>31034067474</t>
  </si>
  <si>
    <t>9780822944119</t>
  </si>
  <si>
    <t>794877954</t>
  </si>
  <si>
    <t>PG2949 P38 2010</t>
  </si>
  <si>
    <t>0                      PG 2949000P  38          2010</t>
  </si>
  <si>
    <t>Kritika XX-XXI vekov : literaturnye portrety, statʹi, ret︠s︡enzii / I︠U︡riĭ Pavlov.</t>
  </si>
  <si>
    <t>Pavlov, I︠U︡riĭ (I︠U︡riĭ Mikhaĭlovich)</t>
  </si>
  <si>
    <t>Moskva : Literaturnai︠a︡ Rossii︠a︡, 2010.</t>
  </si>
  <si>
    <t>463925422:rus</t>
  </si>
  <si>
    <t>593259912</t>
  </si>
  <si>
    <t>ocn593259912</t>
  </si>
  <si>
    <t>3103284170X</t>
  </si>
  <si>
    <t>9785780901358</t>
  </si>
  <si>
    <t>794814895</t>
  </si>
  <si>
    <t>PG2949 P67 2009</t>
  </si>
  <si>
    <t>0                      PG 2949000P  67          2009</t>
  </si>
  <si>
    <t>Kniga M.M. Bakhtina o Fransua Rable i ee znachenie dli︠a︡ teorii literatury / I.L. Popova.</t>
  </si>
  <si>
    <t>Popova, I. L.</t>
  </si>
  <si>
    <t>Moskva : IMLI RAN, 2009.</t>
  </si>
  <si>
    <t>2018-10-18</t>
  </si>
  <si>
    <t>908532159:rus</t>
  </si>
  <si>
    <t>642629129</t>
  </si>
  <si>
    <t>ocn642629129</t>
  </si>
  <si>
    <t>3103284566N</t>
  </si>
  <si>
    <t>9785920803436</t>
  </si>
  <si>
    <t>794828348</t>
  </si>
  <si>
    <t>1934</t>
  </si>
  <si>
    <t>t.12</t>
  </si>
  <si>
    <t>t.10</t>
  </si>
  <si>
    <t>2017-08-08</t>
  </si>
  <si>
    <t>2011-09-06</t>
  </si>
  <si>
    <t>t.15</t>
  </si>
  <si>
    <t>t.8</t>
  </si>
  <si>
    <t>t.14</t>
  </si>
  <si>
    <t>t.7</t>
  </si>
  <si>
    <t>t.6</t>
  </si>
  <si>
    <t>t.13</t>
  </si>
  <si>
    <t>t.3</t>
  </si>
  <si>
    <t>t.16</t>
  </si>
  <si>
    <t>t.4</t>
  </si>
  <si>
    <t>PG2950 I782 1998</t>
  </si>
  <si>
    <t>0                      PG 2950000I  782         1998</t>
  </si>
  <si>
    <t>Istorii︠a︡ russkoĭ dukhovnoĭ kulʹtury v rukopisnom nasledii XVI-XX vv. : sbornik nauchnykh trudov / otvetstvennyĭ redaktor E.K. Romodanovskai︠a︡.</t>
  </si>
  <si>
    <t>Novosibirsk : "Nauka", Sibirskoe predprii︠a︡tie RAN, 1998.</t>
  </si>
  <si>
    <t>Arkheografii︠a︡ i istochnikovedenie Sibiri</t>
  </si>
  <si>
    <t>3901735812:rus</t>
  </si>
  <si>
    <t>40578102</t>
  </si>
  <si>
    <t>ocm40578102</t>
  </si>
  <si>
    <t>3101946552B</t>
  </si>
  <si>
    <t>9785020310155</t>
  </si>
  <si>
    <t>793570321</t>
  </si>
  <si>
    <t>PG2950 K45 2001</t>
  </si>
  <si>
    <t>0                      PG 2950000K  45          2001</t>
  </si>
  <si>
    <t>Russian literature : a very short introduction / Catriona Kelly.</t>
  </si>
  <si>
    <t>Kelly, Catriona.</t>
  </si>
  <si>
    <t>Oxford ; New York : Oxford University Press, ©2001.</t>
  </si>
  <si>
    <t>Very short introductions ; 53</t>
  </si>
  <si>
    <t>2017-09-05</t>
  </si>
  <si>
    <t>3857344239:eng</t>
  </si>
  <si>
    <t>47221799</t>
  </si>
  <si>
    <t>ocm47221799</t>
  </si>
  <si>
    <t>3102799411P</t>
  </si>
  <si>
    <t>9780192801449</t>
  </si>
  <si>
    <t>793701147</t>
  </si>
  <si>
    <t>PG2950 L583 2010</t>
  </si>
  <si>
    <t>0                      PG 2950000L  583         2010</t>
  </si>
  <si>
    <t>Literaturnai︠a︡ matrit︠s︡a : uchebnik, napisannyĭ pisateli︠a︡mi : v dvukh tomakh / [sostaviteli, V. Leventalʹ, redaktor, S. Drugoveĭko-Dolzhanskai︠a︡, P. Krusanov].</t>
  </si>
  <si>
    <t>Sankt-Peterburg : Limbus Press, ©2010.</t>
  </si>
  <si>
    <t>3945049288:rus</t>
  </si>
  <si>
    <t>689524102</t>
  </si>
  <si>
    <t>ocn689524102</t>
  </si>
  <si>
    <t>3103298028P</t>
  </si>
  <si>
    <t>9785837005558</t>
  </si>
  <si>
    <t>794854958</t>
  </si>
  <si>
    <t>3103298023P</t>
  </si>
  <si>
    <t>794854957</t>
  </si>
  <si>
    <t>PG2950 L67 1997</t>
  </si>
  <si>
    <t>0                      PG 2950000L  67          1997</t>
  </si>
  <si>
    <t>O russkoĭ literature : statʹi i issledovanii︠a︡ (1958-1993), istorii︠a︡ russkoĭ prozy, teorii︠a︡ literatury / I︠U︡.M. Lotman.</t>
  </si>
  <si>
    <t>Lotman, I︠U︡. M. (I︠U︡riĭ Mikhaĭlovich), 1922-1993.</t>
  </si>
  <si>
    <t>Sankt-Peterburg : Iskusstvo-SPB, 1997.</t>
  </si>
  <si>
    <t>5091120204:rus</t>
  </si>
  <si>
    <t>39046877</t>
  </si>
  <si>
    <t>ocm39046877</t>
  </si>
  <si>
    <t>3101865965N</t>
  </si>
  <si>
    <t>9785210015174</t>
  </si>
  <si>
    <t>793536598</t>
  </si>
  <si>
    <t>PG2950 M545 2010</t>
  </si>
  <si>
    <t>0                      PG 2950000M  545         2010</t>
  </si>
  <si>
    <t>Nat︠s︡ionalʹnoe kak faktor khudozhestvennosti v russkoĭ literature / I︠U︡.I. Mineralov, S.A. Vasilʹev.</t>
  </si>
  <si>
    <t>Moskva : Izd-vo Literaturnogo instituta, 2010.</t>
  </si>
  <si>
    <t>987135569:rus</t>
  </si>
  <si>
    <t>746464141</t>
  </si>
  <si>
    <t>ocn746464141</t>
  </si>
  <si>
    <t>3103439801J</t>
  </si>
  <si>
    <t>9785706001247</t>
  </si>
  <si>
    <t>794887177</t>
  </si>
  <si>
    <t>PG2950 S5344 2012</t>
  </si>
  <si>
    <t>0                      PG 2950000S  5344        2012</t>
  </si>
  <si>
    <t>Proza, poėzii︠a︡, poėtika : izbrannye raboty / I︠U︡.K. Shcheglov ; sostaviteli A.K. Zholkovskiĭ i V.A. Shcheglova.</t>
  </si>
  <si>
    <t>Shcheglov, I︠U︡. K. (I︠U︡riĭ Konstantinovich), author.</t>
  </si>
  <si>
    <t>Moskva : Novoe literaturnoe obozrenie, 2012.</t>
  </si>
  <si>
    <t>Nauchnai︠a︡ biblioteka</t>
  </si>
  <si>
    <t>3861430734:rus</t>
  </si>
  <si>
    <t>793187402</t>
  </si>
  <si>
    <t>ocn793187402</t>
  </si>
  <si>
    <t>3103478974N</t>
  </si>
  <si>
    <t>9785867939649</t>
  </si>
  <si>
    <t>794917653</t>
  </si>
  <si>
    <t>PG2950 S5613 2017</t>
  </si>
  <si>
    <t>0                      PG 2950000S  5613        2017</t>
  </si>
  <si>
    <t>The Hamburg score / Viktor Shklovsky ; translated from the Russian by Shushan Avagyan.</t>
  </si>
  <si>
    <t>Shklovskiĭ, Viktor, 1893-1984, author.</t>
  </si>
  <si>
    <t>Victoria, TX : Dalkey Archive Press, 2017.</t>
  </si>
  <si>
    <t>First Dalkey Archive edition.</t>
  </si>
  <si>
    <t>Russian literature series</t>
  </si>
  <si>
    <t>197899083:eng</t>
  </si>
  <si>
    <t>950930466</t>
  </si>
  <si>
    <t>ocn950930466</t>
  </si>
  <si>
    <t>3103670335$</t>
  </si>
  <si>
    <t>9781628971675</t>
  </si>
  <si>
    <t>795016945</t>
  </si>
  <si>
    <t>PG2950 T43 1991</t>
  </si>
  <si>
    <t>0                      PG 2950000T  43          1991</t>
  </si>
  <si>
    <t>A history of Russian literature / Victor Terras.</t>
  </si>
  <si>
    <t>New Haven : Yale University Press, ©1991.</t>
  </si>
  <si>
    <t>2015-02-03</t>
  </si>
  <si>
    <t>3943461436:eng</t>
  </si>
  <si>
    <t>23385045</t>
  </si>
  <si>
    <t>ocm23385045</t>
  </si>
  <si>
    <t>31026795053</t>
  </si>
  <si>
    <t>9780300049718</t>
  </si>
  <si>
    <t>793169103</t>
  </si>
  <si>
    <t>PG2950 V35 1990</t>
  </si>
  <si>
    <t>0                      PG 2950000V  35          1990</t>
  </si>
  <si>
    <t>Rodnai︠a︡ rechʹ / Petr Vaĭlʹ i Aleksandr Genis.</t>
  </si>
  <si>
    <t>Vaĭlʹ, Petr, 1949-2009.</t>
  </si>
  <si>
    <t>Tenafly, N.J. : Hermitage, 1990.</t>
  </si>
  <si>
    <t>2009-08-20</t>
  </si>
  <si>
    <t>2015-06-30</t>
  </si>
  <si>
    <t>3768855668:rus</t>
  </si>
  <si>
    <t>21194695</t>
  </si>
  <si>
    <t>ocm21194695</t>
  </si>
  <si>
    <t>3101224686O</t>
  </si>
  <si>
    <t>9781557790255</t>
  </si>
  <si>
    <t>793111832</t>
  </si>
  <si>
    <t>3101198211G</t>
  </si>
  <si>
    <t>793111833</t>
  </si>
  <si>
    <t>PG2950 Z49 2010</t>
  </si>
  <si>
    <t>0                      PG 2950000Z  49          2010</t>
  </si>
  <si>
    <t>Ostorozhno, trenozhnik! / Aleksandr Zholkovskiĭ.</t>
  </si>
  <si>
    <t>Zholkovskiĭ, A. K. (Aleksandr Konstantinovich)</t>
  </si>
  <si>
    <t>Moskva : Vremi︠a︡, 2010.</t>
  </si>
  <si>
    <t>Serii︠a︡ "Dialog"</t>
  </si>
  <si>
    <t>770699975:rus</t>
  </si>
  <si>
    <t>493998351</t>
  </si>
  <si>
    <t>ocn493998351</t>
  </si>
  <si>
    <t>3103410098Y</t>
  </si>
  <si>
    <t>9785969104969</t>
  </si>
  <si>
    <t>794801359</t>
  </si>
  <si>
    <t>PG2951 C36 1989</t>
  </si>
  <si>
    <t>0                      PG 2951000C  36          1989</t>
  </si>
  <si>
    <t>The Cambridge History of Russian Literature / edited by Charles A. Moser.</t>
  </si>
  <si>
    <t>Cambridge [England] ; New York : Cambridge University Press, 1989.</t>
  </si>
  <si>
    <t>2018-07-26</t>
  </si>
  <si>
    <t>55124740:eng</t>
  </si>
  <si>
    <t>18410934</t>
  </si>
  <si>
    <t>ocm18410934</t>
  </si>
  <si>
    <t>31015657200</t>
  </si>
  <si>
    <t>9780521309943</t>
  </si>
  <si>
    <t>793024510</t>
  </si>
  <si>
    <t>PG2951 C4x</t>
  </si>
  <si>
    <t>0                      PG 2951000C  4x</t>
  </si>
  <si>
    <t>History of Russian literature from the eleventh century to the end of the Baroque.</t>
  </si>
  <si>
    <t>Tschižewskij, Dmitrij, 1894-1977.</t>
  </si>
  <si>
    <t>'s-Gravenhage, Mouton, 1960.</t>
  </si>
  <si>
    <t>Slavistic printings and reprintings, 12</t>
  </si>
  <si>
    <t>2019-06-28</t>
  </si>
  <si>
    <t>62081724:eng</t>
  </si>
  <si>
    <t>321965</t>
  </si>
  <si>
    <t>ocm00321965</t>
  </si>
  <si>
    <t>31028105992</t>
  </si>
  <si>
    <t>791336427</t>
  </si>
  <si>
    <t>PG2951 E46 2011</t>
  </si>
  <si>
    <t>0                      PG 2951000E  46          2011</t>
  </si>
  <si>
    <t>All the same the words don't go away : essays on authors, heroes, aesthetics, and stage adaptations from the Russian tradition / Caryl Emerson.</t>
  </si>
  <si>
    <t>Emerson, Caryl.</t>
  </si>
  <si>
    <t>Boston : Academic Studies Press, 2011.</t>
  </si>
  <si>
    <t>2019-03-19</t>
  </si>
  <si>
    <t>350707648:eng</t>
  </si>
  <si>
    <t>468965323</t>
  </si>
  <si>
    <t>ocn468965323</t>
  </si>
  <si>
    <t>3103345144C</t>
  </si>
  <si>
    <t>9781934843819</t>
  </si>
  <si>
    <t>794795514</t>
  </si>
  <si>
    <t>PG2951 E47 2008</t>
  </si>
  <si>
    <t>0                      PG 2951000E  47          2008</t>
  </si>
  <si>
    <t>The Cambridge introduction to Russian literature / Caryl Emerson.</t>
  </si>
  <si>
    <t>Cambridge, UK ; New York : Cambridge University Press, 2008.</t>
  </si>
  <si>
    <t>Cambridge introductions to literature</t>
  </si>
  <si>
    <t>2018-07-30</t>
  </si>
  <si>
    <t>117090792:eng</t>
  </si>
  <si>
    <t>182656746</t>
  </si>
  <si>
    <t>ocn182656746</t>
  </si>
  <si>
    <t>3102853510N</t>
  </si>
  <si>
    <t>9780521844697</t>
  </si>
  <si>
    <t>794284980</t>
  </si>
  <si>
    <t>PG2951 F74</t>
  </si>
  <si>
    <t>0                      PG 2951000F  74</t>
  </si>
  <si>
    <t>Russian literary attitudes from Pushkin to Solzhenitsyn / by Richard Freeborn, Georgette Donchin, N.J. Anning ; edited by Richard Freeborn.</t>
  </si>
  <si>
    <t>Freeborn, Richard.</t>
  </si>
  <si>
    <t>London : Macmillan Press, 1976.</t>
  </si>
  <si>
    <t>2016-09-16</t>
  </si>
  <si>
    <t>5898948:eng</t>
  </si>
  <si>
    <t>2646894</t>
  </si>
  <si>
    <t>ocm02646894</t>
  </si>
  <si>
    <t>3000176614Y</t>
  </si>
  <si>
    <t>9780333193143</t>
  </si>
  <si>
    <t>792157612</t>
  </si>
  <si>
    <t>PG2951 M49 1958</t>
  </si>
  <si>
    <t>0                      PG 2951000M  49          1958</t>
  </si>
  <si>
    <t>A history of Russian literature, from its beginnings to 1900 / D.S. Mirsky ; edited by Francis J. Whitfield.</t>
  </si>
  <si>
    <t>Mirsky, D. S., Prince, 1890-1939.</t>
  </si>
  <si>
    <t>New York : Vintage Books, 1958.</t>
  </si>
  <si>
    <t>Vintage Russian library ; V-720</t>
  </si>
  <si>
    <t>2015-03-18</t>
  </si>
  <si>
    <t>9593039904:eng</t>
  </si>
  <si>
    <t>5274605</t>
  </si>
  <si>
    <t>ocm05274605</t>
  </si>
  <si>
    <t>3101448572U</t>
  </si>
  <si>
    <t>9780394707204</t>
  </si>
  <si>
    <t>792421522</t>
  </si>
  <si>
    <t>PG2951 M49 1999</t>
  </si>
  <si>
    <t>0                      PG 2951000M  49          1999</t>
  </si>
  <si>
    <t>A history of Russian literature from its beginnings to 1900 / D.S. Mirsky ; edited by Francis J. Whitfield.</t>
  </si>
  <si>
    <t>Evanston, Ill. : Northwestern University Press, 1999.</t>
  </si>
  <si>
    <t>41528100</t>
  </si>
  <si>
    <t>ocm41528100</t>
  </si>
  <si>
    <t>3102169670Q</t>
  </si>
  <si>
    <t>9780810116795</t>
  </si>
  <si>
    <t>793593463</t>
  </si>
  <si>
    <t>PG2951 M8 1964</t>
  </si>
  <si>
    <t>0                      PG 2951000M  8           1964</t>
  </si>
  <si>
    <t>An introduction to Russian literature.</t>
  </si>
  <si>
    <t>Muchnic, Helen.</t>
  </si>
  <si>
    <t>New York, Dutton, 1964.</t>
  </si>
  <si>
    <t>[Rev. ed.].</t>
  </si>
  <si>
    <t>2017-09-08</t>
  </si>
  <si>
    <t>1915009:eng</t>
  </si>
  <si>
    <t>1549699</t>
  </si>
  <si>
    <t>ocm01549699</t>
  </si>
  <si>
    <t>3000506869F</t>
  </si>
  <si>
    <t>791710871</t>
  </si>
  <si>
    <t>2001-12-17</t>
  </si>
  <si>
    <t>3000214435$</t>
  </si>
  <si>
    <t>791710870</t>
  </si>
  <si>
    <t>PG2951 R88 2010</t>
  </si>
  <si>
    <t>0                      PG 2951000R  88          2010</t>
  </si>
  <si>
    <t>Unattainable bride Russia : gendering nation, state, and intelligentsia in Russian intellectual culture / Ellen Rutten.</t>
  </si>
  <si>
    <t>Rutten, Ellen, 1975-</t>
  </si>
  <si>
    <t>Evanston, Ill. : Northwestern University Press, 2010.</t>
  </si>
  <si>
    <t>793233517:eng</t>
  </si>
  <si>
    <t>318428668</t>
  </si>
  <si>
    <t>ocn318428668</t>
  </si>
  <si>
    <t>3103243200V</t>
  </si>
  <si>
    <t>9780810126565</t>
  </si>
  <si>
    <t>794481796</t>
  </si>
  <si>
    <t>PG2951 W23 2009</t>
  </si>
  <si>
    <t>0                      PG 2951000W  23          2009</t>
  </si>
  <si>
    <t>Russian literature / Andrew Baruch Wachtel and Ilya Vinitsky.</t>
  </si>
  <si>
    <t>Wachtel, Andrew.</t>
  </si>
  <si>
    <t>Cambridge [England] ; Malden, MA : Polity, 2009.</t>
  </si>
  <si>
    <t>Cultural history of literature</t>
  </si>
  <si>
    <t>352022388:eng</t>
  </si>
  <si>
    <t>255899241</t>
  </si>
  <si>
    <t>ocn255899241</t>
  </si>
  <si>
    <t>3102857979K</t>
  </si>
  <si>
    <t>ON_HOLD</t>
  </si>
  <si>
    <t>9780745636856</t>
  </si>
  <si>
    <t>794398888</t>
  </si>
  <si>
    <t>PG2953 B88 E5 1908</t>
  </si>
  <si>
    <t>0                      PG 2953000B  88                 E  5           1908</t>
  </si>
  <si>
    <t>Literary history of Russia / by A. Brückner ; edited by Ellis H. Minns ; translated by H. Havelock.</t>
  </si>
  <si>
    <t>Brückner, Aleksander, 1856-1939.</t>
  </si>
  <si>
    <t>London ; Leipzig : T.F. Unwin, 1908.</t>
  </si>
  <si>
    <t>1908</t>
  </si>
  <si>
    <t>The Library of literary history [9]</t>
  </si>
  <si>
    <t>2015-11-25</t>
  </si>
  <si>
    <t>9738126531:eng</t>
  </si>
  <si>
    <t>2036225</t>
  </si>
  <si>
    <t>ocm02036225</t>
  </si>
  <si>
    <t>30007769359</t>
  </si>
  <si>
    <t>792032445</t>
  </si>
  <si>
    <t>PG2953 H57 1980z</t>
  </si>
  <si>
    <t>0                      PG 2953000H  57          1980z</t>
  </si>
  <si>
    <t>Histoire de la littérature russe / ouvrage dirigé par Efim Etkind [and others].</t>
  </si>
  <si>
    <t>v.2;pt.1</t>
  </si>
  <si>
    <t>[Paris] : Fayard, &lt;©1987-©2005&gt;</t>
  </si>
  <si>
    <t>2017-04-24</t>
  </si>
  <si>
    <t>10141404100:fre</t>
  </si>
  <si>
    <t>18588527</t>
  </si>
  <si>
    <t>ocm18588527</t>
  </si>
  <si>
    <t>3101702693E</t>
  </si>
  <si>
    <t>9782213019871</t>
  </si>
  <si>
    <t>793029940</t>
  </si>
  <si>
    <t>v.3;pt.1</t>
  </si>
  <si>
    <t>2011-06-27</t>
  </si>
  <si>
    <t>3100215784X</t>
  </si>
  <si>
    <t>793029938</t>
  </si>
  <si>
    <t>v.3;pt.3</t>
  </si>
  <si>
    <t>2011-07-18</t>
  </si>
  <si>
    <t>3100950754V</t>
  </si>
  <si>
    <t>793029936</t>
  </si>
  <si>
    <t>v.2;pt.2</t>
  </si>
  <si>
    <t>2006-09-15</t>
  </si>
  <si>
    <t>31025239049</t>
  </si>
  <si>
    <t>793029939</t>
  </si>
  <si>
    <t>3101270024N</t>
  </si>
  <si>
    <t>793029941</t>
  </si>
  <si>
    <t>v.3;pt.2</t>
  </si>
  <si>
    <t>2001-11-26</t>
  </si>
  <si>
    <t>3100215774$</t>
  </si>
  <si>
    <t>793029937</t>
  </si>
  <si>
    <t>PG2974 R87 R87 2016</t>
  </si>
  <si>
    <t>0                      PG 2974000R  87                 R  87          2016</t>
  </si>
  <si>
    <t>Russkiĭ Buker 25 / avtorskiĭ proekt i obshchai︠a︡ redakt︠s︡ii︠a︡ Igori︠a︡ Shaĭtanova ; vstupitelʹnai︠a︡ statʹi︠a︡ Maĭkla Keĭna ; redaktory-sostaviteli Marii︠a︡ Perei︠a︡slova, Elena Pogorelai︠a︡.</t>
  </si>
  <si>
    <t>booklet</t>
  </si>
  <si>
    <t>Moskva : Boslen, 2016.</t>
  </si>
  <si>
    <t>4201426604:rus</t>
  </si>
  <si>
    <t>986228903</t>
  </si>
  <si>
    <t>ocn986228903</t>
  </si>
  <si>
    <t>3103760628K</t>
  </si>
  <si>
    <t>9785911872656</t>
  </si>
  <si>
    <t>795035545</t>
  </si>
  <si>
    <t>3103760624S</t>
  </si>
  <si>
    <t>795035544</t>
  </si>
  <si>
    <t>PG2975 G4</t>
  </si>
  <si>
    <t>0                      PG 2975000G  4</t>
  </si>
  <si>
    <t>Narodnostʹ i partiĭnostʹ literatury / N. Geĭ.</t>
  </si>
  <si>
    <t>Geĭ, N. K. (Nikolaĭ Konstantinovich), 1923-</t>
  </si>
  <si>
    <t>Moskva : Khudozh. lit-ra, 1964.</t>
  </si>
  <si>
    <t>Massovai︠a︡ istoriko-literaturnai︠a︡ biblioteka</t>
  </si>
  <si>
    <t>10032521879:rus</t>
  </si>
  <si>
    <t>26434680</t>
  </si>
  <si>
    <t>ocm26434680</t>
  </si>
  <si>
    <t>31029225061</t>
  </si>
  <si>
    <t>793244792</t>
  </si>
  <si>
    <t>PG2975 K376 2011</t>
  </si>
  <si>
    <t>0                      PG 2975000K  376         2011</t>
  </si>
  <si>
    <t>Filosofii︠a︡ istorii v russkoĭ literature / N.I. Kareev.</t>
  </si>
  <si>
    <t>Kareev, N. I. (Nikolaĭ Ivanovich), 1850-1931, author.</t>
  </si>
  <si>
    <t>Moskva : URSS : "LIBROKOM", 2011, ©2010.</t>
  </si>
  <si>
    <t>Izdanie vtoroe.</t>
  </si>
  <si>
    <t>Iz nasledii︠a︡ mirovoĭ filosofskoĭ mysli. Istorii︠a︡ filosofii</t>
  </si>
  <si>
    <t>3771010003:rus</t>
  </si>
  <si>
    <t>705279226</t>
  </si>
  <si>
    <t>ocn705279226</t>
  </si>
  <si>
    <t>3103340579E</t>
  </si>
  <si>
    <t>9785397016063</t>
  </si>
  <si>
    <t>794866079</t>
  </si>
  <si>
    <t>PG2975 R49 2012</t>
  </si>
  <si>
    <t>0                      PG 2975000R  49          2012</t>
  </si>
  <si>
    <t>Rank and style : Russians in state service, life, and literature : selected essays / by Irina Reyfman.</t>
  </si>
  <si>
    <t>Reyfman, Irina, author.</t>
  </si>
  <si>
    <t>Brighton, MA : Academic Studies Press, 2012.</t>
  </si>
  <si>
    <t>Ars Rossika</t>
  </si>
  <si>
    <t>2013-07-22</t>
  </si>
  <si>
    <t>3770923501:eng</t>
  </si>
  <si>
    <t>694485976</t>
  </si>
  <si>
    <t>ocn694485976</t>
  </si>
  <si>
    <t>31034300261</t>
  </si>
  <si>
    <t>9781936235513</t>
  </si>
  <si>
    <t>794857699</t>
  </si>
  <si>
    <t>PG2975 S513</t>
  </si>
  <si>
    <t>0                      PG 2975000S  513</t>
  </si>
  <si>
    <t>On socialist realism. : Introd. by Czeslaw Molosz. [Translated by George Dennis.].</t>
  </si>
  <si>
    <t>Tert︠s︡, Abram, 1925-1997.</t>
  </si>
  <si>
    <t>[New York] : Pantheon Books, [©1960]</t>
  </si>
  <si>
    <t>2017-10-16</t>
  </si>
  <si>
    <t>347971074:eng</t>
  </si>
  <si>
    <t>254465527</t>
  </si>
  <si>
    <t>ocn254465527</t>
  </si>
  <si>
    <t>3102922463T</t>
  </si>
  <si>
    <t>794398441</t>
  </si>
  <si>
    <t>PG2975 S75 1969</t>
  </si>
  <si>
    <t>0                      PG 2975000S  75          1969</t>
  </si>
  <si>
    <t>[Borʹba sʺ zapadomʺ vʺ nasheĭ literaturi︠e︡. Istoricheskīe i krigicheskīe ocherki. Kīevʺ, Tip. I.I. Chokolova, 1897-98. (romanized form)].</t>
  </si>
  <si>
    <t>kn. 2</t>
  </si>
  <si>
    <t>Strakhov, N. (Nikolaĭ), 1828-1896.</t>
  </si>
  <si>
    <t>[The Hague], [Paris], [Mouton], [1969]</t>
  </si>
  <si>
    <t>Slavistic printings and reprintings, 176, 1-3</t>
  </si>
  <si>
    <t>2019-01-14</t>
  </si>
  <si>
    <t>422727871:rus</t>
  </si>
  <si>
    <t>213532543</t>
  </si>
  <si>
    <t>ocn213532543</t>
  </si>
  <si>
    <t>3102922473R</t>
  </si>
  <si>
    <t>794310241</t>
  </si>
  <si>
    <t>kn. 1</t>
  </si>
  <si>
    <t>2013-10-24</t>
  </si>
  <si>
    <t>3102922447X</t>
  </si>
  <si>
    <t>794310242</t>
  </si>
  <si>
    <t>kn. 3</t>
  </si>
  <si>
    <t>3102922468T</t>
  </si>
  <si>
    <t>794310240</t>
  </si>
  <si>
    <t>PG2980 P67 2015</t>
  </si>
  <si>
    <t>0                      PG 2980000P  67          2015</t>
  </si>
  <si>
    <t>Postizhenie Zapada : inostrannai︠a︡ kulʹtura v sovetskoĭ literature, iskusstve i teorii, 1917-1941 gg. : issledovanii︠a︡ i arkhivnye materialy / otvetstvennyĭ redaktor E.D. Galʹt︠s︡ova.</t>
  </si>
  <si>
    <t>Moskva : IMLI RAN, 2015.</t>
  </si>
  <si>
    <t>3028879997:rus</t>
  </si>
  <si>
    <t>950003085</t>
  </si>
  <si>
    <t>ocn950003085</t>
  </si>
  <si>
    <t>3103766492Q</t>
  </si>
  <si>
    <t>9785920804716</t>
  </si>
  <si>
    <t>795016489</t>
  </si>
  <si>
    <t>PG2980 V6</t>
  </si>
  <si>
    <t>0                      PG 2980000V  6</t>
  </si>
  <si>
    <t>Vosprii︠a︡tie russkoĭ kulʹtury na Zapade : ocherki / [otvetstvennye redaktory I︠U︡.D. Levin i K.I. Rovda].</t>
  </si>
  <si>
    <t>Leningrad : Nauka, Leningradskoe otd-nie, 1975.</t>
  </si>
  <si>
    <t>2015-09-19</t>
  </si>
  <si>
    <t>8911050525:rus</t>
  </si>
  <si>
    <t>3316311</t>
  </si>
  <si>
    <t>ocm03316311</t>
  </si>
  <si>
    <t>3102922519$</t>
  </si>
  <si>
    <t>792241824</t>
  </si>
  <si>
    <t>PG2981 C5 S5</t>
  </si>
  <si>
    <t>0                      PG 2981000C  5                  S  5</t>
  </si>
  <si>
    <t>Russkai︠a︡ klassika v Kitae : Perevody, ot︠s︡enki, tvorcheskoe osvoenie / M.E. Shneĭder ; AN SSSR, In-t vostokovedenii︠a︡.</t>
  </si>
  <si>
    <t>Shneĭder, Mark Evseevich.</t>
  </si>
  <si>
    <t>Moskva : Nauka, 1977.</t>
  </si>
  <si>
    <t>2016-09-07</t>
  </si>
  <si>
    <t>14824186:rus</t>
  </si>
  <si>
    <t>4660556</t>
  </si>
  <si>
    <t>ocm04660556</t>
  </si>
  <si>
    <t>3102922515$</t>
  </si>
  <si>
    <t>792372474</t>
  </si>
  <si>
    <t>PG2981 F5 H4 1950</t>
  </si>
  <si>
    <t>0                      PG 2981000F  5                  H  4           1950</t>
  </si>
  <si>
    <t>The Russian novel in France, 1884-1914.</t>
  </si>
  <si>
    <t>Hemmings, F. W. J. (Frederick William John), 1920-</t>
  </si>
  <si>
    <t>[London] Oxford University Press, 1950.</t>
  </si>
  <si>
    <t>1852647:eng</t>
  </si>
  <si>
    <t>877405</t>
  </si>
  <si>
    <t>ocm00877405</t>
  </si>
  <si>
    <t>3102922555S</t>
  </si>
  <si>
    <t>791492921</t>
  </si>
  <si>
    <t>PG2981 G3 C65 2000</t>
  </si>
  <si>
    <t>0                      PG 2981000G  3                  C  65          2000</t>
  </si>
  <si>
    <t>Cold fusion : aspects of the German cultural presence in Russia / edited by Gennady Barabtarlo.</t>
  </si>
  <si>
    <t>New York : Berghahn Books, 2000.</t>
  </si>
  <si>
    <t>Studies in Slavic literature, culture, and society ; v. 5</t>
  </si>
  <si>
    <t>2019-09-28</t>
  </si>
  <si>
    <t>793085661:eng</t>
  </si>
  <si>
    <t>42072083</t>
  </si>
  <si>
    <t>ocm42072083</t>
  </si>
  <si>
    <t>3102922530W</t>
  </si>
  <si>
    <t>9781571811882</t>
  </si>
  <si>
    <t>793602204</t>
  </si>
  <si>
    <t>PG2981 G3 R87 1974</t>
  </si>
  <si>
    <t>0                      PG 2981000G  3                  R  87          1974</t>
  </si>
  <si>
    <t>Russische Literatur in Deutschland : Texte z. Rezeption von d. achtziger Jahren bis z. Jahrhundertwende / mit e. Einf. u. e. weiterführenden Bibliographie hrsg. von Sigfrid Hoefert.</t>
  </si>
  <si>
    <t>Hoefert, Sigfrid, compiler.</t>
  </si>
  <si>
    <t>Tübingen : Niemeyer, 1974.</t>
  </si>
  <si>
    <t>Deutsche Texte ; 32</t>
  </si>
  <si>
    <t>890991600:ger</t>
  </si>
  <si>
    <t>1309469</t>
  </si>
  <si>
    <t>ocm01309469</t>
  </si>
  <si>
    <t>3102922531W</t>
  </si>
  <si>
    <t>9783484190313</t>
  </si>
  <si>
    <t>791596823</t>
  </si>
  <si>
    <t>PG2985 M36 1994</t>
  </si>
  <si>
    <t>0                      PG 2985000M  36          1994</t>
  </si>
  <si>
    <t>The translator in the text : on reading Russian literature in English / Rachel May.</t>
  </si>
  <si>
    <t>May, Rachel, 1957-</t>
  </si>
  <si>
    <t>Evanston, Ill. : Northwestern University Press, 1994.</t>
  </si>
  <si>
    <t>2019-10-10</t>
  </si>
  <si>
    <t>366553221:eng</t>
  </si>
  <si>
    <t>30893000</t>
  </si>
  <si>
    <t>ocm30893000</t>
  </si>
  <si>
    <t>31029817320</t>
  </si>
  <si>
    <t>9780810111578</t>
  </si>
  <si>
    <t>793347571</t>
  </si>
  <si>
    <t>PG2985 S46 1999</t>
  </si>
  <si>
    <t>0                      PG 2985000S  46          1999</t>
  </si>
  <si>
    <t>English counter Russian : essays on criticism of literary translation in America / Munir Sendich.</t>
  </si>
  <si>
    <t>Sendich, Munir.</t>
  </si>
  <si>
    <t>New York : Peter Lang, ©1999.</t>
  </si>
  <si>
    <t>Middlebury studies in Russian language and literature ; v. 20</t>
  </si>
  <si>
    <t>2016-02-17</t>
  </si>
  <si>
    <t>255553009:eng</t>
  </si>
  <si>
    <t>38311783</t>
  </si>
  <si>
    <t>ocm38311783</t>
  </si>
  <si>
    <t>31029817370</t>
  </si>
  <si>
    <t>9780820440668</t>
  </si>
  <si>
    <t>793521905</t>
  </si>
  <si>
    <t>PG2986 B33 2010</t>
  </si>
  <si>
    <t>0                      PG 2986000B  33          2010</t>
  </si>
  <si>
    <t>The possessed : adventures with Russian books and the people who read them / Elif Batuman.</t>
  </si>
  <si>
    <t>Batuman, Elif, 1977-</t>
  </si>
  <si>
    <t>New York : Farrar, Straus and Giroux, 2010.</t>
  </si>
  <si>
    <t>2019-07-05</t>
  </si>
  <si>
    <t>865137897:eng</t>
  </si>
  <si>
    <t>417444181</t>
  </si>
  <si>
    <t>ocn417444181</t>
  </si>
  <si>
    <t>3103344425B</t>
  </si>
  <si>
    <t>9780374532185</t>
  </si>
  <si>
    <t>794502976</t>
  </si>
  <si>
    <t>PG2986 D635 1997</t>
  </si>
  <si>
    <t>0                      PG 2986000D  635         1997</t>
  </si>
  <si>
    <t>The making of the state reader : social and aesthetic contexts of the reception of Soviet literature / Evgeny Dobrenko ; translated by Jesse M. Savage.</t>
  </si>
  <si>
    <t>Dobrenko, E. A. (Evgeniĭ Aleksandrovich)</t>
  </si>
  <si>
    <t>Stanford, Calif. : Stanford University Press, 1997.</t>
  </si>
  <si>
    <t>2019-04-23</t>
  </si>
  <si>
    <t>613247:eng</t>
  </si>
  <si>
    <t>36573830</t>
  </si>
  <si>
    <t>ocm36573830</t>
  </si>
  <si>
    <t>3102922535W</t>
  </si>
  <si>
    <t>9780804728546</t>
  </si>
  <si>
    <t>793478905</t>
  </si>
  <si>
    <t>PG2986 E7713 2018</t>
  </si>
  <si>
    <t>0                      PG 2986000E  7713        2018</t>
  </si>
  <si>
    <t>The irony of the ideal : paradoxes of Russian literature / Mikhail Epstein ; translated by A.S. Brown.</t>
  </si>
  <si>
    <t>Epstein, Mikhail, author.</t>
  </si>
  <si>
    <t>Ars Rossica</t>
  </si>
  <si>
    <t>4149028841:eng</t>
  </si>
  <si>
    <t>980495287</t>
  </si>
  <si>
    <t>ocn980495287</t>
  </si>
  <si>
    <t>31037408106</t>
  </si>
  <si>
    <t>9781618116321</t>
  </si>
  <si>
    <t>795033740</t>
  </si>
  <si>
    <t>PG2986 S45 1985</t>
  </si>
  <si>
    <t>0                      PG 2986000S  45          1985</t>
  </si>
  <si>
    <t>The Semiotics of Russian cultural history : essays / by Iurii M. Lotman, Lidiia Ia. Ginsburg, Boris A. Uspenskii ; translated from the Russian ; introduction by Boris Gasparov ; edited by Alexander D. Nakhimovsky and Alice Stone Nakhimovsky.</t>
  </si>
  <si>
    <t>Ithaca, N.Y. : Cornell University Press, ©1985.</t>
  </si>
  <si>
    <t>132368416:eng</t>
  </si>
  <si>
    <t>11291450</t>
  </si>
  <si>
    <t>ocm11291450</t>
  </si>
  <si>
    <t>3102922558S</t>
  </si>
  <si>
    <t>9780801411830</t>
  </si>
  <si>
    <t>792767359</t>
  </si>
  <si>
    <t>PG2986 T56 2007</t>
  </si>
  <si>
    <t>0                      PG 2986000T  56          2007</t>
  </si>
  <si>
    <t>Times of trouble : violence in Russian literature and culture / edited by Marcus C. Levitt and Tatyana Novikov.</t>
  </si>
  <si>
    <t>Madison, Wis. : University of Wisconsin Press, ©2007.</t>
  </si>
  <si>
    <t>2016-10-16</t>
  </si>
  <si>
    <t>865761781:eng</t>
  </si>
  <si>
    <t>126802656</t>
  </si>
  <si>
    <t>ocn126802656</t>
  </si>
  <si>
    <t>3102646599C</t>
  </si>
  <si>
    <t>9780299224301</t>
  </si>
  <si>
    <t>794231175</t>
  </si>
  <si>
    <t>PG2986 Z48 1996</t>
  </si>
  <si>
    <t>0                      PG 2986000Z  48          1996</t>
  </si>
  <si>
    <t>Raboty po poėtike vyrazitelʹnosti : invarianty, tema, priemy, tekst : sbornik stateĭ / A.K. Zholkovskiĭ, I︠U︡.K. Shcheglov ; predislovie M.L. Gasparova.</t>
  </si>
  <si>
    <t>Zholkovskiĭ, A. K. (Aleksandr Konstantinovich), author.</t>
  </si>
  <si>
    <t>Moskva : Izdatelʹskai︠a︡ gruppa "Progress", 1996.</t>
  </si>
  <si>
    <t>2016-04-27</t>
  </si>
  <si>
    <t>3857907367:rus</t>
  </si>
  <si>
    <t>34914758</t>
  </si>
  <si>
    <t>ocm34914758</t>
  </si>
  <si>
    <t>3102922591K</t>
  </si>
  <si>
    <t>793438736</t>
  </si>
  <si>
    <t>PG2987 E56 H88 2004</t>
  </si>
  <si>
    <t>0                      PG 2987000E  56                 H  88          2004</t>
  </si>
  <si>
    <t>Russian literary culture in the camera age : the word as image / Stephen Hutchings.</t>
  </si>
  <si>
    <t>Hutchings, Stephen C.</t>
  </si>
  <si>
    <t>London ; New York : RoutledgeCurzon, 2004.</t>
  </si>
  <si>
    <t>BASEES/RoutledgeCurzon series on Russian and East European studies ; 14</t>
  </si>
  <si>
    <t>1015024:eng</t>
  </si>
  <si>
    <t>54694602</t>
  </si>
  <si>
    <t>ocm54694602</t>
  </si>
  <si>
    <t>3102459468G</t>
  </si>
  <si>
    <t>9780415306683</t>
  </si>
  <si>
    <t>793865852</t>
  </si>
  <si>
    <t>PG2987 E76 B65 2016</t>
  </si>
  <si>
    <t>0                      PG 2987000E  76                 B  65          2016</t>
  </si>
  <si>
    <t>Poiski smysla : ėrotika i literatura / Mikhaĭil Boĭko.</t>
  </si>
  <si>
    <t>Boĭko, Mikhail (Mikhail Evgenʹevich), author.</t>
  </si>
  <si>
    <t>Moskva : Literaturnai︠a︡ Rossii︠a︡, 2016.</t>
  </si>
  <si>
    <t>Biblioteka ezhenedelʹnika "Literaturnai︠a︡ Rossii︠a︡"</t>
  </si>
  <si>
    <t>3870086260:rus</t>
  </si>
  <si>
    <t>958390964</t>
  </si>
  <si>
    <t>ocn958390964</t>
  </si>
  <si>
    <t>3103699141T</t>
  </si>
  <si>
    <t>9785780902218</t>
  </si>
  <si>
    <t>795021764</t>
  </si>
  <si>
    <t>PG2987 F4 S45 2005</t>
  </si>
  <si>
    <t>0                      PG 2987000F  4                  S  45          2005</t>
  </si>
  <si>
    <t>Semiotika strakha / pod redakt︠s︡ieĭ Nory Buks i Fransisa Konta.</t>
  </si>
  <si>
    <t>Moskva : Evropa, 2005.</t>
  </si>
  <si>
    <t>Mekhanizmy kultury</t>
  </si>
  <si>
    <t>2019-04-10</t>
  </si>
  <si>
    <t>138937453:rus</t>
  </si>
  <si>
    <t>61895141</t>
  </si>
  <si>
    <t>ocm61895141</t>
  </si>
  <si>
    <t>3102536996B</t>
  </si>
  <si>
    <t>9785901961056</t>
  </si>
  <si>
    <t>794099371</t>
  </si>
  <si>
    <t>PG2987 I73 F33 2016</t>
  </si>
  <si>
    <t>0                      PG 2987000I  73                 F  33          2016</t>
  </si>
  <si>
    <t>Facets of Russian irrationalism between art and life : mystery inside enigma / edited by Olga Tabachnikova.</t>
  </si>
  <si>
    <t>Leiden ; Boston : Brill Rodopi, [2016]</t>
  </si>
  <si>
    <t>Studies in Slavic literature and poetics ; volume 61</t>
  </si>
  <si>
    <t>2878167684:eng</t>
  </si>
  <si>
    <t>928615032</t>
  </si>
  <si>
    <t>ocn928615032</t>
  </si>
  <si>
    <t>31036542988</t>
  </si>
  <si>
    <t>9789004311114</t>
  </si>
  <si>
    <t>795006280</t>
  </si>
  <si>
    <t>PG2987 N24 A43 2013</t>
  </si>
  <si>
    <t>0                      PG 2987000N  24                 A  43          2013</t>
  </si>
  <si>
    <t>Ontologii︠a︡ imeni v tvorchestve russkikh pisateleĭ nachala XIX veka : literaturnoe obshchestvo "Arzamas", A.S. Pushkin, M.I︠U︡. Lermontov / Ė.M. Afanasʹeva.</t>
  </si>
  <si>
    <t>Afanasʹeva, Ė. M., author.</t>
  </si>
  <si>
    <t>Moskva : Lenand, 2013.</t>
  </si>
  <si>
    <t>8913521129:rus</t>
  </si>
  <si>
    <t>883190199</t>
  </si>
  <si>
    <t>ocn883190199</t>
  </si>
  <si>
    <t>3103200246I</t>
  </si>
  <si>
    <t>9785971006688</t>
  </si>
  <si>
    <t>794975382</t>
  </si>
  <si>
    <t>PG2987 N27 P37 2018</t>
  </si>
  <si>
    <t>0                      PG 2987000N  27                 P  37          2018</t>
  </si>
  <si>
    <t>In search of the true Russia : the provinces in contemporary nationalist discourse / Lyudmila Parts.</t>
  </si>
  <si>
    <t>Parts, Lyudmila, author.</t>
  </si>
  <si>
    <t>Madison, Wisconsin : The University of Wisconsin Press, [2018]</t>
  </si>
  <si>
    <t>2019-08-28</t>
  </si>
  <si>
    <t>4620123746:eng</t>
  </si>
  <si>
    <t>1005742113</t>
  </si>
  <si>
    <t>on1005742113</t>
  </si>
  <si>
    <t>31039032545</t>
  </si>
  <si>
    <t>9780299317607</t>
  </si>
  <si>
    <t>795042763</t>
  </si>
  <si>
    <t>PG2987 N27 S43 1991</t>
  </si>
  <si>
    <t>0                      PG 2987000N  27                 S  43          1991</t>
  </si>
  <si>
    <t>The Search for self-definition in Russian literature / edited by Ewa M. Thompson.</t>
  </si>
  <si>
    <t>Houston, Tex. : Rice University Press, 1991.</t>
  </si>
  <si>
    <t>55434694:eng</t>
  </si>
  <si>
    <t>23180516</t>
  </si>
  <si>
    <t>ocm23180516</t>
  </si>
  <si>
    <t>3101108091H</t>
  </si>
  <si>
    <t>9780892633067</t>
  </si>
  <si>
    <t>793163809</t>
  </si>
  <si>
    <t>PG2987 N55 K5313 2013</t>
  </si>
  <si>
    <t>0                      PG 2987000N  55                 K  5313        2013</t>
  </si>
  <si>
    <t>Nightmare : from literary experiments to cultural project / by Dina Khapaeva, Professor, School of Modern Languages, Georgia Tech ; translated by Rosie Tweddle.</t>
  </si>
  <si>
    <t>Khapaeva, Dina.</t>
  </si>
  <si>
    <t>Leiden ; Boston : Brill, 2013.</t>
  </si>
  <si>
    <t>Russian history and culture ; v. 10</t>
  </si>
  <si>
    <t>1185851511:eng</t>
  </si>
  <si>
    <t>827925542</t>
  </si>
  <si>
    <t>ocn827925542</t>
  </si>
  <si>
    <t>3103470989G</t>
  </si>
  <si>
    <t>9789004222755</t>
  </si>
  <si>
    <t>794940391</t>
  </si>
  <si>
    <t>PG2987 R37 K68 2010</t>
  </si>
  <si>
    <t>0                      PG 2987000R  37                 K  68          2010</t>
  </si>
  <si>
    <t>Literaturnye versii kriticheskogo idealizma / V.A. Kotelʹnikov.</t>
  </si>
  <si>
    <t>Kotelʹnikov, V. A. (Vladimir Alekseevich)</t>
  </si>
  <si>
    <t>Sankt-Peterburg : Pushkinskiĭ Dom, 2010.</t>
  </si>
  <si>
    <t>Biblioteka Pushkinskogo Doma</t>
  </si>
  <si>
    <t>2909189665:rus</t>
  </si>
  <si>
    <t>608631867</t>
  </si>
  <si>
    <t>ocn608631867</t>
  </si>
  <si>
    <t>3103294626N</t>
  </si>
  <si>
    <t>9785914760141</t>
  </si>
  <si>
    <t>794819637</t>
  </si>
  <si>
    <t>PG2987 R4 B638 2007</t>
  </si>
  <si>
    <t>0                      PG 2987000R  4                  B  638         2007</t>
  </si>
  <si>
    <t>Eternity and time : studies in Russian literature and the Orthodox tradition / Per-Arne Bodin.</t>
  </si>
  <si>
    <t>Bodin, Per-Arne, 1949-</t>
  </si>
  <si>
    <t>Södertälje, Sweden : Pub. and distributed by Amqvist [sic] &amp; Wiksell International, ©2007.</t>
  </si>
  <si>
    <t>Acta Universitatis Stockholmiensis. Stockholm studies in Russian literature, 0346-8496 ; 38</t>
  </si>
  <si>
    <t>10141297234:eng</t>
  </si>
  <si>
    <t>176915433</t>
  </si>
  <si>
    <t>ocn176915433</t>
  </si>
  <si>
    <t>3102871241O</t>
  </si>
  <si>
    <t>9789185445745</t>
  </si>
  <si>
    <t>794277790</t>
  </si>
  <si>
    <t>PG2987 R4 R87 1997</t>
  </si>
  <si>
    <t>0                      PG 2987000R  4                  R  87          1997</t>
  </si>
  <si>
    <t>Russkai︠a︡ literatura XIX veka i khristianstvo / pod obshcheĭ redakt︠s︡ieĭ V.I. Kuleshova.</t>
  </si>
  <si>
    <t>Moskva : Izd-vo Moskovskogo universiteta, 1997.</t>
  </si>
  <si>
    <t>2015-03-05</t>
  </si>
  <si>
    <t>5612614587:rus</t>
  </si>
  <si>
    <t>37598351</t>
  </si>
  <si>
    <t>ocm37598351</t>
  </si>
  <si>
    <t>3102922605Z</t>
  </si>
  <si>
    <t>9785211034426</t>
  </si>
  <si>
    <t>793502507</t>
  </si>
  <si>
    <t>PG2987 R4 S7 1995</t>
  </si>
  <si>
    <t>0                      PG 2987000R  4                  S  7           1995</t>
  </si>
  <si>
    <t>The Optina Pustyn Monastery in the Russian literary imagination : iconic vision in works by Dostoevsky, Gogol, Tolstoy, and others / Leonard J. Stanton.</t>
  </si>
  <si>
    <t>Stanton, Leonard J.</t>
  </si>
  <si>
    <t>New York : P. Lang, 1995.</t>
  </si>
  <si>
    <t>Middlebury studies in Russian language and literature ; v. 3</t>
  </si>
  <si>
    <t>2015-04-21</t>
  </si>
  <si>
    <t>890382119:eng</t>
  </si>
  <si>
    <t>25411166</t>
  </si>
  <si>
    <t>ocm25411166</t>
  </si>
  <si>
    <t>3102922600Z</t>
  </si>
  <si>
    <t>9780820416977</t>
  </si>
  <si>
    <t>793220049</t>
  </si>
  <si>
    <t>PG2987 R4 S89 2012</t>
  </si>
  <si>
    <t>0                      PG 2987000R  4                  S  89          2012</t>
  </si>
  <si>
    <t>Russkie teksty v khristianskom kontekste : ot Pushkina -- do Bunina / Suzi Valeriĭ Nikolaevich.</t>
  </si>
  <si>
    <t>Suzi, V. N., author.</t>
  </si>
  <si>
    <t>Sankt-Peterburg : Svoe izdatelʹstvo, 2012</t>
  </si>
  <si>
    <t>1791461954:rus</t>
  </si>
  <si>
    <t>870920400</t>
  </si>
  <si>
    <t>ocn870920400</t>
  </si>
  <si>
    <t>3103198789Z</t>
  </si>
  <si>
    <t>9785438651048</t>
  </si>
  <si>
    <t>794967023</t>
  </si>
  <si>
    <t>PG2987 S78 R36 2003</t>
  </si>
  <si>
    <t>0                      PG 2987000S  78                 R  36          2003</t>
  </si>
  <si>
    <t>The imperial sublime : a Russian poetics of empire / Harsha Ram.</t>
  </si>
  <si>
    <t>Ram, Harsha.</t>
  </si>
  <si>
    <t>Madison, Wis. : University of Wisconsin Press, ©2003.</t>
  </si>
  <si>
    <t>Publications of the Wisconsin Center for Pushkin Studies</t>
  </si>
  <si>
    <t>803225975:eng</t>
  </si>
  <si>
    <t>50866914</t>
  </si>
  <si>
    <t>ocm50866914</t>
  </si>
  <si>
    <t>3102922579O</t>
  </si>
  <si>
    <t>9780299181901</t>
  </si>
  <si>
    <t>793774385</t>
  </si>
  <si>
    <t>PG2987 T72 D53 2006</t>
  </si>
  <si>
    <t>0                      PG 2987000T  72                 D  53          2006</t>
  </si>
  <si>
    <t>Breaking ground : travel and national culture in Russia from Peter I to the era of Pushkin / Sara Dickinson.</t>
  </si>
  <si>
    <t>Dickinson, Sara.</t>
  </si>
  <si>
    <t>Amsterdam ; New York : Rodopi, 2006.</t>
  </si>
  <si>
    <t>Studies in Slavic literature and poetics ; v. 45</t>
  </si>
  <si>
    <t>792412807:eng</t>
  </si>
  <si>
    <t>69950730</t>
  </si>
  <si>
    <t>ocm69950730</t>
  </si>
  <si>
    <t>31026667544</t>
  </si>
  <si>
    <t>9789042019492</t>
  </si>
  <si>
    <t>794147361</t>
  </si>
  <si>
    <t>PG2988 U6 F43 2013</t>
  </si>
  <si>
    <t>0                      PG 2988000U  6                  F  43          2013</t>
  </si>
  <si>
    <t>Yankees in Petrograd, bolsheviks in New York : America and Americans in Russian literary perception / Milla Fedorova.</t>
  </si>
  <si>
    <t>Fedorova, Milla.</t>
  </si>
  <si>
    <t>DeKalb, Illinois : NIU Press, [2013]</t>
  </si>
  <si>
    <t>1414663623:eng</t>
  </si>
  <si>
    <t>819905117</t>
  </si>
  <si>
    <t>ocn819905117</t>
  </si>
  <si>
    <t>3103499337Z</t>
  </si>
  <si>
    <t>9780875804705</t>
  </si>
  <si>
    <t>794934942</t>
  </si>
  <si>
    <t>PG2989 H4 K67 1992</t>
  </si>
  <si>
    <t>0                      PG 2989000H  4                  K  67          1992</t>
  </si>
  <si>
    <t>The Cossack hero in Russian literature : a study in cultural mythology / Judith Deutsch Kornblatt.</t>
  </si>
  <si>
    <t>Kornblatt, Judith Deutsch.</t>
  </si>
  <si>
    <t>Madison, Wisc. : University of Wisconsin Press, ©1992.</t>
  </si>
  <si>
    <t>Studies of the Harriman Institute</t>
  </si>
  <si>
    <t>2018-10-03</t>
  </si>
  <si>
    <t>2589669:eng</t>
  </si>
  <si>
    <t>25874499</t>
  </si>
  <si>
    <t>ocm25874499</t>
  </si>
  <si>
    <t>3102922609Z</t>
  </si>
  <si>
    <t>9780299135201</t>
  </si>
  <si>
    <t>793232295</t>
  </si>
  <si>
    <t>PG2989 H4 M3 2000</t>
  </si>
  <si>
    <t>0                      PG 2989000H  4                  M  3           2000</t>
  </si>
  <si>
    <t>The positive hero in Russian literature.</t>
  </si>
  <si>
    <t>Mathewson, Rufus W.</t>
  </si>
  <si>
    <t>Evanston, Ill. : North Western University Press ; London : Routledge, 2000.</t>
  </si>
  <si>
    <t>2018-10-30</t>
  </si>
  <si>
    <t>459498:eng</t>
  </si>
  <si>
    <t>42875671</t>
  </si>
  <si>
    <t>ocm42875671</t>
  </si>
  <si>
    <t>3102922598K</t>
  </si>
  <si>
    <t>9780810117167</t>
  </si>
  <si>
    <t>793616426</t>
  </si>
  <si>
    <t>PG2989 H4 S38 2010</t>
  </si>
  <si>
    <t>0                      PG 2989000H  4                  S  38          2010</t>
  </si>
  <si>
    <t>Aspekty russkoĭ literaturnoĭ kharakterologii / S.V. Savinkov, A.A. Faustov.</t>
  </si>
  <si>
    <t>Savinkov, S. V.</t>
  </si>
  <si>
    <t>Moskva : Izdatelʹstvo Kulaginoĭ-Intrada, 2010.</t>
  </si>
  <si>
    <t>3860214291:rus</t>
  </si>
  <si>
    <t>635865863</t>
  </si>
  <si>
    <t>ocn635865863</t>
  </si>
  <si>
    <t>31032853020</t>
  </si>
  <si>
    <t>9785876042231</t>
  </si>
  <si>
    <t>794825831</t>
  </si>
  <si>
    <t>PG2991 S556 2014</t>
  </si>
  <si>
    <t>0                      PG 2991000S  556         2014</t>
  </si>
  <si>
    <t>Skripach ne nuzhen / Pavel Basinskiĭ.</t>
  </si>
  <si>
    <t>Basinskiĭ, Pavel, 1961- author.</t>
  </si>
  <si>
    <t>Moskva : AST : Redakt︠s︡ii︠a︡ Eleny Shubinoĭ, 2014.</t>
  </si>
  <si>
    <t>2017-01-05</t>
  </si>
  <si>
    <t>2235409587:rus</t>
  </si>
  <si>
    <t>889407257</t>
  </si>
  <si>
    <t>ocn889407257</t>
  </si>
  <si>
    <t>31031989196</t>
  </si>
  <si>
    <t>9785170859245</t>
  </si>
  <si>
    <t>794978374</t>
  </si>
  <si>
    <t>PG2991.2 .A48 2014</t>
  </si>
  <si>
    <t>0                      PG 2991200A  48          2014</t>
  </si>
  <si>
    <t>V teni Derzhavina : literaturnye portrety : Ermil Ivanovich Kostrov, Nikolaĭ Semenovich Smirnov, Nikolaĭ Petrovich Nikolev / Mark Alʹtshuller.</t>
  </si>
  <si>
    <t>Alʹtshuller, Mark, author.</t>
  </si>
  <si>
    <t>Sankt-Peterburg : Izdatelʹstvo "Pushkinskiĭ Dom", 2014.</t>
  </si>
  <si>
    <t>2211606996:rus</t>
  </si>
  <si>
    <t>878039167</t>
  </si>
  <si>
    <t>ocn878039167</t>
  </si>
  <si>
    <t>B001567039</t>
  </si>
  <si>
    <t>9785914760554</t>
  </si>
  <si>
    <t>794971204</t>
  </si>
  <si>
    <t>PG2991.2 A487 2014</t>
  </si>
  <si>
    <t>0                      PG 2991200A  487         2014</t>
  </si>
  <si>
    <t>31035174144</t>
  </si>
  <si>
    <t>794971205</t>
  </si>
  <si>
    <t>PG2991.4 A98 2011</t>
  </si>
  <si>
    <t>0                      PG 2991400A  98          2011</t>
  </si>
  <si>
    <t>Avtografy / avt. vstup. st. E.B. Belodubrovskiĭ, V.F. Svinʹin ; avt. st. ob avtorakh G.M. Prashkevich, T.A. I︠A︡nushevich.</t>
  </si>
  <si>
    <t>Novosibirsk : Izdatelʹstvo "Svinʹin i synovʹi︠a︡", 2011.</t>
  </si>
  <si>
    <t>3863977888:rus</t>
  </si>
  <si>
    <t>729552429</t>
  </si>
  <si>
    <t>ocn729552429</t>
  </si>
  <si>
    <t>3103373179$</t>
  </si>
  <si>
    <t>9785985021073</t>
  </si>
  <si>
    <t>794879492</t>
  </si>
  <si>
    <t>PG2991.4 S4813 1996</t>
  </si>
  <si>
    <t>0                      PG 2991400S  4813        1996</t>
  </si>
  <si>
    <t>Arrested voices : resurrecting the disappeared writers of the Soviet regime / Vitaly Shentalinsky ; translated by John Crowfoot ; introduction by Robert Conquest.</t>
  </si>
  <si>
    <t>Shentalinskiĭ, Vitaliĭ.</t>
  </si>
  <si>
    <t>New York : Martin Kessler Books, Free Press, ©1996.</t>
  </si>
  <si>
    <t>2017-11-17</t>
  </si>
  <si>
    <t>364748406:eng</t>
  </si>
  <si>
    <t>34113255</t>
  </si>
  <si>
    <t>ocm34113255</t>
  </si>
  <si>
    <t>3102922621V</t>
  </si>
  <si>
    <t>9780684827766</t>
  </si>
  <si>
    <t>793419041</t>
  </si>
  <si>
    <t>PG2991.4 S85 2016</t>
  </si>
  <si>
    <t>0                      PG 2991400S  85          2016</t>
  </si>
  <si>
    <t>VPZR : velikie pisateli Zemli Russkoĭ / Igorʹ Svinarenko.</t>
  </si>
  <si>
    <t>Svinarenko, Igorʹ, author.</t>
  </si>
  <si>
    <t>Moskva : Vremi︠a︡, 2016.</t>
  </si>
  <si>
    <t>3999514255:rus</t>
  </si>
  <si>
    <t>962187068</t>
  </si>
  <si>
    <t>ocn962187068</t>
  </si>
  <si>
    <t>3103759999K</t>
  </si>
  <si>
    <t>9785969115231</t>
  </si>
  <si>
    <t>795024255</t>
  </si>
  <si>
    <t>PG2993 P57 2018</t>
  </si>
  <si>
    <t>0                      PG 2993000P  57          2018</t>
  </si>
  <si>
    <t>Pisʹma o li︠u︡bvi : sbornik / avtor-sostavitelʹ S.I︠U︡. Nechaev.</t>
  </si>
  <si>
    <t>Moskva : Izdatelʹstvo AST, [2018]</t>
  </si>
  <si>
    <t>"Pisʹma i dnevniki"</t>
  </si>
  <si>
    <t>5215017244:rus</t>
  </si>
  <si>
    <t>1039236622</t>
  </si>
  <si>
    <t>on1039236622</t>
  </si>
  <si>
    <t>3103862907$</t>
  </si>
  <si>
    <t>9785171066369</t>
  </si>
  <si>
    <t>795058800</t>
  </si>
  <si>
    <t>PG2994 P67 2012</t>
  </si>
  <si>
    <t>0                      PG 2994000P  67          2012</t>
  </si>
  <si>
    <t>The wives : the women behind Russia's literary giants / Alexandra Popoff.</t>
  </si>
  <si>
    <t>Popoff, Alexandra.</t>
  </si>
  <si>
    <t>New York : Pegasus Books : Distributed by W.W. Norton &amp; Co., 2012.</t>
  </si>
  <si>
    <t>1st Pegasus books cloth ed.</t>
  </si>
  <si>
    <t>2016-11-23</t>
  </si>
  <si>
    <t>1149984503:eng</t>
  </si>
  <si>
    <t>755705009</t>
  </si>
  <si>
    <t>ocn755705009</t>
  </si>
  <si>
    <t>3103414272G</t>
  </si>
  <si>
    <t>9781605983660</t>
  </si>
  <si>
    <t>794893955</t>
  </si>
  <si>
    <t>PG2996 N685 2012</t>
  </si>
  <si>
    <t>0                      PG 2996000N  685         2012</t>
  </si>
  <si>
    <t>Russkai︠a︡ literaturnai︠a︡ usadʹba / Vladimir Novikov.</t>
  </si>
  <si>
    <t>Novikov, Vladimir, author.</t>
  </si>
  <si>
    <t>Moskva : Izdatelʹstvo "Lomonosovʺ, 2012.</t>
  </si>
  <si>
    <t>Istorii︠a︡, geografii︠a︡, ėtnografii︠a︡</t>
  </si>
  <si>
    <t>1107813270:rus</t>
  </si>
  <si>
    <t>793419500</t>
  </si>
  <si>
    <t>ocn793419500</t>
  </si>
  <si>
    <t>3103483741D</t>
  </si>
  <si>
    <t>9785916781366</t>
  </si>
  <si>
    <t>794918171</t>
  </si>
  <si>
    <t>PG2997 F78 1993</t>
  </si>
  <si>
    <t>0                      PG 2997000F  78          1993</t>
  </si>
  <si>
    <t>Fruits of her plume : essays on contemporary Russian woman's culture / edited by Helena Goscilo.</t>
  </si>
  <si>
    <t>Armonk, N.Y. : M.E. Sharpe, ©1993.</t>
  </si>
  <si>
    <t>2019-10-31</t>
  </si>
  <si>
    <t>799516939:eng</t>
  </si>
  <si>
    <t>27641655</t>
  </si>
  <si>
    <t>ocm27641655</t>
  </si>
  <si>
    <t>3103099456F</t>
  </si>
  <si>
    <t>9781563241253</t>
  </si>
  <si>
    <t>793268154</t>
  </si>
  <si>
    <t>PG2997 G46 1996</t>
  </si>
  <si>
    <t>0                      PG 2997000G  46          1996</t>
  </si>
  <si>
    <t>Gender and Russian literature : new perspectives / translated and edited by Rosalind Marsh.</t>
  </si>
  <si>
    <t>Cambridge ; New York : Cambridge University Press, 1996.</t>
  </si>
  <si>
    <t>Cambridge studies in Russian literature</t>
  </si>
  <si>
    <t>896872717:eng</t>
  </si>
  <si>
    <t>32700308</t>
  </si>
  <si>
    <t>ocm32700308</t>
  </si>
  <si>
    <t>31015751614</t>
  </si>
  <si>
    <t>9780521552585</t>
  </si>
  <si>
    <t>793392029</t>
  </si>
  <si>
    <t>PG2997 G54 2004</t>
  </si>
  <si>
    <t>0                      PG 2997000G  54          2004</t>
  </si>
  <si>
    <t>Finding the middle ground : Krestovskii, Tur, and the power of ambivalence in nineteenth-century Russian women's prose / Jehanne M Gheith.</t>
  </si>
  <si>
    <t>Gheith, Jehanne M.</t>
  </si>
  <si>
    <t>Evanston, Ill. : Northwestern University Press, 2004.</t>
  </si>
  <si>
    <t>476425667:eng</t>
  </si>
  <si>
    <t>55617924</t>
  </si>
  <si>
    <t>ocm55617924</t>
  </si>
  <si>
    <t>3102386344Q</t>
  </si>
  <si>
    <t>9780810117143</t>
  </si>
  <si>
    <t>793879552</t>
  </si>
  <si>
    <t>PG2997 H45 1987</t>
  </si>
  <si>
    <t>0                      PG 2997000H  45          1987</t>
  </si>
  <si>
    <t>Terrible perfection : women and Russian literature / Barbara Heldt.</t>
  </si>
  <si>
    <t>Heldt, Barbara, 1940-</t>
  </si>
  <si>
    <t>Bloomington : Indiana University Press, ©1987.</t>
  </si>
  <si>
    <t>8178780:eng</t>
  </si>
  <si>
    <t>14904379</t>
  </si>
  <si>
    <t>ocm14904379</t>
  </si>
  <si>
    <t>3103678663G</t>
  </si>
  <si>
    <t>9780253358387</t>
  </si>
  <si>
    <t>792913189</t>
  </si>
  <si>
    <t>PG2997 H56 2002</t>
  </si>
  <si>
    <t>0                      PG 2997000H  56          2002</t>
  </si>
  <si>
    <t>A history of women's writing in Russia / edited by Adele Marie Barker and Jehanne M Gheith.</t>
  </si>
  <si>
    <t>Cambridge, UK ; New York : Cambridge University Press, 2002.</t>
  </si>
  <si>
    <t>2019-04-20</t>
  </si>
  <si>
    <t>864805922:eng</t>
  </si>
  <si>
    <t>46936146</t>
  </si>
  <si>
    <t>ocm46936146</t>
  </si>
  <si>
    <t>31022128062</t>
  </si>
  <si>
    <t>9780521572804</t>
  </si>
  <si>
    <t>793694879</t>
  </si>
  <si>
    <t>PG2997 I26 2016</t>
  </si>
  <si>
    <t>0                      PG 2997000I  26          2016</t>
  </si>
  <si>
    <t>I︠A︡ nauchila zhenshchin govoritʹ ... : sbornik zhenskoĭ prozy / [sost. Svetlana Vasilenko].</t>
  </si>
  <si>
    <t>Moskva : Soi︠u︡z rossiĭskikh pisateleĭ, 2016-2017.</t>
  </si>
  <si>
    <t>4233309118:rus</t>
  </si>
  <si>
    <t>988765814</t>
  </si>
  <si>
    <t>ocn988765814</t>
  </si>
  <si>
    <t>31037597763</t>
  </si>
  <si>
    <t>9785901511329</t>
  </si>
  <si>
    <t>795036903</t>
  </si>
  <si>
    <t>3103759771D</t>
  </si>
  <si>
    <t>795036902</t>
  </si>
  <si>
    <t>PG2997 K45 1994</t>
  </si>
  <si>
    <t>0                      PG 2997000K  45          1994</t>
  </si>
  <si>
    <t>A history of Russian women's writing, 1820-1992 / Catriona Kelly.</t>
  </si>
  <si>
    <t>Oxford ; New York : Clarendon Press, 1994.</t>
  </si>
  <si>
    <t>2017-03-14</t>
  </si>
  <si>
    <t>30383613:eng</t>
  </si>
  <si>
    <t>28505695</t>
  </si>
  <si>
    <t>ocm28505695</t>
  </si>
  <si>
    <t>31013154267</t>
  </si>
  <si>
    <t>9780198158721</t>
  </si>
  <si>
    <t>793289613</t>
  </si>
  <si>
    <t>PG2997 T67 2015</t>
  </si>
  <si>
    <t>0                      PG 2997000T  67          2015</t>
  </si>
  <si>
    <t>Zhenshchina i literatura : V dvukh tomakh / Elena Tonchu.</t>
  </si>
  <si>
    <t>Tonchu, Elena, author.</t>
  </si>
  <si>
    <t>Moskva : Izdatelʹskiĭ dom TONChU, 2015.</t>
  </si>
  <si>
    <t>Rossii︠a︡--zhenskai︠a︡ sudʹba</t>
  </si>
  <si>
    <t>8913994041:rus</t>
  </si>
  <si>
    <t>934628045</t>
  </si>
  <si>
    <t>ocn934628045</t>
  </si>
  <si>
    <t>3103622890S</t>
  </si>
  <si>
    <t>9785912150845</t>
  </si>
  <si>
    <t>795009750</t>
  </si>
  <si>
    <t>3103622895I</t>
  </si>
  <si>
    <t>795009751</t>
  </si>
  <si>
    <t>PG2997 W66 1994</t>
  </si>
  <si>
    <t>0                      PG 2997000W  66          1994</t>
  </si>
  <si>
    <t>Women writers in Russian literature / edited by Toby W. Clyman and Diana Greene.</t>
  </si>
  <si>
    <t>Westport, Conn. : Greenwood Press, 1994.</t>
  </si>
  <si>
    <t>Contributions to the study of world literature, 0738-9345 ; no. 53</t>
  </si>
  <si>
    <t>350321984:eng</t>
  </si>
  <si>
    <t>28721762</t>
  </si>
  <si>
    <t>ocm28721762</t>
  </si>
  <si>
    <t>3101449462W</t>
  </si>
  <si>
    <t>9780313275210</t>
  </si>
  <si>
    <t>793294719</t>
  </si>
  <si>
    <t>PG2998 J4 L36 2012</t>
  </si>
  <si>
    <t>0                      PG 2998000J  4                  L  36          2012</t>
  </si>
  <si>
    <t>Jewish women writers in the Soviet Union / Rina Lapidus.</t>
  </si>
  <si>
    <t>Lapidus, Rina.</t>
  </si>
  <si>
    <t>Abingdon, Oxon ; New York : Routledge, 2012.</t>
  </si>
  <si>
    <t>Routledge studies in the history of Russia and Eastern Europe</t>
  </si>
  <si>
    <t>2015-10-13</t>
  </si>
  <si>
    <t>663875248:eng</t>
  </si>
  <si>
    <t>666242844</t>
  </si>
  <si>
    <t>ocn666242844</t>
  </si>
  <si>
    <t>3103396335G</t>
  </si>
  <si>
    <t>9780415617628</t>
  </si>
  <si>
    <t>794845036</t>
  </si>
  <si>
    <t>PG2998 J4 L364 2014</t>
  </si>
  <si>
    <t>0                      PG 2998000J  4                  L  364         2014</t>
  </si>
  <si>
    <t>Young Jewish poets who fell as Soviet soldiers in the second World War / Rina Lapidus.</t>
  </si>
  <si>
    <t>Lapidus, Rina, author.</t>
  </si>
  <si>
    <t>London ; New York : Routledge, Taylor &amp; Francis Group, 2014.</t>
  </si>
  <si>
    <t>Routledge Studies in the History of Russia and Eastern Europe ; 20</t>
  </si>
  <si>
    <t>2028895399:eng</t>
  </si>
  <si>
    <t>866922761</t>
  </si>
  <si>
    <t>ocn866922761</t>
  </si>
  <si>
    <t>3103680073Y</t>
  </si>
  <si>
    <t>9780415705592</t>
  </si>
  <si>
    <t>794963698</t>
  </si>
  <si>
    <t>PG2998 J4 M87 2011</t>
  </si>
  <si>
    <t>0                      PG 2998000J  4                  M  87          2011</t>
  </si>
  <si>
    <t>Music from a speeding train : Jewish literature in post-revolution Russia / Harriet Murav.</t>
  </si>
  <si>
    <t>Murav, Harriet, 1955- author.</t>
  </si>
  <si>
    <t>Stanford, California : Stanford University Press, [2011], ©2011.</t>
  </si>
  <si>
    <t>Stanford studies in Jewish history and culture</t>
  </si>
  <si>
    <t>837930576:eng</t>
  </si>
  <si>
    <t>708648478</t>
  </si>
  <si>
    <t>ocn708648478</t>
  </si>
  <si>
    <t>3103383569L</t>
  </si>
  <si>
    <t>9780804774437</t>
  </si>
  <si>
    <t>794869231</t>
  </si>
  <si>
    <t>PG3001 D454 1997</t>
  </si>
  <si>
    <t>0                      PG 3001000D  454         1997</t>
  </si>
  <si>
    <t>Srednevekovai︠a︡ russkai︠a︡ literatura : poėtika, interpretat︠s︡ii, istochniki : sbornik stateĭ / N.S. Demkova.</t>
  </si>
  <si>
    <t>Demkova, N. S.</t>
  </si>
  <si>
    <t>Sankt-Peterburg : Izd-vo S.-Peterburgskogo universiteta, 1997.</t>
  </si>
  <si>
    <t>3901864983:rus</t>
  </si>
  <si>
    <t>37412752</t>
  </si>
  <si>
    <t>ocm37412752</t>
  </si>
  <si>
    <t>3101949366U</t>
  </si>
  <si>
    <t>9785288015724</t>
  </si>
  <si>
    <t>793498044</t>
  </si>
  <si>
    <t>PG3001 D684 1995</t>
  </si>
  <si>
    <t>0                      PG 3001000D  684         1995</t>
  </si>
  <si>
    <t>Drevnerusskai︠a︡ literatura : izobrazhenie prirody i cheloveka / [avtory, A.S. Demin and others].</t>
  </si>
  <si>
    <t>Moskva : "Nasledie", 1995.</t>
  </si>
  <si>
    <t>2019-01-08</t>
  </si>
  <si>
    <t>10033122947:rus</t>
  </si>
  <si>
    <t>34880913</t>
  </si>
  <si>
    <t>ocm34880913</t>
  </si>
  <si>
    <t>31017397447</t>
  </si>
  <si>
    <t>9785865620143</t>
  </si>
  <si>
    <t>793437846</t>
  </si>
  <si>
    <t>PG3001 E68 1987</t>
  </si>
  <si>
    <t>0                      PG 3001000E  68          1987</t>
  </si>
  <si>
    <t>Lekt︠s︡ii i statʹi po istorii drevneĭ russkoĭ literatury / I.P. Eremin.</t>
  </si>
  <si>
    <t>Eremin, I. P. (Igorʹ Petrovich)</t>
  </si>
  <si>
    <t>Leningrad : Izd-vo Leningradskogo universiteta, 1987.</t>
  </si>
  <si>
    <t>Izd. 2-e, dop.</t>
  </si>
  <si>
    <t>3901490677:rus</t>
  </si>
  <si>
    <t>17813922</t>
  </si>
  <si>
    <t>ocm17813922</t>
  </si>
  <si>
    <t>31010081311</t>
  </si>
  <si>
    <t>793004094</t>
  </si>
  <si>
    <t>PG3001 F55 2008</t>
  </si>
  <si>
    <t>0                      PG 3001000F  55          2008</t>
  </si>
  <si>
    <t>Dinamicheskai︠a︡ poėtika russkoĭ literatury / G.I︠U︡. Filippovskiĭ.</t>
  </si>
  <si>
    <t>Filippovskiĭ, G. I︠U︡. (German I︠U︡rʹevich)</t>
  </si>
  <si>
    <t>Sankt-Peterburg : Dmitriĭ Bulanin, 2008.</t>
  </si>
  <si>
    <t>3857394898:rus</t>
  </si>
  <si>
    <t>309720854</t>
  </si>
  <si>
    <t>ocn309720854</t>
  </si>
  <si>
    <t>3103074968S</t>
  </si>
  <si>
    <t>9785860075962</t>
  </si>
  <si>
    <t>794434746</t>
  </si>
  <si>
    <t>PG3001 G762 1949</t>
  </si>
  <si>
    <t>0                      PG 3001000G  762         1949</t>
  </si>
  <si>
    <t>History of early Russian literature / tr. from the 2d Russian ed. by Susan Wilbur Jones. Introd. by Gleb Struve.</t>
  </si>
  <si>
    <t>Gudziĭ, N. K. (Nikolaĭ Kallinikovich), 1887-1965.</t>
  </si>
  <si>
    <t>New York : Macmillan Co., 1949.</t>
  </si>
  <si>
    <t>1949</t>
  </si>
  <si>
    <t>American Council of Learned Societies. Russian Translation Project. ; Series, 5</t>
  </si>
  <si>
    <t>2019-06-17</t>
  </si>
  <si>
    <t>3372275723:eng</t>
  </si>
  <si>
    <t>962694</t>
  </si>
  <si>
    <t>ocm00962694</t>
  </si>
  <si>
    <t>3000167321D</t>
  </si>
  <si>
    <t>791512668</t>
  </si>
  <si>
    <t>PG3001 G762 1970</t>
  </si>
  <si>
    <t>0                      PG 3001000G  762         1970</t>
  </si>
  <si>
    <t>History of early Russian literature, by N.K. Gudzy. Translated from the 2d Russian ed. by Susan Wilbur Jones. Introd. by Gleb Struve.</t>
  </si>
  <si>
    <t>New York, Octagon Books, 1970 [©1949]</t>
  </si>
  <si>
    <t>86457</t>
  </si>
  <si>
    <t>ocm00086457</t>
  </si>
  <si>
    <t>3000506876I</t>
  </si>
  <si>
    <t>791250679</t>
  </si>
  <si>
    <t>3103678537L</t>
  </si>
  <si>
    <t>791250680</t>
  </si>
  <si>
    <t>PG3001 H5 1989</t>
  </si>
  <si>
    <t>0                      PG 3001000H  5           1989</t>
  </si>
  <si>
    <t>A History of Russian literature, 11th-17th centuries : a textbook / general editor Dmitry Likhachev ; [contributors, Lev Dmitriev and others] ; translated by K.M. Cook-Horujy.</t>
  </si>
  <si>
    <t>Moscow : Raduga Publishers, ©1989.</t>
  </si>
  <si>
    <t>48267000:eng</t>
  </si>
  <si>
    <t>24380778</t>
  </si>
  <si>
    <t>ocm24380778</t>
  </si>
  <si>
    <t>3102922625V</t>
  </si>
  <si>
    <t>9785050017154</t>
  </si>
  <si>
    <t>793197215</t>
  </si>
  <si>
    <t>2013-09-18</t>
  </si>
  <si>
    <t>3102922630T</t>
  </si>
  <si>
    <t>793197216</t>
  </si>
  <si>
    <t>PG3001 I77</t>
  </si>
  <si>
    <t>0                      PG 3001000I  77</t>
  </si>
  <si>
    <t>Istorii︠a︡ russkoĭ literatury X-XVII vekov : [uchebnoe posobie] / pod red. D.S. Likhacheva.</t>
  </si>
  <si>
    <t>Moskva : Prosveshchenie, 1980.</t>
  </si>
  <si>
    <t>2019-04-18</t>
  </si>
  <si>
    <t>3374146848:rus</t>
  </si>
  <si>
    <t>6557626</t>
  </si>
  <si>
    <t>ocm06557626</t>
  </si>
  <si>
    <t>3102922614X</t>
  </si>
  <si>
    <t>792508517</t>
  </si>
  <si>
    <t>PG3001 K8 1977</t>
  </si>
  <si>
    <t>0                      PG 3001000K  8           1977</t>
  </si>
  <si>
    <t>Istorii︠a︡ drevnerusskoĭ literatury : [uchebnik] / V.V. Kuskov.</t>
  </si>
  <si>
    <t>Kuskov, V. V. (Vladimir Vladimirovich)</t>
  </si>
  <si>
    <t>Moskva : Vysshai︠a︡ shkola, 1977.</t>
  </si>
  <si>
    <t>Izd. 3., ispr. i dop.</t>
  </si>
  <si>
    <t>3861077118:rus</t>
  </si>
  <si>
    <t>4256234</t>
  </si>
  <si>
    <t>ocm04256234</t>
  </si>
  <si>
    <t>3102922634T</t>
  </si>
  <si>
    <t>792335849</t>
  </si>
  <si>
    <t>PG3001 L497 1980</t>
  </si>
  <si>
    <t>0                      PG 3001000L  497         1980</t>
  </si>
  <si>
    <t>Velikoe nasledie : klassicheskie proizvedenii︠a︡ literatury Drevneĭ Rusi / Dmitriĭ Likhachev.</t>
  </si>
  <si>
    <t>Likhachev, D. S. (Dmitriĭ Sergeevich)</t>
  </si>
  <si>
    <t>Moskva : Sovremennik, 1980.</t>
  </si>
  <si>
    <t>2-e izd., dop.</t>
  </si>
  <si>
    <t>Biblioteka "Li︠u︡biteli︠a︡m rossiĭskoĭ slovesnosti"</t>
  </si>
  <si>
    <t>3855358282:rus</t>
  </si>
  <si>
    <t>220298155</t>
  </si>
  <si>
    <t>ocn220298155</t>
  </si>
  <si>
    <t>3102922654P</t>
  </si>
  <si>
    <t>794320886</t>
  </si>
  <si>
    <t>PG3001 S54 1987</t>
  </si>
  <si>
    <t>0                      PG 3001000S  54          1987</t>
  </si>
  <si>
    <t>Slovarʹ knizhnikov i knizhnosti Drevneĭ Rusi / otvetstvennyĭ redaktor, D.S. Likhachev.</t>
  </si>
  <si>
    <t>vyp. 2 ch. 2</t>
  </si>
  <si>
    <t>Leningrad : Izd-vo "Nauka, " Leningradskoe otd-nie, 1987-</t>
  </si>
  <si>
    <t>2017-03-20</t>
  </si>
  <si>
    <t>3372845318:rus</t>
  </si>
  <si>
    <t>17814298</t>
  </si>
  <si>
    <t>ocm17814298</t>
  </si>
  <si>
    <t>3100574626$</t>
  </si>
  <si>
    <t>9785860070011</t>
  </si>
  <si>
    <t>793004104</t>
  </si>
  <si>
    <t>vyp. 1</t>
  </si>
  <si>
    <t>2012-05-10</t>
  </si>
  <si>
    <t>3103145288D</t>
  </si>
  <si>
    <t>793004106</t>
  </si>
  <si>
    <t>vyp.3;ch.3</t>
  </si>
  <si>
    <t>2016-03-29</t>
  </si>
  <si>
    <t>31019171523</t>
  </si>
  <si>
    <t>793004100</t>
  </si>
  <si>
    <t>vyp.3;ch.2</t>
  </si>
  <si>
    <t>3100988377E</t>
  </si>
  <si>
    <t>793004101</t>
  </si>
  <si>
    <t>vyp.3;ch.1</t>
  </si>
  <si>
    <t>31012241867</t>
  </si>
  <si>
    <t>793004102</t>
  </si>
  <si>
    <t>vyp.3;ch.4</t>
  </si>
  <si>
    <t>2010-10-25</t>
  </si>
  <si>
    <t>31023400583</t>
  </si>
  <si>
    <t>793004099</t>
  </si>
  <si>
    <t>vyp. 2 ch. 1</t>
  </si>
  <si>
    <t>3100175815J</t>
  </si>
  <si>
    <t>793004105</t>
  </si>
  <si>
    <t>vyp. 2 ch. 3</t>
  </si>
  <si>
    <t>3103473477L</t>
  </si>
  <si>
    <t>793004103</t>
  </si>
  <si>
    <t>PG3002 F4 1974b</t>
  </si>
  <si>
    <t>0                      PG 3002000F  4           1974b</t>
  </si>
  <si>
    <t>Early Russian literature [by] John Fennell and Antony Stokes.</t>
  </si>
  <si>
    <t>Fennell, John, 1918-1992.</t>
  </si>
  <si>
    <t>Berkeley, University of California Press [1974]</t>
  </si>
  <si>
    <t>1888748:eng</t>
  </si>
  <si>
    <t>966180</t>
  </si>
  <si>
    <t>ocm00966180</t>
  </si>
  <si>
    <t>3000386387$</t>
  </si>
  <si>
    <t>9780520023437</t>
  </si>
  <si>
    <t>791514014</t>
  </si>
  <si>
    <t>PG3002 K6</t>
  </si>
  <si>
    <t>0                      PG 3002000K  6</t>
  </si>
  <si>
    <t>Old Russia and Byzantium; the Byzantine and Oriental origins of Russian culture, by Alexander N. Konrad.</t>
  </si>
  <si>
    <t>Konrad, Alexander N.</t>
  </si>
  <si>
    <t>Wien, W. Braumüller [1972]</t>
  </si>
  <si>
    <t>Philologische Beiträge zur Südost- und Osteuropa-Forschung ; v. 1</t>
  </si>
  <si>
    <t>2017-10-02</t>
  </si>
  <si>
    <t>796026120:eng</t>
  </si>
  <si>
    <t>531059</t>
  </si>
  <si>
    <t>ocm00531059</t>
  </si>
  <si>
    <t>3000611216Z</t>
  </si>
  <si>
    <t>9783700300250</t>
  </si>
  <si>
    <t>791405445</t>
  </si>
  <si>
    <t>PG3006 B6 1960</t>
  </si>
  <si>
    <t>0                      PG 3006000B  6           1960</t>
  </si>
  <si>
    <t>Istorii︠a︡ russkoĭ literatury XVIII veka.</t>
  </si>
  <si>
    <t>Blagoĭ, D. D. (Dmitriĭ Dmitrievich), 1893-1984.</t>
  </si>
  <si>
    <t>Moskva : Gos. uchebno-pedagog. izd-vo, 1960.</t>
  </si>
  <si>
    <t>Izd. 4., peresm.</t>
  </si>
  <si>
    <t>226743945:rus</t>
  </si>
  <si>
    <t>2663831</t>
  </si>
  <si>
    <t>ocm02663831</t>
  </si>
  <si>
    <t>3103000257S</t>
  </si>
  <si>
    <t>792159968</t>
  </si>
  <si>
    <t>PG3006 P755 2010</t>
  </si>
  <si>
    <t>0                      PG 3006000P  755         2010</t>
  </si>
  <si>
    <t>Prizhiznennye izdanii︠a︡ russkikh pisateleĭ XVIII-XIX vv. : katalog kollekt︠s︡ii redkikh knig / [otv. za vypusk, M.D. Afanasʹev ; sostavitelʹ, N.A. Zemt︠s︡ova].</t>
  </si>
  <si>
    <t>Moskva : Gos. publichnai︠a︡ istoricheskai︠a︡ biblioteka Rossii, 2010.</t>
  </si>
  <si>
    <t>1747210841:rus</t>
  </si>
  <si>
    <t>670280689</t>
  </si>
  <si>
    <t>ocn670280689</t>
  </si>
  <si>
    <t>3103333138R</t>
  </si>
  <si>
    <t>9785852091642</t>
  </si>
  <si>
    <t>794847575</t>
  </si>
  <si>
    <t>PG3006 S4</t>
  </si>
  <si>
    <t>0                      PG 3006000S  4</t>
  </si>
  <si>
    <t>Russkiĭ klassit︠s︡izm : poėzii︠a︡, drama, satira / I.Z. Serman.</t>
  </si>
  <si>
    <t>Serman, Ilʹi︠a︡ Zakharovich.</t>
  </si>
  <si>
    <t>Leningrad : Izd-vo "Nauka, " Leningradskoe otd-nie, 1973.</t>
  </si>
  <si>
    <t>5608908438:rus</t>
  </si>
  <si>
    <t>1178416</t>
  </si>
  <si>
    <t>ocm01178416</t>
  </si>
  <si>
    <t>31027226452</t>
  </si>
  <si>
    <t>791566182</t>
  </si>
  <si>
    <t>PG3007 B7</t>
  </si>
  <si>
    <t>0                      PG 3007000B  7</t>
  </si>
  <si>
    <t>A history of eighteenth-century Russian literature / William Edward Brown.</t>
  </si>
  <si>
    <t>Brown, William Edward, 1904-</t>
  </si>
  <si>
    <t>Ann Arbor, Mich. : Ardis Publishers, [1980]</t>
  </si>
  <si>
    <t>18072597:eng</t>
  </si>
  <si>
    <t>56260131</t>
  </si>
  <si>
    <t>ocm56260131</t>
  </si>
  <si>
    <t>3102867191Z</t>
  </si>
  <si>
    <t>9780882333410</t>
  </si>
  <si>
    <t>793889918</t>
  </si>
  <si>
    <t>2014-04-11</t>
  </si>
  <si>
    <t>3103602103F</t>
  </si>
  <si>
    <t>793889917</t>
  </si>
  <si>
    <t>PG3007 L486 2011</t>
  </si>
  <si>
    <t>0                      PG 3007000L  486         2011</t>
  </si>
  <si>
    <t>The visual dominant in eighteenth-century Russia / Marcus C. Levitt.</t>
  </si>
  <si>
    <t>Levitt, Marcus C., 1954-</t>
  </si>
  <si>
    <t>DeKalb : NIU Press, ©2011.</t>
  </si>
  <si>
    <t>2013-04-06</t>
  </si>
  <si>
    <t>895696698:eng</t>
  </si>
  <si>
    <t>720259888</t>
  </si>
  <si>
    <t>ocn720259888</t>
  </si>
  <si>
    <t>3103395525G</t>
  </si>
  <si>
    <t>9780875804422</t>
  </si>
  <si>
    <t>794874938</t>
  </si>
  <si>
    <t>PG3010.5 E54 L68 1998</t>
  </si>
  <si>
    <t>0                      PG 3010500E  54                 L  68          1998</t>
  </si>
  <si>
    <t>Russkai︠a︡ literatura i kulʹtura Prosveshchenii︠a︡ / I︠U︡.M. Lotman ; [sostavlenie, podgotovka tekstov i kommentarii, L.O. Zaĭont︠s︡ and others].</t>
  </si>
  <si>
    <t>Moskva : Obʺedinennoe gumanitarnoe izd-vo, 1998.</t>
  </si>
  <si>
    <t>Sobranie sochineniĭ / I︠U︡.M. Lotman ; t. 1</t>
  </si>
  <si>
    <t>3857993082:rus</t>
  </si>
  <si>
    <t>41156694</t>
  </si>
  <si>
    <t>ocm41156694</t>
  </si>
  <si>
    <t>3102922686J</t>
  </si>
  <si>
    <t>9785900241371</t>
  </si>
  <si>
    <t>793585607</t>
  </si>
  <si>
    <t>PG3010.5 S4 C48 2016</t>
  </si>
  <si>
    <t>0                      PG 3010500S  4                  C  48          2016</t>
  </si>
  <si>
    <t>Chuvstvitelʹnostʹ v literature, iskusstve, kulʹture kont︠s︡a XVIII-XIX veka : k 250-letii︠u︡ N.M. Karamzina, k 250-letii︠u︡ V.L. Pushkina : po materialam mezhdunarodnoĭ nauchnoĭ konferent︠s︡ii 25-27 apreli︠a︡ 2016 goda / redakt︠s︡ionnai︠a︡ kollegii︠a︡ N.I. Mikhailova (predsedatelʹ) [and four others].</t>
  </si>
  <si>
    <t>Moskva : Institut mirovoĭ literatury im. A.M. Gorʹkogo RAN : Gosudarstvennyĭ muzeĭ A.S. Pushkina, 2016.</t>
  </si>
  <si>
    <t>4489173213:rus</t>
  </si>
  <si>
    <t>974941271</t>
  </si>
  <si>
    <t>ocn974941271</t>
  </si>
  <si>
    <t>3103760653L</t>
  </si>
  <si>
    <t>9785920805089</t>
  </si>
  <si>
    <t>795029918</t>
  </si>
  <si>
    <t>PG3011 A477 2005</t>
  </si>
  <si>
    <t>0                      PG 3011000A  477         2005</t>
  </si>
  <si>
    <t>Lekt︠s︡ii po filosofii literatury : pami︠a︡ti Meraba Mamardashvili / Grigoriĭ Amelin.</t>
  </si>
  <si>
    <t>Amelin, G. (Grigoriĭ)</t>
  </si>
  <si>
    <t>Moskva : I︠A︡zyki slavi︠a︡nskoĭ kulʹtury, 2005.</t>
  </si>
  <si>
    <t>5617122247:rus</t>
  </si>
  <si>
    <t>76787997</t>
  </si>
  <si>
    <t>ocm76787997</t>
  </si>
  <si>
    <t>31026868071</t>
  </si>
  <si>
    <t>9785955100838</t>
  </si>
  <si>
    <t>794176700</t>
  </si>
  <si>
    <t>PG3011 D6 1961</t>
  </si>
  <si>
    <t>0                      PG 3011000D  6           1961</t>
  </si>
  <si>
    <t>Sobranie sochineniǐ. Pod obshcheĭ redakt︠s︡ieĭ B.I. Bursova i dr.</t>
  </si>
  <si>
    <t>v. 1</t>
  </si>
  <si>
    <t>Dobroli︠u︡bov, N. A. (Nikolaĭ Aleksandrovich), 1836-1861.</t>
  </si>
  <si>
    <t>Leningrad : Gos. izd-vo khudozh. lit-ry [Leningradskoe otd-nie], 1961-64.</t>
  </si>
  <si>
    <t>2018-01-16</t>
  </si>
  <si>
    <t>1812819105:rus</t>
  </si>
  <si>
    <t>61590834</t>
  </si>
  <si>
    <t>ocm61590834</t>
  </si>
  <si>
    <t>31004134828</t>
  </si>
  <si>
    <t>794029800</t>
  </si>
  <si>
    <t>v. 7</t>
  </si>
  <si>
    <t>31002138931</t>
  </si>
  <si>
    <t>794029794</t>
  </si>
  <si>
    <t>v. 2</t>
  </si>
  <si>
    <t>31004134836</t>
  </si>
  <si>
    <t>794029799</t>
  </si>
  <si>
    <t>v. 6</t>
  </si>
  <si>
    <t>31002138923</t>
  </si>
  <si>
    <t>794029795</t>
  </si>
  <si>
    <t>v. 9</t>
  </si>
  <si>
    <t>3100213895Y</t>
  </si>
  <si>
    <t>794029792</t>
  </si>
  <si>
    <t>v. 3</t>
  </si>
  <si>
    <t>31004134844</t>
  </si>
  <si>
    <t>794029798</t>
  </si>
  <si>
    <t>v. 5</t>
  </si>
  <si>
    <t>31002138915</t>
  </si>
  <si>
    <t>794029796</t>
  </si>
  <si>
    <t>v. 8</t>
  </si>
  <si>
    <t>3100213894$</t>
  </si>
  <si>
    <t>794029793</t>
  </si>
  <si>
    <t>v. 4</t>
  </si>
  <si>
    <t>31004134852</t>
  </si>
  <si>
    <t>794029797</t>
  </si>
  <si>
    <t>PG3011 E34 1986</t>
  </si>
  <si>
    <t>0                      PG 3011000E  34          1986</t>
  </si>
  <si>
    <t>O proze, o poėzii : sbornik stateĭ / B. Ėĭkhenbaum.</t>
  </si>
  <si>
    <t>Ėĭkhenbaum, B. (Boris), 1886-1959.</t>
  </si>
  <si>
    <t>Leningrad : "Khudozh. lit-ra, " Leningradskoe otd-nie, 1986.</t>
  </si>
  <si>
    <t>2016-07-28</t>
  </si>
  <si>
    <t>10033028749:rus</t>
  </si>
  <si>
    <t>15630057</t>
  </si>
  <si>
    <t>ocm15630057</t>
  </si>
  <si>
    <t>30004783705</t>
  </si>
  <si>
    <t>792937545</t>
  </si>
  <si>
    <t>PG3011 E67 2006</t>
  </si>
  <si>
    <t>0                      PG 3011000E  67          2006</t>
  </si>
  <si>
    <t>Slovo i molchanie : metafizika russkoĭ literatury / M.N. Ėpshteĭn.</t>
  </si>
  <si>
    <t>Epstein, Mikhail.</t>
  </si>
  <si>
    <t>Moskva : Vysshai︠a︡ shkola, 2006.</t>
  </si>
  <si>
    <t>3859130440:rus</t>
  </si>
  <si>
    <t>74896775</t>
  </si>
  <si>
    <t>ocm74896775</t>
  </si>
  <si>
    <t>3102820433C</t>
  </si>
  <si>
    <t>9785060052206</t>
  </si>
  <si>
    <t>794173817</t>
  </si>
  <si>
    <t>PG3011 F4 1973b</t>
  </si>
  <si>
    <t>0                      PG 3011000F  4           1973b</t>
  </si>
  <si>
    <t>Nineteenth century Russian literature; studies of ten Russian writers. Edited by John Fennell.</t>
  </si>
  <si>
    <t>Berkeley, University of California Press, 1973.</t>
  </si>
  <si>
    <t>2015-01-06</t>
  </si>
  <si>
    <t>501348:eng</t>
  </si>
  <si>
    <t>702855</t>
  </si>
  <si>
    <t>ocm00702855</t>
  </si>
  <si>
    <t>30006138072</t>
  </si>
  <si>
    <t>9780520023505</t>
  </si>
  <si>
    <t>791450130</t>
  </si>
  <si>
    <t>PG3011 I785 1989</t>
  </si>
  <si>
    <t>0                      PG 3011000I  785         1989</t>
  </si>
  <si>
    <t>Issues in Russian literature before 1917 : selected papers of the Third World Congress for Soviet and East European Studies / edited by J. Douglas Clayton.</t>
  </si>
  <si>
    <t>Columbus, Ohio : Slavica Publishers, ©1989.</t>
  </si>
  <si>
    <t>2015-07-13</t>
  </si>
  <si>
    <t>351862296:eng</t>
  </si>
  <si>
    <t>21082408</t>
  </si>
  <si>
    <t>ocm21082408</t>
  </si>
  <si>
    <t>3101016491C</t>
  </si>
  <si>
    <t>9780893571993</t>
  </si>
  <si>
    <t>793108881</t>
  </si>
  <si>
    <t>PG3011 K38 2010</t>
  </si>
  <si>
    <t>0                      PG 3011000K  38          2010</t>
  </si>
  <si>
    <t>Zasluga Pushkina : o literatorakh i literature / M.N. Katkov ; [sostavlenie, podgotovka teksta, kommentarii, ukazatelʹ imen A.N. Nikoli︠u︡kina i T.F. Prokopova].</t>
  </si>
  <si>
    <t>Katkov, M. N. (Mikhail Nikiforovich), 1818-1887.</t>
  </si>
  <si>
    <t>Sankt-Peterburg : Rostok, 2010.</t>
  </si>
  <si>
    <t>Sobranie sochineniĭ v shesti tomakh / M.N. Katkov ; t. 1</t>
  </si>
  <si>
    <t>1060563899:rus</t>
  </si>
  <si>
    <t>670280761</t>
  </si>
  <si>
    <t>ocn670280761</t>
  </si>
  <si>
    <t>3103340485F</t>
  </si>
  <si>
    <t>794847577</t>
  </si>
  <si>
    <t>PG3011 L27 2011</t>
  </si>
  <si>
    <t>0                      PG 3011000L  27          2011</t>
  </si>
  <si>
    <t>Libertinage in Russian culture and literature : a bio-history of sexualities at the threshold of modernity / by Alexei Lalo.</t>
  </si>
  <si>
    <t>Lalo, Alexei.</t>
  </si>
  <si>
    <t>Leiden ; Boston : Brill, 2011.</t>
  </si>
  <si>
    <t>Russian history and culture, 1877-7791 ; v. 8</t>
  </si>
  <si>
    <t>959429922:eng</t>
  </si>
  <si>
    <t>743298779</t>
  </si>
  <si>
    <t>ocn743298779</t>
  </si>
  <si>
    <t>3103405060P</t>
  </si>
  <si>
    <t>9789004211193</t>
  </si>
  <si>
    <t>794885658</t>
  </si>
  <si>
    <t>PG3011 N42 1997</t>
  </si>
  <si>
    <t>0                      PG 3011000N  42          1997</t>
  </si>
  <si>
    <t>Russkiĭ sot︠s︡ialʹno-universalʹnyĭ roman XIX veka : stanovlenie i zhanrovai︠a︡ ėvoli︠u︡t︠s︡ii︠a︡ / V.A. Nedzvet︠s︡kiĭ.</t>
  </si>
  <si>
    <t>Nedzvet︠s︡kiĭ, V. A.</t>
  </si>
  <si>
    <t>Moskva : "Dialog-MGU", 1997.</t>
  </si>
  <si>
    <t>2015-11-16</t>
  </si>
  <si>
    <t>44848666:rus</t>
  </si>
  <si>
    <t>37598495</t>
  </si>
  <si>
    <t>ocm37598495</t>
  </si>
  <si>
    <t>31018112430</t>
  </si>
  <si>
    <t>9785892090384</t>
  </si>
  <si>
    <t>793502508</t>
  </si>
  <si>
    <t>PG3011 N43 2010</t>
  </si>
  <si>
    <t>0                      PG 3011000N  43          2010</t>
  </si>
  <si>
    <t>Russkai︠a︡ literatura XIX veka, 1840-1860-e gody / V.A. Nedzvet︠s︡kiĭ, E. I︠U︡. Poltavet︠s︡.</t>
  </si>
  <si>
    <t>Moskva : Izd-vo Moskovskogo universiteta, 2010.</t>
  </si>
  <si>
    <t>Universitetskie kursy lekt︠s︡iĭ</t>
  </si>
  <si>
    <t>3860798787:rus</t>
  </si>
  <si>
    <t>608631779</t>
  </si>
  <si>
    <t>ocn608631779</t>
  </si>
  <si>
    <t>3103283887E</t>
  </si>
  <si>
    <t>9785211057036</t>
  </si>
  <si>
    <t>794819635</t>
  </si>
  <si>
    <t>PG3011 O75 2011</t>
  </si>
  <si>
    <t>0                      PG 3011000O  75          2011</t>
  </si>
  <si>
    <t>Ot Kibirova do Pushkina : sbornik v chestʹ 60-letii︠a︡ N.A. Bogomolova / [sostaviteli: A. Lavrov, O.A. Lekmanov].</t>
  </si>
  <si>
    <t>Moskva : Novoe literaturnoe obozrenie, 2011.</t>
  </si>
  <si>
    <t>Novoe literaturnoe obozrenie, nauchnoe prilozhenie ; vyp. 92</t>
  </si>
  <si>
    <t>5224676266:rus</t>
  </si>
  <si>
    <t>706966580</t>
  </si>
  <si>
    <t>ocn706966580</t>
  </si>
  <si>
    <t>3103393433P</t>
  </si>
  <si>
    <t>9785867938406</t>
  </si>
  <si>
    <t>794867323</t>
  </si>
  <si>
    <t>PG3011 S85 2015</t>
  </si>
  <si>
    <t>0                      PG 3011000S  85          2015</t>
  </si>
  <si>
    <t>Ot... i do... : ėti︠u︡dy o russkoĭ slovesnosti / Igorʹ Sukhikh.</t>
  </si>
  <si>
    <t>Sukhikh, I. N., author.</t>
  </si>
  <si>
    <t>Sankt-Peterburg : Rodnik, 2015.</t>
  </si>
  <si>
    <t>2875674965:rus</t>
  </si>
  <si>
    <t>934426659</t>
  </si>
  <si>
    <t>ocn934426659</t>
  </si>
  <si>
    <t>3103659376Q</t>
  </si>
  <si>
    <t>9785990525139</t>
  </si>
  <si>
    <t>795009555</t>
  </si>
  <si>
    <t>PG3011 T447 2000</t>
  </si>
  <si>
    <t>0                      PG 3011000T  447         2000</t>
  </si>
  <si>
    <t>Imperial knowledge : Russian literature and colonialism / Ewa M. Thompson.</t>
  </si>
  <si>
    <t>Thompson, Ewa M. (Ewa Majewska), 1937-</t>
  </si>
  <si>
    <t>Westport, Conn. : Greenwood Press, 2000.</t>
  </si>
  <si>
    <t>Contributions to the study of world literature, 0738-9345 ; no. 99</t>
  </si>
  <si>
    <t>2018-11-24</t>
  </si>
  <si>
    <t>2633336:eng</t>
  </si>
  <si>
    <t>42296618</t>
  </si>
  <si>
    <t>ocm42296618</t>
  </si>
  <si>
    <t>3102922821P</t>
  </si>
  <si>
    <t>9780313313110</t>
  </si>
  <si>
    <t>793604863</t>
  </si>
  <si>
    <t>PG3011 T564 2011</t>
  </si>
  <si>
    <t>0                      PG 3011000T  564         2011</t>
  </si>
  <si>
    <t>Rossii︠a︡ i Germanii︠a︡ : filosofskiĭ diskurs v russkoĭ literature XIX-XX vekov / G.A. Time.</t>
  </si>
  <si>
    <t>Time, G. A., author.</t>
  </si>
  <si>
    <t>Sankt-Peterburg : Nestor-Istorii︠a︡, 2011.</t>
  </si>
  <si>
    <t>961089250:rus</t>
  </si>
  <si>
    <t>743393804</t>
  </si>
  <si>
    <t>ocn743393804</t>
  </si>
  <si>
    <t>3103410179Z</t>
  </si>
  <si>
    <t>9785981876554</t>
  </si>
  <si>
    <t>794885745</t>
  </si>
  <si>
    <t>PG3011 T97 2016</t>
  </si>
  <si>
    <t>0                      PG 3011000T  97          2016</t>
  </si>
  <si>
    <t>Proza russkogo modernizma : (1890-1920-e gg.) / E.V. Tyryshkina.</t>
  </si>
  <si>
    <t>Tyryshkina, E. V., author.</t>
  </si>
  <si>
    <t>Novosibirsk : Novosibirskiĭ gosudarstvennyĭ pedagogicheskiĭ universitet, 2016.</t>
  </si>
  <si>
    <t>9415374494:rus</t>
  </si>
  <si>
    <t>958391152</t>
  </si>
  <si>
    <t>ocn958391152</t>
  </si>
  <si>
    <t>3103699150S</t>
  </si>
  <si>
    <t>9785000239599</t>
  </si>
  <si>
    <t>795021767</t>
  </si>
  <si>
    <t>PG3011 V5224 2012</t>
  </si>
  <si>
    <t>0                      PG 3011000V  5224        2012</t>
  </si>
  <si>
    <t>Otkrytai︠a︡ peredacha : sbornik stateĭ / Igorʹ Vladimirov.</t>
  </si>
  <si>
    <t>Vladimirov, I.</t>
  </si>
  <si>
    <t>Moskva : Nash dom, 2012.</t>
  </si>
  <si>
    <t>1118409924:rus</t>
  </si>
  <si>
    <t>794820020</t>
  </si>
  <si>
    <t>ocn794820020</t>
  </si>
  <si>
    <t>3103478326E</t>
  </si>
  <si>
    <t>9785891360242</t>
  </si>
  <si>
    <t>794920550</t>
  </si>
  <si>
    <t>PG3011 Z465 2014</t>
  </si>
  <si>
    <t>0                      PG 3011000Z  465         2014</t>
  </si>
  <si>
    <t>Poėtika za chaĭnym stolom i drugie razbory / Aleksandr Zholkovskiĭ.</t>
  </si>
  <si>
    <t>Moskva : Novoe literaturnoe obozrenie, 2014.</t>
  </si>
  <si>
    <t>2220886346:rus</t>
  </si>
  <si>
    <t>891712989</t>
  </si>
  <si>
    <t>ocn891712989</t>
  </si>
  <si>
    <t>3103586042G</t>
  </si>
  <si>
    <t>9785444801895</t>
  </si>
  <si>
    <t>794980421</t>
  </si>
  <si>
    <t>PG3012 C493</t>
  </si>
  <si>
    <t>0                      PG 3012000C  493</t>
  </si>
  <si>
    <t>Conformity's children : an approach to the superfluous man in Russian literature / Ellen B. Chances.</t>
  </si>
  <si>
    <t>Chances, Ellen B.</t>
  </si>
  <si>
    <t>Columbus, Ohio : Slavica Publishers, 1978.</t>
  </si>
  <si>
    <t>2013-11-22</t>
  </si>
  <si>
    <t>2019-12-09</t>
  </si>
  <si>
    <t>367263245:eng</t>
  </si>
  <si>
    <t>5053507</t>
  </si>
  <si>
    <t>ocm05053507</t>
  </si>
  <si>
    <t>31030017509</t>
  </si>
  <si>
    <t>792404340</t>
  </si>
  <si>
    <t>3000444837L</t>
  </si>
  <si>
    <t>792404341</t>
  </si>
  <si>
    <t>PG3012 F73 2010</t>
  </si>
  <si>
    <t>0                      PG 3012000F  73          2010</t>
  </si>
  <si>
    <t>Between religion and rationality : essays in Russian literature and culture / Joseph Frank.</t>
  </si>
  <si>
    <t>Frank, Joseph, 1918-2013.</t>
  </si>
  <si>
    <t>Princeton, N.J. : Princeton University Press, ©2010.</t>
  </si>
  <si>
    <t>2019-01-11</t>
  </si>
  <si>
    <t>796557611:eng</t>
  </si>
  <si>
    <t>458738496</t>
  </si>
  <si>
    <t>ocn458738496</t>
  </si>
  <si>
    <t>3103240737M</t>
  </si>
  <si>
    <t>9780691142562</t>
  </si>
  <si>
    <t>794790600</t>
  </si>
  <si>
    <t>PG3012 H5</t>
  </si>
  <si>
    <t>0                      PG 3012000H  5</t>
  </si>
  <si>
    <t>Russian writers and society, 1825-1904.</t>
  </si>
  <si>
    <t>Hingley, Ronald.</t>
  </si>
  <si>
    <t>New York, McGraw-Hill [1967]</t>
  </si>
  <si>
    <t>World university library</t>
  </si>
  <si>
    <t>2015-11-30</t>
  </si>
  <si>
    <t>1455751:eng</t>
  </si>
  <si>
    <t>410909</t>
  </si>
  <si>
    <t>ocm00410909</t>
  </si>
  <si>
    <t>3103643950J</t>
  </si>
  <si>
    <t>791370190</t>
  </si>
  <si>
    <t>2010-11-29</t>
  </si>
  <si>
    <t>3102679520$</t>
  </si>
  <si>
    <t>791370188</t>
  </si>
  <si>
    <t>2012-03-08</t>
  </si>
  <si>
    <t>3102679479T</t>
  </si>
  <si>
    <t>791370189</t>
  </si>
  <si>
    <t>PG3012 I44 1990</t>
  </si>
  <si>
    <t>0                      PG 3012000I  44          1990</t>
  </si>
  <si>
    <t>Ideology in Russian literature / edited by Richard Freeborn and Jane Grayson.</t>
  </si>
  <si>
    <t>London : Macmillan in association with the School of Slavonic and East European Studies, University of London, 1990.</t>
  </si>
  <si>
    <t>Studies in Russian and East Europe</t>
  </si>
  <si>
    <t>2019-03-18</t>
  </si>
  <si>
    <t>351733117:eng</t>
  </si>
  <si>
    <t>19518998</t>
  </si>
  <si>
    <t>ocm19518998</t>
  </si>
  <si>
    <t>3102129997I</t>
  </si>
  <si>
    <t>9780333491270</t>
  </si>
  <si>
    <t>793060892</t>
  </si>
  <si>
    <t>PG3012 N3 1981</t>
  </si>
  <si>
    <t>0                      PG 3012000N  3           1981</t>
  </si>
  <si>
    <t>Lectures on Russian literature / Vladimir Nabokov ; edited, with an introduction, by Fredson Bowers.</t>
  </si>
  <si>
    <t>Nabokov, Vladimir Vladimirovich, 1899-1977.</t>
  </si>
  <si>
    <t>New York : Harcourt Brace Jovanovich/Bruccoli Clark, ©1981.</t>
  </si>
  <si>
    <t>A Harvest book</t>
  </si>
  <si>
    <t>2012-03-09</t>
  </si>
  <si>
    <t>4663607556:eng</t>
  </si>
  <si>
    <t>7737668</t>
  </si>
  <si>
    <t>ocm07737668</t>
  </si>
  <si>
    <t>3103146403J</t>
  </si>
  <si>
    <t>9780151495993</t>
  </si>
  <si>
    <t>792576846</t>
  </si>
  <si>
    <t>31036224397</t>
  </si>
  <si>
    <t>792576845</t>
  </si>
  <si>
    <t>PG3012 N317 2010</t>
  </si>
  <si>
    <t>0                      PG 3012000N  317         2010</t>
  </si>
  <si>
    <t>Lekt︠s︡ii po russkoĭ literature / Vladimir Nabokov ; per. s angl. S. Antonova, E. Golyshevŏi, G. Dashevskogo i dr.</t>
  </si>
  <si>
    <t>Sankt-Peterburg : Izdatelʹskai︠a︡ Gruppa "Azbuka-klassika", 2010.</t>
  </si>
  <si>
    <t>2011-07-14</t>
  </si>
  <si>
    <t>4663607556:rus</t>
  </si>
  <si>
    <t>703427859</t>
  </si>
  <si>
    <t>ocn703427859</t>
  </si>
  <si>
    <t>31033407876</t>
  </si>
  <si>
    <t>9785998506895</t>
  </si>
  <si>
    <t>794864893</t>
  </si>
  <si>
    <t>PG3012 R6</t>
  </si>
  <si>
    <t>0                      PG 3012000R  6</t>
  </si>
  <si>
    <t>Essays in Russian literature : the conservative view: Leontiev, Rozanov, Shestov / Selected, edited, translated and with an introd. by Spencer E. Roberts.</t>
  </si>
  <si>
    <t>Athens : Ohio University Press, 1968.</t>
  </si>
  <si>
    <t>2015-01-21</t>
  </si>
  <si>
    <t>53972146:eng</t>
  </si>
  <si>
    <t>441080</t>
  </si>
  <si>
    <t>ocm00441080</t>
  </si>
  <si>
    <t>3102922825P</t>
  </si>
  <si>
    <t>791379437</t>
  </si>
  <si>
    <t>PG3012 R87 2014</t>
  </si>
  <si>
    <t>0                      PG 3012000R  87          2014</t>
  </si>
  <si>
    <t>Russia's golden age / editor, Rachel Stauffer, Ferrum College, Southwestern Virginia.</t>
  </si>
  <si>
    <t>Ipswich, Massachusetts : Salem Press, a division of EBSCO Information Services, Inc. ; Amenia, NY : Grey House Publishing, [2014]</t>
  </si>
  <si>
    <t>Critical insights</t>
  </si>
  <si>
    <t>1872501675:eng</t>
  </si>
  <si>
    <t>867860519</t>
  </si>
  <si>
    <t>ocn867860519</t>
  </si>
  <si>
    <t>3103532750Y</t>
  </si>
  <si>
    <t>9781619252226</t>
  </si>
  <si>
    <t>794964206</t>
  </si>
  <si>
    <t>PG3012 S55x</t>
  </si>
  <si>
    <t>0                      PG 3012000S  55x</t>
  </si>
  <si>
    <t>From Chekhov to the revolution; Russian literature, 1900-1917 [by] Marc Slonim.</t>
  </si>
  <si>
    <t>Slonim, Marc, 1894-1976.</t>
  </si>
  <si>
    <t>New York, Oxford University Press, 1962.</t>
  </si>
  <si>
    <t>A Galaxy book, GB92</t>
  </si>
  <si>
    <t>2019-01-09</t>
  </si>
  <si>
    <t>2019-09-13</t>
  </si>
  <si>
    <t>1294170:eng</t>
  </si>
  <si>
    <t>170210</t>
  </si>
  <si>
    <t>ocm00170210</t>
  </si>
  <si>
    <t>3102794465Z</t>
  </si>
  <si>
    <t>9780195007046</t>
  </si>
  <si>
    <t>791279759</t>
  </si>
  <si>
    <t>3102922794E</t>
  </si>
  <si>
    <t>791279757</t>
  </si>
  <si>
    <t>2011-11-12</t>
  </si>
  <si>
    <t>3102815115A</t>
  </si>
  <si>
    <t>791279758</t>
  </si>
  <si>
    <t>PG3015.5 A73 R87 1994</t>
  </si>
  <si>
    <t>0                      PG 3015500A  73                 R  87          1994</t>
  </si>
  <si>
    <t>Russian narrative &amp; visual art : varieties of seeing / edited by Roger Anderson and Paul Debreczeny.</t>
  </si>
  <si>
    <t>Gainesville : University Press of Florida, ©1994.</t>
  </si>
  <si>
    <t>2019-09-23</t>
  </si>
  <si>
    <t>800025931:eng</t>
  </si>
  <si>
    <t>28929121</t>
  </si>
  <si>
    <t>ocm28929121</t>
  </si>
  <si>
    <t>31027690675</t>
  </si>
  <si>
    <t>9780813012551</t>
  </si>
  <si>
    <t>793299746</t>
  </si>
  <si>
    <t>PG3015.5 C3 L39 1994</t>
  </si>
  <si>
    <t>0                      PG 3015500C  3                  L  39          1994</t>
  </si>
  <si>
    <t>Russian literature and empire : conquest of the Caucasus from Pushkin to Tolstoy / Susan Layton.</t>
  </si>
  <si>
    <t>Layton, Susan.</t>
  </si>
  <si>
    <t>Cambridge ; New York, NY : Cambridge University Press, 1994.</t>
  </si>
  <si>
    <t>2019-09-11</t>
  </si>
  <si>
    <t>908046:eng</t>
  </si>
  <si>
    <t>29594985</t>
  </si>
  <si>
    <t>ocm29594985</t>
  </si>
  <si>
    <t>3101456111X</t>
  </si>
  <si>
    <t>9780521444439</t>
  </si>
  <si>
    <t>793315465</t>
  </si>
  <si>
    <t>PG3015.5 C55 W34 1990</t>
  </si>
  <si>
    <t>0                      PG 3015500C  55                 W  34          1990</t>
  </si>
  <si>
    <t>The battle for childhood : creation of a Russian myth / Andrew Baruch Wachtel.</t>
  </si>
  <si>
    <t>Stanford, Calif. : Stanford University Press, 1990.</t>
  </si>
  <si>
    <t>432928563:eng</t>
  </si>
  <si>
    <t>20671158</t>
  </si>
  <si>
    <t>ocm20671158</t>
  </si>
  <si>
    <t>3102922850J</t>
  </si>
  <si>
    <t>9780804717953</t>
  </si>
  <si>
    <t>793094942</t>
  </si>
  <si>
    <t>PG3015.5 D47 C66 2001</t>
  </si>
  <si>
    <t>0                      PG 3015500D  47                 C  66          2001</t>
  </si>
  <si>
    <t>The intimate stranger : meetings with the devil in nineteenth-century Russian literature / Julian W. Connolly.</t>
  </si>
  <si>
    <t>Connolly, Julian W.</t>
  </si>
  <si>
    <t>New York : Peter Lang, ©2001.</t>
  </si>
  <si>
    <t>Middlebury studies in Russian language and literature ; v. 26</t>
  </si>
  <si>
    <t>890914845:eng</t>
  </si>
  <si>
    <t>45446276</t>
  </si>
  <si>
    <t>ocm45446276</t>
  </si>
  <si>
    <t>3102922880D</t>
  </si>
  <si>
    <t>9780820455167</t>
  </si>
  <si>
    <t>793671768</t>
  </si>
  <si>
    <t>PG3015.5 F67 C67 2013</t>
  </si>
  <si>
    <t>0                      PG 3015500F  67                 C  67          2013</t>
  </si>
  <si>
    <t>Heart-pine Russia : walking and writing the nineteenth-century forest / Jane T. Costlow.</t>
  </si>
  <si>
    <t>Costlow, Jane T. (Jane Tussey), 1955-</t>
  </si>
  <si>
    <t>2015-12-11</t>
  </si>
  <si>
    <t>1110234744:eng</t>
  </si>
  <si>
    <t>793973901</t>
  </si>
  <si>
    <t>ocn793973901</t>
  </si>
  <si>
    <t>31034682998</t>
  </si>
  <si>
    <t>9780801450594</t>
  </si>
  <si>
    <t>794918903</t>
  </si>
  <si>
    <t>PG3015.5 G67 G684 1999</t>
  </si>
  <si>
    <t>0                      PG 3015500G  67                 G  684         1999</t>
  </si>
  <si>
    <t>The Gothic-fantastic in nineteenth-century Russian literature / edited by Neil Cornwell.</t>
  </si>
  <si>
    <t>Amsterdam ; Atlanta, GA. : Rodopi, 1999.</t>
  </si>
  <si>
    <t>Studies in slavic literature and poetics ; v. 33</t>
  </si>
  <si>
    <t>2019-01-21</t>
  </si>
  <si>
    <t>45201084:eng</t>
  </si>
  <si>
    <t>41243460</t>
  </si>
  <si>
    <t>ocm41243460</t>
  </si>
  <si>
    <t>3102529843H</t>
  </si>
  <si>
    <t>9789042006157</t>
  </si>
  <si>
    <t>793587407</t>
  </si>
  <si>
    <t>PG3015.5 H34 Z7 1988</t>
  </si>
  <si>
    <t>0                      PG 3015500H  34                 Z  7           1988</t>
  </si>
  <si>
    <t>Hagiography and modern Russian literature / Margaret Ziolkowski.</t>
  </si>
  <si>
    <t>Ziolkowski, Margaret, 1952-</t>
  </si>
  <si>
    <t>Princeton, N.J. : Princeton University Press, ©1988.</t>
  </si>
  <si>
    <t>2015-01-05</t>
  </si>
  <si>
    <t>15494344:eng</t>
  </si>
  <si>
    <t>17506652</t>
  </si>
  <si>
    <t>ocm17506652</t>
  </si>
  <si>
    <t>3102922871F</t>
  </si>
  <si>
    <t>9780691067377</t>
  </si>
  <si>
    <t>792993472</t>
  </si>
  <si>
    <t>PG3015.5 J49 L58 2010</t>
  </si>
  <si>
    <t>0                      PG 3015500J  49                 L  58          2010</t>
  </si>
  <si>
    <t>The Jewish persona in the European imagination : a case of Russian literature / Leonid Livak.</t>
  </si>
  <si>
    <t>Livak, Leonid.</t>
  </si>
  <si>
    <t>Stanford, Calif. : Stanford University Press, ©2010.</t>
  </si>
  <si>
    <t>795883519:eng</t>
  </si>
  <si>
    <t>555650391</t>
  </si>
  <si>
    <t>ocn555650391</t>
  </si>
  <si>
    <t>3103228015P</t>
  </si>
  <si>
    <t>9780804770552</t>
  </si>
  <si>
    <t>794812094</t>
  </si>
  <si>
    <t>PG3015.5 L68 S67 2009</t>
  </si>
  <si>
    <t>0                      PG 3015500L  68                 S  67          2009</t>
  </si>
  <si>
    <t>Febris erotica : lovesickness in the Russian literary imagination / Valeria Sobol.</t>
  </si>
  <si>
    <t>Sobol, Valeria.</t>
  </si>
  <si>
    <t>Seattle : University of Washington Press, ©2009.</t>
  </si>
  <si>
    <t>Literary conjugations</t>
  </si>
  <si>
    <t>917362875:eng</t>
  </si>
  <si>
    <t>268797394</t>
  </si>
  <si>
    <t>ocn268797394</t>
  </si>
  <si>
    <t>31031556316</t>
  </si>
  <si>
    <t>9780295988955</t>
  </si>
  <si>
    <t>794408679</t>
  </si>
  <si>
    <t>PG3015.5 N34 C66 2010</t>
  </si>
  <si>
    <t>0                      PG 3015500N  34                 C  66          2010</t>
  </si>
  <si>
    <t>Creating the nation : identity and aesthetics in early nineteenth-century Russia and Bohemia / David L. Cooper.</t>
  </si>
  <si>
    <t>Cooper, David L., 1970-</t>
  </si>
  <si>
    <t>DeKalb : Northern Illinois University Press, 2010.</t>
  </si>
  <si>
    <t>796327643:eng</t>
  </si>
  <si>
    <t>497574289</t>
  </si>
  <si>
    <t>ocn497574289</t>
  </si>
  <si>
    <t>3103240546Q</t>
  </si>
  <si>
    <t>9780875804200</t>
  </si>
  <si>
    <t>794803004</t>
  </si>
  <si>
    <t>PG3015.5 N46 C46 1988</t>
  </si>
  <si>
    <t>0                      PG 3015500N  46                 C  46          1988</t>
  </si>
  <si>
    <t>The revolution of moral consciousness : Nietzsche in Russian literature, 1890-1914 / Edith W. Clowes.</t>
  </si>
  <si>
    <t>Clowes, Edith W.</t>
  </si>
  <si>
    <t>DeKalb, Ill. : Northern Illinois University Press, 1988.</t>
  </si>
  <si>
    <t>2015-08-19</t>
  </si>
  <si>
    <t>16227405:eng</t>
  </si>
  <si>
    <t>17649084</t>
  </si>
  <si>
    <t>ocm17649084</t>
  </si>
  <si>
    <t>3102922851J</t>
  </si>
  <si>
    <t>9780875801391</t>
  </si>
  <si>
    <t>792998553</t>
  </si>
  <si>
    <t>PG3015.5 N66 K54 2012</t>
  </si>
  <si>
    <t>0                      PG 3015500N  66                 K  54          2012</t>
  </si>
  <si>
    <t>A nation astray : nomadism and national identity in Russian literature / Ingrid Kleespies.</t>
  </si>
  <si>
    <t>Kleespies, Ingrid.</t>
  </si>
  <si>
    <t>DeKalb, IL : NIU Press, [2012]</t>
  </si>
  <si>
    <t>2015-05-22</t>
  </si>
  <si>
    <t>1178311570:eng</t>
  </si>
  <si>
    <t>788267879</t>
  </si>
  <si>
    <t>ocn788267879</t>
  </si>
  <si>
    <t>3103468191B</t>
  </si>
  <si>
    <t>9780875804613</t>
  </si>
  <si>
    <t>794916274</t>
  </si>
  <si>
    <t>PG3015.5 O33 L45 1994</t>
  </si>
  <si>
    <t>0                      PG 3015500O  33                 L  45          1994</t>
  </si>
  <si>
    <t>The esoteric tradition in Russian romantic literature : Decembrism and Freemasonry / Lauren G. Leighton.</t>
  </si>
  <si>
    <t>Leighton, Lauren G.</t>
  </si>
  <si>
    <t>University Park, Pa. : Pennsylvania State University Press, 1994.</t>
  </si>
  <si>
    <t>2018-04-09</t>
  </si>
  <si>
    <t>30740591:eng</t>
  </si>
  <si>
    <t>28181836</t>
  </si>
  <si>
    <t>ocm28181836</t>
  </si>
  <si>
    <t>3102922792E</t>
  </si>
  <si>
    <t>9780271010243</t>
  </si>
  <si>
    <t>793281871</t>
  </si>
  <si>
    <t>PG3015.5 P27 A37 2002</t>
  </si>
  <si>
    <t>0                      PG 3015500P  27                 A  37          2002</t>
  </si>
  <si>
    <t>Against the grain : parody, satire, and intertextuality in Russian literature / edited by Janet G. Tucker.</t>
  </si>
  <si>
    <t>1037327:eng</t>
  </si>
  <si>
    <t>50606443</t>
  </si>
  <si>
    <t>ocm50606443</t>
  </si>
  <si>
    <t>3103079002A</t>
  </si>
  <si>
    <t>9780893573058</t>
  </si>
  <si>
    <t>793768721</t>
  </si>
  <si>
    <t>PG3015.5 R4 A4</t>
  </si>
  <si>
    <t>0                      PG 3015500R  4                  A  4</t>
  </si>
  <si>
    <t>Problemy realizma russkoĭ literatury XIX veka / [pod redakt︠s︡ieĭ B.I. Bursova, I.Z. Sermana].</t>
  </si>
  <si>
    <t>Leningrad : Izd-vo Akademii nauk SSSR, 1961.</t>
  </si>
  <si>
    <t>2016-08-22</t>
  </si>
  <si>
    <t>8909846634:rus</t>
  </si>
  <si>
    <t>504026</t>
  </si>
  <si>
    <t>ocm00504026</t>
  </si>
  <si>
    <t>3102922827P</t>
  </si>
  <si>
    <t>791396524</t>
  </si>
  <si>
    <t>PG3015.5 R4 A5 1980</t>
  </si>
  <si>
    <t>0                      PG 3015500R  4                  A  5           1980</t>
  </si>
  <si>
    <t>Writers and society during the rise of Russian realism / Joe Andrew.</t>
  </si>
  <si>
    <t>Andrew, Joe.</t>
  </si>
  <si>
    <t>Atlantic Highlands, N.J. : Humanities Press, ©1980.</t>
  </si>
  <si>
    <t>458979:eng</t>
  </si>
  <si>
    <t>5564501</t>
  </si>
  <si>
    <t>ocm05564501</t>
  </si>
  <si>
    <t>3102922832N</t>
  </si>
  <si>
    <t>9780333236093</t>
  </si>
  <si>
    <t>792439081</t>
  </si>
  <si>
    <t>PG3015.5 R4 G56 1987</t>
  </si>
  <si>
    <t>0                      PG 3015500R  4                  G  56          1987</t>
  </si>
  <si>
    <t>Literatura v poiskakh realʹnosti : statʹi, ėsse, zametki / Lidii︠a︡ Ginzburg.</t>
  </si>
  <si>
    <t>Ginzburg, Lidii︠a︡, 1902-1990.</t>
  </si>
  <si>
    <t>Moskva : Sov. pisatelʹ, Leningradskoe otd-nie, 1987.</t>
  </si>
  <si>
    <t>10032452761:rus</t>
  </si>
  <si>
    <t>17550470</t>
  </si>
  <si>
    <t>ocm17550470</t>
  </si>
  <si>
    <t>3102922874F</t>
  </si>
  <si>
    <t>792995357</t>
  </si>
  <si>
    <t>PG3015.5 R4 P7 1969</t>
  </si>
  <si>
    <t>0                      PG 3015500R  4                  P  7           1969</t>
  </si>
  <si>
    <t>Problemy tipologii russkogo realizma / [pod redakt︠s︡ieĭ N.L. Stepanova i U.R. Fokhta].</t>
  </si>
  <si>
    <t>Moskva : Izd-vo "Nauka", 1969.</t>
  </si>
  <si>
    <t>5611291803:rus</t>
  </si>
  <si>
    <t>2570411</t>
  </si>
  <si>
    <t>ocm02570411</t>
  </si>
  <si>
    <t>3102922858J</t>
  </si>
  <si>
    <t>792144756</t>
  </si>
  <si>
    <t>PG3015.5 R4 T84</t>
  </si>
  <si>
    <t>0                      PG 3015500R  4                  T  84</t>
  </si>
  <si>
    <t>Stanovlenie realizma v russkoĭ literature; russkiĭ fiziologicheskiĭ ocherk.</t>
  </si>
  <si>
    <t>T︠S︡eĭtlin, A. G. (Aleksandr Grigorʹevich), 1901-1962.</t>
  </si>
  <si>
    <t>Moskva, Nauka, 1965.</t>
  </si>
  <si>
    <t>502822025:rus</t>
  </si>
  <si>
    <t>4369475</t>
  </si>
  <si>
    <t>ocm04369475</t>
  </si>
  <si>
    <t>3102922873F</t>
  </si>
  <si>
    <t>792344440</t>
  </si>
  <si>
    <t>PG3015.5 R4 V58 1985</t>
  </si>
  <si>
    <t>0                      PG 3015500R  4                  V  58          1985</t>
  </si>
  <si>
    <t>Voprosy istorizma i realizma v russkoĭ literature XIX--nachala XX veka / [redakt︠s︡ionnai︠a︡ kollegii︠a︡ P.V. Kuprii︠a︡novskiĭ, G.P. Makogonenko (otv. red.) and others].</t>
  </si>
  <si>
    <t>Leningrad : Izd-vo Leningradskogo universiteta, 1985.</t>
  </si>
  <si>
    <t>3855521899:rus</t>
  </si>
  <si>
    <t>14818508</t>
  </si>
  <si>
    <t>ocm14818508</t>
  </si>
  <si>
    <t>3102922872F</t>
  </si>
  <si>
    <t>792908355</t>
  </si>
  <si>
    <t>PG3015.5 R6 A54 1993</t>
  </si>
  <si>
    <t>0                      PG 3015500R  6                  A  54          1993</t>
  </si>
  <si>
    <t>Narrative and desire in Russian literature, 1822-49 : the feminine and the masculine / Joe Andrew.</t>
  </si>
  <si>
    <t>Houndmills, Basingstoke : Macmillan, ©1993.</t>
  </si>
  <si>
    <t>29497825:eng</t>
  </si>
  <si>
    <t>28300029</t>
  </si>
  <si>
    <t>ocm28300029</t>
  </si>
  <si>
    <t>3102922862H</t>
  </si>
  <si>
    <t>9780333521229</t>
  </si>
  <si>
    <t>793284898</t>
  </si>
  <si>
    <t>PG3015.5 R6 B64 1996</t>
  </si>
  <si>
    <t>0                      PG 3015500R  6                  B  64          1996</t>
  </si>
  <si>
    <t>The North in Russian romantic literature / Otto Boele.</t>
  </si>
  <si>
    <t>Boele, Otto.</t>
  </si>
  <si>
    <t>Amsterdam ; Atlanta, GA : Rodopi, 1996.</t>
  </si>
  <si>
    <t>Studies in Slavic literature and poetics ; v. 26</t>
  </si>
  <si>
    <t>40214763:eng</t>
  </si>
  <si>
    <t>34829029</t>
  </si>
  <si>
    <t>ocm34829029</t>
  </si>
  <si>
    <t>3102922847L</t>
  </si>
  <si>
    <t>9789051839944</t>
  </si>
  <si>
    <t>793436771</t>
  </si>
  <si>
    <t>PG3015.5 R6 F73 2007</t>
  </si>
  <si>
    <t>0                      PG 3015500R  6                  F  73          2007</t>
  </si>
  <si>
    <t>Romantic encounters : writers, readers, and the Library for Reading / Melissa Frazier.</t>
  </si>
  <si>
    <t>Frazier, Melissa, 1965-</t>
  </si>
  <si>
    <t>Stanford, Calif. : Stanford University Press, 2007.</t>
  </si>
  <si>
    <t>2018-10-11</t>
  </si>
  <si>
    <t>66089030:eng</t>
  </si>
  <si>
    <t>81252664</t>
  </si>
  <si>
    <t>ocm81252664</t>
  </si>
  <si>
    <t>31033688544</t>
  </si>
  <si>
    <t>9780804755177</t>
  </si>
  <si>
    <t>794202907</t>
  </si>
  <si>
    <t>PG3015.5 R6 L4</t>
  </si>
  <si>
    <t>0                      PG 3015500R  6                  L  4</t>
  </si>
  <si>
    <t>Russian romanticism : two essays / by Lauren G. Leighton.</t>
  </si>
  <si>
    <t>The Hague : Mouton, 1975.</t>
  </si>
  <si>
    <t>Slavistic printings and reprintings ; 291</t>
  </si>
  <si>
    <t>3396265:eng</t>
  </si>
  <si>
    <t>3073527</t>
  </si>
  <si>
    <t>ocm03073527</t>
  </si>
  <si>
    <t>3102922886D</t>
  </si>
  <si>
    <t>9789027934918</t>
  </si>
  <si>
    <t>792213958</t>
  </si>
  <si>
    <t>PG3015.5 S6 A5</t>
  </si>
  <si>
    <t>0                      PG 3015500S  6                  A  5</t>
  </si>
  <si>
    <t>Russian writers and society in the second half of the nineteenth century / Joe Andrew.</t>
  </si>
  <si>
    <t>London : Macmillan, 1982.</t>
  </si>
  <si>
    <t>26010888:eng</t>
  </si>
  <si>
    <t>8248070</t>
  </si>
  <si>
    <t>ocm08248070</t>
  </si>
  <si>
    <t>3102922918O</t>
  </si>
  <si>
    <t>9780333259115</t>
  </si>
  <si>
    <t>792607855</t>
  </si>
  <si>
    <t>PG3015.5 S6 L5</t>
  </si>
  <si>
    <t>0                      PG 3015500S  6                  L  5</t>
  </si>
  <si>
    <t>Literature and society in imperial Russia, 1800-1914 / edited by William Mills Todd III ; contributors, Robert L. Belknap [and others].</t>
  </si>
  <si>
    <t>Stanford, Calif. : Stanford University Press, 1978.</t>
  </si>
  <si>
    <t>14538172:eng</t>
  </si>
  <si>
    <t>4219547</t>
  </si>
  <si>
    <t>ocm04219547</t>
  </si>
  <si>
    <t>3102922922M</t>
  </si>
  <si>
    <t>9780804709613</t>
  </si>
  <si>
    <t>792332093</t>
  </si>
  <si>
    <t>PG3015.5 S9 H3617 1999</t>
  </si>
  <si>
    <t>0                      PG 3015500S  9                  H  3617        1999</t>
  </si>
  <si>
    <t>Russkiĭ simvolizm : sistema poėticheskikh motivov / Age A. Khanzen-Lëve ; [perevod: M.I︠U︡. Nekrasova].</t>
  </si>
  <si>
    <t>Hansen-Löve, Aage Ansgar.</t>
  </si>
  <si>
    <t>Sankt-Peterburg : Akademicheskiĭ proekt, 1999-</t>
  </si>
  <si>
    <t>Sovremennai︠a︡ zapadnai︠a︡ rusistika</t>
  </si>
  <si>
    <t>2018-06-20</t>
  </si>
  <si>
    <t>9438593848:rus</t>
  </si>
  <si>
    <t>54800816</t>
  </si>
  <si>
    <t>ocm54800816</t>
  </si>
  <si>
    <t>3103483478G</t>
  </si>
  <si>
    <t>9785733100173</t>
  </si>
  <si>
    <t>793868108</t>
  </si>
  <si>
    <t>PG3015.5 S9 H45 1995</t>
  </si>
  <si>
    <t>0                      PG 3015500S  9                  H  45          1995</t>
  </si>
  <si>
    <t>Poets of hope and despair : the Russian symbolists in war and revolution (1914-1918) / Ben Hellman.</t>
  </si>
  <si>
    <t>Hellman, Ben, 1949-</t>
  </si>
  <si>
    <t>Helsinki : Institute for Russian and East European Studies, 1995.</t>
  </si>
  <si>
    <t>2016-09-25</t>
  </si>
  <si>
    <t>204541598:eng</t>
  </si>
  <si>
    <t>34697061</t>
  </si>
  <si>
    <t>ocm34697061</t>
  </si>
  <si>
    <t>3102922888D</t>
  </si>
  <si>
    <t>9789517070744</t>
  </si>
  <si>
    <t>793433531</t>
  </si>
  <si>
    <t>PG3015.5 S9 P95 1994</t>
  </si>
  <si>
    <t>0                      PG 3015500S  9                  P  95          1994</t>
  </si>
  <si>
    <t>A history of Russian symbolism / Avril Pyman.</t>
  </si>
  <si>
    <t>Pyman, Avril.</t>
  </si>
  <si>
    <t>Cambridge [England] ; New York : Cambridge University Press, 1994.</t>
  </si>
  <si>
    <t>2016-12-06</t>
  </si>
  <si>
    <t>6500860:eng</t>
  </si>
  <si>
    <t>28722021</t>
  </si>
  <si>
    <t>ocm28722021</t>
  </si>
  <si>
    <t>3102922883D</t>
  </si>
  <si>
    <t>9780521241984</t>
  </si>
  <si>
    <t>793294744</t>
  </si>
  <si>
    <t>PG3016 A56 2014</t>
  </si>
  <si>
    <t>0                      PG 3016000A  56          2014</t>
  </si>
  <si>
    <t>Ochishchenie proshlym : portrety russkikh pisateleĭ / Lev Anninskiĭ.</t>
  </si>
  <si>
    <t>Anninskiĭ, Lev, author.</t>
  </si>
  <si>
    <t>Moskva : Institut zhurnalistiki i literaturnogo tvorchestva, 2014.</t>
  </si>
  <si>
    <t>8913166580:rus</t>
  </si>
  <si>
    <t>871240905</t>
  </si>
  <si>
    <t>ocn871240905</t>
  </si>
  <si>
    <t>3103557238N</t>
  </si>
  <si>
    <t>9785990103870</t>
  </si>
  <si>
    <t>794967474</t>
  </si>
  <si>
    <t>PG3016 B38 2004</t>
  </si>
  <si>
    <t>0                      PG 3016000B  38          2004</t>
  </si>
  <si>
    <t>Moskovskiĭ plennik : statʹi, ėsse, proza / Pavel Basinskiĭ.</t>
  </si>
  <si>
    <t>Basinskiĭ, Pavel, 1961-</t>
  </si>
  <si>
    <t>Moskva : Izdatelʹskiĭ dom "Khroniker", 2004.</t>
  </si>
  <si>
    <t>Zri︠a︡chiĭ posokh</t>
  </si>
  <si>
    <t>2017-04-11</t>
  </si>
  <si>
    <t>476556081:rus</t>
  </si>
  <si>
    <t>57455524</t>
  </si>
  <si>
    <t>ocm57455524</t>
  </si>
  <si>
    <t>3102510632T</t>
  </si>
  <si>
    <t>9785901238226</t>
  </si>
  <si>
    <t>793913377</t>
  </si>
  <si>
    <t>PG3016 I936 2015</t>
  </si>
  <si>
    <t>0                      PG 3016000I  936         2015</t>
  </si>
  <si>
    <t>Feniks poet pered solnt︠s︡em / Natalʹi︠a︡ Ivanova.</t>
  </si>
  <si>
    <t>Ivanova, Natalʹi︠a︡, 1945- author.</t>
  </si>
  <si>
    <t>Moskva : Vremi︠a︡, 2015.</t>
  </si>
  <si>
    <t>2266763306:rus</t>
  </si>
  <si>
    <t>900161317</t>
  </si>
  <si>
    <t>ocn900161317</t>
  </si>
  <si>
    <t>3103200683Z</t>
  </si>
  <si>
    <t>9785969112865</t>
  </si>
  <si>
    <t>794987207</t>
  </si>
  <si>
    <t>PG3016 K64 2010</t>
  </si>
  <si>
    <t>0                      PG 3016000K  64          2010</t>
  </si>
  <si>
    <t>Prostodushnoe chtenie / Sergeĭ Kostyrko.</t>
  </si>
  <si>
    <t>Kostyrko, Sergeĭ.</t>
  </si>
  <si>
    <t>Dialog</t>
  </si>
  <si>
    <t>368283491:rus</t>
  </si>
  <si>
    <t>493998354</t>
  </si>
  <si>
    <t>ocn493998354</t>
  </si>
  <si>
    <t>3103410184X</t>
  </si>
  <si>
    <t>9785969104181</t>
  </si>
  <si>
    <t>794801360</t>
  </si>
  <si>
    <t>PG3016 L363 2001</t>
  </si>
  <si>
    <t>0                      PG 3016000L  363         2001</t>
  </si>
  <si>
    <t>Sovremennai︠a︡ russkai︠a︡ literatura : [novyĭ uchebnik po literature v 3-kh knigakh] / N.L. Leĭderman, M.N. Lipovet︠s︡kiĭ.</t>
  </si>
  <si>
    <t>kn.1</t>
  </si>
  <si>
    <t>Leĭderman, N. (Naum)</t>
  </si>
  <si>
    <t>Moskva : Editori︠a︡l URSS, 2001.</t>
  </si>
  <si>
    <t>2014-07-31</t>
  </si>
  <si>
    <t>2019-06-30</t>
  </si>
  <si>
    <t>38069816:rus</t>
  </si>
  <si>
    <t>48149105</t>
  </si>
  <si>
    <t>ocm48149105</t>
  </si>
  <si>
    <t>3102922943I</t>
  </si>
  <si>
    <t>9785836002008</t>
  </si>
  <si>
    <t>793717102</t>
  </si>
  <si>
    <t>kn.3</t>
  </si>
  <si>
    <t>3103017673G</t>
  </si>
  <si>
    <t>793717100</t>
  </si>
  <si>
    <t>kn.2</t>
  </si>
  <si>
    <t>3102922937K</t>
  </si>
  <si>
    <t>793717101</t>
  </si>
  <si>
    <t>PG3016 .L365 2010</t>
  </si>
  <si>
    <t>0                      PG 3016000L  365         2010</t>
  </si>
  <si>
    <t>Russkai︠a︡ literatura XX veka : 1950--1990-e gody : v dvukh tomakh / N.L. Leĭderman, M.N. Lipovet︠s︡kiĭ.</t>
  </si>
  <si>
    <t>Moskva : Izdatelʹskiĭ t︠s︡entr "Akademii︠a︡", 2010.</t>
  </si>
  <si>
    <t>5-e izd., ster.</t>
  </si>
  <si>
    <t>Vysshee professionalʹnoe obrazovanie</t>
  </si>
  <si>
    <t>4160860798:rus</t>
  </si>
  <si>
    <t>635861693</t>
  </si>
  <si>
    <t>ocn635861693</t>
  </si>
  <si>
    <t>B001573722</t>
  </si>
  <si>
    <t>9785769565823</t>
  </si>
  <si>
    <t>794825822</t>
  </si>
  <si>
    <t>PG3016 M56 1989</t>
  </si>
  <si>
    <t>0                      PG 3016000M  56          1989</t>
  </si>
  <si>
    <t>Uncollected writings on Russian literature / D.S. Mirsky ; edited, with an introduction and bibliography, by G.S. Smith.</t>
  </si>
  <si>
    <t>Berkeley : Berkeley Slavic Specialties, 1989.</t>
  </si>
  <si>
    <t>Modern Russian literature and culture, studies and texts ; v. 13</t>
  </si>
  <si>
    <t>2016-07-27</t>
  </si>
  <si>
    <t>294755702:eng</t>
  </si>
  <si>
    <t>19446858</t>
  </si>
  <si>
    <t>ocm19446858</t>
  </si>
  <si>
    <t>3102919094C</t>
  </si>
  <si>
    <t>9780933884687</t>
  </si>
  <si>
    <t>793058218</t>
  </si>
  <si>
    <t>PG3016 M67 2015</t>
  </si>
  <si>
    <t>0                      PG 3016000M  67          2015</t>
  </si>
  <si>
    <t>Golosa ischezai︠u︡t - muzyka ostaëtsi︠a︡ / Vladimir Moshchenko.</t>
  </si>
  <si>
    <t>Moshchenko, Vladimir, author.</t>
  </si>
  <si>
    <t>Moskva : RIPOL klassik, 2015.</t>
  </si>
  <si>
    <t>Novai︠a︡ klassika / Novum classic</t>
  </si>
  <si>
    <t>2608086523:rus</t>
  </si>
  <si>
    <t>919350857</t>
  </si>
  <si>
    <t>ocn919350857</t>
  </si>
  <si>
    <t>3103687517Q</t>
  </si>
  <si>
    <t>9785386084059</t>
  </si>
  <si>
    <t>795001790</t>
  </si>
  <si>
    <t>PG3016 P367 2011</t>
  </si>
  <si>
    <t>0                      PG 3016000P  367         2011</t>
  </si>
  <si>
    <t>Paraboly : Studies in Russian modernist literature and culture : In honor of John E. Malmstad / edited by Nikolay Bogomolov, Lazar Fleishman, Aleksandr Lavrov, and Fedor Poljakov.</t>
  </si>
  <si>
    <t>Frankfurt am Main : Peter Lang, ©2011.</t>
  </si>
  <si>
    <t>5619760040:eng</t>
  </si>
  <si>
    <t>768169105</t>
  </si>
  <si>
    <t>ocn768169105</t>
  </si>
  <si>
    <t>3103370306J</t>
  </si>
  <si>
    <t>9783631612774</t>
  </si>
  <si>
    <t>794902090</t>
  </si>
  <si>
    <t>PG3016 R872 2011</t>
  </si>
  <si>
    <t>0                      PG 3016000R  872         2011</t>
  </si>
  <si>
    <t>Russkai︠a︡ literatura na rubezhe XX-XXI vekov / [sostaviteli: E. Pogorelai︠a︡, I. Shaĭtanov].</t>
  </si>
  <si>
    <t>Moskva : Zhurnal "Voprosy literatury", 2011.</t>
  </si>
  <si>
    <t>Universitetskai︠a︡ biblioteka zhurnala "Voprosy literatury"</t>
  </si>
  <si>
    <t>1076975976:rus</t>
  </si>
  <si>
    <t>774871595</t>
  </si>
  <si>
    <t>ocn774871595</t>
  </si>
  <si>
    <t>3103586035I</t>
  </si>
  <si>
    <t>9785990102132</t>
  </si>
  <si>
    <t>794906871</t>
  </si>
  <si>
    <t>PG3016 S497 2012</t>
  </si>
  <si>
    <t>0                      PG 3016000S  497         2012</t>
  </si>
  <si>
    <t>Literatura Sodoma / Lev Shtuden.</t>
  </si>
  <si>
    <t>Shtuden, L. L. (Lev Leonidovich), author.</t>
  </si>
  <si>
    <t>Moskva : Novyĭ khronograf, 2012.</t>
  </si>
  <si>
    <t>1101556496:rus</t>
  </si>
  <si>
    <t>785986713</t>
  </si>
  <si>
    <t>ocn785986713</t>
  </si>
  <si>
    <t>3103198034T</t>
  </si>
  <si>
    <t>9785948811772</t>
  </si>
  <si>
    <t>794915733</t>
  </si>
  <si>
    <t>PG3016 S68 2011</t>
  </si>
  <si>
    <t>0                      PG 3016000S  68          2011</t>
  </si>
  <si>
    <t>Sovremennai︠a︡ russkai︠a︡ literatura kont︠s︡a XX - nachala XXI veka : uchebnoe posobie dli︠a︡ studentov uchrezhdeniĭ vysshego professionalʹnogo obrazovanii︠a︡ / pod redakt︠s︡ieĭ S.I. Timinoĭ.</t>
  </si>
  <si>
    <t>Moskva : Izdatelʹskiĭ t︠s︡entr Akademii︠a︡, 2011.</t>
  </si>
  <si>
    <t>1183170184:rus</t>
  </si>
  <si>
    <t>777013536</t>
  </si>
  <si>
    <t>ocn777013536</t>
  </si>
  <si>
    <t>31035857253</t>
  </si>
  <si>
    <t>9785769567803</t>
  </si>
  <si>
    <t>794908533</t>
  </si>
  <si>
    <t>PG3016 T67 1995</t>
  </si>
  <si>
    <t>0                      PG 3016000T  67          1995</t>
  </si>
  <si>
    <t>Mif, ritual, simvol, obraz : issledovanii︠a︡ v oblasti mifopoėticheskogo : izbrannoe / V.N. Toporov.</t>
  </si>
  <si>
    <t>Toporov, V. N.</t>
  </si>
  <si>
    <t>Moskva : Izdatelʹskai︠a︡ gruppa "Progress" : "Kulʹtura", ©1995.</t>
  </si>
  <si>
    <t>2015-12-04</t>
  </si>
  <si>
    <t>10032524051:rus</t>
  </si>
  <si>
    <t>32782392</t>
  </si>
  <si>
    <t>ocm32782392</t>
  </si>
  <si>
    <t>3102923016A</t>
  </si>
  <si>
    <t>9785010039424</t>
  </si>
  <si>
    <t>793394115</t>
  </si>
  <si>
    <t>PG3016 V35 2015</t>
  </si>
  <si>
    <t>0                      PG 3016000V  35          2015</t>
  </si>
  <si>
    <t>"Li︠u︡bovnoĭ liriki i︠a︡ nikogda ne znal ..." : serebri︠a︡nyĭ vek : Mandelʹshtam, Akhmatova, Gippius, Merezhkovskiĭ / Naum Vaĭman.</t>
  </si>
  <si>
    <t>Vaĭman, Naum, author.</t>
  </si>
  <si>
    <t>Moskva : Agraf, 2015.</t>
  </si>
  <si>
    <t>2875674671:rus</t>
  </si>
  <si>
    <t>934426603</t>
  </si>
  <si>
    <t>ocn934426603</t>
  </si>
  <si>
    <t>3103642177$</t>
  </si>
  <si>
    <t>9785778404731</t>
  </si>
  <si>
    <t>795009554</t>
  </si>
  <si>
    <t>PG3016 W67 1995</t>
  </si>
  <si>
    <t>0                      PG 3016000W  67          1995</t>
  </si>
  <si>
    <t>Twentieth-century Russian literature : selected papers from the Fifth World Congress of Central and East European Studies / edited by Karen L. Ryan and Barry P. Scherr.</t>
  </si>
  <si>
    <t>World Congress for Central and East European Studies (5th : 1995 : Warsaw, Poland)</t>
  </si>
  <si>
    <t>Houndmills, Basingstoke, Hampshire : Macmillan Press ; New York : St. Martin's Press, 2000.</t>
  </si>
  <si>
    <t>Selected papers from the Fifth World Congress of Central and East European Studies, Warsaw, 1995</t>
  </si>
  <si>
    <t>2016-03-02</t>
  </si>
  <si>
    <t>378224927:eng</t>
  </si>
  <si>
    <t>43561928</t>
  </si>
  <si>
    <t>ocm43561928</t>
  </si>
  <si>
    <t>3103013937V</t>
  </si>
  <si>
    <t>9780312234188</t>
  </si>
  <si>
    <t>793629582</t>
  </si>
  <si>
    <t>PG3017 C36 2011</t>
  </si>
  <si>
    <t>0                      PG 3017000C  36          2011</t>
  </si>
  <si>
    <t>The Cambridge companion to twentieth-century Russian literature / edited by Evgeny Dobrenko and Marina Balina.</t>
  </si>
  <si>
    <t>Cambridge ; New York : Cambridge University Press, 2011.</t>
  </si>
  <si>
    <t>Cambridge companions to topics</t>
  </si>
  <si>
    <t>659669544:eng</t>
  </si>
  <si>
    <t>670324889</t>
  </si>
  <si>
    <t>ocn670324889</t>
  </si>
  <si>
    <t>3103234178L</t>
  </si>
  <si>
    <t>9780521875356</t>
  </si>
  <si>
    <t>794847637</t>
  </si>
  <si>
    <t>PG3017 L35 1999</t>
  </si>
  <si>
    <t>0                      PG 3017000L  35          1999</t>
  </si>
  <si>
    <t>Voices of Russian literature : interviews with ten contemporary writers / Sally Laird.</t>
  </si>
  <si>
    <t>Laird, Sally.</t>
  </si>
  <si>
    <t>Oxford ; New York : Oxford University Press, 1999.</t>
  </si>
  <si>
    <t>800708542:eng</t>
  </si>
  <si>
    <t>40840154</t>
  </si>
  <si>
    <t>ocm40840154</t>
  </si>
  <si>
    <t>3102400485$</t>
  </si>
  <si>
    <t>9785867890520</t>
  </si>
  <si>
    <t>793577016</t>
  </si>
  <si>
    <t>PG3017 M6</t>
  </si>
  <si>
    <t>0                      PG 3017000M  6</t>
  </si>
  <si>
    <t>Twentieth-century Russian literature [by] Harry T. Moore and Albert Parry. With a pref. by Harry T. Moore.</t>
  </si>
  <si>
    <t>Moore, Harry T. (Harry Thornton), 1908-1981.</t>
  </si>
  <si>
    <t>Carbondale, Southern Illinois University Press [1974]</t>
  </si>
  <si>
    <t>Crosscurrents/modern critiques</t>
  </si>
  <si>
    <t>466940:eng</t>
  </si>
  <si>
    <t>984183</t>
  </si>
  <si>
    <t>ocm00984183</t>
  </si>
  <si>
    <t>31029231099</t>
  </si>
  <si>
    <t>9780809307036</t>
  </si>
  <si>
    <t>791518458</t>
  </si>
  <si>
    <t>2012-04-14</t>
  </si>
  <si>
    <t>31029231089</t>
  </si>
  <si>
    <t>791518459</t>
  </si>
  <si>
    <t>PG3017 R43 2017</t>
  </si>
  <si>
    <t>0                      PG 3017000R  43          2017</t>
  </si>
  <si>
    <t>Persisting in folly : Russian writers in search of wisdom, 1963-2013 / Oliver Ready.</t>
  </si>
  <si>
    <t>Ready, Oliver, 1976- author.</t>
  </si>
  <si>
    <t>Bern, Switzerland : Peter Lang, [2017]</t>
  </si>
  <si>
    <t>Russian transformations: literature, thought, culture, 1662-2545 ; volume 6</t>
  </si>
  <si>
    <t>4092788320:eng</t>
  </si>
  <si>
    <t>974700123</t>
  </si>
  <si>
    <t>ocn974700123</t>
  </si>
  <si>
    <t>3103671345S</t>
  </si>
  <si>
    <t>9783039119677</t>
  </si>
  <si>
    <t>795029784</t>
  </si>
  <si>
    <t>PG3018 .H57 1987</t>
  </si>
  <si>
    <t>0                      PG 3018000H  57          1987</t>
  </si>
  <si>
    <t>STANDING ORDER</t>
  </si>
  <si>
    <t>B000499004</t>
  </si>
  <si>
    <t>793029935</t>
  </si>
  <si>
    <t>PG3020.5 F34 E64 2017</t>
  </si>
  <si>
    <t>0                      PG 3020500F  34                 E  64          2017</t>
  </si>
  <si>
    <t>Alternative kinships : economy and family in Russian modernism / Jacob Emery.</t>
  </si>
  <si>
    <t>Emery, Jacob, 1977- author.</t>
  </si>
  <si>
    <t>DeKalb, IL : NIU Press, [2017]</t>
  </si>
  <si>
    <t>2017-09-22</t>
  </si>
  <si>
    <t>4486452340:eng</t>
  </si>
  <si>
    <t>974612416</t>
  </si>
  <si>
    <t>ocn974612416</t>
  </si>
  <si>
    <t>31037028338</t>
  </si>
  <si>
    <t>9780875807515</t>
  </si>
  <si>
    <t>795029676</t>
  </si>
  <si>
    <t>PG3020.5 F8 A15 2015</t>
  </si>
  <si>
    <t>0                      PG 3020500F  8                  A  15          2015</t>
  </si>
  <si>
    <t>1913 : slovo kakʺ takovoe : k i︠u︡bileĭnomu godu russkogo futurizma : materialy mezhdunarodnoĭ nauchnoĭ konferent︠s︡ii (Zheneva, 10-12 apreli︠a︡ 2013 g.) / Sostavlenie i nauchnai︠a︡ redakt︠s︡ii︠a︡ Zhan-Filippa Zhakkara i Annik Morar ; Redaktor Petr Kazarnovskiĭ.</t>
  </si>
  <si>
    <t>Sankt-Peterburg : Evropeĭskiĭ universitet v Sankt-Peterburge, 2015.</t>
  </si>
  <si>
    <t>2266633228:rus</t>
  </si>
  <si>
    <t>900161686</t>
  </si>
  <si>
    <t>ocn900161686</t>
  </si>
  <si>
    <t>3103639928P</t>
  </si>
  <si>
    <t>9785943801815</t>
  </si>
  <si>
    <t>794987209</t>
  </si>
  <si>
    <t>PG3020.5 F8 R6 1971</t>
  </si>
  <si>
    <t>0                      PG 3020500F  8                  R  6           1971</t>
  </si>
  <si>
    <t>Manifestes futuristes russes, choisis, traduits,</t>
  </si>
  <si>
    <t>Robel, Léon, compiler.</t>
  </si>
  <si>
    <t>Paris : Les Éditeurs français réunis, [1972, ©1971]</t>
  </si>
  <si>
    <t>5616563937:fre</t>
  </si>
  <si>
    <t>61590943</t>
  </si>
  <si>
    <t>ocm61590943</t>
  </si>
  <si>
    <t>30006138315</t>
  </si>
  <si>
    <t>794029939</t>
  </si>
  <si>
    <t>PG3020.5 F8 R87 1988</t>
  </si>
  <si>
    <t>0                      PG 3020500F  8                  R  87          1988</t>
  </si>
  <si>
    <t>Russian futurism through its manifestoes, 1912-1928 / volume editor, Anna Lawton ; texts translated and edited by Anna Lawton and Herbert Eagle ; with an introduction by Anna Lawton and an afterword by Herbert Eagle.</t>
  </si>
  <si>
    <t>Ithaca : Cornell University Press, 1988.</t>
  </si>
  <si>
    <t>351734603:eng</t>
  </si>
  <si>
    <t>17953039</t>
  </si>
  <si>
    <t>ocm17953039</t>
  </si>
  <si>
    <t>3103378779Z</t>
  </si>
  <si>
    <t>9780801494925</t>
  </si>
  <si>
    <t>793008417</t>
  </si>
  <si>
    <t>PG3020.5 F8 S55 1989</t>
  </si>
  <si>
    <t>0                      PG 3020500F  8                  S  55          1989</t>
  </si>
  <si>
    <t>Le futurisme russe / Agnès Sola.</t>
  </si>
  <si>
    <t>Sola, Agnès.</t>
  </si>
  <si>
    <t>Paris : Presses universitaires de France, ©1989.</t>
  </si>
  <si>
    <t>1re éd.</t>
  </si>
  <si>
    <t>Ecriture, 0222-1179</t>
  </si>
  <si>
    <t>365809893:fre</t>
  </si>
  <si>
    <t>22116814</t>
  </si>
  <si>
    <t>ocm22116814</t>
  </si>
  <si>
    <t>3100753035P</t>
  </si>
  <si>
    <t>9782130422815</t>
  </si>
  <si>
    <t>793134568</t>
  </si>
  <si>
    <t>PG3020.5 F8 W67 2005</t>
  </si>
  <si>
    <t>0                      PG 3020500F  8                  W  67          2005</t>
  </si>
  <si>
    <t>Words in revolution : Russian futurist manifestoes, 1912-1928 / volume editor, Anna Lawton ; texts translated and edited by Anna Lawton and Herbert Eagle ; with an introduction by Anna Lawton and an afterword by Herbert Eagle.</t>
  </si>
  <si>
    <t>Washington, D.C. : New Academia Publishing, 2005, ©2004.</t>
  </si>
  <si>
    <t>1st New Academia ed.</t>
  </si>
  <si>
    <t>2017-10-06</t>
  </si>
  <si>
    <t>836918740:eng</t>
  </si>
  <si>
    <t>74334656</t>
  </si>
  <si>
    <t>ocm74334656</t>
  </si>
  <si>
    <t>31026307624</t>
  </si>
  <si>
    <t>9780974493473</t>
  </si>
  <si>
    <t>794172277</t>
  </si>
  <si>
    <t>PG3020.5 F8 Z38 1991</t>
  </si>
  <si>
    <t>0                      PG 3020500F  8                  Z  38          1991</t>
  </si>
  <si>
    <t>[Zaumnyĭ futurizm i dadaizm v russkoĭ kulʹture / pod redakt︠s︡ieĭ Luidzhi Magarotto, Mart︠s︡io Mart︠s︡aduri, Daniely Rit︠s︡t︠s︡i].</t>
  </si>
  <si>
    <t>Bern ; New York : Peter Lang, ©1991.</t>
  </si>
  <si>
    <t>IRIS, ricerche di cultura europea = IRIS, Forschungen zur europäischen Kultur ; Bd. 2</t>
  </si>
  <si>
    <t>2015-08-21</t>
  </si>
  <si>
    <t>5611297729:rus</t>
  </si>
  <si>
    <t>26455351</t>
  </si>
  <si>
    <t>ocm26455351</t>
  </si>
  <si>
    <t>3101234210U</t>
  </si>
  <si>
    <t>9783261044129</t>
  </si>
  <si>
    <t>793245060</t>
  </si>
  <si>
    <t>PG3020.5 M6 F55:1999</t>
  </si>
  <si>
    <t>0                      PG 3020500M  6                                                       F55:1999</t>
  </si>
  <si>
    <t>Bergson and Russian modernism, 1900-1930 / Hilary L. Fink.</t>
  </si>
  <si>
    <t>Fink, Hilary L.</t>
  </si>
  <si>
    <t>Evanston, IL : Northwestern University Press, ©1999.</t>
  </si>
  <si>
    <t>41358535:eng</t>
  </si>
  <si>
    <t>39700764</t>
  </si>
  <si>
    <t>ocm39700764</t>
  </si>
  <si>
    <t>3102003463U</t>
  </si>
  <si>
    <t>9780810116108</t>
  </si>
  <si>
    <t>793551354</t>
  </si>
  <si>
    <t>PG3020.5 M6 R8</t>
  </si>
  <si>
    <t>0                      PG 3020500M  6                  R  8</t>
  </si>
  <si>
    <t>Russian Modernism : culture and the avant-garde, 1900-1930 / edited by George Gibian and H.W. Tjalsma.</t>
  </si>
  <si>
    <t>Ithaca, N.Y. : Cornell University Press, 1976.</t>
  </si>
  <si>
    <t>889298025:eng</t>
  </si>
  <si>
    <t>2285401</t>
  </si>
  <si>
    <t>ocm02285401</t>
  </si>
  <si>
    <t>3000422656A</t>
  </si>
  <si>
    <t>9780801408427</t>
  </si>
  <si>
    <t>792098054</t>
  </si>
  <si>
    <t>2003-12-23</t>
  </si>
  <si>
    <t>3000177888T</t>
  </si>
  <si>
    <t>792098055</t>
  </si>
  <si>
    <t>PG3020.5 M6 U76 2016</t>
  </si>
  <si>
    <t>0                      PG 3020500M  6                  U  76          2016</t>
  </si>
  <si>
    <t>Utopii︠a︡ i ėskhatologii︠a︡ v kulʹture russkogo modernizma / Sost. i otv. red.: O.A. Bogdanova.</t>
  </si>
  <si>
    <t>Moskva : "Indrik", 2016.</t>
  </si>
  <si>
    <t>"Vechnye" si︠u︡zhety i obrazy ; vyp. 3</t>
  </si>
  <si>
    <t>2017-09-15</t>
  </si>
  <si>
    <t>4138701901:rus</t>
  </si>
  <si>
    <t>982248664</t>
  </si>
  <si>
    <t>ocn982248664</t>
  </si>
  <si>
    <t>3103737213W</t>
  </si>
  <si>
    <t>9785916744002</t>
  </si>
  <si>
    <t>795034441</t>
  </si>
  <si>
    <t>PG3020.5 P436 R45 2018</t>
  </si>
  <si>
    <t>0                      PG 3020500P  436                R  45          2018</t>
  </si>
  <si>
    <t>Photographic literacy : cameras in the hands of Russian authors / Katherine M.H. Reischl.</t>
  </si>
  <si>
    <t>Reischl, Katherine M. H., author.</t>
  </si>
  <si>
    <t>Ithaca, New York : Cornell University Press, 2018.</t>
  </si>
  <si>
    <t>4824231327:eng</t>
  </si>
  <si>
    <t>1028904684</t>
  </si>
  <si>
    <t>on1028904684</t>
  </si>
  <si>
    <t>3103812814$</t>
  </si>
  <si>
    <t>9781501724367</t>
  </si>
  <si>
    <t>795053574</t>
  </si>
  <si>
    <t>PG3020.5 U54 R6 1976</t>
  </si>
  <si>
    <t>0                      PG 3020500U  54                 R  6           1976</t>
  </si>
  <si>
    <t>Three Russians consider America : America in the works of Maksim Gorʼkij, Aleksandr Blok, and Vladimir Majakovskij / by Charles Rougle.</t>
  </si>
  <si>
    <t>Rougle, Charles, 1946-</t>
  </si>
  <si>
    <t>Stockholm : Almqvist &amp; Wiksell international, 1976.</t>
  </si>
  <si>
    <t>Stockholm studies in Russian literature ; 8</t>
  </si>
  <si>
    <t>347374376:eng</t>
  </si>
  <si>
    <t>3590393</t>
  </si>
  <si>
    <t>ocm03590393</t>
  </si>
  <si>
    <t>3101811337S</t>
  </si>
  <si>
    <t>9789122000884</t>
  </si>
  <si>
    <t>792271031</t>
  </si>
  <si>
    <t>PG3021 B95 2013</t>
  </si>
  <si>
    <t>0                      PG 3021000B  95          2013</t>
  </si>
  <si>
    <t>Sovetskai︠a︡ literatura : kratkiĭ kurs / Dmitriĭ Bykov.</t>
  </si>
  <si>
    <t>Bykov, Dmitriĭ, 1967- author.</t>
  </si>
  <si>
    <t>Moskva : PROZAiK, 2013.</t>
  </si>
  <si>
    <t>1206101925:rus</t>
  </si>
  <si>
    <t>828035863</t>
  </si>
  <si>
    <t>ocn828035863</t>
  </si>
  <si>
    <t>31035242873</t>
  </si>
  <si>
    <t>9785916311822</t>
  </si>
  <si>
    <t>794940585</t>
  </si>
  <si>
    <t>PG3021 D6213 2001</t>
  </si>
  <si>
    <t>0                      PG 3021000D  6213        2001</t>
  </si>
  <si>
    <t>The making of the state writer : social and aesthetic origins of Soviet literary culture / Evgeny Dobrenko ; translated by Jesse M. Savage.</t>
  </si>
  <si>
    <t>Stanford, Calif. : Stanford University Press, 2001.</t>
  </si>
  <si>
    <t>2019-04-06</t>
  </si>
  <si>
    <t>145321376:eng</t>
  </si>
  <si>
    <t>46456280</t>
  </si>
  <si>
    <t>ocm46456280</t>
  </si>
  <si>
    <t>31029231323</t>
  </si>
  <si>
    <t>9780804733649</t>
  </si>
  <si>
    <t>793685183</t>
  </si>
  <si>
    <t>PG3021 G643</t>
  </si>
  <si>
    <t>0                      PG 3021000G  643</t>
  </si>
  <si>
    <t>On literature: selected articles. [Translated from the Russian].</t>
  </si>
  <si>
    <t>Gorky, Maksim, 1868-1936.</t>
  </si>
  <si>
    <t>Moscow, Foreign Languages Pub. House [196-?]</t>
  </si>
  <si>
    <t>Soviet literary criticism</t>
  </si>
  <si>
    <t>3755010371:eng</t>
  </si>
  <si>
    <t>4853704</t>
  </si>
  <si>
    <t>ocm04853704</t>
  </si>
  <si>
    <t>3102923186U</t>
  </si>
  <si>
    <t>792388548</t>
  </si>
  <si>
    <t>PG3021 L67 2010</t>
  </si>
  <si>
    <t>0                      PG 3021000L  67          2010</t>
  </si>
  <si>
    <t>Solzhenit︠s︡yn i Brodskiĭ kak sosedi / Lev Losev.</t>
  </si>
  <si>
    <t>Losev, Lev, 1937-2009, author.</t>
  </si>
  <si>
    <t>Sankt-Peterburg : Izdatelʹstvo Ivana Limbakha, 2010.</t>
  </si>
  <si>
    <t>3859760682:rus</t>
  </si>
  <si>
    <t>608631811</t>
  </si>
  <si>
    <t>ocn608631811</t>
  </si>
  <si>
    <t>3103284845I</t>
  </si>
  <si>
    <t>9785890591098</t>
  </si>
  <si>
    <t>794819636</t>
  </si>
  <si>
    <t>PG3021 S636 1983</t>
  </si>
  <si>
    <t>0                      PG 3021000S  636         1983</t>
  </si>
  <si>
    <t>Sovremennai︠a︡ sovetskai︠a︡ literatura : 70-e gody : aktualʹnye problemy / A.I. Metchenko [and others].</t>
  </si>
  <si>
    <t>Moskva : Izd-vo Moskovskogo universiteta, 1983.</t>
  </si>
  <si>
    <t>3856359804:rus</t>
  </si>
  <si>
    <t>9635463</t>
  </si>
  <si>
    <t>ocm09635463</t>
  </si>
  <si>
    <t>3102923073Z</t>
  </si>
  <si>
    <t>792685940</t>
  </si>
  <si>
    <t>PG3022 B68</t>
  </si>
  <si>
    <t>0                      PG 3022000B  68</t>
  </si>
  <si>
    <t>Soviet Russian literature since Stalin / Deming Brown.</t>
  </si>
  <si>
    <t>Brown, Deming, 1919-1999.</t>
  </si>
  <si>
    <t>Cambridge ; New York : Cambridge University Press, 1978.</t>
  </si>
  <si>
    <t>2014-11-17</t>
  </si>
  <si>
    <t>2016-10-31</t>
  </si>
  <si>
    <t>148123356:eng</t>
  </si>
  <si>
    <t>2876008</t>
  </si>
  <si>
    <t>ocm02876008</t>
  </si>
  <si>
    <t>3102923157$</t>
  </si>
  <si>
    <t>9780521216944</t>
  </si>
  <si>
    <t>792188110</t>
  </si>
  <si>
    <t>3102923162Y</t>
  </si>
  <si>
    <t>792188111</t>
  </si>
  <si>
    <t>PG3022 B7 1969</t>
  </si>
  <si>
    <t>0                      PG 3022000B  7           1969</t>
  </si>
  <si>
    <t>Russian literature since the Revolution [by] Edward J. Brown.</t>
  </si>
  <si>
    <t>Brown, Edward J. (Edward James), 1909-1991.</t>
  </si>
  <si>
    <t>New York] Collier Books [1969]</t>
  </si>
  <si>
    <t>[Rev. ed.</t>
  </si>
  <si>
    <t>Russian civilization series</t>
  </si>
  <si>
    <t>346007275:eng</t>
  </si>
  <si>
    <t>22733</t>
  </si>
  <si>
    <t>ocm00022733</t>
  </si>
  <si>
    <t>3102923152$</t>
  </si>
  <si>
    <t>9780020491101</t>
  </si>
  <si>
    <t>791231397</t>
  </si>
  <si>
    <t>PG3022 B7 1982</t>
  </si>
  <si>
    <t>0                      PG 3022000B  7           1982</t>
  </si>
  <si>
    <t>Russian literature since the Revolution / Edward J. Brown.</t>
  </si>
  <si>
    <t>Cambridge, Mass. : Harvard University Press, 1982.</t>
  </si>
  <si>
    <t>Rev. and enl. ed.</t>
  </si>
  <si>
    <t>8345466</t>
  </si>
  <si>
    <t>ocm08345466</t>
  </si>
  <si>
    <t>3102923158$</t>
  </si>
  <si>
    <t>9780674782037</t>
  </si>
  <si>
    <t>792614151</t>
  </si>
  <si>
    <t>3103578644W</t>
  </si>
  <si>
    <t>792614152</t>
  </si>
  <si>
    <t>PG3022 C6 2000</t>
  </si>
  <si>
    <t>0                      PG 3022000C  6           2000</t>
  </si>
  <si>
    <t>Bolshevik ideology and literature, 1917-1927 / Roger Cockrell.</t>
  </si>
  <si>
    <t>Cockrell, Roger.</t>
  </si>
  <si>
    <t>Lewiston, N.Y. : Edwin Mellen Press, ©2000.</t>
  </si>
  <si>
    <t>Studies in Slavic languages and literature ; v. 16</t>
  </si>
  <si>
    <t>9093584838:eng</t>
  </si>
  <si>
    <t>44046975</t>
  </si>
  <si>
    <t>ocm44046975</t>
  </si>
  <si>
    <t>3102923168Y</t>
  </si>
  <si>
    <t>9780773477094</t>
  </si>
  <si>
    <t>793641330</t>
  </si>
  <si>
    <t>PG3022 E52 2002</t>
  </si>
  <si>
    <t>0                      PG 3022000E  52          2002</t>
  </si>
  <si>
    <t>Enemies of the people : the destruction of Soviet literary, theater, and film arts in the 1930s / edited and with an introduction by Katherine Bliss Eaton.</t>
  </si>
  <si>
    <t>Evanston, Ill. : Northwestern University Press, 2002.</t>
  </si>
  <si>
    <t>2018-04-17</t>
  </si>
  <si>
    <t>837069991:eng</t>
  </si>
  <si>
    <t>47930772</t>
  </si>
  <si>
    <t>ocm47930772</t>
  </si>
  <si>
    <t>3102923173W</t>
  </si>
  <si>
    <t>9780810117693</t>
  </si>
  <si>
    <t>793711487</t>
  </si>
  <si>
    <t>PG3022 E74 1994</t>
  </si>
  <si>
    <t>0                      PG 3022000E  74          1994</t>
  </si>
  <si>
    <t>Modernism and revolution : Russian literature in transition / Victor Erlich.</t>
  </si>
  <si>
    <t>Erlich, Victor, 1914-2007.</t>
  </si>
  <si>
    <t>Cambridge, Mass. : Harvard University Press, 1994.</t>
  </si>
  <si>
    <t>199210277:eng</t>
  </si>
  <si>
    <t>28374780</t>
  </si>
  <si>
    <t>ocm28374780</t>
  </si>
  <si>
    <t>3102923178W</t>
  </si>
  <si>
    <t>9780674580701</t>
  </si>
  <si>
    <t>793286464</t>
  </si>
  <si>
    <t>3103687187L</t>
  </si>
  <si>
    <t>793286463</t>
  </si>
  <si>
    <t>PG3022 H3</t>
  </si>
  <si>
    <t>0                      PG 3022000H  3</t>
  </si>
  <si>
    <t>Literature and revolution in Soviet Russia, 1917-62, a symposium, edited by Max Hayward and Leopold Labedz.</t>
  </si>
  <si>
    <t>Hayward, Max, editor.</t>
  </si>
  <si>
    <t>London, New York, Oxford University Press, 1963.</t>
  </si>
  <si>
    <t>2015-03-15</t>
  </si>
  <si>
    <t>867255400:eng</t>
  </si>
  <si>
    <t>255994</t>
  </si>
  <si>
    <t>ocm00255994</t>
  </si>
  <si>
    <t>3102923194S</t>
  </si>
  <si>
    <t>791311822</t>
  </si>
  <si>
    <t>2001-04-24</t>
  </si>
  <si>
    <t>3102923188U</t>
  </si>
  <si>
    <t>791311823</t>
  </si>
  <si>
    <t>2012-06-08</t>
  </si>
  <si>
    <t>3102923193S</t>
  </si>
  <si>
    <t>791311821</t>
  </si>
  <si>
    <t>PG3022 H5 1979</t>
  </si>
  <si>
    <t>0                      PG 3022000H  5           1979</t>
  </si>
  <si>
    <t>Russian writers and Soviet society, 1917-1978 / Ronald Hingley.</t>
  </si>
  <si>
    <t>London : Weidenfeld and Nicolson, ©1979.</t>
  </si>
  <si>
    <t>2017-02-24</t>
  </si>
  <si>
    <t>4869446:eng</t>
  </si>
  <si>
    <t>5316266</t>
  </si>
  <si>
    <t>ocm05316266</t>
  </si>
  <si>
    <t>3102923179W</t>
  </si>
  <si>
    <t>9780297775966</t>
  </si>
  <si>
    <t>792424850</t>
  </si>
  <si>
    <t>30001795567</t>
  </si>
  <si>
    <t>792424851</t>
  </si>
  <si>
    <t>PG3022 L57 1986</t>
  </si>
  <si>
    <t>0                      PG 3022000L  57          1986</t>
  </si>
  <si>
    <t>Literature and history : theoretical problems and Russian case studies / edited by Gary Saul Morson.</t>
  </si>
  <si>
    <t>Stanford, Calif. : Stanford University Press, 1986.</t>
  </si>
  <si>
    <t>889577994:eng</t>
  </si>
  <si>
    <t>12947544</t>
  </si>
  <si>
    <t>ocm12947544</t>
  </si>
  <si>
    <t>3102912476W</t>
  </si>
  <si>
    <t>9780804713023</t>
  </si>
  <si>
    <t>792834290</t>
  </si>
  <si>
    <t>PG3022 M37 1992</t>
  </si>
  <si>
    <t>0                      PG 3022000M  37          1992</t>
  </si>
  <si>
    <t>Abolishing death : a salvation myth of Russian twentieth-century literature / Irene Masing-Delic.</t>
  </si>
  <si>
    <t>Masing-Delic, I. (Irene)</t>
  </si>
  <si>
    <t>Stanford, Calif. : Stanford University Press, 1992.</t>
  </si>
  <si>
    <t>2019-01-30</t>
  </si>
  <si>
    <t>363846533:eng</t>
  </si>
  <si>
    <t>25787305</t>
  </si>
  <si>
    <t>ocm25787305</t>
  </si>
  <si>
    <t>3102923164Y</t>
  </si>
  <si>
    <t>9780804719353</t>
  </si>
  <si>
    <t>793229843</t>
  </si>
  <si>
    <t>PG3022 R87 1999</t>
  </si>
  <si>
    <t>0                      PG 3022000R  87          1999</t>
  </si>
  <si>
    <t>Russian literature in transition / edited by Ian K. Lilly and Henrietta Mondry.</t>
  </si>
  <si>
    <t>Nottingham, England : Astra Press, 1999.</t>
  </si>
  <si>
    <t>350390749:eng</t>
  </si>
  <si>
    <t>42406782</t>
  </si>
  <si>
    <t>ocm42406782</t>
  </si>
  <si>
    <t>3102888357N</t>
  </si>
  <si>
    <t>9780946134557</t>
  </si>
  <si>
    <t>793606834</t>
  </si>
  <si>
    <t>PG3022 S5</t>
  </si>
  <si>
    <t>0                      PG 3022000S  5</t>
  </si>
  <si>
    <t>Through the glass of Soviet literature : views of Russian society / edited with an introduction by Ernest J. Simmons.</t>
  </si>
  <si>
    <t>Simmons, Ernest J. (Ernest Joseph), 1903-1972, editor.</t>
  </si>
  <si>
    <t>New York : Columbia University Press, 1953.</t>
  </si>
  <si>
    <t>Studies of the Russian Institute, Columbia University</t>
  </si>
  <si>
    <t>508888208:eng</t>
  </si>
  <si>
    <t>321982</t>
  </si>
  <si>
    <t>ocm00321982</t>
  </si>
  <si>
    <t>3102923165Y</t>
  </si>
  <si>
    <t>791336433</t>
  </si>
  <si>
    <t>PG3022 S54</t>
  </si>
  <si>
    <t>0                      PG 3022000S  54</t>
  </si>
  <si>
    <t>Soviet Russian literature; writers and problems.</t>
  </si>
  <si>
    <t>New York, Oxford University Press, 1964.</t>
  </si>
  <si>
    <t>2864133218:eng</t>
  </si>
  <si>
    <t>268794</t>
  </si>
  <si>
    <t>ocm00268794</t>
  </si>
  <si>
    <t>31029239994</t>
  </si>
  <si>
    <t>791317566</t>
  </si>
  <si>
    <t>31029239944</t>
  </si>
  <si>
    <t>791317568</t>
  </si>
  <si>
    <t>2011-03-04</t>
  </si>
  <si>
    <t>31029240008</t>
  </si>
  <si>
    <t>791317569</t>
  </si>
  <si>
    <t>3102923170W</t>
  </si>
  <si>
    <t>791317567</t>
  </si>
  <si>
    <t>31029240048</t>
  </si>
  <si>
    <t>791317571</t>
  </si>
  <si>
    <t>2006-02-15</t>
  </si>
  <si>
    <t>3102923180U</t>
  </si>
  <si>
    <t>791317565</t>
  </si>
  <si>
    <t>31029240058</t>
  </si>
  <si>
    <t>791317564</t>
  </si>
  <si>
    <t>3102923175W</t>
  </si>
  <si>
    <t>791317570</t>
  </si>
  <si>
    <t>PG3022 S82 1971</t>
  </si>
  <si>
    <t>0                      PG 3022000S  82          1971</t>
  </si>
  <si>
    <t>Russian literature under Lenin and Stalin, 1917-1953.</t>
  </si>
  <si>
    <t>Struve, Gleb.</t>
  </si>
  <si>
    <t>Norman, University of Oklahoma Press [1971]</t>
  </si>
  <si>
    <t>2017-03-29</t>
  </si>
  <si>
    <t>104327213:eng</t>
  </si>
  <si>
    <t>128350</t>
  </si>
  <si>
    <t>ocm00128350</t>
  </si>
  <si>
    <t>31029239708</t>
  </si>
  <si>
    <t>9780806109312</t>
  </si>
  <si>
    <t>791265599</t>
  </si>
  <si>
    <t>2013-02-06</t>
  </si>
  <si>
    <t>3102923965A</t>
  </si>
  <si>
    <t>791265598</t>
  </si>
  <si>
    <t>2006-02-02</t>
  </si>
  <si>
    <t>31029239758</t>
  </si>
  <si>
    <t>791265597</t>
  </si>
  <si>
    <t>PG3023 N58 1982</t>
  </si>
  <si>
    <t>0                      PG 3023000N  58          1982</t>
  </si>
  <si>
    <t>Vers la fin du mythe russe : essais sur la culture russe, de Gogol à nos jours / Georges Nivat.</t>
  </si>
  <si>
    <t>Nivat, Georges Michel, 1935-</t>
  </si>
  <si>
    <t>Lausanne : L'Age d'homme, [1982]</t>
  </si>
  <si>
    <t>Slavica</t>
  </si>
  <si>
    <t>2016-12-18</t>
  </si>
  <si>
    <t>22597795:fre</t>
  </si>
  <si>
    <t>9315583</t>
  </si>
  <si>
    <t>ocm09315583</t>
  </si>
  <si>
    <t>31029240018</t>
  </si>
  <si>
    <t>792669605</t>
  </si>
  <si>
    <t>PG3026 C64 T648 2000</t>
  </si>
  <si>
    <t>0                      PG 3026000C  64                 T  648         2000</t>
  </si>
  <si>
    <t>Return from the Archipelago : narratives of Gulag survivors / Leona Toker.</t>
  </si>
  <si>
    <t>Toker, Leona.</t>
  </si>
  <si>
    <t>Bloomington : Indiana University Press, ©2000.</t>
  </si>
  <si>
    <t>2016-04-08</t>
  </si>
  <si>
    <t>346261584:eng</t>
  </si>
  <si>
    <t>43884757</t>
  </si>
  <si>
    <t>ocm43884757</t>
  </si>
  <si>
    <t>3102810139Q</t>
  </si>
  <si>
    <t>9780253337870</t>
  </si>
  <si>
    <t>793637629</t>
  </si>
  <si>
    <t>PG3026 E95 A94 1983</t>
  </si>
  <si>
    <t>0                      PG 3026000E  95                 A  94          1983</t>
  </si>
  <si>
    <t>Border crossings : the West and Russian identity in Soviet literature, 1917-1934 / Carol Avins.</t>
  </si>
  <si>
    <t>Avins, Carol, author.</t>
  </si>
  <si>
    <t>Berkeley : University of California Press, ©1983.</t>
  </si>
  <si>
    <t>836681001:eng</t>
  </si>
  <si>
    <t>7978150</t>
  </si>
  <si>
    <t>ocm07978150</t>
  </si>
  <si>
    <t>31029869821</t>
  </si>
  <si>
    <t>9780520042339</t>
  </si>
  <si>
    <t>792591064</t>
  </si>
  <si>
    <t>PG3026 E98 S56 2017</t>
  </si>
  <si>
    <t>0                      PG 3026000E  98                 S  56          2017</t>
  </si>
  <si>
    <t>The sixth sense of the avant-garde : dance, kinaesthesia and the arts in revolutionary Russia / Irina Sirotkina and Roger Smith.</t>
  </si>
  <si>
    <t>Sirotkina, Irina, author.</t>
  </si>
  <si>
    <t>London ; New York, NY : Bloomsbury Methuen Drama, an imprint of Bloomsbury Publishing Plc, 2017.</t>
  </si>
  <si>
    <t>3494920550:eng</t>
  </si>
  <si>
    <t>953630548</t>
  </si>
  <si>
    <t>ocn953630548</t>
  </si>
  <si>
    <t>3103671324$</t>
  </si>
  <si>
    <t>9781350014312</t>
  </si>
  <si>
    <t>795018976</t>
  </si>
  <si>
    <t>PG3026 E98 S58 2014</t>
  </si>
  <si>
    <t>0                      PG 3026000E  98                 S  58          2014</t>
  </si>
  <si>
    <t>Russkiĭ literaturnyĭ avangard i psikhoanaliz v kontekste intellektualʹnoĭ kulʹtury Serebri︠a︡nogo veka : monografii︠a︡ / D.L. Shukurov.</t>
  </si>
  <si>
    <t>Shukurov, D. L. (Dmitriĭ Leonidovich), author.</t>
  </si>
  <si>
    <t>Moskva : I︠A︡zyki slavi︠a︡nskoĭ kulʹtury, 2014.</t>
  </si>
  <si>
    <t>2161785226:rus</t>
  </si>
  <si>
    <t>879321308</t>
  </si>
  <si>
    <t>ocn879321308</t>
  </si>
  <si>
    <t>3103200241I</t>
  </si>
  <si>
    <t>9785955107189</t>
  </si>
  <si>
    <t>794971912</t>
  </si>
  <si>
    <t>PG3026 F6 B6x</t>
  </si>
  <si>
    <t>0                      PG 3026000F  6                  B  6x</t>
  </si>
  <si>
    <t>Russian formalism: a collection of articles and texts in translation, edited by Stephen Bann and John E. Bowlt.</t>
  </si>
  <si>
    <t>Bann, Stephen, compiler.</t>
  </si>
  <si>
    <t>Edinburgh, Scottish Academic Press; London, distributed by Chatto and Windus, 1973.</t>
  </si>
  <si>
    <t>20th century studies</t>
  </si>
  <si>
    <t>2019-02-27</t>
  </si>
  <si>
    <t>889214679:eng</t>
  </si>
  <si>
    <t>3090834</t>
  </si>
  <si>
    <t>ocm03090834</t>
  </si>
  <si>
    <t>31029240382</t>
  </si>
  <si>
    <t>9780701119386</t>
  </si>
  <si>
    <t>792216393</t>
  </si>
  <si>
    <t>PG3026 F6 E66 2017</t>
  </si>
  <si>
    <t>0                      PG 3026000F  6                  E  66          2017</t>
  </si>
  <si>
    <t>Ėpokha "ostranenii︠a︡" : russkiĭ formalizm i sovremennoe gumanitarnoe znanie : [kollektivnai︠a︡ monografii︠a︡] / redaktory-sostaviteli I︠A︡. Levchenko, I. Pilʹshchikov.</t>
  </si>
  <si>
    <t>Moskva : Novoe literaturnoe obozrenie, 2017.</t>
  </si>
  <si>
    <t>Novoe literaturnoe obozrenie, nauchnoe prilozhenie ; vyp. CLXIV</t>
  </si>
  <si>
    <t>2019-09-25</t>
  </si>
  <si>
    <t>4403845044:rus</t>
  </si>
  <si>
    <t>987295206</t>
  </si>
  <si>
    <t>ocn987295206</t>
  </si>
  <si>
    <t>3103766496I</t>
  </si>
  <si>
    <t>9785444806296</t>
  </si>
  <si>
    <t>795035982</t>
  </si>
  <si>
    <t>PG3026 F6 E7 1969</t>
  </si>
  <si>
    <t>0                      PG 3026000F  6                  E  7           1969</t>
  </si>
  <si>
    <t>Russian formalism. History-doctrine.</t>
  </si>
  <si>
    <t>The Hague, Mouton, 1969.</t>
  </si>
  <si>
    <t>3d ed.</t>
  </si>
  <si>
    <t>Slavistic printings and reprintings, 4</t>
  </si>
  <si>
    <t>62587460:eng</t>
  </si>
  <si>
    <t>78374</t>
  </si>
  <si>
    <t>ocm00078374</t>
  </si>
  <si>
    <t>31029240430</t>
  </si>
  <si>
    <t>791248078</t>
  </si>
  <si>
    <t>2013-10-19</t>
  </si>
  <si>
    <t>31029240420</t>
  </si>
  <si>
    <t>791248077</t>
  </si>
  <si>
    <t>PG3026 F6 E7 1980</t>
  </si>
  <si>
    <t>0                      PG 3026000F  6                  E  7           1980</t>
  </si>
  <si>
    <t>Russian formalism : History-doctrine / by Victor Erlich.</t>
  </si>
  <si>
    <t>The Hague ; New York : Mouton, 1980, ©1955.</t>
  </si>
  <si>
    <t>Slavistic printings and reprintings ; 4</t>
  </si>
  <si>
    <t>2018-01-24</t>
  </si>
  <si>
    <t>6150074</t>
  </si>
  <si>
    <t>ocm06150074</t>
  </si>
  <si>
    <t>31029240470</t>
  </si>
  <si>
    <t>9789027904508</t>
  </si>
  <si>
    <t>792478598</t>
  </si>
  <si>
    <t>PG3026 F6 F6</t>
  </si>
  <si>
    <t>0                      PG 3026000F  6                  F  6</t>
  </si>
  <si>
    <t>Formalist theory / [edited and translated by L.M. O'Toole and Ann Shukman].</t>
  </si>
  <si>
    <t>Oxford : Holdan Books, 1977.</t>
  </si>
  <si>
    <t>Russian poetics in translation ; v. 4</t>
  </si>
  <si>
    <t>14690733:eng</t>
  </si>
  <si>
    <t>4422297</t>
  </si>
  <si>
    <t>ocm04422297</t>
  </si>
  <si>
    <t>31029240196</t>
  </si>
  <si>
    <t>792348804</t>
  </si>
  <si>
    <t>PG3026 F6 L48 2012</t>
  </si>
  <si>
    <t>0                      PG 3026000F  6                  L  48          2012</t>
  </si>
  <si>
    <t>Drugai︠a︡ nauka : Russkie formalisty v poiskakh biografii / I︠A︡n Levchenko</t>
  </si>
  <si>
    <t>Levchenko, Jan, author.</t>
  </si>
  <si>
    <t>Moskva : Izdatelʹskiĭ dom Vyssheĭ shkoly ėkonomiki, 2012.</t>
  </si>
  <si>
    <t>Serii︠a︡ Issledovanii︠a︡ kulʹtury</t>
  </si>
  <si>
    <t>1171941739:rus</t>
  </si>
  <si>
    <t>794175798</t>
  </si>
  <si>
    <t>ocn794175798</t>
  </si>
  <si>
    <t>31036317077</t>
  </si>
  <si>
    <t>9785759809340</t>
  </si>
  <si>
    <t>794919316</t>
  </si>
  <si>
    <t>PG3026 F6 P6x</t>
  </si>
  <si>
    <t>0                      PG 3026000F  6                  P  6x</t>
  </si>
  <si>
    <t>Russian formalist theory and its poetic ambiance.</t>
  </si>
  <si>
    <t>Pomorska, Krystyna.</t>
  </si>
  <si>
    <t>The Hague, Mouton, 1968.</t>
  </si>
  <si>
    <t>Slavistic printings and reprintings, 82</t>
  </si>
  <si>
    <t>1324647:eng</t>
  </si>
  <si>
    <t>181691</t>
  </si>
  <si>
    <t>ocm00181691</t>
  </si>
  <si>
    <t>31029240392</t>
  </si>
  <si>
    <t>791284557</t>
  </si>
  <si>
    <t>PG3026 F6 S7</t>
  </si>
  <si>
    <t>0                      PG 3026000F  6                  S  7</t>
  </si>
  <si>
    <t>Texte der russischen Formalisten. Mit einer einleitenden Abhandlung hrsg. von Jurij Striedter. Redaktion und Register: Witold Kośny.</t>
  </si>
  <si>
    <t>Bd. 1</t>
  </si>
  <si>
    <t>Striedter, Jurij, compiler.</t>
  </si>
  <si>
    <t>München, W. Fink [1969-72]</t>
  </si>
  <si>
    <t>Theorie und Geschichte der Literatur und der schönen Künste; Texte und Abhandlungen, Bd. 6</t>
  </si>
  <si>
    <t>2016-12-09</t>
  </si>
  <si>
    <t>2793724628:ger</t>
  </si>
  <si>
    <t>2032370</t>
  </si>
  <si>
    <t>ocm02032370</t>
  </si>
  <si>
    <t>3102924050Z</t>
  </si>
  <si>
    <t>792031797</t>
  </si>
  <si>
    <t>Bd. 2</t>
  </si>
  <si>
    <t>31029240450</t>
  </si>
  <si>
    <t>792031796</t>
  </si>
  <si>
    <t>PG3026 F6 T64</t>
  </si>
  <si>
    <t>0                      PG 3026000F  6                  T  64</t>
  </si>
  <si>
    <t>Théorie de la littérature. Textes des formalistes russes réunis, présentés et traduits par Tzvetan Todorov. Préface de Roman Jakobson.</t>
  </si>
  <si>
    <t>Todorov, Tzvetan, 1939-2017, compiler.</t>
  </si>
  <si>
    <t>Paris, Éditions du Seuil, 1966.</t>
  </si>
  <si>
    <t>Collection Tel quel</t>
  </si>
  <si>
    <t>2011-03-12</t>
  </si>
  <si>
    <t>2018-05-24</t>
  </si>
  <si>
    <t>2908436590:fre</t>
  </si>
  <si>
    <t>321116</t>
  </si>
  <si>
    <t>ocm00321116</t>
  </si>
  <si>
    <t>31029240204</t>
  </si>
  <si>
    <t>791336125</t>
  </si>
  <si>
    <t>31008097106</t>
  </si>
  <si>
    <t>791336126</t>
  </si>
  <si>
    <t>31029240254</t>
  </si>
  <si>
    <t>791336127</t>
  </si>
  <si>
    <t>2012-01-21</t>
  </si>
  <si>
    <t>31029240302</t>
  </si>
  <si>
    <t>791336124</t>
  </si>
  <si>
    <t>PG3026 F6 T64 2001</t>
  </si>
  <si>
    <t>0                      PG 3026000F  6                  T  64          2001</t>
  </si>
  <si>
    <t>Théorie de la littérature : textes des Formalistes russes / réunis, présentés et traduits par Tzvetan Todorov ; préface de Roman Jakobson.</t>
  </si>
  <si>
    <t>Paris : Seuil, 2001.</t>
  </si>
  <si>
    <t>Ed. revue et corrigée.</t>
  </si>
  <si>
    <t>Points . Essais ; 457</t>
  </si>
  <si>
    <t>2019-08-20</t>
  </si>
  <si>
    <t>47745211</t>
  </si>
  <si>
    <t>ocm47745211</t>
  </si>
  <si>
    <t>3103222780E</t>
  </si>
  <si>
    <t>9782020497497</t>
  </si>
  <si>
    <t>793706882</t>
  </si>
  <si>
    <t>PG3026 L3 S74 2002</t>
  </si>
  <si>
    <t>0                      PG 3026000L  3                  S  74          2002</t>
  </si>
  <si>
    <t>Proletarian imagination : self, modernity, and the sacred in Russia, 1910-1925 / Mark D. Steinberg.</t>
  </si>
  <si>
    <t>Steinberg, Mark D., 1953-</t>
  </si>
  <si>
    <t>Ithaca : Cornell University Press, 2002.</t>
  </si>
  <si>
    <t>Cornell paperbacks</t>
  </si>
  <si>
    <t>2017-06-21</t>
  </si>
  <si>
    <t>198131365:eng</t>
  </si>
  <si>
    <t>49284077</t>
  </si>
  <si>
    <t>ocm49284077</t>
  </si>
  <si>
    <t>3102924096R</t>
  </si>
  <si>
    <t>9780801440052</t>
  </si>
  <si>
    <t>793736670</t>
  </si>
  <si>
    <t>PG3026 M37 K34 2008</t>
  </si>
  <si>
    <t>0                      PG 3026000M  37                 K  34          2008</t>
  </si>
  <si>
    <t>How the Soviet man was unmade : cultural fantasy and male subjectivity under Stalin / Lilya Kaganovsky.</t>
  </si>
  <si>
    <t>Kaganovsky, Lilya.</t>
  </si>
  <si>
    <t>Pittsburgh : University of Pittsburgh Press, ©2008.</t>
  </si>
  <si>
    <t>898501828:eng</t>
  </si>
  <si>
    <t>184822173</t>
  </si>
  <si>
    <t>ocn184822173</t>
  </si>
  <si>
    <t>31029730966</t>
  </si>
  <si>
    <t>9780822943211</t>
  </si>
  <si>
    <t>794290769</t>
  </si>
  <si>
    <t>PG3026 M6 K67</t>
  </si>
  <si>
    <t>0                      PG 3026000M  6                  K  67</t>
  </si>
  <si>
    <t>Novoe v pisatel'skoǐ tekhnike.</t>
  </si>
  <si>
    <t>Kruchenykh, A. (Alekseĭ Eliseevich), 1888-</t>
  </si>
  <si>
    <t>Moskva : Izd. Vserossiǐskogo Soiuza poitov, 1927.</t>
  </si>
  <si>
    <t>1927</t>
  </si>
  <si>
    <t>2017-01-04</t>
  </si>
  <si>
    <t>10033211124:rus</t>
  </si>
  <si>
    <t>61614523</t>
  </si>
  <si>
    <t>ocm61614523</t>
  </si>
  <si>
    <t>3102924091R</t>
  </si>
  <si>
    <t>794052725</t>
  </si>
  <si>
    <t>PG3026 P6 T713 1960</t>
  </si>
  <si>
    <t>0                      PG 3026000P  6                  T  713         1960</t>
  </si>
  <si>
    <t>Literature and revolution / Leon Trotsky.</t>
  </si>
  <si>
    <t>Trotsky, Leon, 1879-1940.</t>
  </si>
  <si>
    <t>[Ann Arbor] : University of Michigan Press, 1960.</t>
  </si>
  <si>
    <t>Ann Arbor paperbacks for the study of communism and Marxism ; AA43</t>
  </si>
  <si>
    <t>2017-10-26</t>
  </si>
  <si>
    <t>1863685659:eng</t>
  </si>
  <si>
    <t>8020597</t>
  </si>
  <si>
    <t>ocm08020597</t>
  </si>
  <si>
    <t>31029240088</t>
  </si>
  <si>
    <t>9780472060436</t>
  </si>
  <si>
    <t>792593736</t>
  </si>
  <si>
    <t>2007-11-02</t>
  </si>
  <si>
    <t>31029240126</t>
  </si>
  <si>
    <t>792593737</t>
  </si>
  <si>
    <t>PG3026 P6 T713 1991</t>
  </si>
  <si>
    <t>0                      PG 3026000P  6                  T  713         1991</t>
  </si>
  <si>
    <t>Literature and revolution / Leon Trotsky ; with a foreword by Lindsey German.</t>
  </si>
  <si>
    <t>Trots︠k︡iı̆, L. (Lev), 1879-1940.</t>
  </si>
  <si>
    <t>London : RedWords, 1991.</t>
  </si>
  <si>
    <t>2018-02-13</t>
  </si>
  <si>
    <t>5572916748:eng</t>
  </si>
  <si>
    <t>24741756</t>
  </si>
  <si>
    <t>ocm24741756</t>
  </si>
  <si>
    <t>31029240136</t>
  </si>
  <si>
    <t>9781872208015</t>
  </si>
  <si>
    <t>793204556</t>
  </si>
  <si>
    <t>PG3026 P64 V37 2010</t>
  </si>
  <si>
    <t>0                      PG 3026000P  64                 V  37          2010</t>
  </si>
  <si>
    <t>Police aesthetics : literature, film, and the secret police in Soviet times / Cristina Vatulescu.</t>
  </si>
  <si>
    <t>Vatulescu, Cristina, 1976-</t>
  </si>
  <si>
    <t>2019-11-18</t>
  </si>
  <si>
    <t>796531318:eng</t>
  </si>
  <si>
    <t>463307375</t>
  </si>
  <si>
    <t>ocn463307375</t>
  </si>
  <si>
    <t>3103237689T</t>
  </si>
  <si>
    <t>9780804760805</t>
  </si>
  <si>
    <t>794792341</t>
  </si>
  <si>
    <t>PG3026 P67 C44 2007</t>
  </si>
  <si>
    <t>0                      PG 3026000P  67                 C  44          2007</t>
  </si>
  <si>
    <t>Mapping postcommunist cultures : Russia and Ukraine in the context of globalization / Vitaly Chernetsky.</t>
  </si>
  <si>
    <t>Chernetsky, Vitaly.</t>
  </si>
  <si>
    <t>Montreal : McGill-Queen's University Press, ©2007.</t>
  </si>
  <si>
    <t>2017-12-07</t>
  </si>
  <si>
    <t>795947757:eng</t>
  </si>
  <si>
    <t>82771412</t>
  </si>
  <si>
    <t>ocm82771412</t>
  </si>
  <si>
    <t>3102553451$</t>
  </si>
  <si>
    <t>9780773531239</t>
  </si>
  <si>
    <t>794206985</t>
  </si>
  <si>
    <t>PG3026 P67 K65 2011</t>
  </si>
  <si>
    <t>0                      PG 3026000P  67                 K  65          2011</t>
  </si>
  <si>
    <t>Vmesto Pushkina : ėti︠u︡dy o russkom postmodernizme / I.V. Kondakov.</t>
  </si>
  <si>
    <t>Kondakov, I. V.</t>
  </si>
  <si>
    <t>Moskva : MBA, 2011.</t>
  </si>
  <si>
    <t>Humanitas</t>
  </si>
  <si>
    <t>955009638:rus</t>
  </si>
  <si>
    <t>719860339</t>
  </si>
  <si>
    <t>ocn719860339</t>
  </si>
  <si>
    <t>3103512100Z</t>
  </si>
  <si>
    <t>9785902445364</t>
  </si>
  <si>
    <t>794874776</t>
  </si>
  <si>
    <t>PG3026 P67 R66 2014</t>
  </si>
  <si>
    <t>0                      PG 3026000P  67                 R  66          2014</t>
  </si>
  <si>
    <t>"Chuzhoe" slovo v russkoĭ postmodernistskoĭ proze : monografii︠a︡ / O.E. Romanovskai︠a︡.</t>
  </si>
  <si>
    <t>Romanovskai︠a︡, Olʹga Evgenʹevna, author.</t>
  </si>
  <si>
    <t>Astrakhan' : Izdatelʹskiĭ dom "Astrakhanskiĭ universitet", 2014.</t>
  </si>
  <si>
    <t>2015-04-05</t>
  </si>
  <si>
    <t>4064577352:rus</t>
  </si>
  <si>
    <t>902622760</t>
  </si>
  <si>
    <t>ocn902622760</t>
  </si>
  <si>
    <t>3103200685Z</t>
  </si>
  <si>
    <t>9785992605518</t>
  </si>
  <si>
    <t>794988280</t>
  </si>
  <si>
    <t>PG3026 R6 G7x 1971</t>
  </si>
  <si>
    <t>0                      PG 3026000R  6                  G  7x          1971</t>
  </si>
  <si>
    <t>Aspects of romanticism in the 1920's in the Soviet Union : Zamyatin, Pilnyak, and Leonov / by Rainer Vadim Grenewitz.</t>
  </si>
  <si>
    <t>Grenewitz, Rainer Vadim, 1934-</t>
  </si>
  <si>
    <t>2017-11-11</t>
  </si>
  <si>
    <t>197874322:eng</t>
  </si>
  <si>
    <t>3911373</t>
  </si>
  <si>
    <t>ocm03911373</t>
  </si>
  <si>
    <t>3102924092R</t>
  </si>
  <si>
    <t>792304258</t>
  </si>
  <si>
    <t>PG3026 S3 R94 1995</t>
  </si>
  <si>
    <t>0                      PG 3026000S  3                  R  94          1995</t>
  </si>
  <si>
    <t>Contemporary Russian satire : a genre study / Karen L. Ryan-Hayes.</t>
  </si>
  <si>
    <t>Ryan, Karen L., 1958-</t>
  </si>
  <si>
    <t>Cambridge ; New York : Cambridge University Press, 1995.</t>
  </si>
  <si>
    <t>2019-03-04</t>
  </si>
  <si>
    <t>807142363:eng</t>
  </si>
  <si>
    <t>31969735</t>
  </si>
  <si>
    <t>ocm31969735</t>
  </si>
  <si>
    <t>3102924088T</t>
  </si>
  <si>
    <t>9780521475150</t>
  </si>
  <si>
    <t>793372326</t>
  </si>
  <si>
    <t>PG3026 S3 R945 2009</t>
  </si>
  <si>
    <t>0                      PG 3026000S  3                  R  945         2009</t>
  </si>
  <si>
    <t>Stalin in Russian satire, 1917-1991 / Karen L. Ryan.</t>
  </si>
  <si>
    <t>Madison, Wis. : University of Wisconsin Press, ©2009.</t>
  </si>
  <si>
    <t>194999459:eng</t>
  </si>
  <si>
    <t>317623379</t>
  </si>
  <si>
    <t>ocn317623379</t>
  </si>
  <si>
    <t>31031113902</t>
  </si>
  <si>
    <t>9780299234447</t>
  </si>
  <si>
    <t>794455327</t>
  </si>
  <si>
    <t>PG3026 S348 H45 2003</t>
  </si>
  <si>
    <t>0                      PG 3026000S  348                H  45          2003</t>
  </si>
  <si>
    <t>Flesh to metal : Soviet literature and the alchemy of revolution / Rolf Hellebust.</t>
  </si>
  <si>
    <t>Hellebust, Rolf.</t>
  </si>
  <si>
    <t>Ithaca : Cornell University Press, 2003.</t>
  </si>
  <si>
    <t>2018-09-27</t>
  </si>
  <si>
    <t>197120908:eng</t>
  </si>
  <si>
    <t>51969057</t>
  </si>
  <si>
    <t>ocm51969057</t>
  </si>
  <si>
    <t>31029869773</t>
  </si>
  <si>
    <t>9780801441530</t>
  </si>
  <si>
    <t>793795480</t>
  </si>
  <si>
    <t>PG3026 S58 D63 1993</t>
  </si>
  <si>
    <t>0                      PG 3026000S  58                 D  63          1993</t>
  </si>
  <si>
    <t>Metafora vlasti : literatura stalinskoĭ ėpokhi v istoricheskom osveshchenii / Evgeniĭ Dobrenko.</t>
  </si>
  <si>
    <t>München : Otto Sagner, 1993.</t>
  </si>
  <si>
    <t>Slavistische Beiträge ; Bd. 302</t>
  </si>
  <si>
    <t>2018-06-13</t>
  </si>
  <si>
    <t>3857387483:rus</t>
  </si>
  <si>
    <t>29549343</t>
  </si>
  <si>
    <t>ocm29549343</t>
  </si>
  <si>
    <t>3102923071Z</t>
  </si>
  <si>
    <t>9783876905563</t>
  </si>
  <si>
    <t>793314099</t>
  </si>
  <si>
    <t>PG3026 S58 F37 1999</t>
  </si>
  <si>
    <t>0                      PG 3026000S  58                 F  37          1999</t>
  </si>
  <si>
    <t>Ideology, aesthetics, literary history : socialist realism and its others / Piotr Fast.</t>
  </si>
  <si>
    <t>Fast, Piotr.</t>
  </si>
  <si>
    <t>Frankfurt am Main ; New York : P. Lang, 1999.</t>
  </si>
  <si>
    <t>Literary and cultural theory, 1434-0313 ; v. 3</t>
  </si>
  <si>
    <t>806855131:eng</t>
  </si>
  <si>
    <t>41464922</t>
  </si>
  <si>
    <t>ocm41464922</t>
  </si>
  <si>
    <t>3102916325T</t>
  </si>
  <si>
    <t>9780820443119</t>
  </si>
  <si>
    <t>793592091</t>
  </si>
  <si>
    <t>PG3026 S58 J3x 1973</t>
  </si>
  <si>
    <t>0                      PG 3026000S  58                 J  3x          1973</t>
  </si>
  <si>
    <t>Soviet socialist realism; origins and theory [by] C. Vaughan James.</t>
  </si>
  <si>
    <t>James, C. V. (Caradog Vaughan)</t>
  </si>
  <si>
    <t>London, Macmillan, 1973.</t>
  </si>
  <si>
    <t>1807674:eng</t>
  </si>
  <si>
    <t>856951</t>
  </si>
  <si>
    <t>ocm00856951</t>
  </si>
  <si>
    <t>31028152393</t>
  </si>
  <si>
    <t>9780333154441</t>
  </si>
  <si>
    <t>791488315</t>
  </si>
  <si>
    <t>PG3026 S58 L38 2013</t>
  </si>
  <si>
    <t>0                      PG 3026000S  58                 L  38          2013</t>
  </si>
  <si>
    <t>Toxic voices : the villain from early Soviet literature to Socialist realism / Eric Laursen.</t>
  </si>
  <si>
    <t>Laursen, Eric, 1957-</t>
  </si>
  <si>
    <t>Evanston, Ill. : Northwestern University Press, ©2013.</t>
  </si>
  <si>
    <t>Northwestern University Press studies in Russian literature and theory</t>
  </si>
  <si>
    <t>2014-03-25</t>
  </si>
  <si>
    <t>1090963010:eng</t>
  </si>
  <si>
    <t>781680912</t>
  </si>
  <si>
    <t>ocn781680912</t>
  </si>
  <si>
    <t>31034551303</t>
  </si>
  <si>
    <t>9780810128651</t>
  </si>
  <si>
    <t>794913144</t>
  </si>
  <si>
    <t>PG3026 S58 P37 2009</t>
  </si>
  <si>
    <t>0                      PG 3026000S  58                 P  37          2009</t>
  </si>
  <si>
    <t>Manufacturing truth : the documentary moment in early Soviet culture / Elizabeth Astrid Papazian.</t>
  </si>
  <si>
    <t>Papazian, Elizabeth Astrid, author.</t>
  </si>
  <si>
    <t>DeKalb : Northern Illinois University Press, ©2009.</t>
  </si>
  <si>
    <t>2016-03-17</t>
  </si>
  <si>
    <t>793043912:eng</t>
  </si>
  <si>
    <t>217263479</t>
  </si>
  <si>
    <t>ocn217263479</t>
  </si>
  <si>
    <t>3102977386K</t>
  </si>
  <si>
    <t>9780875803890</t>
  </si>
  <si>
    <t>794316341</t>
  </si>
  <si>
    <t>PG3026 S58 R6313 1992</t>
  </si>
  <si>
    <t>0                      PG 3026000S  58                 R  6313        1992</t>
  </si>
  <si>
    <t>Socialist realism : an impossible aesthetic / Régine Robin ; translated by Catherine Porter ; foreword by Léon Robel.</t>
  </si>
  <si>
    <t>Robin, Régine, 1939-</t>
  </si>
  <si>
    <t>350373511:eng</t>
  </si>
  <si>
    <t>23689566</t>
  </si>
  <si>
    <t>ocm23689566</t>
  </si>
  <si>
    <t>3102930591N</t>
  </si>
  <si>
    <t>9780804716550</t>
  </si>
  <si>
    <t>793179882</t>
  </si>
  <si>
    <t>PG3026 U5 K65 2015</t>
  </si>
  <si>
    <t>0                      PG 3026000U  5                  K  65          2015</t>
  </si>
  <si>
    <t>Uncensored : Samizdat novels and the quest for autonomy in Soviet dissidence / Ann Komaromi.</t>
  </si>
  <si>
    <t>Komaromi, Ann, author.</t>
  </si>
  <si>
    <t>Evanston, Illinois : Northwestern University Press, 2015.</t>
  </si>
  <si>
    <t>2248229842:eng</t>
  </si>
  <si>
    <t>898158771</t>
  </si>
  <si>
    <t>ocn898158771</t>
  </si>
  <si>
    <t>3103608722V</t>
  </si>
  <si>
    <t>9780810131231</t>
  </si>
  <si>
    <t>794985962</t>
  </si>
  <si>
    <t>PG3026 U8 L58 2004</t>
  </si>
  <si>
    <t>0                      PG 3026000U  8                  L  58          2004</t>
  </si>
  <si>
    <t>Constructing the Stalinist body : fictional representations of corporeality in the Stalinist 1930s / Keith A. Livers.</t>
  </si>
  <si>
    <t>Livers, Keith A., 1963-</t>
  </si>
  <si>
    <t>Lanham : Lexington Books, ©2004.</t>
  </si>
  <si>
    <t>285011378:eng</t>
  </si>
  <si>
    <t>55738060</t>
  </si>
  <si>
    <t>ocm55738060</t>
  </si>
  <si>
    <t>31024507666</t>
  </si>
  <si>
    <t>9780739107737</t>
  </si>
  <si>
    <t>793881762</t>
  </si>
  <si>
    <t>PG3026 W3 E455 2011</t>
  </si>
  <si>
    <t>0                      PG 3026000W  3                  E  455         2011</t>
  </si>
  <si>
    <t>The damned and the dead : the Eastern Front through the eyes of Soviet and Russian novelists / Frank Ellis.</t>
  </si>
  <si>
    <t>Ellis, Frank, 1953-</t>
  </si>
  <si>
    <t>Lawrence, Kan. : University Press of Kansas, ©2011.</t>
  </si>
  <si>
    <t>Modern war studies</t>
  </si>
  <si>
    <t>2011-10-08</t>
  </si>
  <si>
    <t>975367685:eng</t>
  </si>
  <si>
    <t>681500359</t>
  </si>
  <si>
    <t>ocn681500359</t>
  </si>
  <si>
    <t>3103364984B</t>
  </si>
  <si>
    <t>9780700617845</t>
  </si>
  <si>
    <t>794852158</t>
  </si>
  <si>
    <t>PG3026 W6 G67 1996</t>
  </si>
  <si>
    <t>0                      PG 3026000W  6                  G  67          1996</t>
  </si>
  <si>
    <t>Dehexing sex : Russian womanhood during and after glasnost / Helena Goscilo.</t>
  </si>
  <si>
    <t>Goscilo, Helena, 1945-</t>
  </si>
  <si>
    <t>Ann Arbor : University of Michigan Press, ©1996.</t>
  </si>
  <si>
    <t>38775475:eng</t>
  </si>
  <si>
    <t>33666769</t>
  </si>
  <si>
    <t>ocm33666769</t>
  </si>
  <si>
    <t>3101575433Y</t>
  </si>
  <si>
    <t>9780472096145</t>
  </si>
  <si>
    <t>793411199</t>
  </si>
  <si>
    <t>PG3026 W6 M65 2006</t>
  </si>
  <si>
    <t>0                      PG 3026000W  6                  M  65          2006</t>
  </si>
  <si>
    <t>Pure, strong and sexless : the peasant woman's body and Gleb Uspensky / Henrietta Mondry.</t>
  </si>
  <si>
    <t>Mondry, Henrietta.</t>
  </si>
  <si>
    <t>Amsterdam : Rodopi, 2006.</t>
  </si>
  <si>
    <t>Studies in Slavic literature and poetics ; v. 43</t>
  </si>
  <si>
    <t>792368870:eng</t>
  </si>
  <si>
    <t>63764207</t>
  </si>
  <si>
    <t>ocm63764207</t>
  </si>
  <si>
    <t>31025614610</t>
  </si>
  <si>
    <t>9789042018280</t>
  </si>
  <si>
    <t>794123050</t>
  </si>
  <si>
    <t>PG3026 W6 W64 1998</t>
  </si>
  <si>
    <t>0                      PG 3026000W  6                  W  64          1998</t>
  </si>
  <si>
    <t>Women and Russian culture : projections and self-perceptions / edited ny Rosalind Marsh.</t>
  </si>
  <si>
    <t>New York : Berghahn Books, 1998.</t>
  </si>
  <si>
    <t>Studies in Slavic literature, culture, and society ; [v. 2]</t>
  </si>
  <si>
    <t>2015-02-19</t>
  </si>
  <si>
    <t>837067132:eng</t>
  </si>
  <si>
    <t>38580315</t>
  </si>
  <si>
    <t>ocm38580315</t>
  </si>
  <si>
    <t>3101939250I</t>
  </si>
  <si>
    <t>9781571819130</t>
  </si>
  <si>
    <t>793527544</t>
  </si>
  <si>
    <t>PG3027 C57 2011</t>
  </si>
  <si>
    <t>0                      PG 3027000C  57          2011</t>
  </si>
  <si>
    <t>Russia on the edge : imagined geographies and post-Soviet identity / Edith W. Clowes.</t>
  </si>
  <si>
    <t>Ithaca, N.Y. : Cornell University Press, 2011.</t>
  </si>
  <si>
    <t>2015-04-07</t>
  </si>
  <si>
    <t>676376205:eng</t>
  </si>
  <si>
    <t>667990398</t>
  </si>
  <si>
    <t>ocn667990398</t>
  </si>
  <si>
    <t>3103344127K</t>
  </si>
  <si>
    <t>9780801448560</t>
  </si>
  <si>
    <t>794845806</t>
  </si>
  <si>
    <t>PG3027 I93 2011</t>
  </si>
  <si>
    <t>0                      PG 3027000I  93          2011</t>
  </si>
  <si>
    <t>Russkiĭ krest : literatura i chitatelʹ v nachale novogo veka / Natalʹi︠a︡ Ivanova.</t>
  </si>
  <si>
    <t>Ivanova, Natalʹi︠a︡, 1945-</t>
  </si>
  <si>
    <t>Moskva : Vremi︠a︡, 2011.</t>
  </si>
  <si>
    <t>3860984684:rus</t>
  </si>
  <si>
    <t>714293660</t>
  </si>
  <si>
    <t>ocn714293660</t>
  </si>
  <si>
    <t>3103393561G</t>
  </si>
  <si>
    <t>9785969106475</t>
  </si>
  <si>
    <t>794873365</t>
  </si>
  <si>
    <t>PG3027 R87 2015</t>
  </si>
  <si>
    <t>0                      PG 3027000R  87          2015</t>
  </si>
  <si>
    <t>Russian literature since 1991 / edited by Evgeny Dobrenko and Mark Lipovetsky.</t>
  </si>
  <si>
    <t>Cambridge ; [New York] : Cambridge University Press, 2015.</t>
  </si>
  <si>
    <t>2551597198:eng</t>
  </si>
  <si>
    <t>911240501</t>
  </si>
  <si>
    <t>ocn911240501</t>
  </si>
  <si>
    <t>3103611365L</t>
  </si>
  <si>
    <t>9781107068513</t>
  </si>
  <si>
    <t>794998230</t>
  </si>
  <si>
    <t>PG3027.5 P67 L56 2017</t>
  </si>
  <si>
    <t>0                      PG 3027500P  67                 L  56          2017</t>
  </si>
  <si>
    <t>Postmodern crises : from Lolita to Pussy Riot / Mark Lipovetsky.</t>
  </si>
  <si>
    <t>Lipovet︠s︡kiĭ, M. N. (Mark Naumovich), author.</t>
  </si>
  <si>
    <t>Brighton, MA : Published by Academic Studies Press, 2017.</t>
  </si>
  <si>
    <t>3891805508:eng</t>
  </si>
  <si>
    <t>958412183</t>
  </si>
  <si>
    <t>ocn958412183</t>
  </si>
  <si>
    <t>31037411662</t>
  </si>
  <si>
    <t>9781618115584</t>
  </si>
  <si>
    <t>795021779</t>
  </si>
  <si>
    <t>PG3030 L82 1964</t>
  </si>
  <si>
    <t>0                      PG 3030000L  82          1964</t>
  </si>
  <si>
    <t>Der russische Realismus in der Weltliteratur / Georg Lukács.</t>
  </si>
  <si>
    <t>Lukács, György, 1885-1971.</t>
  </si>
  <si>
    <t>Neuwied : Luchterhand, ©1964.</t>
  </si>
  <si>
    <t>[Neue i.e. 4. Aufl.].</t>
  </si>
  <si>
    <t>His Werke ; Bd. 5 : Probleme des Realismus ; 2</t>
  </si>
  <si>
    <t>2017-08-02</t>
  </si>
  <si>
    <t>348030759:ger</t>
  </si>
  <si>
    <t>2573614</t>
  </si>
  <si>
    <t>ocm02573614</t>
  </si>
  <si>
    <t>3000613403Q</t>
  </si>
  <si>
    <t>792145296</t>
  </si>
  <si>
    <t>PG3041 B67 1990</t>
  </si>
  <si>
    <t>0                      PG 3041000B  67          1990</t>
  </si>
  <si>
    <t>A history of Russian poetry / Evelyn Bristol.</t>
  </si>
  <si>
    <t>Bristol, Evelyn.</t>
  </si>
  <si>
    <t>New York : Oxford University Press, 1990.</t>
  </si>
  <si>
    <t>2016-10-02</t>
  </si>
  <si>
    <t>20598773:eng</t>
  </si>
  <si>
    <t>123207402</t>
  </si>
  <si>
    <t>ocn123207402</t>
  </si>
  <si>
    <t>3102924135$</t>
  </si>
  <si>
    <t>9780195046595</t>
  </si>
  <si>
    <t>794225015</t>
  </si>
  <si>
    <t>PG3041 G59 2016</t>
  </si>
  <si>
    <t>0                      PG 3041000G  59          2016</t>
  </si>
  <si>
    <t>O "russkosti", o schastʹe, o svobode / Tatʹi︠a︡na Glushkova.</t>
  </si>
  <si>
    <t>Glushkova, Tatʹi︠a︡na, author.</t>
  </si>
  <si>
    <t>Moskva : Algoritm, 2016.</t>
  </si>
  <si>
    <t>4574476053:rus</t>
  </si>
  <si>
    <t>1012820864</t>
  </si>
  <si>
    <t>on1012820864</t>
  </si>
  <si>
    <t>3103760390R</t>
  </si>
  <si>
    <t>9785906842275</t>
  </si>
  <si>
    <t>795046630</t>
  </si>
  <si>
    <t>PG3041 K43 2013</t>
  </si>
  <si>
    <t>0                      PG 3041000K  43          2013</t>
  </si>
  <si>
    <t>Silence and the rest : verbal skepticism in Russian poetry / Sofya Khagi.</t>
  </si>
  <si>
    <t>Khagi, Sofya.</t>
  </si>
  <si>
    <t>Evanston, Ill. : Northwestern University Press, 2013.</t>
  </si>
  <si>
    <t>1409514442:eng</t>
  </si>
  <si>
    <t>827120187</t>
  </si>
  <si>
    <t>ocn827120187</t>
  </si>
  <si>
    <t>3103505960T</t>
  </si>
  <si>
    <t>9780810129207</t>
  </si>
  <si>
    <t>794939788</t>
  </si>
  <si>
    <t>PG3041 W328 2004</t>
  </si>
  <si>
    <t>0                      PG 3041000W  328         2004</t>
  </si>
  <si>
    <t>The Cambridge introduction to Russian poetry / by Michael Wachtel.</t>
  </si>
  <si>
    <t>Wachtel, Michael.</t>
  </si>
  <si>
    <t>2016-11-04</t>
  </si>
  <si>
    <t>707684:eng</t>
  </si>
  <si>
    <t>53058948</t>
  </si>
  <si>
    <t>ocm53058948</t>
  </si>
  <si>
    <t>3102412886B</t>
  </si>
  <si>
    <t>9780521808811</t>
  </si>
  <si>
    <t>793820411</t>
  </si>
  <si>
    <t>PG3043 S55 2010</t>
  </si>
  <si>
    <t>0                      PG 3043000S  55          2010</t>
  </si>
  <si>
    <t>Shkola teoreticheskoĭ poėtiki : sbornik nauchnykh trudov k 70-letii︠u︡ Natana Davidovicha Tamarchenko / [sost.: V.I. Ti︠u︡pa, O.V. Fedunina].</t>
  </si>
  <si>
    <t>Moskva : Izd-vo Kulaginoĭ : Intrada, 2010.</t>
  </si>
  <si>
    <t>3860823442:rus</t>
  </si>
  <si>
    <t>689524097</t>
  </si>
  <si>
    <t>ocn689524097</t>
  </si>
  <si>
    <t>3103393754C</t>
  </si>
  <si>
    <t>9785876042255</t>
  </si>
  <si>
    <t>794854956</t>
  </si>
  <si>
    <t>PG3046 G8 1977</t>
  </si>
  <si>
    <t>0                      PG 3046000G  8           1977</t>
  </si>
  <si>
    <t>Russkai︠a︡ poėzii︠a︡ XVIII veka / Grigoriĭ Gukovskiĭ.</t>
  </si>
  <si>
    <t>Gukovskiĭ, G. A. (Grigoriĭ Aleksandrovich), 1902-1950.</t>
  </si>
  <si>
    <t>Leningrad : Academia, 1927.</t>
  </si>
  <si>
    <t>Voprosy poėtiki. Neperiodicheskai︠a︡ serii︠a︡, izdavaemai︠a︡ otdelom slovesnykh iskusstv ; vyp. X</t>
  </si>
  <si>
    <t>2019-03-01</t>
  </si>
  <si>
    <t>5241952:rus</t>
  </si>
  <si>
    <t>505739764</t>
  </si>
  <si>
    <t>ocn505739764</t>
  </si>
  <si>
    <t>3102924165U</t>
  </si>
  <si>
    <t>794807264</t>
  </si>
  <si>
    <t>PG3051 S474 2010</t>
  </si>
  <si>
    <t>0                      PG 3051000S  474         2010</t>
  </si>
  <si>
    <t>Russkiĭ poėticheskiĭ neoromantizm 1880-1890-kh godov : ėstetika, mifologii︠a︡, fenomenologii︠a︡ : monografii︠a︡ / Li︠u︡dmila Shchennikova.</t>
  </si>
  <si>
    <t>Shchennikova, L. P. (Li︠u︡dmila Pavlovna)</t>
  </si>
  <si>
    <t>Sankt-Peterburg : Serebri︠a︡nyĭ vek, 2010.</t>
  </si>
  <si>
    <t>1105360571:rus</t>
  </si>
  <si>
    <t>664333095</t>
  </si>
  <si>
    <t>ocn664333095</t>
  </si>
  <si>
    <t>31033938599</t>
  </si>
  <si>
    <t>9785902238690</t>
  </si>
  <si>
    <t>794843431</t>
  </si>
  <si>
    <t>PG3056 A35 2017</t>
  </si>
  <si>
    <t>0                      PG 3056000A  35          2017</t>
  </si>
  <si>
    <t>Dozhdʹ v razreze / Sukhbat Aflatuni (Evgeniĭ Abdullaev).</t>
  </si>
  <si>
    <t>Aflatuni, Sukhbat, 1971- author.</t>
  </si>
  <si>
    <t>Moskva : RIPOL klassik, [2017]</t>
  </si>
  <si>
    <t>4648258461:rus</t>
  </si>
  <si>
    <t>1013457933</t>
  </si>
  <si>
    <t>on1013457933</t>
  </si>
  <si>
    <t>3103760369I</t>
  </si>
  <si>
    <t>9785386098889</t>
  </si>
  <si>
    <t>795047056</t>
  </si>
  <si>
    <t>PG3056 F7</t>
  </si>
  <si>
    <t>0                      PG 3056000F  7</t>
  </si>
  <si>
    <t>Poets of modern Russia / Peter France.</t>
  </si>
  <si>
    <t>France, Peter, 1935-</t>
  </si>
  <si>
    <t>Cambridge ; New York : Cambridge University Press, 1982.</t>
  </si>
  <si>
    <t>2016-11-21</t>
  </si>
  <si>
    <t>117883667:eng</t>
  </si>
  <si>
    <t>8346136</t>
  </si>
  <si>
    <t>ocm08346136</t>
  </si>
  <si>
    <t>31029240106</t>
  </si>
  <si>
    <t>9780521234900</t>
  </si>
  <si>
    <t>792614315</t>
  </si>
  <si>
    <t>2007-04-18</t>
  </si>
  <si>
    <t>3102924197O</t>
  </si>
  <si>
    <t>792614314</t>
  </si>
  <si>
    <t>PG3056 K556 2017</t>
  </si>
  <si>
    <t>0                      PG 3056000K  556         2017</t>
  </si>
  <si>
    <t>Stroki i sudʹby : povestvovanie o tvorchestve 28 russkikh poėtov / Valentina Korosteleva.</t>
  </si>
  <si>
    <t>Korosteleva, Valentina, author.</t>
  </si>
  <si>
    <t>Moskva : Izdatelʹskiĭ dom "Zvonnit︠s︡a-MG", 2017.</t>
  </si>
  <si>
    <t>XX vek: liki, lit︠s︡a, lichiny</t>
  </si>
  <si>
    <t>4492238943:rus</t>
  </si>
  <si>
    <t>1003322320</t>
  </si>
  <si>
    <t>on1003322320</t>
  </si>
  <si>
    <t>3103760642Q</t>
  </si>
  <si>
    <t>9785880933310</t>
  </si>
  <si>
    <t>795041567</t>
  </si>
  <si>
    <t>PG3056 P6</t>
  </si>
  <si>
    <t>0                      PG 3056000P  6</t>
  </si>
  <si>
    <t>The poets of Russia, 1890-1930.</t>
  </si>
  <si>
    <t>Poggioli, Renato, 1907-1963.</t>
  </si>
  <si>
    <t>Cambridge, Mass., Harvard University Press, 1960.</t>
  </si>
  <si>
    <t>1395968:eng</t>
  </si>
  <si>
    <t>319728</t>
  </si>
  <si>
    <t>ocm00319728</t>
  </si>
  <si>
    <t>3102924240V</t>
  </si>
  <si>
    <t>791335650</t>
  </si>
  <si>
    <t>3102924235X</t>
  </si>
  <si>
    <t>791335651</t>
  </si>
  <si>
    <t>PG3056 T47 1998</t>
  </si>
  <si>
    <t>0                      PG 3056000T  47          1998</t>
  </si>
  <si>
    <t>Poetry of the Silver age : the various voices of Russian modernism / Victor Terras ; with translations by Alexander Landman and a preface by Horst-Jürgen Gerigk.</t>
  </si>
  <si>
    <t>Dresden : Dresden University Press, 1998.</t>
  </si>
  <si>
    <t>Artes liberales ; Bd. 8</t>
  </si>
  <si>
    <t>364862090:eng</t>
  </si>
  <si>
    <t>40600230</t>
  </si>
  <si>
    <t>ocm40600230</t>
  </si>
  <si>
    <t>3102924290L</t>
  </si>
  <si>
    <t>9783931828714</t>
  </si>
  <si>
    <t>793570861</t>
  </si>
  <si>
    <t>PG3056 T79 2013</t>
  </si>
  <si>
    <t>0                      PG 3056000T  79          2013</t>
  </si>
  <si>
    <t>Russkai︠a︡ poėzii︠a︡ XX veka : materialy dli︠a︡ bibliografii / Lev Turchinskiĭ.</t>
  </si>
  <si>
    <t>Turchinskiĭ, L. M. (Lev Mikhaĭlovich), author.</t>
  </si>
  <si>
    <t>Moskva : Izdatelʹstvo "Trutenʹ", 2013.</t>
  </si>
  <si>
    <t>1783042020:rus</t>
  </si>
  <si>
    <t>869833063</t>
  </si>
  <si>
    <t>ocn869833063</t>
  </si>
  <si>
    <t>3103556209X</t>
  </si>
  <si>
    <t>9785904007102</t>
  </si>
  <si>
    <t>794965929</t>
  </si>
  <si>
    <t>PG3056 T84 2017</t>
  </si>
  <si>
    <t>0                      PG 3056000T  84          2017</t>
  </si>
  <si>
    <t>Twentieth-century Russian poetry : reinventing the canon / edited by Katharine Hodgson, Joanne Shelton and Alexandra Smith.</t>
  </si>
  <si>
    <t>Cambridge, UK : Open Book Publishers, [2017]</t>
  </si>
  <si>
    <t>4215777260:eng</t>
  </si>
  <si>
    <t>986240810</t>
  </si>
  <si>
    <t>ocn986240810</t>
  </si>
  <si>
    <t>3103702012B</t>
  </si>
  <si>
    <t>9781783740888</t>
  </si>
  <si>
    <t>795035571</t>
  </si>
  <si>
    <t>PG3056 Z83 2010</t>
  </si>
  <si>
    <t>0                      PG 3056000Z  83          2010</t>
  </si>
  <si>
    <t>I︠A︡zyki sovremennoĭ poėzii / Li︠u︡dmila Zubova.</t>
  </si>
  <si>
    <t>Zubova, L. V. (Li︠u︡dmila Vladimirovna)</t>
  </si>
  <si>
    <t>Moskva : Novoe literaturnoe obozrenie, 2010.</t>
  </si>
  <si>
    <t>3770918531:rus</t>
  </si>
  <si>
    <t>692180945</t>
  </si>
  <si>
    <t>ocn692180945</t>
  </si>
  <si>
    <t>3103340614N</t>
  </si>
  <si>
    <t>9785867937911</t>
  </si>
  <si>
    <t>794855975</t>
  </si>
  <si>
    <t>PG3064 D58 L34 2018</t>
  </si>
  <si>
    <t>0                      PG 3064000D  58                 L  34          2018</t>
  </si>
  <si>
    <t>The Russian revival of the dithyramb : a modernist use of antiquity / Katherine Lahti.</t>
  </si>
  <si>
    <t>Lahti, Katherine, author.</t>
  </si>
  <si>
    <t>Evanston, Illinois : Northwestern University Press, 2018.</t>
  </si>
  <si>
    <t>4439063304:eng</t>
  </si>
  <si>
    <t>996407168</t>
  </si>
  <si>
    <t>ocn996407168</t>
  </si>
  <si>
    <t>3103704235I</t>
  </si>
  <si>
    <t>9780810136694</t>
  </si>
  <si>
    <t>795039781</t>
  </si>
  <si>
    <t>PG3064 P76 S6 1984</t>
  </si>
  <si>
    <t>0                      PG 3064000P  76                 S  6           1984</t>
  </si>
  <si>
    <t>Songs to seven strings : Russian guitar poetry and Soviet "mass song" / Gerald Stanton Smith.</t>
  </si>
  <si>
    <t>Smith, Gerald Stanton.</t>
  </si>
  <si>
    <t>Bloomington : Indiana University Press, ©1984.</t>
  </si>
  <si>
    <t>Soviet history, politics, society, and thought</t>
  </si>
  <si>
    <t>2016-04-03</t>
  </si>
  <si>
    <t>3368691:eng</t>
  </si>
  <si>
    <t>10483923</t>
  </si>
  <si>
    <t>ocm10483923</t>
  </si>
  <si>
    <t>3102689656M</t>
  </si>
  <si>
    <t>9780253353917</t>
  </si>
  <si>
    <t>792728506</t>
  </si>
  <si>
    <t>PG3064 S6 V46 2014</t>
  </si>
  <si>
    <t>0                      PG 3064000S  6                  V  46          2014</t>
  </si>
  <si>
    <t>Muzhchina i zhenshchina : (Vladimir Vysot︠s︡kiĭ i Novella Matveeva) : opyt sopostavlenii︠a︡ / Sergeĭ Vdovin.</t>
  </si>
  <si>
    <t>Vdovin, Sergeĭ, 1954- author.</t>
  </si>
  <si>
    <t>Aleksandrov : "Vereskovyĭ med", 2014.</t>
  </si>
  <si>
    <t>1822029892:rus</t>
  </si>
  <si>
    <t>871240938</t>
  </si>
  <si>
    <t>ocn871240938</t>
  </si>
  <si>
    <t>3103561728T</t>
  </si>
  <si>
    <t>794967475</t>
  </si>
  <si>
    <t>PG3065 C37 P7613 2011</t>
  </si>
  <si>
    <t>0                      PG 3065000C  37                 P  7613        2011</t>
  </si>
  <si>
    <t>Creating the empress : politics and poetry in the age of Catherine II / Vera Proskurina.</t>
  </si>
  <si>
    <t>Proskurina, V. I︠U︡.</t>
  </si>
  <si>
    <t>Brighton, MA : Academic Studies Press, 2011.</t>
  </si>
  <si>
    <t>52943737:eng</t>
  </si>
  <si>
    <t>689995636</t>
  </si>
  <si>
    <t>ocn689995636</t>
  </si>
  <si>
    <t>3103502603P</t>
  </si>
  <si>
    <t>9781936235506</t>
  </si>
  <si>
    <t>794855054</t>
  </si>
  <si>
    <t>PG3065 F8 B3</t>
  </si>
  <si>
    <t>0                      PG 3065000F  8                  B  3</t>
  </si>
  <si>
    <t>Russian cubo-futurism 1910-1930, a study in avant-gardism, by Vahan D. Barooshian.</t>
  </si>
  <si>
    <t>Barooshian, Vahan D.</t>
  </si>
  <si>
    <t>The Hague, Mouton, 1974.</t>
  </si>
  <si>
    <t>De proprietatibus litterarum. Series maior, 24</t>
  </si>
  <si>
    <t>795037817:eng</t>
  </si>
  <si>
    <t>1012061</t>
  </si>
  <si>
    <t>ocm01012061</t>
  </si>
  <si>
    <t>3102924297L</t>
  </si>
  <si>
    <t>9789027926593</t>
  </si>
  <si>
    <t>791524614</t>
  </si>
  <si>
    <t>3102924292L</t>
  </si>
  <si>
    <t>791524613</t>
  </si>
  <si>
    <t>PG3065 F8 C4714</t>
  </si>
  <si>
    <t>0                      PG 3065000F  8                  C  4714</t>
  </si>
  <si>
    <t>Les futuristes / Kornei Tchoukovski ; trad. et postface de Gérard Conio.</t>
  </si>
  <si>
    <t>Chukovskiĭ, Korneĭ, 1882-1969.</t>
  </si>
  <si>
    <t>Lausanne : Éditions L'Age d'homme, [1976]</t>
  </si>
  <si>
    <t>3901089856:fre</t>
  </si>
  <si>
    <t>4486557</t>
  </si>
  <si>
    <t>ocm04486557</t>
  </si>
  <si>
    <t>3102924307$</t>
  </si>
  <si>
    <t>792353798</t>
  </si>
  <si>
    <t>PG3065 F8 M33 2006</t>
  </si>
  <si>
    <t>0                      PG 3065000F  8                  M  33          2006</t>
  </si>
  <si>
    <t>Russian futurism : a history / Vladimir Markov ; [with an introduction by Ronald Vroon].</t>
  </si>
  <si>
    <t>Markov, Vladimir.</t>
  </si>
  <si>
    <t>Washington, DC : New Academia, 2006.</t>
  </si>
  <si>
    <t>Russian history and culture series</t>
  </si>
  <si>
    <t>433207526:eng</t>
  </si>
  <si>
    <t>72763661</t>
  </si>
  <si>
    <t>ocm72763661</t>
  </si>
  <si>
    <t>31026307674</t>
  </si>
  <si>
    <t>9780977790807</t>
  </si>
  <si>
    <t>794170459</t>
  </si>
  <si>
    <t>PG3065 F8 P47 2016</t>
  </si>
  <si>
    <t>0                      PG 3065000F  8                  P  47          2016</t>
  </si>
  <si>
    <t>Explodity : sound, image, and word in Russian futurist book art / Nancy Perloff.</t>
  </si>
  <si>
    <t>Perloff, Nancy, author.</t>
  </si>
  <si>
    <t>Los Angeles, California : Getty Research Institute, [2016]</t>
  </si>
  <si>
    <t>2018-06-18</t>
  </si>
  <si>
    <t>3048708021:eng</t>
  </si>
  <si>
    <t>950519462</t>
  </si>
  <si>
    <t>ocn950519462</t>
  </si>
  <si>
    <t>3103671326W</t>
  </si>
  <si>
    <t>9781606065082</t>
  </si>
  <si>
    <t>795016681</t>
  </si>
  <si>
    <t>PG3065 M63 K37 2013</t>
  </si>
  <si>
    <t>0                      PG 3065000M  63                 K  37          2013</t>
  </si>
  <si>
    <t>Freedom from violence and lies : essays on Russian poetry and music / by Simon Karlinsky ; edited by Robert P. Hughes, Thomas A. Koster, Richard Taruskin.</t>
  </si>
  <si>
    <t>Karlinsky, Simon.</t>
  </si>
  <si>
    <t>Boston : Academic Studies Press, 2013.</t>
  </si>
  <si>
    <t>2014-07-29</t>
  </si>
  <si>
    <t>1367664673:eng</t>
  </si>
  <si>
    <t>851087888</t>
  </si>
  <si>
    <t>ocn851087888</t>
  </si>
  <si>
    <t>3103502591A</t>
  </si>
  <si>
    <t>9781618111586</t>
  </si>
  <si>
    <t>794950707</t>
  </si>
  <si>
    <t>3103526792F</t>
  </si>
  <si>
    <t>794950708</t>
  </si>
  <si>
    <t>PG3065 S8 D6</t>
  </si>
  <si>
    <t>0                      PG 3065000S  8                  D  6</t>
  </si>
  <si>
    <t>The influence of French symbolism on Russian poetry.</t>
  </si>
  <si>
    <t>Donchin, Georgette.</t>
  </si>
  <si>
    <t>'s-Gravenhage, Mouton, 1958.</t>
  </si>
  <si>
    <t>Slavistic printings and reprintings, 19</t>
  </si>
  <si>
    <t>9657767554:eng</t>
  </si>
  <si>
    <t>1836720</t>
  </si>
  <si>
    <t>ocm01836720</t>
  </si>
  <si>
    <t>30007755222</t>
  </si>
  <si>
    <t>791996735</t>
  </si>
  <si>
    <t>PG3065 S8 G65 2011</t>
  </si>
  <si>
    <t>0                      PG 3065000S  8                  G  65          2011</t>
  </si>
  <si>
    <t>Mandelstam, Blok, and the boundaries of mythopoetic symbolism / Stuart Goldberg.</t>
  </si>
  <si>
    <t>Goldberg, Stuart, 1971-</t>
  </si>
  <si>
    <t>Columbus : Ohio State University Press, ©2011.</t>
  </si>
  <si>
    <t>2014-03-02</t>
  </si>
  <si>
    <t>869429396:eng</t>
  </si>
  <si>
    <t>713834563</t>
  </si>
  <si>
    <t>ocn713834563</t>
  </si>
  <si>
    <t>3103385520L</t>
  </si>
  <si>
    <t>9780814211595</t>
  </si>
  <si>
    <t>794873099</t>
  </si>
  <si>
    <t>PG3071 S74 1992</t>
  </si>
  <si>
    <t>0                      PG 3071000S  74          1992</t>
  </si>
  <si>
    <t>Aspects of dramatic communication : action, non-action, interaction : (A.P. Čechov, A. Blok, D. Charms) / Jenny Stelleman.</t>
  </si>
  <si>
    <t>Stelleman, Jenny.</t>
  </si>
  <si>
    <t>Amsterdam ; Atlanta, GA : Rodopi, 1992.</t>
  </si>
  <si>
    <t>Studies in Slavic literature and poetics ; v. 16</t>
  </si>
  <si>
    <t>2017-12-08</t>
  </si>
  <si>
    <t>365357645:eng</t>
  </si>
  <si>
    <t>25827991</t>
  </si>
  <si>
    <t>ocm25827991</t>
  </si>
  <si>
    <t>3101189249T</t>
  </si>
  <si>
    <t>9789051832952</t>
  </si>
  <si>
    <t>793230752</t>
  </si>
  <si>
    <t>PG3081 L57 2000</t>
  </si>
  <si>
    <t>0                      PG 3081000L  57          2000</t>
  </si>
  <si>
    <t>Russian tragifarce : its cultural and political roots / Julia Listengarten.</t>
  </si>
  <si>
    <t>Listengarten, Julia, 1967-</t>
  </si>
  <si>
    <t>Cranbury, N.J. : Associated University Presses, ©2000.</t>
  </si>
  <si>
    <t>2018-03-07</t>
  </si>
  <si>
    <t>138890005:eng</t>
  </si>
  <si>
    <t>42296473</t>
  </si>
  <si>
    <t>ocm42296473</t>
  </si>
  <si>
    <t>3102029604X</t>
  </si>
  <si>
    <t>9781575910338</t>
  </si>
  <si>
    <t>793604836</t>
  </si>
  <si>
    <t>PG3086 R87 1988</t>
  </si>
  <si>
    <t>0                      PG 3086000R  87          1988</t>
  </si>
  <si>
    <t>Russian drama of the revolutionary period / Robert Russell.</t>
  </si>
  <si>
    <t>Russell, Robert, 1946-</t>
  </si>
  <si>
    <t>Basingstoke : Macmillan, 1988.</t>
  </si>
  <si>
    <t>2016-12-14</t>
  </si>
  <si>
    <t>118170275:eng</t>
  </si>
  <si>
    <t>16467732</t>
  </si>
  <si>
    <t>ocm16467732</t>
  </si>
  <si>
    <t>3102924366O</t>
  </si>
  <si>
    <t>9780333447581</t>
  </si>
  <si>
    <t>792963491</t>
  </si>
  <si>
    <t>PG3086 S44 1993</t>
  </si>
  <si>
    <t>0                      PG 3086000S  44          1993</t>
  </si>
  <si>
    <t>Twentieth-century Russian drama : from Gorky to the present / Harold B. Segel.</t>
  </si>
  <si>
    <t>Segel, Harold B., 1930-</t>
  </si>
  <si>
    <t>Baltimore : Johns Hopkins University Press, ©1993.</t>
  </si>
  <si>
    <t>Updated ed.</t>
  </si>
  <si>
    <t>PAJ books</t>
  </si>
  <si>
    <t>836735168:eng</t>
  </si>
  <si>
    <t>27895711</t>
  </si>
  <si>
    <t>ocm27895711</t>
  </si>
  <si>
    <t>3102802611C</t>
  </si>
  <si>
    <t>9780801846908</t>
  </si>
  <si>
    <t>793274700</t>
  </si>
  <si>
    <t>PG3089 M44 I53 2002</t>
  </si>
  <si>
    <t>0                      PG 3089000M  44                 I  53          2002</t>
  </si>
  <si>
    <t>Imitations of life : two centuries of melodrama in Russia / edited by Louise McReynolds and Joan Neuberger.</t>
  </si>
  <si>
    <t>Durham : Duke University Press, 2002.</t>
  </si>
  <si>
    <t>2017-06-19</t>
  </si>
  <si>
    <t>837078744:eng</t>
  </si>
  <si>
    <t>48055644</t>
  </si>
  <si>
    <t>ocm48055644</t>
  </si>
  <si>
    <t>3102924339U</t>
  </si>
  <si>
    <t>9780822327806</t>
  </si>
  <si>
    <t>793714771</t>
  </si>
  <si>
    <t>PG3091.9 T73 O33 2005</t>
  </si>
  <si>
    <t>0                      PG 3091900T  73                 O  33          2005</t>
  </si>
  <si>
    <t>Journeys to a graveyard : perceptions of Europe in classical Russian travel writing / by Derek Offord.</t>
  </si>
  <si>
    <t>Dordrecht : Springer, ©2005.</t>
  </si>
  <si>
    <t>Archives internationales d' histoire des idees = International archives of the history of ideas ; 192</t>
  </si>
  <si>
    <t>5219133937:eng</t>
  </si>
  <si>
    <t>63197139</t>
  </si>
  <si>
    <t>ocm63197139</t>
  </si>
  <si>
    <t>3102608048C</t>
  </si>
  <si>
    <t>9781402039089</t>
  </si>
  <si>
    <t>794120093</t>
  </si>
  <si>
    <t>PG3091.9 T73 S36 2000</t>
  </si>
  <si>
    <t>0                      PG 3091900T  73                 S  36          2000</t>
  </si>
  <si>
    <t>Authenticity and fiction in the Russian literary journey, 1790-1840 / Andreas Schönle.</t>
  </si>
  <si>
    <t>Schönle, Andreas.</t>
  </si>
  <si>
    <t>Cambridge, Mass. : Harvard University Press, 2000.</t>
  </si>
  <si>
    <t>Russian Research Center studies ; 92</t>
  </si>
  <si>
    <t>2675568:eng</t>
  </si>
  <si>
    <t>43227326</t>
  </si>
  <si>
    <t>ocm43227326</t>
  </si>
  <si>
    <t>3102924333U</t>
  </si>
  <si>
    <t>9780674002326</t>
  </si>
  <si>
    <t>793621926</t>
  </si>
  <si>
    <t>PG3093 R813 1985</t>
  </si>
  <si>
    <t>0                      PG 3093000R  813         1985</t>
  </si>
  <si>
    <t>Russian prose / edited by B.M. Eikhenbaum and Yury Tynyanov ; translated &amp; edited by Ray Parrott.</t>
  </si>
  <si>
    <t>Russkai︠a︡ proza. English.</t>
  </si>
  <si>
    <t>Ann Arbor : Ardis, 1985.</t>
  </si>
  <si>
    <t>2908424885:eng</t>
  </si>
  <si>
    <t>10751753</t>
  </si>
  <si>
    <t>ocm10751753</t>
  </si>
  <si>
    <t>3102924337U</t>
  </si>
  <si>
    <t>9780882338927</t>
  </si>
  <si>
    <t>792740874</t>
  </si>
  <si>
    <t>PG3093 S66 2015</t>
  </si>
  <si>
    <t>0                      PG 3093000S  66          2015</t>
  </si>
  <si>
    <t>The imperative of reliability : Russian prose on the eve of the novel, 1820s-1850s / Victoria Somoff.</t>
  </si>
  <si>
    <t>Somoff, Victoria, author.</t>
  </si>
  <si>
    <t>2016-05-06</t>
  </si>
  <si>
    <t>1885114618:eng</t>
  </si>
  <si>
    <t>879583933</t>
  </si>
  <si>
    <t>ocn879583933</t>
  </si>
  <si>
    <t>3103688348I</t>
  </si>
  <si>
    <t>9780810130579</t>
  </si>
  <si>
    <t>794972385</t>
  </si>
  <si>
    <t>PG3095 D8 1990</t>
  </si>
  <si>
    <t>0                      PG 3095000D  8           1990</t>
  </si>
  <si>
    <t>In Stalin's time : middleclass values in Soviet fiction / Vera S. Dunham ; with a new introduction by Richard Sheldon.</t>
  </si>
  <si>
    <t>Dunham, Vera Sandomirsky, 1912-2001.</t>
  </si>
  <si>
    <t>Durham : Duke University Press, 1990.</t>
  </si>
  <si>
    <t>Enl. and updated ed.</t>
  </si>
  <si>
    <t>2019-06-18</t>
  </si>
  <si>
    <t>499811248:eng</t>
  </si>
  <si>
    <t>22119122</t>
  </si>
  <si>
    <t>ocm22119122</t>
  </si>
  <si>
    <t>3102924367O</t>
  </si>
  <si>
    <t>9780822310853</t>
  </si>
  <si>
    <t>793134705</t>
  </si>
  <si>
    <t>PG3095 F7</t>
  </si>
  <si>
    <t>0                      PG 3095000F  7</t>
  </si>
  <si>
    <t>The rise of the Russian novel; studies in the Russian novel from Eugene Onegin to War and Peace.</t>
  </si>
  <si>
    <t>Cambridge [England] Cambridge University Press, 1973.</t>
  </si>
  <si>
    <t>2013-01-29</t>
  </si>
  <si>
    <t>865026402:eng</t>
  </si>
  <si>
    <t>549404</t>
  </si>
  <si>
    <t>ocm00549404</t>
  </si>
  <si>
    <t>3102924387K</t>
  </si>
  <si>
    <t>9780521085885</t>
  </si>
  <si>
    <t>791411206</t>
  </si>
  <si>
    <t>3102924382K</t>
  </si>
  <si>
    <t>791411207</t>
  </si>
  <si>
    <t>PG3095 G37 1998</t>
  </si>
  <si>
    <t>0                      PG 3095000G  37          1998</t>
  </si>
  <si>
    <t>The rise of the Russian novel : carnival, stylization, and mockery of the West / David Gasperetti.</t>
  </si>
  <si>
    <t>Gasperetti, David Wayne, 1952-</t>
  </si>
  <si>
    <t>DeKalb : Northern Illinois University Press, 1998.</t>
  </si>
  <si>
    <t>642205:eng</t>
  </si>
  <si>
    <t>36676019</t>
  </si>
  <si>
    <t>ocm36676019</t>
  </si>
  <si>
    <t>3102924392I</t>
  </si>
  <si>
    <t>9780875802305</t>
  </si>
  <si>
    <t>793481220</t>
  </si>
  <si>
    <t>PG3095 G5</t>
  </si>
  <si>
    <t>0                      PG 3095000G  5</t>
  </si>
  <si>
    <t>The novel in Russia : from Pushkin to Pasternak.</t>
  </si>
  <si>
    <t>Gifford, Henry.</t>
  </si>
  <si>
    <t>London : Hutchinson University Library, [1964]</t>
  </si>
  <si>
    <t>Hutchinson University Library. Modern languages and literature</t>
  </si>
  <si>
    <t>1804337:eng</t>
  </si>
  <si>
    <t>845484</t>
  </si>
  <si>
    <t>ocm00845484</t>
  </si>
  <si>
    <t>3102924397I</t>
  </si>
  <si>
    <t>791485178</t>
  </si>
  <si>
    <t>3102924402X</t>
  </si>
  <si>
    <t>791485179</t>
  </si>
  <si>
    <t>PG3095 G8</t>
  </si>
  <si>
    <t>0                      PG 3095000G  8</t>
  </si>
  <si>
    <t>Roman i revoli︠u︡t︠s︡ii︠a︡ : puti sovetsogo romana, 1917-1929 / V. Gura.</t>
  </si>
  <si>
    <t>Gura, V. V. (Viktor Vasilʹevich)</t>
  </si>
  <si>
    <t>Moskva : "Sov. pisatelʹ", 1973.</t>
  </si>
  <si>
    <t>3855462827:rus</t>
  </si>
  <si>
    <t>1381829</t>
  </si>
  <si>
    <t>ocm01381829</t>
  </si>
  <si>
    <t>3102924408X</t>
  </si>
  <si>
    <t>791614060</t>
  </si>
  <si>
    <t>PG3095 P59 1993</t>
  </si>
  <si>
    <t>0                      PG 3095000P  59          1993</t>
  </si>
  <si>
    <t>The pragmatics of insignificance : Chekhov, Zoshchenko, Gogol / Cathy Popkin.</t>
  </si>
  <si>
    <t>Popkin, Cathy, 1954-</t>
  </si>
  <si>
    <t>Stanford, Calif. : Stanford University Press, 1993.</t>
  </si>
  <si>
    <t>889794074:eng</t>
  </si>
  <si>
    <t>27680297</t>
  </si>
  <si>
    <t>ocm27680297</t>
  </si>
  <si>
    <t>3102924369O</t>
  </si>
  <si>
    <t>9780804722094</t>
  </si>
  <si>
    <t>793269066</t>
  </si>
  <si>
    <t>PG3095 R4</t>
  </si>
  <si>
    <t>0                      PG 3095000R  4</t>
  </si>
  <si>
    <t>The Russian novel / by F.D. Reeve.</t>
  </si>
  <si>
    <t>Reeve, F. D. (Franklin D.), 1928-2013.</t>
  </si>
  <si>
    <t>New York : McGraw-Hill, 1966.</t>
  </si>
  <si>
    <t>2011-04-05</t>
  </si>
  <si>
    <t>2015-08-25</t>
  </si>
  <si>
    <t>1401827:eng</t>
  </si>
  <si>
    <t>321354</t>
  </si>
  <si>
    <t>ocm00321354</t>
  </si>
  <si>
    <t>3102924374M</t>
  </si>
  <si>
    <t>791336241</t>
  </si>
  <si>
    <t>3102924378M</t>
  </si>
  <si>
    <t>791336240</t>
  </si>
  <si>
    <t>PG3095 V62 1916</t>
  </si>
  <si>
    <t>0                      PG 3095000V  62          1916</t>
  </si>
  <si>
    <t>The Russian novel.</t>
  </si>
  <si>
    <t>Vogüé, Eugène-Melchior, vicomte de, 1848-1910.</t>
  </si>
  <si>
    <t>New York : [publisher not identified], 1916.</t>
  </si>
  <si>
    <t>1916</t>
  </si>
  <si>
    <t>1419817:eng</t>
  </si>
  <si>
    <t>427854666</t>
  </si>
  <si>
    <t>ocn427854666</t>
  </si>
  <si>
    <t>3103592928V</t>
  </si>
  <si>
    <t>794703373</t>
  </si>
  <si>
    <t>PG3096 A65 B48 1989</t>
  </si>
  <si>
    <t>0                      PG 3096000A  65                 B  48          1989</t>
  </si>
  <si>
    <t>The shape of apocalypse in modern Russian fiction / David M. Bethea.</t>
  </si>
  <si>
    <t>Bethea, David M., 1948-</t>
  </si>
  <si>
    <t>Princeton, N.J. : Princeton University Press, ©1989.</t>
  </si>
  <si>
    <t>2019-03-07</t>
  </si>
  <si>
    <t>16637837:eng</t>
  </si>
  <si>
    <t>17871851</t>
  </si>
  <si>
    <t>ocm17871851</t>
  </si>
  <si>
    <t>3102924448P</t>
  </si>
  <si>
    <t>9780691067469</t>
  </si>
  <si>
    <t>793005899</t>
  </si>
  <si>
    <t>PG3096 B76 B47 2015</t>
  </si>
  <si>
    <t>0                      PG 3096000B  76                 B  47          2015</t>
  </si>
  <si>
    <t>Siblings in Tolstoy and Dostoevsky : the path to universal brotherhood / Anna A. Berman.</t>
  </si>
  <si>
    <t>Berman, Anna A., author.</t>
  </si>
  <si>
    <t>2018-03-12</t>
  </si>
  <si>
    <t>2523457208:eng</t>
  </si>
  <si>
    <t>908991403</t>
  </si>
  <si>
    <t>ocn908991403</t>
  </si>
  <si>
    <t>31036083335</t>
  </si>
  <si>
    <t>9780810131576</t>
  </si>
  <si>
    <t>794995232</t>
  </si>
  <si>
    <t>PG3096 D73 K38 1984</t>
  </si>
  <si>
    <t>0                      PG 3096000D  73                 K  38          1984</t>
  </si>
  <si>
    <t>Dreams and the unconscious in nineteenth-century Russian fiction / Michael R. Katz.</t>
  </si>
  <si>
    <t>Katz, Michael R.</t>
  </si>
  <si>
    <t>Hanover, NH : University Press of New England, 1984.</t>
  </si>
  <si>
    <t>2015-02-13</t>
  </si>
  <si>
    <t>2919333:eng</t>
  </si>
  <si>
    <t>10161557</t>
  </si>
  <si>
    <t>ocm10161557</t>
  </si>
  <si>
    <t>3102924431R</t>
  </si>
  <si>
    <t>9780874512717</t>
  </si>
  <si>
    <t>792712072</t>
  </si>
  <si>
    <t>PG3096 G76 K65 2018</t>
  </si>
  <si>
    <t>0                      PG 3096000G  76                 K  65          2018</t>
  </si>
  <si>
    <t>Russian grotesque realism : the great reforms and the gentry decline / Ani Kokobobo.</t>
  </si>
  <si>
    <t>Kokobobo, Ani, author.</t>
  </si>
  <si>
    <t>Columbus : The Ohio State University Press, [2018]</t>
  </si>
  <si>
    <t>4742185579:eng</t>
  </si>
  <si>
    <t>1000018727</t>
  </si>
  <si>
    <t>on1000018727</t>
  </si>
  <si>
    <t>31036702523</t>
  </si>
  <si>
    <t>9780814213636</t>
  </si>
  <si>
    <t>795040033</t>
  </si>
  <si>
    <t>PG3096 M68 K36 2014</t>
  </si>
  <si>
    <t>0                      PG 3096000M  68                 K  36          2014</t>
  </si>
  <si>
    <t>Women with a thirst for destruction : the bad mother in Russian culture / Jenny Kaminer.</t>
  </si>
  <si>
    <t>Kaminer, Jenny, author.</t>
  </si>
  <si>
    <t>Evanston, Illinois : Northwestern University Press, [2014]</t>
  </si>
  <si>
    <t>2015-01-12</t>
  </si>
  <si>
    <t>1333381596:eng</t>
  </si>
  <si>
    <t>843858250</t>
  </si>
  <si>
    <t>ocn843858250</t>
  </si>
  <si>
    <t>31035314756</t>
  </si>
  <si>
    <t>9780810129467</t>
  </si>
  <si>
    <t>794948232</t>
  </si>
  <si>
    <t>PG3096 N5 M6</t>
  </si>
  <si>
    <t>0                      PG 3096000N  5                  M  6</t>
  </si>
  <si>
    <t>Antinihilism in the Russian novel of the 1860's, by Charles A. Moser.</t>
  </si>
  <si>
    <t>Moser, Charles A.</t>
  </si>
  <si>
    <t>Slavistic printings and reprintings, 42</t>
  </si>
  <si>
    <t>2015-10-28</t>
  </si>
  <si>
    <t>2033505:eng</t>
  </si>
  <si>
    <t>1074553</t>
  </si>
  <si>
    <t>ocm01074553</t>
  </si>
  <si>
    <t>3102924434R</t>
  </si>
  <si>
    <t>791539327</t>
  </si>
  <si>
    <t>PG3096 R38 W45 2016</t>
  </si>
  <si>
    <t>0                      PG 3096000R  38                 W  45          2016</t>
  </si>
  <si>
    <t>How bad writing destroyed the world : Ayn Rand and the literary origins of the financial crisis / Adam Weiner.</t>
  </si>
  <si>
    <t>Weiner, Adam, author.</t>
  </si>
  <si>
    <t>New York : Bloomsbury Academic, an imprint of Bloomsbury Publishing Inc., 2016.</t>
  </si>
  <si>
    <t>3824399291:eng</t>
  </si>
  <si>
    <t>921033684</t>
  </si>
  <si>
    <t>ocn921033684</t>
  </si>
  <si>
    <t>3103657765P</t>
  </si>
  <si>
    <t>9781501313110</t>
  </si>
  <si>
    <t>795002845</t>
  </si>
  <si>
    <t>PG3096 R4 V55 2009</t>
  </si>
  <si>
    <t>0                      PG 3096000R  4                  V  55          2009</t>
  </si>
  <si>
    <t>Ghostly paradoxes : modern spiritualism and Russian culture in the age of realism / Ilya Vinitsky.</t>
  </si>
  <si>
    <t>Vinit︠s︡kiĭ, I. I︠U︡. (Ilʹi︠a︡ I︠U︡rʹevich), 1969-</t>
  </si>
  <si>
    <t>Toronto ; Buffalo : University of Toronto Press, ©2009.</t>
  </si>
  <si>
    <t>2015-11-23</t>
  </si>
  <si>
    <t>793121767:eng</t>
  </si>
  <si>
    <t>276340926</t>
  </si>
  <si>
    <t>ocn276340926</t>
  </si>
  <si>
    <t>3102709759G</t>
  </si>
  <si>
    <t>9780802099358</t>
  </si>
  <si>
    <t>794416566</t>
  </si>
  <si>
    <t>PG3096 R48 F7 1982</t>
  </si>
  <si>
    <t>0                      PG 3096000R  48                 F  7           1982</t>
  </si>
  <si>
    <t>The Russian revolutionary novel : Turgenev to Pasternak / Richard Freeborn.</t>
  </si>
  <si>
    <t>Cambridge [Cambridgeshire] ; New York : Cambridge University Press, 1982.</t>
  </si>
  <si>
    <t>2017-07-06</t>
  </si>
  <si>
    <t>862923842:eng</t>
  </si>
  <si>
    <t>8346127</t>
  </si>
  <si>
    <t>ocm08346127</t>
  </si>
  <si>
    <t>3102924445P</t>
  </si>
  <si>
    <t>9780521244428</t>
  </si>
  <si>
    <t>792614311</t>
  </si>
  <si>
    <t>PG3096 S64 H66 1996</t>
  </si>
  <si>
    <t>0                      PG 3096000S  64                 H  66          1996</t>
  </si>
  <si>
    <t>The military uses of literature : fiction and the Armed Forces in the Soviet Union / Mark T. Hooker.</t>
  </si>
  <si>
    <t>Hooker, Mark T.</t>
  </si>
  <si>
    <t>Westport, Conn. : Praeger, 1996.</t>
  </si>
  <si>
    <t>797245341:eng</t>
  </si>
  <si>
    <t>33970327</t>
  </si>
  <si>
    <t>ocm33970327</t>
  </si>
  <si>
    <t>3102924430R</t>
  </si>
  <si>
    <t>9780275955632</t>
  </si>
  <si>
    <t>793415390</t>
  </si>
  <si>
    <t>PG3096 U94 C56 1993</t>
  </si>
  <si>
    <t>0                      PG 3096000U  94                 C  56          1993</t>
  </si>
  <si>
    <t>Russian experimental fiction : resisting ideology after Utopia / Edith W. Clowes.</t>
  </si>
  <si>
    <t>Princeton, N.J. : Princeton University Press, ©1993.</t>
  </si>
  <si>
    <t>890550784:eng</t>
  </si>
  <si>
    <t>27226045</t>
  </si>
  <si>
    <t>ocm27226045</t>
  </si>
  <si>
    <t>3102924420T</t>
  </si>
  <si>
    <t>9780691032221</t>
  </si>
  <si>
    <t>793262393</t>
  </si>
  <si>
    <t>PG3096 W6 G74 2001</t>
  </si>
  <si>
    <t>0                      PG 3096000W  6                  G  74          2001</t>
  </si>
  <si>
    <t>Representing the marginal woman in nineteenth-century Russian literature : personalism, feminism, and polyphony / Svetlana Slavskaya Grenier.</t>
  </si>
  <si>
    <t>Grenier, Svetlana Slavskaya.</t>
  </si>
  <si>
    <t>Westport, CT : Greenwood Press, 2001.</t>
  </si>
  <si>
    <t>Contributions in women's studies, 0147-104X ; no. 185</t>
  </si>
  <si>
    <t>2019-04-13</t>
  </si>
  <si>
    <t>365814763:eng</t>
  </si>
  <si>
    <t>44016549</t>
  </si>
  <si>
    <t>ocm44016549</t>
  </si>
  <si>
    <t>3102056186M</t>
  </si>
  <si>
    <t>9780313315060</t>
  </si>
  <si>
    <t>793640659</t>
  </si>
  <si>
    <t>PG3096 W6 P57 1995</t>
  </si>
  <si>
    <t>0                      PG 3096000W  6                  P  57          1995</t>
  </si>
  <si>
    <t>A plot of her own : the female protagonist in Russian literature / edited by Sona Stephan Hoisington.</t>
  </si>
  <si>
    <t>Evanston, Ill. : Northwestern University Press, ©1995.</t>
  </si>
  <si>
    <t>55896373:eng</t>
  </si>
  <si>
    <t>31900438</t>
  </si>
  <si>
    <t>ocm31900438</t>
  </si>
  <si>
    <t>3102888328T</t>
  </si>
  <si>
    <t>9780810112247</t>
  </si>
  <si>
    <t>793370619</t>
  </si>
  <si>
    <t>PG3097 O85 1982</t>
  </si>
  <si>
    <t>0                      PG 3097000O  85          1982</t>
  </si>
  <si>
    <t>Structure, style, and interpretation in the Russian short story / L. Michael O'Toole.</t>
  </si>
  <si>
    <t>O'Toole, L. M. (Lawrence Michael), 1934-</t>
  </si>
  <si>
    <t>New Haven : Yale University Press, 1982.</t>
  </si>
  <si>
    <t>5218843013:eng</t>
  </si>
  <si>
    <t>7596384</t>
  </si>
  <si>
    <t>ocm07596384</t>
  </si>
  <si>
    <t>31025225819</t>
  </si>
  <si>
    <t>9780300027303</t>
  </si>
  <si>
    <t>792568641</t>
  </si>
  <si>
    <t>PG3097 R87 1986</t>
  </si>
  <si>
    <t>0                      PG 3097000R  87          1986</t>
  </si>
  <si>
    <t>The Russian short story : a critical history / Charles A. Moser, editor.</t>
  </si>
  <si>
    <t>Boston : Twayne, 1986.</t>
  </si>
  <si>
    <t>Twayne's critical history of the short story</t>
  </si>
  <si>
    <t>2016-10-04</t>
  </si>
  <si>
    <t>7975237:eng</t>
  </si>
  <si>
    <t>13796335</t>
  </si>
  <si>
    <t>ocm13796335</t>
  </si>
  <si>
    <t>3102924473J</t>
  </si>
  <si>
    <t>9780805793604</t>
  </si>
  <si>
    <t>792867078</t>
  </si>
  <si>
    <t>PG3097 R88 2010</t>
  </si>
  <si>
    <t>0                      PG 3097000R  88          2010</t>
  </si>
  <si>
    <t>The Russian twentieth-century short story : a critical companion / edited and with an introduction by Lyudmila Parts.</t>
  </si>
  <si>
    <t>Brighton, MA : Academic Studies Press, 2010.</t>
  </si>
  <si>
    <t>Cultural revolutions: Russia in the twentieth century</t>
  </si>
  <si>
    <t>361044797:eng</t>
  </si>
  <si>
    <t>482612351</t>
  </si>
  <si>
    <t>ocn482612351</t>
  </si>
  <si>
    <t>31032545503</t>
  </si>
  <si>
    <t>9781934843444</t>
  </si>
  <si>
    <t>794799291</t>
  </si>
  <si>
    <t>PG3097 S56 1991</t>
  </si>
  <si>
    <t>0                      PG 3097000S  56          1991</t>
  </si>
  <si>
    <t>The Short story in Russia, 1900-1917 / edited by Nicholas Luker.</t>
  </si>
  <si>
    <t>Nottingham, England : Astra Press, 1991.</t>
  </si>
  <si>
    <t>26678140:eng</t>
  </si>
  <si>
    <t>25108536</t>
  </si>
  <si>
    <t>ocm25108536</t>
  </si>
  <si>
    <t>3102924463L</t>
  </si>
  <si>
    <t>9780946134182</t>
  </si>
  <si>
    <t>793212555</t>
  </si>
  <si>
    <t>PG3097 V57 1993</t>
  </si>
  <si>
    <t>0                      PG 3097000V  57          1993</t>
  </si>
  <si>
    <t>Soviet literary culture in the 1970s : the politics of irony / Anatoly Vishevsky ; with an anthology of ironic prose translated by Michael Biggins and Anatoly Vishevsky.</t>
  </si>
  <si>
    <t>Vishevskiĭ, Anatoliĭ.</t>
  </si>
  <si>
    <t>Gainesville : University Press of Florida, ©1993.</t>
  </si>
  <si>
    <t>890415186:eng</t>
  </si>
  <si>
    <t>27726144</t>
  </si>
  <si>
    <t>ocm27726144</t>
  </si>
  <si>
    <t>3102924474J</t>
  </si>
  <si>
    <t>9780813012254</t>
  </si>
  <si>
    <t>793270607</t>
  </si>
  <si>
    <t>PG3098 D46 O43 2001</t>
  </si>
  <si>
    <t>0                      PG 3098000D  46                 O  43          2001</t>
  </si>
  <si>
    <t>Russian pulp : the detektiv and the Russian way of crime / Anthony Olcott.</t>
  </si>
  <si>
    <t>Olcott, Anthony, 1950-</t>
  </si>
  <si>
    <t>Lanham : Rowman &amp; Littlefield Publishers, ©2001.</t>
  </si>
  <si>
    <t>2018-03-31</t>
  </si>
  <si>
    <t>203204073:eng</t>
  </si>
  <si>
    <t>45708211</t>
  </si>
  <si>
    <t>ocm45708211</t>
  </si>
  <si>
    <t>3102802598$</t>
  </si>
  <si>
    <t>9780742511392</t>
  </si>
  <si>
    <t>793676657</t>
  </si>
  <si>
    <t>PG3098 F34 B53 t.11</t>
  </si>
  <si>
    <t>0                      PG 3098000F  34                 B  53                                t.11</t>
  </si>
  <si>
    <t>Nepokoĭnye doma : russkai︠a︡ fantasticheskai︠a︡ proza nachala XX veka / [sostavlenie, primechanii︠a︡ i podbor illi︠u︡strat︠s︡iĭ I︠U︡.M. Medvedeva ; redakt︠s︡ionnai︠a︡ kollegii︠a︡, V.M. Guminskiĭ and others].</t>
  </si>
  <si>
    <t>t.11*</t>
  </si>
  <si>
    <t>Moskva : "Russkai︠a︡ kniga", 1998.</t>
  </si>
  <si>
    <t>Biblioteka russkoĭ fantastiki ; t. 11</t>
  </si>
  <si>
    <t>2019-01-02</t>
  </si>
  <si>
    <t>138848703:rus</t>
  </si>
  <si>
    <t>40838859</t>
  </si>
  <si>
    <t>ocm40838859</t>
  </si>
  <si>
    <t>3102924437R</t>
  </si>
  <si>
    <t>9785268010701</t>
  </si>
  <si>
    <t>793576990</t>
  </si>
  <si>
    <t>PG3098 F34 B53 t.12</t>
  </si>
  <si>
    <t>0                      PG 3098000F  34                 B  53                                t.12</t>
  </si>
  <si>
    <t>Muzeĭ voskovykh figur : russkai︠a︡ fantasticheskai︠a︡ proza nachala XX veka / [sostavlenie, primechanii︠a︡, podbor illi︠u︡strat︠s︡iĭ I︠U︡.M. Medvedeva].</t>
  </si>
  <si>
    <t>t.12*</t>
  </si>
  <si>
    <t>Biblioteka russkoĭ fantastiki ; t. 12</t>
  </si>
  <si>
    <t>3857975270:rus</t>
  </si>
  <si>
    <t>40983701</t>
  </si>
  <si>
    <t>ocm40983701</t>
  </si>
  <si>
    <t>3102924442P</t>
  </si>
  <si>
    <t>793580708</t>
  </si>
  <si>
    <t>PG3098 F34 B53 t.18</t>
  </si>
  <si>
    <t>0                      PG 3098000F  34                 B  53                                t.18</t>
  </si>
  <si>
    <t>Purpurnai︠a︡ mumii︠a︡ : russkai︠a︡ fantasticheskai︠a︡ proza 40-70-x godov XX veka / [sostavlenie, primechanii︠a︡ i podbor illi︠u︡strat︠s︡iĭ I︠U︡.M. Medvedeva ; redakt︠s︡ionnai︠a︡ kollegii︠a︡, V.M. Guminskiĭ and others].</t>
  </si>
  <si>
    <t>t.18*</t>
  </si>
  <si>
    <t>Moskva : "Russkai︠a︡ kniga", 2000.</t>
  </si>
  <si>
    <t>Biblioteka russkoĭ fantastiki ; t. 18</t>
  </si>
  <si>
    <t>2019-07-29</t>
  </si>
  <si>
    <t>497567042:rus</t>
  </si>
  <si>
    <t>45905011</t>
  </si>
  <si>
    <t>ocm45905011</t>
  </si>
  <si>
    <t>3102924477J</t>
  </si>
  <si>
    <t>793680938</t>
  </si>
  <si>
    <t>PG3098 F34 B53 t.19-20</t>
  </si>
  <si>
    <t>0                      PG 3098000F  34                 B  53                                t.19-20</t>
  </si>
  <si>
    <t>Komnata nevesty : russkai︠a︡ fantasticheskai︠a︡ proza kont︠s︡a XX veka / [sostavlenie, primechanii︠a︡, podbor illi︠u︡strat︠s︡iĭ I︠U︡.M. Medvedeva].</t>
  </si>
  <si>
    <t>t.19/20</t>
  </si>
  <si>
    <t>Moskva : Russkai︠a︡ kniga, 2001.</t>
  </si>
  <si>
    <t>Biblioteka russkoĭ fantastiki ; t. 19-20</t>
  </si>
  <si>
    <t>499905876:rus</t>
  </si>
  <si>
    <t>47679641</t>
  </si>
  <si>
    <t>ocm47679641</t>
  </si>
  <si>
    <t>3102924482H</t>
  </si>
  <si>
    <t>9785268004670</t>
  </si>
  <si>
    <t>793705202</t>
  </si>
  <si>
    <t>PG3098 F73 I8 1993</t>
  </si>
  <si>
    <t>0                      PG 3098000F  73                 I  8           1993</t>
  </si>
  <si>
    <t>Telling silence : Russian frame narratives of renunciation / Charles Isenberg.</t>
  </si>
  <si>
    <t>Isenberg, Charles.</t>
  </si>
  <si>
    <t>Evanston, Ill. : Northwestern University Press, ©1993.</t>
  </si>
  <si>
    <t>2019-11-26</t>
  </si>
  <si>
    <t>476593369:eng</t>
  </si>
  <si>
    <t>29259321</t>
  </si>
  <si>
    <t>ocm29259321</t>
  </si>
  <si>
    <t>3102689698E</t>
  </si>
  <si>
    <t>9780810111080</t>
  </si>
  <si>
    <t>793306661</t>
  </si>
  <si>
    <t>PG3098 H5 M37 2007</t>
  </si>
  <si>
    <t>0                      PG 3098000H  5                  M  37          2007</t>
  </si>
  <si>
    <t>Literature, history and identity in post-Soviet Russia, 1991-2006 / Rosalind Marsh.</t>
  </si>
  <si>
    <t>Marsh, Rosalind J.</t>
  </si>
  <si>
    <t>Oxford ; New York : Peter Lang, ©2007.</t>
  </si>
  <si>
    <t>2016-07-14</t>
  </si>
  <si>
    <t>119714381:eng</t>
  </si>
  <si>
    <t>191727435</t>
  </si>
  <si>
    <t>ocn191727435</t>
  </si>
  <si>
    <t>3102651231B</t>
  </si>
  <si>
    <t>9783039110698</t>
  </si>
  <si>
    <t>794300619</t>
  </si>
  <si>
    <t>PG3098 P5 S77 2015</t>
  </si>
  <si>
    <t>0                      PG 3098000P  5                  S  77          2015</t>
  </si>
  <si>
    <t>Plutovskoĭ roman v rossii : k istorii russkogo romana do Gogoli︠a︡ / I︠U︡ riĭ Shtridter.</t>
  </si>
  <si>
    <t>Striedter, Jurij, author.</t>
  </si>
  <si>
    <t>Moskva : AIRO-XXI ; Sankt-Peterburg : ALETEĬI︠A︡, 2015.</t>
  </si>
  <si>
    <t>Serii︠a︡ "AIRO-pervai︠a︡ publikat︠s︡ii︠a︡ v Rossii"</t>
  </si>
  <si>
    <t>2551486985:rus</t>
  </si>
  <si>
    <t>911218338</t>
  </si>
  <si>
    <t>ocn911218338</t>
  </si>
  <si>
    <t>3103705113R</t>
  </si>
  <si>
    <t>9785910222681</t>
  </si>
  <si>
    <t>794998220</t>
  </si>
  <si>
    <t>PG3098 S5 G43</t>
  </si>
  <si>
    <t>0                      PG 3098000S  5                  G  43</t>
  </si>
  <si>
    <t>Extrapolations from dystopia : a critical study of Soviet science fiction / John Glad.</t>
  </si>
  <si>
    <t>Glad, John.</t>
  </si>
  <si>
    <t>Princeton, N.J. : Kingston Press, [1982?]</t>
  </si>
  <si>
    <t>2015-12-16</t>
  </si>
  <si>
    <t>32524900:eng</t>
  </si>
  <si>
    <t>8625282</t>
  </si>
  <si>
    <t>ocm08625282</t>
  </si>
  <si>
    <t>3102924531O</t>
  </si>
  <si>
    <t>9780940670150</t>
  </si>
  <si>
    <t>792630702</t>
  </si>
  <si>
    <t>PG3098.3 A88 1996</t>
  </si>
  <si>
    <t>0                      PG 3098300A  88          1996</t>
  </si>
  <si>
    <t>Avtor i tekst : sbornik stateĭ / pod redakt︠s︡ieĭ V.M. Markovicha i Volʹfa Shmida.</t>
  </si>
  <si>
    <t>Sankt-Peterburg : Izd-vo S.-Peterburgskogo universiteta, 1996.</t>
  </si>
  <si>
    <t>Peterburgskiĭ sbornik ; vyp. 2</t>
  </si>
  <si>
    <t>10033142292:rus</t>
  </si>
  <si>
    <t>36626923</t>
  </si>
  <si>
    <t>ocm36626923</t>
  </si>
  <si>
    <t>3102924506U</t>
  </si>
  <si>
    <t>9785288017162</t>
  </si>
  <si>
    <t>793479866</t>
  </si>
  <si>
    <t>PG3098.3 C3 1976</t>
  </si>
  <si>
    <t>0                      PG 3098300C  3           1976</t>
  </si>
  <si>
    <t>Russia discovered : nineteenth-century fiction from Pushkin to Chekhov / Angus Calder.</t>
  </si>
  <si>
    <t>Calder, Angus.</t>
  </si>
  <si>
    <t>London : Heinemann ; New York : Barnes and Noble, 1976.</t>
  </si>
  <si>
    <t>2018-12-18</t>
  </si>
  <si>
    <t>196542185:eng</t>
  </si>
  <si>
    <t>2558718</t>
  </si>
  <si>
    <t>ocm02558718</t>
  </si>
  <si>
    <t>3102924505U</t>
  </si>
  <si>
    <t>9780064909242</t>
  </si>
  <si>
    <t>792143583</t>
  </si>
  <si>
    <t>PG3098.3 C33 1998</t>
  </si>
  <si>
    <t>0                      PG 3098300C  33          1998</t>
  </si>
  <si>
    <t>The Cambridge companion to the classic Russian novel / edited by Malcolm V. Jones and Robin Feuer Miller.</t>
  </si>
  <si>
    <t>Jones, Malcolm V., editor.</t>
  </si>
  <si>
    <t>New York : Cambridge University Press, 1998.</t>
  </si>
  <si>
    <t>Cambridge companions to literature</t>
  </si>
  <si>
    <t>2019-02-13</t>
  </si>
  <si>
    <t>365718121:eng</t>
  </si>
  <si>
    <t>37341515</t>
  </si>
  <si>
    <t>ocm37341515</t>
  </si>
  <si>
    <t>31027108871</t>
  </si>
  <si>
    <t>9780521473460</t>
  </si>
  <si>
    <t>793496273</t>
  </si>
  <si>
    <t>PG3098.3 F76 1990</t>
  </si>
  <si>
    <t>0                      PG 3098300F  76          1990</t>
  </si>
  <si>
    <t>From Pushkin to Palisandriia : essays on the Russian novel in honor of Richard Freeborn / edited by Arnold McMillin.</t>
  </si>
  <si>
    <t>New York : St. Martin's Press, 1990.</t>
  </si>
  <si>
    <t>2016-07-29</t>
  </si>
  <si>
    <t>836752720:eng</t>
  </si>
  <si>
    <t>21151838</t>
  </si>
  <si>
    <t>ocm21151838</t>
  </si>
  <si>
    <t>3102924515S</t>
  </si>
  <si>
    <t>9780312046392</t>
  </si>
  <si>
    <t>793110623</t>
  </si>
  <si>
    <t>PG3098.3 M47 1983</t>
  </si>
  <si>
    <t>0                      PG 3098300M  47          1983</t>
  </si>
  <si>
    <t>Russian romantic fiction / John Mersereau, Jr.</t>
  </si>
  <si>
    <t>Mersereau, John, Jr., 1925-2009.</t>
  </si>
  <si>
    <t>Ann Arbor : Ardis, ©1983.</t>
  </si>
  <si>
    <t>2001-12-05</t>
  </si>
  <si>
    <t>24941747:eng</t>
  </si>
  <si>
    <t>8974843</t>
  </si>
  <si>
    <t>ocm08974843</t>
  </si>
  <si>
    <t>3102924530O</t>
  </si>
  <si>
    <t>9780882337395</t>
  </si>
  <si>
    <t>792650809</t>
  </si>
  <si>
    <t>3102924535O</t>
  </si>
  <si>
    <t>792650810</t>
  </si>
  <si>
    <t>PG3098.3 N43 2011</t>
  </si>
  <si>
    <t>0                      PG 3098300N  43          2011</t>
  </si>
  <si>
    <t>Istorii︠a︡ russkogo romana XIX veka : neklassicheskie formy : kurs lekt︠s︡iĭ / V.A. Nedzvet︠s︡kiĭ.</t>
  </si>
  <si>
    <t>Nedzvet︠s︡kiĭ, V. A., author.</t>
  </si>
  <si>
    <t>Moskva : Izd-vo Moskovskogo universiteta, 2011.</t>
  </si>
  <si>
    <t>3770986442:rus</t>
  </si>
  <si>
    <t>704058061</t>
  </si>
  <si>
    <t>ocn704058061</t>
  </si>
  <si>
    <t>3103393559I</t>
  </si>
  <si>
    <t>9785211058392</t>
  </si>
  <si>
    <t>794865238</t>
  </si>
  <si>
    <t>PG3098.3 N439 2013</t>
  </si>
  <si>
    <t>0                      PG 3098300N  439         2013</t>
  </si>
  <si>
    <t>Russkiĭ roman XIX veka : spornye i nereshennye voprosy zhanra / V.A. Nedzvet︠s︡kiĭ.</t>
  </si>
  <si>
    <t>Moskva : Izdatelʹstvo Moskovskogo universiteta, 2013.</t>
  </si>
  <si>
    <t>2014-12-11</t>
  </si>
  <si>
    <t>4133109529:rus</t>
  </si>
  <si>
    <t>815723854</t>
  </si>
  <si>
    <t>ocn815723854</t>
  </si>
  <si>
    <t>3103482850C</t>
  </si>
  <si>
    <t>9785211063587</t>
  </si>
  <si>
    <t>794932668</t>
  </si>
  <si>
    <t>PG3098.3 O79 2007</t>
  </si>
  <si>
    <t>0                      PG 3098300O  79          2007</t>
  </si>
  <si>
    <t>Consequences of consciousness : Turgenev, Dostoevsky, and Tolstoy / Donna Tussing Orwin.</t>
  </si>
  <si>
    <t>Orwin, Donna Tussing, 1947-</t>
  </si>
  <si>
    <t>140828311:eng</t>
  </si>
  <si>
    <t>147988420</t>
  </si>
  <si>
    <t>ocn147988420</t>
  </si>
  <si>
    <t>3102645745K</t>
  </si>
  <si>
    <t>9780804757034</t>
  </si>
  <si>
    <t>794240520</t>
  </si>
  <si>
    <t>PG3098.3 S74 2011</t>
  </si>
  <si>
    <t>0                      PG 3098300S  74          2011</t>
  </si>
  <si>
    <t>For humanity's sake : the Bildungsroman in Russian culture / Lina Steiner.</t>
  </si>
  <si>
    <t>Steiner, Lina, 1973-</t>
  </si>
  <si>
    <t>Toronto : University of Toronto Press, ©2011.</t>
  </si>
  <si>
    <t>2018-04-10</t>
  </si>
  <si>
    <t>912093243:eng</t>
  </si>
  <si>
    <t>731322701</t>
  </si>
  <si>
    <t>ocn731322701</t>
  </si>
  <si>
    <t>3103326263B</t>
  </si>
  <si>
    <t>9781442643437</t>
  </si>
  <si>
    <t>794880749</t>
  </si>
  <si>
    <t>PG3098.3 T6 1986</t>
  </si>
  <si>
    <t>0                      PG 3098300T  6           1986</t>
  </si>
  <si>
    <t>Fiction and society in the age of Pushkin : ideology, institutions, and narrative / William Mills Todd III.</t>
  </si>
  <si>
    <t>Todd, William Mills, 1944-</t>
  </si>
  <si>
    <t>Cambridge, Mass. : Harvard University Press, 1986.</t>
  </si>
  <si>
    <t>2016-02-22</t>
  </si>
  <si>
    <t>5214703:eng</t>
  </si>
  <si>
    <t>12582409</t>
  </si>
  <si>
    <t>ocm12582409</t>
  </si>
  <si>
    <t>3102924519S</t>
  </si>
  <si>
    <t>9780674299450</t>
  </si>
  <si>
    <t>792820007</t>
  </si>
  <si>
    <t>PG3098.4 A33 2014</t>
  </si>
  <si>
    <t>0                      PG 3098400A  33          2014</t>
  </si>
  <si>
    <t>Phantoms of a future past : a study of contemporary Russian anti-utopian novels / Mattias Ågren.</t>
  </si>
  <si>
    <t>Ågren, Mattias, author.</t>
  </si>
  <si>
    <t>[Stockholm] : Stockholm University, ©2014.</t>
  </si>
  <si>
    <t>Acta Universitatis Stockholmiensis. Stockholm studies in Russian literature, 0346-8496 ; 43</t>
  </si>
  <si>
    <t>2936562371:eng</t>
  </si>
  <si>
    <t>904786632</t>
  </si>
  <si>
    <t>ocn904786632</t>
  </si>
  <si>
    <t>3103688562G</t>
  </si>
  <si>
    <t>9789198194739</t>
  </si>
  <si>
    <t>794990786</t>
  </si>
  <si>
    <t>PG3098.4 B76 1993</t>
  </si>
  <si>
    <t>0                      PG 3098400B  76          1993</t>
  </si>
  <si>
    <t>The last years of Soviet Russian literature : prose fiction, 1975-1991 / Deming Brown.</t>
  </si>
  <si>
    <t>Cambridge ; New York : Cambridge University Press, 1993.</t>
  </si>
  <si>
    <t>807267448:eng</t>
  </si>
  <si>
    <t>27337087</t>
  </si>
  <si>
    <t>ocm27337087</t>
  </si>
  <si>
    <t>3102924502U</t>
  </si>
  <si>
    <t>9780521403108</t>
  </si>
  <si>
    <t>793264425</t>
  </si>
  <si>
    <t>PG3098.4 C39 2004</t>
  </si>
  <si>
    <t>0                      PG 3098400C  39          2004</t>
  </si>
  <si>
    <t>Russian literature, 1995-2002 : on the threshold of the new millennium / N.N. Shneidman.</t>
  </si>
  <si>
    <t>Shneidman, N. N.</t>
  </si>
  <si>
    <t>Toronto : University of Toronto Press, ©2004.</t>
  </si>
  <si>
    <t>2018-04-28</t>
  </si>
  <si>
    <t>864055842:eng</t>
  </si>
  <si>
    <t>54692106</t>
  </si>
  <si>
    <t>ocm54692106</t>
  </si>
  <si>
    <t>31029411027</t>
  </si>
  <si>
    <t>9780802087249</t>
  </si>
  <si>
    <t>793865672</t>
  </si>
  <si>
    <t>2014-04-09</t>
  </si>
  <si>
    <t>3102888352N</t>
  </si>
  <si>
    <t>793865671</t>
  </si>
  <si>
    <t>PG3098.4 C4</t>
  </si>
  <si>
    <t>0                      PG 3098400C  4</t>
  </si>
  <si>
    <t>The Soviet novel : history as ritual / Katerina Clark.</t>
  </si>
  <si>
    <t>Chicago : University of Chicago Press, ©1981.</t>
  </si>
  <si>
    <t>Chicago originals</t>
  </si>
  <si>
    <t>5393832:eng</t>
  </si>
  <si>
    <t>6487532</t>
  </si>
  <si>
    <t>ocm06487532</t>
  </si>
  <si>
    <t>3102924510S</t>
  </si>
  <si>
    <t>9780226107660</t>
  </si>
  <si>
    <t>792502780</t>
  </si>
  <si>
    <t>PG3098.4 C4 2000</t>
  </si>
  <si>
    <t>0                      PG 3098400C  4           2000</t>
  </si>
  <si>
    <t>2018-12-07</t>
  </si>
  <si>
    <t>43884905</t>
  </si>
  <si>
    <t>ocm43884905</t>
  </si>
  <si>
    <t>3102924518S</t>
  </si>
  <si>
    <t>9780253337030</t>
  </si>
  <si>
    <t>793637644</t>
  </si>
  <si>
    <t>PG3098.4 E3</t>
  </si>
  <si>
    <t>0                      PG 3098400E  3</t>
  </si>
  <si>
    <t>Three Russian writers and the irrational : Zamyatin, Pilʹnyak, and Bulgakov / T.R.N. Edwards.</t>
  </si>
  <si>
    <t>Edwards, T. R. N.</t>
  </si>
  <si>
    <t>863758595:eng</t>
  </si>
  <si>
    <t>7552138</t>
  </si>
  <si>
    <t>ocm07552138</t>
  </si>
  <si>
    <t>3103102777W</t>
  </si>
  <si>
    <t>9780521236706</t>
  </si>
  <si>
    <t>792565113</t>
  </si>
  <si>
    <t>PG3098.4 G56 1996</t>
  </si>
  <si>
    <t>0                      PG 3098400G  56          1996</t>
  </si>
  <si>
    <t>The twentieth-century Russian novel : an introduction / David Gillespie.</t>
  </si>
  <si>
    <t>Gillespie, David, 1957-</t>
  </si>
  <si>
    <t>Oxford ; Washington, D.C. : Berg, 1996.</t>
  </si>
  <si>
    <t>793879981:eng</t>
  </si>
  <si>
    <t>34077637</t>
  </si>
  <si>
    <t>ocm34077637</t>
  </si>
  <si>
    <t>3102924537O</t>
  </si>
  <si>
    <t>9781859730782</t>
  </si>
  <si>
    <t>793418016</t>
  </si>
  <si>
    <t>PG3098.4 H67 1980</t>
  </si>
  <si>
    <t>0                      PG 3098400H  67          1980</t>
  </si>
  <si>
    <t>Beyond socialist realism / Geoffrey Hosking.</t>
  </si>
  <si>
    <t>Hosking, Geoffrey A.</t>
  </si>
  <si>
    <t>New York : Holmes &amp; Meier Publishers, 1980.</t>
  </si>
  <si>
    <t>8907824121:eng</t>
  </si>
  <si>
    <t>237442262</t>
  </si>
  <si>
    <t>ocn237442262</t>
  </si>
  <si>
    <t>3103006916S</t>
  </si>
  <si>
    <t>9780841904842</t>
  </si>
  <si>
    <t>794373337</t>
  </si>
  <si>
    <t>2014-07-18</t>
  </si>
  <si>
    <t>3103004982M</t>
  </si>
  <si>
    <t>794373336</t>
  </si>
  <si>
    <t>PG3098.4 K53 2011</t>
  </si>
  <si>
    <t>0                      PG 3098400K  53          2011</t>
  </si>
  <si>
    <t>Russian postmodernist metafiction / Nina Kolesnikoff.</t>
  </si>
  <si>
    <t>Kolesnikoff, Nina, 1943-</t>
  </si>
  <si>
    <t>Bern ; New York : Peter Lang, ©2011.</t>
  </si>
  <si>
    <t>787352097:eng</t>
  </si>
  <si>
    <t>702647858</t>
  </si>
  <si>
    <t>ocn702647858</t>
  </si>
  <si>
    <t>31033329513</t>
  </si>
  <si>
    <t>9783034306096</t>
  </si>
  <si>
    <t>794864224</t>
  </si>
  <si>
    <t>PG3098.4 L475 1999</t>
  </si>
  <si>
    <t>0                      PG 3098400L  475         1999</t>
  </si>
  <si>
    <t>Russian postmodernist fiction : dialogue with chaos / Mark Lipovetsky ; edited by Eliot Borenstein.</t>
  </si>
  <si>
    <t>Lipovet︠s︡kiĭ, M. N. (Mark Naumovich)</t>
  </si>
  <si>
    <t>Armonk, NY : M.E. Sharpe, ©1999.</t>
  </si>
  <si>
    <t>375435751:eng</t>
  </si>
  <si>
    <t>39060541</t>
  </si>
  <si>
    <t>ocm39060541</t>
  </si>
  <si>
    <t>31031472619</t>
  </si>
  <si>
    <t>9780765601766</t>
  </si>
  <si>
    <t>793537000</t>
  </si>
  <si>
    <t>PG3098.4 N53 2010</t>
  </si>
  <si>
    <t>0                      PG 3098400N  53          2010</t>
  </si>
  <si>
    <t>Writers at work : Russian production novels and the construction of Soviet culture / Mary A. Nicholas.</t>
  </si>
  <si>
    <t>Nicholas, Mary A., 1954-</t>
  </si>
  <si>
    <t>Lewisburg : Bucknell University Press, ©2010.</t>
  </si>
  <si>
    <t>796330839:eng</t>
  </si>
  <si>
    <t>435628992</t>
  </si>
  <si>
    <t>ocn435628992</t>
  </si>
  <si>
    <t>3103239043A</t>
  </si>
  <si>
    <t>9780838757390</t>
  </si>
  <si>
    <t>794783445</t>
  </si>
  <si>
    <t>PG3098.4 O776 2014</t>
  </si>
  <si>
    <t>0                      PG 3098400O  776         2014</t>
  </si>
  <si>
    <t>Matrit︠s︡a sovremennosti : genezis russkogo romana 2000-kh gg. / S.P. Orobiĭ.</t>
  </si>
  <si>
    <t>Orobiĭ, S. P. (Sergeĭ Pavlovich), author.</t>
  </si>
  <si>
    <t>Sankt-Peterburg : ID "Petropolis", 2014.</t>
  </si>
  <si>
    <t>Serii︠a︡: Spory o sovremennoĭ slovesnosti</t>
  </si>
  <si>
    <t>2196047294:rus</t>
  </si>
  <si>
    <t>893039365</t>
  </si>
  <si>
    <t>ocn893039365</t>
  </si>
  <si>
    <t>3103199676$</t>
  </si>
  <si>
    <t>9785967605642</t>
  </si>
  <si>
    <t>794981316</t>
  </si>
  <si>
    <t>PG3098.4 P66 1994</t>
  </si>
  <si>
    <t>0                      PG 3098400P  66          1994</t>
  </si>
  <si>
    <t>Russia's alternative prose / Robert Porter.</t>
  </si>
  <si>
    <t>Porter, Robert.</t>
  </si>
  <si>
    <t>Oxford ; Providence, RI : Berg, 1994.</t>
  </si>
  <si>
    <t>32904664:eng</t>
  </si>
  <si>
    <t>30972552</t>
  </si>
  <si>
    <t>ocm30972552</t>
  </si>
  <si>
    <t>3103018612O</t>
  </si>
  <si>
    <t>9780854969357</t>
  </si>
  <si>
    <t>793350136</t>
  </si>
  <si>
    <t>PG3098.4 W45 2002</t>
  </si>
  <si>
    <t>0                      PG 3098400W  45          2002</t>
  </si>
  <si>
    <t>The author as hero : self and tradition in Bulgakov, Pasternak, and Nabokov / Justin Weir.</t>
  </si>
  <si>
    <t>Weir, Justin.</t>
  </si>
  <si>
    <t>228464937:eng</t>
  </si>
  <si>
    <t>49740609</t>
  </si>
  <si>
    <t>ocm49740609</t>
  </si>
  <si>
    <t>3102209712H</t>
  </si>
  <si>
    <t>9780810118812</t>
  </si>
  <si>
    <t>793746909</t>
  </si>
  <si>
    <t>PG3098.5 S42 2014</t>
  </si>
  <si>
    <t>0                      PG 3098500S  42          2014</t>
  </si>
  <si>
    <t>Sovremennai︠a︡ russkai︠a︡ proza : mifopoėticheskiĭ rakurs / Ė.F. Shafranskai︠a︡.</t>
  </si>
  <si>
    <t>Shafranskai︠a︡, Ė. F. (Ėleonora Fedorovna), author.</t>
  </si>
  <si>
    <t>Moskva : URSS : LENAND, [2014]</t>
  </si>
  <si>
    <t>2015-09-10</t>
  </si>
  <si>
    <t>8913025202:rus</t>
  </si>
  <si>
    <t>900545030</t>
  </si>
  <si>
    <t>ocn900545030</t>
  </si>
  <si>
    <t>3103586031I</t>
  </si>
  <si>
    <t>9785971009504</t>
  </si>
  <si>
    <t>794987634</t>
  </si>
  <si>
    <t>PG3099 W5 R44 2004</t>
  </si>
  <si>
    <t>0                      PG 3099000W  5                  R  44          2004</t>
  </si>
  <si>
    <t>Reflective laughter : aspects of humour in Russian culture / edited by Lesley Milne.</t>
  </si>
  <si>
    <t>London : Anthem Press, 2004.</t>
  </si>
  <si>
    <t>Anthem Russian and Slavonic studies</t>
  </si>
  <si>
    <t>2016-12-10</t>
  </si>
  <si>
    <t>905407507:eng</t>
  </si>
  <si>
    <t>57128670</t>
  </si>
  <si>
    <t>ocm57128670</t>
  </si>
  <si>
    <t>31029185529</t>
  </si>
  <si>
    <t>9781843311195</t>
  </si>
  <si>
    <t>793907221</t>
  </si>
  <si>
    <t>PG3104 I8</t>
  </si>
  <si>
    <t>0                      PG 3104000I  8</t>
  </si>
  <si>
    <t>Istoricheskie pesni XIX veka / [teksty] izd. [i komment.] podgotovili, L.V. Domanovskii, O.B. Alekseeva, E.S. Litvin.</t>
  </si>
  <si>
    <t>Leningrad : "Nauka, " Leningradskoe otd-nie, 1973.</t>
  </si>
  <si>
    <t>Pami︠a︡tniki russkogo folʹklora</t>
  </si>
  <si>
    <t>3856720478:rus</t>
  </si>
  <si>
    <t>4475394</t>
  </si>
  <si>
    <t>ocm04475394</t>
  </si>
  <si>
    <t>3102918520F</t>
  </si>
  <si>
    <t>792353145</t>
  </si>
  <si>
    <t>PG3104 N413 1991</t>
  </si>
  <si>
    <t>0                      PG 3104000N  413         1991</t>
  </si>
  <si>
    <t>Kitezh : the Russian grail legends / by Munin Nederlander ; translated from the Dutch by Tony Langham ; foreword by John Matthews.</t>
  </si>
  <si>
    <t>Nederlander, Munin.</t>
  </si>
  <si>
    <t>Hammersmith, London : Aquarian Press, 1991.</t>
  </si>
  <si>
    <t>2017-07-05</t>
  </si>
  <si>
    <t>836885532:eng</t>
  </si>
  <si>
    <t>27072853</t>
  </si>
  <si>
    <t>ocm27072853</t>
  </si>
  <si>
    <t>3103001197J</t>
  </si>
  <si>
    <t>9781855380370</t>
  </si>
  <si>
    <t>793258601</t>
  </si>
  <si>
    <t>PG3105 K73 1987</t>
  </si>
  <si>
    <t>0                      PG 3105000K  73          1987</t>
  </si>
  <si>
    <t>The world of the Russian fairy tale / Maria Kravchenko.</t>
  </si>
  <si>
    <t>Kravchenko, Maria.</t>
  </si>
  <si>
    <t>Berne ; New York : P. Lang, ©1987.</t>
  </si>
  <si>
    <t>European university studies. Series XVI, Slavonic languages and literatures ; vol. 34 = Europäische Hochschulschriften. Reihe XVI, Slawische Sprachen und Literaturen ; Bd. 34</t>
  </si>
  <si>
    <t>16212627:eng</t>
  </si>
  <si>
    <t>17398510</t>
  </si>
  <si>
    <t>ocm17398510</t>
  </si>
  <si>
    <t>31029185813</t>
  </si>
  <si>
    <t>9783261036728</t>
  </si>
  <si>
    <t>792990207</t>
  </si>
  <si>
    <t>PG3115 A3713 1975</t>
  </si>
  <si>
    <t>0                      PG 3115000A  3713        1975</t>
  </si>
  <si>
    <t>Russian fairy tales / translated by Norbert Guterman from the collections of Aleksandr Afanasʹev ; illusrations by Alexander Alexeieff ; folkloristic commentary by Roman Jakobson.</t>
  </si>
  <si>
    <t>Afanasʹev, A. N. (Aleksandr Nikolaevich), 1826-1871, author.</t>
  </si>
  <si>
    <t>New York : Pantheon Books, [1975?]</t>
  </si>
  <si>
    <t>Pantheon fairy &amp; folklore library</t>
  </si>
  <si>
    <t>2018-09-06</t>
  </si>
  <si>
    <t>9930623463:eng</t>
  </si>
  <si>
    <t>3053160</t>
  </si>
  <si>
    <t>ocm03053160</t>
  </si>
  <si>
    <t>3102918620C</t>
  </si>
  <si>
    <t>9780394499147</t>
  </si>
  <si>
    <t>792211429</t>
  </si>
  <si>
    <t>PG3115 C46 1996</t>
  </si>
  <si>
    <t>0                      PG 3115000C  46          1996</t>
  </si>
  <si>
    <t>Mifologicheskie rasskazy i legendy Russkogo Severa / sostavitelʹ i avtor kommentariev O.A. Cherepanova.</t>
  </si>
  <si>
    <t>Cherepanova, O. A. (Olʹga Aleksandrovna)</t>
  </si>
  <si>
    <t>Sankt-Peterburg : Izd-vo S.-Peterburgskogo un-ta, 1996.</t>
  </si>
  <si>
    <t>2017-02-09</t>
  </si>
  <si>
    <t>41012088:rus</t>
  </si>
  <si>
    <t>35679756</t>
  </si>
  <si>
    <t>ocm35679756</t>
  </si>
  <si>
    <t>3102918610E</t>
  </si>
  <si>
    <t>9785288014444</t>
  </si>
  <si>
    <t>793454837</t>
  </si>
  <si>
    <t>PG3115 N23 1977</t>
  </si>
  <si>
    <t>0                      PG 3115000N  23          1977</t>
  </si>
  <si>
    <t>Narodnye russkie skazki : iz sbornika A.N. Afanasʹeva / [teksty dli︠a︡ nastoi︠a︡shchego izdanii︠a︡ otobrany V.P. Anikinym ; vstup. statʹi︠a︡ i slovarʹ maloupotrebitelʹnykh i oblastnykh slov V.P. Anikina ; khudozhnik T. Mavrina.].</t>
  </si>
  <si>
    <t>Moskva : Khudozh. lit-ra, 1977.</t>
  </si>
  <si>
    <t>10141380596:rus</t>
  </si>
  <si>
    <t>4019022</t>
  </si>
  <si>
    <t>ocm04019022</t>
  </si>
  <si>
    <t>31029186516</t>
  </si>
  <si>
    <t>792314451</t>
  </si>
  <si>
    <t>PG3115 N24 1922</t>
  </si>
  <si>
    <t>0                      PG 3115000N  24          1922</t>
  </si>
  <si>
    <t>Narodnyi︠a︡ russkīi︠a︡ skazki i legendy / A.N. Afanasʹev.</t>
  </si>
  <si>
    <t>t. 2</t>
  </si>
  <si>
    <t>Afanasʹev, A. N. (Aleksandr Nikolaevich), 1826-1871.</t>
  </si>
  <si>
    <t>Berlin : Izdatelʹstvo I.P. Ladyzhnikova, 1922.</t>
  </si>
  <si>
    <t>1922</t>
  </si>
  <si>
    <t>20980651:rus</t>
  </si>
  <si>
    <t>2131246</t>
  </si>
  <si>
    <t>ocm02131246</t>
  </si>
  <si>
    <t>31029186418</t>
  </si>
  <si>
    <t>792052655</t>
  </si>
  <si>
    <t>t. 1</t>
  </si>
  <si>
    <t>3102918616E</t>
  </si>
  <si>
    <t>792052656</t>
  </si>
  <si>
    <t>PG3190 H453 2013</t>
  </si>
  <si>
    <t>0                      PG 3190000H  453         2013</t>
  </si>
  <si>
    <t>Fairy tales and true stories : the history of Russian literature for children and young people (1574-2010) / by Ben Hellman.</t>
  </si>
  <si>
    <t>Hellman, Ben, 1949- author.</t>
  </si>
  <si>
    <t>Boston ; Leiden : Brill, 2013.</t>
  </si>
  <si>
    <t>Russian history and culture, 1877-7791 ; volume 13</t>
  </si>
  <si>
    <t>2016-12-02</t>
  </si>
  <si>
    <t>1416240224:eng</t>
  </si>
  <si>
    <t>849801318</t>
  </si>
  <si>
    <t>ocn849801318</t>
  </si>
  <si>
    <t>3103503200X</t>
  </si>
  <si>
    <t>9789004256378</t>
  </si>
  <si>
    <t>794950365</t>
  </si>
  <si>
    <t>PG3200 Z48 2013</t>
  </si>
  <si>
    <t>0                      PG 3200000Z  48          2013</t>
  </si>
  <si>
    <t>Koe-chto iz bylogo i dum : o russkoĭ literature XIX veka / A.I. Zhuravleva.</t>
  </si>
  <si>
    <t>Zhuravleva, A. I. (Anna Ivanovna), author.</t>
  </si>
  <si>
    <t>Moskva : Moskovskiĭ gosudarstvennyĭ universitet imeni M.V. Lomonosova, 2013.</t>
  </si>
  <si>
    <t>5621555929:rus</t>
  </si>
  <si>
    <t>855047990</t>
  </si>
  <si>
    <t>ocn855047990</t>
  </si>
  <si>
    <t>3103527076$</t>
  </si>
  <si>
    <t>9785211065581</t>
  </si>
  <si>
    <t>794953081</t>
  </si>
  <si>
    <t>PG3201 S62 1966</t>
  </si>
  <si>
    <t>0                      PG 3201000S  62          1966</t>
  </si>
  <si>
    <t>Rodnai︠a︡ rechʹ : kniga dli︠a︡ chtenii︠a︡ vo 2 klasse nachalʹnoĭ shkoly.</t>
  </si>
  <si>
    <t>Solovʹeva, E. E. (Evgenii︠a︡ Egorovna)</t>
  </si>
  <si>
    <t>Moskva : Prosveschenie, 1966.</t>
  </si>
  <si>
    <t>Izd. 23.</t>
  </si>
  <si>
    <t>4150512487:rus</t>
  </si>
  <si>
    <t>61591986</t>
  </si>
  <si>
    <t>ocm61591986</t>
  </si>
  <si>
    <t>3000638748T</t>
  </si>
  <si>
    <t>794031046</t>
  </si>
  <si>
    <t>PG3203 W64 S53 2018</t>
  </si>
  <si>
    <t>0                      PG 3203000W  64                 S  53          2018</t>
  </si>
  <si>
    <t>Slav sisters : the Dedalus book of Russian women's literature / edited by Natasha Perova ; translated by Andrew Bromfield [and nine others].</t>
  </si>
  <si>
    <t>Sawtry : Dedalus, 2018.</t>
  </si>
  <si>
    <t>Dedalus Europe</t>
  </si>
  <si>
    <t>2019-05-30</t>
  </si>
  <si>
    <t>5342469899:eng</t>
  </si>
  <si>
    <t>1029097595</t>
  </si>
  <si>
    <t>on1029097595</t>
  </si>
  <si>
    <t>3103811503L</t>
  </si>
  <si>
    <t>9781910213759</t>
  </si>
  <si>
    <t>795053770</t>
  </si>
  <si>
    <t>PG3205 H65 O94 1997</t>
  </si>
  <si>
    <t>0                      PG 3205000H  65                 O  94          1997</t>
  </si>
  <si>
    <t>Out of the blue : Russia's hidden gay literature : an anthology / edited by Kevin Moss ; introduction by Simon Karlinsky.</t>
  </si>
  <si>
    <t>San Francisco, Calif. : Gay Sunshine Press, 1997.</t>
  </si>
  <si>
    <t>2019-02-25</t>
  </si>
  <si>
    <t>896352070:eng</t>
  </si>
  <si>
    <t>34878850</t>
  </si>
  <si>
    <t>ocm34878850</t>
  </si>
  <si>
    <t>31030376942</t>
  </si>
  <si>
    <t>9780940567191</t>
  </si>
  <si>
    <t>793437796</t>
  </si>
  <si>
    <t>PG3205 L6 L583 2015</t>
  </si>
  <si>
    <t>0                      PG 3205000L  6                  L  583         2015</t>
  </si>
  <si>
    <t>Li︠u︡bovʹ, ili Svi︠a︡zʹ pokoleniĭ : sbornik rasskazov / Li︠u︡dmila Petrushevskai︠a︡, Li︠u︡dmila Ulit︠s︡kai︠a︡, Marii︠a︡ Metlit︠s︡kai︠a︡, Dina Rubina, I︠U︡riĭ Buĭda, Oleg Roĭ i drugie.</t>
  </si>
  <si>
    <t>Moskva : Izdatelʹstvo "Ė", 2015.</t>
  </si>
  <si>
    <t>Rasskazy o samom vazhnom</t>
  </si>
  <si>
    <t>2902297825:rus</t>
  </si>
  <si>
    <t>936377109</t>
  </si>
  <si>
    <t>ocn936377109</t>
  </si>
  <si>
    <t>3103641334E</t>
  </si>
  <si>
    <t>9785699838172</t>
  </si>
  <si>
    <t>795010750</t>
  </si>
  <si>
    <t>PG3205 T738 S28 2011</t>
  </si>
  <si>
    <t>0                      PG 3205000T  738                S  28          2011</t>
  </si>
  <si>
    <t>Off the beaten track : stories by Russian hitchhikers / Igor Savelyev, Irina Bogatyreva, Tatiana Mazepina.</t>
  </si>
  <si>
    <t>Savelʹev, Igorʹ, 1983-</t>
  </si>
  <si>
    <t>Moscow : Glas ; Ealing : Inpress [distributor], 2012.</t>
  </si>
  <si>
    <t>Glas, new Russian writing ; v. 52</t>
  </si>
  <si>
    <t>2013-11-10</t>
  </si>
  <si>
    <t>1089688218:eng</t>
  </si>
  <si>
    <t>751804972</t>
  </si>
  <si>
    <t>ocn751804972</t>
  </si>
  <si>
    <t>31033965762</t>
  </si>
  <si>
    <t>9785717200929</t>
  </si>
  <si>
    <t>794891136</t>
  </si>
  <si>
    <t>PG3213 A55 2007</t>
  </si>
  <si>
    <t>0                      PG 3213000A  55          2007</t>
  </si>
  <si>
    <t>An anthology of Jewish-Russian literature : two centuries of dual identity in prose and poetry / edited, selected, and cotranslated, with introductory essays by Maxim D. Shrayer.</t>
  </si>
  <si>
    <t>Armonk, N.Y. : Sharpe, 2007-</t>
  </si>
  <si>
    <t>3372364821:eng</t>
  </si>
  <si>
    <t>60188739</t>
  </si>
  <si>
    <t>ocm60188739</t>
  </si>
  <si>
    <t>31026342525</t>
  </si>
  <si>
    <t>9780765605214</t>
  </si>
  <si>
    <t>793934252</t>
  </si>
  <si>
    <t>2013-01-24</t>
  </si>
  <si>
    <t>31026342575</t>
  </si>
  <si>
    <t>793934253</t>
  </si>
  <si>
    <t>PG3213 A56 1996</t>
  </si>
  <si>
    <t>0                      PG 3213000A  56          1996</t>
  </si>
  <si>
    <t>An Anthology of Russian literature from earliest writings to modern fiction : introduction to a culture / edited by Nicholas Rzhevsky.</t>
  </si>
  <si>
    <t>Armonk, N.Y. : M.E. Sharpe, ©1996.</t>
  </si>
  <si>
    <t>799890769:eng</t>
  </si>
  <si>
    <t>33163107</t>
  </si>
  <si>
    <t>ocm33163107</t>
  </si>
  <si>
    <t>3101536924Y</t>
  </si>
  <si>
    <t>9781563244216</t>
  </si>
  <si>
    <t>793403573</t>
  </si>
  <si>
    <t>PG3213 A57 1994</t>
  </si>
  <si>
    <t>0                      PG 3213000A  57          1994</t>
  </si>
  <si>
    <t>An Anthology of Russian women's writing, 1777-1992 / edited by Catriona Kelly ; translated by Catriona Kelly [and others].</t>
  </si>
  <si>
    <t>Oxford ; New York : Oxford University Press, 1994.</t>
  </si>
  <si>
    <t>55723794:eng</t>
  </si>
  <si>
    <t>28422061</t>
  </si>
  <si>
    <t>ocm28422061</t>
  </si>
  <si>
    <t>31013175205</t>
  </si>
  <si>
    <t>9780198715047</t>
  </si>
  <si>
    <t>793287882</t>
  </si>
  <si>
    <t>PG3213 A7</t>
  </si>
  <si>
    <t>0                      PG 3213000A  7</t>
  </si>
  <si>
    <t>The Ardis anthology of recent Russian literature / edited by Carl Proffer &amp; Ellendea Proffer.</t>
  </si>
  <si>
    <t>Ann Arbor [Mich.] : Ardis, [1975]</t>
  </si>
  <si>
    <t>5609722856:eng</t>
  </si>
  <si>
    <t>1848185</t>
  </si>
  <si>
    <t>ocm01848185</t>
  </si>
  <si>
    <t>31031467590</t>
  </si>
  <si>
    <t>791998622</t>
  </si>
  <si>
    <t>PG3213 A74 1983</t>
  </si>
  <si>
    <t>0                      PG 3213000A  74          1983</t>
  </si>
  <si>
    <t>The Ardis anthology of Russian romanticism / edited by Christine Rydel.</t>
  </si>
  <si>
    <t>Ann Arbor : Ardis, ©1984.</t>
  </si>
  <si>
    <t>54591346:eng</t>
  </si>
  <si>
    <t>9783475</t>
  </si>
  <si>
    <t>ocm09783475</t>
  </si>
  <si>
    <t>31037733590</t>
  </si>
  <si>
    <t>9780882337418</t>
  </si>
  <si>
    <t>792693292</t>
  </si>
  <si>
    <t>PG3213 B5 1977</t>
  </si>
  <si>
    <t>0                      PG 3213000B  5           1977</t>
  </si>
  <si>
    <t>The Bitter air of exile : Russian writers in the West, 1922-1972 / edited by Simon Karlinsky and Alfred Appel, Jr.</t>
  </si>
  <si>
    <t>Berkeley : University of California Press, ©1977.</t>
  </si>
  <si>
    <t>Rev.</t>
  </si>
  <si>
    <t>2019-07-24</t>
  </si>
  <si>
    <t>890024085:eng</t>
  </si>
  <si>
    <t>3396213</t>
  </si>
  <si>
    <t>ocm03396213</t>
  </si>
  <si>
    <t>30004211186</t>
  </si>
  <si>
    <t>9780520028463</t>
  </si>
  <si>
    <t>792250042</t>
  </si>
  <si>
    <t>PG3213 C6</t>
  </si>
  <si>
    <t>0                      PG 3213000C  6</t>
  </si>
  <si>
    <t>A treasury of Russian life and humor, edited, with an introduction, by John Cournos.</t>
  </si>
  <si>
    <t>Cournos, John, 1881-1966, editor.</t>
  </si>
  <si>
    <t>New York, Coward-McCann, Inc. [1943]</t>
  </si>
  <si>
    <t>1943</t>
  </si>
  <si>
    <t>2004-07-21</t>
  </si>
  <si>
    <t>1539372:eng</t>
  </si>
  <si>
    <t>395690</t>
  </si>
  <si>
    <t>ocm00395690</t>
  </si>
  <si>
    <t>3000507055G</t>
  </si>
  <si>
    <t>791364353</t>
  </si>
  <si>
    <t>3000214771K</t>
  </si>
  <si>
    <t>791364354</t>
  </si>
  <si>
    <t>PG3213 G5</t>
  </si>
  <si>
    <t>0                      PG 3213000G  5</t>
  </si>
  <si>
    <t>Russia's lost literature of the absurd: a literary discovery : Selected works of Daniil Kharms and Alexander Vvedensky / edited and translated by George Gibian.</t>
  </si>
  <si>
    <t>Ithaca : Cornell University Press, [1971]</t>
  </si>
  <si>
    <t>2015-03-26</t>
  </si>
  <si>
    <t>836673844:eng</t>
  </si>
  <si>
    <t>162229</t>
  </si>
  <si>
    <t>ocm00162229</t>
  </si>
  <si>
    <t>3101828669$</t>
  </si>
  <si>
    <t>9780801406539</t>
  </si>
  <si>
    <t>791276786</t>
  </si>
  <si>
    <t>PG3213 L38 2014</t>
  </si>
  <si>
    <t>0                      PG 3213000L  38          2014</t>
  </si>
  <si>
    <t>Late and post-Soviet Russian literature : a reader / edited by Mark Lipovetsky and Lisa Ryoko Wakamiya.</t>
  </si>
  <si>
    <t>bk.2</t>
  </si>
  <si>
    <t>Boston : Academic Studies Press, 2014-</t>
  </si>
  <si>
    <t>Cultural syllabus</t>
  </si>
  <si>
    <t>1868271265:eng</t>
  </si>
  <si>
    <t>886859786</t>
  </si>
  <si>
    <t>ocn886859786</t>
  </si>
  <si>
    <t>3103653005H</t>
  </si>
  <si>
    <t>9781936235407</t>
  </si>
  <si>
    <t>794977590</t>
  </si>
  <si>
    <t>PG3213 M46 2011</t>
  </si>
  <si>
    <t>0                      PG 3213000M  46          2011</t>
  </si>
  <si>
    <t>Mendeleev rock / Andrei Kuzechkin. Rooftop anesthesia / Pavel Kostin ; translated by Andrew Bromfield.</t>
  </si>
  <si>
    <t>Moscow : Glas, [2011], ©2011.</t>
  </si>
  <si>
    <t>Glas new Russian writing: contemporary Russian literature in English translation ; v. 49</t>
  </si>
  <si>
    <t>786810765:eng</t>
  </si>
  <si>
    <t>701813121</t>
  </si>
  <si>
    <t>ocn701813121</t>
  </si>
  <si>
    <t>31033830335</t>
  </si>
  <si>
    <t>9785717200899</t>
  </si>
  <si>
    <t>794863600</t>
  </si>
  <si>
    <t>PG3213 O24 2006</t>
  </si>
  <si>
    <t>0                      PG 3213000O  24          2006</t>
  </si>
  <si>
    <t>OBERIU : an anthology of Russian absurdism / edited by Eugene Ostashevsky.</t>
  </si>
  <si>
    <t>Evanston, Ill. : Northwestern University Press, ©2006.</t>
  </si>
  <si>
    <t>European classics</t>
  </si>
  <si>
    <t>2017-05-15</t>
  </si>
  <si>
    <t>433458754:eng</t>
  </si>
  <si>
    <t>61262394</t>
  </si>
  <si>
    <t>ocm61262394</t>
  </si>
  <si>
    <t>31026369935</t>
  </si>
  <si>
    <t>9780810122932</t>
  </si>
  <si>
    <t>793950169</t>
  </si>
  <si>
    <t>PG3213 P66 1993</t>
  </si>
  <si>
    <t>0                      PG 3213000P  66          1993</t>
  </si>
  <si>
    <t>The portable nineteenth-century Russian reader / edited by George Gibian.</t>
  </si>
  <si>
    <t>New York, N.Y., U.S.A. : Penguin Books, 1993.</t>
  </si>
  <si>
    <t>The Viking portable library</t>
  </si>
  <si>
    <t>29582284:eng</t>
  </si>
  <si>
    <t>26974615</t>
  </si>
  <si>
    <t>ocm26974615</t>
  </si>
  <si>
    <t>3101276928N</t>
  </si>
  <si>
    <t>9780140151039</t>
  </si>
  <si>
    <t>793256129</t>
  </si>
  <si>
    <t>PG3213 S4</t>
  </si>
  <si>
    <t>0                      PG 3213000S  4</t>
  </si>
  <si>
    <t>The literature of eighteenth-century Russia : an anthology of Russian literary materials of the age of classicism and the Enlightenment from the reign of Peter the Great, 1689-1725, to the reign of Alexander I, 1801-1825 / edited and translated, and with an introd. and notes, by Harold B. Segel.</t>
  </si>
  <si>
    <t>Segel, Harold B., 1930- compiler.</t>
  </si>
  <si>
    <t>New York : Dutton, 1967.</t>
  </si>
  <si>
    <t>[1st edition].</t>
  </si>
  <si>
    <t>1704325:eng</t>
  </si>
  <si>
    <t>721444</t>
  </si>
  <si>
    <t>ocm00721444</t>
  </si>
  <si>
    <t>3102918639A</t>
  </si>
  <si>
    <t>791454949</t>
  </si>
  <si>
    <t>31029186448</t>
  </si>
  <si>
    <t>791454947</t>
  </si>
  <si>
    <t>2011-09-23</t>
  </si>
  <si>
    <t>3102918629C</t>
  </si>
  <si>
    <t>791454948</t>
  </si>
  <si>
    <t>3102918634A</t>
  </si>
  <si>
    <t>791454950</t>
  </si>
  <si>
    <t>PG3213 S46 2017</t>
  </si>
  <si>
    <t>0                      PG 3213000S  46          2017</t>
  </si>
  <si>
    <t>Short stories in Russian = Rasskazy na russkom i︠a︡zyke / edited [and translated] by Brian James Baer.</t>
  </si>
  <si>
    <t>New York, New York : Penguin Books, an imprint of Penguin Random House LLC, [2017]</t>
  </si>
  <si>
    <t>New Penguin parallel text</t>
  </si>
  <si>
    <t>3948380183:eng</t>
  </si>
  <si>
    <t>959667130</t>
  </si>
  <si>
    <t>ocn959667130</t>
  </si>
  <si>
    <t>3103703008Y</t>
  </si>
  <si>
    <t>9780143118343</t>
  </si>
  <si>
    <t>795022598</t>
  </si>
  <si>
    <t>PG3213 S5</t>
  </si>
  <si>
    <t>0                      PG 3213000S  5</t>
  </si>
  <si>
    <t>The Silver age of Russian culture : an anthology / edited by Carl Proffer &amp; Ellendea Proffer.</t>
  </si>
  <si>
    <t>Ann Arbor : Ardis, ©1975.</t>
  </si>
  <si>
    <t>351403206:eng</t>
  </si>
  <si>
    <t>1845725</t>
  </si>
  <si>
    <t>ocm01845725</t>
  </si>
  <si>
    <t>3102918624C</t>
  </si>
  <si>
    <t>9780882331713</t>
  </si>
  <si>
    <t>791998140</t>
  </si>
  <si>
    <t>PG3213 S65 2012</t>
  </si>
  <si>
    <t>0                      PG 3213000S  65          2012</t>
  </si>
  <si>
    <t>Still waters run deep : young women's writing from Russia / [editors, Natasha Perova and Joanne Turnbull].</t>
  </si>
  <si>
    <t>Moscow : Glas, ©2012.</t>
  </si>
  <si>
    <t>Glas new Russian writing, contemporary Russian literature in English translation ; volume 55</t>
  </si>
  <si>
    <t>1172950330:eng</t>
  </si>
  <si>
    <t>783151650</t>
  </si>
  <si>
    <t>ocn783151650</t>
  </si>
  <si>
    <t>31034139631</t>
  </si>
  <si>
    <t>9785717200950</t>
  </si>
  <si>
    <t>794913942</t>
  </si>
  <si>
    <t>PG3213 U86 1999</t>
  </si>
  <si>
    <t>0                      PG 3213000U  86          1999</t>
  </si>
  <si>
    <t>Utopias : Russian modernist texts 1905-1940 / edited by Catriona Kelly.</t>
  </si>
  <si>
    <t>London : Penguin, 1999.</t>
  </si>
  <si>
    <t>837011967:eng</t>
  </si>
  <si>
    <t>41504212</t>
  </si>
  <si>
    <t>ocm41504212</t>
  </si>
  <si>
    <t>3102918609G</t>
  </si>
  <si>
    <t>9780141180816</t>
  </si>
  <si>
    <t>793593072</t>
  </si>
  <si>
    <t>PG3213 V47 2016</t>
  </si>
  <si>
    <t>0                      PG 3213000V  47          2016</t>
  </si>
  <si>
    <t>A very Russian Christmas : the greatest Russian holiday stories of all time.</t>
  </si>
  <si>
    <t>New York : New Vessel Press, [2016]</t>
  </si>
  <si>
    <t>3924591653:eng</t>
  </si>
  <si>
    <t>944463989</t>
  </si>
  <si>
    <t>ocn944463989</t>
  </si>
  <si>
    <t>3103670092$</t>
  </si>
  <si>
    <t>9781939931436</t>
  </si>
  <si>
    <t>795013053</t>
  </si>
  <si>
    <t>PG3213 V65 2018</t>
  </si>
  <si>
    <t>0                      PG 3213000V  65          2018</t>
  </si>
  <si>
    <t>Voices of Jewish-Russian literature : an anthology / edited, with introductory essays by Maxim D. Shrayer.</t>
  </si>
  <si>
    <t>Brighton, MA : Academic Studies Press, [2018]</t>
  </si>
  <si>
    <t>Jews of Russia &amp; Eastern Europe and their legacy</t>
  </si>
  <si>
    <t>4798216789:eng</t>
  </si>
  <si>
    <t>1027158019</t>
  </si>
  <si>
    <t>on1027158019</t>
  </si>
  <si>
    <t>3103811656X</t>
  </si>
  <si>
    <t>9781618117922</t>
  </si>
  <si>
    <t>795052588</t>
  </si>
  <si>
    <t>PG3213 W37 2006</t>
  </si>
  <si>
    <t>0                      PG 3213000W  37          2006</t>
  </si>
  <si>
    <t>War &amp; peace : contemporary Russian prose / [edited by Natasha Perova and Joanne Turnbull].</t>
  </si>
  <si>
    <t>Moscow : Glas ; Chicago : Distributed in North America by Northwestern University Press, 2006.</t>
  </si>
  <si>
    <t>Glas new Russian writing : contemporary Russian literature in English translation ; v. 40</t>
  </si>
  <si>
    <t>2019-11-08</t>
  </si>
  <si>
    <t>59146786:eng</t>
  </si>
  <si>
    <t>72372105</t>
  </si>
  <si>
    <t>ocm72372105</t>
  </si>
  <si>
    <t>3102667159I</t>
  </si>
  <si>
    <t>9785717200745</t>
  </si>
  <si>
    <t>794169922</t>
  </si>
  <si>
    <t>PG3213 W45</t>
  </si>
  <si>
    <t>0                      PG 3213000W  45</t>
  </si>
  <si>
    <t>The new writing in Russia / translated, with an introduction, by Thomas P. Whitney.</t>
  </si>
  <si>
    <t>Ann Arbor : University of Michigan Press, [1964]</t>
  </si>
  <si>
    <t>118296189:eng</t>
  </si>
  <si>
    <t>321430</t>
  </si>
  <si>
    <t>ocm00321430</t>
  </si>
  <si>
    <t>31029186488</t>
  </si>
  <si>
    <t>791336262</t>
  </si>
  <si>
    <t>PG3213 W5 1967</t>
  </si>
  <si>
    <t>0                      PG 3213000W  5           1967</t>
  </si>
  <si>
    <t>Anthology of Russian literature from the earliest period to the present time.</t>
  </si>
  <si>
    <t>Wiener, Leo, 1862-1939.</t>
  </si>
  <si>
    <t>New York, B. Blom [1967]</t>
  </si>
  <si>
    <t>2005-07-25</t>
  </si>
  <si>
    <t>3372814920:eng</t>
  </si>
  <si>
    <t>321360</t>
  </si>
  <si>
    <t>ocm00321360</t>
  </si>
  <si>
    <t>3102918638A</t>
  </si>
  <si>
    <t>791336242</t>
  </si>
  <si>
    <t>31029186438</t>
  </si>
  <si>
    <t>791336243</t>
  </si>
  <si>
    <t>PG3213 Z4 1974</t>
  </si>
  <si>
    <t>0                      PG 3213000Z  4           1974</t>
  </si>
  <si>
    <t>Medieval Russia's epics, chronicles, and tales / edited, translated, and with an introduction by Serge A. Zenkovsky.</t>
  </si>
  <si>
    <t>New York : Dutton, 1974.</t>
  </si>
  <si>
    <t>Rev. and enl. [2d] ed.</t>
  </si>
  <si>
    <t>2005-10-25</t>
  </si>
  <si>
    <t>1401816:eng</t>
  </si>
  <si>
    <t>972484</t>
  </si>
  <si>
    <t>ocm00972484</t>
  </si>
  <si>
    <t>3102918623C</t>
  </si>
  <si>
    <t>9780525473633</t>
  </si>
  <si>
    <t>791515347</t>
  </si>
  <si>
    <t>3102918613E</t>
  </si>
  <si>
    <t>791515349</t>
  </si>
  <si>
    <t>3102918618E</t>
  </si>
  <si>
    <t>791515348</t>
  </si>
  <si>
    <t>PG3214 M475 2016</t>
  </si>
  <si>
    <t>0                      PG 3214000M  475         2016</t>
  </si>
  <si>
    <t>Études et traductions de littérature russe / Prosper Mérimée ; sous la coordination d'Antonia Fonyi ; textes établis, présentés par Jean-Louis Backès ; annotés par Jean-Louis Backès et Antonia Fonyi ; avec la concours de Michel Cadot.</t>
  </si>
  <si>
    <t>Mérimée, Prosper, 1803-1870, author, translator.</t>
  </si>
  <si>
    <t>Paris : Honoré Champion éditeur, 2016.</t>
  </si>
  <si>
    <t>Textes de littérature moderne et contemporaine ; 174</t>
  </si>
  <si>
    <t>5624135598:fre</t>
  </si>
  <si>
    <t>952030435</t>
  </si>
  <si>
    <t>ocn952030435</t>
  </si>
  <si>
    <t>31037092978</t>
  </si>
  <si>
    <t>9782745328687</t>
  </si>
  <si>
    <t>795017935</t>
  </si>
  <si>
    <t>PG3223 B53 1997</t>
  </si>
  <si>
    <t>0                      PG 3223000B  53          1997</t>
  </si>
  <si>
    <t>Biblioteka literatury drevneĭ Rusi / [pod redakt︠s︡ieĭ D.S. Likhacheva and others].</t>
  </si>
  <si>
    <t>Sankt-Peterburg : Nauka, 1997-&lt;2015&gt;</t>
  </si>
  <si>
    <t>2019-08-01</t>
  </si>
  <si>
    <t>3769738106:rus</t>
  </si>
  <si>
    <t>38085406</t>
  </si>
  <si>
    <t>ocm38085406</t>
  </si>
  <si>
    <t>3102657202U</t>
  </si>
  <si>
    <t>9785020283077</t>
  </si>
  <si>
    <t>793514858</t>
  </si>
  <si>
    <t>3102011577J</t>
  </si>
  <si>
    <t>793514865</t>
  </si>
  <si>
    <t>31018310119</t>
  </si>
  <si>
    <t>793514868</t>
  </si>
  <si>
    <t>3101983805$</t>
  </si>
  <si>
    <t>793514869</t>
  </si>
  <si>
    <t>31018309165</t>
  </si>
  <si>
    <t>793514871</t>
  </si>
  <si>
    <t>t.17</t>
  </si>
  <si>
    <t>3103527256Y</t>
  </si>
  <si>
    <t>793514855</t>
  </si>
  <si>
    <t>3102386635J</t>
  </si>
  <si>
    <t>793514862</t>
  </si>
  <si>
    <t>3102332435T</t>
  </si>
  <si>
    <t>793514860</t>
  </si>
  <si>
    <t>3102332436T</t>
  </si>
  <si>
    <t>793514864</t>
  </si>
  <si>
    <t>3101990569V</t>
  </si>
  <si>
    <t>793514870</t>
  </si>
  <si>
    <t>t.18</t>
  </si>
  <si>
    <t>3103544428$</t>
  </si>
  <si>
    <t>793514854</t>
  </si>
  <si>
    <t>t.11</t>
  </si>
  <si>
    <t>3102185629V</t>
  </si>
  <si>
    <t>793514861</t>
  </si>
  <si>
    <t>t.19</t>
  </si>
  <si>
    <t>3103642196W</t>
  </si>
  <si>
    <t>793514853</t>
  </si>
  <si>
    <t>3102530549K</t>
  </si>
  <si>
    <t>793514859</t>
  </si>
  <si>
    <t>3102783940X</t>
  </si>
  <si>
    <t>793514856</t>
  </si>
  <si>
    <t>3101885927J</t>
  </si>
  <si>
    <t>793514867</t>
  </si>
  <si>
    <t>3102674291E</t>
  </si>
  <si>
    <t>793514857</t>
  </si>
  <si>
    <t>3101983806Y</t>
  </si>
  <si>
    <t>793514866</t>
  </si>
  <si>
    <t>t.9</t>
  </si>
  <si>
    <t>3102392907R</t>
  </si>
  <si>
    <t>793514863</t>
  </si>
  <si>
    <t>PG3223 G8 1973</t>
  </si>
  <si>
    <t>0                      PG 3223000G  8           1973</t>
  </si>
  <si>
    <t>Khrestomatii︠a︡ po drevneĭ russkoĭ literature. [Dli︠a︡ studentov ped. in-tov po spet︠s︡iaʹlnosti No. 2101 "Russkiĭ i︠a︡zyk i literatura"]. Sost. N.K. Gudziĭ. Nauch. red. prof. N.I. Prokofʹev.</t>
  </si>
  <si>
    <t>Moskva, "Prosveshchenie", 1973.</t>
  </si>
  <si>
    <t>Izd. 8-e.</t>
  </si>
  <si>
    <t>3314632997:rus</t>
  </si>
  <si>
    <t>7312405</t>
  </si>
  <si>
    <t>ocm07312405</t>
  </si>
  <si>
    <t>3100235344C</t>
  </si>
  <si>
    <t>792552845</t>
  </si>
  <si>
    <t>PG3223 S7</t>
  </si>
  <si>
    <t>0                      PG 3223000S  7</t>
  </si>
  <si>
    <t>Anthology of old Russian literature, edited by Ad. Stender-Petersen in collaboration with Stefan Congrat-Butlar.</t>
  </si>
  <si>
    <t>Stender-Petersen, Ad. (Adolf), 1893-1963.</t>
  </si>
  <si>
    <t>New York, Columbia University Press, 1954.</t>
  </si>
  <si>
    <t>1954</t>
  </si>
  <si>
    <t>346820644:rus</t>
  </si>
  <si>
    <t>904452</t>
  </si>
  <si>
    <t>ocm00904452</t>
  </si>
  <si>
    <t>31029186800</t>
  </si>
  <si>
    <t>791498793</t>
  </si>
  <si>
    <t>PG3225 M3 1951</t>
  </si>
  <si>
    <t>0                      PG 3225000M  3           1951</t>
  </si>
  <si>
    <t>Anthology of eighteenth century Russian literature / by Clarence A. Manning.</t>
  </si>
  <si>
    <t>Manning, Clarence Augustus, 1893-1972, editor.</t>
  </si>
  <si>
    <t>New York : King's Crown Press, 1951-1953?</t>
  </si>
  <si>
    <t>1951</t>
  </si>
  <si>
    <t>4095498023:rus</t>
  </si>
  <si>
    <t>2880362</t>
  </si>
  <si>
    <t>ocm02880362</t>
  </si>
  <si>
    <t>3000551040T</t>
  </si>
  <si>
    <t>792188670</t>
  </si>
  <si>
    <t>2008-11-14</t>
  </si>
  <si>
    <t>3103000253S</t>
  </si>
  <si>
    <t>792188669</t>
  </si>
  <si>
    <t>PG3225 R795 1970</t>
  </si>
  <si>
    <t>0                      PG 3225000R  795         1970</t>
  </si>
  <si>
    <t>Russkai︠a︡ literatura XVIII veka / sostavil G.P. Makogonenko.</t>
  </si>
  <si>
    <t>Leningrad : "Prosveshchenie, " Leningradskoe otd-nie, 1970.</t>
  </si>
  <si>
    <t>3855437783:rus</t>
  </si>
  <si>
    <t>1281062</t>
  </si>
  <si>
    <t>ocm01281062</t>
  </si>
  <si>
    <t>3101446797G</t>
  </si>
  <si>
    <t>791590635</t>
  </si>
  <si>
    <t>PG3225 R87 1990</t>
  </si>
  <si>
    <t>0                      PG 3225000R  87          1990</t>
  </si>
  <si>
    <t>Russkai︠a︡ literatura--vek XVIII / [pod obshcheĭ redakt︠s︡ieĭ, Zapadov V.A. [and others] ; sostavlenie, podgotovka tekstov i kommentarii N.D. Kochetkovoĭ [and others]].</t>
  </si>
  <si>
    <t>Moskva : "Khudozh. lit-ra, ", 1990-</t>
  </si>
  <si>
    <t>9988877408:rus</t>
  </si>
  <si>
    <t>77867696</t>
  </si>
  <si>
    <t>ocm77867696</t>
  </si>
  <si>
    <t>3100977900$</t>
  </si>
  <si>
    <t>9785280016408</t>
  </si>
  <si>
    <t>794193771</t>
  </si>
  <si>
    <t>3100977910X</t>
  </si>
  <si>
    <t>794193770</t>
  </si>
  <si>
    <t>PG3227 S655 1999</t>
  </si>
  <si>
    <t>0                      PG 3227000S  655         1999</t>
  </si>
  <si>
    <t>Solnechnoe podpolʹe : antologii︠a︡ literaturnogo rok-kabare Aleksei︠a︡ Didurova.</t>
  </si>
  <si>
    <t>Moskva : Academia, 1999.</t>
  </si>
  <si>
    <t>56454609:rus</t>
  </si>
  <si>
    <t>42018308</t>
  </si>
  <si>
    <t>ocm42018308</t>
  </si>
  <si>
    <t>31029186596</t>
  </si>
  <si>
    <t>793601278</t>
  </si>
  <si>
    <t>PG3228 U52 S26 1997</t>
  </si>
  <si>
    <t>0                      PG 3228000U  52                 S  26          1997</t>
  </si>
  <si>
    <t>Samizdat veka / sostaviteli, Anatoliĭ Streli︠a︡nyĭ [and others].</t>
  </si>
  <si>
    <t>Minsk : Polifakt, 1997.</t>
  </si>
  <si>
    <t>Itogi veka</t>
  </si>
  <si>
    <t>355923342:rus</t>
  </si>
  <si>
    <t>39516289</t>
  </si>
  <si>
    <t>ocm39516289</t>
  </si>
  <si>
    <t>3101948008O</t>
  </si>
  <si>
    <t>9785893560046</t>
  </si>
  <si>
    <t>793547632</t>
  </si>
  <si>
    <t>PG3228 W3 C44 2010</t>
  </si>
  <si>
    <t>0                      PG 3228000W  3                  C  44          2010</t>
  </si>
  <si>
    <t>Chetyre shaga ot voĭny : [sbornik] / [sostavitelʹ, V. Leventalʹ ; avtory, Sergeĭ Korovin and others].</t>
  </si>
  <si>
    <t>Sankt-Peterburg : Limbus Press : Izd-vo K. Tublina, 2010.</t>
  </si>
  <si>
    <t>2013-01-22</t>
  </si>
  <si>
    <t>867427261:rus</t>
  </si>
  <si>
    <t>713496285</t>
  </si>
  <si>
    <t>ocn713496285</t>
  </si>
  <si>
    <t>3103298038N</t>
  </si>
  <si>
    <t>9785837005381</t>
  </si>
  <si>
    <t>794872950</t>
  </si>
  <si>
    <t>PG3229 N68 2009</t>
  </si>
  <si>
    <t>0                      PG 3229000N  68          2009</t>
  </si>
  <si>
    <t>Novye pisateli : proza, poėzii︠a︡, dramaturgii︠a︡, kritika / [sost. I. Bogatyreva].</t>
  </si>
  <si>
    <t>Moskva : Fond sot︠s︡ialʹno-ėkonomicheskikh i intellektualʹnykh programm : T︠S︡entr knigi VGBIL im. M.I. Rudomino, 2009.</t>
  </si>
  <si>
    <t>Molodai︠a︡ literatura Rossii</t>
  </si>
  <si>
    <t>2015-01-20</t>
  </si>
  <si>
    <t>3769690958:rus</t>
  </si>
  <si>
    <t>551472567</t>
  </si>
  <si>
    <t>ocn551472567</t>
  </si>
  <si>
    <t>3103285442Q</t>
  </si>
  <si>
    <t>9785982640383</t>
  </si>
  <si>
    <t>794811747</t>
  </si>
  <si>
    <t>PG3229 N68 2011</t>
  </si>
  <si>
    <t>0                      PG 3229000N  68          2011</t>
  </si>
  <si>
    <t>Novyĭ Belkin / [sostavitelʹ, Natalʹi︠a︡ Ivanova].</t>
  </si>
  <si>
    <t>Nat︠s︡ionalʹnai︠a︡ premii︠a︡ "Poėt"</t>
  </si>
  <si>
    <t>879040598:rus</t>
  </si>
  <si>
    <t>714292762</t>
  </si>
  <si>
    <t>ocn714292762</t>
  </si>
  <si>
    <t>3103393242T</t>
  </si>
  <si>
    <t>9785969106420</t>
  </si>
  <si>
    <t>794873364</t>
  </si>
  <si>
    <t>PG3230 R8</t>
  </si>
  <si>
    <t>0                      PG 3230000R  8</t>
  </si>
  <si>
    <t>Russkie poėty; antologii︠a︡. [Pod. obshcheĭ red. D.D. Blagogo i dr.</t>
  </si>
  <si>
    <t>t. 3</t>
  </si>
  <si>
    <t>Moskva, Detskai︠a︡ lit-ra, 1965-1968]</t>
  </si>
  <si>
    <t>2016-05-05</t>
  </si>
  <si>
    <t>10032518249:rus</t>
  </si>
  <si>
    <t>2587277</t>
  </si>
  <si>
    <t>ocm02587277</t>
  </si>
  <si>
    <t>3100810463$</t>
  </si>
  <si>
    <t>792147590</t>
  </si>
  <si>
    <t>2009-08-31</t>
  </si>
  <si>
    <t>3100192375O</t>
  </si>
  <si>
    <t>792147591</t>
  </si>
  <si>
    <t>2001-11-09</t>
  </si>
  <si>
    <t>3000622700J</t>
  </si>
  <si>
    <t>792147592</t>
  </si>
  <si>
    <t>t. 4</t>
  </si>
  <si>
    <t>3101445418I</t>
  </si>
  <si>
    <t>792147589</t>
  </si>
  <si>
    <t>PG3233 O4</t>
  </si>
  <si>
    <t>0                      PG 3233000O  4</t>
  </si>
  <si>
    <t>Fifty Soviet poets, compiled by Vladimir Ognev and Dorian Rottenberg.</t>
  </si>
  <si>
    <t>Ognev, Vladimir, compiler.</t>
  </si>
  <si>
    <t>Moscow, Progress Publishers [1969]</t>
  </si>
  <si>
    <t>2017-05-13</t>
  </si>
  <si>
    <t>356316427:eng</t>
  </si>
  <si>
    <t>86521</t>
  </si>
  <si>
    <t>ocm00086521</t>
  </si>
  <si>
    <t>31005513415</t>
  </si>
  <si>
    <t>791250694</t>
  </si>
  <si>
    <t>PG3233 P59 1963</t>
  </si>
  <si>
    <t>0                      PG 3233000P  59          1963</t>
  </si>
  <si>
    <t>Poeticheskiĭ god 1962.</t>
  </si>
  <si>
    <t>Gor'kiĭ : [publisher not identified], 1963.</t>
  </si>
  <si>
    <t>10033099512:rus</t>
  </si>
  <si>
    <t>427225601</t>
  </si>
  <si>
    <t>ocn427225601</t>
  </si>
  <si>
    <t>30007914258</t>
  </si>
  <si>
    <t>794547184</t>
  </si>
  <si>
    <t>PG3233 R78 1999</t>
  </si>
  <si>
    <t>0                      PG 3233000R  78          1999</t>
  </si>
  <si>
    <t>Russkai︠a︡ poėzii︠a︡ : XX vek : antologii︠a︡ / [sostaviteli, V.P. Smirnov and others].</t>
  </si>
  <si>
    <t>Moskva : OLMA-PRESS, 1999.</t>
  </si>
  <si>
    <t>2018-09-07</t>
  </si>
  <si>
    <t>3858192721:rus</t>
  </si>
  <si>
    <t>42800114</t>
  </si>
  <si>
    <t>ocm42800114</t>
  </si>
  <si>
    <t>3102005066U</t>
  </si>
  <si>
    <t>9785224001347</t>
  </si>
  <si>
    <t>793614726</t>
  </si>
  <si>
    <t>PG3233 R87 2015</t>
  </si>
  <si>
    <t>0                      PG 3233000R  87          2015</t>
  </si>
  <si>
    <t>Russian Silver age poetry : texts and contexts / edited and introduced by Sibelan E.S. Forrester and Martha M.F. Kelly.</t>
  </si>
  <si>
    <t>Boston : Academic Studies Press, 2015.</t>
  </si>
  <si>
    <t>2019-08-16</t>
  </si>
  <si>
    <t>2643939756:eng</t>
  </si>
  <si>
    <t>862346594</t>
  </si>
  <si>
    <t>ocn862346594</t>
  </si>
  <si>
    <t>31036097763</t>
  </si>
  <si>
    <t>9781618113528</t>
  </si>
  <si>
    <t>794960313</t>
  </si>
  <si>
    <t>PG3233 S94 2014</t>
  </si>
  <si>
    <t>0                      PG 3233000S  94          2014</t>
  </si>
  <si>
    <t>Svi︠a︡zui︠u︡shchai︠a︡ vek i mig : stikhi, posvi︠a︡shchennye Anastasii T︠S︡vetaevoĭ / sostavitelʹ Olʹga Grigorʹeva.</t>
  </si>
  <si>
    <t>Moskva : Dom-muzeĭ Mariny T︠S︡vetaevoĭ, 2014.</t>
  </si>
  <si>
    <t>2210438995:rus</t>
  </si>
  <si>
    <t>893872574</t>
  </si>
  <si>
    <t>ocn893872574</t>
  </si>
  <si>
    <t>3103199500G</t>
  </si>
  <si>
    <t>9785930151572</t>
  </si>
  <si>
    <t>794982052</t>
  </si>
  <si>
    <t>PG3233.5 S86 2014</t>
  </si>
  <si>
    <t>0                      PG 3233500S  86          2014</t>
  </si>
  <si>
    <t>Svoboda ogranichenii︠a︡ : antologii︠a︡ sovremennykh tekstov, osnovannykh na zhestkikh formalʹnykh ogranichenii︠a︡kh / Sostaviteli: T. Bonch-Osmolovskai︠a︡ i V. Kislov.</t>
  </si>
  <si>
    <t>Bonch-Osmolovskai︠a︡, T. B. (Tatʹi︠a︡na Borisovna), compiler.</t>
  </si>
  <si>
    <t>2544566578:rus</t>
  </si>
  <si>
    <t>891712868</t>
  </si>
  <si>
    <t>ocn891712868</t>
  </si>
  <si>
    <t>3103638896H</t>
  </si>
  <si>
    <t>9785444801925</t>
  </si>
  <si>
    <t>794980420</t>
  </si>
  <si>
    <t>PG3235 L47 P4855 2011</t>
  </si>
  <si>
    <t>0                      PG 3235000L  47                 P  4855        2011</t>
  </si>
  <si>
    <t>Peterburgskai︠a︡ poėzii︠a︡ v lit︠s︡akh : ocherki / [sost. B. Ivanov].</t>
  </si>
  <si>
    <t>2014-11-03</t>
  </si>
  <si>
    <t>954686183:rus</t>
  </si>
  <si>
    <t>697266189</t>
  </si>
  <si>
    <t>ocn697266189</t>
  </si>
  <si>
    <t>3103410102C</t>
  </si>
  <si>
    <t>9785867937980</t>
  </si>
  <si>
    <t>794859820</t>
  </si>
  <si>
    <t>PG3235 W36 S75 2008</t>
  </si>
  <si>
    <t>0                      PG 3235000W  36                 S  75          2008</t>
  </si>
  <si>
    <t>Stikhi i pesni o Velikoĭ Otechestvennoĭ voĭne / sostavlenie i primechanii︠a︡ L.V. Polikovskoĭ ; predislovie A.M. Turkova.</t>
  </si>
  <si>
    <t>Moskva : Mir ėnt︠s︡iklopediĭ Avanta+ : Astrelʹ, 2008.</t>
  </si>
  <si>
    <t>Kastalʹskiĭ kli︠u︡ch</t>
  </si>
  <si>
    <t>2019-02-04</t>
  </si>
  <si>
    <t>153348369:rus</t>
  </si>
  <si>
    <t>261301117</t>
  </si>
  <si>
    <t>ocn261301117</t>
  </si>
  <si>
    <t>3103101408M</t>
  </si>
  <si>
    <t>9785989861453</t>
  </si>
  <si>
    <t>794401163</t>
  </si>
  <si>
    <t>PG3237 E5 C55 1993</t>
  </si>
  <si>
    <t>0                      PG 3237000E  5                  C  55          1993</t>
  </si>
  <si>
    <t>Contemporary Russian poetry : a bilingual anthology / selected, with an introduction, translations, and notes by Gerald S. Smith.</t>
  </si>
  <si>
    <t>Bloomington : Indiana University Press, ©1993.</t>
  </si>
  <si>
    <t>Midland book ; MB 769</t>
  </si>
  <si>
    <t>2014-03-17</t>
  </si>
  <si>
    <t>329128:eng</t>
  </si>
  <si>
    <t>25874324</t>
  </si>
  <si>
    <t>ocm25874324</t>
  </si>
  <si>
    <t>3103550570Y</t>
  </si>
  <si>
    <t>9780253353337</t>
  </si>
  <si>
    <t>793232259</t>
  </si>
  <si>
    <t>31029187495</t>
  </si>
  <si>
    <t>793232260</t>
  </si>
  <si>
    <t>PG3237 E5 G67 2014</t>
  </si>
  <si>
    <t>0                      PG 3237000E  5                  G  67          2014</t>
  </si>
  <si>
    <t>Gossip and metaphysics : Russian modernist poems and prose / edited by Katie Farris, Ilya Kaminsky, and Valzhyna Mort.</t>
  </si>
  <si>
    <t>North Adams, Massachusetts : Tupelo Press, 2014.</t>
  </si>
  <si>
    <t>Tupelo Press poetry in translation</t>
  </si>
  <si>
    <t>2019-06-10</t>
  </si>
  <si>
    <t>2226663563:eng</t>
  </si>
  <si>
    <t>884570977</t>
  </si>
  <si>
    <t>ocn884570977</t>
  </si>
  <si>
    <t>3103610099L</t>
  </si>
  <si>
    <t>9781936797479</t>
  </si>
  <si>
    <t>794976486</t>
  </si>
  <si>
    <t>PG3237 E5 M28</t>
  </si>
  <si>
    <t>0                      PG 3237000E  5                  M  28</t>
  </si>
  <si>
    <t>Modern Russian poetry: an anthology with verse translations; edited and with an introduction by Vladimir Markov and Merrill Sparks.</t>
  </si>
  <si>
    <t>Markov, Vladimir, editor.</t>
  </si>
  <si>
    <t>London, Macgibbon &amp; Kee, 1966.</t>
  </si>
  <si>
    <t>346992571:eng</t>
  </si>
  <si>
    <t>5247523</t>
  </si>
  <si>
    <t>ocm05247523</t>
  </si>
  <si>
    <t>3102918798W</t>
  </si>
  <si>
    <t>792419224</t>
  </si>
  <si>
    <t>PG3237 E5 P46 2015</t>
  </si>
  <si>
    <t>0                      PG 3237000E  5                  P  46          2015</t>
  </si>
  <si>
    <t>The Penguin book of Russian poetry / edited by Robert Chandler, Boris Dralyuk and Irina Mashinski ; with introductory notes to the individual poets by Robert Chandler and Boris Dralyuk.</t>
  </si>
  <si>
    <t>UK : Penguin Books, 2015.</t>
  </si>
  <si>
    <t>Penguin classics</t>
  </si>
  <si>
    <t>2017-06-15</t>
  </si>
  <si>
    <t>2215809555:eng</t>
  </si>
  <si>
    <t>894339755</t>
  </si>
  <si>
    <t>ocn894339755</t>
  </si>
  <si>
    <t>3103653554L</t>
  </si>
  <si>
    <t>9780141198309</t>
  </si>
  <si>
    <t>794982597</t>
  </si>
  <si>
    <t>PG3237 F5 A9</t>
  </si>
  <si>
    <t>0                      PG 3237000F  5                  A  9</t>
  </si>
  <si>
    <t>L'Avant-garde russe, futuristes et acméistes : textes inédits / de Khlebnikov [and others] ; traduits du russe par Serge Fauchereau et Nathalie Meneau.</t>
  </si>
  <si>
    <t>Paris : P. Belfond, ©1979.</t>
  </si>
  <si>
    <t>478411506:fre</t>
  </si>
  <si>
    <t>7306303</t>
  </si>
  <si>
    <t>ocm07306303</t>
  </si>
  <si>
    <t>31029188510</t>
  </si>
  <si>
    <t>9782714412201</t>
  </si>
  <si>
    <t>792552458</t>
  </si>
  <si>
    <t>PG3242 V745 2010</t>
  </si>
  <si>
    <t>0                      PG 3242000V  745         2010</t>
  </si>
  <si>
    <t>Luchshie pʹesy. 2010 / [redaktor-sostavitelʹ Ekaterina Kretova].</t>
  </si>
  <si>
    <t>Vserossiĭskiĭ dramaturgicheskiĭ konkurs "Deĭstvui︠u︡shchie lit︠s︡a" (2010 : Moscow, Russia)</t>
  </si>
  <si>
    <t>Moskva : NF Vserosiĭskiĭ dramaturgicheskiĭ konkurs "Deĭstvui︠u︡shchie lit︠s︡a" : ID Gai︠a︡tri, 2011.</t>
  </si>
  <si>
    <t>5618821798:rus</t>
  </si>
  <si>
    <t>758495147</t>
  </si>
  <si>
    <t>ocn758495147</t>
  </si>
  <si>
    <t>3103393748E</t>
  </si>
  <si>
    <t>9785904584177</t>
  </si>
  <si>
    <t>794896490</t>
  </si>
  <si>
    <t>PG3245 N6 1961</t>
  </si>
  <si>
    <t>0                      PG 3245000N  6           1961</t>
  </si>
  <si>
    <t>Masterpieces of the Russian drama.</t>
  </si>
  <si>
    <t>Noyes, George Rapall, 1873-1952.</t>
  </si>
  <si>
    <t>New York : Dover Publications, [1960, ©1961]</t>
  </si>
  <si>
    <t>1401853:eng</t>
  </si>
  <si>
    <t>321365</t>
  </si>
  <si>
    <t>ocm00321365</t>
  </si>
  <si>
    <t>3102918871X</t>
  </si>
  <si>
    <t>791336247</t>
  </si>
  <si>
    <t>3102918876X</t>
  </si>
  <si>
    <t>791336248</t>
  </si>
  <si>
    <t>PG3245 R4</t>
  </si>
  <si>
    <t>0                      PG 3245000R  4</t>
  </si>
  <si>
    <t>An anthology of Russian plays; edited, translated, and introduced, by F.D. Reeve.</t>
  </si>
  <si>
    <t>Reeve, F. D. (Franklin D.), 1928-2013, ed. and tr.</t>
  </si>
  <si>
    <t>New York, Vintage Books [1961-63]</t>
  </si>
  <si>
    <t>Vintage Russian library, V-731-V732</t>
  </si>
  <si>
    <t>2017-04-18</t>
  </si>
  <si>
    <t>4160367899:eng</t>
  </si>
  <si>
    <t>225247</t>
  </si>
  <si>
    <t>ocm00225247</t>
  </si>
  <si>
    <t>3102918875X</t>
  </si>
  <si>
    <t>791299720</t>
  </si>
  <si>
    <t>2002-07-23</t>
  </si>
  <si>
    <t>3000250850K</t>
  </si>
  <si>
    <t>791299719</t>
  </si>
  <si>
    <t>PG3245 R42</t>
  </si>
  <si>
    <t>0                      PG 3245000R  42</t>
  </si>
  <si>
    <t>Contemporary Russian drama, selected and translated by Franklin D. Reeve. With a pref. by Victor Rozov.</t>
  </si>
  <si>
    <t>Reeve, F. D. (Franklin D.), 1928-2013, compiler.</t>
  </si>
  <si>
    <t>New York, Pegasus [1968]</t>
  </si>
  <si>
    <t>2015-08-17</t>
  </si>
  <si>
    <t>1569741:eng</t>
  </si>
  <si>
    <t>441768</t>
  </si>
  <si>
    <t>ocm00441768</t>
  </si>
  <si>
    <t>3102918870X</t>
  </si>
  <si>
    <t>791379674</t>
  </si>
  <si>
    <t>PG3245 R78 2014</t>
  </si>
  <si>
    <t>0                      PG 3245000R  78          2014</t>
  </si>
  <si>
    <t>Russian drama : four young female voices / translated by Lisa Hayden ; edited by Michele A. Berdy.</t>
  </si>
  <si>
    <t>Moscow : Glas, [2014]</t>
  </si>
  <si>
    <t>Glas new Russian writing ; volume 61</t>
  </si>
  <si>
    <t>2019-12-12</t>
  </si>
  <si>
    <t>1393279680:eng</t>
  </si>
  <si>
    <t>858603315</t>
  </si>
  <si>
    <t>ocn858603315</t>
  </si>
  <si>
    <t>3103566331J</t>
  </si>
  <si>
    <t>9785717201254</t>
  </si>
  <si>
    <t>794956322</t>
  </si>
  <si>
    <t>PG3245 R84 1986</t>
  </si>
  <si>
    <t>0                      PG 3245000R  84          1986</t>
  </si>
  <si>
    <t>The Russian symbolist theatre : an anthology of plays and critical texts / edited and translated by Michael Green.</t>
  </si>
  <si>
    <t>Ann Arbor, Mich. : Ardis Publishers, ©1986.</t>
  </si>
  <si>
    <t>2015-11-27</t>
  </si>
  <si>
    <t>1024347436:eng</t>
  </si>
  <si>
    <t>12613413</t>
  </si>
  <si>
    <t>ocm12613413</t>
  </si>
  <si>
    <t>31029188500</t>
  </si>
  <si>
    <t>9780882337975</t>
  </si>
  <si>
    <t>792821113</t>
  </si>
  <si>
    <t>PG3245 R87 1983</t>
  </si>
  <si>
    <t>0                      PG 3245000R  87          1983</t>
  </si>
  <si>
    <t>Russian satiric comedy : six plays / edited and translated, with an introduction, by Laurence Senelick.</t>
  </si>
  <si>
    <t>New York : Performing Arts Journal Publications, [1983]</t>
  </si>
  <si>
    <t>A PAJ playscript</t>
  </si>
  <si>
    <t>2016-04-23</t>
  </si>
  <si>
    <t>3818176:eng</t>
  </si>
  <si>
    <t>10049283</t>
  </si>
  <si>
    <t>ocm10049283</t>
  </si>
  <si>
    <t>3102918865Z</t>
  </si>
  <si>
    <t>9780933826526</t>
  </si>
  <si>
    <t>792706612</t>
  </si>
  <si>
    <t>PG3245 S4</t>
  </si>
  <si>
    <t>0                      PG 3245000S  4</t>
  </si>
  <si>
    <t>Seven Soviet plays ... with introductions by H.W.L. Dana.</t>
  </si>
  <si>
    <t>New York, Macmillan Co., 1946.</t>
  </si>
  <si>
    <t>1946</t>
  </si>
  <si>
    <t>54047420:eng</t>
  </si>
  <si>
    <t>1443100</t>
  </si>
  <si>
    <t>ocm01443100</t>
  </si>
  <si>
    <t>31029188452</t>
  </si>
  <si>
    <t>791627159</t>
  </si>
  <si>
    <t>PG3245 T76 2016</t>
  </si>
  <si>
    <t>0                      PG 3245000T  76          2016</t>
  </si>
  <si>
    <t>Troika : A month in the country ; Rasputin's brother ; Summerfolk : three Russian adaptations / by Carol Rocamora.</t>
  </si>
  <si>
    <t>Rocamora, Carol, translator, author, adapter.</t>
  </si>
  <si>
    <t>Hanover, NH : Smith &amp; Kraus Publishers, 2016.</t>
  </si>
  <si>
    <t>3882313240:eng</t>
  </si>
  <si>
    <t>959061103</t>
  </si>
  <si>
    <t>ocn959061103</t>
  </si>
  <si>
    <t>31036576246</t>
  </si>
  <si>
    <t>9781575258911</t>
  </si>
  <si>
    <t>795022216</t>
  </si>
  <si>
    <t>PG3245 T86 1996</t>
  </si>
  <si>
    <t>0                      PG 3245000T  86          1996</t>
  </si>
  <si>
    <t>Two plays from the new Russia / translated and edited by John Freedman.</t>
  </si>
  <si>
    <t>Amsterdam, The Netherlands : Harwood Academic Publishers, ©1996.</t>
  </si>
  <si>
    <t>Russian theatre archive ; v. 9</t>
  </si>
  <si>
    <t>3152898:eng</t>
  </si>
  <si>
    <t>36949596</t>
  </si>
  <si>
    <t>ocm36949596</t>
  </si>
  <si>
    <t>31029188354</t>
  </si>
  <si>
    <t>9783718657803</t>
  </si>
  <si>
    <t>793488232</t>
  </si>
  <si>
    <t>PG3263 R888 2003</t>
  </si>
  <si>
    <t>0                      PG 3263000R  888         2003</t>
  </si>
  <si>
    <t>Russkie t︠s︡vety zla : [sbornik] / [sostavitelʹ V. Erofeev].</t>
  </si>
  <si>
    <t>Moskva : Zebra-E : ĖKSMO, 2003-</t>
  </si>
  <si>
    <t>2007-05-06</t>
  </si>
  <si>
    <t>350203712:rus</t>
  </si>
  <si>
    <t>52632189</t>
  </si>
  <si>
    <t>ocm52632189</t>
  </si>
  <si>
    <t>31029188198</t>
  </si>
  <si>
    <t>793811447</t>
  </si>
  <si>
    <t>3102918809A</t>
  </si>
  <si>
    <t>793811445</t>
  </si>
  <si>
    <t>31029188148</t>
  </si>
  <si>
    <t>793811446</t>
  </si>
  <si>
    <t>PG3263 S74 1989</t>
  </si>
  <si>
    <t>0                      PG 3263000S  74          1989</t>
  </si>
  <si>
    <t>Stepnai︠a︡ baryshni︠a︡ / [sostavlenie, vstupitelʹnai︠a︡ statʹi︠a︡ i primechanii︠a︡ V.V. Uchenovoĭ].</t>
  </si>
  <si>
    <t>Moskva : "Pravda, ", 1989.</t>
  </si>
  <si>
    <t>Proza russkikh pisatelʹnit︠s︡ XIX veka</t>
  </si>
  <si>
    <t>44741607:rus</t>
  </si>
  <si>
    <t>41986830</t>
  </si>
  <si>
    <t>ocm41986830</t>
  </si>
  <si>
    <t>3103482707P</t>
  </si>
  <si>
    <t>793600617</t>
  </si>
  <si>
    <t>PG3263.5 D48 2011</t>
  </si>
  <si>
    <t>0                      PG 3263500D  48          2011</t>
  </si>
  <si>
    <t>Desi︠a︡tka / Zakhar Prilepin ... et al.</t>
  </si>
  <si>
    <t>Moskva : Ad Marginem, 2011.</t>
  </si>
  <si>
    <t>2013-12-04</t>
  </si>
  <si>
    <t>1058705348:rus</t>
  </si>
  <si>
    <t>794227308</t>
  </si>
  <si>
    <t>ocn794227308</t>
  </si>
  <si>
    <t>31034837609</t>
  </si>
  <si>
    <t>9785911030735</t>
  </si>
  <si>
    <t>794919393</t>
  </si>
  <si>
    <t>PG3263.5 D48 2016</t>
  </si>
  <si>
    <t>0                      PG 3263500D  48          2016</t>
  </si>
  <si>
    <t>Devi︠a︡tʹ dneĭ v ii︠u︡le : Sbornik rasskazov i povesteĭ o zhizni nastoi︠a︡shcheĭ / Narinė Abgari︠a︡n.</t>
  </si>
  <si>
    <t>Moskva : Izdatelʹstvo AST, [2015]</t>
  </si>
  <si>
    <t>Narinė Abgari︠a︡n predstavli︠a︡et</t>
  </si>
  <si>
    <t>2889850695:rus</t>
  </si>
  <si>
    <t>935251982</t>
  </si>
  <si>
    <t>ocn935251982</t>
  </si>
  <si>
    <t>3103699128L</t>
  </si>
  <si>
    <t>9785170921621</t>
  </si>
  <si>
    <t>795010026</t>
  </si>
  <si>
    <t>PG3266 F76 1988</t>
  </si>
  <si>
    <t>0                      PG 3266000F  76          1988</t>
  </si>
  <si>
    <t>From Furmanov to Sholokhov : an anthology of the classics of Socialist realism / edited by Nicholas Luker.</t>
  </si>
  <si>
    <t>Ann Arbor : Ardis, ©1988.</t>
  </si>
  <si>
    <t>16544450:eng</t>
  </si>
  <si>
    <t>18015321</t>
  </si>
  <si>
    <t>ocm18015321</t>
  </si>
  <si>
    <t>31028660729</t>
  </si>
  <si>
    <t>9780875010366</t>
  </si>
  <si>
    <t>793010583</t>
  </si>
  <si>
    <t>PG3266 G5 1968</t>
  </si>
  <si>
    <t>0                      PG 3266000G  5           1968</t>
  </si>
  <si>
    <t>The fatal eggs, and other Soviet satire / edited and translated by Mirra Ginsburg.</t>
  </si>
  <si>
    <t>New York : Grove Press, Inc., 1968.</t>
  </si>
  <si>
    <t>First evergreen edition.</t>
  </si>
  <si>
    <t>1401862:eng</t>
  </si>
  <si>
    <t>2185223</t>
  </si>
  <si>
    <t>ocm02185223</t>
  </si>
  <si>
    <t>3102918789Y</t>
  </si>
  <si>
    <t>792062775</t>
  </si>
  <si>
    <t>2009-11-02</t>
  </si>
  <si>
    <t>31029188286</t>
  </si>
  <si>
    <t>792062774</t>
  </si>
  <si>
    <t>PG3266 P45 1995</t>
  </si>
  <si>
    <t>0                      PG 3266000P  45          1995</t>
  </si>
  <si>
    <t>The Penguin book of new Russian writing : Russia's Fleurs du mal / compiled with an introduction by Victor Erofeyev ; edited by Victor Erofeyev and Andrew Reynolds.</t>
  </si>
  <si>
    <t>London, England ; New York, N.Y. : Penguin Books, 1995.</t>
  </si>
  <si>
    <t>836978422:eng</t>
  </si>
  <si>
    <t>34887367</t>
  </si>
  <si>
    <t>ocm34887367</t>
  </si>
  <si>
    <t>31029188236</t>
  </si>
  <si>
    <t>9780140159639</t>
  </si>
  <si>
    <t>793438013</t>
  </si>
  <si>
    <t>PG3270.5 M64 2017</t>
  </si>
  <si>
    <t>0                      PG 3270500M  64          2017</t>
  </si>
  <si>
    <t>Moi universitety : sbornik rasskazov o i︠u︡nosti / Marii︠a︡ Metlit︠s︡kai︠a︡, Anna Matveeva, Aleksandr Melikhov, Aleksandr T︠S︡ypkin, Aleksandr Malenkov, Oleg Zhdanov i 34 avtora iz naroda ; pod redakt︠s︡ieĭ A. Snegirëva.</t>
  </si>
  <si>
    <t>Moskva : Izdatelʹstvo "Ė", 2017.</t>
  </si>
  <si>
    <t>Narodnai︠a︡ kniga</t>
  </si>
  <si>
    <t>4217236148:rus</t>
  </si>
  <si>
    <t>987576521</t>
  </si>
  <si>
    <t>ocn987576521</t>
  </si>
  <si>
    <t>3103759806K</t>
  </si>
  <si>
    <t>9785699954322</t>
  </si>
  <si>
    <t>795036223</t>
  </si>
  <si>
    <t>PG3273 K7x</t>
  </si>
  <si>
    <t>0                      PG 3273000K  7x</t>
  </si>
  <si>
    <t>Science fiction and adventure stories by Soviet writers / compiled by E. Krichevskaya and N. Pruzhinina ; notes and vocabulary translated by V. Korotky.</t>
  </si>
  <si>
    <t>Moscow : Progress Publishers, [196-?]</t>
  </si>
  <si>
    <t>905295500:rus</t>
  </si>
  <si>
    <t>22158006</t>
  </si>
  <si>
    <t>ocm22158006</t>
  </si>
  <si>
    <t>30006134816</t>
  </si>
  <si>
    <t>793135852</t>
  </si>
  <si>
    <t>PG3273.5 F37 2014</t>
  </si>
  <si>
    <t>0                      PG 3273500F  37          2014</t>
  </si>
  <si>
    <t>Zdesʹ net doma / Ivan Fastmanov.</t>
  </si>
  <si>
    <t>Fastmanov, Ivan, author.</t>
  </si>
  <si>
    <t>Moskva : Sovpadenie, 2014.</t>
  </si>
  <si>
    <t>2281747436:rus</t>
  </si>
  <si>
    <t>902634921</t>
  </si>
  <si>
    <t>ocn902634921</t>
  </si>
  <si>
    <t>3103641421J</t>
  </si>
  <si>
    <t>9785903060344</t>
  </si>
  <si>
    <t>794988288</t>
  </si>
  <si>
    <t>PG3276 G54 1990</t>
  </si>
  <si>
    <t>0                      PG 3276000G  54          1990</t>
  </si>
  <si>
    <t>Glasnost : an anthology of Russian literature under Gorbachev / edited by Helena Goscilo &amp; Byron Lindsey.</t>
  </si>
  <si>
    <t>Ann Arbor, MI : Ardis, ©1990.</t>
  </si>
  <si>
    <t>Ardis contemporary Russian prose</t>
  </si>
  <si>
    <t>2019-11-29</t>
  </si>
  <si>
    <t>364525171:eng</t>
  </si>
  <si>
    <t>20799056</t>
  </si>
  <si>
    <t>ocm20799056</t>
  </si>
  <si>
    <t>3102918881V</t>
  </si>
  <si>
    <t>9780875010700</t>
  </si>
  <si>
    <t>793099035</t>
  </si>
  <si>
    <t>PG3276 M25</t>
  </si>
  <si>
    <t>0                      PG 3276000M  25</t>
  </si>
  <si>
    <t>Russian science fiction : 1969 : an anthology / compiled and edited by Robert Magidoff, Head, All-University Department of Slavic Languages and Literatures, New York University.</t>
  </si>
  <si>
    <t>London : University of London Press, 1969.</t>
  </si>
  <si>
    <t>2017-02-04</t>
  </si>
  <si>
    <t>3858764158:eng</t>
  </si>
  <si>
    <t>54737</t>
  </si>
  <si>
    <t>ocm00054737</t>
  </si>
  <si>
    <t>31029189057</t>
  </si>
  <si>
    <t>791240963</t>
  </si>
  <si>
    <t>PG3276 R87 1985</t>
  </si>
  <si>
    <t>0                      PG 3276000R  87          1985</t>
  </si>
  <si>
    <t>Russian and Polish women's fiction / translated and edited by Helena Goscilo.</t>
  </si>
  <si>
    <t>Knoxville : University of Tennessee Press, ©1985.</t>
  </si>
  <si>
    <t>3837716:eng</t>
  </si>
  <si>
    <t>11211675</t>
  </si>
  <si>
    <t>ocm11211675</t>
  </si>
  <si>
    <t>31029189007</t>
  </si>
  <si>
    <t>9780870494567</t>
  </si>
  <si>
    <t>792763260</t>
  </si>
  <si>
    <t>PG3276 W67 2007</t>
  </si>
  <si>
    <t>0                      PG 3276000W  67          2007</t>
  </si>
  <si>
    <t>Worlds apart : an anthol[o]gy of Russian fantasy and science fiction / edited and with commentary by Alexander Levitsky ; translated by Alexander Levitsky and Martha T. Kitchen.</t>
  </si>
  <si>
    <t>New York : Overlook Duckworth, 2007.</t>
  </si>
  <si>
    <t>2019-01-23</t>
  </si>
  <si>
    <t>1862317359:eng</t>
  </si>
  <si>
    <t>124026351</t>
  </si>
  <si>
    <t>ocn124026351</t>
  </si>
  <si>
    <t>3103671437N</t>
  </si>
  <si>
    <t>9781585678198</t>
  </si>
  <si>
    <t>794229351</t>
  </si>
  <si>
    <t>PG3280.5 L57 2016</t>
  </si>
  <si>
    <t>0                      PG 3280500L  57          2016</t>
  </si>
  <si>
    <t>Li︠u︡bovʹ, ili Ne takie kak vse : sbornik rasskazov / Aleksandr Snegirëv, Ariadna Borisova, Andreĭ Gelasimov, Roman Senchin, I︠U︡riĭ Buĭda i drugie.</t>
  </si>
  <si>
    <t>Moskva : Izdatelʹstvo "Ė", 2016.</t>
  </si>
  <si>
    <t>3267232501:rus</t>
  </si>
  <si>
    <t>952425943</t>
  </si>
  <si>
    <t>ocn952425943</t>
  </si>
  <si>
    <t>3103699161N</t>
  </si>
  <si>
    <t>9785699875290</t>
  </si>
  <si>
    <t>795018247</t>
  </si>
  <si>
    <t>PG3280.5 O284 2014</t>
  </si>
  <si>
    <t>0                      PG 3280500O  284         2014</t>
  </si>
  <si>
    <t>Ocharovannyĭ ostrov : novye skazki ob Italii / sostavitelʹ Gennadiĭ Kiselev.</t>
  </si>
  <si>
    <t>Moskva : CORPUS : Izdatelʹstvo AST, [2014]</t>
  </si>
  <si>
    <t>2048708308:rus</t>
  </si>
  <si>
    <t>886381041</t>
  </si>
  <si>
    <t>ocn886381041</t>
  </si>
  <si>
    <t>3103199539A</t>
  </si>
  <si>
    <t>9785170843930</t>
  </si>
  <si>
    <t>794977397</t>
  </si>
  <si>
    <t>PG3280.5 R877 2014</t>
  </si>
  <si>
    <t>0                      PG 3280500R  877         2014</t>
  </si>
  <si>
    <t>Russkiĭ zhestokiĭ rasskaz / Sostavitelʹ Vladimir Sorokin.</t>
  </si>
  <si>
    <t>Moskva : Izdatelʹstvo AST, 2014.</t>
  </si>
  <si>
    <t>Corpus</t>
  </si>
  <si>
    <t>2249542970:rus</t>
  </si>
  <si>
    <t>893857393</t>
  </si>
  <si>
    <t>ocn893857393</t>
  </si>
  <si>
    <t>31035865343</t>
  </si>
  <si>
    <t>9785170852314</t>
  </si>
  <si>
    <t>794982029</t>
  </si>
  <si>
    <t>PG3283 K64 2003</t>
  </si>
  <si>
    <t>0                      PG 3283000K  64          2003</t>
  </si>
  <si>
    <t>Kniga russkikh inorodnykh skazok : antologii︠a︡ / pridumal i sostavil Maks Fraĭ.</t>
  </si>
  <si>
    <t>Sankt-Peterburg : Amfora, 2003.</t>
  </si>
  <si>
    <t>Locus solus</t>
  </si>
  <si>
    <t>4033908715:rus</t>
  </si>
  <si>
    <t>53798153</t>
  </si>
  <si>
    <t>ocm53798153</t>
  </si>
  <si>
    <t>31029187583</t>
  </si>
  <si>
    <t>9785942784003</t>
  </si>
  <si>
    <t>793850593</t>
  </si>
  <si>
    <t>PG3283 P755 2016</t>
  </si>
  <si>
    <t>0                      PG 3283000P  755         2016</t>
  </si>
  <si>
    <t>Priti︠a︡zhenie neba : sbornik / Dina Rubina [and ninteen others] ; otvetstvennyĭ redaktor E. Nevolina.</t>
  </si>
  <si>
    <t>Kollekt︠s︡ii︠a︡ sovremennogo rasskaza</t>
  </si>
  <si>
    <t>4066030539:rus</t>
  </si>
  <si>
    <t>972336216</t>
  </si>
  <si>
    <t>ocn972336216</t>
  </si>
  <si>
    <t>31037282866</t>
  </si>
  <si>
    <t>9785699923564</t>
  </si>
  <si>
    <t>795028645</t>
  </si>
  <si>
    <t>PG3283 R34</t>
  </si>
  <si>
    <t>0                      PG 3283000R  34</t>
  </si>
  <si>
    <t>Rasskazy sovetskikh pisateleǐ. Short stories. [English texts edited by R. Dixon].</t>
  </si>
  <si>
    <t>Moscow Progress Publishers [1965]</t>
  </si>
  <si>
    <t>2015-04-10</t>
  </si>
  <si>
    <t>863907963:rus</t>
  </si>
  <si>
    <t>1143376196</t>
  </si>
  <si>
    <t>ocn222353643</t>
  </si>
  <si>
    <t>31029188314</t>
  </si>
  <si>
    <t>794330304</t>
  </si>
  <si>
    <t>2007-05-09</t>
  </si>
  <si>
    <t>31029188266</t>
  </si>
  <si>
    <t>794330305</t>
  </si>
  <si>
    <t>PG3283 S74</t>
  </si>
  <si>
    <t>0                      PG 3283000S  74</t>
  </si>
  <si>
    <t>Russian stories : stories in the original Russian = Russkie rasskazy / edited by Gleb Struve ; with translations, critical introductions, notes and vocabulary by the editor.</t>
  </si>
  <si>
    <t>New York : Bantam Books, 1961.</t>
  </si>
  <si>
    <t>A Bantam dual-language book ; N2229</t>
  </si>
  <si>
    <t>4820501633:eng</t>
  </si>
  <si>
    <t>56774721</t>
  </si>
  <si>
    <t>ocm56774721</t>
  </si>
  <si>
    <t>31029188482</t>
  </si>
  <si>
    <t>793901645</t>
  </si>
  <si>
    <t>PG3283 Z48 2000</t>
  </si>
  <si>
    <t>0                      PG 3283000Z  48          2000</t>
  </si>
  <si>
    <t>Zhuzhukiny deti, ili, Pritcha o nedostoĭnom sosede : antologii︠a︡ korotkogo rasskaza : Rossii︠a︡, 2-i︠a︡ polovina XX veka / sostavitelʹ Anatoliĭ Kudri︠a︡vit︠s︡kiĭ.</t>
  </si>
  <si>
    <t>Moskva : Novoe literaturnoe obozrenie, ©2000.</t>
  </si>
  <si>
    <t>3901785910:rus</t>
  </si>
  <si>
    <t>44273013</t>
  </si>
  <si>
    <t>ocm44273013</t>
  </si>
  <si>
    <t>31029188520</t>
  </si>
  <si>
    <t>9785867930806</t>
  </si>
  <si>
    <t>793644885</t>
  </si>
  <si>
    <t>PG3283.5 A35 2014</t>
  </si>
  <si>
    <t>0                      PG 3283500A  35          2014</t>
  </si>
  <si>
    <t>Adi︠u︡lʹter : sovremennye rasskazy o li︠u︡bʹvi / Marii︠a︡ Metlit︠s︡kai︠a︡, Tatʹi︠a︡na Vedenskai︠a︡, Masha Traub i drugie.</t>
  </si>
  <si>
    <t>Moskva : ĖKSMO, 2014.</t>
  </si>
  <si>
    <t>Sovremennye rasskazy o li︠u︡bvi</t>
  </si>
  <si>
    <t>2228856480:rus</t>
  </si>
  <si>
    <t>896192118</t>
  </si>
  <si>
    <t>ocn896192118</t>
  </si>
  <si>
    <t>3103699157E</t>
  </si>
  <si>
    <t>9785699753598</t>
  </si>
  <si>
    <t>794983876</t>
  </si>
  <si>
    <t>PG3283.5 D58 2017</t>
  </si>
  <si>
    <t>0                      PG 3283500D  58          2017</t>
  </si>
  <si>
    <t>Di︠u︡zhina slov ob Okti︠a︡bre : sbornik rasskazov / Dina Rubina [and eleven others].</t>
  </si>
  <si>
    <t>100-letii︠u︡ Okti︠a︡brʹskoĭ revoli︠u︡t︠s︡ii posvi︠a︡shchaem</t>
  </si>
  <si>
    <t>2019-02-18</t>
  </si>
  <si>
    <t>4721404449:rus</t>
  </si>
  <si>
    <t>1019594450</t>
  </si>
  <si>
    <t>on1019594450</t>
  </si>
  <si>
    <t>31038799991</t>
  </si>
  <si>
    <t>9785699991273</t>
  </si>
  <si>
    <t>795049231</t>
  </si>
  <si>
    <t>PG3283.5 L83 2013</t>
  </si>
  <si>
    <t>0                      PG 3283500L  83          2013</t>
  </si>
  <si>
    <t>Luchshie rasskazy 2011 : antologii︠a︡ : literaturnai︠a︡ premii︠a︡ I︠U︡rii︠a︡ Kazakova / otvetstvennyĭ redaktor O. Starikova ; S. Kostyrko, predislovie.</t>
  </si>
  <si>
    <t>Moskva : OGI, 2013.</t>
  </si>
  <si>
    <t>1367664170:rus</t>
  </si>
  <si>
    <t>852786168</t>
  </si>
  <si>
    <t>ocn852786168</t>
  </si>
  <si>
    <t>3103586037I</t>
  </si>
  <si>
    <t>9785942826628</t>
  </si>
  <si>
    <t>794951577</t>
  </si>
  <si>
    <t>PG3283.5 P48 2008</t>
  </si>
  <si>
    <t>0                      PG 3283500P  48          2008</t>
  </si>
  <si>
    <t>Kniga print︠s︡ess / Li︠u︡dmila Petrushevskai︠a︡ ; khudozhnik Elena Zelenina.</t>
  </si>
  <si>
    <t>Petrushevskai︠a︡, Li︠u︡dmila.</t>
  </si>
  <si>
    <t>Moskva : ROSMĖN, 2008.</t>
  </si>
  <si>
    <t>2918381865:rus</t>
  </si>
  <si>
    <t>294760535</t>
  </si>
  <si>
    <t>ocn294760535</t>
  </si>
  <si>
    <t>3103578206F</t>
  </si>
  <si>
    <t>9785353030904</t>
  </si>
  <si>
    <t>794424927</t>
  </si>
  <si>
    <t>PG3283.5 R37 2011</t>
  </si>
  <si>
    <t>0                      PG 3283500R  37          2011</t>
  </si>
  <si>
    <t>Rasskazy novykh pisateleĭ : Mezhdunarodnyĭ konkurs russkoi︠a︡zychnoĭ literatury / Literaturnoe agenstvo "Novye pisateli."</t>
  </si>
  <si>
    <t>Moskva : Diksi Press, 2011.</t>
  </si>
  <si>
    <t>Novye pisateli ; vypusk 1</t>
  </si>
  <si>
    <t>2013-11-20</t>
  </si>
  <si>
    <t>1097048727:rus</t>
  </si>
  <si>
    <t>781969429</t>
  </si>
  <si>
    <t>ocn781969429</t>
  </si>
  <si>
    <t>3103440418N</t>
  </si>
  <si>
    <t>9785905490026</t>
  </si>
  <si>
    <t>794913474</t>
  </si>
  <si>
    <t>PG3283.5 S46 2017</t>
  </si>
  <si>
    <t>0                      PG 3283500S  46          2017</t>
  </si>
  <si>
    <t>Semnadt︠s︡atʹ o Semnadt︠s︡atom : sbornik rasskazov / Viktor Pelevin [and sixteen others].</t>
  </si>
  <si>
    <t>Moskva : Izdatelʹstvo "Ė" 2017.</t>
  </si>
  <si>
    <t>4586814070:rus</t>
  </si>
  <si>
    <t>1001572033</t>
  </si>
  <si>
    <t>on1001572033</t>
  </si>
  <si>
    <t>31037597860</t>
  </si>
  <si>
    <t>9785699972036</t>
  </si>
  <si>
    <t>795040678</t>
  </si>
  <si>
    <t>PG3286 B47 1925</t>
  </si>
  <si>
    <t>0                      PG 3286000B  47          1925</t>
  </si>
  <si>
    <t>Best Russian short stories / compiled and edited by Thomas Seltzer.</t>
  </si>
  <si>
    <t>New York : Modern Library, ©1925.</t>
  </si>
  <si>
    <t>1925</t>
  </si>
  <si>
    <t>Modern library of the world's best books</t>
  </si>
  <si>
    <t>2017-11-03</t>
  </si>
  <si>
    <t>1395926:eng</t>
  </si>
  <si>
    <t>319725</t>
  </si>
  <si>
    <t>ocm00319725</t>
  </si>
  <si>
    <t>3102918868Z</t>
  </si>
  <si>
    <t>791335649</t>
  </si>
  <si>
    <t>PG3286 B66 1932</t>
  </si>
  <si>
    <t>0                      PG 3286000B  66          1932</t>
  </si>
  <si>
    <t>Bonfire; stories out of Soviet Russia. An anthology of contemporary Russian literature.</t>
  </si>
  <si>
    <t>London, E. Benn [1932]</t>
  </si>
  <si>
    <t>2016-02-20</t>
  </si>
  <si>
    <t>31809407:eng</t>
  </si>
  <si>
    <t>427283673</t>
  </si>
  <si>
    <t>ocn427283673</t>
  </si>
  <si>
    <t>3102918872X</t>
  </si>
  <si>
    <t>794562491</t>
  </si>
  <si>
    <t>PG3286 G73 2010</t>
  </si>
  <si>
    <t>0                      PG 3286000G  73          2010</t>
  </si>
  <si>
    <t>The greatest Russian stories of crime and suspense / edited by Otto Penzler.</t>
  </si>
  <si>
    <t>New York, NY : Pegasus Books, 2010.</t>
  </si>
  <si>
    <t>1st Pegasus Books ed.</t>
  </si>
  <si>
    <t>2014-08-21</t>
  </si>
  <si>
    <t>471542478:eng</t>
  </si>
  <si>
    <t>601103649</t>
  </si>
  <si>
    <t>ocn601103649</t>
  </si>
  <si>
    <t>3103344077D</t>
  </si>
  <si>
    <t>9781605981352</t>
  </si>
  <si>
    <t>794815315</t>
  </si>
  <si>
    <t>PG3286 G74 1959</t>
  </si>
  <si>
    <t>0                      PG 3286000G  74          1959</t>
  </si>
  <si>
    <t>Great Russian short stories / edited by Stephen Graham.</t>
  </si>
  <si>
    <t>New York : Liveright Publishing Corporation, 1959.</t>
  </si>
  <si>
    <t>1498942:eng</t>
  </si>
  <si>
    <t>6614754</t>
  </si>
  <si>
    <t>ocm06614754</t>
  </si>
  <si>
    <t>31001361021</t>
  </si>
  <si>
    <t>792511937</t>
  </si>
  <si>
    <t>3100250793X</t>
  </si>
  <si>
    <t>792511938</t>
  </si>
  <si>
    <t>PG3286 G74 1975</t>
  </si>
  <si>
    <t>0                      PG 3286000G  74          1975</t>
  </si>
  <si>
    <t>Graham, Stephen, 1884-1975, editor.</t>
  </si>
  <si>
    <t>New York : Liveright Pub. Corp., 1975, ©1959.</t>
  </si>
  <si>
    <t>297501</t>
  </si>
  <si>
    <t>ocm00297501</t>
  </si>
  <si>
    <t>3102918869Z</t>
  </si>
  <si>
    <t>9780871406156</t>
  </si>
  <si>
    <t>791328159</t>
  </si>
  <si>
    <t>PG3286 G75 2013</t>
  </si>
  <si>
    <t>0                      PG 3286000G  75          2013</t>
  </si>
  <si>
    <t>Great Russian short stories of the twentieth century : a dual language book = Zamechatelʹnyĭ russkiĭ rasskaz 20 veka / edited and translated by Yelena P. Francis.</t>
  </si>
  <si>
    <t>Short stories. Selections. English</t>
  </si>
  <si>
    <t>Mineola, New York : Dover Publications, Inc., [2013]</t>
  </si>
  <si>
    <t>Dual-language book</t>
  </si>
  <si>
    <t>5620192853:eng</t>
  </si>
  <si>
    <t>792881103</t>
  </si>
  <si>
    <t>ocn792881103</t>
  </si>
  <si>
    <t>3103504059P</t>
  </si>
  <si>
    <t>9780486488738</t>
  </si>
  <si>
    <t>794917218</t>
  </si>
  <si>
    <t>PG3286 H35 1995</t>
  </si>
  <si>
    <t>0                      PG 3286000H  35          1995</t>
  </si>
  <si>
    <t>Half a revolution : contemporary fiction by Russian women / edited and translated by Masha Gessen ; with a preface by Olga Lipovskaya.</t>
  </si>
  <si>
    <t>Pittsburgh, Pa. : Cleis Press, ©1995.</t>
  </si>
  <si>
    <t>33269891:eng</t>
  </si>
  <si>
    <t>31518015</t>
  </si>
  <si>
    <t>ocm31518015</t>
  </si>
  <si>
    <t>3101515951B</t>
  </si>
  <si>
    <t>9781573440073</t>
  </si>
  <si>
    <t>793363149</t>
  </si>
  <si>
    <t>PG3286 L54 2009</t>
  </si>
  <si>
    <t>0                      PG 3286000L  54          2009</t>
  </si>
  <si>
    <t>Life stories : original works by Russian writers.</t>
  </si>
  <si>
    <t>Montpelier, VT : Stories for Good, ©2009.</t>
  </si>
  <si>
    <t>2019-04-08</t>
  </si>
  <si>
    <t>317426154:eng</t>
  </si>
  <si>
    <t>430322533</t>
  </si>
  <si>
    <t>ocn430322533</t>
  </si>
  <si>
    <t>31033788157</t>
  </si>
  <si>
    <t>9781880100585</t>
  </si>
  <si>
    <t>794780770</t>
  </si>
  <si>
    <t>PG3286 M67 2013</t>
  </si>
  <si>
    <t>0                      PG 3286000M  67          2013</t>
  </si>
  <si>
    <t>Moscow tales / stories translated by Sasha Dugdale ; edited by Helen Constantine.</t>
  </si>
  <si>
    <t>Oxford, United Kingdom : Oxford University Press, 2013.</t>
  </si>
  <si>
    <t>2014-09-05</t>
  </si>
  <si>
    <t>1749435839:eng</t>
  </si>
  <si>
    <t>861725478</t>
  </si>
  <si>
    <t>ocn861725478</t>
  </si>
  <si>
    <t>3103505690W</t>
  </si>
  <si>
    <t>9780199559893</t>
  </si>
  <si>
    <t>794959528</t>
  </si>
  <si>
    <t>PG3286 N35 1989</t>
  </si>
  <si>
    <t>0                      PG 3286000N  35          1989</t>
  </si>
  <si>
    <t>The New Soviet fiction : sixteen short stories / compiled by Sergei Zalygin.</t>
  </si>
  <si>
    <t>New York : Abbeville Press, ©1989.</t>
  </si>
  <si>
    <t>17930850:eng</t>
  </si>
  <si>
    <t>18683352</t>
  </si>
  <si>
    <t>ocm18683352</t>
  </si>
  <si>
    <t>3102227735B</t>
  </si>
  <si>
    <t>9780896598812</t>
  </si>
  <si>
    <t>793033506</t>
  </si>
  <si>
    <t>PG3286 P74 1996</t>
  </si>
  <si>
    <t>0                      PG 3286000P  74          1996</t>
  </si>
  <si>
    <t>Present imperfect : stories by Russian women / edited by Ayesha Kagal and Natasha Perova ; introduction by Helena Goscilo.</t>
  </si>
  <si>
    <t>Boulder, Colo. : Westview Press, 1996.</t>
  </si>
  <si>
    <t>2008-11-05</t>
  </si>
  <si>
    <t>837055231:eng</t>
  </si>
  <si>
    <t>34150807</t>
  </si>
  <si>
    <t>ocm34150807</t>
  </si>
  <si>
    <t>3101575897T</t>
  </si>
  <si>
    <t>9780813326757</t>
  </si>
  <si>
    <t>793420348</t>
  </si>
  <si>
    <t>3101570612M</t>
  </si>
  <si>
    <t>793420349</t>
  </si>
  <si>
    <t>PG3286 R37 2009</t>
  </si>
  <si>
    <t>0                      PG 3286000R  37          2009</t>
  </si>
  <si>
    <t>Rasskazy : new fiction from a new Russia / edited by Mikhail Iossel and Jeff Parker.</t>
  </si>
  <si>
    <t>Portland, Or. : Tin House Books ; Berkeley, CA : Distributed to the trade by Publishers Group West, 2009.</t>
  </si>
  <si>
    <t>1st U.S. ed.</t>
  </si>
  <si>
    <t>865741947:eng</t>
  </si>
  <si>
    <t>308209394</t>
  </si>
  <si>
    <t>ocn308209394</t>
  </si>
  <si>
    <t>3102627977A</t>
  </si>
  <si>
    <t>9780982053904</t>
  </si>
  <si>
    <t>794434548</t>
  </si>
  <si>
    <t>PG3286 R44 2015</t>
  </si>
  <si>
    <t>0                      PG 3286000R  44          2015</t>
  </si>
  <si>
    <t>Red star tales : a century of Russian and Soviet science fiction / Yvonne Howell, editor ; Anne O. Fisher, translation editor.</t>
  </si>
  <si>
    <t>Montpelier, VT : Russian Life Books, [2015]</t>
  </si>
  <si>
    <t>2018-11-27</t>
  </si>
  <si>
    <t>2829479265:eng</t>
  </si>
  <si>
    <t>931708608</t>
  </si>
  <si>
    <t>ocn931708608</t>
  </si>
  <si>
    <t>3103671370T</t>
  </si>
  <si>
    <t>9781880100387</t>
  </si>
  <si>
    <t>795007694</t>
  </si>
  <si>
    <t>PG3286 R87 2012</t>
  </si>
  <si>
    <t>0                      PG 3286000R  87          2012</t>
  </si>
  <si>
    <t>Russian magic tales from Pushkin to Platonov / translated by Robert Chandler and Elizabeth Chandler with Sibelan Forrester, Anna Gunin and Olga Meerson ; introduced by Robert Chandler ; with an appendix by Sibelan Forrester.</t>
  </si>
  <si>
    <t>London ; New York : Penguin Books, 2012.</t>
  </si>
  <si>
    <t>2019-11-30</t>
  </si>
  <si>
    <t>4523522839:eng</t>
  </si>
  <si>
    <t>802293730</t>
  </si>
  <si>
    <t>ocn802293730</t>
  </si>
  <si>
    <t>3103505604D</t>
  </si>
  <si>
    <t>9780141442235</t>
  </si>
  <si>
    <t>794925505</t>
  </si>
  <si>
    <t>PG3286 R892 2017</t>
  </si>
  <si>
    <t>0                      PG 3286000R  892         2017</t>
  </si>
  <si>
    <t>Russian émigré short stories from Bunin to Yanovsky / edited and with an introduction and notes by Bryan Karetnyk.</t>
  </si>
  <si>
    <t>New York : Penguin Books, 2018.</t>
  </si>
  <si>
    <t>3936292861:eng</t>
  </si>
  <si>
    <t>994208200</t>
  </si>
  <si>
    <t>ocn994208200</t>
  </si>
  <si>
    <t>3103739061J</t>
  </si>
  <si>
    <t>9780241299739</t>
  </si>
  <si>
    <t>795038959</t>
  </si>
  <si>
    <t>PG3286 R893 2009</t>
  </si>
  <si>
    <t>0                      PG 3286000R  893         2009</t>
  </si>
  <si>
    <t>Russian love stories : an anthology of contemporary prose / edited by Nadya L. Peterson.</t>
  </si>
  <si>
    <t>New York : Peter Lang, ©2009.</t>
  </si>
  <si>
    <t>Middlebury studies in Russian language and literature, 0888-8752 ; v. 31</t>
  </si>
  <si>
    <t>792703830:eng</t>
  </si>
  <si>
    <t>320525148</t>
  </si>
  <si>
    <t>ocn320525148</t>
  </si>
  <si>
    <t>31035289607</t>
  </si>
  <si>
    <t>9781433107177</t>
  </si>
  <si>
    <t>794486461</t>
  </si>
  <si>
    <t>PG3286 R895 2005</t>
  </si>
  <si>
    <t>0                      PG 3286000R  895         2005</t>
  </si>
  <si>
    <t>Russian short stories from Pushkin to Buida / edited and translated by Robert Chandler.</t>
  </si>
  <si>
    <t>London : Penguin Books, 2005.</t>
  </si>
  <si>
    <t>890819:eng</t>
  </si>
  <si>
    <t>57638855</t>
  </si>
  <si>
    <t>ocm57638855</t>
  </si>
  <si>
    <t>31035057334</t>
  </si>
  <si>
    <t>9780140448467</t>
  </si>
  <si>
    <t>793916808</t>
  </si>
  <si>
    <t>PG3286 R94 1994</t>
  </si>
  <si>
    <t>0                      PG 3286000R  94          1994</t>
  </si>
  <si>
    <t>Russian tales of the fantastic / translated and introduced by Marilyn Minto.</t>
  </si>
  <si>
    <t>London : Bristol Classical Press, 1994.</t>
  </si>
  <si>
    <t>34109341:eng</t>
  </si>
  <si>
    <t>31674656</t>
  </si>
  <si>
    <t>ocm31674656</t>
  </si>
  <si>
    <t>3101488251Q</t>
  </si>
  <si>
    <t>9781853992254</t>
  </si>
  <si>
    <t>793365502</t>
  </si>
  <si>
    <t>PG3286 R95 1996</t>
  </si>
  <si>
    <t>0                      PG 3286000R  95          1996</t>
  </si>
  <si>
    <t>Russian women's shorter fiction : an anthology, 1835-1860 / translated with an introduction by Joe Andrew.</t>
  </si>
  <si>
    <t>2016-06-29</t>
  </si>
  <si>
    <t>905520064:eng</t>
  </si>
  <si>
    <t>34046344</t>
  </si>
  <si>
    <t>ocm34046344</t>
  </si>
  <si>
    <t>31015616903</t>
  </si>
  <si>
    <t>TRANSIT</t>
  </si>
  <si>
    <t>9780198158844</t>
  </si>
  <si>
    <t>793417129</t>
  </si>
  <si>
    <t>PG3286 S6 1990</t>
  </si>
  <si>
    <t>0                      PG 3286000S  6           1990</t>
  </si>
  <si>
    <t>Soviet women writing : fifteen short stories / introduction by I. Grekova.</t>
  </si>
  <si>
    <t>New York : Abbeville Press, ©1990.</t>
  </si>
  <si>
    <t>23231559:eng</t>
  </si>
  <si>
    <t>21970931</t>
  </si>
  <si>
    <t>ocm21970931</t>
  </si>
  <si>
    <t>3100680837U</t>
  </si>
  <si>
    <t>9780896598829</t>
  </si>
  <si>
    <t>793131709</t>
  </si>
  <si>
    <t>PG3286 S68 2010</t>
  </si>
  <si>
    <t>0                      PG 3286000S  68          2010</t>
  </si>
  <si>
    <t>Squaring the circle : short stories by winners of the Debut Prize / compiled by Olga Slavnikova.</t>
  </si>
  <si>
    <t>Moscow : Glas ; Evanston : Distributed in North America by Northwestern University Press, ©2010.</t>
  </si>
  <si>
    <t>Glas new Russian writing ; v. 47</t>
  </si>
  <si>
    <t>1043402254:eng</t>
  </si>
  <si>
    <t>647672893</t>
  </si>
  <si>
    <t>ocn647672893</t>
  </si>
  <si>
    <t>3103313918H</t>
  </si>
  <si>
    <t>9785717200868</t>
  </si>
  <si>
    <t>794830863</t>
  </si>
  <si>
    <t>PG3286 S87 2004</t>
  </si>
  <si>
    <t>0                      PG 3286000S  87          2004</t>
  </si>
  <si>
    <t>Strange Soviet practices.</t>
  </si>
  <si>
    <t>[Moscow] : GLAS Publishers, [2004]</t>
  </si>
  <si>
    <t>Glas new Russian writing : contemporary Russian literature in English translation ; v. 34</t>
  </si>
  <si>
    <t>2018-01-11</t>
  </si>
  <si>
    <t>9622113688:eng</t>
  </si>
  <si>
    <t>57210560</t>
  </si>
  <si>
    <t>ocm57210560</t>
  </si>
  <si>
    <t>3102503777B</t>
  </si>
  <si>
    <t>9785717200684</t>
  </si>
  <si>
    <t>793909083</t>
  </si>
  <si>
    <t>PG3295 R88 1990</t>
  </si>
  <si>
    <t>0                      PG 3295000R  88          1990</t>
  </si>
  <si>
    <t>Russkiĭ literaturnyĭ anekdot kont︠s︡a XVIII-nachala XIX veka / [vstupitelʹnai︠a︡ statʹi︠a︡ E. Kurganova ; sostavelnie i primechanii︠a︡ E. Kurganova i N. Okhotina].</t>
  </si>
  <si>
    <t>Moskva : Khudozh. lit-ra, 1990.</t>
  </si>
  <si>
    <t>3856466826:rus</t>
  </si>
  <si>
    <t>57311926</t>
  </si>
  <si>
    <t>ocm57311926</t>
  </si>
  <si>
    <t>3102918949$</t>
  </si>
  <si>
    <t>9785280010109</t>
  </si>
  <si>
    <t>793910419</t>
  </si>
  <si>
    <t>PG3300 D613 1994</t>
  </si>
  <si>
    <t>0                      PG 3300000D  613         1994</t>
  </si>
  <si>
    <t>The "Domostroi" : rules for Russian households in the time of Ivan the Terrible / edited and translated by Carolyn Johnston Pouncy.</t>
  </si>
  <si>
    <t>Domostroĭ. English.</t>
  </si>
  <si>
    <t>Ithaca, NY : Cornell University Press, 1994.</t>
  </si>
  <si>
    <t>1151629126:eng</t>
  </si>
  <si>
    <t>29565341</t>
  </si>
  <si>
    <t>ocm29565341</t>
  </si>
  <si>
    <t>3102918964W</t>
  </si>
  <si>
    <t>9780801424106</t>
  </si>
  <si>
    <t>793314614</t>
  </si>
  <si>
    <t>PG3300 S6 A36 2012</t>
  </si>
  <si>
    <t>0                      PG 3300000S  6                  A  36          2012</t>
  </si>
  <si>
    <t>Slovo o polku Igoreve i drugie povesti Drevneĭ Rusi / otvetstvennai︠a︡ za vypusk E.A. Pavlikova.</t>
  </si>
  <si>
    <t>Moskva OLMA Media Grupp, 2012.</t>
  </si>
  <si>
    <t>Klassika v illi︠u︡strat︠s︡ii︠a︡kh</t>
  </si>
  <si>
    <t>1745800775:rus</t>
  </si>
  <si>
    <t>866589726</t>
  </si>
  <si>
    <t>ocn866589726</t>
  </si>
  <si>
    <t>3103551994E</t>
  </si>
  <si>
    <t>9785373047449</t>
  </si>
  <si>
    <t>794963464</t>
  </si>
  <si>
    <t>PG3300 S6 E57</t>
  </si>
  <si>
    <t>0                      PG 3300000S  6                  E  57</t>
  </si>
  <si>
    <t>The song of Igor's campaign; an epic of the twelfth century. Translated from Old Russian by Vladimir Nabokov.</t>
  </si>
  <si>
    <t>Slovo o polku Igoreve. English.</t>
  </si>
  <si>
    <t>New York, Vintage Books [1960]</t>
  </si>
  <si>
    <t>Vintage book ; V718</t>
  </si>
  <si>
    <t>2016-11-25</t>
  </si>
  <si>
    <t>354703298:eng</t>
  </si>
  <si>
    <t>190839</t>
  </si>
  <si>
    <t>ocm00190839</t>
  </si>
  <si>
    <t>3102918958Y</t>
  </si>
  <si>
    <t>791288585</t>
  </si>
  <si>
    <t>PG3300 S6 E57 1988</t>
  </si>
  <si>
    <t>0                      PG 3300000S  6                  E  57          1988</t>
  </si>
  <si>
    <t>The song of Igor's campaign / translated, with a foreword by Vladimir Nabokov.</t>
  </si>
  <si>
    <t>Ann Arbor, Mich. : Ardis, 1988.</t>
  </si>
  <si>
    <t>1st Ardis ed.</t>
  </si>
  <si>
    <t>2016-03-12</t>
  </si>
  <si>
    <t>9845290828:eng</t>
  </si>
  <si>
    <t>20589990</t>
  </si>
  <si>
    <t>ocm20589990</t>
  </si>
  <si>
    <t>3102918962W</t>
  </si>
  <si>
    <t>9780875010618</t>
  </si>
  <si>
    <t>793092021</t>
  </si>
  <si>
    <t>PG3300 S6 S84 1983</t>
  </si>
  <si>
    <t>0                      PG 3300000S  6                  S  84          1983</t>
  </si>
  <si>
    <t>Kto estʹ kto v "Slove o polku Igoreve" / G.V. Sumarukov.</t>
  </si>
  <si>
    <t>Sumarukov, G. V. (Georgiĭ Vladimirovich)</t>
  </si>
  <si>
    <t>3288967:rus</t>
  </si>
  <si>
    <t>10982912</t>
  </si>
  <si>
    <t>ocm10982912</t>
  </si>
  <si>
    <t>3102918952Y</t>
  </si>
  <si>
    <t>792752674</t>
  </si>
  <si>
    <t>PG3300 S6 1950</t>
  </si>
  <si>
    <t>0                      PG 3300000S  6           1950</t>
  </si>
  <si>
    <t>Slovo o polku Igoreve / pod redakt︠s︡ieĭ V.P. Adrianovoĭ-Perett︠s︡.</t>
  </si>
  <si>
    <t>Moskva : Izd-vo Akademii nauk SSSR, 1950.</t>
  </si>
  <si>
    <t>Literaturnye pami︠a︡tniki</t>
  </si>
  <si>
    <t>2015-11-11</t>
  </si>
  <si>
    <t>9658055052:rus</t>
  </si>
  <si>
    <t>6876002</t>
  </si>
  <si>
    <t>ocm06876002</t>
  </si>
  <si>
    <t>3103592274F</t>
  </si>
  <si>
    <t>792528088</t>
  </si>
  <si>
    <t>PG3300 S6 1952</t>
  </si>
  <si>
    <t>0                      PG 3300000S  6           1952</t>
  </si>
  <si>
    <t>Slovo o polku Igoreve. [Vstup. statʹi︠a︡, red. teksta, doslovnyĭ i obʺi︠a︡snitelnyĭ perevod s drevnerusskogo, primechanii︠a︡ D.S. Likhacheva.</t>
  </si>
  <si>
    <t>Moskva, Dettiz, 1952]</t>
  </si>
  <si>
    <t>2016-11-14</t>
  </si>
  <si>
    <t>762369876:rus</t>
  </si>
  <si>
    <t>5113753</t>
  </si>
  <si>
    <t>ocm05113753</t>
  </si>
  <si>
    <t>3102918953Y</t>
  </si>
  <si>
    <t>792408760</t>
  </si>
  <si>
    <t>PG3300 S6 1990</t>
  </si>
  <si>
    <t>0                      PG 3300000S  6           1990</t>
  </si>
  <si>
    <t>Slovo o polku Igoreve / [redakt︠s︡ionnai︠a︡ kollegii︠a︡ I︠U︡.A. Andreev (glavnyĭ redaktor) ... et al. ; vstupitelʹnye statʹi D.S. Likhacheva i L.A. Dmitrieva ; rekonstrukt︠s︡ii︠a︡ drevnerusskogo teksta i nauchnyĭ perevod D.S. Likhacheva ; sostavlenie, podgotovka tekstov i primechanii︠a︡ L.A. Dmitrieva].</t>
  </si>
  <si>
    <t>Slovo o polku Igoreve. Russian &amp; Russian (Old Russian)</t>
  </si>
  <si>
    <t>Leningrad : Sov. pisatelʹ, Leningradskoe otd-nie, 1990.</t>
  </si>
  <si>
    <t>Biblioteka poėta. Malai︠a︡ serii︠a︡</t>
  </si>
  <si>
    <t>5534393655:rus</t>
  </si>
  <si>
    <t>22872168</t>
  </si>
  <si>
    <t>ocm22872168</t>
  </si>
  <si>
    <t>3102918988S</t>
  </si>
  <si>
    <t>9785265014900</t>
  </si>
  <si>
    <t>793155649</t>
  </si>
  <si>
    <t>PG3300 S63 A48</t>
  </si>
  <si>
    <t>0                      PG 3300000S  63                 A  48</t>
  </si>
  <si>
    <t>Slovarʹ-spravochnik "Slova o polku Igoreve." / Sostavitelʹ V.L. Vinogradova.</t>
  </si>
  <si>
    <t>vyp. 4</t>
  </si>
  <si>
    <t>Institut russkoĭ literatury (Pushkinskiĭ dom)</t>
  </si>
  <si>
    <t>Leningrad : Nauka [Leningradskoe otd-nie], 1965-1984.</t>
  </si>
  <si>
    <t>1881802304:rus</t>
  </si>
  <si>
    <t>11971844</t>
  </si>
  <si>
    <t>ocm11971844</t>
  </si>
  <si>
    <t>31029189273</t>
  </si>
  <si>
    <t>792795547</t>
  </si>
  <si>
    <t>vyp. 5</t>
  </si>
  <si>
    <t>31029189223</t>
  </si>
  <si>
    <t>792795546</t>
  </si>
  <si>
    <t>vyp. 2</t>
  </si>
  <si>
    <t>31029189321</t>
  </si>
  <si>
    <t>792795549</t>
  </si>
  <si>
    <t>vyp. 3</t>
  </si>
  <si>
    <t>31029189371</t>
  </si>
  <si>
    <t>792795548</t>
  </si>
  <si>
    <t>vyp. 6</t>
  </si>
  <si>
    <t>3102918986S</t>
  </si>
  <si>
    <t>792795545</t>
  </si>
  <si>
    <t>PG3300 S63 E58 1995</t>
  </si>
  <si>
    <t>0                      PG 3300000S  63                 E  58          1995</t>
  </si>
  <si>
    <t>Ėnt︠s︡iklopedii︠a︡ "Slova o polku Igoreve" / [redakt︠s︡ionnai︠a︡ kollegii︠a︡, L.A. Dmitriev ... O.V. Tvorogov (otv. redaktor)].</t>
  </si>
  <si>
    <t>Sankt-Peterburg : DB, 1995.</t>
  </si>
  <si>
    <t>3373469470:rus</t>
  </si>
  <si>
    <t>32937343</t>
  </si>
  <si>
    <t>ocm32937343</t>
  </si>
  <si>
    <t>3102918977U</t>
  </si>
  <si>
    <t>9785860070097</t>
  </si>
  <si>
    <t>793398043</t>
  </si>
  <si>
    <t>3102918972U</t>
  </si>
  <si>
    <t>793398044</t>
  </si>
  <si>
    <t>3102918982S</t>
  </si>
  <si>
    <t>793398042</t>
  </si>
  <si>
    <t>31014678488</t>
  </si>
  <si>
    <t>793398045</t>
  </si>
  <si>
    <t>3102918987S</t>
  </si>
  <si>
    <t>793398041</t>
  </si>
  <si>
    <t>PG3300 S63 G33 2000</t>
  </si>
  <si>
    <t>0                      PG 3300000S  63                 G  33          2000</t>
  </si>
  <si>
    <t>Poėtika "Slova o polku Igoreve" / B. Gasparov.</t>
  </si>
  <si>
    <t>Moskva : Agraf, 2000.</t>
  </si>
  <si>
    <t>5091216208:rus</t>
  </si>
  <si>
    <t>45066546</t>
  </si>
  <si>
    <t>ocm45066546</t>
  </si>
  <si>
    <t>3102918992Q</t>
  </si>
  <si>
    <t>9785778401150</t>
  </si>
  <si>
    <t>793663888</t>
  </si>
  <si>
    <t>PG3300 S63 I88 2010</t>
  </si>
  <si>
    <t>0                      PG 3300000S  63                 I  88          2010</t>
  </si>
  <si>
    <t>Istorii︠a︡ spora o podlinnosti "Slova o polku Igoreve" : materialy diskussii 1960-kh godov / vstupitelʹnai︠a︡ statʹi︠a︡, sostavlenie, podgotovka tekstov i kommentarii L.V. Sokolovoĭ.</t>
  </si>
  <si>
    <t>Sankt-Peterburg : Izd-vo "Pushkinskiĭ Dom", 2010.</t>
  </si>
  <si>
    <t>864915469:rus</t>
  </si>
  <si>
    <t>711737731</t>
  </si>
  <si>
    <t>ocn711737731</t>
  </si>
  <si>
    <t>3103473517U</t>
  </si>
  <si>
    <t>9785914760103</t>
  </si>
  <si>
    <t>794871142</t>
  </si>
  <si>
    <t>PG3300 S63 M39 1940</t>
  </si>
  <si>
    <t>0                      PG 3300000S  63                 M  39          1940</t>
  </si>
  <si>
    <t>Le Slovo d'Igor.</t>
  </si>
  <si>
    <t>Mazon, André, 1881-1967.</t>
  </si>
  <si>
    <t>Paris : Droz, 1940.</t>
  </si>
  <si>
    <t>1940</t>
  </si>
  <si>
    <t>Travaux publiés par l'Institut d'études slaves ; 20</t>
  </si>
  <si>
    <t>343948390:fre</t>
  </si>
  <si>
    <t>7040203</t>
  </si>
  <si>
    <t>ocm07040203</t>
  </si>
  <si>
    <t>3102919008U</t>
  </si>
  <si>
    <t>792536855</t>
  </si>
  <si>
    <t>PG3300 S63 N55 1997</t>
  </si>
  <si>
    <t>0                      PG 3300000S  63                 N  55          1997</t>
  </si>
  <si>
    <t>"Slovo o polku Igoreve" : poėtika i lingvistika teksta ; "Slovo o polku Igoreve" i pushkinskie teksty / T.M. Nikolaeva.</t>
  </si>
  <si>
    <t>Nikolaeva, T. M. (Tatʹi︠a︡na Mikhaĭlovna)</t>
  </si>
  <si>
    <t>Moskva : Indrik, 1997.</t>
  </si>
  <si>
    <t>3858028256:rus</t>
  </si>
  <si>
    <t>37710964</t>
  </si>
  <si>
    <t>ocm37710964</t>
  </si>
  <si>
    <t>3102918984S</t>
  </si>
  <si>
    <t>9785857590553</t>
  </si>
  <si>
    <t>793505267</t>
  </si>
  <si>
    <t>PG3300 S63 N55 2010</t>
  </si>
  <si>
    <t>0                      PG 3300000S  63                 N  55          2010</t>
  </si>
  <si>
    <t>"Slovo o polku Igoreve " : poėtika i lingvistika teksta ; "Slovo o Polku Igoreve " i pushkinskie teksty / T.M. Nikolaeva.</t>
  </si>
  <si>
    <t>Moskva : KomKniga, 2010.</t>
  </si>
  <si>
    <t>349605774:rus</t>
  </si>
  <si>
    <t>711737758</t>
  </si>
  <si>
    <t>ocn711737758</t>
  </si>
  <si>
    <t>3103393746E</t>
  </si>
  <si>
    <t>9785484012732</t>
  </si>
  <si>
    <t>794871144</t>
  </si>
  <si>
    <t>PG3311 B65 Z79 2001</t>
  </si>
  <si>
    <t>0                      PG 3311000B  65                 Z  79          2001</t>
  </si>
  <si>
    <t>The voice in the garden : Andrei Bolotov and the anxieties of Russian pastoral, 1738-1833 / Thomas Newlin.</t>
  </si>
  <si>
    <t>Newlin, Thomas.</t>
  </si>
  <si>
    <t>Evanston, Ill. : Northwestern University Press, 2001.</t>
  </si>
  <si>
    <t>2016-08-26</t>
  </si>
  <si>
    <t>20635161:eng</t>
  </si>
  <si>
    <t>45757683</t>
  </si>
  <si>
    <t>ocm45757683</t>
  </si>
  <si>
    <t>3102094346C</t>
  </si>
  <si>
    <t>9780810116139</t>
  </si>
  <si>
    <t>793677653</t>
  </si>
  <si>
    <t>PG3312 Z5 S66 2011</t>
  </si>
  <si>
    <t>0                      PG 3312000Z  5                  S  66          2011</t>
  </si>
  <si>
    <t>Zrimai︠a︡ lirika : Derzhavin / Tatʹi︠a︡na Smoli︠a︡rova.</t>
  </si>
  <si>
    <t>Smoli︠a︡rova, Tatʹi︠a︡na.</t>
  </si>
  <si>
    <t>Ocherki vizualʹnosti</t>
  </si>
  <si>
    <t>2013-11-27</t>
  </si>
  <si>
    <t>916104049:rus</t>
  </si>
  <si>
    <t>703356940</t>
  </si>
  <si>
    <t>ocn703356940</t>
  </si>
  <si>
    <t>3103393560G</t>
  </si>
  <si>
    <t>9785867938376</t>
  </si>
  <si>
    <t>794864825</t>
  </si>
  <si>
    <t>PG3313 F6 A6 1959</t>
  </si>
  <si>
    <t>0                      PG 3313000F  6                  A  6           1959</t>
  </si>
  <si>
    <t>Sobranie sochineniĭ / D.I. Fonvizin ; [sostavlenie podgotovka tekstov, vstupitelʹnai︠a︡ stat'i︠a︡ i kommentarii G.P. Makogonenko].</t>
  </si>
  <si>
    <t>Fonvizin, D. I. (Denis Ivanovich), 1745-1792</t>
  </si>
  <si>
    <t>Moskva ; Leningrad : Gosudarstvennoe izdatelʹstvo khudozhestvennoĭ literatury, 1959.</t>
  </si>
  <si>
    <t>2517194506:rus</t>
  </si>
  <si>
    <t>3955926</t>
  </si>
  <si>
    <t>ocm03955926</t>
  </si>
  <si>
    <t>3102919056K</t>
  </si>
  <si>
    <t>792308383</t>
  </si>
  <si>
    <t>3102919051K</t>
  </si>
  <si>
    <t>792308382</t>
  </si>
  <si>
    <t>PG3314 A6 1984</t>
  </si>
  <si>
    <t>0                      PG 3314000A  6           1984</t>
  </si>
  <si>
    <t>Sochinenii︠a︡ v dvukh tomakh / N.M. Karamzin ; [sostavlenie, vstup. statʹi︠a︡ i kommentarii G.P. Makogonenko ; kommentarii k "Pisʹmam russkogo puteshestvennika" I︠U︡.M. Lotmana].</t>
  </si>
  <si>
    <t>Karamzin, Nikolaĭ Mikhaĭlovich, 1766-1826.</t>
  </si>
  <si>
    <t>Leningrad : "Khudozh. lit-ra, " Leningradskoe otd-nie, 1984.</t>
  </si>
  <si>
    <t>2863471812:rus</t>
  </si>
  <si>
    <t>13632119</t>
  </si>
  <si>
    <t>ocm13632119</t>
  </si>
  <si>
    <t>3000475231Y</t>
  </si>
  <si>
    <t>792860609</t>
  </si>
  <si>
    <t>31008105326</t>
  </si>
  <si>
    <t>792860608</t>
  </si>
  <si>
    <t>PG3314 Z8 L67 1987</t>
  </si>
  <si>
    <t>0                      PG 3314000Z  8                  L  67          1987</t>
  </si>
  <si>
    <t>Sotvorenie Karamzina / I︠U︡.M. Lotman.</t>
  </si>
  <si>
    <t>Moskva : "Kniga", 1987.</t>
  </si>
  <si>
    <t>Pisateli o pisateli︠a︡kh</t>
  </si>
  <si>
    <t>10033050308:rus</t>
  </si>
  <si>
    <t>17925117</t>
  </si>
  <si>
    <t>ocm17925117</t>
  </si>
  <si>
    <t>3000639945M</t>
  </si>
  <si>
    <t>793007741</t>
  </si>
  <si>
    <t>PG3314 Z8 S47 2005</t>
  </si>
  <si>
    <t>0                      PG 3314000Z  8                  S  47          2005</t>
  </si>
  <si>
    <t>Literaturnoe delo Karamzina / I.Z. Serman.</t>
  </si>
  <si>
    <t>Moskva : RGGU, 2005.</t>
  </si>
  <si>
    <t>2018-05-10</t>
  </si>
  <si>
    <t>49108984:rus</t>
  </si>
  <si>
    <t>65286376</t>
  </si>
  <si>
    <t>ocm65286376</t>
  </si>
  <si>
    <t>3102674193H</t>
  </si>
  <si>
    <t>9785728107576</t>
  </si>
  <si>
    <t>794133767</t>
  </si>
  <si>
    <t>PG3314 Z9 S44 1991</t>
  </si>
  <si>
    <t>0                      PG 3314000Z  9                  S  44          1991</t>
  </si>
  <si>
    <t>From the idyll to the novel : Karamzin's sentimentalist prose / Gitta Hammarberg.</t>
  </si>
  <si>
    <t>Hammarberg, Gitta.</t>
  </si>
  <si>
    <t>Cambridge [England] ; New York : Cambridge University Press, 1991.</t>
  </si>
  <si>
    <t>836703767:eng</t>
  </si>
  <si>
    <t>21592063</t>
  </si>
  <si>
    <t>ocm21592063</t>
  </si>
  <si>
    <t>3101728577B</t>
  </si>
  <si>
    <t>9780521383103</t>
  </si>
  <si>
    <t>793123462</t>
  </si>
  <si>
    <t>3102930487S</t>
  </si>
  <si>
    <t>793123463</t>
  </si>
  <si>
    <t>PG3315 K45 A6 1961</t>
  </si>
  <si>
    <t>0                      PG 3315000K  45                 A  6           1961</t>
  </si>
  <si>
    <t>Izbrannye proizvedenii︠a︡ / M.M. Kheraskov ; Vstup. statʹi︠a︡ podgotovka teksta i primechanii︠a︡ A.V. Zapadova.</t>
  </si>
  <si>
    <t>Kheraskov, Mikhail Matveevich, 1733-1807.</t>
  </si>
  <si>
    <t>Leningrad, Sovetskiĭ pisatelʹ, 1961.</t>
  </si>
  <si>
    <t>Biblioteka poėta. Bolʹshai︠a︡ serii︠a︡</t>
  </si>
  <si>
    <t>10033253784:rus</t>
  </si>
  <si>
    <t>6104529</t>
  </si>
  <si>
    <t>ocm06104529</t>
  </si>
  <si>
    <t>3102919023Q</t>
  </si>
  <si>
    <t>792475956</t>
  </si>
  <si>
    <t>PG3316 P53 A27 2010</t>
  </si>
  <si>
    <t>0                      PG 3316000P  53                 A  27          2010</t>
  </si>
  <si>
    <t>"Pisʹmo o polʹze Stekla" M.V. Lomonosova : opyt kommentarii︠a︡ prosvetitelʹskoĭ ėnt︠s︡iklopedii : reprintnoe vosproizvedenie izdanii︠a︡ 1752 (1753) goda : k 300-letii︠u︡ M.V. Lomonosova / T.E. Abramzon.</t>
  </si>
  <si>
    <t>Abramzon, T. E. (Tatʹi︠a︡na Evgenʹevna)</t>
  </si>
  <si>
    <t>Moskva : OGI, 2010.</t>
  </si>
  <si>
    <t>3860962880:rus</t>
  </si>
  <si>
    <t>711737750</t>
  </si>
  <si>
    <t>ocn711737750</t>
  </si>
  <si>
    <t>3103393749E</t>
  </si>
  <si>
    <t>9785942826253</t>
  </si>
  <si>
    <t>794871143</t>
  </si>
  <si>
    <t>PG3316 Z6 U85 2013</t>
  </si>
  <si>
    <t>0                      PG 3316000Z  6                  U  85          2013</t>
  </si>
  <si>
    <t>The invention of Mikhail Lomonosov : a Russian national myth / Steven A. Usitalo.</t>
  </si>
  <si>
    <t>Usitalo, Steven A.</t>
  </si>
  <si>
    <t>Brighton, MA : Academic Studies Press, 2013.</t>
  </si>
  <si>
    <t>Imperial encounters in Russian history</t>
  </si>
  <si>
    <t>1411451977:eng</t>
  </si>
  <si>
    <t>858867927</t>
  </si>
  <si>
    <t>ocn858867927</t>
  </si>
  <si>
    <t>3103502058X</t>
  </si>
  <si>
    <t>9781618111739</t>
  </si>
  <si>
    <t>794956973</t>
  </si>
  <si>
    <t>PG3316 Z7 H644 2011</t>
  </si>
  <si>
    <t>0                      PG 3316000Z  7                  H  644         2011</t>
  </si>
  <si>
    <t>Michail Vasilʹevič Lomonosov (1711-1765) : ein Enzyklopädist im Zeitalter der Aufklärung / Peter Hoffmann.</t>
  </si>
  <si>
    <t>Hoffmann, Peter, 1924-</t>
  </si>
  <si>
    <t>Frankfurt am Main : Peter Lang, [2011], ©2011.</t>
  </si>
  <si>
    <t>3944901995:ger</t>
  </si>
  <si>
    <t>747822139</t>
  </si>
  <si>
    <t>ocn747822139</t>
  </si>
  <si>
    <t>3103423416L</t>
  </si>
  <si>
    <t>9783631617977</t>
  </si>
  <si>
    <t>794888591</t>
  </si>
  <si>
    <t>PG3318 Z9 E95 2010</t>
  </si>
  <si>
    <t>0                      PG 3318000Z  9                  E  95          2010</t>
  </si>
  <si>
    <t>A Voltaire for Russia : A.P. Sumarokov's journey from poet-critic to Russian philosophe / Amanda Ewington.</t>
  </si>
  <si>
    <t>Ewington, Amanda.</t>
  </si>
  <si>
    <t>Evanston, Ill. : Northwestern University Press, ©2010.</t>
  </si>
  <si>
    <t>796545626:eng</t>
  </si>
  <si>
    <t>449859203</t>
  </si>
  <si>
    <t>ocn449859203</t>
  </si>
  <si>
    <t>31032273866</t>
  </si>
  <si>
    <t>9780810126961</t>
  </si>
  <si>
    <t>794787507</t>
  </si>
  <si>
    <t>PG3319 T874 Z996 2016</t>
  </si>
  <si>
    <t>0                      PG 3319000T  874                Z  996         2016</t>
  </si>
  <si>
    <t>Poi︠a︡vlenie geroi︠a︡ : iz istorii russkoĭ ėmot︠s︡ionalʹnoĭ kulʹtury kont︠s︡a XVIII - nachala XIX veka / Andreĭ Zorin.</t>
  </si>
  <si>
    <t>Zorin, A. L. (Andreĭ L.), author.</t>
  </si>
  <si>
    <t>Moskva : Novoe literaturnoe obozrenie, 2016.</t>
  </si>
  <si>
    <t>Intellektualʹnai︠a︡ istorii︠a︡</t>
  </si>
  <si>
    <t>3023891029:rus</t>
  </si>
  <si>
    <t>950003249</t>
  </si>
  <si>
    <t>ocn950003249</t>
  </si>
  <si>
    <t>31037282793</t>
  </si>
  <si>
    <t>9785444805282</t>
  </si>
  <si>
    <t>795016490</t>
  </si>
  <si>
    <t>PG3321 A5 A6 1987</t>
  </si>
  <si>
    <t>0                      PG 3321000A  5                  A  6           1987</t>
  </si>
  <si>
    <t>Izbrannoe / S.T. Aksakov.</t>
  </si>
  <si>
    <t>Aksakov, S. T. (Sergeĭ Timofeevich), 1791-1859.</t>
  </si>
  <si>
    <t>Moskva : Moskovskiĭ rabochiĭ, 1987.</t>
  </si>
  <si>
    <t>Biblioteka "Moskovskogo rabochego"</t>
  </si>
  <si>
    <t>8911330186:rus</t>
  </si>
  <si>
    <t>19252726</t>
  </si>
  <si>
    <t>ocm19252726</t>
  </si>
  <si>
    <t>3103601825J</t>
  </si>
  <si>
    <t>793051049</t>
  </si>
  <si>
    <t>PG3321 A5 Z332 1987</t>
  </si>
  <si>
    <t>0                      PG 3321000A  5                  Z  332         1987</t>
  </si>
  <si>
    <t>Zapiski ruzheĭnogo okhotnika Orenburgskoĭ gubernii / S.T. Aksakov ; khudozhniki E.A. Zharënova, V.K. Vasilʹt︠s︡ov.</t>
  </si>
  <si>
    <t>Moskva : Sovetskai︠a︡ Rossii︠a︡, 1987.</t>
  </si>
  <si>
    <t>3855460126:rus</t>
  </si>
  <si>
    <t>18293498</t>
  </si>
  <si>
    <t>ocm18293498</t>
  </si>
  <si>
    <t>3000641466V</t>
  </si>
  <si>
    <t>793020141</t>
  </si>
  <si>
    <t>PG3321 B3 A2 2015</t>
  </si>
  <si>
    <t>0                      PG 3321000B  3                  A  2           2015</t>
  </si>
  <si>
    <t>Half-light and other poems / Yevgeny Baratynsky ; translated and introduced by Peter France.</t>
  </si>
  <si>
    <t>Baratynskiĭ, E. A. (Evgeniĭ Abramovich), 1800-1844, author.</t>
  </si>
  <si>
    <t>Todmorden, UK : Arc Publications, 2015.</t>
  </si>
  <si>
    <t>Arc classics : new translations of great poets of the past</t>
  </si>
  <si>
    <t>2621518195:eng</t>
  </si>
  <si>
    <t>921239382</t>
  </si>
  <si>
    <t>ocn921239382</t>
  </si>
  <si>
    <t>3103652856A</t>
  </si>
  <si>
    <t>9781908376893</t>
  </si>
  <si>
    <t>795003067</t>
  </si>
  <si>
    <t>PG3321 C6 C4 1967</t>
  </si>
  <si>
    <t>0                      PG 3321000C  6                  C  4           1967</t>
  </si>
  <si>
    <t>Chto delatʹ? : iz rasskazov o novykh li︠u︡di︠a︡kh : roman / N.G. Chernyshevskiĭ ; [vstupitelʹnai︠a︡ statʹi︠a︡ B. Pi︠u︡rikova].</t>
  </si>
  <si>
    <t>Chernyshevsky, Nikolay Gavrilovich, 1828-1889.</t>
  </si>
  <si>
    <t>Leningrad : Khudozhestvennai︠a︡ lit-ra, Leningradskoe otd-nie, 1967.</t>
  </si>
  <si>
    <t>3901522687:rus</t>
  </si>
  <si>
    <t>9897604</t>
  </si>
  <si>
    <t>ocm09897604</t>
  </si>
  <si>
    <t>31029310761</t>
  </si>
  <si>
    <t>792698917</t>
  </si>
  <si>
    <t>PG3321 C6 C42 1989</t>
  </si>
  <si>
    <t>0                      PG 3321000C  6                  C  42          1989</t>
  </si>
  <si>
    <t>What is to be done? / Nikolai Chernyshevsky ; translated by Michael R. Katz ; annotated by William G. Wagner.</t>
  </si>
  <si>
    <t>3</t>
  </si>
  <si>
    <t>Ithaca : Cornell University Press, 1989.</t>
  </si>
  <si>
    <t>2019-07-12</t>
  </si>
  <si>
    <t>3101079:eng</t>
  </si>
  <si>
    <t>18222188</t>
  </si>
  <si>
    <t>ocm18222188</t>
  </si>
  <si>
    <t>31030376884</t>
  </si>
  <si>
    <t>9780801417443</t>
  </si>
  <si>
    <t>793017806</t>
  </si>
  <si>
    <t>PG3321 C6 C5 1986</t>
  </si>
  <si>
    <t>0                      PG 3321000C  6                  C  5           1986</t>
  </si>
  <si>
    <t>What is to be done? / Nikolai Chernyshevsky ; introduction by Kathryn Feuer ; translated by N. Dole &amp; S.S. Skidelsky.</t>
  </si>
  <si>
    <t>Ann Arbor : Ardis, [1986]</t>
  </si>
  <si>
    <t>2007-03-28</t>
  </si>
  <si>
    <t>2017-11-07</t>
  </si>
  <si>
    <t>13192275</t>
  </si>
  <si>
    <t>ocm13192275</t>
  </si>
  <si>
    <t>3100225533F</t>
  </si>
  <si>
    <t>9780875010175</t>
  </si>
  <si>
    <t>792844400</t>
  </si>
  <si>
    <t>3102931090Y</t>
  </si>
  <si>
    <t>792844401</t>
  </si>
  <si>
    <t>PG3321 C6 C5 1989</t>
  </si>
  <si>
    <t>0                      PG 3321000C  6                  C  5           1989</t>
  </si>
  <si>
    <t>3103794408X</t>
  </si>
  <si>
    <t>793017807</t>
  </si>
  <si>
    <t>PG3321 C6 C625 2001</t>
  </si>
  <si>
    <t>0                      PG 3321000C  6                  C  625         2001</t>
  </si>
  <si>
    <t>Chernyshevskii's What is to be done? : a reevaluation / Andrew M. Drozd.</t>
  </si>
  <si>
    <t>Drozd, Andrew Michael, 1963-</t>
  </si>
  <si>
    <t>2018-03-01</t>
  </si>
  <si>
    <t>327948314:eng</t>
  </si>
  <si>
    <t>45100482</t>
  </si>
  <si>
    <t>ocm45100482</t>
  </si>
  <si>
    <t>3102931095Y</t>
  </si>
  <si>
    <t>9780810117396</t>
  </si>
  <si>
    <t>793664597</t>
  </si>
  <si>
    <t>PG3321 C6 P713 1995</t>
  </si>
  <si>
    <t>0                      PG 3321000C  6                  P  713         1995</t>
  </si>
  <si>
    <t>Prologue : a novel from the beginning of the 1860s / Nikolai Chernyshevsky ; translated, and with an introduction by Michael R. Katz.</t>
  </si>
  <si>
    <t>3901057289:eng</t>
  </si>
  <si>
    <t>32430708</t>
  </si>
  <si>
    <t>ocm32430708</t>
  </si>
  <si>
    <t>3102931109C</t>
  </si>
  <si>
    <t>9780810111806</t>
  </si>
  <si>
    <t>793384043</t>
  </si>
  <si>
    <t>PG3325 A1 1956</t>
  </si>
  <si>
    <t>0                      PG 3325000A  1           1956</t>
  </si>
  <si>
    <t>Sobranie sochinenii.</t>
  </si>
  <si>
    <t>V. 7 (1956)</t>
  </si>
  <si>
    <t>Dostoyevsky, Fyodor, 1821-1881.</t>
  </si>
  <si>
    <t>1956</t>
  </si>
  <si>
    <t>Pod obshchei red. L.P. Grossmana [i dr. Vstup. stat'ia V.V. Ermilova].</t>
  </si>
  <si>
    <t>2010-06-13</t>
  </si>
  <si>
    <t>8908838443:rus</t>
  </si>
  <si>
    <t>427507485</t>
  </si>
  <si>
    <t>ocn427507485</t>
  </si>
  <si>
    <t>3102931097Y</t>
  </si>
  <si>
    <t>794670815</t>
  </si>
  <si>
    <t>V. 6 (1956)</t>
  </si>
  <si>
    <t>3100810578J</t>
  </si>
  <si>
    <t>794670816</t>
  </si>
  <si>
    <t>V. 9 (1956)</t>
  </si>
  <si>
    <t>2009-08-04</t>
  </si>
  <si>
    <t>3103641789A</t>
  </si>
  <si>
    <t>794670813</t>
  </si>
  <si>
    <t>V. 10 (1956)</t>
  </si>
  <si>
    <t>3100810563W</t>
  </si>
  <si>
    <t>794670812</t>
  </si>
  <si>
    <t>v.6</t>
  </si>
  <si>
    <t>2011-08-29</t>
  </si>
  <si>
    <t>3100810579H</t>
  </si>
  <si>
    <t>794670806</t>
  </si>
  <si>
    <t>v.7</t>
  </si>
  <si>
    <t>2005-11-08</t>
  </si>
  <si>
    <t>3100810568M</t>
  </si>
  <si>
    <t>794670805</t>
  </si>
  <si>
    <t>V. 2 (1956)</t>
  </si>
  <si>
    <t>2013-10-11</t>
  </si>
  <si>
    <t>31029311502</t>
  </si>
  <si>
    <t>794670820</t>
  </si>
  <si>
    <t>2003-12-08</t>
  </si>
  <si>
    <t>31029311552</t>
  </si>
  <si>
    <t>794670811</t>
  </si>
  <si>
    <t>V. 1 (1956)</t>
  </si>
  <si>
    <t>2013-09-06</t>
  </si>
  <si>
    <t>31029311600</t>
  </si>
  <si>
    <t>794670821</t>
  </si>
  <si>
    <t>2011-06-10</t>
  </si>
  <si>
    <t>3102891202M</t>
  </si>
  <si>
    <t>794670809</t>
  </si>
  <si>
    <t>V. 5 (1956)</t>
  </si>
  <si>
    <t>2011-06-15</t>
  </si>
  <si>
    <t>3100810576N</t>
  </si>
  <si>
    <t>794670817</t>
  </si>
  <si>
    <t>v.10</t>
  </si>
  <si>
    <t>2011-10-25</t>
  </si>
  <si>
    <t>3100810562Y</t>
  </si>
  <si>
    <t>794670802</t>
  </si>
  <si>
    <t>V. 3 (1956)</t>
  </si>
  <si>
    <t>2011-08-20</t>
  </si>
  <si>
    <t>31029311356</t>
  </si>
  <si>
    <t>794670819</t>
  </si>
  <si>
    <t>v.8</t>
  </si>
  <si>
    <t>2003-12-01</t>
  </si>
  <si>
    <t>3100810566Q</t>
  </si>
  <si>
    <t>794670804</t>
  </si>
  <si>
    <t>2001-10-23</t>
  </si>
  <si>
    <t>31029311454</t>
  </si>
  <si>
    <t>794670810</t>
  </si>
  <si>
    <t>2005-01-08</t>
  </si>
  <si>
    <t>3100810575P</t>
  </si>
  <si>
    <t>794670808</t>
  </si>
  <si>
    <t>V. 8 (1956)</t>
  </si>
  <si>
    <t>2013-01-11</t>
  </si>
  <si>
    <t>3100810567O</t>
  </si>
  <si>
    <t>794670814</t>
  </si>
  <si>
    <t>v.9</t>
  </si>
  <si>
    <t>2016-09-03</t>
  </si>
  <si>
    <t>31036792240</t>
  </si>
  <si>
    <t>794670803</t>
  </si>
  <si>
    <t>V. 4 (1956)</t>
  </si>
  <si>
    <t>31029311404</t>
  </si>
  <si>
    <t>794670818</t>
  </si>
  <si>
    <t>v.5</t>
  </si>
  <si>
    <t>3100810577L</t>
  </si>
  <si>
    <t>794670807</t>
  </si>
  <si>
    <t>PG3325 A1 1972</t>
  </si>
  <si>
    <t>0                      PG 3325000A  1           1972</t>
  </si>
  <si>
    <t>Polnoe sobranie sochineniĭ v tridt︠s︡ati tomakh / F.M. Dostoevskiĭ.</t>
  </si>
  <si>
    <t>t.21</t>
  </si>
  <si>
    <t>Leningrad : "Nauka", Leningradskoe otd-nie, 1972-1990.</t>
  </si>
  <si>
    <t>2014-06-26</t>
  </si>
  <si>
    <t>2019-10-18</t>
  </si>
  <si>
    <t>9468649867:rus</t>
  </si>
  <si>
    <t>43124239</t>
  </si>
  <si>
    <t>ocm43124239</t>
  </si>
  <si>
    <t>3103218271C</t>
  </si>
  <si>
    <t>9785020279520</t>
  </si>
  <si>
    <t>793620662</t>
  </si>
  <si>
    <t>t.30;kn.2</t>
  </si>
  <si>
    <t>31032182968</t>
  </si>
  <si>
    <t>793620650</t>
  </si>
  <si>
    <t>t.24</t>
  </si>
  <si>
    <t>3103218270C</t>
  </si>
  <si>
    <t>793620683</t>
  </si>
  <si>
    <t>t.22</t>
  </si>
  <si>
    <t>31015465255</t>
  </si>
  <si>
    <t>793620684</t>
  </si>
  <si>
    <t>t.28;kn.1</t>
  </si>
  <si>
    <t>31032182918</t>
  </si>
  <si>
    <t>793620655</t>
  </si>
  <si>
    <t>t.29;kn.2</t>
  </si>
  <si>
    <t>31032182908</t>
  </si>
  <si>
    <t>793620652</t>
  </si>
  <si>
    <t>2005-08-25</t>
  </si>
  <si>
    <t>31015381825</t>
  </si>
  <si>
    <t>793620688</t>
  </si>
  <si>
    <t>2013-09-07</t>
  </si>
  <si>
    <t>3103218288A</t>
  </si>
  <si>
    <t>793620679</t>
  </si>
  <si>
    <t>31032182978</t>
  </si>
  <si>
    <t>793620689</t>
  </si>
  <si>
    <t>3103218302N</t>
  </si>
  <si>
    <t>793620665</t>
  </si>
  <si>
    <t>2006-08-21</t>
  </si>
  <si>
    <t>31015465700</t>
  </si>
  <si>
    <t>793620702</t>
  </si>
  <si>
    <t>3103218262E</t>
  </si>
  <si>
    <t>793620673</t>
  </si>
  <si>
    <t>t.29;kn.1</t>
  </si>
  <si>
    <t>3103218279C</t>
  </si>
  <si>
    <t>793620653</t>
  </si>
  <si>
    <t>3101546576P</t>
  </si>
  <si>
    <t>793620666</t>
  </si>
  <si>
    <t>2015-12-08</t>
  </si>
  <si>
    <t>3103218266E</t>
  </si>
  <si>
    <t>793620703</t>
  </si>
  <si>
    <t>3103218269E</t>
  </si>
  <si>
    <t>793620661</t>
  </si>
  <si>
    <t>2013-07-16</t>
  </si>
  <si>
    <t>31015462922</t>
  </si>
  <si>
    <t>793620704</t>
  </si>
  <si>
    <t>2012-03-05</t>
  </si>
  <si>
    <t>3101546559P</t>
  </si>
  <si>
    <t>793620672</t>
  </si>
  <si>
    <t>3103018632K</t>
  </si>
  <si>
    <t>793620700</t>
  </si>
  <si>
    <t>31015465433</t>
  </si>
  <si>
    <t>793620668</t>
  </si>
  <si>
    <t>3103218278C</t>
  </si>
  <si>
    <t>793620699</t>
  </si>
  <si>
    <t>3103218283A</t>
  </si>
  <si>
    <t>793620678</t>
  </si>
  <si>
    <t>31032182928</t>
  </si>
  <si>
    <t>793620667</t>
  </si>
  <si>
    <t>2011-02-06</t>
  </si>
  <si>
    <t>31015465514</t>
  </si>
  <si>
    <t>793620670</t>
  </si>
  <si>
    <t>31015465336</t>
  </si>
  <si>
    <t>793620659</t>
  </si>
  <si>
    <t>2019-02-15</t>
  </si>
  <si>
    <t>3103218268E</t>
  </si>
  <si>
    <t>793620697</t>
  </si>
  <si>
    <t>2018-03-29</t>
  </si>
  <si>
    <t>3101546571Z</t>
  </si>
  <si>
    <t>793620675</t>
  </si>
  <si>
    <t>3103218287A</t>
  </si>
  <si>
    <t>793620691</t>
  </si>
  <si>
    <t>t.27</t>
  </si>
  <si>
    <t>3103218286A</t>
  </si>
  <si>
    <t>793620656</t>
  </si>
  <si>
    <t>t.20</t>
  </si>
  <si>
    <t>3103218276C</t>
  </si>
  <si>
    <t>793620663</t>
  </si>
  <si>
    <t>2012-02-29</t>
  </si>
  <si>
    <t>3101546520F</t>
  </si>
  <si>
    <t>793620687</t>
  </si>
  <si>
    <t>3101546563Y</t>
  </si>
  <si>
    <t>793620695</t>
  </si>
  <si>
    <t>2011-06-08</t>
  </si>
  <si>
    <t>3101546575R</t>
  </si>
  <si>
    <t>793620698</t>
  </si>
  <si>
    <t>3103218265E</t>
  </si>
  <si>
    <t>793620682</t>
  </si>
  <si>
    <t>t.30;kn.1</t>
  </si>
  <si>
    <t>3103218284A</t>
  </si>
  <si>
    <t>793620651</t>
  </si>
  <si>
    <t>2007-02-24</t>
  </si>
  <si>
    <t>3101546574T</t>
  </si>
  <si>
    <t>793620701</t>
  </si>
  <si>
    <t>2014-02-05</t>
  </si>
  <si>
    <t>3103218264E</t>
  </si>
  <si>
    <t>793620680</t>
  </si>
  <si>
    <t>t.25</t>
  </si>
  <si>
    <t>3103218285A</t>
  </si>
  <si>
    <t>793620658</t>
  </si>
  <si>
    <t>2017-04-14</t>
  </si>
  <si>
    <t>3103218267E</t>
  </si>
  <si>
    <t>793620694</t>
  </si>
  <si>
    <t>t.26</t>
  </si>
  <si>
    <t>3103218280A</t>
  </si>
  <si>
    <t>793620657</t>
  </si>
  <si>
    <t>t.23</t>
  </si>
  <si>
    <t>3103218275C</t>
  </si>
  <si>
    <t>793620660</t>
  </si>
  <si>
    <t>t.28;kn.2</t>
  </si>
  <si>
    <t>3103218274C</t>
  </si>
  <si>
    <t>793620654</t>
  </si>
  <si>
    <t>3103218272C</t>
  </si>
  <si>
    <t>793620671</t>
  </si>
  <si>
    <t>31015465417</t>
  </si>
  <si>
    <t>793620686</t>
  </si>
  <si>
    <t>2006-09-02</t>
  </si>
  <si>
    <t>3101546555X</t>
  </si>
  <si>
    <t>793620693</t>
  </si>
  <si>
    <t>2013-02-01</t>
  </si>
  <si>
    <t>3101546521D</t>
  </si>
  <si>
    <t>793620685</t>
  </si>
  <si>
    <t>2013-12-05</t>
  </si>
  <si>
    <t>3101546566S</t>
  </si>
  <si>
    <t>793620681</t>
  </si>
  <si>
    <t>3103218281A</t>
  </si>
  <si>
    <t>793620664</t>
  </si>
  <si>
    <t>2016-05-31</t>
  </si>
  <si>
    <t>3101546580Y</t>
  </si>
  <si>
    <t>793620690</t>
  </si>
  <si>
    <t>3103218282A</t>
  </si>
  <si>
    <t>793620669</t>
  </si>
  <si>
    <t>3103218277C</t>
  </si>
  <si>
    <t>793620692</t>
  </si>
  <si>
    <t>2014-01-25</t>
  </si>
  <si>
    <t>3101546579J</t>
  </si>
  <si>
    <t>793620677</t>
  </si>
  <si>
    <t>3103218273C</t>
  </si>
  <si>
    <t>793620676</t>
  </si>
  <si>
    <t>3102789631K</t>
  </si>
  <si>
    <t>793620674</t>
  </si>
  <si>
    <t>2018-06-02</t>
  </si>
  <si>
    <t>3103218263E</t>
  </si>
  <si>
    <t>793620696</t>
  </si>
  <si>
    <t>PG3325 .A1 1995</t>
  </si>
  <si>
    <t>0                      PG 3325000A  1           1995</t>
  </si>
  <si>
    <t>Polnoe sobranie sochineniĭ : kanonicheskie teksty / F.M. Dostoevskiĭ ; podʺ redakt︠s︡īeĭ V.N. Zakharova.</t>
  </si>
  <si>
    <t>Dostoyevsky, Fyodor, 1821-1881, author.</t>
  </si>
  <si>
    <t>Petrozavodsk : Izdatelʹstvo Petrozavodskogo universiteta, 1995-&lt;2015&gt;</t>
  </si>
  <si>
    <t>2004-02-08</t>
  </si>
  <si>
    <t>3373502946:rus</t>
  </si>
  <si>
    <t>34561345</t>
  </si>
  <si>
    <t>ocm34561345</t>
  </si>
  <si>
    <t>3102058383A</t>
  </si>
  <si>
    <t>9785230090427</t>
  </si>
  <si>
    <t>793430000</t>
  </si>
  <si>
    <t>PG3325 A1 1995</t>
  </si>
  <si>
    <t>3103102346D</t>
  </si>
  <si>
    <t>793430009</t>
  </si>
  <si>
    <t>31031023669</t>
  </si>
  <si>
    <t>793430012</t>
  </si>
  <si>
    <t>2014-09-16</t>
  </si>
  <si>
    <t>3103215148X</t>
  </si>
  <si>
    <t>793430006</t>
  </si>
  <si>
    <t>v.11</t>
  </si>
  <si>
    <t>3103687481L</t>
  </si>
  <si>
    <t>793430003</t>
  </si>
  <si>
    <t>31031023717</t>
  </si>
  <si>
    <t>793430011</t>
  </si>
  <si>
    <t>31031023767</t>
  </si>
  <si>
    <t>793430010</t>
  </si>
  <si>
    <t>3103102356B</t>
  </si>
  <si>
    <t>793430007</t>
  </si>
  <si>
    <t>2005-04-29</t>
  </si>
  <si>
    <t>31021530574</t>
  </si>
  <si>
    <t>793429999</t>
  </si>
  <si>
    <t>31038543647</t>
  </si>
  <si>
    <t>793430004</t>
  </si>
  <si>
    <t>3103102351B</t>
  </si>
  <si>
    <t>793430008</t>
  </si>
  <si>
    <t>3102058366A</t>
  </si>
  <si>
    <t>793430002</t>
  </si>
  <si>
    <t>31020583872</t>
  </si>
  <si>
    <t>793430001</t>
  </si>
  <si>
    <t>v.9:Suppl.</t>
  </si>
  <si>
    <t>31026279848</t>
  </si>
  <si>
    <t>793430005</t>
  </si>
  <si>
    <t>31031023619</t>
  </si>
  <si>
    <t>793430013</t>
  </si>
  <si>
    <t>PG3325 A16 D6 1999</t>
  </si>
  <si>
    <t>0                      PG 3325000A  16                 D  6           1999</t>
  </si>
  <si>
    <t>Dnevnik pisateli︠a︡ / F.M. Dostoevskiĭ.</t>
  </si>
  <si>
    <t>Sankt-Peterburg : Lenizdat, 1999.</t>
  </si>
  <si>
    <t>2871327768:rus</t>
  </si>
  <si>
    <t>44487093</t>
  </si>
  <si>
    <t>ocm44487093</t>
  </si>
  <si>
    <t>3102931181X</t>
  </si>
  <si>
    <t>9785289019325</t>
  </si>
  <si>
    <t>793651491</t>
  </si>
  <si>
    <t>PG3325 A16 D6 2011</t>
  </si>
  <si>
    <t>0                      PG 3325000A  16                 D  6           2011</t>
  </si>
  <si>
    <t>Dnevnik pisatelia / Fedor Dostoevskii.</t>
  </si>
  <si>
    <t>Moskva : ĖKSMO, 2011.</t>
  </si>
  <si>
    <t>Bolʹshai︠a︡ kniga</t>
  </si>
  <si>
    <t>2016-08-11</t>
  </si>
  <si>
    <t>765812171</t>
  </si>
  <si>
    <t>ocn765812171</t>
  </si>
  <si>
    <t>3103473491H</t>
  </si>
  <si>
    <t>9785699536580</t>
  </si>
  <si>
    <t>794900713</t>
  </si>
  <si>
    <t>PG3325 A16 D613 1993</t>
  </si>
  <si>
    <t>0                      PG 3325000A  16                 D  613         1993</t>
  </si>
  <si>
    <t>A writer's diary / Fyodor Dostoevsky ; translated and annotated by Kenneth Lantz.</t>
  </si>
  <si>
    <t>Evanston, Ill. : Northwestern University Press, 1993-1994.</t>
  </si>
  <si>
    <t>2018-01-20</t>
  </si>
  <si>
    <t>2871327768:eng</t>
  </si>
  <si>
    <t>25370331</t>
  </si>
  <si>
    <t>ocm25370331</t>
  </si>
  <si>
    <t>3101277582S</t>
  </si>
  <si>
    <t>9780810110076</t>
  </si>
  <si>
    <t>793218875</t>
  </si>
  <si>
    <t>3102931186X</t>
  </si>
  <si>
    <t>793218874</t>
  </si>
  <si>
    <t>PG3325 A16 D638 1981b</t>
  </si>
  <si>
    <t>0                      PG 3325000A  16                 D  638         1981b</t>
  </si>
  <si>
    <t>The boundaries of genre : Dostoevsky's Diary of a writer and the traditions of literary utopia / by Gary Saul Morson.</t>
  </si>
  <si>
    <t>c.2</t>
  </si>
  <si>
    <t>Evanston, IL : Northwestern University Press, ©1981.</t>
  </si>
  <si>
    <t>Northwestern University Press paperbacks</t>
  </si>
  <si>
    <t>432898:eng</t>
  </si>
  <si>
    <t>22442332</t>
  </si>
  <si>
    <t>ocm22442332</t>
  </si>
  <si>
    <t>3102929059F</t>
  </si>
  <si>
    <t>9780810108110</t>
  </si>
  <si>
    <t>793144017</t>
  </si>
  <si>
    <t>3103404639H</t>
  </si>
  <si>
    <t>793144016</t>
  </si>
  <si>
    <t>PG3325 A6 P6 1984</t>
  </si>
  <si>
    <t>0                      PG 3325000A  6                  P  6           1984</t>
  </si>
  <si>
    <t>Povesti i rasskazy / F.M. Dostoevskiĭ.</t>
  </si>
  <si>
    <t>Moskva : Mosk. rabochiĭ, 1984.</t>
  </si>
  <si>
    <t>Odnotomniki klassicheskoĭ literatury</t>
  </si>
  <si>
    <t>2019-09-07</t>
  </si>
  <si>
    <t>10032976773:rus</t>
  </si>
  <si>
    <t>11284787</t>
  </si>
  <si>
    <t>ocm11284787</t>
  </si>
  <si>
    <t>3103249740L</t>
  </si>
  <si>
    <t>792766829</t>
  </si>
  <si>
    <t>PG3325 A6 2009</t>
  </si>
  <si>
    <t>0                      PG 3325000A  6           2009</t>
  </si>
  <si>
    <t>Notes from underground ; and, the double / Fyodor Dostoyevsky ; translated by Ronald Wilks with an introduction by Robert Louis Jackson.</t>
  </si>
  <si>
    <t>London ; New York : Penguin, 2009.</t>
  </si>
  <si>
    <t>2016-12-16</t>
  </si>
  <si>
    <t>3861370629:eng</t>
  </si>
  <si>
    <t>263294164</t>
  </si>
  <si>
    <t>ocn263294164</t>
  </si>
  <si>
    <t>31030833698</t>
  </si>
  <si>
    <t>9780140455120</t>
  </si>
  <si>
    <t>794403479</t>
  </si>
  <si>
    <t>PG3325 B4 1985</t>
  </si>
  <si>
    <t>0                      PG 3325000B  4           1985</t>
  </si>
  <si>
    <t>Bednye li︠u︡di : roman ; Dvoǐnik : Peterburgskai︠a︡ poėma / F.M. Dostoevskiǐ.</t>
  </si>
  <si>
    <t>Moskva : Sovetskai︠a︡ Rossii︠a︡, 1985.</t>
  </si>
  <si>
    <t>2016-10-06</t>
  </si>
  <si>
    <t>8933878134:rus</t>
  </si>
  <si>
    <t>14282628</t>
  </si>
  <si>
    <t>ocm14282628</t>
  </si>
  <si>
    <t>3103249742L</t>
  </si>
  <si>
    <t>792884701</t>
  </si>
  <si>
    <t>PG3325 B4 2004</t>
  </si>
  <si>
    <t>0                      PG 3325000B  4           2004</t>
  </si>
  <si>
    <t>Bednye li︠u︡di / Fedor Dostoevskiĭ.</t>
  </si>
  <si>
    <t>Moskva : AST, 2004.</t>
  </si>
  <si>
    <t>2017-06-26</t>
  </si>
  <si>
    <t>3372111003:rus</t>
  </si>
  <si>
    <t>187951489</t>
  </si>
  <si>
    <t>ocn187951489</t>
  </si>
  <si>
    <t>3103251193J</t>
  </si>
  <si>
    <t>9785170331888</t>
  </si>
  <si>
    <t>794295097</t>
  </si>
  <si>
    <t>PG3325 B5 1973</t>
  </si>
  <si>
    <t>0                      PG 3325000B  5           1973</t>
  </si>
  <si>
    <t>Belye nochi. Sentiment. roman iz vospominaniĭ mechtateli︠a︡. Khydozh. I. Glazunov.</t>
  </si>
  <si>
    <t>Moskva, "Khudozh. lit., " 1973.</t>
  </si>
  <si>
    <t>8910405631:rus</t>
  </si>
  <si>
    <t>6168141</t>
  </si>
  <si>
    <t>ocm06168141</t>
  </si>
  <si>
    <t>31033380792</t>
  </si>
  <si>
    <t>792480198</t>
  </si>
  <si>
    <t>PG3325 B6 2008</t>
  </si>
  <si>
    <t>0                      PG 3325000B  6           2008</t>
  </si>
  <si>
    <t>Demons : a novel in three parts / Fyodor Dostoyevsky ; translated by Robert A. Maguire ; edited by Ronald Meyer ; introduction by Robert L. Belknap.</t>
  </si>
  <si>
    <t>London ; New York : Penguin, 2008.</t>
  </si>
  <si>
    <t>2017-01-24</t>
  </si>
  <si>
    <t>895824667:eng</t>
  </si>
  <si>
    <t>181925974</t>
  </si>
  <si>
    <t>ocn181925974</t>
  </si>
  <si>
    <t>31028536768</t>
  </si>
  <si>
    <t>9780141441412</t>
  </si>
  <si>
    <t>794284094</t>
  </si>
  <si>
    <t>PG3325 B63 D67 1999</t>
  </si>
  <si>
    <t>0                      PG 3325000B  63                 D  67          1999</t>
  </si>
  <si>
    <t>Dostoevsky's The devils : a critical companion / edited by W.J. Leatherbarrow.</t>
  </si>
  <si>
    <t>Evanston, Ill. : Northwestern University Press ; [Tucson, AZ] : American Association of Teachers of Slavic and East European Languages, ©1999.</t>
  </si>
  <si>
    <t>Northwestern/AATSEEL critical companions to Russian literature</t>
  </si>
  <si>
    <t>2014-09-23</t>
  </si>
  <si>
    <t>836967892:eng</t>
  </si>
  <si>
    <t>41143036</t>
  </si>
  <si>
    <t>ocm41143036</t>
  </si>
  <si>
    <t>31029311640</t>
  </si>
  <si>
    <t>9780810114449</t>
  </si>
  <si>
    <t>793585355</t>
  </si>
  <si>
    <t>3103103889N</t>
  </si>
  <si>
    <t>793585356</t>
  </si>
  <si>
    <t>PG3325 B63 V57</t>
  </si>
  <si>
    <t>0                      PG 3325000B  63                 V  57</t>
  </si>
  <si>
    <t>Narrative principles in Dostoevskij's Besy : a structural analysis / Slobodanka B. Vladiv.</t>
  </si>
  <si>
    <t>Vladiv-Glover, Slobodanka.</t>
  </si>
  <si>
    <t>Bern ; Frankfurt am Main ; Las Vegas : Lang, 1979.</t>
  </si>
  <si>
    <t>European university papers : Series 16, Slavonic languages and literatures ; v. 10</t>
  </si>
  <si>
    <t>2019-04-02</t>
  </si>
  <si>
    <t>9988792370:eng</t>
  </si>
  <si>
    <t>6147142</t>
  </si>
  <si>
    <t>ocm06147142</t>
  </si>
  <si>
    <t>3102931188X</t>
  </si>
  <si>
    <t>9783261030863</t>
  </si>
  <si>
    <t>792478395</t>
  </si>
  <si>
    <t>PG3325 B7 1963</t>
  </si>
  <si>
    <t>0                      PG 3325000B  7           1963</t>
  </si>
  <si>
    <t>Bratʹi︠a︡ Karamazovy : roman v chetyrekh chasti︠a︡kh s ėpilogom / F.M. Dostoevskiĭ.</t>
  </si>
  <si>
    <t>Moskva : Gos. izd-vo khudozhestvennoĭ lit-ry, 1963.</t>
  </si>
  <si>
    <t>Mirovaia klassika.</t>
  </si>
  <si>
    <t>2005-01-22</t>
  </si>
  <si>
    <t>3375440809:rus</t>
  </si>
  <si>
    <t>221201407</t>
  </si>
  <si>
    <t>ocn221201407</t>
  </si>
  <si>
    <t>3102931198V</t>
  </si>
  <si>
    <t>9785170113347</t>
  </si>
  <si>
    <t>794324995</t>
  </si>
  <si>
    <t>3102931378T</t>
  </si>
  <si>
    <t>794324994</t>
  </si>
  <si>
    <t>PG3325 B7 1973</t>
  </si>
  <si>
    <t>0                      PG 3325000B  7           1973</t>
  </si>
  <si>
    <t>Bratʹi︠a︡ Karamazovy : roman v chetyrekh chasti︠a︡kh s ėpilogom / F. Dostoevskiĭ.</t>
  </si>
  <si>
    <t>Moskva : Khudozh. lit-ra, 1973.</t>
  </si>
  <si>
    <t>Biblioteka vsemirnoĭ literatury. Serii︠a︡ 2, Literatura XIX veka ; t. 84</t>
  </si>
  <si>
    <t>2016-08-24</t>
  </si>
  <si>
    <t>16108472</t>
  </si>
  <si>
    <t>ocm16108472</t>
  </si>
  <si>
    <t>3103249700T</t>
  </si>
  <si>
    <t>792955214</t>
  </si>
  <si>
    <t>PG3325 B7 2008</t>
  </si>
  <si>
    <t>0                      PG 3325000B  7           2008</t>
  </si>
  <si>
    <t>Bratʹi︠a︡ Karamazovy / Fedor Dostoevskiĭ.</t>
  </si>
  <si>
    <t>Dostoevskiĭ, Fedor Mikhaĭlovich.</t>
  </si>
  <si>
    <t>Moskva : ĖKSMO, 2008.</t>
  </si>
  <si>
    <t>Biblioteka dli︠a︡ chtenii︠a︡</t>
  </si>
  <si>
    <t>10177409956:rus</t>
  </si>
  <si>
    <t>316428472</t>
  </si>
  <si>
    <t>ocn316428472</t>
  </si>
  <si>
    <t>3103249687G</t>
  </si>
  <si>
    <t>9785699268474</t>
  </si>
  <si>
    <t>794448860</t>
  </si>
  <si>
    <t>PG3325 B73 B353 2006</t>
  </si>
  <si>
    <t>0                      PG 3325000B  73                 B  353         2006</t>
  </si>
  <si>
    <t>Dostoevsky : the scandal of reason / Maria Nemcová Banerjee.</t>
  </si>
  <si>
    <t>Banerjee, Maria Němcová.</t>
  </si>
  <si>
    <t>Great Barrington, MA : Lindisfarne Books, 2006.</t>
  </si>
  <si>
    <t>2018-04-13</t>
  </si>
  <si>
    <t>905991635:eng</t>
  </si>
  <si>
    <t>69013651</t>
  </si>
  <si>
    <t>ocm69013651</t>
  </si>
  <si>
    <t>31026361482</t>
  </si>
  <si>
    <t>9781584200413</t>
  </si>
  <si>
    <t>794144900</t>
  </si>
  <si>
    <t>PG3325 B73 B38 1990</t>
  </si>
  <si>
    <t>0                      PG 3325000B  73                 B  38          1990</t>
  </si>
  <si>
    <t>The genesis of The brothers Karamazov : the aesthetics, ideology, and psychology of text making / Robert L. Belknap.</t>
  </si>
  <si>
    <t>Belknap, Robert L.</t>
  </si>
  <si>
    <t>Evanston, Ill. : Northwestern University Press, 1990.</t>
  </si>
  <si>
    <t>2016-11-01</t>
  </si>
  <si>
    <t>16311473:eng</t>
  </si>
  <si>
    <t>21444024</t>
  </si>
  <si>
    <t>ocm21444024</t>
  </si>
  <si>
    <t>3100490885R</t>
  </si>
  <si>
    <t>9780810108455</t>
  </si>
  <si>
    <t>793119075</t>
  </si>
  <si>
    <t>PG3325 B73 B4</t>
  </si>
  <si>
    <t>0                      PG 3325000B  73                 B  4</t>
  </si>
  <si>
    <t>The structure of The brothers Karamazov / Robert L. Belknap.</t>
  </si>
  <si>
    <t>The Hague ; Paris : Mouton, 1967.</t>
  </si>
  <si>
    <t>Slavistic printings and reprintings ; 72</t>
  </si>
  <si>
    <t>2016-11-17</t>
  </si>
  <si>
    <t>2016-11-28</t>
  </si>
  <si>
    <t>1754732:eng</t>
  </si>
  <si>
    <t>586507</t>
  </si>
  <si>
    <t>ocm00586507</t>
  </si>
  <si>
    <t>31035926626</t>
  </si>
  <si>
    <t>791421885</t>
  </si>
  <si>
    <t>31029311650</t>
  </si>
  <si>
    <t>791421886</t>
  </si>
  <si>
    <t>PG3325 B73 C66 2013</t>
  </si>
  <si>
    <t>0                      PG 3325000B  73                 C  66          2013</t>
  </si>
  <si>
    <t>Dostoevsky's The Brothers Karamazov / Julian W. Connolly.</t>
  </si>
  <si>
    <t>Connolly, Julian W., author.</t>
  </si>
  <si>
    <t>New York : Bloomsbury Academic, 2013.</t>
  </si>
  <si>
    <t>Reader's guides</t>
  </si>
  <si>
    <t>1404184408:eng</t>
  </si>
  <si>
    <t>657603656</t>
  </si>
  <si>
    <t>ocn657603656</t>
  </si>
  <si>
    <t>3103496994H</t>
  </si>
  <si>
    <t>9781441108470</t>
  </si>
  <si>
    <t>794835713</t>
  </si>
  <si>
    <t>PG3325 B73 D613</t>
  </si>
  <si>
    <t>0                      PG 3325000B  73                 D  613</t>
  </si>
  <si>
    <t>The grand inquisitor [by] Fyodor Dostoevsky. Edited by Jerry S. Wasserman.</t>
  </si>
  <si>
    <t>Columbus, Ohio, C.E. Merrill Pub. Co. [©1970]</t>
  </si>
  <si>
    <t>The Merrill literary casebook series</t>
  </si>
  <si>
    <t>2018-03-03</t>
  </si>
  <si>
    <t>9020716168:eng</t>
  </si>
  <si>
    <t>111557</t>
  </si>
  <si>
    <t>ocm00111557</t>
  </si>
  <si>
    <t>3102931175Z</t>
  </si>
  <si>
    <t>9780675093170</t>
  </si>
  <si>
    <t>791260583</t>
  </si>
  <si>
    <t>3102931180X</t>
  </si>
  <si>
    <t>791260584</t>
  </si>
  <si>
    <t>PG3325 B73 F96 1988</t>
  </si>
  <si>
    <t>0                      PG 3325000B  73                 F  96          1988</t>
  </si>
  <si>
    <t>Fyodor Dostoevsky's The brothers Karamazov / edited and with an introduction by Harold Bloom.</t>
  </si>
  <si>
    <t>New York : Chelsea House, 1988.</t>
  </si>
  <si>
    <t>Modern critical interpretations</t>
  </si>
  <si>
    <t>3372289579:eng</t>
  </si>
  <si>
    <t>16004626</t>
  </si>
  <si>
    <t>ocm16004626</t>
  </si>
  <si>
    <t>3102931195V</t>
  </si>
  <si>
    <t>9781555460655</t>
  </si>
  <si>
    <t>792950807</t>
  </si>
  <si>
    <t>PG3325 B73 L4 1992</t>
  </si>
  <si>
    <t>0                      PG 3325000B  73                 L  4           1992</t>
  </si>
  <si>
    <t>Fyodor Dostoyevsky--The brothers Karamazov / W.J. Leatherbarrow.</t>
  </si>
  <si>
    <t>Leatherbarrow, William J.</t>
  </si>
  <si>
    <t>Cambridge [England] ; New York : Cambridge University Press, 1992.</t>
  </si>
  <si>
    <t>Landmarks of world literature</t>
  </si>
  <si>
    <t>24141444:eng</t>
  </si>
  <si>
    <t>24912935</t>
  </si>
  <si>
    <t>ocm24912935</t>
  </si>
  <si>
    <t>3102802348F</t>
  </si>
  <si>
    <t>9780521384247</t>
  </si>
  <si>
    <t>793208196</t>
  </si>
  <si>
    <t>PG3325 B73 L5</t>
  </si>
  <si>
    <t>0                      PG 3325000B  73                 L  5</t>
  </si>
  <si>
    <t>Starets Zosima in The Brothers Karamazov : a study in the mimesis of virtue / by Sven Linnér.</t>
  </si>
  <si>
    <t>Linnér, Sven.</t>
  </si>
  <si>
    <t>Stockholm : Almqvist &amp; Wiksell international, 1975.</t>
  </si>
  <si>
    <t>Stockholm studies in Russian literature ; 4</t>
  </si>
  <si>
    <t>2016-11-10</t>
  </si>
  <si>
    <t>5179959:eng</t>
  </si>
  <si>
    <t>2507849</t>
  </si>
  <si>
    <t>ocm02507849</t>
  </si>
  <si>
    <t>30004127790</t>
  </si>
  <si>
    <t>9789122000396</t>
  </si>
  <si>
    <t>792136985</t>
  </si>
  <si>
    <t>PG3325 B73 M7 1992</t>
  </si>
  <si>
    <t>0                      PG 3325000B  73                 M  7           1992</t>
  </si>
  <si>
    <t>The brothers Karamazov : worlds of the novel / Robin Feuer Miller.</t>
  </si>
  <si>
    <t>Miller, Robin Feuer, 1947-</t>
  </si>
  <si>
    <t>New York : Twayne Publishers ; Toronto : Maxwell Macmillan Canada ; New York : Maxwell Macmillan International, ©1992.</t>
  </si>
  <si>
    <t>Twayne's masterwork studies ; no. 83</t>
  </si>
  <si>
    <t>265601738:eng</t>
  </si>
  <si>
    <t>24468362</t>
  </si>
  <si>
    <t>ocm24468362</t>
  </si>
  <si>
    <t>31029311620</t>
  </si>
  <si>
    <t>9780805780604</t>
  </si>
  <si>
    <t>793198920</t>
  </si>
  <si>
    <t>PG3325 B73 N48 2004</t>
  </si>
  <si>
    <t>0                      PG 3325000B  73                 N  48          2004</t>
  </si>
  <si>
    <t>A new word on The brothers Karamazov / edited by Robert Louis Jackson ; with an introductory essay by Robin Feuer Miller and a concluding one by William Mills Todd III.</t>
  </si>
  <si>
    <t>Evanston, Ill. : Northwestern University Press, ©2004.</t>
  </si>
  <si>
    <t>56908085:eng</t>
  </si>
  <si>
    <t>51905762</t>
  </si>
  <si>
    <t>ocm51905762</t>
  </si>
  <si>
    <t>3102931177Z</t>
  </si>
  <si>
    <t>9780810119499</t>
  </si>
  <si>
    <t>793793943</t>
  </si>
  <si>
    <t>PG3325 B73 P4 1985</t>
  </si>
  <si>
    <t>0                      PG 3325000B  73                 P  4           1985</t>
  </si>
  <si>
    <t>Varieties of poetic utterance : quotation in The brothers Karamazov / Nina Perlina.</t>
  </si>
  <si>
    <t>Perlina, Nina, 1939-2019.</t>
  </si>
  <si>
    <t>Lanham, MD : University Press of America, ©1985.</t>
  </si>
  <si>
    <t>836679739:eng</t>
  </si>
  <si>
    <t>11212087</t>
  </si>
  <si>
    <t>ocm11212087</t>
  </si>
  <si>
    <t>31029311670</t>
  </si>
  <si>
    <t>9780819143716</t>
  </si>
  <si>
    <t>792763318</t>
  </si>
  <si>
    <t>PG3325 B73 R66 2007</t>
  </si>
  <si>
    <t>0                      PG 3325000B  73                 R  66          2007</t>
  </si>
  <si>
    <t>Roman F.M. Dostoevskogo "Bratʹi︠a︡ Karamazovy" : sovremennoe sostoi︠a︡nie izuchenii︠a︡ / pod redakt︠s︡ieĭ T.A. Kasatkinoĭ.</t>
  </si>
  <si>
    <t>Moskva : Nauka, 2007.</t>
  </si>
  <si>
    <t>8907469309:rus</t>
  </si>
  <si>
    <t>173398939</t>
  </si>
  <si>
    <t>ocn173398939</t>
  </si>
  <si>
    <t>3102832838O</t>
  </si>
  <si>
    <t>9785020338647</t>
  </si>
  <si>
    <t>794268044</t>
  </si>
  <si>
    <t>PG3325 B73 S23 2000</t>
  </si>
  <si>
    <t>0                      PG 3325000B  73                 S  23          2000</t>
  </si>
  <si>
    <t>Political apocalypse : a study of Dostoevsky's Grand Inquisitor / Ellis Sandoz.</t>
  </si>
  <si>
    <t>Sandoz, Ellis, 1931-</t>
  </si>
  <si>
    <t>Wilmington, Del. : ISI Books, ©2000.</t>
  </si>
  <si>
    <t>2nd ed., rev.</t>
  </si>
  <si>
    <t>2014-03-26</t>
  </si>
  <si>
    <t>1377749:eng</t>
  </si>
  <si>
    <t>44775335</t>
  </si>
  <si>
    <t>ocm44775335</t>
  </si>
  <si>
    <t>3102749499Y</t>
  </si>
  <si>
    <t>9781882926510</t>
  </si>
  <si>
    <t>793657777</t>
  </si>
  <si>
    <t>3102718393J</t>
  </si>
  <si>
    <t>793657776</t>
  </si>
  <si>
    <t>PG3325 B73 T47</t>
  </si>
  <si>
    <t>0                      PG 3325000B  73                 T  47</t>
  </si>
  <si>
    <t>A Karamazov companion : commentary on the genesis, language, and style of Dostoevsky's novel / Victor Terras.</t>
  </si>
  <si>
    <t>Madison : University of Wisconsin Press, 1981.</t>
  </si>
  <si>
    <t>434458:eng</t>
  </si>
  <si>
    <t>6788071</t>
  </si>
  <si>
    <t>ocm06788071</t>
  </si>
  <si>
    <t>31029312411</t>
  </si>
  <si>
    <t>9780299083106</t>
  </si>
  <si>
    <t>792522973</t>
  </si>
  <si>
    <t>PG3325 B73 T47 2002</t>
  </si>
  <si>
    <t>0                      PG 3325000B  73                 T  47          2002</t>
  </si>
  <si>
    <t>Madison : University of Wisconsin Press, ©2002.</t>
  </si>
  <si>
    <t>51051719</t>
  </si>
  <si>
    <t>ocm51051719</t>
  </si>
  <si>
    <t>31029312461</t>
  </si>
  <si>
    <t>9780299083144</t>
  </si>
  <si>
    <t>793777704</t>
  </si>
  <si>
    <t>PG3325 B73 T49 1991</t>
  </si>
  <si>
    <t>0                      PG 3325000B  73                 T  49          1991</t>
  </si>
  <si>
    <t>The brothers Karamazov and the poetics of memory / Diane Oenning Thompson.</t>
  </si>
  <si>
    <t>Thompson, Diane Oenning.</t>
  </si>
  <si>
    <t>24616641:eng</t>
  </si>
  <si>
    <t>22544515</t>
  </si>
  <si>
    <t>ocm22544515</t>
  </si>
  <si>
    <t>31029312401</t>
  </si>
  <si>
    <t>9780521345729</t>
  </si>
  <si>
    <t>793147676</t>
  </si>
  <si>
    <t>PG3325 B73 W3313</t>
  </si>
  <si>
    <t>0                      PG 3325000B  73                 W  3313</t>
  </si>
  <si>
    <t>The notebooks for the Brothers Karamazov [by] Fyodor Dostoevsky. Edited and translated by Edward Wasiolek.</t>
  </si>
  <si>
    <t>Chicago, University of Chicago Press [1971]</t>
  </si>
  <si>
    <t>366164743:eng</t>
  </si>
  <si>
    <t>142617</t>
  </si>
  <si>
    <t>ocm00142617</t>
  </si>
  <si>
    <t>3102931250$</t>
  </si>
  <si>
    <t>9780226159676</t>
  </si>
  <si>
    <t>791270648</t>
  </si>
  <si>
    <t>3103635560S</t>
  </si>
  <si>
    <t>791270650</t>
  </si>
  <si>
    <t>31029312215</t>
  </si>
  <si>
    <t>791270649</t>
  </si>
  <si>
    <t>PG3325 B73 1976</t>
  </si>
  <si>
    <t>0                      PG 3325000B  73          1976</t>
  </si>
  <si>
    <t>The Brothers Karamazov : the Constance Garnett translation / revised by Ralph E. Matlaw. Backgrounds and sources ; Essays in criticism / edited by Ralph E. Matlaw.</t>
  </si>
  <si>
    <t>New York : W. W. Norton &amp; Company, 1976.</t>
  </si>
  <si>
    <t>A Norton critical edition</t>
  </si>
  <si>
    <t>2019-05-25</t>
  </si>
  <si>
    <t>4916169995:eng</t>
  </si>
  <si>
    <t>2281274</t>
  </si>
  <si>
    <t>ocm02281274</t>
  </si>
  <si>
    <t>3102739112R</t>
  </si>
  <si>
    <t>9780393092141</t>
  </si>
  <si>
    <t>792097511</t>
  </si>
  <si>
    <t>PG3325 I3 1998</t>
  </si>
  <si>
    <t>0                      PG 3325000I  3           1998</t>
  </si>
  <si>
    <t>Dostoevsky's The Idiot : a critical companion / edited by Liza Knapp.</t>
  </si>
  <si>
    <t>Evanston, Ill. : Northwestern University Press : American Association of Teachers of Slavic and East European Languages, 1998.</t>
  </si>
  <si>
    <t>2017-04-07</t>
  </si>
  <si>
    <t>836947771:eng</t>
  </si>
  <si>
    <t>39261931</t>
  </si>
  <si>
    <t>ocm39261931</t>
  </si>
  <si>
    <t>31029312157</t>
  </si>
  <si>
    <t>9780810115330</t>
  </si>
  <si>
    <t>793542000</t>
  </si>
  <si>
    <t>PG3325 I3 2010</t>
  </si>
  <si>
    <t>0                      PG 3325000I  3           2010</t>
  </si>
  <si>
    <t>Idiot : roman v chetyrekh chasti︠a︡kh / F.M. Dostoevskiĭ.</t>
  </si>
  <si>
    <t>Sankt-Peterburg : Zlatoust, 2008.</t>
  </si>
  <si>
    <t>9936608209:rus</t>
  </si>
  <si>
    <t>467183468</t>
  </si>
  <si>
    <t>ocn467183468</t>
  </si>
  <si>
    <t>31033695971</t>
  </si>
  <si>
    <t>9785865474487</t>
  </si>
  <si>
    <t>794795021</t>
  </si>
  <si>
    <t>PG3325 I33 D34</t>
  </si>
  <si>
    <t>0                      PG 3325000I  33                 D  34</t>
  </si>
  <si>
    <t>Unconscious structure in The idiot : a study in literature and psychoanalysis / Elizabeth Dalton.</t>
  </si>
  <si>
    <t>Dalton, Elizabeth, 1936-</t>
  </si>
  <si>
    <t>Princeton, N.J. : Princeton University Press, ©1979.</t>
  </si>
  <si>
    <t>318407882:eng</t>
  </si>
  <si>
    <t>4492397</t>
  </si>
  <si>
    <t>ocm04492397</t>
  </si>
  <si>
    <t>31029312107</t>
  </si>
  <si>
    <t>9780691063645</t>
  </si>
  <si>
    <t>792354483</t>
  </si>
  <si>
    <t>PG3325 I33 F74 2001</t>
  </si>
  <si>
    <t>0                      PG 3325000I  33                 F  74          2001</t>
  </si>
  <si>
    <t>Dostoevsky's "Idiot" : dialogue and the spiritually good life / Bruce A. French.</t>
  </si>
  <si>
    <t>French, Bruce A.</t>
  </si>
  <si>
    <t>2016-10-18</t>
  </si>
  <si>
    <t>316082283:eng</t>
  </si>
  <si>
    <t>45393739</t>
  </si>
  <si>
    <t>ocm45393739</t>
  </si>
  <si>
    <t>31029312099</t>
  </si>
  <si>
    <t>9780810117457</t>
  </si>
  <si>
    <t>793670602</t>
  </si>
  <si>
    <t>PG3325 I33 M54</t>
  </si>
  <si>
    <t>0                      PG 3325000I  33                 M  54</t>
  </si>
  <si>
    <t>Dostoevsky and the idiot : author, narrator, and reader / Robin Feuer Miller.</t>
  </si>
  <si>
    <t>Cambridge, Mass. : Harvard University Press, 1981.</t>
  </si>
  <si>
    <t>198550974:eng</t>
  </si>
  <si>
    <t>7197805</t>
  </si>
  <si>
    <t>ocm07197805</t>
  </si>
  <si>
    <t>31029312147</t>
  </si>
  <si>
    <t>9780674214903</t>
  </si>
  <si>
    <t>792545705</t>
  </si>
  <si>
    <t>PG3325 I33 R66 2001</t>
  </si>
  <si>
    <t>0                      PG 3325000I  33                 R  66          2001</t>
  </si>
  <si>
    <t>Roman F.M. Dostoevskogo "Idiot" : sovremennoe sostoi︠a︡nie izuchenii︠a︡ / sbornik rabot otechestvennykh i zarubezhnykh uchenykh pod redakt︠s︡ieĭ T.A. Kasatkinoĭ.</t>
  </si>
  <si>
    <t>Moskva : "Nasledie", 2001.</t>
  </si>
  <si>
    <t>2015-04-28</t>
  </si>
  <si>
    <t>10033153871:rus</t>
  </si>
  <si>
    <t>48467324</t>
  </si>
  <si>
    <t>ocm48467324</t>
  </si>
  <si>
    <t>31029312197</t>
  </si>
  <si>
    <t>9785920800442</t>
  </si>
  <si>
    <t>793721681</t>
  </si>
  <si>
    <t>PG3325 I33 Y68 2004</t>
  </si>
  <si>
    <t>0                      PG 3325000I  33                 Y  68          2004</t>
  </si>
  <si>
    <t>Dostoevsky's The idiot and the ethical foundations of narrative : reading, narrating, scripting / Sarah J Young.</t>
  </si>
  <si>
    <t>Young, Sarah J.</t>
  </si>
  <si>
    <t>Anthem Russian and Slavonic Studies</t>
  </si>
  <si>
    <t>905814618:eng</t>
  </si>
  <si>
    <t>56540766</t>
  </si>
  <si>
    <t>ocm56540766</t>
  </si>
  <si>
    <t>31029312295</t>
  </si>
  <si>
    <t>9781843311140</t>
  </si>
  <si>
    <t>793895586</t>
  </si>
  <si>
    <t>PG3325 K7 2011</t>
  </si>
  <si>
    <t>0                      PG 3325000K  7           2011</t>
  </si>
  <si>
    <t>Krotkai︠a︡ : fantasticheskiĭ rasskaz = The meek one : a fantastic story / Fyodor Dostoevsky ; an annotated Russian reader edited by Julia Titus ; illustrations by Kristen Robinson.</t>
  </si>
  <si>
    <t>New Haven [Conn.] ; London : Yale University Press, ©2011.</t>
  </si>
  <si>
    <t>1866268034:eng</t>
  </si>
  <si>
    <t>757149076</t>
  </si>
  <si>
    <t>ocn757149076</t>
  </si>
  <si>
    <t>31033840017</t>
  </si>
  <si>
    <t>9780300162325</t>
  </si>
  <si>
    <t>794895300</t>
  </si>
  <si>
    <t>PG3325 P5 1972</t>
  </si>
  <si>
    <t>0                      PG 3325000P  5           1972</t>
  </si>
  <si>
    <t>Podrostok. Roman v 3-kh ch.</t>
  </si>
  <si>
    <t>Moskva, Khudozh. lit-ra, 1972.</t>
  </si>
  <si>
    <t>3858281222:rus</t>
  </si>
  <si>
    <t>43012545</t>
  </si>
  <si>
    <t>ocm43012545</t>
  </si>
  <si>
    <t>31029312333</t>
  </si>
  <si>
    <t>793618834</t>
  </si>
  <si>
    <t>PG3325 P7 1966a</t>
  </si>
  <si>
    <t>0                      PG 3325000P  7           1966a</t>
  </si>
  <si>
    <t>Prestuplenie i nakazanie : Roman. V. 6-ti ch. s. epiligom.</t>
  </si>
  <si>
    <t>Moskva : Khudozh. lit., 1966.</t>
  </si>
  <si>
    <t>2517125342:rus</t>
  </si>
  <si>
    <t>56227519</t>
  </si>
  <si>
    <t>ocm56227519</t>
  </si>
  <si>
    <t>31029312127</t>
  </si>
  <si>
    <t>793889494</t>
  </si>
  <si>
    <t>2012-02-09</t>
  </si>
  <si>
    <t>31029472605</t>
  </si>
  <si>
    <t>793889495</t>
  </si>
  <si>
    <t>PG3325 P73 A513</t>
  </si>
  <si>
    <t>0                      PG 3325000P  73                 A  513</t>
  </si>
  <si>
    <t>The notebooks for Crime and punishment / [by] Fyodor Dostoevsky. Edited and translated by Edward Wasiolek.</t>
  </si>
  <si>
    <t>Chicago : University of Chicago Press, [1967]</t>
  </si>
  <si>
    <t>3763472140:eng</t>
  </si>
  <si>
    <t>757374</t>
  </si>
  <si>
    <t>ocm00757374</t>
  </si>
  <si>
    <t>31029312373</t>
  </si>
  <si>
    <t>791463069</t>
  </si>
  <si>
    <t>31029312323</t>
  </si>
  <si>
    <t>791463070</t>
  </si>
  <si>
    <t>PG3325 P73 A53 1967</t>
  </si>
  <si>
    <t>0                      PG 3325000P  73                 A  53          1967</t>
  </si>
  <si>
    <t>31029312421</t>
  </si>
  <si>
    <t>791463071</t>
  </si>
  <si>
    <t>PG3325 P73 B4 1985</t>
  </si>
  <si>
    <t>0                      PG 3325000P  73                 B  4           1985</t>
  </si>
  <si>
    <t>Roman F.M. Dostoevskogo Prestuplenie i nakazanie : kommentariĭ, kniga dli︠a︡ uchiteli︠a︡ / S.V. Belov ; pod red. D.S. Likhacheva.</t>
  </si>
  <si>
    <t>Belov, Sergeĭ Vladimirovich.</t>
  </si>
  <si>
    <t>Moskva : Prosveshchenie, 1985.</t>
  </si>
  <si>
    <t>Izd. 2., ispr. i dop.</t>
  </si>
  <si>
    <t>3862589867:rus</t>
  </si>
  <si>
    <t>427121782</t>
  </si>
  <si>
    <t>ocn427121782</t>
  </si>
  <si>
    <t>31029312471</t>
  </si>
  <si>
    <t>794521104</t>
  </si>
  <si>
    <t>PG3325 P73 B42 2010</t>
  </si>
  <si>
    <t>0                      PG 3325000P  73                 B  42          2010</t>
  </si>
  <si>
    <t>Roman F.M. Dostoevskogo "Prestuplenie i nakazanie" : kommentariĭ / S.V. Belov ; pod redakt︠s︡ieĭ akademika D.S. Likhacheva.</t>
  </si>
  <si>
    <t>Belov, S. V. (Sergeĭ Vladimirovich), 1936-</t>
  </si>
  <si>
    <t>Izd. 3-e, ispr. i dop.</t>
  </si>
  <si>
    <t>2013-01-09</t>
  </si>
  <si>
    <t>3770328906:rus</t>
  </si>
  <si>
    <t>608631765</t>
  </si>
  <si>
    <t>ocn608631765</t>
  </si>
  <si>
    <t>3103284576L</t>
  </si>
  <si>
    <t>9785484011612</t>
  </si>
  <si>
    <t>794819634</t>
  </si>
  <si>
    <t>PG3325 P73 C68 1990</t>
  </si>
  <si>
    <t>0                      PG 3325000P  73                 C  68          1990</t>
  </si>
  <si>
    <t>Crime and punishment : a mind to murder / Gary Cox.</t>
  </si>
  <si>
    <t>Cox, Gary.</t>
  </si>
  <si>
    <t>Boston : Twayne Publishers, 1990.</t>
  </si>
  <si>
    <t>Twayne's masterwork studies ; no. 45</t>
  </si>
  <si>
    <t>2017-02-03</t>
  </si>
  <si>
    <t>375330131:eng</t>
  </si>
  <si>
    <t>20263204</t>
  </si>
  <si>
    <t>ocm20263204</t>
  </si>
  <si>
    <t>3102931286U</t>
  </si>
  <si>
    <t>9780805779936</t>
  </si>
  <si>
    <t>793082268</t>
  </si>
  <si>
    <t>PG3325 P73 F96 1996</t>
  </si>
  <si>
    <t>0                      PG 3325000P  73                 F  96          1996</t>
  </si>
  <si>
    <t>Fyodor Dostoevsky's Crime and punishment / edited and with an introduction by Harold Bloom.</t>
  </si>
  <si>
    <t>New York : Chelsea House Publishers, ©1996.</t>
  </si>
  <si>
    <t>Bloom's notes</t>
  </si>
  <si>
    <t>3372211371:eng</t>
  </si>
  <si>
    <t>33357167</t>
  </si>
  <si>
    <t>ocm33357167</t>
  </si>
  <si>
    <t>3102931281U</t>
  </si>
  <si>
    <t>9780791040560</t>
  </si>
  <si>
    <t>793407600</t>
  </si>
  <si>
    <t>3101560817A</t>
  </si>
  <si>
    <t>793407601</t>
  </si>
  <si>
    <t>PG3325 P73 F965 2006</t>
  </si>
  <si>
    <t>0                      PG 3325000P  73                 F  965         2006</t>
  </si>
  <si>
    <t>Fyodor Dostoevsky's Crime and punishment : a casebook / edited by Richard Peace.</t>
  </si>
  <si>
    <t>Oxford ; New York : Oxford University Press, 2006.</t>
  </si>
  <si>
    <t>Casebooks in criticism</t>
  </si>
  <si>
    <t>2019-02-21</t>
  </si>
  <si>
    <t>865391386:eng</t>
  </si>
  <si>
    <t>57613437</t>
  </si>
  <si>
    <t>ocm57613437</t>
  </si>
  <si>
    <t>3102563288V</t>
  </si>
  <si>
    <t>9780195175622</t>
  </si>
  <si>
    <t>793916385</t>
  </si>
  <si>
    <t>PG3325 P73 J3 1974</t>
  </si>
  <si>
    <t>0                      PG 3325000P  73                 J  3           1974</t>
  </si>
  <si>
    <t>Twentieth century interpretations of Crime and punishment; a collection of critical essays.</t>
  </si>
  <si>
    <t>Jackson, Robert Louis, compiler.</t>
  </si>
  <si>
    <t>Englewood Cliffs, N.J., Prentice-Hall [1973, ©1974]</t>
  </si>
  <si>
    <t>A Spectrum book</t>
  </si>
  <si>
    <t>2015-02-11</t>
  </si>
  <si>
    <t>410569:eng</t>
  </si>
  <si>
    <t>703283</t>
  </si>
  <si>
    <t>ocm00703283</t>
  </si>
  <si>
    <t>3102931268Y</t>
  </si>
  <si>
    <t>9780131930865</t>
  </si>
  <si>
    <t>791450269</t>
  </si>
  <si>
    <t>PG3325 P73 J64 1985</t>
  </si>
  <si>
    <t>0                      PG 3325000P  73                 J  64          1985</t>
  </si>
  <si>
    <t>The experience of time in Crime and punishment / Leslie A. Johnson.</t>
  </si>
  <si>
    <t>Johnson, Leslie A.</t>
  </si>
  <si>
    <t>Columbus, Ohio : Slavica Publishers, 1985, ©1984.</t>
  </si>
  <si>
    <t>2017-02-14</t>
  </si>
  <si>
    <t>7322802:eng</t>
  </si>
  <si>
    <t>13675283</t>
  </si>
  <si>
    <t>ocm13675283</t>
  </si>
  <si>
    <t>3102931273W</t>
  </si>
  <si>
    <t>9780893571429</t>
  </si>
  <si>
    <t>792862780</t>
  </si>
  <si>
    <t>PG3325 P73 R37 2004</t>
  </si>
  <si>
    <t>0                      PG 3325000P  73                 R  37          2004</t>
  </si>
  <si>
    <t>Raskolnikov and Svidrigailov / edited and with an introduction by Harold Bloom.</t>
  </si>
  <si>
    <t>Philadelphia : Chelsea House Publishers, ©2004.</t>
  </si>
  <si>
    <t>Bloom's Major literary characters</t>
  </si>
  <si>
    <t>2019-11-13</t>
  </si>
  <si>
    <t>56918784:eng</t>
  </si>
  <si>
    <t>52134786</t>
  </si>
  <si>
    <t>ocm52134786</t>
  </si>
  <si>
    <t>3102591537P</t>
  </si>
  <si>
    <t>9780791076712</t>
  </si>
  <si>
    <t>793799280</t>
  </si>
  <si>
    <t>PG3325 P73 R6</t>
  </si>
  <si>
    <t>0                      PG 3325000P  73                 R  6</t>
  </si>
  <si>
    <t>Crime and punishment : the techniques of the omniscient author / Gary Rosenshield.</t>
  </si>
  <si>
    <t>Rosenshield, Gary.</t>
  </si>
  <si>
    <t>Lisse (postbus 168) : Peter de Ridder Press, 1978.</t>
  </si>
  <si>
    <t>2015-01-25</t>
  </si>
  <si>
    <t>14749539:eng</t>
  </si>
  <si>
    <t>4641157</t>
  </si>
  <si>
    <t>ocm04641157</t>
  </si>
  <si>
    <t>3102931264Y</t>
  </si>
  <si>
    <t>9789031601042</t>
  </si>
  <si>
    <t>792370615</t>
  </si>
  <si>
    <t>PG3325 P73 S68 2000</t>
  </si>
  <si>
    <t>0                      PG 3325000P  73                 S  68          2000</t>
  </si>
  <si>
    <t>Dimensions of laughter in Crime and punishment / John (János) Spiegel.</t>
  </si>
  <si>
    <t>Spiegel, John, 1932-</t>
  </si>
  <si>
    <t>Selingsgrove, PA : Susquehanna University Press, ©2000.</t>
  </si>
  <si>
    <t>44850268:eng</t>
  </si>
  <si>
    <t>42690229</t>
  </si>
  <si>
    <t>ocm42690229</t>
  </si>
  <si>
    <t>3102931269Y</t>
  </si>
  <si>
    <t>9781575910376</t>
  </si>
  <si>
    <t>793611909</t>
  </si>
  <si>
    <t>PG3325 P73 T83 2008</t>
  </si>
  <si>
    <t>0                      PG 3325000P  73                 T  83          2008</t>
  </si>
  <si>
    <t>Profane challenge and Orthodox response in Dostoevsky's Crime and punishment / Janet G. Tucker.</t>
  </si>
  <si>
    <t>Tucker, Janet G.</t>
  </si>
  <si>
    <t>Amsterdam ; New York, NY : Rodopi, 2008.</t>
  </si>
  <si>
    <t>Studies in Slavic literature and poetics ; v. 52</t>
  </si>
  <si>
    <t>170768416:eng</t>
  </si>
  <si>
    <t>288990467</t>
  </si>
  <si>
    <t>ocn288990467</t>
  </si>
  <si>
    <t>3103074995M</t>
  </si>
  <si>
    <t>9789042024946</t>
  </si>
  <si>
    <t>794421620</t>
  </si>
  <si>
    <t>PG3325 P73 V65 2001</t>
  </si>
  <si>
    <t>0                      PG 3325000P  73                 V  65          2001</t>
  </si>
  <si>
    <t>Roman odnogo peterburgskogo kvartala / fotografii Li︠u︡dmily Volkovoĭ ; [literaturnyĭ konsulʹtant Samuil Lurʹe ; avtor idei Andreĭ Stoli︠a︡rov].</t>
  </si>
  <si>
    <t>Volkova, Li︠u︡dmila (Li︠u︡dmila V.)</t>
  </si>
  <si>
    <t>Sankt-Peterburg : BLIT︠S︡, 2001.</t>
  </si>
  <si>
    <t>37817415:rus</t>
  </si>
  <si>
    <t>48616352</t>
  </si>
  <si>
    <t>ocm48616352</t>
  </si>
  <si>
    <t>3102931274W</t>
  </si>
  <si>
    <t>9785867891145</t>
  </si>
  <si>
    <t>793724961</t>
  </si>
  <si>
    <t>PG3325 P73 W3</t>
  </si>
  <si>
    <t>0                      PG 3325000P  73                 W  3</t>
  </si>
  <si>
    <t>Crime and punishment, and the critics.</t>
  </si>
  <si>
    <t>Wasiolek, Edward, editor.</t>
  </si>
  <si>
    <t>San Francisco, Wadsworth Pub. Co. [1961]</t>
  </si>
  <si>
    <t>Wadsworth guides to literary study</t>
  </si>
  <si>
    <t>2003-10-30</t>
  </si>
  <si>
    <t>1417648:eng</t>
  </si>
  <si>
    <t>326849</t>
  </si>
  <si>
    <t>ocm00326849</t>
  </si>
  <si>
    <t>3102931279W</t>
  </si>
  <si>
    <t>791338164</t>
  </si>
  <si>
    <t>3102810002Z</t>
  </si>
  <si>
    <t>791338163</t>
  </si>
  <si>
    <t>3102931288U</t>
  </si>
  <si>
    <t>791338168</t>
  </si>
  <si>
    <t>2015-02-06</t>
  </si>
  <si>
    <t>3102931284U</t>
  </si>
  <si>
    <t>791338166</t>
  </si>
  <si>
    <t>2001-04-25</t>
  </si>
  <si>
    <t>3000245166E</t>
  </si>
  <si>
    <t>791338165</t>
  </si>
  <si>
    <t>PG3325 U5 1964</t>
  </si>
  <si>
    <t>0                      PG 3325000U  5           1964</t>
  </si>
  <si>
    <t>Unizhennye i oskorblennye : roman v chetyrekh chasti︠a︡kh s epilogom / F.M. Dostevskiĭ.</t>
  </si>
  <si>
    <t>Moskva : Gos. izd-vo "Karti︠a︡ moldoveni︠a︡skė", 1962.</t>
  </si>
  <si>
    <t>2016-01-10</t>
  </si>
  <si>
    <t>10033535574:rus</t>
  </si>
  <si>
    <t>8869399</t>
  </si>
  <si>
    <t>ocm08869399</t>
  </si>
  <si>
    <t>3102931294S</t>
  </si>
  <si>
    <t>792645768</t>
  </si>
  <si>
    <t>PG3325 Z3 1921</t>
  </si>
  <si>
    <t>0                      PG 3325000Z  3           1921</t>
  </si>
  <si>
    <t>Zapiski iz mertvago doma ; Igrok / F.M. Dostoevskiĭ.</t>
  </si>
  <si>
    <t>Berlin : Izd-vo I.P. Ladyzhnikova, 1921.</t>
  </si>
  <si>
    <t>1921</t>
  </si>
  <si>
    <t>Russkai&amp;#x0361;a Biblioteka, t. 48</t>
  </si>
  <si>
    <t>4926707980:rus</t>
  </si>
  <si>
    <t>15747644</t>
  </si>
  <si>
    <t>ocm15747644</t>
  </si>
  <si>
    <t>3102931295S</t>
  </si>
  <si>
    <t>792941202</t>
  </si>
  <si>
    <t>PG3325 Z4 1963</t>
  </si>
  <si>
    <t>0                      PG 3325000Z  4           1963</t>
  </si>
  <si>
    <t>Zapiski iz podpol'ia = Notes from underground / with an introd. by F.M. Borras.</t>
  </si>
  <si>
    <t>Letchworth, Herts. : Bradda Books, 1965.</t>
  </si>
  <si>
    <t>7213577259:eng</t>
  </si>
  <si>
    <t>222164615</t>
  </si>
  <si>
    <t>ocn222164615</t>
  </si>
  <si>
    <t>3102931285U</t>
  </si>
  <si>
    <t>794329563</t>
  </si>
  <si>
    <t>PG3325 Z43 Z45 2015</t>
  </si>
  <si>
    <t>0                      PG 3325000Z  43                 Z  45          2015</t>
  </si>
  <si>
    <t>"Zapiski iz podpolʹi︠a︡" F.M. Dostoevskogo i subzhanr "ispovedi antigeroi︠a︡" v russkoĭ literature vtoroĭ poloviny 19-go - 20-go veka : monografii︠a︡ / N.V. Zhivolupova.</t>
  </si>
  <si>
    <t>Zhivolupova, N. V. (Natalʹi︠a︡ Vasilʹevna), author.</t>
  </si>
  <si>
    <t>Nizhniĭ Novgorod : Di︠a︡tlovy gory, 2015.</t>
  </si>
  <si>
    <t>2835041994:rus</t>
  </si>
  <si>
    <t>915635925</t>
  </si>
  <si>
    <t>ocn915635925</t>
  </si>
  <si>
    <t>3103629865T</t>
  </si>
  <si>
    <t>9785905227103</t>
  </si>
  <si>
    <t>795000619</t>
  </si>
  <si>
    <t>PG3326 A15 M26</t>
  </si>
  <si>
    <t>0                      PG 3326000A  15                 M  26</t>
  </si>
  <si>
    <t>Notes from underground, White nights, the dream of a ridiculous man, and selections from the House of the dead / A new translation with an afterword by Andrew R. MacAndrew.</t>
  </si>
  <si>
    <t>New York : New American Library, 1961.</t>
  </si>
  <si>
    <t>3943816306:eng</t>
  </si>
  <si>
    <t>502924</t>
  </si>
  <si>
    <t>ocm00502924</t>
  </si>
  <si>
    <t>3102931255$</t>
  </si>
  <si>
    <t>9780451520135</t>
  </si>
  <si>
    <t>791396130</t>
  </si>
  <si>
    <t>2001-02-13</t>
  </si>
  <si>
    <t>31002353573</t>
  </si>
  <si>
    <t>791396131</t>
  </si>
  <si>
    <t>PG3326 A15 M33 1989</t>
  </si>
  <si>
    <t>0                      PG 3326000A  15                 M  33          1989</t>
  </si>
  <si>
    <t>Uncle's dream and other stories / Fyodor Dostoyevsky ; translated with an introduction by David McDuff.</t>
  </si>
  <si>
    <t>London, England ; New York, N.Y., USA : Penguin Books, 1989.</t>
  </si>
  <si>
    <t>3377210647:eng</t>
  </si>
  <si>
    <t>21227681</t>
  </si>
  <si>
    <t>ocm21227681</t>
  </si>
  <si>
    <t>31028143246</t>
  </si>
  <si>
    <t>9780140445183</t>
  </si>
  <si>
    <t>793112946</t>
  </si>
  <si>
    <t>PG3326 A15 1923</t>
  </si>
  <si>
    <t>0                      PG 3326000A  15          1923</t>
  </si>
  <si>
    <t>White nights : and other stories / Fyodor Dostoevsky ; translated from the Russian by Constance Garnett.</t>
  </si>
  <si>
    <t>New York : Macmillan, 1923.</t>
  </si>
  <si>
    <t>1923</t>
  </si>
  <si>
    <t>The novels of Fyodor Dostoevsky ; 10</t>
  </si>
  <si>
    <t>2017-07-07</t>
  </si>
  <si>
    <t>10033081808:eng</t>
  </si>
  <si>
    <t>19938063</t>
  </si>
  <si>
    <t>ocm19938063</t>
  </si>
  <si>
    <t>3102915179T</t>
  </si>
  <si>
    <t>793072694</t>
  </si>
  <si>
    <t>PG3326 A15 1945</t>
  </si>
  <si>
    <t>0                      PG 3326000A  15          1945</t>
  </si>
  <si>
    <t>The short novels of Dostoevsky / Fyodor Dostoyevsky ; with an introduction by Thomas Mann ; translated from the Russian by Constance Garnett.</t>
  </si>
  <si>
    <t>New York : Dial Press, 1946, ©1945.</t>
  </si>
  <si>
    <t>1083233049:eng</t>
  </si>
  <si>
    <t>312363</t>
  </si>
  <si>
    <t>ocm00312363</t>
  </si>
  <si>
    <t>3102931270W</t>
  </si>
  <si>
    <t>791333209</t>
  </si>
  <si>
    <t>PG3326 A15 1955</t>
  </si>
  <si>
    <t>0                      PG 3326000A  15          1955</t>
  </si>
  <si>
    <t>Best short stories. Translated with an introd. by David Magarshack.</t>
  </si>
  <si>
    <t>New York, Modern Library [1955]</t>
  </si>
  <si>
    <t>The Modern library of the world's best books</t>
  </si>
  <si>
    <t>3372896735:eng</t>
  </si>
  <si>
    <t>319732</t>
  </si>
  <si>
    <t>ocm00319732</t>
  </si>
  <si>
    <t>31037064520</t>
  </si>
  <si>
    <t>9780394309668</t>
  </si>
  <si>
    <t>791335652</t>
  </si>
  <si>
    <t>PG3326 A16 B7 1979</t>
  </si>
  <si>
    <t>0                      PG 3326000A  16                 B  7           1979</t>
  </si>
  <si>
    <t>The diary of a writer / F.M. Dostoievsky ; translated and annotated by Boris Brasol ; with a new introd. by Joseph Frank.</t>
  </si>
  <si>
    <t>Santa Barbara, Calif. : P. Smith, 1979.</t>
  </si>
  <si>
    <t>2017-10-18</t>
  </si>
  <si>
    <t>4569851</t>
  </si>
  <si>
    <t>ocm04569851</t>
  </si>
  <si>
    <t>3102931256$</t>
  </si>
  <si>
    <t>9780879050467</t>
  </si>
  <si>
    <t>792363506</t>
  </si>
  <si>
    <t>PG3326 A2 1997</t>
  </si>
  <si>
    <t>0                      PG 3326000A  2           1997</t>
  </si>
  <si>
    <t>The eternal husband and other stories / by Fyodor Dostoevsky ; translated and annotated by Richard Pevear and Larissa Volokhonsky.</t>
  </si>
  <si>
    <t>New York : Bantam Books, 1997.</t>
  </si>
  <si>
    <t>2487796023:eng</t>
  </si>
  <si>
    <t>36430594</t>
  </si>
  <si>
    <t>ocm36430594</t>
  </si>
  <si>
    <t>3102931271W</t>
  </si>
  <si>
    <t>9780553379129</t>
  </si>
  <si>
    <t>793475085</t>
  </si>
  <si>
    <t>PG3326 A2 2001</t>
  </si>
  <si>
    <t>0                      PG 3326000A  2           2001</t>
  </si>
  <si>
    <t>The best short stories of Fyodor Dostoevsky / translated, with an introduction by David Magarshack.</t>
  </si>
  <si>
    <t>New York : Modern Library, 2001.</t>
  </si>
  <si>
    <t>Modern Library paperback ed.</t>
  </si>
  <si>
    <t>The Modern Library classics</t>
  </si>
  <si>
    <t>3856278372:eng</t>
  </si>
  <si>
    <t>45064650</t>
  </si>
  <si>
    <t>ocm45064650</t>
  </si>
  <si>
    <t>3103525311A</t>
  </si>
  <si>
    <t>9780375756887</t>
  </si>
  <si>
    <t>793663758</t>
  </si>
  <si>
    <t>PG3326 A2 2010</t>
  </si>
  <si>
    <t>0                      PG 3326000A  2           2010</t>
  </si>
  <si>
    <t>The gambler and other stories / Fyodor Dostoyevsky ; translated with an introduction and notes by Ronald Meyer.</t>
  </si>
  <si>
    <t>London ; New York : Penguin Books, 2010.</t>
  </si>
  <si>
    <t>2018-09-05</t>
  </si>
  <si>
    <t>4820563158:eng</t>
  </si>
  <si>
    <t>540108945</t>
  </si>
  <si>
    <t>ocn540108945</t>
  </si>
  <si>
    <t>31032345915</t>
  </si>
  <si>
    <t>9780140455090</t>
  </si>
  <si>
    <t>794810566</t>
  </si>
  <si>
    <t>PG3326 A6 1946</t>
  </si>
  <si>
    <t>0                      PG 3326000A  6           1946</t>
  </si>
  <si>
    <t>The short stories of Dostoevsky / edited with an introduction by William Phillips.</t>
  </si>
  <si>
    <t>New York : The Dial Press, 1946.</t>
  </si>
  <si>
    <t>A permanent library book</t>
  </si>
  <si>
    <t>2019-04-07</t>
  </si>
  <si>
    <t>2908552466:eng</t>
  </si>
  <si>
    <t>682369</t>
  </si>
  <si>
    <t>ocm00682369</t>
  </si>
  <si>
    <t>3102931263Y</t>
  </si>
  <si>
    <t>791445112</t>
  </si>
  <si>
    <t>PG3326 B4 1956</t>
  </si>
  <si>
    <t>0                      PG 3326000B  4           1956</t>
  </si>
  <si>
    <t>Poorfolk ; The gambler / Fyodor Dostoevsky ; translated with an introduction by C.J. Hogarth.</t>
  </si>
  <si>
    <t>London : Dent, 1956.</t>
  </si>
  <si>
    <t>Everyman's library : Fiction ; 711</t>
  </si>
  <si>
    <t>2017-11-25</t>
  </si>
  <si>
    <t>8910551239:eng</t>
  </si>
  <si>
    <t>61547305</t>
  </si>
  <si>
    <t>ocm61547305</t>
  </si>
  <si>
    <t>3102847842Y</t>
  </si>
  <si>
    <t>793978871</t>
  </si>
  <si>
    <t>PG3326 B4 1982</t>
  </si>
  <si>
    <t>0                      PG 3326000B  4           1982</t>
  </si>
  <si>
    <t>Poor folk / Dostoevsky ; translated and with an introduction by Robert Dessaix.</t>
  </si>
  <si>
    <t>Ann Arbor, Mich. : Ardis, ©1982.</t>
  </si>
  <si>
    <t>2019-10-29</t>
  </si>
  <si>
    <t>8907529291:eng</t>
  </si>
  <si>
    <t>8729232</t>
  </si>
  <si>
    <t>ocm08729232</t>
  </si>
  <si>
    <t>3102931178Z</t>
  </si>
  <si>
    <t>9780882337555</t>
  </si>
  <si>
    <t>792638003</t>
  </si>
  <si>
    <t>3102931369V</t>
  </si>
  <si>
    <t>792638002</t>
  </si>
  <si>
    <t>PG3326 B4 1988</t>
  </si>
  <si>
    <t>0                      PG 3326000B  4           1988</t>
  </si>
  <si>
    <t>Poor folk and other stories / Fyodor Dostoyevsky ; translated with an introduction and notes by David McDuff.</t>
  </si>
  <si>
    <t>2</t>
  </si>
  <si>
    <t>London, England : Penguin Books ; New York, N.Y., USA : Viking Penguin, 1988.</t>
  </si>
  <si>
    <t>2019-11-06</t>
  </si>
  <si>
    <t>2019-11-11</t>
  </si>
  <si>
    <t>293040465:eng</t>
  </si>
  <si>
    <t>21079707</t>
  </si>
  <si>
    <t>ocm21079707</t>
  </si>
  <si>
    <t>31039034157</t>
  </si>
  <si>
    <t>9780140445053</t>
  </si>
  <si>
    <t>793108682</t>
  </si>
  <si>
    <t>3102931253$</t>
  </si>
  <si>
    <t>793108683</t>
  </si>
  <si>
    <t>3102931258$</t>
  </si>
  <si>
    <t>793108684</t>
  </si>
  <si>
    <t>31039034165</t>
  </si>
  <si>
    <t>793108681</t>
  </si>
  <si>
    <t>PG3326 B4 2011</t>
  </si>
  <si>
    <t>0                      PG 3326000B  4           2011</t>
  </si>
  <si>
    <t>Poor people / Fyodor Dostoevsky ; [revised and] translated by Hugh Aplin.</t>
  </si>
  <si>
    <t>Richmond : Oneworld Classics, 2011.</t>
  </si>
  <si>
    <t>2018-11-17</t>
  </si>
  <si>
    <t>9463409373:eng</t>
  </si>
  <si>
    <t>751806580</t>
  </si>
  <si>
    <t>ocn751806580</t>
  </si>
  <si>
    <t>3103429194R</t>
  </si>
  <si>
    <t>9781847491909</t>
  </si>
  <si>
    <t>794891151</t>
  </si>
  <si>
    <t>PG3326 B6 1914</t>
  </si>
  <si>
    <t>0                      PG 3326000B  6           1914</t>
  </si>
  <si>
    <t>The possessed : [a novel] / Fyodor Dostoevsky ; translated from the Russian by Constance Garnett.</t>
  </si>
  <si>
    <t>London : Heinemann, 1914.</t>
  </si>
  <si>
    <t>1914</t>
  </si>
  <si>
    <t>2128132</t>
  </si>
  <si>
    <t>ocm02128132</t>
  </si>
  <si>
    <t>3102931257$</t>
  </si>
  <si>
    <t>792052278</t>
  </si>
  <si>
    <t>2017-03-01</t>
  </si>
  <si>
    <t>3102931277W</t>
  </si>
  <si>
    <t>792052279</t>
  </si>
  <si>
    <t>2005-09-30</t>
  </si>
  <si>
    <t>3102929061D</t>
  </si>
  <si>
    <t>792052277</t>
  </si>
  <si>
    <t>PG3326 B6 1936</t>
  </si>
  <si>
    <t>0                      PG 3326000B  6           1936</t>
  </si>
  <si>
    <t>The possessed, by Fyodor Dostoyevsky; translated from the Russian by Constance Garnett; with a foreword by Avrahm Yarmolinsky and a translation of the hithertosuppressed chapter "At Tihon's."</t>
  </si>
  <si>
    <t>New York, The Modern library [©1936]</t>
  </si>
  <si>
    <t>1936</t>
  </si>
  <si>
    <t>2018-08-24</t>
  </si>
  <si>
    <t>581631</t>
  </si>
  <si>
    <t>ocm00581631</t>
  </si>
  <si>
    <t>3102931267Y</t>
  </si>
  <si>
    <t>9781593082505</t>
  </si>
  <si>
    <t>791420693</t>
  </si>
  <si>
    <t>2016-01-07</t>
  </si>
  <si>
    <t>3102931252$</t>
  </si>
  <si>
    <t>791420694</t>
  </si>
  <si>
    <t>2012-07-12</t>
  </si>
  <si>
    <t>3103336498V</t>
  </si>
  <si>
    <t>791420699</t>
  </si>
  <si>
    <t>2016-02-18</t>
  </si>
  <si>
    <t>3102929060D</t>
  </si>
  <si>
    <t>791420695</t>
  </si>
  <si>
    <t>3102931272W</t>
  </si>
  <si>
    <t>791420696</t>
  </si>
  <si>
    <t>2006-04-03</t>
  </si>
  <si>
    <t>3102931282U</t>
  </si>
  <si>
    <t>791420697</t>
  </si>
  <si>
    <t>2003-08-25</t>
  </si>
  <si>
    <t>3102929056F</t>
  </si>
  <si>
    <t>791420698</t>
  </si>
  <si>
    <t>PG3326 B6 1994</t>
  </si>
  <si>
    <t>0                      PG 3326000B  6           1994</t>
  </si>
  <si>
    <t>Demons : a novel in three parts / by Fyodor Dostoevsky ; translated and annotated by Richard Pevear and Larissa Volokhonsky.</t>
  </si>
  <si>
    <t>New York : A.A. Knopf, 1994.</t>
  </si>
  <si>
    <t>Vintage classics</t>
  </si>
  <si>
    <t>2019-04-12</t>
  </si>
  <si>
    <t>28887913</t>
  </si>
  <si>
    <t>ocm28887913</t>
  </si>
  <si>
    <t>3102574637K</t>
  </si>
  <si>
    <t>9780679423140</t>
  </si>
  <si>
    <t>793298478</t>
  </si>
  <si>
    <t>PG3326 B7 G3 1950</t>
  </si>
  <si>
    <t>0                      PG 3326000B  7                  G  3           1950</t>
  </si>
  <si>
    <t>The brothers Karamazov, translated by Constance Garnett. Introd. by Marc Slonim.</t>
  </si>
  <si>
    <t>New York, Modern Library [1950]</t>
  </si>
  <si>
    <t>Modern Library college editions, T12</t>
  </si>
  <si>
    <t>2017-08-29</t>
  </si>
  <si>
    <t>2517076559:eng</t>
  </si>
  <si>
    <t>319669</t>
  </si>
  <si>
    <t>ocm00319669</t>
  </si>
  <si>
    <t>3000228582Y</t>
  </si>
  <si>
    <t>9780679601814</t>
  </si>
  <si>
    <t>791335606</t>
  </si>
  <si>
    <t>PG3326 B7 G7x</t>
  </si>
  <si>
    <t>0                      PG 3326000B  7                  G  7x</t>
  </si>
  <si>
    <t>The brothers Karamazov / Feodor Dostoyevsky.</t>
  </si>
  <si>
    <t>New York : Grosset &amp; Dunlap, [1957?]</t>
  </si>
  <si>
    <t>Universal library</t>
  </si>
  <si>
    <t>1259396</t>
  </si>
  <si>
    <t>ocm01259396</t>
  </si>
  <si>
    <t>31021300443</t>
  </si>
  <si>
    <t>791585957</t>
  </si>
  <si>
    <t>PG3326 B7 P37 1990</t>
  </si>
  <si>
    <t>0                      PG 3326000B  7                  P  37          1990</t>
  </si>
  <si>
    <t>The brothers Karamazov : a novel in four parts with epilogue / Fyodor Dostoevsky ; translated and annotated by Richard Pevear and Larissa Volokhonsky.</t>
  </si>
  <si>
    <t>San Francisco : North Point Press, 1990.</t>
  </si>
  <si>
    <t>2013-04-16</t>
  </si>
  <si>
    <t>2019-07-15</t>
  </si>
  <si>
    <t>4820795877:eng</t>
  </si>
  <si>
    <t>20690469</t>
  </si>
  <si>
    <t>ocm20690469</t>
  </si>
  <si>
    <t>3102683032V</t>
  </si>
  <si>
    <t>9780865474222</t>
  </si>
  <si>
    <t>793095732</t>
  </si>
  <si>
    <t>3102912313A</t>
  </si>
  <si>
    <t>793095731</t>
  </si>
  <si>
    <t>PG3326 B7 1900z</t>
  </si>
  <si>
    <t>0                      PG 3326000B  7           1900z</t>
  </si>
  <si>
    <t>The brothers Karamazov. Translated by Constance Garnett.</t>
  </si>
  <si>
    <t>New York, Modern Library [date of publication not identified]</t>
  </si>
  <si>
    <t>2019-07-08</t>
  </si>
  <si>
    <t>7541649</t>
  </si>
  <si>
    <t>ocm07541649</t>
  </si>
  <si>
    <t>31029123572</t>
  </si>
  <si>
    <t>792564433</t>
  </si>
  <si>
    <t>PG3326 B7 1958</t>
  </si>
  <si>
    <t>0                      PG 3326000B  7           1958</t>
  </si>
  <si>
    <t>The brothers Karamazov / translated with an introd. by David Magarshack.</t>
  </si>
  <si>
    <t>Harmondsworth, Middlesex : Penguin Books, 1958.</t>
  </si>
  <si>
    <t>Penguin classics ; L78</t>
  </si>
  <si>
    <t>1136425</t>
  </si>
  <si>
    <t>ocm01136425</t>
  </si>
  <si>
    <t>31029313164</t>
  </si>
  <si>
    <t>9780140440782</t>
  </si>
  <si>
    <t>791554591</t>
  </si>
  <si>
    <t>3102931287U</t>
  </si>
  <si>
    <t>791554590</t>
  </si>
  <si>
    <t>PG3326 B7 1994</t>
  </si>
  <si>
    <t>0                      PG 3326000B  7           1994</t>
  </si>
  <si>
    <t>The Karamazov brothers / Fyodor Dostoevsky ; translated with an introduction and notes by Ignat Avsey.</t>
  </si>
  <si>
    <t>Oxford : New York : Oxford University Press, ©1994.</t>
  </si>
  <si>
    <t>The World's classics</t>
  </si>
  <si>
    <t>2019-05-03</t>
  </si>
  <si>
    <t>5092714409:eng</t>
  </si>
  <si>
    <t>29844927</t>
  </si>
  <si>
    <t>ocm29844927</t>
  </si>
  <si>
    <t>31033490077</t>
  </si>
  <si>
    <t>9780192826640</t>
  </si>
  <si>
    <t>793321887</t>
  </si>
  <si>
    <t>PG3326 B7 2003</t>
  </si>
  <si>
    <t>0                      PG 3326000B  7           2003</t>
  </si>
  <si>
    <t>The brothers Karamazov : a novel in four parts and an epilogue / Fyodor Dostoyevsky ; translated with an introduction and notes by David McDuff.</t>
  </si>
  <si>
    <t>London ; New York, N.Y. : Penguin, 2003.</t>
  </si>
  <si>
    <t>2019-04-29</t>
  </si>
  <si>
    <t>51108975</t>
  </si>
  <si>
    <t>ocm51108975</t>
  </si>
  <si>
    <t>31029313262</t>
  </si>
  <si>
    <t>9780140449242</t>
  </si>
  <si>
    <t>793779172</t>
  </si>
  <si>
    <t>2019-02-11</t>
  </si>
  <si>
    <t>3102767984J</t>
  </si>
  <si>
    <t>793779171</t>
  </si>
  <si>
    <t>PG3326 C4 G3 1919</t>
  </si>
  <si>
    <t>0                      PG 3326000C  4                  G  3           1919</t>
  </si>
  <si>
    <t>An honest thief : and other stories / by Fyodor Dostoevsky ; from the Russian by Constance Garnett.</t>
  </si>
  <si>
    <t>London : William Heinemann, 1919.</t>
  </si>
  <si>
    <t>1919</t>
  </si>
  <si>
    <t>Novels of Fyodor Dostoyevsky ; v. 11</t>
  </si>
  <si>
    <t>2016-11-06</t>
  </si>
  <si>
    <t>198197653:eng</t>
  </si>
  <si>
    <t>5773674</t>
  </si>
  <si>
    <t>ocm05773674</t>
  </si>
  <si>
    <t>3103095522Y</t>
  </si>
  <si>
    <t>9780434204052</t>
  </si>
  <si>
    <t>792452856</t>
  </si>
  <si>
    <t>PG3326 D5 2011</t>
  </si>
  <si>
    <t>0                      PG 3326000D  5           2011</t>
  </si>
  <si>
    <t>Uncle's dream / Fyodor Dostoevsky ; translated by Hugh Aplin.</t>
  </si>
  <si>
    <t>London : Hesperus, 2011.</t>
  </si>
  <si>
    <t>Hesperus classics</t>
  </si>
  <si>
    <t>3860781429:eng</t>
  </si>
  <si>
    <t>768496499</t>
  </si>
  <si>
    <t>ocn768496499</t>
  </si>
  <si>
    <t>3103395280D</t>
  </si>
  <si>
    <t>9781843912088</t>
  </si>
  <si>
    <t>794902490</t>
  </si>
  <si>
    <t>PG3326 D8 1989</t>
  </si>
  <si>
    <t>0                      PG 3326000D  8           1989</t>
  </si>
  <si>
    <t>The double : a poem of St. Petersburg / Fyodor Dostoyevsky ; translated from the Russian by George Bird ; with an introduction by John Bayley.</t>
  </si>
  <si>
    <t>London : Collins Harvill, 1989.</t>
  </si>
  <si>
    <t>4494994718:eng</t>
  </si>
  <si>
    <t>19929707</t>
  </si>
  <si>
    <t>ocm19929707</t>
  </si>
  <si>
    <t>3102078395S</t>
  </si>
  <si>
    <t>9780002711579</t>
  </si>
  <si>
    <t>793072541</t>
  </si>
  <si>
    <t>31026893064</t>
  </si>
  <si>
    <t>793072542</t>
  </si>
  <si>
    <t>PG3326 D8 2004</t>
  </si>
  <si>
    <t>0                      PG 3326000D  8           2004</t>
  </si>
  <si>
    <t>The double : a St. Petersburg poem / Fyodor Dostoevsky ; translated by Hugh Aplin.</t>
  </si>
  <si>
    <t>London : Hesperus, 2004.</t>
  </si>
  <si>
    <t>4495201014:eng</t>
  </si>
  <si>
    <t>55656851</t>
  </si>
  <si>
    <t>ocm55656851</t>
  </si>
  <si>
    <t>3102430552O</t>
  </si>
  <si>
    <t>9781843910879</t>
  </si>
  <si>
    <t>793880235</t>
  </si>
  <si>
    <t>PG3326 D8 2005</t>
  </si>
  <si>
    <t>0                      PG 3326000D  8           2005</t>
  </si>
  <si>
    <t>The double ; and the gambler / Fyodor Dostoevsky ; translated from the Russian by Richard Pevear and Larissa Volokhonsky ; with an introduction by Richard Pevear.</t>
  </si>
  <si>
    <t>New York : Everyman's Library : Distributed by Random House, ©2005.</t>
  </si>
  <si>
    <t>Everyman's library ; 295</t>
  </si>
  <si>
    <t>2017-08-14</t>
  </si>
  <si>
    <t>4918858087:eng</t>
  </si>
  <si>
    <t>58043220</t>
  </si>
  <si>
    <t>ocm58043220</t>
  </si>
  <si>
    <t>3102780097P</t>
  </si>
  <si>
    <t>9781400044702</t>
  </si>
  <si>
    <t>793919644</t>
  </si>
  <si>
    <t>PG3326 I3 M3 1934</t>
  </si>
  <si>
    <t>0                      PG 3326000I  3                  M  3           1934</t>
  </si>
  <si>
    <t>The idiot [by] Fyodor Dostoevsky.</t>
  </si>
  <si>
    <t>London, J.M. Dent &amp; Sons; New York, E.P. Dutton &amp; Co. [1934]</t>
  </si>
  <si>
    <t>Everyman's library. Fiction ; [no. 682]</t>
  </si>
  <si>
    <t>2017-03-11</t>
  </si>
  <si>
    <t>4714472874:eng</t>
  </si>
  <si>
    <t>10556686</t>
  </si>
  <si>
    <t>ocm10556686</t>
  </si>
  <si>
    <t>3000789073G</t>
  </si>
  <si>
    <t>792731720</t>
  </si>
  <si>
    <t>PG3326 I3 1942</t>
  </si>
  <si>
    <t>0                      PG 3326000I  3           1942</t>
  </si>
  <si>
    <t>The idiot / Fyodor Dostoevsky ; translated from the Russian by Constance Garnett.</t>
  </si>
  <si>
    <t>New York : Random House, 1942, ©1935.</t>
  </si>
  <si>
    <t>The modern library</t>
  </si>
  <si>
    <t>2015-08-08</t>
  </si>
  <si>
    <t>61577974</t>
  </si>
  <si>
    <t>ocm61577974</t>
  </si>
  <si>
    <t>3102228113T</t>
  </si>
  <si>
    <t>794013643</t>
  </si>
  <si>
    <t>PG3326 I3 1992</t>
  </si>
  <si>
    <t>0                      PG 3326000I  3           1992</t>
  </si>
  <si>
    <t>The Idiot / Fedor Dostoevsky ; translated by Alan Myers ; with an introduction by William Leatherbarrow.</t>
  </si>
  <si>
    <t>Oxford ; New York : Oxford University Press, 1992.</t>
  </si>
  <si>
    <t>24320575</t>
  </si>
  <si>
    <t>ocm24320575</t>
  </si>
  <si>
    <t>3101198366O</t>
  </si>
  <si>
    <t>9780192826046</t>
  </si>
  <si>
    <t>793195519</t>
  </si>
  <si>
    <t>PG3326 I3 2002</t>
  </si>
  <si>
    <t>0                      PG 3326000I  3           2002</t>
  </si>
  <si>
    <t>The idiot / Fyodor Dostoevsky ; translated from the Russian by Richard Pevear and Larissa Volokhonsky ; with an introduction by Richard Pevear.</t>
  </si>
  <si>
    <t>New York : Everyman's Library, 2002.</t>
  </si>
  <si>
    <t>Everyman's library ; v. 254</t>
  </si>
  <si>
    <t>2019-01-13</t>
  </si>
  <si>
    <t>46872396</t>
  </si>
  <si>
    <t>ocm46872396</t>
  </si>
  <si>
    <t>3103024628X</t>
  </si>
  <si>
    <t>9780375413926</t>
  </si>
  <si>
    <t>793693521</t>
  </si>
  <si>
    <t>PG3326 I3 2003</t>
  </si>
  <si>
    <t>0                      PG 3326000I  3           2003</t>
  </si>
  <si>
    <t>The idiot / Fyodor Dostoevsky ; a new rendition by Anna Brailovsky, based on the Constance Garnett translation ; introduction by Joseph Frank.</t>
  </si>
  <si>
    <t>New York : Modern Library, 2003.</t>
  </si>
  <si>
    <t>Modern Library pbk. ed.</t>
  </si>
  <si>
    <t>2019-06-27</t>
  </si>
  <si>
    <t>50669994</t>
  </si>
  <si>
    <t>ocm50669994</t>
  </si>
  <si>
    <t>3102274066D</t>
  </si>
  <si>
    <t>9780679642428</t>
  </si>
  <si>
    <t>793770248</t>
  </si>
  <si>
    <t>PG3326 I3 2008</t>
  </si>
  <si>
    <t>0                      PG 3326000I  3           2008</t>
  </si>
  <si>
    <t>The idiot / Fyodor Dostoevsky ; translated and edited by Alan Myers ; with an introduction by William Leatherbarrow.</t>
  </si>
  <si>
    <t>Oxford ; New York : Oxford University Press, [2008], ©1992.</t>
  </si>
  <si>
    <t>2019-02-17</t>
  </si>
  <si>
    <t>223948604</t>
  </si>
  <si>
    <t>ocn223948604</t>
  </si>
  <si>
    <t>3103748835O</t>
  </si>
  <si>
    <t>9780199536399</t>
  </si>
  <si>
    <t>794336889</t>
  </si>
  <si>
    <t>3103748841T</t>
  </si>
  <si>
    <t>794336890</t>
  </si>
  <si>
    <t>PG3326 I3 2010</t>
  </si>
  <si>
    <t>0                      PG 3326000I  3           2010</t>
  </si>
  <si>
    <t>The idiot / Fyodor Dostoevsky ; translated by Ignat Avsey.</t>
  </si>
  <si>
    <t>Richmond : Oneworld Classics, 2010.</t>
  </si>
  <si>
    <t>528411287</t>
  </si>
  <si>
    <t>ocn528411287</t>
  </si>
  <si>
    <t>3103344215J</t>
  </si>
  <si>
    <t>9781847491503</t>
  </si>
  <si>
    <t>794809499</t>
  </si>
  <si>
    <t>PG3326 I4 A65 2006</t>
  </si>
  <si>
    <t>0                      PG 3326000I  4                  A  65          2006</t>
  </si>
  <si>
    <t>The gambler : a novel (from a young man's notes) / Fyodor Dostoevsky ; translated by Hugh Aplin.</t>
  </si>
  <si>
    <t>London : Hesperus Press, 2006.</t>
  </si>
  <si>
    <t>2018-06-06</t>
  </si>
  <si>
    <t>60794879</t>
  </si>
  <si>
    <t>ocm60794879</t>
  </si>
  <si>
    <t>3102555661K</t>
  </si>
  <si>
    <t>9781843911234</t>
  </si>
  <si>
    <t>793943860</t>
  </si>
  <si>
    <t>PG3326 I4 G3 1917</t>
  </si>
  <si>
    <t>0                      PG 3326000I  4                  G  3           1917</t>
  </si>
  <si>
    <t>The gambler, and other stories, by Fyodor Dostoevsky, from the Russian by Constance Garnett.</t>
  </si>
  <si>
    <t>London, W. Heinemann [1917]</t>
  </si>
  <si>
    <t>1917</t>
  </si>
  <si>
    <t>The novels of Fyodor Dostoevsky, vol. IX</t>
  </si>
  <si>
    <t>2005-01-25</t>
  </si>
  <si>
    <t>2015-08-29</t>
  </si>
  <si>
    <t>10177298799:eng</t>
  </si>
  <si>
    <t>12795849</t>
  </si>
  <si>
    <t>ocm12795849</t>
  </si>
  <si>
    <t>3101112933J</t>
  </si>
  <si>
    <t>792828189</t>
  </si>
  <si>
    <t>3102912460Y</t>
  </si>
  <si>
    <t>792828188</t>
  </si>
  <si>
    <t>PG3326 I4 1972</t>
  </si>
  <si>
    <t>0                      PG 3326000I  4           1972</t>
  </si>
  <si>
    <t>The gambler, with Polina Suslova's diary / Fyodor Dostoevsky ; translated by Victor Terras ; edited by Edward Wasiolek.</t>
  </si>
  <si>
    <t>Chicago : University of Chicago Press, 1972.</t>
  </si>
  <si>
    <t>3855607326:eng</t>
  </si>
  <si>
    <t>1621874</t>
  </si>
  <si>
    <t>ocm01621874</t>
  </si>
  <si>
    <t>30005070970</t>
  </si>
  <si>
    <t>9780226159706</t>
  </si>
  <si>
    <t>791793391</t>
  </si>
  <si>
    <t>2006-02-13</t>
  </si>
  <si>
    <t>3000214864D</t>
  </si>
  <si>
    <t>791793390</t>
  </si>
  <si>
    <t>PG3326 I4 2003</t>
  </si>
  <si>
    <t>0                      PG 3326000I  4           2003</t>
  </si>
  <si>
    <t>The gambler / Fyodor Dostoevsky ; translated by Constance Garnett ; edited, with an introduction and notes, by Gary Saul Morson.</t>
  </si>
  <si>
    <t>New York : Modern Library, ©2003.</t>
  </si>
  <si>
    <t>2019-03-29</t>
  </si>
  <si>
    <t>50322893</t>
  </si>
  <si>
    <t>ocm50322893</t>
  </si>
  <si>
    <t>3102347761Q</t>
  </si>
  <si>
    <t>9780812966930</t>
  </si>
  <si>
    <t>793760819</t>
  </si>
  <si>
    <t>3102768751R</t>
  </si>
  <si>
    <t>793760820</t>
  </si>
  <si>
    <t>PG3326 N4 1985</t>
  </si>
  <si>
    <t>0                      PG 3326000N  4           1985</t>
  </si>
  <si>
    <t>Netochka Nezvanova / Fyodor Dostoyevsky ; translated with an introduction by Jane Kentish.</t>
  </si>
  <si>
    <t>Harmondsworth, Middlesex, England ; New York, N.Y., U.S.A. : Penguin Books, ©1985.</t>
  </si>
  <si>
    <t>2015-03-10</t>
  </si>
  <si>
    <t>2908852095:eng</t>
  </si>
  <si>
    <t>12981187</t>
  </si>
  <si>
    <t>ocm12981187</t>
  </si>
  <si>
    <t>31029313310</t>
  </si>
  <si>
    <t>9780140444551</t>
  </si>
  <si>
    <t>792835859</t>
  </si>
  <si>
    <t>31029313360</t>
  </si>
  <si>
    <t>792835858</t>
  </si>
  <si>
    <t>PG3326 P5 1900z</t>
  </si>
  <si>
    <t>0                      PG 3326000P  5           1900z</t>
  </si>
  <si>
    <t>A raw youth / Fyodor Dostoevsky ; translated from the Russian by Constance Garnett.</t>
  </si>
  <si>
    <t>London : [publisher not identified], [19--?]</t>
  </si>
  <si>
    <t>Novels ; v. 7</t>
  </si>
  <si>
    <t>2017-02-16</t>
  </si>
  <si>
    <t>9593606396:eng</t>
  </si>
  <si>
    <t>427269466</t>
  </si>
  <si>
    <t>ocn427269466</t>
  </si>
  <si>
    <t>3103022238E</t>
  </si>
  <si>
    <t>794556449</t>
  </si>
  <si>
    <t>PG3326 P5 1950</t>
  </si>
  <si>
    <t>0                      PG 3326000P  5           1950</t>
  </si>
  <si>
    <t>New York : Macmillan ; London : Heinemann, 1950.</t>
  </si>
  <si>
    <t>The novels of Fyodor Dostoevsky</t>
  </si>
  <si>
    <t>1001737</t>
  </si>
  <si>
    <t>ocm01001737</t>
  </si>
  <si>
    <t>31029313114</t>
  </si>
  <si>
    <t>791522207</t>
  </si>
  <si>
    <t>PG3326 P5 1971</t>
  </si>
  <si>
    <t>0                      PG 3326000P  5           1971</t>
  </si>
  <si>
    <t>The adolescent / Fyodor Dostoevsky ; a new translation by Andrew R. MacAndrew.</t>
  </si>
  <si>
    <t>Garden City, N.Y. : Doubleday, ©1971.</t>
  </si>
  <si>
    <t>2016-02-24</t>
  </si>
  <si>
    <t>3375830068:eng</t>
  </si>
  <si>
    <t>153097</t>
  </si>
  <si>
    <t>ocm00153097</t>
  </si>
  <si>
    <t>31029313016</t>
  </si>
  <si>
    <t>791273885</t>
  </si>
  <si>
    <t>PG3326 P5 1994</t>
  </si>
  <si>
    <t>0                      PG 3326000P  5           1994</t>
  </si>
  <si>
    <t>An accidental family / Fyodor Dostoevsky ; translated with an introduction and notes by Richard Freeborn.</t>
  </si>
  <si>
    <t>World's classics</t>
  </si>
  <si>
    <t>2016-03-15</t>
  </si>
  <si>
    <t>10033090163:eng</t>
  </si>
  <si>
    <t>27976421</t>
  </si>
  <si>
    <t>ocm27976421</t>
  </si>
  <si>
    <t>31029313066</t>
  </si>
  <si>
    <t>9780192828361</t>
  </si>
  <si>
    <t>793276778</t>
  </si>
  <si>
    <t>PG3326 P5 2003</t>
  </si>
  <si>
    <t>0                      PG 3326000P  5           2003</t>
  </si>
  <si>
    <t>The adolescent / Fyodor Dostoevsky ; translated from the Russian by Richard Pevear and Larissa Volokhonsky.</t>
  </si>
  <si>
    <t>New York : Alfred A. Knopf, 2003.</t>
  </si>
  <si>
    <t>Everyman's library ; 270</t>
  </si>
  <si>
    <t>9468676362:eng</t>
  </si>
  <si>
    <t>51892883</t>
  </si>
  <si>
    <t>ocm51892883</t>
  </si>
  <si>
    <t>3102931341Z</t>
  </si>
  <si>
    <t>9781400041183</t>
  </si>
  <si>
    <t>793793603</t>
  </si>
  <si>
    <t>PG3326 P7 1917</t>
  </si>
  <si>
    <t>0                      PG 3326000P  7           1917</t>
  </si>
  <si>
    <t>Crime and punishment.</t>
  </si>
  <si>
    <t>London : [publisher not identified], 1917.</t>
  </si>
  <si>
    <t>9936737327:eng</t>
  </si>
  <si>
    <t>427905506</t>
  </si>
  <si>
    <t>ocn427905506</t>
  </si>
  <si>
    <t>3102931340Z</t>
  </si>
  <si>
    <t>794709361</t>
  </si>
  <si>
    <t>PG3326 P7 1950</t>
  </si>
  <si>
    <t>0                      PG 3326000P  7           1950</t>
  </si>
  <si>
    <t>Crime and punishment. Translated from the Russian by Constance Garnett; with an introd. by Ernest J. Simmons.</t>
  </si>
  <si>
    <t>The modern library of the world's best books ; 199</t>
  </si>
  <si>
    <t>9906664942:eng</t>
  </si>
  <si>
    <t>373996</t>
  </si>
  <si>
    <t>ocm00373996</t>
  </si>
  <si>
    <t>31029313202</t>
  </si>
  <si>
    <t>9780679601005</t>
  </si>
  <si>
    <t>791356210</t>
  </si>
  <si>
    <t>PG3326 P7 1961</t>
  </si>
  <si>
    <t>0                      PG 3326000P  7           1961</t>
  </si>
  <si>
    <t>Crime and punishment / by Fyodor Dostoyevsky.</t>
  </si>
  <si>
    <t>London : Heinemann, 1961.</t>
  </si>
  <si>
    <t>2018-08-09</t>
  </si>
  <si>
    <t>427205865</t>
  </si>
  <si>
    <t>ocn427205865</t>
  </si>
  <si>
    <t>3103095523Y</t>
  </si>
  <si>
    <t>794541225</t>
  </si>
  <si>
    <t>PG3326 P7 1965</t>
  </si>
  <si>
    <t>0                      PG 3326000P  7           1965</t>
  </si>
  <si>
    <t>Crime and punishment, translated from the Russian by Constance Garnett; with an introduction by George Hillocks.</t>
  </si>
  <si>
    <t>New York, Harper &amp; Row [1965]</t>
  </si>
  <si>
    <t>Harper's modern classics</t>
  </si>
  <si>
    <t>2019-10-03</t>
  </si>
  <si>
    <t>1286237</t>
  </si>
  <si>
    <t>ocm01286237</t>
  </si>
  <si>
    <t>31029313104</t>
  </si>
  <si>
    <t>791591943</t>
  </si>
  <si>
    <t>PG3326 P7 1975</t>
  </si>
  <si>
    <t>0                      PG 3326000P  7           1975</t>
  </si>
  <si>
    <t>Crime and punishment [by] Feodor Dostoevsky. The Coulson translation, backgrounds and sources, essays in criticism, edited by George Gibian.</t>
  </si>
  <si>
    <t>New York, Norton [1975]</t>
  </si>
  <si>
    <t>2018-01-09</t>
  </si>
  <si>
    <t>1337440</t>
  </si>
  <si>
    <t>ocm01337440</t>
  </si>
  <si>
    <t>3102779649N</t>
  </si>
  <si>
    <t>9780393055344</t>
  </si>
  <si>
    <t>791603805</t>
  </si>
  <si>
    <t>PG3326 P7 1989</t>
  </si>
  <si>
    <t>0                      PG 3326000P  7           1989</t>
  </si>
  <si>
    <t>Crime and punishment : the Coulson translation, backgrounds and sources, essays in criticism / Feodor Dostoevsky ; edited by George Gibian.</t>
  </si>
  <si>
    <t>New York : W.W. Norton, ©1989.</t>
  </si>
  <si>
    <t>5163421051:eng</t>
  </si>
  <si>
    <t>18441698</t>
  </si>
  <si>
    <t>ocm18441698</t>
  </si>
  <si>
    <t>3102741595Q</t>
  </si>
  <si>
    <t>9780393956238</t>
  </si>
  <si>
    <t>793025658</t>
  </si>
  <si>
    <t>2002-04-07</t>
  </si>
  <si>
    <t>3100755273$</t>
  </si>
  <si>
    <t>793025657</t>
  </si>
  <si>
    <t>31029313390</t>
  </si>
  <si>
    <t>793025656</t>
  </si>
  <si>
    <t>2018-08-17</t>
  </si>
  <si>
    <t>31029313350</t>
  </si>
  <si>
    <t>793025659</t>
  </si>
  <si>
    <t>PG3326 P7 1991</t>
  </si>
  <si>
    <t>0                      PG 3326000P  7           1991</t>
  </si>
  <si>
    <t>Crime and punishment / Fyodor Dostoyevsky ; translated with an introduction and notes by David McDuff.</t>
  </si>
  <si>
    <t>Harmondsworth : Viking, 1991.</t>
  </si>
  <si>
    <t>2018-03-04</t>
  </si>
  <si>
    <t>22664192</t>
  </si>
  <si>
    <t>ocm22664192</t>
  </si>
  <si>
    <t>3102929069D</t>
  </si>
  <si>
    <t>9780670836406</t>
  </si>
  <si>
    <t>793150579</t>
  </si>
  <si>
    <t>PG3326 P7 1993</t>
  </si>
  <si>
    <t>0                      PG 3326000P  7           1993</t>
  </si>
  <si>
    <t>Crime and punishment : a novel in six parts with epilogue / by Fyodor Dostoevsky ; translated and annotated by Richard Pevear and Larissa Volokhonsky.</t>
  </si>
  <si>
    <t>New York : Vintage Books, 1993.</t>
  </si>
  <si>
    <t>1st Vintage classics ed.</t>
  </si>
  <si>
    <t>9094287322:eng</t>
  </si>
  <si>
    <t>26399697</t>
  </si>
  <si>
    <t>ocm26399697</t>
  </si>
  <si>
    <t>3103867122A</t>
  </si>
  <si>
    <t>9780679734505</t>
  </si>
  <si>
    <t>793244036</t>
  </si>
  <si>
    <t>31038671084</t>
  </si>
  <si>
    <t>793244035</t>
  </si>
  <si>
    <t>2018-05-25</t>
  </si>
  <si>
    <t>3103150816O</t>
  </si>
  <si>
    <t>793244037</t>
  </si>
  <si>
    <t>PG3326 P7 1998</t>
  </si>
  <si>
    <t>0                      PG 3326000P  7           1998</t>
  </si>
  <si>
    <t>Crime and punishment / Fyodor Dostoevsky ; translated by Jessie Coulson ; with an introduction and notes by Richard Peace.</t>
  </si>
  <si>
    <t>New York : Oxford University Press, Inc., ©1998.</t>
  </si>
  <si>
    <t>2019-05-22</t>
  </si>
  <si>
    <t>40117086</t>
  </si>
  <si>
    <t>ocm40117086</t>
  </si>
  <si>
    <t>3102741114H</t>
  </si>
  <si>
    <t>9780192833839</t>
  </si>
  <si>
    <t>793559967</t>
  </si>
  <si>
    <t>PG3326 P713 1992</t>
  </si>
  <si>
    <t>0                      PG 3326000P  713         1992</t>
  </si>
  <si>
    <t>New York : Knopf, 1992.</t>
  </si>
  <si>
    <t>2018-01-10</t>
  </si>
  <si>
    <t>24694325</t>
  </si>
  <si>
    <t>ocm24694325</t>
  </si>
  <si>
    <t>31029313252</t>
  </si>
  <si>
    <t>9780679405573</t>
  </si>
  <si>
    <t>793203753</t>
  </si>
  <si>
    <t>PG3326 P714 1996</t>
  </si>
  <si>
    <t>0                      PG 3326000P  714         1996</t>
  </si>
  <si>
    <t>Crime et châtiment / Fédor Dostoïevski ; roman traduit du russe par André Markowicz.</t>
  </si>
  <si>
    <t>Arles : Actes Sud, 1996.</t>
  </si>
  <si>
    <t>Babel ; 231</t>
  </si>
  <si>
    <t>2517185069:fre</t>
  </si>
  <si>
    <t>61735739</t>
  </si>
  <si>
    <t>ocm61735739</t>
  </si>
  <si>
    <t>31024801895</t>
  </si>
  <si>
    <t>9782742737642</t>
  </si>
  <si>
    <t>794092634</t>
  </si>
  <si>
    <t>2019-02-05</t>
  </si>
  <si>
    <t>31024801943</t>
  </si>
  <si>
    <t>794092635</t>
  </si>
  <si>
    <t>PG3326 S413 1987</t>
  </si>
  <si>
    <t>0                      PG 3326000S  413         1987</t>
  </si>
  <si>
    <t>The village of Stepanchikovo and its inhabitants : from the notes of an unknown / Fyodor Dostoyevsky ; translated with an introduction by Ignat Avsey.</t>
  </si>
  <si>
    <t>Ithaca, N.Y. : Cornell University Press, 1987.</t>
  </si>
  <si>
    <t>4494943364:eng</t>
  </si>
  <si>
    <t>15084697</t>
  </si>
  <si>
    <t>ocm15084697</t>
  </si>
  <si>
    <t>31029313340</t>
  </si>
  <si>
    <t>9780801494574</t>
  </si>
  <si>
    <t>792919582</t>
  </si>
  <si>
    <t>PG3326 U5 2008</t>
  </si>
  <si>
    <t>0                      PG 3326000U  5           2008</t>
  </si>
  <si>
    <t>Humiliated and insulted : from the notes of an unsuccessful author / Fyodor Dostoevsky ; translated and presented by Ignat Avsey.</t>
  </si>
  <si>
    <t>Richmond, U.K. : Oneworld Classics, 2008.</t>
  </si>
  <si>
    <t>Oneworld classics</t>
  </si>
  <si>
    <t>2018-07-06</t>
  </si>
  <si>
    <t>2908595577:eng</t>
  </si>
  <si>
    <t>181069446</t>
  </si>
  <si>
    <t>ocn181069446</t>
  </si>
  <si>
    <t>3102976857F</t>
  </si>
  <si>
    <t>9781847490452</t>
  </si>
  <si>
    <t>794281274</t>
  </si>
  <si>
    <t>PG3326 U5 2011</t>
  </si>
  <si>
    <t>0                      PG 3326000U  5           2011</t>
  </si>
  <si>
    <t>The insulted and injured / Fyodor Dostoevsky ; translated by Boris Jakim ; [introduction by James P. Scanlan].</t>
  </si>
  <si>
    <t>Grand Rapids, Michigan : William B. Eerdmans Publishing Company, [2011]</t>
  </si>
  <si>
    <t>701328644</t>
  </si>
  <si>
    <t>ocn701328644</t>
  </si>
  <si>
    <t>3103362566Z</t>
  </si>
  <si>
    <t>9780802825902</t>
  </si>
  <si>
    <t>794862849</t>
  </si>
  <si>
    <t>PG3326 V5 2007</t>
  </si>
  <si>
    <t>0                      PG 3326000V  5           2007</t>
  </si>
  <si>
    <t>The eternal husband / Fyodor Dostoevsky ; translated by Hugh Aplin ; [foreword by Andrew Miller].</t>
  </si>
  <si>
    <t>London : Hesperus, 2007.</t>
  </si>
  <si>
    <t>2830220938:eng</t>
  </si>
  <si>
    <t>148314132</t>
  </si>
  <si>
    <t>ocn148314132</t>
  </si>
  <si>
    <t>3102574055Y</t>
  </si>
  <si>
    <t>9781843911630</t>
  </si>
  <si>
    <t>794240700</t>
  </si>
  <si>
    <t>PG3326 Z3 1915</t>
  </si>
  <si>
    <t>0                      PG 3326000Z  3           1915</t>
  </si>
  <si>
    <t>The house of the dead; a novel in two parts by Fyodor Dostoevsky, from the Russian by Constance Garnett.</t>
  </si>
  <si>
    <t>London, Heinemann [1915]</t>
  </si>
  <si>
    <t>1915</t>
  </si>
  <si>
    <t>The novels of Fyodor Dostoevsky. vol. v</t>
  </si>
  <si>
    <t>2017-02-10</t>
  </si>
  <si>
    <t>2558932685:eng</t>
  </si>
  <si>
    <t>795428</t>
  </si>
  <si>
    <t>ocm00795428</t>
  </si>
  <si>
    <t>31029313144</t>
  </si>
  <si>
    <t>9780434204069</t>
  </si>
  <si>
    <t>791471697</t>
  </si>
  <si>
    <t>3102809478F</t>
  </si>
  <si>
    <t>791471698</t>
  </si>
  <si>
    <t>PG3326 Z3 1965</t>
  </si>
  <si>
    <t>0                      PG 3326000Z  3           1965</t>
  </si>
  <si>
    <t>Memoirs from the house of the dead [by] F.M. Dostoevsky. Translated with a pref. by Jessie Coulson.</t>
  </si>
  <si>
    <t>London, New York, Oxford University Press, 1965.</t>
  </si>
  <si>
    <t>The World's classics, 597</t>
  </si>
  <si>
    <t>319683</t>
  </si>
  <si>
    <t>ocm00319683</t>
  </si>
  <si>
    <t>3102931376T</t>
  </si>
  <si>
    <t>791335617</t>
  </si>
  <si>
    <t>PG3326 Z3 1983</t>
  </si>
  <si>
    <t>0                      PG 3326000Z  3           1983</t>
  </si>
  <si>
    <t>Memoirs from the house of the dead / Fedor Dostoevsky ; translated by Jessie Coulson ; edited by Ronald Hingley.</t>
  </si>
  <si>
    <t>Oxford ; New York : Oxford University Press, 1983.</t>
  </si>
  <si>
    <t>2019-01-04</t>
  </si>
  <si>
    <t>8763544</t>
  </si>
  <si>
    <t>ocm08763544</t>
  </si>
  <si>
    <t>31029313096</t>
  </si>
  <si>
    <t>9780192816139</t>
  </si>
  <si>
    <t>792639451</t>
  </si>
  <si>
    <t>PG3326 Z3 1985</t>
  </si>
  <si>
    <t>0                      PG 3326000Z  3           1985</t>
  </si>
  <si>
    <t>The house of the dead / Fyodor Dostoyevsky ; translated with an introduction by David McDuff.</t>
  </si>
  <si>
    <t>Harmondsworth, Middlesex, England ; New York, N.Y., U.S.A. : Penguin Books, 1985.</t>
  </si>
  <si>
    <t>2019-09-04</t>
  </si>
  <si>
    <t>13161867</t>
  </si>
  <si>
    <t>ocm13161867</t>
  </si>
  <si>
    <t>3103349644I</t>
  </si>
  <si>
    <t>9780140444568</t>
  </si>
  <si>
    <t>792843287</t>
  </si>
  <si>
    <t>PG3326 Z3 2015</t>
  </si>
  <si>
    <t>0                      PG 3326000Z  3           2015</t>
  </si>
  <si>
    <t>Notes from a dead house / Fyodor Dostoevsky ; translated by Richard Pevear &amp; Larissa Volokhonsky.</t>
  </si>
  <si>
    <t>New York : Alfred A. Knopf, 2015.</t>
  </si>
  <si>
    <t>2018-05-08</t>
  </si>
  <si>
    <t>880521064</t>
  </si>
  <si>
    <t>ocn880521064</t>
  </si>
  <si>
    <t>3103610310E</t>
  </si>
  <si>
    <t>9780307959591</t>
  </si>
  <si>
    <t>794973083</t>
  </si>
  <si>
    <t>PG3326 Z4 1960</t>
  </si>
  <si>
    <t>0                      PG 3326000Z  4           1960</t>
  </si>
  <si>
    <t>Notes from underground : and the grand inquisitor / by Fyodor Dostoevsky ; with relevant works by Chernyshevsky, Shchedrin, and Dostoevsky. Selection, translation, and introd. by Ralph E. Matlaw.</t>
  </si>
  <si>
    <t>New York : E.P. Dutton, [1960]</t>
  </si>
  <si>
    <t>Dutton paperback ; D50</t>
  </si>
  <si>
    <t>2008-11-16</t>
  </si>
  <si>
    <t>2016-10-11</t>
  </si>
  <si>
    <t>4923502045:eng</t>
  </si>
  <si>
    <t>319680</t>
  </si>
  <si>
    <t>ocm00319680</t>
  </si>
  <si>
    <t>31029313086</t>
  </si>
  <si>
    <t>9780525470502</t>
  </si>
  <si>
    <t>791335614</t>
  </si>
  <si>
    <t>3000514180M</t>
  </si>
  <si>
    <t>791335612</t>
  </si>
  <si>
    <t>31029313134</t>
  </si>
  <si>
    <t>791335615</t>
  </si>
  <si>
    <t>2010-03-22</t>
  </si>
  <si>
    <t>31029313184</t>
  </si>
  <si>
    <t>791335613</t>
  </si>
  <si>
    <t>PG3326 Z4 1969</t>
  </si>
  <si>
    <t>0                      PG 3326000Z  4           1969</t>
  </si>
  <si>
    <t>Notes from underground / by Fyodor Dostoevsky ; edited with an Introduction by Robert G. Durgy ; translated by Serge Shishkoff.</t>
  </si>
  <si>
    <t>New York : T.Y. Crowell Co., ©1969.</t>
  </si>
  <si>
    <t>The Crowell critical library</t>
  </si>
  <si>
    <t>2018-12-13</t>
  </si>
  <si>
    <t>2019-09-15</t>
  </si>
  <si>
    <t>3374170717:eng</t>
  </si>
  <si>
    <t>68359</t>
  </si>
  <si>
    <t>ocm00068359</t>
  </si>
  <si>
    <t>3102981220H</t>
  </si>
  <si>
    <t>9780690588217</t>
  </si>
  <si>
    <t>791245262</t>
  </si>
  <si>
    <t>31029313232</t>
  </si>
  <si>
    <t>791245263</t>
  </si>
  <si>
    <t>PG3326 Z4 1989</t>
  </si>
  <si>
    <t>0                      PG 3326000Z  4           1989</t>
  </si>
  <si>
    <t>Notes from underground : a new translation, backgrounds and sources, responses, criticism / Fyodor Dostoevsky ; translated and edited by Michael R. Katz.</t>
  </si>
  <si>
    <t>New York : Norton, ©1989.</t>
  </si>
  <si>
    <t>4494977289:eng</t>
  </si>
  <si>
    <t>17439479</t>
  </si>
  <si>
    <t>ocm17439479</t>
  </si>
  <si>
    <t>31029313282</t>
  </si>
  <si>
    <t>9780393957440</t>
  </si>
  <si>
    <t>792991232</t>
  </si>
  <si>
    <t>CVB928184-10</t>
  </si>
  <si>
    <t>792991233</t>
  </si>
  <si>
    <t>PG3326 Z4 1993</t>
  </si>
  <si>
    <t>0                      PG 3326000Z  4           1993</t>
  </si>
  <si>
    <t>Notes from underground / Fyodor Dostoevsky ; translated and annotated by Richard Pevear and Larissa Volokhonsky.</t>
  </si>
  <si>
    <t>New York : Alfred A. Knopf, 1993.</t>
  </si>
  <si>
    <t>26586767</t>
  </si>
  <si>
    <t>ocm26586767</t>
  </si>
  <si>
    <t>3103592937U</t>
  </si>
  <si>
    <t>9780679734529</t>
  </si>
  <si>
    <t>793247467</t>
  </si>
  <si>
    <t>PG3326 Z4 2004</t>
  </si>
  <si>
    <t>0                      PG 3326000Z  4           2004</t>
  </si>
  <si>
    <t>Notes from underground / Fyodor Dostoevsky ; translated from the Russian by Richard Pevear and Larissa Volkhonsky [sic] ; with an introduction by Richard Pevear.</t>
  </si>
  <si>
    <t>New York : Alfred A. Knopf, 2004.</t>
  </si>
  <si>
    <t>Everyman's library ; 271</t>
  </si>
  <si>
    <t>8909458242:eng</t>
  </si>
  <si>
    <t>53059249</t>
  </si>
  <si>
    <t>ocm53059249</t>
  </si>
  <si>
    <t>31029313330</t>
  </si>
  <si>
    <t>9781400041916</t>
  </si>
  <si>
    <t>793820435</t>
  </si>
  <si>
    <t>PG3326 Z4 2006</t>
  </si>
  <si>
    <t>0                      PG 3326000Z  4           2006</t>
  </si>
  <si>
    <t>Notes from the underground / Fyodor Dostoevsky ; translated by Hugh Aplin.</t>
  </si>
  <si>
    <t>London : Hesperus, 2006.</t>
  </si>
  <si>
    <t>4474738138:eng</t>
  </si>
  <si>
    <t>64746545</t>
  </si>
  <si>
    <t>ocm64746545</t>
  </si>
  <si>
    <t>3102566475F</t>
  </si>
  <si>
    <t>9781843911265</t>
  </si>
  <si>
    <t>794131611</t>
  </si>
  <si>
    <t>PG3326 Z4 2010</t>
  </si>
  <si>
    <t>0                      PG 3326000Z  4           2010</t>
  </si>
  <si>
    <t>Notes from underground / Fyodor Dostoyevsky ; translated by Kyril Zinovieff and Jenny Hughes.</t>
  </si>
  <si>
    <t>2019-02-12</t>
  </si>
  <si>
    <t>688230716</t>
  </si>
  <si>
    <t>ocn688230716</t>
  </si>
  <si>
    <t>3103345014L</t>
  </si>
  <si>
    <t>9781847491619</t>
  </si>
  <si>
    <t>794854236</t>
  </si>
  <si>
    <t>PG3326 Z413 2001</t>
  </si>
  <si>
    <t>0                      PG 3326000Z  413         2001</t>
  </si>
  <si>
    <t>Notes from underground : an authoritative translation, backgrounds and sources, responses, criticism / Fyodor Dostoevsky ; translated and edited by Michael R. Katz.</t>
  </si>
  <si>
    <t>New York : Norton, 2001.</t>
  </si>
  <si>
    <t>Norton critical edition</t>
  </si>
  <si>
    <t>2019-04-03</t>
  </si>
  <si>
    <t>43885842</t>
  </si>
  <si>
    <t>ocm43885842</t>
  </si>
  <si>
    <t>3102542883R</t>
  </si>
  <si>
    <t>9780393976120</t>
  </si>
  <si>
    <t>793637769</t>
  </si>
  <si>
    <t>3102734609Y</t>
  </si>
  <si>
    <t>793637771</t>
  </si>
  <si>
    <t>2006-08-30</t>
  </si>
  <si>
    <t>3102542878T</t>
  </si>
  <si>
    <t>793637770</t>
  </si>
  <si>
    <t>PG3327 F5 B7 2002</t>
  </si>
  <si>
    <t>0                      PG 3327000F  5                  B  7           2002</t>
  </si>
  <si>
    <t>Les frères Karamazov / Fédor Dostoïevski ; roman traduit du russe par André Markowicz.</t>
  </si>
  <si>
    <t>Dostoïevski, Fiodor Mikhaïlovitch, 1821-1881.</t>
  </si>
  <si>
    <t>Arles [France] : Actes sud, 2002.</t>
  </si>
  <si>
    <t>Babel ; 526-527</t>
  </si>
  <si>
    <t>3373830413:fre</t>
  </si>
  <si>
    <t>51736754</t>
  </si>
  <si>
    <t>ocm51736754</t>
  </si>
  <si>
    <t>3102798563G</t>
  </si>
  <si>
    <t>9782742737031</t>
  </si>
  <si>
    <t>793789945</t>
  </si>
  <si>
    <t>PG3327 F5 I3 2001</t>
  </si>
  <si>
    <t>0                      PG 3327000F  5                  I  3           2001</t>
  </si>
  <si>
    <t>L'idiot / Fédor Dostoïevski ; roman traduit du russe par André Markowicz ; avant-propos du traducteur ; lecture de Michel Guérin.</t>
  </si>
  <si>
    <t>Arles [France] : Acte Sud ; [Montréal] : Leméac, 2001.</t>
  </si>
  <si>
    <t>Babel ; 71-72</t>
  </si>
  <si>
    <t>2019-08-26</t>
  </si>
  <si>
    <t>4714472874:fre</t>
  </si>
  <si>
    <t>253946836</t>
  </si>
  <si>
    <t>ocn253946836</t>
  </si>
  <si>
    <t>31028284975</t>
  </si>
  <si>
    <t>9782742700080</t>
  </si>
  <si>
    <t>794397697</t>
  </si>
  <si>
    <t>3102828502K</t>
  </si>
  <si>
    <t>794397696</t>
  </si>
  <si>
    <t>PG3327 F5 P4 2001</t>
  </si>
  <si>
    <t>0                      PG 3327000F  5                  P  4           2001</t>
  </si>
  <si>
    <t>Les annales de Pétersbourg / Fédor Dostoïevski ; chroniques traduites du russe par André Markowicz.</t>
  </si>
  <si>
    <t>Arles [France] : Actes sud, 2001.</t>
  </si>
  <si>
    <t>Babel ; 474</t>
  </si>
  <si>
    <t>2019-05-28</t>
  </si>
  <si>
    <t>1045022011:fre</t>
  </si>
  <si>
    <t>49844857</t>
  </si>
  <si>
    <t>ocm49844857</t>
  </si>
  <si>
    <t>31029313076</t>
  </si>
  <si>
    <t>9782760922334</t>
  </si>
  <si>
    <t>793749074</t>
  </si>
  <si>
    <t>PG3327 F5 P5 1998</t>
  </si>
  <si>
    <t>0                      PG 3327000F  5                  P  5           1998</t>
  </si>
  <si>
    <t>L'adolescent / Fédor Dostoïevski ; roman traduit du russe par André Markowicz.</t>
  </si>
  <si>
    <t>Arles [France] : Actes Sud ; [Montréal] : Leméac, 1998.</t>
  </si>
  <si>
    <t>Babel ; 305-306</t>
  </si>
  <si>
    <t>2019-02-09</t>
  </si>
  <si>
    <t>8908689004:fre</t>
  </si>
  <si>
    <t>39369065</t>
  </si>
  <si>
    <t>ocm39369065</t>
  </si>
  <si>
    <t>31029313026</t>
  </si>
  <si>
    <t>9782742714551</t>
  </si>
  <si>
    <t>793544931</t>
  </si>
  <si>
    <t>3102931366V</t>
  </si>
  <si>
    <t>793544930</t>
  </si>
  <si>
    <t>PG3327 F5 R6 2000</t>
  </si>
  <si>
    <t>0                      PG 3327000F  5                  R  6           2000</t>
  </si>
  <si>
    <t>Premières miniatures / Fédor Dostoïevski ; nouvelles traduites du russe par André Markowicz.</t>
  </si>
  <si>
    <t>Arles [France] : Actes Sud, 2000.</t>
  </si>
  <si>
    <t>Babel ; 455</t>
  </si>
  <si>
    <t>890146414:fre</t>
  </si>
  <si>
    <t>46704126</t>
  </si>
  <si>
    <t>ocm46704126</t>
  </si>
  <si>
    <t>31029314101</t>
  </si>
  <si>
    <t>9782742730629</t>
  </si>
  <si>
    <t>793689987</t>
  </si>
  <si>
    <t>PG3327 F5 V5 1997</t>
  </si>
  <si>
    <t>0                      PG 3327000F  5                  V  5           1997</t>
  </si>
  <si>
    <t>L'éternel mari / Fédor Dostoïevski ; roman traduit du russe par André Markowicz.</t>
  </si>
  <si>
    <t>Arles [France] : Actes Sud ; [Montréal] : Leméac, 1997.</t>
  </si>
  <si>
    <t>Babel ; 277</t>
  </si>
  <si>
    <t>2019-02-19</t>
  </si>
  <si>
    <t>10177942067:fre</t>
  </si>
  <si>
    <t>38105555</t>
  </si>
  <si>
    <t>ocm38105555</t>
  </si>
  <si>
    <t>3102931429$</t>
  </si>
  <si>
    <t>9782742712854</t>
  </si>
  <si>
    <t>793515660</t>
  </si>
  <si>
    <t>PG3327 F5 Z3 1999</t>
  </si>
  <si>
    <t>0                      PG 3327000F  5                  Z  3           1999</t>
  </si>
  <si>
    <t>Les carnets de la maison morte / Fédor Dostoïevski ; traduit du russe par André Markowicz.</t>
  </si>
  <si>
    <t>Arles [France] : Actes Sud ; [Montréal] : Leméac, 1999.</t>
  </si>
  <si>
    <t>Babel ; 365</t>
  </si>
  <si>
    <t>2017-11-04</t>
  </si>
  <si>
    <t>4549904088:fre</t>
  </si>
  <si>
    <t>43275879</t>
  </si>
  <si>
    <t>ocm43275879</t>
  </si>
  <si>
    <t>3103706551Z</t>
  </si>
  <si>
    <t>9782742720712</t>
  </si>
  <si>
    <t>793622687</t>
  </si>
  <si>
    <t>PG3327 F5 Z4 1998</t>
  </si>
  <si>
    <t>0                      PG 3327000F  5                  Z  4           1998</t>
  </si>
  <si>
    <t>Les carnets du sous-sol / Fédor Dostoïevski ; traduction d'André Markowicz ; lecture de Francis Marmande.</t>
  </si>
  <si>
    <t>Arles [France] : Actes Sud ; [Montréal] : Leméac, 1998, c1992.</t>
  </si>
  <si>
    <t>Babel ; 40</t>
  </si>
  <si>
    <t>8909024081:fre</t>
  </si>
  <si>
    <t>43730185</t>
  </si>
  <si>
    <t>ocm43730185</t>
  </si>
  <si>
    <t>31029314191</t>
  </si>
  <si>
    <t>9782868697998</t>
  </si>
  <si>
    <t>793633667</t>
  </si>
  <si>
    <t>PG3327.9 O27 2011</t>
  </si>
  <si>
    <t>0                      PG 3327900O  27          2011</t>
  </si>
  <si>
    <t>Obrazy Dostoevskogo v knizhnoĭ illi︠u︡strat︠s︡ii i stankovoĭ grafike / avtory-sostaviteli N. Ashimbaeva, L. Miller, B. Tikhomirov.</t>
  </si>
  <si>
    <t>Sankt-Peterburg : "Kuznechnyĭ pereulok", 2011.</t>
  </si>
  <si>
    <t>2070452091:rus</t>
  </si>
  <si>
    <t>797971448</t>
  </si>
  <si>
    <t>ocn797971448</t>
  </si>
  <si>
    <t>3103440335M</t>
  </si>
  <si>
    <t>9785990135321</t>
  </si>
  <si>
    <t>794922927</t>
  </si>
  <si>
    <t>PG3328 A09 L36 2004</t>
  </si>
  <si>
    <t>0                      PG 3328000A  09                 L  36          2004</t>
  </si>
  <si>
    <t>The Dostoevsky encyclopedia / Kenneth Lantz.</t>
  </si>
  <si>
    <t>Lantz, K. A.</t>
  </si>
  <si>
    <t>Westport, Conn. : Greenwood Press, 2004.</t>
  </si>
  <si>
    <t>12723237:eng</t>
  </si>
  <si>
    <t>54414877</t>
  </si>
  <si>
    <t>ocm54414877</t>
  </si>
  <si>
    <t>3102801886X</t>
  </si>
  <si>
    <t>9780313303845</t>
  </si>
  <si>
    <t>793861276</t>
  </si>
  <si>
    <t>PG3328 A1513</t>
  </si>
  <si>
    <t>0                      PG 3328000A  1513</t>
  </si>
  <si>
    <t>The unpublished Dostoevsky: Diaries and notebooks (1860-81) / General editor, Carl R. Proffer. With an introd. by Robert L. Belknap. Translated by T.S. Berczynski [and others].</t>
  </si>
  <si>
    <t>Ann Arbor, Ardis [©1973-76]</t>
  </si>
  <si>
    <t>3768394091:eng</t>
  </si>
  <si>
    <t>1253787</t>
  </si>
  <si>
    <t>ocm01253787</t>
  </si>
  <si>
    <t>3102931392P</t>
  </si>
  <si>
    <t>9780882330167</t>
  </si>
  <si>
    <t>791584285</t>
  </si>
  <si>
    <t>3102931387R</t>
  </si>
  <si>
    <t>791584286</t>
  </si>
  <si>
    <t>3102931397P</t>
  </si>
  <si>
    <t>791584284</t>
  </si>
  <si>
    <t>PG3328 A3 M27 1987</t>
  </si>
  <si>
    <t>0                      PG 3328000A  3                  M  27          1987</t>
  </si>
  <si>
    <t>Selected letters of Fyodor Dostoyevsky / edited by Joseph Frank and David I. Goldstein ; Andrew R. MacAndrew, translator.</t>
  </si>
  <si>
    <t>New Brunswick : Rutgers University Press, ©1987.</t>
  </si>
  <si>
    <t>232539236:eng</t>
  </si>
  <si>
    <t>13329681</t>
  </si>
  <si>
    <t>ocm13329681</t>
  </si>
  <si>
    <t>3102931351X</t>
  </si>
  <si>
    <t>9780813511856</t>
  </si>
  <si>
    <t>792848562</t>
  </si>
  <si>
    <t>PG3328 B42 1936</t>
  </si>
  <si>
    <t>0                      PG 3328000B  42          1936</t>
  </si>
  <si>
    <t>Dostoievsky : an interpretation / by Nicholas Berdyaev ; translated by Donald Attwater.</t>
  </si>
  <si>
    <t>Berdi︠a︡ev, Nikolaĭ, 1874-1948.</t>
  </si>
  <si>
    <t>London : Sheed &amp; Ward, 1936, ©1934.</t>
  </si>
  <si>
    <t>4575216500:eng</t>
  </si>
  <si>
    <t>254654312</t>
  </si>
  <si>
    <t>ocn254654312</t>
  </si>
  <si>
    <t>3102931375T</t>
  </si>
  <si>
    <t>794398580</t>
  </si>
  <si>
    <t>PG3328 B42 1957</t>
  </si>
  <si>
    <t>0                      PG 3328000B  42          1957</t>
  </si>
  <si>
    <t>Dostoevsky / by Nicholas Berdyaev ; translated by Donald Attwater.</t>
  </si>
  <si>
    <t>Cleveland ; New York : Meridian Books, 1957.</t>
  </si>
  <si>
    <t>Living age books ; LA15</t>
  </si>
  <si>
    <t>170612</t>
  </si>
  <si>
    <t>ocm00170612</t>
  </si>
  <si>
    <t>3103586559$</t>
  </si>
  <si>
    <t>791279907</t>
  </si>
  <si>
    <t>PG3328 B576 2012</t>
  </si>
  <si>
    <t>0                      PG 3328000B  576         2012</t>
  </si>
  <si>
    <t>Fyodor Dostoevsky / Robert Bird.</t>
  </si>
  <si>
    <t>Bird, Robert, 1969-</t>
  </si>
  <si>
    <t>London : Reaktion Books, 2012.</t>
  </si>
  <si>
    <t>Critical lives</t>
  </si>
  <si>
    <t>1020505386:eng</t>
  </si>
  <si>
    <t>756282635</t>
  </si>
  <si>
    <t>ocn756282635</t>
  </si>
  <si>
    <t>3103430718J</t>
  </si>
  <si>
    <t>9781861899002</t>
  </si>
  <si>
    <t>794894445</t>
  </si>
  <si>
    <t>PG3328 B74 1989</t>
  </si>
  <si>
    <t>0                      PG 3328000B  74          1989</t>
  </si>
  <si>
    <t>Dostoevsky : the author as psychoanalyst / Louis Breger.</t>
  </si>
  <si>
    <t>Breger, Louis, 1931-</t>
  </si>
  <si>
    <t>New York : New York University Press, ©1989.</t>
  </si>
  <si>
    <t>2016-12-20</t>
  </si>
  <si>
    <t>836708897:eng</t>
  </si>
  <si>
    <t>19888346</t>
  </si>
  <si>
    <t>ocm19888346</t>
  </si>
  <si>
    <t>3102931373T</t>
  </si>
  <si>
    <t>9780814711125</t>
  </si>
  <si>
    <t>793071547</t>
  </si>
  <si>
    <t>PG3328 D62</t>
  </si>
  <si>
    <t>0                      PG 3328000D  62</t>
  </si>
  <si>
    <t>The diary of Dostoyevsky's wife, edited by René Fülöp-Miller &amp; Dr. Fr. Eckstein; translated from the German edition by Madge Pemberton.</t>
  </si>
  <si>
    <t>Dostoevskai︠a︡, Anna Grigorʹevna Snitkina, 1846-1918.</t>
  </si>
  <si>
    <t>New York, Macmillan Co., 1928.</t>
  </si>
  <si>
    <t>1928</t>
  </si>
  <si>
    <t>1727190:eng</t>
  </si>
  <si>
    <t>675198</t>
  </si>
  <si>
    <t>ocm00675198</t>
  </si>
  <si>
    <t>3102931359X</t>
  </si>
  <si>
    <t>791443510</t>
  </si>
  <si>
    <t>PG3328 D642 1972</t>
  </si>
  <si>
    <t>0                      PG 3328000D  642         1972</t>
  </si>
  <si>
    <t>Dostoevskiĭ--khudozhnik i myslitelʹ. Sbornik stateĭ. / [Red. kollegii︠a︡: ... K.N. Lomunov (otv. red.) i dr.].</t>
  </si>
  <si>
    <t>Moskva : "Khudozh. lit., ", 1972.</t>
  </si>
  <si>
    <t>3856705999:rus</t>
  </si>
  <si>
    <t>2479598</t>
  </si>
  <si>
    <t>ocm02479598</t>
  </si>
  <si>
    <t>3103251207Y</t>
  </si>
  <si>
    <t>792133230</t>
  </si>
  <si>
    <t>PG3328 D644</t>
  </si>
  <si>
    <t>0                      PG 3328000D  644</t>
  </si>
  <si>
    <t>Dostoïevski.</t>
  </si>
  <si>
    <t>[Paris], [Éditions de l'Herne], [1973]</t>
  </si>
  <si>
    <t>L'Herne ; no. 24. Série slave</t>
  </si>
  <si>
    <t>2018-08-26</t>
  </si>
  <si>
    <t>9350271312:fre</t>
  </si>
  <si>
    <t>985797</t>
  </si>
  <si>
    <t>ocm00985797</t>
  </si>
  <si>
    <t>3102931349Z</t>
  </si>
  <si>
    <t>791518747</t>
  </si>
  <si>
    <t>PG3328 D75 1974</t>
  </si>
  <si>
    <t>0                      PG 3328000D  75          1974</t>
  </si>
  <si>
    <t>Dostoevskiĭ. Materialy i issledovanii︠a︡. [Sbornik. Red. kollegii︠a︡: V.G. Bazanov (gl. red.) i dr.].</t>
  </si>
  <si>
    <t>Vyp. 6</t>
  </si>
  <si>
    <t>Leningrad, "Nauka, " Leningr. otd-nie, 1974-&lt;1988&gt;</t>
  </si>
  <si>
    <t>2011-11-02</t>
  </si>
  <si>
    <t>2016-01-19</t>
  </si>
  <si>
    <t>3893490809:eng</t>
  </si>
  <si>
    <t>1119075</t>
  </si>
  <si>
    <t>ocm01119075</t>
  </si>
  <si>
    <t>31033695901</t>
  </si>
  <si>
    <t>9785020285071</t>
  </si>
  <si>
    <t>791550705</t>
  </si>
  <si>
    <t>Vyp. 18</t>
  </si>
  <si>
    <t>3103041919S</t>
  </si>
  <si>
    <t>791550696</t>
  </si>
  <si>
    <t>vyp.7</t>
  </si>
  <si>
    <t>31033724490</t>
  </si>
  <si>
    <t>791550704</t>
  </si>
  <si>
    <t>vyp.3</t>
  </si>
  <si>
    <t>31033695883</t>
  </si>
  <si>
    <t>791550708</t>
  </si>
  <si>
    <t>Vyp.15</t>
  </si>
  <si>
    <t>3103254853V</t>
  </si>
  <si>
    <t>791550699</t>
  </si>
  <si>
    <t>Vyp. 17</t>
  </si>
  <si>
    <t>3103041924Q</t>
  </si>
  <si>
    <t>791550697</t>
  </si>
  <si>
    <t>vyp.11</t>
  </si>
  <si>
    <t>31033938667</t>
  </si>
  <si>
    <t>791550701</t>
  </si>
  <si>
    <t>vyp.8</t>
  </si>
  <si>
    <t>B001440174</t>
  </si>
  <si>
    <t>791550703</t>
  </si>
  <si>
    <t>vyp.5</t>
  </si>
  <si>
    <t>31026693466</t>
  </si>
  <si>
    <t>791550706</t>
  </si>
  <si>
    <t>Vyp.16</t>
  </si>
  <si>
    <t>3103254848X</t>
  </si>
  <si>
    <t>791550698</t>
  </si>
  <si>
    <t>Vyp. 19</t>
  </si>
  <si>
    <t>2012-04-11</t>
  </si>
  <si>
    <t>3103317929$</t>
  </si>
  <si>
    <t>791550695</t>
  </si>
  <si>
    <t>Vyp.13</t>
  </si>
  <si>
    <t>3103254858V</t>
  </si>
  <si>
    <t>791550700</t>
  </si>
  <si>
    <t>Vyp. 1</t>
  </si>
  <si>
    <t>2012-09-28</t>
  </si>
  <si>
    <t>3102931428$</t>
  </si>
  <si>
    <t>791550709</t>
  </si>
  <si>
    <t>Vyp. 4</t>
  </si>
  <si>
    <t>31033695893</t>
  </si>
  <si>
    <t>791550707</t>
  </si>
  <si>
    <t>vyp.9</t>
  </si>
  <si>
    <t>3103372466X</t>
  </si>
  <si>
    <t>791550702</t>
  </si>
  <si>
    <t>PG3328 F678 2002</t>
  </si>
  <si>
    <t>0                      PG 3328000F  678         2002</t>
  </si>
  <si>
    <t>Dostoevsky. The mantle of the prophet, 1871-1881 / Joseph Frank.</t>
  </si>
  <si>
    <t>Princeton, N.J. : Princeton University Press, 2002.</t>
  </si>
  <si>
    <t>2015-10-29</t>
  </si>
  <si>
    <t>196634924:eng</t>
  </si>
  <si>
    <t>47797661</t>
  </si>
  <si>
    <t>ocm47797661</t>
  </si>
  <si>
    <t>3102931460S</t>
  </si>
  <si>
    <t>9780691086651</t>
  </si>
  <si>
    <t>793708193</t>
  </si>
  <si>
    <t>PG3328 F68 1995</t>
  </si>
  <si>
    <t>0                      PG 3328000F  68          1995</t>
  </si>
  <si>
    <t>Dostoevsky. The miraculous years, 1865-1871 / Joseph Frank.</t>
  </si>
  <si>
    <t>Frank, Joseph, 1918-2013, author.</t>
  </si>
  <si>
    <t>Princeton, New Jersey : Princeton University Press, [1995]</t>
  </si>
  <si>
    <t>2018-03-28</t>
  </si>
  <si>
    <t>370458504:eng</t>
  </si>
  <si>
    <t>31515787</t>
  </si>
  <si>
    <t>ocm31515787</t>
  </si>
  <si>
    <t>3102800151R</t>
  </si>
  <si>
    <t>9780691043647</t>
  </si>
  <si>
    <t>793362952</t>
  </si>
  <si>
    <t>PG3328 F7</t>
  </si>
  <si>
    <t>0                      PG 3328000F  7</t>
  </si>
  <si>
    <t>Dostoevsky. The seeds of revolt, 1821-1849 / Joseph Frank.</t>
  </si>
  <si>
    <t>Princeton, N.J. : Princeton University Press, ©1976.</t>
  </si>
  <si>
    <t>2017-05-31</t>
  </si>
  <si>
    <t>2452445133:eng</t>
  </si>
  <si>
    <t>2072723</t>
  </si>
  <si>
    <t>ocm02072723</t>
  </si>
  <si>
    <t>3102931436Y</t>
  </si>
  <si>
    <t>9780691062600</t>
  </si>
  <si>
    <t>792040092</t>
  </si>
  <si>
    <t>2011-02-28</t>
  </si>
  <si>
    <t>3102931446W</t>
  </si>
  <si>
    <t>792040093</t>
  </si>
  <si>
    <t>PG3328 F73 1986</t>
  </si>
  <si>
    <t>0                      PG 3328000F  73          1986</t>
  </si>
  <si>
    <t>Dostoevsky. The stir of liberation, 1860-1865 / Joseph Frank.</t>
  </si>
  <si>
    <t>Princeton, N.J. : Princeton University Press, ©1986.</t>
  </si>
  <si>
    <t>2018-01-22</t>
  </si>
  <si>
    <t>3768482240:eng</t>
  </si>
  <si>
    <t>13064549</t>
  </si>
  <si>
    <t>ocm13064549</t>
  </si>
  <si>
    <t>3103143184O</t>
  </si>
  <si>
    <t>9780691066523</t>
  </si>
  <si>
    <t>792839003</t>
  </si>
  <si>
    <t>3102810310O</t>
  </si>
  <si>
    <t>792839004</t>
  </si>
  <si>
    <t>PG3328 F74 1983</t>
  </si>
  <si>
    <t>0                      PG 3328000F  74          1983</t>
  </si>
  <si>
    <t>Dostoevsky. The years of ordeal, 1850-1859 / Joseph Frank.</t>
  </si>
  <si>
    <t>Princeton, N.J. : Princeton University Press, ©1983.</t>
  </si>
  <si>
    <t>2017-06-28</t>
  </si>
  <si>
    <t>2564781266:eng</t>
  </si>
  <si>
    <t>9619929</t>
  </si>
  <si>
    <t>ocm09619929</t>
  </si>
  <si>
    <t>3102931441W</t>
  </si>
  <si>
    <t>9780691065762</t>
  </si>
  <si>
    <t>792685104</t>
  </si>
  <si>
    <t>2010-05-09</t>
  </si>
  <si>
    <t>3102931455U</t>
  </si>
  <si>
    <t>792685105</t>
  </si>
  <si>
    <t>PG3328 G52 1949</t>
  </si>
  <si>
    <t>0                      PG 3328000G  52          1949</t>
  </si>
  <si>
    <t>Dostoevsky. With an introd. by Arnold Bennett.</t>
  </si>
  <si>
    <t>Gide, André, 1869-1951.</t>
  </si>
  <si>
    <t>Norfolk, Conn., New Directions Books [1949]</t>
  </si>
  <si>
    <t>[New ed., reset].</t>
  </si>
  <si>
    <t>2015-01-16</t>
  </si>
  <si>
    <t>4159845278:eng</t>
  </si>
  <si>
    <t>689834</t>
  </si>
  <si>
    <t>ocm00689834</t>
  </si>
  <si>
    <t>3103251154R</t>
  </si>
  <si>
    <t>791446869</t>
  </si>
  <si>
    <t>PG3328 H646 1992</t>
  </si>
  <si>
    <t>0                      PG 3328000H  646         1992</t>
  </si>
  <si>
    <t>Holy foolishness : Dostoevsky's novels &amp; the poetics of cultural critique / Harriet Murav.</t>
  </si>
  <si>
    <t>Murav, Harriet, 1955-</t>
  </si>
  <si>
    <t>Stanford : Stanford University Press, 1992.</t>
  </si>
  <si>
    <t>197507226:eng</t>
  </si>
  <si>
    <t>26363563</t>
  </si>
  <si>
    <t>ocm26363563</t>
  </si>
  <si>
    <t>3102931454U</t>
  </si>
  <si>
    <t>9780804720595</t>
  </si>
  <si>
    <t>793243289</t>
  </si>
  <si>
    <t>PG3328 L44</t>
  </si>
  <si>
    <t>0                      PG 3328000L  44</t>
  </si>
  <si>
    <t>Feodor Dostoieffsky : a great Russian realist / by J.A.T. Lloyd.</t>
  </si>
  <si>
    <t>Lloyd, J. A. T. (John Arthur Thomas), 1870-1956.</t>
  </si>
  <si>
    <t>The Essex library</t>
  </si>
  <si>
    <t>2016-07-15</t>
  </si>
  <si>
    <t>475758243:eng</t>
  </si>
  <si>
    <t>427569873</t>
  </si>
  <si>
    <t>ocn427569873</t>
  </si>
  <si>
    <t>3102931468S</t>
  </si>
  <si>
    <t>794690861</t>
  </si>
  <si>
    <t>PG3328 L6 1970</t>
  </si>
  <si>
    <t>0                      PG 3328000L  6           1970</t>
  </si>
  <si>
    <t>Dostoevsky: essays and perspectives.</t>
  </si>
  <si>
    <t>Lord, Robert, 1931-</t>
  </si>
  <si>
    <t>London, Chatto &amp; Windus, 1970.</t>
  </si>
  <si>
    <t>2003-12-03</t>
  </si>
  <si>
    <t>1244856:eng</t>
  </si>
  <si>
    <t>97439</t>
  </si>
  <si>
    <t>ocm00097439</t>
  </si>
  <si>
    <t>3102931458U</t>
  </si>
  <si>
    <t>9780701115326</t>
  </si>
  <si>
    <t>791255493</t>
  </si>
  <si>
    <t>2012-09-17</t>
  </si>
  <si>
    <t>3102931448W</t>
  </si>
  <si>
    <t>791255491</t>
  </si>
  <si>
    <t>3102931453U</t>
  </si>
  <si>
    <t>791255492</t>
  </si>
  <si>
    <t>PG3328 M6 1947</t>
  </si>
  <si>
    <t>0                      PG 3328000M  6           1947</t>
  </si>
  <si>
    <t>Dostoevskiĭ : zhiznʹ i tvorchestvo / K. Mochulʹskiĭ.</t>
  </si>
  <si>
    <t>Mochulʹskiĭ, K. (Konstantin), 1892-1948.</t>
  </si>
  <si>
    <t>Parizh : YMCA-Press, ©1947.</t>
  </si>
  <si>
    <t>1947</t>
  </si>
  <si>
    <t>5342549619:rus</t>
  </si>
  <si>
    <t>1877598</t>
  </si>
  <si>
    <t>ocm01877598</t>
  </si>
  <si>
    <t>3101161567U</t>
  </si>
  <si>
    <t>792004084</t>
  </si>
  <si>
    <t>PG3328 M613</t>
  </si>
  <si>
    <t>0                      PG 3328000M  613</t>
  </si>
  <si>
    <t>Dostoevsky : his life and works / K.V. Mochulʹskiĭ ; translated with an introduction by Michael A. Minihan.</t>
  </si>
  <si>
    <t>[Princeton, N.J.] : Princeton University Press, 1967.</t>
  </si>
  <si>
    <t>2012-10-29</t>
  </si>
  <si>
    <t>10075924052:eng</t>
  </si>
  <si>
    <t>178365</t>
  </si>
  <si>
    <t>ocm00178365</t>
  </si>
  <si>
    <t>3000245151R</t>
  </si>
  <si>
    <t>9780691012995</t>
  </si>
  <si>
    <t>791283183</t>
  </si>
  <si>
    <t>2015-02-01</t>
  </si>
  <si>
    <t>3102810172I</t>
  </si>
  <si>
    <t>791283182</t>
  </si>
  <si>
    <t>31032934090</t>
  </si>
  <si>
    <t>791283184</t>
  </si>
  <si>
    <t>PG3328 T68 1990</t>
  </si>
  <si>
    <t>0                      PG 3328000T  68          1990</t>
  </si>
  <si>
    <t>Dostoïevski / Henri Troyat.</t>
  </si>
  <si>
    <t>Troyat, Henri, 1911-2007.</t>
  </si>
  <si>
    <t>[Paris] : Fayard, 1990.</t>
  </si>
  <si>
    <t>Nouv. éd.</t>
  </si>
  <si>
    <t>2018-01-17</t>
  </si>
  <si>
    <t>3372127094:fre</t>
  </si>
  <si>
    <t>23817134</t>
  </si>
  <si>
    <t>ocm23817134</t>
  </si>
  <si>
    <t>3102810210R</t>
  </si>
  <si>
    <t>9782213025353</t>
  </si>
  <si>
    <t>793182823</t>
  </si>
  <si>
    <t>PG3328 T72 1946</t>
  </si>
  <si>
    <t>0                      PG 3328000T  72          1946</t>
  </si>
  <si>
    <t>Firebrand; the life of Dostoevsky, by Henry Troyat; woodcuts by S. Mrozewski.</t>
  </si>
  <si>
    <t>London, Heinemann [©1946]</t>
  </si>
  <si>
    <t>2017-06-08</t>
  </si>
  <si>
    <t>2908604955:eng</t>
  </si>
  <si>
    <t>693039</t>
  </si>
  <si>
    <t>ocm00693039</t>
  </si>
  <si>
    <t>3102931521X</t>
  </si>
  <si>
    <t>791447605</t>
  </si>
  <si>
    <t>2007-04-04</t>
  </si>
  <si>
    <t>3102931516Z</t>
  </si>
  <si>
    <t>791447606</t>
  </si>
  <si>
    <t>PG3328 W4</t>
  </si>
  <si>
    <t>0                      PG 3328000W  4</t>
  </si>
  <si>
    <t>Dostoevsky; a collection of critical essays.</t>
  </si>
  <si>
    <t>Wellek, René, editor.</t>
  </si>
  <si>
    <t>Englewood Cliffs, N.J., Prentice-Hall [1962]</t>
  </si>
  <si>
    <t>Twentieth century views.</t>
  </si>
  <si>
    <t>820628019:eng</t>
  </si>
  <si>
    <t>319678</t>
  </si>
  <si>
    <t>ocm00319678</t>
  </si>
  <si>
    <t>3102931457U</t>
  </si>
  <si>
    <t>791335610</t>
  </si>
  <si>
    <t>2010-10-17</t>
  </si>
  <si>
    <t>3102931452U</t>
  </si>
  <si>
    <t>791335609</t>
  </si>
  <si>
    <t>3102931447W</t>
  </si>
  <si>
    <t>791335611</t>
  </si>
  <si>
    <t>2012-04-03</t>
  </si>
  <si>
    <t>3102931462S</t>
  </si>
  <si>
    <t>791335608</t>
  </si>
  <si>
    <t>PG3328 Z6 A38 2013</t>
  </si>
  <si>
    <t>0                      PG 3328000Z  6                  A  38          2013</t>
  </si>
  <si>
    <t>After reception theory : Fedor Dostoevskii in Britain, 1869-1935 / Lucia Aiello.</t>
  </si>
  <si>
    <t>Aiello, Lucia, author.</t>
  </si>
  <si>
    <t>London : Legenda, Modern Humanities Research Association and Maney Publishing, 2013.</t>
  </si>
  <si>
    <t>1169157052:eng</t>
  </si>
  <si>
    <t>810950376</t>
  </si>
  <si>
    <t>ocn810950376</t>
  </si>
  <si>
    <t>3103503466F</t>
  </si>
  <si>
    <t>9781907975448</t>
  </si>
  <si>
    <t>794929655</t>
  </si>
  <si>
    <t>PG3328 Z6 A4</t>
  </si>
  <si>
    <t>0                      PG 3328000Z  6                  A  4</t>
  </si>
  <si>
    <t>Tvorchestvo F.M. Dostoevskogo / [Otvetstvennyǐ redaktor N.L. Stepanov].</t>
  </si>
  <si>
    <t>Institut mirovoĭ literatury imeni A.M. Gorʹkogo.</t>
  </si>
  <si>
    <t>Moskva : Izd-vo Akademii nauk SSSR, 1959.</t>
  </si>
  <si>
    <t>2018-11-19</t>
  </si>
  <si>
    <t>3856739434:rus</t>
  </si>
  <si>
    <t>4710141</t>
  </si>
  <si>
    <t>ocm04710141</t>
  </si>
  <si>
    <t>3102931494M</t>
  </si>
  <si>
    <t>792377272</t>
  </si>
  <si>
    <t>PG3328 Z6 A5 1986</t>
  </si>
  <si>
    <t>0                      PG 3328000Z  6                  A  5           1986</t>
  </si>
  <si>
    <t>Dostoevsky : myths of duality / Roger B. Anderson.</t>
  </si>
  <si>
    <t>Anderson, Roger B.</t>
  </si>
  <si>
    <t>Gainesville : University of Florida Press, ©1986.</t>
  </si>
  <si>
    <t>University of Florida humanities monograph series ; no. 58</t>
  </si>
  <si>
    <t>294287733:eng</t>
  </si>
  <si>
    <t>13794101</t>
  </si>
  <si>
    <t>ocm13794101</t>
  </si>
  <si>
    <t>3102931499M</t>
  </si>
  <si>
    <t>9780813008035</t>
  </si>
  <si>
    <t>792866768</t>
  </si>
  <si>
    <t>PG3328 Z6 A874 2012</t>
  </si>
  <si>
    <t>0                      PG 3328000Z  6                  A  874         2012</t>
  </si>
  <si>
    <t>Aspects of Dostoevskii : art, ethics and faith / edited by Robert Reid and Joe Andrew.</t>
  </si>
  <si>
    <t>Amsterdam ; New York : Rodopi, 2012.</t>
  </si>
  <si>
    <t>Studies in Slavic literature and poetics ; volume LVII</t>
  </si>
  <si>
    <t>1163629534:eng</t>
  </si>
  <si>
    <t>794039757</t>
  </si>
  <si>
    <t>ocn794039757</t>
  </si>
  <si>
    <t>3103413062S</t>
  </si>
  <si>
    <t>9789042035140</t>
  </si>
  <si>
    <t>794919088</t>
  </si>
  <si>
    <t>PG3328 Z6 B18</t>
  </si>
  <si>
    <t>0                      PG 3328000Z  6                  B  18</t>
  </si>
  <si>
    <t>Dostojevski kod Srba.</t>
  </si>
  <si>
    <t>Babović, Milosav.</t>
  </si>
  <si>
    <t>Titograd, Grafički zavod, 1961.</t>
  </si>
  <si>
    <t>Bibliotecka Studije, knj. 3</t>
  </si>
  <si>
    <t>2017-02-12</t>
  </si>
  <si>
    <t>7213758:srp</t>
  </si>
  <si>
    <t>7182601</t>
  </si>
  <si>
    <t>ocm07182601</t>
  </si>
  <si>
    <t>3102931513Z</t>
  </si>
  <si>
    <t>792544668</t>
  </si>
  <si>
    <t>PG3328 Z6 B24 1963</t>
  </si>
  <si>
    <t>0                      PG 3328000Z  6                  B  24          1963</t>
  </si>
  <si>
    <t>Problemy poėtiki Dostoevskogo.</t>
  </si>
  <si>
    <t>Bakhtin, M. M. (Mikhail Mikhaĭlovich), 1895-1975.</t>
  </si>
  <si>
    <t>Moskva, Sov. pisatelʹ, 1963.</t>
  </si>
  <si>
    <t>Izd. 2., perer. i dop.</t>
  </si>
  <si>
    <t>4915564796:rus</t>
  </si>
  <si>
    <t>6745416</t>
  </si>
  <si>
    <t>ocm06745416</t>
  </si>
  <si>
    <t>3102931514Z</t>
  </si>
  <si>
    <t>792520781</t>
  </si>
  <si>
    <t>PG3328 Z6 B24 1979</t>
  </si>
  <si>
    <t>0                      PG 3328000Z  6                  B  24          1979</t>
  </si>
  <si>
    <t>Problemy poėtiki Dostoevskogo / M. Bakhtin.</t>
  </si>
  <si>
    <t>Moskva : Sov. Rossii︠a︡, 1979.</t>
  </si>
  <si>
    <t>4-e izd.</t>
  </si>
  <si>
    <t>2019-10-30</t>
  </si>
  <si>
    <t>6557152</t>
  </si>
  <si>
    <t>ocm06557152</t>
  </si>
  <si>
    <t>3102734454U</t>
  </si>
  <si>
    <t>792508475</t>
  </si>
  <si>
    <t>PG3328 Z6 B2413</t>
  </si>
  <si>
    <t>0                      PG 3328000Z  6                  B  2413</t>
  </si>
  <si>
    <t>Problems of Dostoevsky's poetics [by] Mikhail Bakhtin. Translated by R.W. Rotsel.</t>
  </si>
  <si>
    <t>[Ann Arbor, Mich.] Ardis [©1973]</t>
  </si>
  <si>
    <t>2019-04-30</t>
  </si>
  <si>
    <t>4915564796:eng</t>
  </si>
  <si>
    <t>740236</t>
  </si>
  <si>
    <t>ocm00740236</t>
  </si>
  <si>
    <t>3102689832K</t>
  </si>
  <si>
    <t>9780882330402</t>
  </si>
  <si>
    <t>791458968</t>
  </si>
  <si>
    <t>PG3328 Z6 B2413 1984</t>
  </si>
  <si>
    <t>0                      PG 3328000Z  6                  B  2413        1984</t>
  </si>
  <si>
    <t>Problems of Dostoevsky's poetics / Mikhail Bakhtin ; edited and translated by Caryl Emerson ; introduction by Wayne C. Booth.</t>
  </si>
  <si>
    <t>Manchester : Manchester University Press, ©1984.</t>
  </si>
  <si>
    <t>Theory and history of literature ; v. 8</t>
  </si>
  <si>
    <t>2018-02-28</t>
  </si>
  <si>
    <t>10965345</t>
  </si>
  <si>
    <t>ocm10965345</t>
  </si>
  <si>
    <t>31024560437</t>
  </si>
  <si>
    <t>9780719014598</t>
  </si>
  <si>
    <t>792751744</t>
  </si>
  <si>
    <t>31027844379</t>
  </si>
  <si>
    <t>792751743</t>
  </si>
  <si>
    <t>PG3328 Z6 B2414 1970</t>
  </si>
  <si>
    <t>0                      PG 3328000Z  6                  B  2414        1970</t>
  </si>
  <si>
    <t>La poétique de Dostoïevski [par] Mikhaïl Bakhtine. Traduit du russe par Isabelle Kolitcheff. Présentation de Julia Kristeva.</t>
  </si>
  <si>
    <t>Paris, Éditions du Seuil [1970]</t>
  </si>
  <si>
    <t>Collection Pierres vives</t>
  </si>
  <si>
    <t>4915564796:fre</t>
  </si>
  <si>
    <t>1962363</t>
  </si>
  <si>
    <t>ocm01962363</t>
  </si>
  <si>
    <t>31037421390</t>
  </si>
  <si>
    <t>792019195</t>
  </si>
  <si>
    <t>31024695864</t>
  </si>
  <si>
    <t>792019196</t>
  </si>
  <si>
    <t>PG3328 Z6 B2414 1998</t>
  </si>
  <si>
    <t>0                      PG 3328000Z  6                  B  2414        1998</t>
  </si>
  <si>
    <t>La Poétique de Dostoïevski / Mikhaïl Bakhtine ; traduction de Isabelle Kolitcheff ; préface de Julia Kristeva.</t>
  </si>
  <si>
    <t>Paris : Editions du Seuil, [1998], ©1970.</t>
  </si>
  <si>
    <t>Points. Essais ; 372</t>
  </si>
  <si>
    <t>40708752</t>
  </si>
  <si>
    <t>ocm40708752</t>
  </si>
  <si>
    <t>3102504218Y</t>
  </si>
  <si>
    <t>9782020353373</t>
  </si>
  <si>
    <t>793573582</t>
  </si>
  <si>
    <t>PG3328 Z6 B35 2005</t>
  </si>
  <si>
    <t>0                      PG 3328000Z  6                  B  35          2005</t>
  </si>
  <si>
    <t>Dostoevsky's polyphonic talent / edited by Joe E. Barnhart.</t>
  </si>
  <si>
    <t>Lanham : University Press of America, ©2005.</t>
  </si>
  <si>
    <t>2019-01-24</t>
  </si>
  <si>
    <t>2003946:eng</t>
  </si>
  <si>
    <t>60396031</t>
  </si>
  <si>
    <t>ocm60396031</t>
  </si>
  <si>
    <t>3102997784Z</t>
  </si>
  <si>
    <t>9780761830979</t>
  </si>
  <si>
    <t>793937015</t>
  </si>
  <si>
    <t>PG3328 Z6 B4</t>
  </si>
  <si>
    <t>0                      PG 3328000Z  6                  B  4</t>
  </si>
  <si>
    <t>O Dostoevskom : sbornik stateĭ / pod redakt︠s︡ieĭ A.L. Bema.</t>
  </si>
  <si>
    <t>Praga : Sklad izd. F. Svoboda, 1929-1933.</t>
  </si>
  <si>
    <t>1929</t>
  </si>
  <si>
    <t>2015-12-07</t>
  </si>
  <si>
    <t>3769165461:rus</t>
  </si>
  <si>
    <t>14760198</t>
  </si>
  <si>
    <t>ocm14760198</t>
  </si>
  <si>
    <t>3102931487O</t>
  </si>
  <si>
    <t>792902818</t>
  </si>
  <si>
    <t>3102931477Q</t>
  </si>
  <si>
    <t>792902816</t>
  </si>
  <si>
    <t>3102931482O</t>
  </si>
  <si>
    <t>792902817</t>
  </si>
  <si>
    <t>PG3328 Z6 B76 1987</t>
  </si>
  <si>
    <t>0                      PG 3328000Z  6                  B  76          1987</t>
  </si>
  <si>
    <t>Dostoevskiĭ i Turgenev : tvorcheskiĭ dialog / N.F. Budanova ; otvetstvennyĭ redaktor G.M. Fridlender.</t>
  </si>
  <si>
    <t>Budanova, N. F. (Nina Fedotovna)</t>
  </si>
  <si>
    <t>Leningrad : Izd-vo "Nauka, " Leningradskoe otd-nie, 1987.</t>
  </si>
  <si>
    <t>2015-01-24</t>
  </si>
  <si>
    <t>3700077662:rus</t>
  </si>
  <si>
    <t>18907137</t>
  </si>
  <si>
    <t>ocm18907137</t>
  </si>
  <si>
    <t>3102931551R</t>
  </si>
  <si>
    <t>793040846</t>
  </si>
  <si>
    <t>PG3328 Z6 C27 2002</t>
  </si>
  <si>
    <t>0                      PG 3328000Z  6                  C  27          2002</t>
  </si>
  <si>
    <t>The Cambridge companion to Dostoevskii / edited by W.J. Leatherbarrow.</t>
  </si>
  <si>
    <t>Leatherbarrow, William J., editor.</t>
  </si>
  <si>
    <t>Cambridge ; New York : Cambridge University Press, 2002.</t>
  </si>
  <si>
    <t>1039156895:eng</t>
  </si>
  <si>
    <t>49750848</t>
  </si>
  <si>
    <t>ocm49750848</t>
  </si>
  <si>
    <t>3102931561P</t>
  </si>
  <si>
    <t>9780521652537</t>
  </si>
  <si>
    <t>793747182</t>
  </si>
  <si>
    <t>PG3328 Z6 C37 1964</t>
  </si>
  <si>
    <t>0                      PG 3328000Z  6                  C  37          1964</t>
  </si>
  <si>
    <t>O stile Dostoevskogo.</t>
  </si>
  <si>
    <t>Chirkov, N. M. (Nikolaĭ Maksimovich), 1891-1950.</t>
  </si>
  <si>
    <t>Moskva : Izd-vo Akademii nauk SSSR, 1964.</t>
  </si>
  <si>
    <t>2017-04-13</t>
  </si>
  <si>
    <t>3374273655:rus</t>
  </si>
  <si>
    <t>427546341</t>
  </si>
  <si>
    <t>ocn427546341</t>
  </si>
  <si>
    <t>3102931581L</t>
  </si>
  <si>
    <t>794682412</t>
  </si>
  <si>
    <t>PG3328 Z6 C75 1986</t>
  </si>
  <si>
    <t>0                      PG 3328000Z  6                  C  75          1986</t>
  </si>
  <si>
    <t>Critical essays on Dostoevsky / [collected by] Robin Feuer Miller.</t>
  </si>
  <si>
    <t>Boston, Mass. : G.K. Hall, ©1986.</t>
  </si>
  <si>
    <t>Critical essays on world literature</t>
  </si>
  <si>
    <t>2018-11-15</t>
  </si>
  <si>
    <t>5438453:eng</t>
  </si>
  <si>
    <t>12809132</t>
  </si>
  <si>
    <t>ocm12809132</t>
  </si>
  <si>
    <t>3102931535V</t>
  </si>
  <si>
    <t>9780816188284</t>
  </si>
  <si>
    <t>792829096</t>
  </si>
  <si>
    <t>PG3328 Z6 C8 1966</t>
  </si>
  <si>
    <t>0                      PG 3328000Z  6                  C  8           1966</t>
  </si>
  <si>
    <t>Characters of Dostoevsky : studies from four novels / by Richard Curle.</t>
  </si>
  <si>
    <t>Curle, Richard, 1883-1968.</t>
  </si>
  <si>
    <t>New York : Russell &amp; Russell, 1966.</t>
  </si>
  <si>
    <t>2017-04-02</t>
  </si>
  <si>
    <t>1395843:eng</t>
  </si>
  <si>
    <t>319681</t>
  </si>
  <si>
    <t>ocm00319681</t>
  </si>
  <si>
    <t>3102931540T</t>
  </si>
  <si>
    <t>791335616</t>
  </si>
  <si>
    <t>PG3328 Z6 D37 1975b</t>
  </si>
  <si>
    <t>0                      PG 3328000Z  6                  D  37          1975b</t>
  </si>
  <si>
    <t>Dostoevsky and the age of intensity / Alex de Jonge.</t>
  </si>
  <si>
    <t>De Jonge, Alex, 1938-</t>
  </si>
  <si>
    <t>New York : St. Martin's Press, 1975.</t>
  </si>
  <si>
    <t>442183:eng</t>
  </si>
  <si>
    <t>1687631</t>
  </si>
  <si>
    <t>ocm01687631</t>
  </si>
  <si>
    <t>3102931550R</t>
  </si>
  <si>
    <t>791832687</t>
  </si>
  <si>
    <t>PG3328 Z6 D625 2005</t>
  </si>
  <si>
    <t>0                      PG 3328000Z  6                  D  625         2005</t>
  </si>
  <si>
    <t>Dostoevskiĭ : dopolnenii︠a︡ k kommentarii︠u︡ / pod redakt︠s︡ieĭ T.A. Kasatkinoĭ.</t>
  </si>
  <si>
    <t>Moskva : Nauka, 2005.</t>
  </si>
  <si>
    <t>3901788703:rus</t>
  </si>
  <si>
    <t>62400883</t>
  </si>
  <si>
    <t>ocm62400883</t>
  </si>
  <si>
    <t>3102686893K</t>
  </si>
  <si>
    <t>9785020332539</t>
  </si>
  <si>
    <t>794106578</t>
  </si>
  <si>
    <t>PG3328 Z6 D6285 2015</t>
  </si>
  <si>
    <t>0                      PG 3328000Z  6                  D  6285        2015</t>
  </si>
  <si>
    <t>Dostoevsky in context / edited by Deborah A. Martinsen and Olga Maiorova.</t>
  </si>
  <si>
    <t>Cambridge : Cambridge University Press, 2015.</t>
  </si>
  <si>
    <t>2575320064:eng</t>
  </si>
  <si>
    <t>914136834</t>
  </si>
  <si>
    <t>ocn914136834</t>
  </si>
  <si>
    <t>3103697390I</t>
  </si>
  <si>
    <t>9781107028760</t>
  </si>
  <si>
    <t>794999799</t>
  </si>
  <si>
    <t>PG3328 Z6 D67 2016</t>
  </si>
  <si>
    <t>0                      PG 3328000Z  6                  D  67          2016</t>
  </si>
  <si>
    <t>Dostoevsky beyond Dostoevsky : science, religion, philosophy / edited by Svetlana Evdokimova, Vladimir Golstein.</t>
  </si>
  <si>
    <t>Brighton, MA, USA : Academic Studies Press, [2016]</t>
  </si>
  <si>
    <t>3966938269:eng</t>
  </si>
  <si>
    <t>961272258</t>
  </si>
  <si>
    <t>ocn961272258</t>
  </si>
  <si>
    <t>3103657791O</t>
  </si>
  <si>
    <t>9781618115263</t>
  </si>
  <si>
    <t>795023790</t>
  </si>
  <si>
    <t>PG3328 Z6 D672 2013</t>
  </si>
  <si>
    <t>0                      PG 3328000Z  6                  D  672         2013</t>
  </si>
  <si>
    <t>Dostoevskii's overcoat : influence, comparison, and transposition / edited by Joe Andrew and Robert Reid.</t>
  </si>
  <si>
    <t>Amsterdam : Rodopi, 2013.</t>
  </si>
  <si>
    <t>Studies in Slavic literature and poetics ; volume LVIII</t>
  </si>
  <si>
    <t>2014-09-09</t>
  </si>
  <si>
    <t>1778423310:eng</t>
  </si>
  <si>
    <t>868558557</t>
  </si>
  <si>
    <t>ocn868558557</t>
  </si>
  <si>
    <t>3103529525N</t>
  </si>
  <si>
    <t>9789042037939</t>
  </si>
  <si>
    <t>794964785</t>
  </si>
  <si>
    <t>PG3328 Z6 D688 2006</t>
  </si>
  <si>
    <t>0                      PG 3328000Z  6                  D  688         2006</t>
  </si>
  <si>
    <t>Dostoevsky on the threshold of other worlds : essays in honour of Malcolm V. Jones / edited by Sarah Young and Lesley Milne.</t>
  </si>
  <si>
    <t>Ilkeston : Bramcote Press, 2006.</t>
  </si>
  <si>
    <t>973992617:eng</t>
  </si>
  <si>
    <t>62901147</t>
  </si>
  <si>
    <t>ocm62901147</t>
  </si>
  <si>
    <t>3102488498$</t>
  </si>
  <si>
    <t>9781900405133</t>
  </si>
  <si>
    <t>794114094</t>
  </si>
  <si>
    <t>PG3328 Z6 F23 1981</t>
  </si>
  <si>
    <t>0                      PG 3328000Z  6                  F  23          1981</t>
  </si>
  <si>
    <t>F.M. Dostoevsky, (1821-1881) : a centenary collection / edited by Leon Burnett.</t>
  </si>
  <si>
    <t>Oxford, England : Holdan Books, 1981.</t>
  </si>
  <si>
    <t>836687444:eng</t>
  </si>
  <si>
    <t>9489340</t>
  </si>
  <si>
    <t>ocm09489340</t>
  </si>
  <si>
    <t>3102931586L</t>
  </si>
  <si>
    <t>9780950793900</t>
  </si>
  <si>
    <t>792678772</t>
  </si>
  <si>
    <t>PG3328 Z6 F25</t>
  </si>
  <si>
    <t>0                      PG 3328000Z  6                  F  25</t>
  </si>
  <si>
    <t>Dostoevsky and romantic realism : a study of Dostoevsky in relation to Balzac, Dickens, and Gogol.</t>
  </si>
  <si>
    <t>Fanger, Donald.</t>
  </si>
  <si>
    <t>Cambridge : Harvard University Press, 1965.</t>
  </si>
  <si>
    <t>Harvard studies in comparative literature ; 27</t>
  </si>
  <si>
    <t>430547853:eng</t>
  </si>
  <si>
    <t>321907</t>
  </si>
  <si>
    <t>ocm00321907</t>
  </si>
  <si>
    <t>3102931537V</t>
  </si>
  <si>
    <t>791336406</t>
  </si>
  <si>
    <t>PG3328 Z6 G48 1964</t>
  </si>
  <si>
    <t>0                      PG 3328000Z  6                  G  48          1964</t>
  </si>
  <si>
    <t>Dostoïevski; articles et causeries [par] André Gide.</t>
  </si>
  <si>
    <t>[Paris] Gallimard [1964]</t>
  </si>
  <si>
    <t>Collection Idées, 48</t>
  </si>
  <si>
    <t>2015-01-22</t>
  </si>
  <si>
    <t>5453828834:fre</t>
  </si>
  <si>
    <t>2475896</t>
  </si>
  <si>
    <t>ocm02475896</t>
  </si>
  <si>
    <t>3102931548T</t>
  </si>
  <si>
    <t>792132745</t>
  </si>
  <si>
    <t>3102931553R</t>
  </si>
  <si>
    <t>792132746</t>
  </si>
  <si>
    <t>PG3328 Z6 G49</t>
  </si>
  <si>
    <t>0                      PG 3328000Z  6                  G  49</t>
  </si>
  <si>
    <t>Dostoïevski, du double à l'unité.</t>
  </si>
  <si>
    <t>Girard, René, 1923-2015.</t>
  </si>
  <si>
    <t>[Paris] Plon [1963]</t>
  </si>
  <si>
    <t>Recherche de l'absolu ; 8</t>
  </si>
  <si>
    <t>2015-12-02</t>
  </si>
  <si>
    <t>1909020593:fre</t>
  </si>
  <si>
    <t>1509243</t>
  </si>
  <si>
    <t>ocm01509243</t>
  </si>
  <si>
    <t>3102810214R</t>
  </si>
  <si>
    <t>791677247</t>
  </si>
  <si>
    <t>PG3328 Z6 G5 1981</t>
  </si>
  <si>
    <t>0                      PG 3328000Z  6                  G  5           1981</t>
  </si>
  <si>
    <t>Dostoievski : Articles et causeries.</t>
  </si>
  <si>
    <t>Gide, André, 1869-1951, 1920-</t>
  </si>
  <si>
    <t>Paris : Gallimard, 1981, ©1923.</t>
  </si>
  <si>
    <t>Essais (Gallimard (Firme)) ; 213</t>
  </si>
  <si>
    <t>2017-04-12</t>
  </si>
  <si>
    <t>299783870</t>
  </si>
  <si>
    <t>ocn299783870</t>
  </si>
  <si>
    <t>3103213103C</t>
  </si>
  <si>
    <t>794430688</t>
  </si>
  <si>
    <t>PG3328 Z6 G58 2010</t>
  </si>
  <si>
    <t>0                      PG 3328000Z  6                  G  58          2010</t>
  </si>
  <si>
    <t>Confronting Dostoevsky's demons : anarchism and the specter of Bakunin in twentieth-century Russia / James Goodwin.</t>
  </si>
  <si>
    <t>Goodwin, James, 1962-</t>
  </si>
  <si>
    <t>New York : Peter Lang, 2010.</t>
  </si>
  <si>
    <t>Middlebury studies in Russian language and literature ; v. 33</t>
  </si>
  <si>
    <t>1042409956:eng</t>
  </si>
  <si>
    <t>444113703</t>
  </si>
  <si>
    <t>ocn444113703</t>
  </si>
  <si>
    <t>3103097828H</t>
  </si>
  <si>
    <t>9781433108839</t>
  </si>
  <si>
    <t>794787000</t>
  </si>
  <si>
    <t>PG3328 Z6 H59 2013</t>
  </si>
  <si>
    <t>0                      PG 3328000Z  6                  H  59          2013</t>
  </si>
  <si>
    <t>The novel in the age of disintegration : Dostoevsky and the problem of genre in the 1870s / Kate Holland.</t>
  </si>
  <si>
    <t>Holland, Kate.</t>
  </si>
  <si>
    <t>1745776679:eng</t>
  </si>
  <si>
    <t>830837618</t>
  </si>
  <si>
    <t>ocn830837618</t>
  </si>
  <si>
    <t>3103505063J</t>
  </si>
  <si>
    <t>9780810129269</t>
  </si>
  <si>
    <t>794943696</t>
  </si>
  <si>
    <t>PG3328 Z6 H6</t>
  </si>
  <si>
    <t>0                      PG 3328000Z  6                  H  6</t>
  </si>
  <si>
    <t>Dostoevsky and the novel / Michael Holquist.</t>
  </si>
  <si>
    <t>Princeton, New Jersey : Princeton University Press, ©1977.</t>
  </si>
  <si>
    <t>441763:eng</t>
  </si>
  <si>
    <t>2837007</t>
  </si>
  <si>
    <t>ocm02837007</t>
  </si>
  <si>
    <t>3102931580L</t>
  </si>
  <si>
    <t>9780691063423</t>
  </si>
  <si>
    <t>792183239</t>
  </si>
  <si>
    <t>2011-10-26</t>
  </si>
  <si>
    <t>3102931585L</t>
  </si>
  <si>
    <t>792183240</t>
  </si>
  <si>
    <t>3102931575N</t>
  </si>
  <si>
    <t>792183238</t>
  </si>
  <si>
    <t>PG3328 Z6 I79 2008</t>
  </si>
  <si>
    <t>0                      PG 3328000Z  6                  I  79          2008</t>
  </si>
  <si>
    <t>Dostoevsky and the Russian people / Linda Ivanits.</t>
  </si>
  <si>
    <t>Ivanits, Linda, 1969-</t>
  </si>
  <si>
    <t>131632393:eng</t>
  </si>
  <si>
    <t>214322794</t>
  </si>
  <si>
    <t>ocn214322794</t>
  </si>
  <si>
    <t>3102854096I</t>
  </si>
  <si>
    <t>9780521889933</t>
  </si>
  <si>
    <t>794313971</t>
  </si>
  <si>
    <t>PG3328 Z6 I8</t>
  </si>
  <si>
    <t>0                      PG 3328000Z  6                  I  8</t>
  </si>
  <si>
    <t>Freedom and the tragic life; a study in Dostoevsky. Foreword by Sir Maurice Bowra. [Translated by Norman Cameron].</t>
  </si>
  <si>
    <t>Ivanov, V. I. (Vi︠a︡cheslav Ivanovich), 1866-1949.</t>
  </si>
  <si>
    <t>London, Harvill Press [1952]</t>
  </si>
  <si>
    <t>Russian writers and thinkers series</t>
  </si>
  <si>
    <t>2016-08-10</t>
  </si>
  <si>
    <t>21656378:eng</t>
  </si>
  <si>
    <t>1850963</t>
  </si>
  <si>
    <t>ocm01850963</t>
  </si>
  <si>
    <t>3102931605Y</t>
  </si>
  <si>
    <t>791999151</t>
  </si>
  <si>
    <t>PG3328 Z6 I8 1960</t>
  </si>
  <si>
    <t>0                      PG 3328000Z  6                  I  8           1960</t>
  </si>
  <si>
    <t>Freedom and the tragic life a study in Dostoevsky / Foreword by Sir Maurice Bowra. [Translated by Norman Cameron; edited by S. Konovalov].</t>
  </si>
  <si>
    <t>New York Noonday Pess [1960]</t>
  </si>
  <si>
    <t>3rd Noonday pbk. ed.</t>
  </si>
  <si>
    <t>227014369</t>
  </si>
  <si>
    <t>ocn227014369</t>
  </si>
  <si>
    <t>3102931610W</t>
  </si>
  <si>
    <t>794346644</t>
  </si>
  <si>
    <t>2003-02-15</t>
  </si>
  <si>
    <t>3102931600Y</t>
  </si>
  <si>
    <t>794346643</t>
  </si>
  <si>
    <t>3102931609Y</t>
  </si>
  <si>
    <t>794346641</t>
  </si>
  <si>
    <t>2007-02-22</t>
  </si>
  <si>
    <t>3102931604Y</t>
  </si>
  <si>
    <t>794346642</t>
  </si>
  <si>
    <t>2010-03-27</t>
  </si>
  <si>
    <t>31030299008</t>
  </si>
  <si>
    <t>794346645</t>
  </si>
  <si>
    <t>PG3328 Z6 J3</t>
  </si>
  <si>
    <t>0                      PG 3328000Z  6                  J  3</t>
  </si>
  <si>
    <t>The art of Dostoevsky : deliriums and nocturnes / Robert Louis Jackson.</t>
  </si>
  <si>
    <t>Jackson, Robert Louis.</t>
  </si>
  <si>
    <t>Princeton, N.J. : Princeton University Press, ©1981.</t>
  </si>
  <si>
    <t>441972:eng</t>
  </si>
  <si>
    <t>7575434</t>
  </si>
  <si>
    <t>ocm07575434</t>
  </si>
  <si>
    <t>3102931599J</t>
  </si>
  <si>
    <t>9780691064840</t>
  </si>
  <si>
    <t>792567192</t>
  </si>
  <si>
    <t>PG3328 Z6 J33 1993</t>
  </si>
  <si>
    <t>0                      PG 3328000Z  6                  J  33          1993</t>
  </si>
  <si>
    <t>Dialogues with Dostoevsky : the overwhelming questions / Robert Louis Jackson.</t>
  </si>
  <si>
    <t>Stanford : Stanford University Press, 1993.</t>
  </si>
  <si>
    <t>904391:eng</t>
  </si>
  <si>
    <t>26852709</t>
  </si>
  <si>
    <t>ocm26852709</t>
  </si>
  <si>
    <t>3102931594J</t>
  </si>
  <si>
    <t>9780804721202</t>
  </si>
  <si>
    <t>793253402</t>
  </si>
  <si>
    <t>PG3328 Z6 J59 1983</t>
  </si>
  <si>
    <t>0                      PG 3328000Z  6                  J  59          1983</t>
  </si>
  <si>
    <t>Dostoevsky / by John Jones.</t>
  </si>
  <si>
    <t>Jones, John, 1924-2016.</t>
  </si>
  <si>
    <t>Oxford : Clarendon Press ; New York : Oxford University Press, 1983.</t>
  </si>
  <si>
    <t>2550370:eng</t>
  </si>
  <si>
    <t>10276504</t>
  </si>
  <si>
    <t>ocm10276504</t>
  </si>
  <si>
    <t>3102931589L</t>
  </si>
  <si>
    <t>9780198126454</t>
  </si>
  <si>
    <t>792717705</t>
  </si>
  <si>
    <t>PG3328 Z6 J6</t>
  </si>
  <si>
    <t>0                      PG 3328000Z  6                  J  6</t>
  </si>
  <si>
    <t>Dostoyevsky : the novel of discord / Malcolm V. Jones.</t>
  </si>
  <si>
    <t>Jones, Malcolm V.</t>
  </si>
  <si>
    <t>London : Elek, 1976.</t>
  </si>
  <si>
    <t>Novelists and their world</t>
  </si>
  <si>
    <t>2012-02-27</t>
  </si>
  <si>
    <t>5390722:eng</t>
  </si>
  <si>
    <t>2913778</t>
  </si>
  <si>
    <t>ocm02913778</t>
  </si>
  <si>
    <t>3102931579N</t>
  </si>
  <si>
    <t>9780236400430</t>
  </si>
  <si>
    <t>792192760</t>
  </si>
  <si>
    <t>2011-02-08</t>
  </si>
  <si>
    <t>3102931578N</t>
  </si>
  <si>
    <t>792192759</t>
  </si>
  <si>
    <t>3102931584L</t>
  </si>
  <si>
    <t>792192761</t>
  </si>
  <si>
    <t>PG3328 Z6 K516</t>
  </si>
  <si>
    <t>0                      PG 3328000Z  6                  K  516</t>
  </si>
  <si>
    <t>Dostoevskij and Camus : the themes of consciousness, isolation, freedom and love / Irina Kirk.</t>
  </si>
  <si>
    <t>Kirk, Irina.</t>
  </si>
  <si>
    <t>München : Fink, 1974.</t>
  </si>
  <si>
    <t>234868236:eng</t>
  </si>
  <si>
    <t>1339928</t>
  </si>
  <si>
    <t>ocm01339928</t>
  </si>
  <si>
    <t>3102931572N</t>
  </si>
  <si>
    <t>791604309</t>
  </si>
  <si>
    <t>PG3328 Z6 K526 1983</t>
  </si>
  <si>
    <t>0                      PG 3328000Z  6                  K  526         1983</t>
  </si>
  <si>
    <t>Mir Dostoevskogo : statʹi, issledovanii︠a︡ / V.I︠A︡. Kirpotin.</t>
  </si>
  <si>
    <t>Kirpotin, Valeriĭ I︠A︡kovlevich, 1898-1997.</t>
  </si>
  <si>
    <t>Moskva : Sov. pisatelʹ, 1983.</t>
  </si>
  <si>
    <t>2-e, dop. izd.</t>
  </si>
  <si>
    <t>5083201142:rus</t>
  </si>
  <si>
    <t>10189855</t>
  </si>
  <si>
    <t>ocm10189855</t>
  </si>
  <si>
    <t>3102931598J</t>
  </si>
  <si>
    <t>792713702</t>
  </si>
  <si>
    <t>PG3328 Z6 L36</t>
  </si>
  <si>
    <t>0                      PG 3328000Z  6                  L  36</t>
  </si>
  <si>
    <t>Fedor Dostoevsky / by William J. Leatherbarrow.</t>
  </si>
  <si>
    <t>Boston : Twayne Publishers, 1981.</t>
  </si>
  <si>
    <t>Twayne's world authors series ; TWAS 636 : Russia</t>
  </si>
  <si>
    <t>461511:eng</t>
  </si>
  <si>
    <t>7206343</t>
  </si>
  <si>
    <t>ocm07206343</t>
  </si>
  <si>
    <t>3102931607Y</t>
  </si>
  <si>
    <t>9780805764802</t>
  </si>
  <si>
    <t>792546332</t>
  </si>
  <si>
    <t>PG3328 Z6 M3127 1987</t>
  </si>
  <si>
    <t>0                      PG 3328000Z  6                  M  3127        1987</t>
  </si>
  <si>
    <t>Dostoevsky's secret code : the allegory of Elijah the Prophet / Yuri I. Marmeladov ; translated by Jay MacPherson.</t>
  </si>
  <si>
    <t>Marmeladov, I︠U︡. I. (I︠U︡riĭ I.), -1984.</t>
  </si>
  <si>
    <t>Lawrence, Kan. : Coronado Press, ©1987.</t>
  </si>
  <si>
    <t>325437893:eng</t>
  </si>
  <si>
    <t>18320843</t>
  </si>
  <si>
    <t>ocm18320843</t>
  </si>
  <si>
    <t>3102931656O</t>
  </si>
  <si>
    <t>9780872911710</t>
  </si>
  <si>
    <t>793021323</t>
  </si>
  <si>
    <t>PG3328 Z6 M313</t>
  </si>
  <si>
    <t>0                      PG 3328000Z  6                  M  313</t>
  </si>
  <si>
    <t>A prophet of the soul: Fyodor Dostoievsky. Tr. from the Latvian by C.P. Finlayson.</t>
  </si>
  <si>
    <t>Maurin̦a, Zenta, 1897-1978.</t>
  </si>
  <si>
    <t>[London] J. Clarke [1940]</t>
  </si>
  <si>
    <t>2018-02-05</t>
  </si>
  <si>
    <t>3943433271:eng</t>
  </si>
  <si>
    <t>421955</t>
  </si>
  <si>
    <t>ocm00421955</t>
  </si>
  <si>
    <t>3102931651O</t>
  </si>
  <si>
    <t>791374222</t>
  </si>
  <si>
    <t>PG3328 Z6 M33 1998</t>
  </si>
  <si>
    <t>0                      PG 3328000Z  6                  M  33          1998</t>
  </si>
  <si>
    <t>Dostoevsky's taboos / Olga Meerson ; with an introductory note by Horst-Jürgen Gerigk and a preface by Robert L. Belknap.</t>
  </si>
  <si>
    <t>Meerson, Olʹga.</t>
  </si>
  <si>
    <t>41809093:eng</t>
  </si>
  <si>
    <t>38419162</t>
  </si>
  <si>
    <t>ocm38419162</t>
  </si>
  <si>
    <t>3102931631S</t>
  </si>
  <si>
    <t>9783931828486</t>
  </si>
  <si>
    <t>793523004</t>
  </si>
  <si>
    <t>PG3328 Z6 M4815 2007</t>
  </si>
  <si>
    <t>0                      PG 3328000Z  6                  M  4815        2007</t>
  </si>
  <si>
    <t>Dostoevsky's unfinished journey / Robin Feuer Miller.</t>
  </si>
  <si>
    <t>New Haven : Yale University Press, ©2007.</t>
  </si>
  <si>
    <t>102075265:eng</t>
  </si>
  <si>
    <t>123232367</t>
  </si>
  <si>
    <t>ocn123232367</t>
  </si>
  <si>
    <t>31026462100</t>
  </si>
  <si>
    <t>9780300120158</t>
  </si>
  <si>
    <t>794225443</t>
  </si>
  <si>
    <t>PG3328 Z6 N38 2000</t>
  </si>
  <si>
    <t>0                      PG 3328000Z  6                  N  38          2000</t>
  </si>
  <si>
    <t>Diary as fiction : Dostoevsky's Notes from underground and Turgenev's "Diary of a superfluous man" / by Jessica M. Natale.</t>
  </si>
  <si>
    <t>Natale, Jessica M.</t>
  </si>
  <si>
    <t>[USA] : Dissertation.com, 2000.</t>
  </si>
  <si>
    <t>195046198:eng</t>
  </si>
  <si>
    <t>317709636</t>
  </si>
  <si>
    <t>ocn317709636</t>
  </si>
  <si>
    <t>3103103485Z</t>
  </si>
  <si>
    <t>9781581121117</t>
  </si>
  <si>
    <t>794457885</t>
  </si>
  <si>
    <t>PG3328 Z6 N43 1983</t>
  </si>
  <si>
    <t>0                      PG 3328000Z  6                  N  43          1983</t>
  </si>
  <si>
    <t>New essays on Dostoyevsky / edited by Malcolm V. Jones and Garth M. Terry.</t>
  </si>
  <si>
    <t>Cambridge ; New York : Cambridge University Press, 1983.</t>
  </si>
  <si>
    <t>9988937357:eng</t>
  </si>
  <si>
    <t>8689548</t>
  </si>
  <si>
    <t>ocm08689548</t>
  </si>
  <si>
    <t>3102931625U</t>
  </si>
  <si>
    <t>9780521248907</t>
  </si>
  <si>
    <t>792635614</t>
  </si>
  <si>
    <t>PG3328 Z6 N46 2010</t>
  </si>
  <si>
    <t>0                      PG 3328000Z  6                  N  46          2010</t>
  </si>
  <si>
    <t>The new Russian Dostoevsky : readings for the twenty-first century / edited by Carol Apollonio ; translated by Carol Apollonio with Joseph Fitzpatrick [and others].</t>
  </si>
  <si>
    <t>908270837:eng</t>
  </si>
  <si>
    <t>615339539</t>
  </si>
  <si>
    <t>ocn615339539</t>
  </si>
  <si>
    <t>3103229153A</t>
  </si>
  <si>
    <t>9780893573720</t>
  </si>
  <si>
    <t>794822712</t>
  </si>
  <si>
    <t>PG3328 Z6 P36 1971</t>
  </si>
  <si>
    <t>0                      PG 3328000Z  6                  P  36          1971</t>
  </si>
  <si>
    <t>Dostoyevsky : an examination of the major novels / Richard Peace.</t>
  </si>
  <si>
    <t>Peace, Richard, 1933-2013.</t>
  </si>
  <si>
    <t>Cambridge, England : Cambridge University Press, ©1971.</t>
  </si>
  <si>
    <t>Major European authors</t>
  </si>
  <si>
    <t>836889626:eng</t>
  </si>
  <si>
    <t>126716</t>
  </si>
  <si>
    <t>ocm00126716</t>
  </si>
  <si>
    <t>31027493734</t>
  </si>
  <si>
    <t>9780521079112</t>
  </si>
  <si>
    <t>791265063</t>
  </si>
  <si>
    <t>PG3328 Z6 S74 2013</t>
  </si>
  <si>
    <t>0                      PG 3328000Z  6                  S  74          2013</t>
  </si>
  <si>
    <t>Dostoevskiĭ i Servantes : dialog v bolʹshom vremeni / Karen Stepani︠a︡n.</t>
  </si>
  <si>
    <t>Stepani︠a︡n, K. A. (Karen Ashotovich), author.</t>
  </si>
  <si>
    <t>Moskva : I︠A︡zyki slavi︠a︡nskoĭ kulʹtury, 2013.</t>
  </si>
  <si>
    <t>3862498158:rus</t>
  </si>
  <si>
    <t>852786081</t>
  </si>
  <si>
    <t>ocn852786081</t>
  </si>
  <si>
    <t>31035506440</t>
  </si>
  <si>
    <t>9785955105376</t>
  </si>
  <si>
    <t>794951576</t>
  </si>
  <si>
    <t>PG3328 Z6 T4</t>
  </si>
  <si>
    <t>0                      PG 3328000Z  6                  T  4</t>
  </si>
  <si>
    <t>The young Dostoevsky (1846-1849): A critical study.</t>
  </si>
  <si>
    <t>Slavistic printings and reprintings, 69</t>
  </si>
  <si>
    <t>2013-06-07</t>
  </si>
  <si>
    <t>2018-12-05</t>
  </si>
  <si>
    <t>422233304:eng</t>
  </si>
  <si>
    <t>63380</t>
  </si>
  <si>
    <t>ocm00063380</t>
  </si>
  <si>
    <t>3102931612W</t>
  </si>
  <si>
    <t>791243642</t>
  </si>
  <si>
    <t>3102931676K</t>
  </si>
  <si>
    <t>791243643</t>
  </si>
  <si>
    <t>PG3328 Z6 W3</t>
  </si>
  <si>
    <t>0                      PG 3328000Z  6                  W  3</t>
  </si>
  <si>
    <t>Dostoevsky : the major fiction / Edward Wasiolek.</t>
  </si>
  <si>
    <t>Wasiolek, Edward, author.</t>
  </si>
  <si>
    <t>Cambridge, Massachusetts : The M.I.T. Press, [1964]</t>
  </si>
  <si>
    <t>2120520:eng</t>
  </si>
  <si>
    <t>1175474</t>
  </si>
  <si>
    <t>ocm01175474</t>
  </si>
  <si>
    <t>3102931670K</t>
  </si>
  <si>
    <t>791565253</t>
  </si>
  <si>
    <t>3102690255S</t>
  </si>
  <si>
    <t>791565256</t>
  </si>
  <si>
    <t>2013-11-26</t>
  </si>
  <si>
    <t>3102931675K</t>
  </si>
  <si>
    <t>791565252</t>
  </si>
  <si>
    <t>2017-09-20</t>
  </si>
  <si>
    <t>31037420394</t>
  </si>
  <si>
    <t>791565255</t>
  </si>
  <si>
    <t>3102931661M</t>
  </si>
  <si>
    <t>791565254</t>
  </si>
  <si>
    <t>PG3328 Z6 Z565 2017</t>
  </si>
  <si>
    <t>0                      PG 3328000Z  6                  Z  565         2017</t>
  </si>
  <si>
    <t>Dostoevskiĭ i Chekhov : aspekty arkhitektoniki i poėtiki / N.V. Zhivolupova ; nauchnyĭ redaktor russkogo teksta A.N. Kochetkov ; nauchnyĭ redaktor angliĭskogo teksta Sandra Freels.</t>
  </si>
  <si>
    <t>Nizhniĭ Novgorod : Di︠a︡tlovy gory, 2017.</t>
  </si>
  <si>
    <t>4666966667:rus</t>
  </si>
  <si>
    <t>994009099</t>
  </si>
  <si>
    <t>ocn994009099</t>
  </si>
  <si>
    <t>31037599464</t>
  </si>
  <si>
    <t>9785905227813</t>
  </si>
  <si>
    <t>795038893</t>
  </si>
  <si>
    <t>PG3328 Z7 C4768 2008</t>
  </si>
  <si>
    <t>0                      PG 3328000Z  7                  C  4768        2008</t>
  </si>
  <si>
    <t>Dostoevsky's greatest characters : a new approach to Notes from underground, crime and punishment, and the brothers karamazov / Bernard J. Paris.</t>
  </si>
  <si>
    <t>Paris, Bernard J.</t>
  </si>
  <si>
    <t>New York : Palgrave Macmillan, 2008.</t>
  </si>
  <si>
    <t>289366633:eng</t>
  </si>
  <si>
    <t>154308961</t>
  </si>
  <si>
    <t>ocn154308961</t>
  </si>
  <si>
    <t>3102649283B</t>
  </si>
  <si>
    <t>9780230602939</t>
  </si>
  <si>
    <t>794251615</t>
  </si>
  <si>
    <t>PG3328 Z7 C57</t>
  </si>
  <si>
    <t>0                      PG 3328000Z  7                  C  57</t>
  </si>
  <si>
    <t>Dostoevsky; child and man in his works.</t>
  </si>
  <si>
    <t>Rowe, William Woodin.</t>
  </si>
  <si>
    <t>New York, New York University Press, 1968.</t>
  </si>
  <si>
    <t>3943295447:eng</t>
  </si>
  <si>
    <t>10752</t>
  </si>
  <si>
    <t>ocm00010752</t>
  </si>
  <si>
    <t>3000245122Y</t>
  </si>
  <si>
    <t>9780340098615</t>
  </si>
  <si>
    <t>791227377</t>
  </si>
  <si>
    <t>3000245121$</t>
  </si>
  <si>
    <t>791227375</t>
  </si>
  <si>
    <t>30005218439</t>
  </si>
  <si>
    <t>791227376</t>
  </si>
  <si>
    <t>PG3328 Z7 E95 1992</t>
  </si>
  <si>
    <t>0                      PG 3328000Z  7                  E  95          1992</t>
  </si>
  <si>
    <t>Dostoevsky on evil and atonement : the ontology of personalism in his major fiction / Linda Kraeger and Joe Barnhart.</t>
  </si>
  <si>
    <t>Kraeger, Linda.</t>
  </si>
  <si>
    <t>Lewiston : E. Mellen Press, ©1992.</t>
  </si>
  <si>
    <t>2015-04-03</t>
  </si>
  <si>
    <t>367832631:eng</t>
  </si>
  <si>
    <t>26852083</t>
  </si>
  <si>
    <t>ocm26852083</t>
  </si>
  <si>
    <t>3101227690I</t>
  </si>
  <si>
    <t>9780773491892</t>
  </si>
  <si>
    <t>793253330</t>
  </si>
  <si>
    <t>PG3328 Z7 E97 2003</t>
  </si>
  <si>
    <t>0                      PG 3328000Z  7                  E  97          2003</t>
  </si>
  <si>
    <t>Naĭti v cheloveke cheloveka : Dostoevskiĭ i ėkzistent︠s︡ializm / Viktor Erofeev.</t>
  </si>
  <si>
    <t>Erofeev, V. V. (Viktor V.)</t>
  </si>
  <si>
    <t>Moskva : Zebra E : Ėksmo, 2003.</t>
  </si>
  <si>
    <t>2019-09-06</t>
  </si>
  <si>
    <t>3856710774:rus</t>
  </si>
  <si>
    <t>53323430</t>
  </si>
  <si>
    <t>ocm53323430</t>
  </si>
  <si>
    <t>3102457617S</t>
  </si>
  <si>
    <t>9785946630979</t>
  </si>
  <si>
    <t>793826213</t>
  </si>
  <si>
    <t>PG3328 Z7 F373 2003</t>
  </si>
  <si>
    <t>0                      PG 3328000Z  7                  F  373         2003</t>
  </si>
  <si>
    <t>Dostoevsky and social and metaphysical freedom / Tatyana Buzina.</t>
  </si>
  <si>
    <t>Buzina, Tatyana.</t>
  </si>
  <si>
    <t>Lewiston, N.Y. : Edwin Mellen Press, ©2003.</t>
  </si>
  <si>
    <t>Studies in Slavic languages and literature ; v. 22</t>
  </si>
  <si>
    <t>764512:eng</t>
  </si>
  <si>
    <t>52514437</t>
  </si>
  <si>
    <t>ocm52514437</t>
  </si>
  <si>
    <t>31023515928</t>
  </si>
  <si>
    <t>9780773466432</t>
  </si>
  <si>
    <t>793808330</t>
  </si>
  <si>
    <t>PG3328 Z7 F563 2011</t>
  </si>
  <si>
    <t>0                      PG 3328000Z  7                  F  563         2011</t>
  </si>
  <si>
    <t>Multi-mediated Dostoevsky : transposing novels into opera, film, and drama / Alexander Burry.</t>
  </si>
  <si>
    <t>Burry, Alexander.</t>
  </si>
  <si>
    <t>Evanston, Ill. : Northwestern University Press, 2011.</t>
  </si>
  <si>
    <t>2015-04-29</t>
  </si>
  <si>
    <t>841596771:eng</t>
  </si>
  <si>
    <t>635467149</t>
  </si>
  <si>
    <t>ocn635467149</t>
  </si>
  <si>
    <t>3103321966A</t>
  </si>
  <si>
    <t>9780810127159</t>
  </si>
  <si>
    <t>794825575</t>
  </si>
  <si>
    <t>PG3328 Z7 F564 1986</t>
  </si>
  <si>
    <t>0                      PG 3328000Z  7                  F  564         1986</t>
  </si>
  <si>
    <t>Dostoevsky and Soviet film : visions of demonic realism / N.M. Lary.</t>
  </si>
  <si>
    <t>Lary, N. M.</t>
  </si>
  <si>
    <t>Ithaca : Cornell University Press, 1986.</t>
  </si>
  <si>
    <t>374012046:eng</t>
  </si>
  <si>
    <t>13582210</t>
  </si>
  <si>
    <t>ocm13582210</t>
  </si>
  <si>
    <t>3000477307H</t>
  </si>
  <si>
    <t>9780801418822</t>
  </si>
  <si>
    <t>792858869</t>
  </si>
  <si>
    <t>PG3328 Z7 L325 2016</t>
  </si>
  <si>
    <t>0                      PG 3328000Z  7                  L  325         2016</t>
  </si>
  <si>
    <t>Dostoevsky's legal and moral philosophy : the trial of Dmitri Karamazov / by Raymond Angelo Belliotti.</t>
  </si>
  <si>
    <t>Belliotti, Raymond A., 1948- author.</t>
  </si>
  <si>
    <t>Leiden ; Boston : Brill, 2016.</t>
  </si>
  <si>
    <t>Value Inquiry book series, 0929-8436 ; volume 293</t>
  </si>
  <si>
    <t>3569316750:eng</t>
  </si>
  <si>
    <t>953738394</t>
  </si>
  <si>
    <t>ocn953738394</t>
  </si>
  <si>
    <t>3103696973$</t>
  </si>
  <si>
    <t>9789004325418</t>
  </si>
  <si>
    <t>795019195</t>
  </si>
  <si>
    <t>PG3328 Z7 L543 2012</t>
  </si>
  <si>
    <t>0                      PG 3328000Z  7                  L  543         2012</t>
  </si>
  <si>
    <t>Dostoevsky and the affirmation of life / Predrag Cicovacki.</t>
  </si>
  <si>
    <t>Cicovacki, Predrag.</t>
  </si>
  <si>
    <t>New Brunswick : Transaction Publishers, 2012, ©2012.</t>
  </si>
  <si>
    <t>140345545:eng</t>
  </si>
  <si>
    <t>758243991</t>
  </si>
  <si>
    <t>ocn758243991</t>
  </si>
  <si>
    <t>31034315975</t>
  </si>
  <si>
    <t>9781412846066</t>
  </si>
  <si>
    <t>794896086</t>
  </si>
  <si>
    <t>PG3328 Z7 P5 2001</t>
  </si>
  <si>
    <t>0                      PG 3328000Z  7                  P  5           2001</t>
  </si>
  <si>
    <t>On Dostoevsky / Susan Leigh Anderson.</t>
  </si>
  <si>
    <t>Anderson, Susan Leigh.</t>
  </si>
  <si>
    <t>Belmont, CA : Wadsworth/Thomson Learning, ©2001.</t>
  </si>
  <si>
    <t>Wadsworth philosophers series</t>
  </si>
  <si>
    <t>102206535:eng</t>
  </si>
  <si>
    <t>46844980</t>
  </si>
  <si>
    <t>ocm46844980</t>
  </si>
  <si>
    <t>3103622047O</t>
  </si>
  <si>
    <t>9780534583729</t>
  </si>
  <si>
    <t>793692838</t>
  </si>
  <si>
    <t>3102120254Z</t>
  </si>
  <si>
    <t>793692837</t>
  </si>
  <si>
    <t>PG3328 Z7 P5323 2010</t>
  </si>
  <si>
    <t>0                      PG 3328000Z  7                  P  5323        2010</t>
  </si>
  <si>
    <t>Dostoevsky's dialectics and the problem of sin / Ksana Blank.</t>
  </si>
  <si>
    <t>Blank, Ksana.</t>
  </si>
  <si>
    <t>335109484:eng</t>
  </si>
  <si>
    <t>449859328</t>
  </si>
  <si>
    <t>ocn449859328</t>
  </si>
  <si>
    <t>3103229386Z</t>
  </si>
  <si>
    <t>9780810126930</t>
  </si>
  <si>
    <t>794787508</t>
  </si>
  <si>
    <t>PG3328 Z7 P5376 2004</t>
  </si>
  <si>
    <t>0                      PG 3328000Z  7                  P  5376        2004</t>
  </si>
  <si>
    <t>Dostoevsky and the idea of Russianness : a new perspective on unity and brotherhood / Sarah Hudspith.</t>
  </si>
  <si>
    <t>Hudspith, Sarah, 1971-</t>
  </si>
  <si>
    <t>London ; New York : RoutledgeCurzon, 2003.</t>
  </si>
  <si>
    <t>BASEES/RoutledgeCurzon series on Russian and East European studies ; 6</t>
  </si>
  <si>
    <t>802081293:eng</t>
  </si>
  <si>
    <t>51810760</t>
  </si>
  <si>
    <t>ocm51810760</t>
  </si>
  <si>
    <t>31023377134</t>
  </si>
  <si>
    <t>9780415304894</t>
  </si>
  <si>
    <t>793791581</t>
  </si>
  <si>
    <t>PG3328 Z7 P545 1996</t>
  </si>
  <si>
    <t>0                      PG 3328000Z  7                  P  545         1996</t>
  </si>
  <si>
    <t>The annihilation of inertia : Dostoevsky and metaphysics / Liza Knapp.</t>
  </si>
  <si>
    <t>Knapp, Liza.</t>
  </si>
  <si>
    <t>478430392:eng</t>
  </si>
  <si>
    <t>34633338</t>
  </si>
  <si>
    <t>ocm34633338</t>
  </si>
  <si>
    <t>3102923794A</t>
  </si>
  <si>
    <t>9780810113725</t>
  </si>
  <si>
    <t>793431905</t>
  </si>
  <si>
    <t>PG3328 Z7 P5454 1997</t>
  </si>
  <si>
    <t>0                      PG 3328000Z  7                  P  5454        1997</t>
  </si>
  <si>
    <t>Dostoevsky and Soloviev : the art of integral vision / Marina Kostalevsky.</t>
  </si>
  <si>
    <t>Kostalevsky, Marina.</t>
  </si>
  <si>
    <t>New Haven : Yale University Press, ©1997.</t>
  </si>
  <si>
    <t>[Russian literature and thought series]</t>
  </si>
  <si>
    <t>837014707:eng</t>
  </si>
  <si>
    <t>35593686</t>
  </si>
  <si>
    <t>ocm35593686</t>
  </si>
  <si>
    <t>31018030361</t>
  </si>
  <si>
    <t>9780300060966</t>
  </si>
  <si>
    <t>793453043</t>
  </si>
  <si>
    <t>PG3328 Z7 P5456 2001</t>
  </si>
  <si>
    <t>0                      PG 3328000Z  7                  P  5456        2001</t>
  </si>
  <si>
    <t>Remembering the end : Dostoevsky as prophet to modernity / P. Travis Kroeker, Bruce K. Ward.</t>
  </si>
  <si>
    <t>Kroeker, P. Travis (Peter Travis), 1957-</t>
  </si>
  <si>
    <t>Boulder, CO : Westview Press, 2001.</t>
  </si>
  <si>
    <t>Radical traditions</t>
  </si>
  <si>
    <t>2016-10-29</t>
  </si>
  <si>
    <t>793344579:eng</t>
  </si>
  <si>
    <t>45363644</t>
  </si>
  <si>
    <t>ocm45363644</t>
  </si>
  <si>
    <t>3103018933B</t>
  </si>
  <si>
    <t>9780813366081</t>
  </si>
  <si>
    <t>793670136</t>
  </si>
  <si>
    <t>PG3328 Z7 P5787 2002</t>
  </si>
  <si>
    <t>0                      PG 3328000Z  7                  P  5787        2002</t>
  </si>
  <si>
    <t>Dostoevsky the thinker / James P. Scanlan.</t>
  </si>
  <si>
    <t>Scanlan, James P. (James Patrick), 1927-2016.</t>
  </si>
  <si>
    <t>Ithaca and London : Cornell University Press, 2002.</t>
  </si>
  <si>
    <t>2016-11-03</t>
  </si>
  <si>
    <t>37380337:eng</t>
  </si>
  <si>
    <t>48122907</t>
  </si>
  <si>
    <t>ocm48122907</t>
  </si>
  <si>
    <t>3102923822L</t>
  </si>
  <si>
    <t>9780801439940</t>
  </si>
  <si>
    <t>793716481</t>
  </si>
  <si>
    <t>PG3328 Z7 R385 1990</t>
  </si>
  <si>
    <t>0                      PG 3328000Z  7                  R  385         1990</t>
  </si>
  <si>
    <t>Dostoyevsky after Bakhtin : readings in Dostoyevsky's fantastic realism / Malcolm V. Jones.</t>
  </si>
  <si>
    <t>Cambridge [England] ; New York, NY, USA : Cambridge University Press, 1990.</t>
  </si>
  <si>
    <t>17152803:eng</t>
  </si>
  <si>
    <t>20826271</t>
  </si>
  <si>
    <t>ocm20826271</t>
  </si>
  <si>
    <t>3102931684I</t>
  </si>
  <si>
    <t>9780521384230</t>
  </si>
  <si>
    <t>793100435</t>
  </si>
  <si>
    <t>PG3328 Z7 R4223 2011</t>
  </si>
  <si>
    <t>0                      PG 3328000Z  7                  R  4223        2011</t>
  </si>
  <si>
    <t>Christian fiction and religious realism in the novels of Dostoevsky / Wil van den Bercken.</t>
  </si>
  <si>
    <t>Bercken, William Peter van den, 1946-</t>
  </si>
  <si>
    <t>London ; New York : Anthem Press, 2011.</t>
  </si>
  <si>
    <t>594188807:eng</t>
  </si>
  <si>
    <t>691204074</t>
  </si>
  <si>
    <t>ocn691204074</t>
  </si>
  <si>
    <t>3103344044J</t>
  </si>
  <si>
    <t>9780857289766</t>
  </si>
  <si>
    <t>794855737</t>
  </si>
  <si>
    <t>PG3328 Z7 R4233 2001</t>
  </si>
  <si>
    <t>0                      PG 3328000Z  7                  R  4233        2001</t>
  </si>
  <si>
    <t>Dostoevsky and the Christian tradition / edited by George Pattison and Diane Oenning Thompson.</t>
  </si>
  <si>
    <t>Cambridge ; New York : Cambridge University Press, 2001.</t>
  </si>
  <si>
    <t>766019821:eng</t>
  </si>
  <si>
    <t>45603957</t>
  </si>
  <si>
    <t>ocm45603957</t>
  </si>
  <si>
    <t>3102931689I</t>
  </si>
  <si>
    <t>9780521782784</t>
  </si>
  <si>
    <t>793674575</t>
  </si>
  <si>
    <t>PG3328 Z7 R4255 2005</t>
  </si>
  <si>
    <t>0                      PG 3328000Z  7                  R  4255        2005</t>
  </si>
  <si>
    <t>Dostoevsky and the dynamics of religious experience / Malcolm Jones.</t>
  </si>
  <si>
    <t>London : Anthem Press, 2005.</t>
  </si>
  <si>
    <t>46540649:eng</t>
  </si>
  <si>
    <t>60741390</t>
  </si>
  <si>
    <t>ocm60741390</t>
  </si>
  <si>
    <t>3102488836$</t>
  </si>
  <si>
    <t>9781843312055</t>
  </si>
  <si>
    <t>793942918</t>
  </si>
  <si>
    <t>31033849801</t>
  </si>
  <si>
    <t>793942919</t>
  </si>
  <si>
    <t>PG3328 Z7 R4256 2010</t>
  </si>
  <si>
    <t>0                      PG 3328000Z  7                  R  4256        2010</t>
  </si>
  <si>
    <t>Obraz Khrista v tvorchestve Dostoevskogo : razmyshlenii︠a︡ / Irina Kirillova.</t>
  </si>
  <si>
    <t>Kirillova, Irina (Irina Arsenʹevna)</t>
  </si>
  <si>
    <t>Moskva : T︠S︡entr knigi Vseros. gos. biblioteki inostrannoĭ lit-ry im. M.I. Rudomino, 2010.</t>
  </si>
  <si>
    <t>2013-08-22</t>
  </si>
  <si>
    <t>3861017298:rus</t>
  </si>
  <si>
    <t>677979828</t>
  </si>
  <si>
    <t>ocn677979828</t>
  </si>
  <si>
    <t>3103340573E</t>
  </si>
  <si>
    <t>9785738003530</t>
  </si>
  <si>
    <t>794850344</t>
  </si>
  <si>
    <t>PG3328 Z7 R427 2005</t>
  </si>
  <si>
    <t>0                      PG 3328000Z  7                  R  427         2005</t>
  </si>
  <si>
    <t>Dostoevsky's spiritual art : the burden of vision / George A. Panichas ; with a new introduction by Michael Henry.</t>
  </si>
  <si>
    <t>Panichas, George A., 1930-2010.</t>
  </si>
  <si>
    <t>New Brunswick : Transaction Publishers, ©2005.</t>
  </si>
  <si>
    <t>Library of conservative thought</t>
  </si>
  <si>
    <t>3985669:eng</t>
  </si>
  <si>
    <t>54479757</t>
  </si>
  <si>
    <t>ocm54479757</t>
  </si>
  <si>
    <t>3102931664M</t>
  </si>
  <si>
    <t>9780765805959</t>
  </si>
  <si>
    <t>793862642</t>
  </si>
  <si>
    <t>PG3328 Z7 R485 2008</t>
  </si>
  <si>
    <t>0                      PG 3328000Z  7                  R  485         2008</t>
  </si>
  <si>
    <t>Dostoevsky : language, faith, and fiction / Rowan Williams.</t>
  </si>
  <si>
    <t>Williams, Rowan, 1950-</t>
  </si>
  <si>
    <t>Waco, Tex. : Baylor University Press, ©2008.</t>
  </si>
  <si>
    <t>The making of the Christian imagination</t>
  </si>
  <si>
    <t>2016-02-16</t>
  </si>
  <si>
    <t>803696976:eng</t>
  </si>
  <si>
    <t>191924251</t>
  </si>
  <si>
    <t>ocn191924251</t>
  </si>
  <si>
    <t>3102973053E</t>
  </si>
  <si>
    <t>9781602581456</t>
  </si>
  <si>
    <t>794302219</t>
  </si>
  <si>
    <t>PG3328 Z7 S526 2003</t>
  </si>
  <si>
    <t>0                      PG 3328000Z  7                  S  526         2003</t>
  </si>
  <si>
    <t>Surprised by shame : Dostoevsky's liars and narrative exposure / Deborah A. Martinsen.</t>
  </si>
  <si>
    <t>Martinsen, Deborah A.</t>
  </si>
  <si>
    <t>Columbus : Ohio State University Press, ©2003.</t>
  </si>
  <si>
    <t>The theory and interpretation of narrative series</t>
  </si>
  <si>
    <t>905350745:eng</t>
  </si>
  <si>
    <t>51041102</t>
  </si>
  <si>
    <t>ocm51041102</t>
  </si>
  <si>
    <t>3102931688I</t>
  </si>
  <si>
    <t>9780814209219</t>
  </si>
  <si>
    <t>793777430</t>
  </si>
  <si>
    <t>PG3328 Z7 W657 1994</t>
  </si>
  <si>
    <t>0                      PG 3328000Z  7                  W  657         1994</t>
  </si>
  <si>
    <t>Dostoevsky and the woman question : rereadings at the end of a century / Nina Pelikan Straus.</t>
  </si>
  <si>
    <t>Straus, Nina Pelikan, 1942-</t>
  </si>
  <si>
    <t>New York : St. Martin's Press, 1994.</t>
  </si>
  <si>
    <t>31888965:eng</t>
  </si>
  <si>
    <t>29594457</t>
  </si>
  <si>
    <t>ocm29594457</t>
  </si>
  <si>
    <t>3102931677K</t>
  </si>
  <si>
    <t>9780312107499</t>
  </si>
  <si>
    <t>793315414</t>
  </si>
  <si>
    <t>PG3330 D7 P613 1992</t>
  </si>
  <si>
    <t>0                      PG 3330000D  7                  P  613         1992</t>
  </si>
  <si>
    <t>Polinka Saks ; and, the Story of Aleksei Dmitrich / Aleksandr Druzhinin ; translated and with an introduction by Michael R. Katz.</t>
  </si>
  <si>
    <t>Druzhinin, A. V. (Aleksandr Vasilʹevich), 1824-1864.</t>
  </si>
  <si>
    <t>Evanston, Ill. : Northwestern University Press, 1992.</t>
  </si>
  <si>
    <t>2016-01-05</t>
  </si>
  <si>
    <t>498011233:eng</t>
  </si>
  <si>
    <t>25316787</t>
  </si>
  <si>
    <t>ocm25316787</t>
  </si>
  <si>
    <t>3102931692G</t>
  </si>
  <si>
    <t>9780810110526</t>
  </si>
  <si>
    <t>793216673</t>
  </si>
  <si>
    <t>PG3332 A1 1937</t>
  </si>
  <si>
    <t>0                      PG 3332000A  1           1937</t>
  </si>
  <si>
    <t>Polnoe sobranie sochineniĭ / N.V. Gogolʹ ; glavnyĭ redaktor, N.L. Meshcheri︠a︡kov.</t>
  </si>
  <si>
    <t>Gogolʹ, Nikolaĭ Vasilʹevich, 1809-1852.</t>
  </si>
  <si>
    <t>Moskva : Izd-vo Akademii nauk SSSR, 1937-1952.</t>
  </si>
  <si>
    <t>1937</t>
  </si>
  <si>
    <t>2017-12-03</t>
  </si>
  <si>
    <t>4449756013:rus</t>
  </si>
  <si>
    <t>423600</t>
  </si>
  <si>
    <t>ocm00423600</t>
  </si>
  <si>
    <t>31032548172</t>
  </si>
  <si>
    <t>791374762</t>
  </si>
  <si>
    <t>31032548280</t>
  </si>
  <si>
    <t>791374760</t>
  </si>
  <si>
    <t>31032548270</t>
  </si>
  <si>
    <t>791374767</t>
  </si>
  <si>
    <t>31032548122</t>
  </si>
  <si>
    <t>791374761</t>
  </si>
  <si>
    <t>3103254837Z</t>
  </si>
  <si>
    <t>791374769</t>
  </si>
  <si>
    <t>3103254861T</t>
  </si>
  <si>
    <t>791374772</t>
  </si>
  <si>
    <t>3103254843X</t>
  </si>
  <si>
    <t>791374765</t>
  </si>
  <si>
    <t>3103254832Z</t>
  </si>
  <si>
    <t>791374768</t>
  </si>
  <si>
    <t>3103254833Z</t>
  </si>
  <si>
    <t>791374763</t>
  </si>
  <si>
    <t>3103254866T</t>
  </si>
  <si>
    <t>791374773</t>
  </si>
  <si>
    <t>31032548220</t>
  </si>
  <si>
    <t>791374766</t>
  </si>
  <si>
    <t>3103254838Z</t>
  </si>
  <si>
    <t>791374764</t>
  </si>
  <si>
    <t>3103254851V</t>
  </si>
  <si>
    <t>791374770</t>
  </si>
  <si>
    <t>B001293728</t>
  </si>
  <si>
    <t>791374771</t>
  </si>
  <si>
    <t>PG3332 A1 1949</t>
  </si>
  <si>
    <t>0                      PG 3332000A  1           1949</t>
  </si>
  <si>
    <t>Sobranie sochineniĭ v shesti tomakh / N.V. Gogolʹ ; pod obshcheĭ redakt︠s︡ieĭ F.M. Golovenchenko.</t>
  </si>
  <si>
    <t>Gogolʹ, Nikolaĭ Vasilʹevich, 1809-1852, author.</t>
  </si>
  <si>
    <t>Moskva : Gosudarstvennoe izdatelʹstvo khudozhestvennoĭ literatury, 1949-1950.</t>
  </si>
  <si>
    <t>Sobranie sochineniĭ v 6 tomakh [Gogolʹ, N.V.] ; 3</t>
  </si>
  <si>
    <t>2830136797:rus</t>
  </si>
  <si>
    <t>11165164</t>
  </si>
  <si>
    <t>ocm11165164</t>
  </si>
  <si>
    <t>31032860025</t>
  </si>
  <si>
    <t>792761284</t>
  </si>
  <si>
    <t>PG3332 A1 1951</t>
  </si>
  <si>
    <t>0                      PG 3332000A  1           1951</t>
  </si>
  <si>
    <t>Sobranie khudozhestvennykh proizvedeniĭ.</t>
  </si>
  <si>
    <t>Moskva : Izd.-vo. Akademii Nauk SSSR, 1951-52.</t>
  </si>
  <si>
    <t>3374243268:rus</t>
  </si>
  <si>
    <t>44658807</t>
  </si>
  <si>
    <t>ocm44658807</t>
  </si>
  <si>
    <t>3103251135V</t>
  </si>
  <si>
    <t>793655229</t>
  </si>
  <si>
    <t>3103251130V</t>
  </si>
  <si>
    <t>793655230</t>
  </si>
  <si>
    <t>3103251150R</t>
  </si>
  <si>
    <t>793655231</t>
  </si>
  <si>
    <t>3103251145T</t>
  </si>
  <si>
    <t>793655232</t>
  </si>
  <si>
    <t>2015-05-03</t>
  </si>
  <si>
    <t>3103251140T</t>
  </si>
  <si>
    <t>793655233</t>
  </si>
  <si>
    <t>PG3332 A1 1952</t>
  </si>
  <si>
    <t>0                      PG 3332000A  1           1952</t>
  </si>
  <si>
    <t>Moskva : [publisher not identified], 1952-53.</t>
  </si>
  <si>
    <t>5612917505:rus</t>
  </si>
  <si>
    <t>427854664</t>
  </si>
  <si>
    <t>ocn427854664</t>
  </si>
  <si>
    <t>3103254868T</t>
  </si>
  <si>
    <t>794703368</t>
  </si>
  <si>
    <t>3103254847X</t>
  </si>
  <si>
    <t>794703372</t>
  </si>
  <si>
    <t>3103254857V</t>
  </si>
  <si>
    <t>794703370</t>
  </si>
  <si>
    <t>3103254874R</t>
  </si>
  <si>
    <t>794703371</t>
  </si>
  <si>
    <t>3103254862T</t>
  </si>
  <si>
    <t>794703367</t>
  </si>
  <si>
    <t>3103254852V</t>
  </si>
  <si>
    <t>794703369</t>
  </si>
  <si>
    <t>PG3332 A1 1984</t>
  </si>
  <si>
    <t>0                      PG 3332000A  1           1984</t>
  </si>
  <si>
    <t>Sobranie sochineniĭ ... / N.V. Gogolʹ ; pod obshch. red. S.I. Mashinskogo i M.B. Khrapchenko.</t>
  </si>
  <si>
    <t>T. 5</t>
  </si>
  <si>
    <t>Moskva : Khudozh. lit., 1984-1986.</t>
  </si>
  <si>
    <t>3768537412:rus</t>
  </si>
  <si>
    <t>263461124</t>
  </si>
  <si>
    <t>ocn263461124</t>
  </si>
  <si>
    <t>3102931732P</t>
  </si>
  <si>
    <t>794403747</t>
  </si>
  <si>
    <t>T. 6</t>
  </si>
  <si>
    <t>2013-11-01</t>
  </si>
  <si>
    <t>3102931728R</t>
  </si>
  <si>
    <t>794403746</t>
  </si>
  <si>
    <t>T. 7</t>
  </si>
  <si>
    <t>3102931719T</t>
  </si>
  <si>
    <t>794403745</t>
  </si>
  <si>
    <t>3102931742N</t>
  </si>
  <si>
    <t>794403749</t>
  </si>
  <si>
    <t>2011-11-04</t>
  </si>
  <si>
    <t>3102931733P</t>
  </si>
  <si>
    <t>794403750</t>
  </si>
  <si>
    <t>2019-04-14</t>
  </si>
  <si>
    <t>3102539669E</t>
  </si>
  <si>
    <t>794403751</t>
  </si>
  <si>
    <t>2012-10-24</t>
  </si>
  <si>
    <t>3102931737P</t>
  </si>
  <si>
    <t>794403748</t>
  </si>
  <si>
    <t>PG3332 M4 1975</t>
  </si>
  <si>
    <t>0                      PG 3332000M  4           1975</t>
  </si>
  <si>
    <t>Mertvye dushi : poėma / N.V. Gogolʹ.</t>
  </si>
  <si>
    <t>Moskva : [Izd-vo "Nedra"], 1975.</t>
  </si>
  <si>
    <t>4495073477:rus</t>
  </si>
  <si>
    <t>40322223</t>
  </si>
  <si>
    <t>ocm40322223</t>
  </si>
  <si>
    <t>31032949872</t>
  </si>
  <si>
    <t>793564218</t>
  </si>
  <si>
    <t>PG3332 M4 2011</t>
  </si>
  <si>
    <t>0                      PG 3332000M  4           2011</t>
  </si>
  <si>
    <t>(text+3 DVDs)</t>
  </si>
  <si>
    <t>Moskva : Prospekt, 2011.</t>
  </si>
  <si>
    <t>2014-09-30</t>
  </si>
  <si>
    <t>747111965</t>
  </si>
  <si>
    <t>ocn747111965</t>
  </si>
  <si>
    <t>3103298043L</t>
  </si>
  <si>
    <t>9785392019311</t>
  </si>
  <si>
    <t>794887848</t>
  </si>
  <si>
    <t>PG3332 M43 A56 2010</t>
  </si>
  <si>
    <t>0                      PG 3332000M  43                 A  56          2010</t>
  </si>
  <si>
    <t>Putevoditelʹ po romanu N.V. Gogoli︠a︡ "Mertvye dushi" : uchebnoe posobie / E.I. Annenkova = A guide to N.V. Gogol's poem "Dead souls" : a manual.</t>
  </si>
  <si>
    <t>Annenkova, E. I. (Elena Ivanovna)</t>
  </si>
  <si>
    <t>Moskva : Izdatelʹstvo Moskovskogo Universiteta, 2010.</t>
  </si>
  <si>
    <t>Shkola vdumchivogo chtenii︠a︡</t>
  </si>
  <si>
    <t>3860730654:rus</t>
  </si>
  <si>
    <t>691857792</t>
  </si>
  <si>
    <t>ocn691857792</t>
  </si>
  <si>
    <t>3103512106Z</t>
  </si>
  <si>
    <t>9785211054783</t>
  </si>
  <si>
    <t>794855851</t>
  </si>
  <si>
    <t>PG3332 M43 F87 1993</t>
  </si>
  <si>
    <t>0                      PG 3332000M  43                 F  87          1993</t>
  </si>
  <si>
    <t>Designing dead souls : an anatomy of disorder in Gogol / Susanne Fusso.</t>
  </si>
  <si>
    <t>Fusso, Susanne.</t>
  </si>
  <si>
    <t>365452213:eng</t>
  </si>
  <si>
    <t>26095374</t>
  </si>
  <si>
    <t>ocm26095374</t>
  </si>
  <si>
    <t>3102931766J</t>
  </si>
  <si>
    <t>9780804720496</t>
  </si>
  <si>
    <t>793237153</t>
  </si>
  <si>
    <t>PG3332 M43 G7 1990</t>
  </si>
  <si>
    <t>0                      PG 3332000M  43                 G  7           1990</t>
  </si>
  <si>
    <t>Novel epics : Gogol, Dostoevsky, and national narrative / Frederick T. Griffiths and Stanley J. Rabinowitz.</t>
  </si>
  <si>
    <t>Griffiths, Frederick T.</t>
  </si>
  <si>
    <t>Evanston, Ill. : Northwestern University Press, ©1990.</t>
  </si>
  <si>
    <t>294226612:eng</t>
  </si>
  <si>
    <t>21195258</t>
  </si>
  <si>
    <t>ocm21195258</t>
  </si>
  <si>
    <t>3102931776H</t>
  </si>
  <si>
    <t>9780810109001</t>
  </si>
  <si>
    <t>793111908</t>
  </si>
  <si>
    <t>PG3332 M43 P7 1968</t>
  </si>
  <si>
    <t>0                      PG 3332000M  43                 P  7           1968</t>
  </si>
  <si>
    <t>The simile and Gogol's Dead souls. / by Carl R. Proffer.</t>
  </si>
  <si>
    <t>Proffer, Carl R.</t>
  </si>
  <si>
    <t>The Hague ; Paris : Mouton, 1967 [1968]</t>
  </si>
  <si>
    <t>Slavistic printings and reprintings ; 62</t>
  </si>
  <si>
    <t>1875141:eng</t>
  </si>
  <si>
    <t>926449</t>
  </si>
  <si>
    <t>ocm00926449</t>
  </si>
  <si>
    <t>3102931781F</t>
  </si>
  <si>
    <t>791503737</t>
  </si>
  <si>
    <t>3102931786F</t>
  </si>
  <si>
    <t>791503738</t>
  </si>
  <si>
    <t>PG3332 M43 W6</t>
  </si>
  <si>
    <t>0                      PG 3332000M  43                 W  6</t>
  </si>
  <si>
    <t>Gogol's Dead souls / James B. Woodward.</t>
  </si>
  <si>
    <t>Woodward, James B.</t>
  </si>
  <si>
    <t>Princeton, N.J. : Princeton University Press, ©1978.</t>
  </si>
  <si>
    <t>2011-11-21</t>
  </si>
  <si>
    <t>10517275:eng</t>
  </si>
  <si>
    <t>3480472</t>
  </si>
  <si>
    <t>ocm03480472</t>
  </si>
  <si>
    <t>3102931790D</t>
  </si>
  <si>
    <t>9780691063607</t>
  </si>
  <si>
    <t>792259624</t>
  </si>
  <si>
    <t>3102931785F</t>
  </si>
  <si>
    <t>792259623</t>
  </si>
  <si>
    <t>2016-12-15</t>
  </si>
  <si>
    <t>3102931780F</t>
  </si>
  <si>
    <t>792259625</t>
  </si>
  <si>
    <t>PG3332 R4 B47 1997</t>
  </si>
  <si>
    <t>0                      PG 3332000R  4                  B  47          1997</t>
  </si>
  <si>
    <t>Gogol's The government inspector / Michael Beresford.</t>
  </si>
  <si>
    <t>Beresford, Michael.</t>
  </si>
  <si>
    <t>London : Bristol Classical Press, 1997.</t>
  </si>
  <si>
    <t>Critical studies in Russian literature</t>
  </si>
  <si>
    <t>41273542:eng</t>
  </si>
  <si>
    <t>37503598</t>
  </si>
  <si>
    <t>ocm37503598</t>
  </si>
  <si>
    <t>3102931765J</t>
  </si>
  <si>
    <t>9781853994395</t>
  </si>
  <si>
    <t>793500291</t>
  </si>
  <si>
    <t>PG3332 S53 G6</t>
  </si>
  <si>
    <t>0                      PG 3332000S  53                 G  6</t>
  </si>
  <si>
    <t>Gogol's "Overcoat" : an anthology of critical essays / edited by Elizabeth W. Trahan.</t>
  </si>
  <si>
    <t>31168900:eng</t>
  </si>
  <si>
    <t>8282942</t>
  </si>
  <si>
    <t>ocm08282942</t>
  </si>
  <si>
    <t>3102931760J</t>
  </si>
  <si>
    <t>9780882336145</t>
  </si>
  <si>
    <t>792609683</t>
  </si>
  <si>
    <t>3102931731P</t>
  </si>
  <si>
    <t>792609682</t>
  </si>
  <si>
    <t>PG3332 S53 G73 2000</t>
  </si>
  <si>
    <t>0                      PG 3332000S  53                 G  73          2000</t>
  </si>
  <si>
    <t>Gogol's The overcoat / Julian Graffy.</t>
  </si>
  <si>
    <t>Graffy, Julian.</t>
  </si>
  <si>
    <t>London : Bristol Classical Press, ©2000.</t>
  </si>
  <si>
    <t>35836991:eng</t>
  </si>
  <si>
    <t>45737802</t>
  </si>
  <si>
    <t>ocm45737802</t>
  </si>
  <si>
    <t>3102931755L</t>
  </si>
  <si>
    <t>9781853995682</t>
  </si>
  <si>
    <t>793677177</t>
  </si>
  <si>
    <t>PG3332 S53 R3</t>
  </si>
  <si>
    <t>0                      PG 3332000S  53                 R  3</t>
  </si>
  <si>
    <t>Out from Gogol's Overcoat : a psychoanalytic study / Daniel Rancour-Laferriere.</t>
  </si>
  <si>
    <t>Rancour-Laferriere, Daniel.</t>
  </si>
  <si>
    <t>Ann Arbor, Mich. : Ardis Publishers, ©1982.</t>
  </si>
  <si>
    <t>2010-03-28</t>
  </si>
  <si>
    <t>3901348403:eng</t>
  </si>
  <si>
    <t>213793313</t>
  </si>
  <si>
    <t>ocn213793313</t>
  </si>
  <si>
    <t>3102931749N</t>
  </si>
  <si>
    <t>9780882337463</t>
  </si>
  <si>
    <t>794311461</t>
  </si>
  <si>
    <t>3102931750L</t>
  </si>
  <si>
    <t>794311462</t>
  </si>
  <si>
    <t>PG3332 V9 E5 1969</t>
  </si>
  <si>
    <t>0                      PG 3332000V  9                  E  5           1969</t>
  </si>
  <si>
    <t>Selected passages from correspondence with friends. / translated by Jesse Zeldin.</t>
  </si>
  <si>
    <t>Nashville : Vanderbilt University Press, 1969.</t>
  </si>
  <si>
    <t>10177415862:eng</t>
  </si>
  <si>
    <t>36216</t>
  </si>
  <si>
    <t>ocm00036216</t>
  </si>
  <si>
    <t>3102749576Z</t>
  </si>
  <si>
    <t>9780826511263</t>
  </si>
  <si>
    <t>791235664</t>
  </si>
  <si>
    <t>2013-06-03</t>
  </si>
  <si>
    <t>3102931774H</t>
  </si>
  <si>
    <t>791235665</t>
  </si>
  <si>
    <t>PG3332 Z3 1997</t>
  </si>
  <si>
    <t>0                      PG 3332000Z  3           1997</t>
  </si>
  <si>
    <t>Zapiski sumasshedshego = Diary of a madman / N.V. Gogolʹ ; edited with introduction, bibliography, notes and vocabulary by Michael Pursglove.</t>
  </si>
  <si>
    <t>[London] : Bristol Classical Press, 1997.</t>
  </si>
  <si>
    <t>4915391128:rus</t>
  </si>
  <si>
    <t>38302912</t>
  </si>
  <si>
    <t>ocm38302912</t>
  </si>
  <si>
    <t>3103103921W</t>
  </si>
  <si>
    <t>9781853994722</t>
  </si>
  <si>
    <t>793521566</t>
  </si>
  <si>
    <t>PG3333 A15 1962</t>
  </si>
  <si>
    <t>0                      PG 3333000A  15          1962</t>
  </si>
  <si>
    <t>Taras Bulba, and other tales. The inspector general. Introd. by Nikolay Andreyev.</t>
  </si>
  <si>
    <t>London, Dent; New York, Dutton [1962]</t>
  </si>
  <si>
    <t>Everyman's library, 740</t>
  </si>
  <si>
    <t>2017-11-30</t>
  </si>
  <si>
    <t>3945596018:eng</t>
  </si>
  <si>
    <t>3998766</t>
  </si>
  <si>
    <t>ocm03998766</t>
  </si>
  <si>
    <t>3102931784F</t>
  </si>
  <si>
    <t>792312283</t>
  </si>
  <si>
    <t>PG3333 A15 1965</t>
  </si>
  <si>
    <t>0                      PG 3333000A  15          1965</t>
  </si>
  <si>
    <t>The overcoat : and other tales of good and evil / Nikolai V. Gogol ; translated with an introduction by David Magarshack.</t>
  </si>
  <si>
    <t>New York : Norton, 1965.</t>
  </si>
  <si>
    <t>Norton library ; N304</t>
  </si>
  <si>
    <t>2015-12-10</t>
  </si>
  <si>
    <t>2908591071:eng</t>
  </si>
  <si>
    <t>6205281</t>
  </si>
  <si>
    <t>ocm06205281</t>
  </si>
  <si>
    <t>3102931789F</t>
  </si>
  <si>
    <t>9780393003048</t>
  </si>
  <si>
    <t>792483038</t>
  </si>
  <si>
    <t>PG3333 A15 1972</t>
  </si>
  <si>
    <t>0                      PG 3333000A  15          1972</t>
  </si>
  <si>
    <t>Diary of a madman, and other stories [by] Gogol; translated with an introduction by Ronald Wilks.</t>
  </si>
  <si>
    <t>London, England ; New York, New York : Penguin, 1972.</t>
  </si>
  <si>
    <t>4915391128:eng</t>
  </si>
  <si>
    <t>605933</t>
  </si>
  <si>
    <t>ocm00605933</t>
  </si>
  <si>
    <t>3102785311C</t>
  </si>
  <si>
    <t>9780140442731</t>
  </si>
  <si>
    <t>791426701</t>
  </si>
  <si>
    <t>PG3333 A15 1979</t>
  </si>
  <si>
    <t>0                      PG 3333000A  15          1979</t>
  </si>
  <si>
    <t>The overcoat, and other tales of good and evil / Nikolai V. Gogol ; translated with an introd. by David Magarshack.</t>
  </si>
  <si>
    <t>Cambridge, Mass. : R. Bentley, 1979, ©1957.</t>
  </si>
  <si>
    <t>2016-09-12</t>
  </si>
  <si>
    <t>5196831</t>
  </si>
  <si>
    <t>ocm05196831</t>
  </si>
  <si>
    <t>31028889791</t>
  </si>
  <si>
    <t>9780837604428</t>
  </si>
  <si>
    <t>792415290</t>
  </si>
  <si>
    <t>PG3333 A6 1994</t>
  </si>
  <si>
    <t>0                      PG 3333000A  6           1994</t>
  </si>
  <si>
    <t>Evenings near Dikanka ; and, Mirgorod / Nikolai Vasilevich Gogol ; translated and edited by Christopher English ; with an introduction by Richard Peace.</t>
  </si>
  <si>
    <t>5090968326:eng</t>
  </si>
  <si>
    <t>29598702</t>
  </si>
  <si>
    <t>ocm29598702</t>
  </si>
  <si>
    <t>3102899285B</t>
  </si>
  <si>
    <t>9780192828804</t>
  </si>
  <si>
    <t>793315806</t>
  </si>
  <si>
    <t>PG3333 A6 1995</t>
  </si>
  <si>
    <t>0                      PG 3333000A  6           1995</t>
  </si>
  <si>
    <t>Petersburg tales ; Marriage ; The government inspector / Nikolai Vasilyevich Gogol ; translated and edited by Christopher English ; with an introduction by Richard Peace.</t>
  </si>
  <si>
    <t>Oxford ; New York : Oxford University Press, 1995.</t>
  </si>
  <si>
    <t>2019-12-04</t>
  </si>
  <si>
    <t>28116631:eng</t>
  </si>
  <si>
    <t>32665661</t>
  </si>
  <si>
    <t>ocm32665661</t>
  </si>
  <si>
    <t>3102786966H</t>
  </si>
  <si>
    <t>9780192828811</t>
  </si>
  <si>
    <t>793391270</t>
  </si>
  <si>
    <t>PG3333 A6 1998</t>
  </si>
  <si>
    <t>0                      PG 3333000A  6           1998</t>
  </si>
  <si>
    <t>The collected tales of Nikolai Gogol / translated and annotated by Richard Pevear and Larissa Volokhonsky.</t>
  </si>
  <si>
    <t>New York : Pantheon Books, ©1998.</t>
  </si>
  <si>
    <t>2019-10-25</t>
  </si>
  <si>
    <t>2908788376:eng</t>
  </si>
  <si>
    <t>37567325</t>
  </si>
  <si>
    <t>ocm37567325</t>
  </si>
  <si>
    <t>3102931773H</t>
  </si>
  <si>
    <t>9780679430230</t>
  </si>
  <si>
    <t>793501706</t>
  </si>
  <si>
    <t>PG3333 A6 2005</t>
  </si>
  <si>
    <t>0                      PG 3333000A  6           2005</t>
  </si>
  <si>
    <t>Diary of a madman, The government inspector and selected stories / Nikolay Gogol ; translated with notes by Ronald Wilks ; with an introduction by Robert A. Maguire.</t>
  </si>
  <si>
    <t>London : Penguin, 2005.</t>
  </si>
  <si>
    <t>61702129</t>
  </si>
  <si>
    <t>ocm61702129</t>
  </si>
  <si>
    <t>31034425760</t>
  </si>
  <si>
    <t>9780140449075</t>
  </si>
  <si>
    <t>794091325</t>
  </si>
  <si>
    <t>PG3333 A6 2011</t>
  </si>
  <si>
    <t>0                      PG 3333000A  6           2011</t>
  </si>
  <si>
    <t>How the two Ivans quarrelled : and other Russian comic stories / [Nikolai Gogol] ; translated by Guy Daniels.</t>
  </si>
  <si>
    <t>Richmond, Surrey : Oneworld Classics, 2011.</t>
  </si>
  <si>
    <t>2018-08-27</t>
  </si>
  <si>
    <t>119910199:eng</t>
  </si>
  <si>
    <t>716834497</t>
  </si>
  <si>
    <t>ocn716834497</t>
  </si>
  <si>
    <t>31035290173</t>
  </si>
  <si>
    <t>9781847491732</t>
  </si>
  <si>
    <t>794874106</t>
  </si>
  <si>
    <t>PG3333 A7 1982</t>
  </si>
  <si>
    <t>0                      PG 3333000A  7           1982</t>
  </si>
  <si>
    <t>Arabesques / Nikolai Gogol ; translated by Alexander Tulloch ; introd. by Carl R. Proffer.</t>
  </si>
  <si>
    <t>2018-02-12</t>
  </si>
  <si>
    <t>2018-03-05</t>
  </si>
  <si>
    <t>4241368140:eng</t>
  </si>
  <si>
    <t>7795604</t>
  </si>
  <si>
    <t>ocm07795604</t>
  </si>
  <si>
    <t>3102690253S</t>
  </si>
  <si>
    <t>9780882334356</t>
  </si>
  <si>
    <t>792580086</t>
  </si>
  <si>
    <t>3102931768J</t>
  </si>
  <si>
    <t>792580085</t>
  </si>
  <si>
    <t>PG3333 M4 1985</t>
  </si>
  <si>
    <t>0                      PG 3333000M  4           1985</t>
  </si>
  <si>
    <t>Dead souls : the Reavey translation, backgrounds and sources, essays in criticism / Nikolai Gogol ; edited by George Gibian.</t>
  </si>
  <si>
    <t>New York : W.W. Norton, ©1985.</t>
  </si>
  <si>
    <t>4663543574:eng</t>
  </si>
  <si>
    <t>10725927</t>
  </si>
  <si>
    <t>ocm10725927</t>
  </si>
  <si>
    <t>3103592962V</t>
  </si>
  <si>
    <t>9780393952926</t>
  </si>
  <si>
    <t>792739814</t>
  </si>
  <si>
    <t>PG3333 M4 1996</t>
  </si>
  <si>
    <t>0                      PG 3333000M  4           1996</t>
  </si>
  <si>
    <t>Dead souls / Nikolai Gogol ; translated and annotated by Richard Pevear and Larissa Volokhonsky.</t>
  </si>
  <si>
    <t>New York : Pantheon Books, ©1996.</t>
  </si>
  <si>
    <t>32778450</t>
  </si>
  <si>
    <t>ocm32778450</t>
  </si>
  <si>
    <t>3102931782F</t>
  </si>
  <si>
    <t>9780679430223</t>
  </si>
  <si>
    <t>793393742</t>
  </si>
  <si>
    <t>PG3333 M4 1996b</t>
  </si>
  <si>
    <t>0                      PG 3333000M  4           1996b</t>
  </si>
  <si>
    <t>Dead souls / Nikolai Gogol ; translated by Bernard Guilbert Guerney ; revised, edited and with an introduction by Susanne Fusso.</t>
  </si>
  <si>
    <t>33009576</t>
  </si>
  <si>
    <t>ocm33009576</t>
  </si>
  <si>
    <t>3102931787F</t>
  </si>
  <si>
    <t>9780300060997</t>
  </si>
  <si>
    <t>793399598</t>
  </si>
  <si>
    <t>PG3333 M4 1998</t>
  </si>
  <si>
    <t>0                      PG 3333000M  4           1998</t>
  </si>
  <si>
    <t>Dead souls : a poem / Nikolai Vasilyevich Gogol ; translated and edited by Christopher English ; with an introduction by Robert Maguire.</t>
  </si>
  <si>
    <t>Oxford ; New York : Oxford University Press, 1998.</t>
  </si>
  <si>
    <t>2019-01-07</t>
  </si>
  <si>
    <t>38311639</t>
  </si>
  <si>
    <t>ocm38311639</t>
  </si>
  <si>
    <t>3102931763J</t>
  </si>
  <si>
    <t>9780192818379</t>
  </si>
  <si>
    <t>793521877</t>
  </si>
  <si>
    <t>PG3333 M4 2004</t>
  </si>
  <si>
    <t>0                      PG 3333000M  4           2004</t>
  </si>
  <si>
    <t>Dead souls / Nikolai Gogol ; translated from the Russian by Richard Pevear and Larissa Volokhonsky ; with an introduction by Richard Pevear.</t>
  </si>
  <si>
    <t>New York : Everyman's Library, 2004.</t>
  </si>
  <si>
    <t>55511405</t>
  </si>
  <si>
    <t>ocm55511405</t>
  </si>
  <si>
    <t>31036401007</t>
  </si>
  <si>
    <t>9781400043194</t>
  </si>
  <si>
    <t>793877585</t>
  </si>
  <si>
    <t>3103640109Q</t>
  </si>
  <si>
    <t>793877586</t>
  </si>
  <si>
    <t>PG3333 M4 2004b</t>
  </si>
  <si>
    <t>0                      PG 3333000M  4           2004b</t>
  </si>
  <si>
    <t>Dead souls : a poem / Nikolay Gogol ; translated with an introduction and notes by Robert A. Maguire.</t>
  </si>
  <si>
    <t>London ; New York : Penguin, 2004.</t>
  </si>
  <si>
    <t>2019-07-23</t>
  </si>
  <si>
    <t>56466515</t>
  </si>
  <si>
    <t>ocm56466515</t>
  </si>
  <si>
    <t>3103608752M</t>
  </si>
  <si>
    <t>9780140448078</t>
  </si>
  <si>
    <t>793893816</t>
  </si>
  <si>
    <t>PG3333 M5 1968</t>
  </si>
  <si>
    <t>0                      PG 3333000M  5           1968</t>
  </si>
  <si>
    <t>Mirgorod, including The old-world landowners, Taras Bulba, Viy, Ivan Ivanovich and Ivan Nikiforovich. Translated with an introd. by David Magarshack.</t>
  </si>
  <si>
    <t>[New York] Minerva Press [1968, ©1962]</t>
  </si>
  <si>
    <t>62581798:eng</t>
  </si>
  <si>
    <t>31161</t>
  </si>
  <si>
    <t>ocm00031161</t>
  </si>
  <si>
    <t>3102931804S</t>
  </si>
  <si>
    <t>791234189</t>
  </si>
  <si>
    <t>PG3333 N63 2011</t>
  </si>
  <si>
    <t>0                      PG 3333000N  63          2011</t>
  </si>
  <si>
    <t>The night before Christmas / Nikolai Gogol ; translated by Constance Garnett.</t>
  </si>
  <si>
    <t>New York : New Directions, ©2011.</t>
  </si>
  <si>
    <t>The New Directions pearls</t>
  </si>
  <si>
    <t>3065061:eng</t>
  </si>
  <si>
    <t>711051753</t>
  </si>
  <si>
    <t>ocn711051753</t>
  </si>
  <si>
    <t>3103408502A</t>
  </si>
  <si>
    <t>9780811219471</t>
  </si>
  <si>
    <t>794870849</t>
  </si>
  <si>
    <t>PG3333 R4 M3 1953</t>
  </si>
  <si>
    <t>0                      PG 3333000R  4                  M  3           1953</t>
  </si>
  <si>
    <t>The government inspector / by Nikolai V. Gogol ; translated and adapted by D.J. Campbell ; introduction by Janko Lavrin.</t>
  </si>
  <si>
    <t>London : Heimann, 1953 (1957 printing)</t>
  </si>
  <si>
    <t>Drama library</t>
  </si>
  <si>
    <t>2015-11-02</t>
  </si>
  <si>
    <t>691777:eng</t>
  </si>
  <si>
    <t>427854675</t>
  </si>
  <si>
    <t>ocn427854675</t>
  </si>
  <si>
    <t>30005510946</t>
  </si>
  <si>
    <t>794703380</t>
  </si>
  <si>
    <t>PG3333 T3 2003</t>
  </si>
  <si>
    <t>0                      PG 3333000T  3           2003</t>
  </si>
  <si>
    <t>Taras Bulba / Nikolai Gogol ; a new translation by Peter Constantine, introduction by Robert D. Kaplan.</t>
  </si>
  <si>
    <t>Modern Library ed.</t>
  </si>
  <si>
    <t>4917144371:eng</t>
  </si>
  <si>
    <t>50339644</t>
  </si>
  <si>
    <t>ocm50339644</t>
  </si>
  <si>
    <t>3102931822O</t>
  </si>
  <si>
    <t>9780679642558</t>
  </si>
  <si>
    <t>793761373</t>
  </si>
  <si>
    <t>PG3334 F5 1990</t>
  </si>
  <si>
    <t>0                      PG 3334000F  5           1990</t>
  </si>
  <si>
    <t>Oeuvres complètes / Nicolas Gogol ; édition publiée sous la direction de Gustave Aucouturier.</t>
  </si>
  <si>
    <t>[Paris] : Gallimard, 1990, ©1966.</t>
  </si>
  <si>
    <t>Bibliothèque de la Pléiade ; 185</t>
  </si>
  <si>
    <t>2016-09-17</t>
  </si>
  <si>
    <t>2734936:fre</t>
  </si>
  <si>
    <t>427232721</t>
  </si>
  <si>
    <t>ocn427232721</t>
  </si>
  <si>
    <t>31033857745</t>
  </si>
  <si>
    <t>9782070102419</t>
  </si>
  <si>
    <t>794548998</t>
  </si>
  <si>
    <t>PG3335 J46 1995</t>
  </si>
  <si>
    <t>0                      PG 3335000J  46          1995</t>
  </si>
  <si>
    <t>Gogol's aesthetics compared to major elements of German Romanticism / Rosemarie K. Jenness.</t>
  </si>
  <si>
    <t>Jenness, Rosemarie K. (Rosemarie Krais), 1956-</t>
  </si>
  <si>
    <t>New York : P. Lang, ©1995.</t>
  </si>
  <si>
    <t>Studies on themes and motifs in literature ; v. 14</t>
  </si>
  <si>
    <t>33190530:eng</t>
  </si>
  <si>
    <t>30738982</t>
  </si>
  <si>
    <t>ocm30738982</t>
  </si>
  <si>
    <t>3102931820O</t>
  </si>
  <si>
    <t>9780820426181</t>
  </si>
  <si>
    <t>793343754</t>
  </si>
  <si>
    <t>PG3335 K34</t>
  </si>
  <si>
    <t>0                      PG 3335000K  34</t>
  </si>
  <si>
    <t>The sexual labyrinth of Nikolai Gogol / Simon Karlinsky.</t>
  </si>
  <si>
    <t>Cambridge : Harvard University Press, 1976.</t>
  </si>
  <si>
    <t>4395883:eng</t>
  </si>
  <si>
    <t>2225044</t>
  </si>
  <si>
    <t>ocm02225044</t>
  </si>
  <si>
    <t>3103068850M</t>
  </si>
  <si>
    <t>9780674802810</t>
  </si>
  <si>
    <t>792069990</t>
  </si>
  <si>
    <t>2008-10-15</t>
  </si>
  <si>
    <t>3102931835M</t>
  </si>
  <si>
    <t>792069991</t>
  </si>
  <si>
    <t>PG3335 L52</t>
  </si>
  <si>
    <t>0                      PG 3335000L  52</t>
  </si>
  <si>
    <t>Nikolay Gogol / by Thaïs S. Lindstrom.</t>
  </si>
  <si>
    <t>Lindstrom, Thaïs S.</t>
  </si>
  <si>
    <t>New York : Twayne Publishers, ©1974.</t>
  </si>
  <si>
    <t>Twayne's world authors series ; TWAS 299. Russia</t>
  </si>
  <si>
    <t>3857823448:eng</t>
  </si>
  <si>
    <t>730791</t>
  </si>
  <si>
    <t>ocm00730791</t>
  </si>
  <si>
    <t>3102931819Q</t>
  </si>
  <si>
    <t>9780805723779</t>
  </si>
  <si>
    <t>791456980</t>
  </si>
  <si>
    <t>PG3335 M64 2002</t>
  </si>
  <si>
    <t>0                      PG 3335000M  64          2002</t>
  </si>
  <si>
    <t>Gogol's afterlife : the evolution of a classic in Imperial and Soviet Russia / Stephen Moeller-Sally.</t>
  </si>
  <si>
    <t>Moeller-Sally, Stephen.</t>
  </si>
  <si>
    <t>6188453:eng</t>
  </si>
  <si>
    <t>49602467</t>
  </si>
  <si>
    <t>ocm49602467</t>
  </si>
  <si>
    <t>3102931828O</t>
  </si>
  <si>
    <t>9780810118805</t>
  </si>
  <si>
    <t>793743846</t>
  </si>
  <si>
    <t>PG3335 N3 1961</t>
  </si>
  <si>
    <t>0                      PG 3335000N  3           1961</t>
  </si>
  <si>
    <t>Nikolai Gogol / by Vladimir Nabokov.</t>
  </si>
  <si>
    <t>Nabokov, Vladimir Vladimirovich, 1899-1977, author.</t>
  </si>
  <si>
    <t>New York : New Directions, [1961]</t>
  </si>
  <si>
    <t>A New Directions paperbook ; no. 78</t>
  </si>
  <si>
    <t>2016-11-24</t>
  </si>
  <si>
    <t>579730:eng</t>
  </si>
  <si>
    <t>321599</t>
  </si>
  <si>
    <t>ocm00321599</t>
  </si>
  <si>
    <t>3102931818Q</t>
  </si>
  <si>
    <t>9780811201209</t>
  </si>
  <si>
    <t>791336310</t>
  </si>
  <si>
    <t>PG3335 S4213</t>
  </si>
  <si>
    <t>0                      PG 3335000S  4213</t>
  </si>
  <si>
    <t>Gogol : his life and works / Vsevolod Setchkarev ; tr. Robert Kramer.</t>
  </si>
  <si>
    <t>Setchkarev, Vsevolod, 1914-1998.</t>
  </si>
  <si>
    <t>New York : New York University Press, 1965.</t>
  </si>
  <si>
    <t>149008372:eng</t>
  </si>
  <si>
    <t>40697465</t>
  </si>
  <si>
    <t>ocm40697465</t>
  </si>
  <si>
    <t>3102931807S</t>
  </si>
  <si>
    <t>793573197</t>
  </si>
  <si>
    <t>PG3335 Z55</t>
  </si>
  <si>
    <t>0                      PG 3335000Z  55</t>
  </si>
  <si>
    <t>Gogolʹ / Igorʹ Zolotusskiĭ.</t>
  </si>
  <si>
    <t>Zolotusskiĭ, Igorʹ.</t>
  </si>
  <si>
    <t>Moskva : Mol. gvardii︠a︡, 1979.</t>
  </si>
  <si>
    <t>Zhiznʹ zamechatelʹnykh li︠u︡deĭ. Serii︠a︡ biografiĭ vyp. 10 (595)</t>
  </si>
  <si>
    <t>2015-09-18</t>
  </si>
  <si>
    <t>4896361:rus</t>
  </si>
  <si>
    <t>6277612</t>
  </si>
  <si>
    <t>ocm06277612</t>
  </si>
  <si>
    <t>3102931865G</t>
  </si>
  <si>
    <t>792487470</t>
  </si>
  <si>
    <t>PG3335 Z65 G646 2014</t>
  </si>
  <si>
    <t>0                      PG 3335000Z  65                 G  646         2014</t>
  </si>
  <si>
    <t>Gogolʹ v Nezhinskoĭ gimnazii vysshikh nauk : antologii︠a︡ memuarov / sostaviteli i kommentatory: P.V. Mikhed, I︠U︡.V. I︠A︡kubina.</t>
  </si>
  <si>
    <t>2079555670:rus</t>
  </si>
  <si>
    <t>891174947</t>
  </si>
  <si>
    <t>ocn891174947</t>
  </si>
  <si>
    <t>31035856530</t>
  </si>
  <si>
    <t>9785914760523</t>
  </si>
  <si>
    <t>794979974</t>
  </si>
  <si>
    <t>PG3335 Z8 B4513 2009</t>
  </si>
  <si>
    <t>0                      PG 3335000Z  8                  B  4513        2009</t>
  </si>
  <si>
    <t>Gogol's artistry / Andrei Bely ; translated from the Russian and with an introduction by Christopher Colbath ; foreword by Vyacheslav Ivanov.</t>
  </si>
  <si>
    <t>Bely, Andrey, 1880-1934.</t>
  </si>
  <si>
    <t>Evanston, Ill. : Northwestern University Press, 2009.</t>
  </si>
  <si>
    <t>2017-03-21</t>
  </si>
  <si>
    <t>14712654:eng</t>
  </si>
  <si>
    <t>268787864</t>
  </si>
  <si>
    <t>ocn268787864</t>
  </si>
  <si>
    <t>3103086530X</t>
  </si>
  <si>
    <t>9780810125902</t>
  </si>
  <si>
    <t>794408350</t>
  </si>
  <si>
    <t>PG3335 Z8 G65 2012</t>
  </si>
  <si>
    <t>0                      PG 3335000Z  8                  G  65          2012</t>
  </si>
  <si>
    <t>Arkhetipy v poėtike N.V. Gogoli︠a︡ : monografii︠a︡ / A. Kh. Golʹdenberg.</t>
  </si>
  <si>
    <t>Golʹdenberg, A. Kh.</t>
  </si>
  <si>
    <t>Moskva : Izd-vo "Flinta" : Izd-vo "Nauka', 2012.</t>
  </si>
  <si>
    <t>2. izd., ispr. i dop.</t>
  </si>
  <si>
    <t>133253072:rus</t>
  </si>
  <si>
    <t>794819819</t>
  </si>
  <si>
    <t>ocn794819819</t>
  </si>
  <si>
    <t>31034867451</t>
  </si>
  <si>
    <t>9785976513280</t>
  </si>
  <si>
    <t>794920548</t>
  </si>
  <si>
    <t>PG3335 Z8 L68 2007</t>
  </si>
  <si>
    <t>0                      PG 3335000Z  8                  L  68          2007</t>
  </si>
  <si>
    <t>Thin culture, high art : Gogol, Hawthorne, and authorship in nineteenth-century Russia and America / Anne Lounsbery.</t>
  </si>
  <si>
    <t>Lounsbery, Anne.</t>
  </si>
  <si>
    <t>Cambridge, Mass. ; London : Harvard University Press, 2007.</t>
  </si>
  <si>
    <t>Harvard studies in comparative literature</t>
  </si>
  <si>
    <t>446125546:eng</t>
  </si>
  <si>
    <t>74523502</t>
  </si>
  <si>
    <t>ocm74523502</t>
  </si>
  <si>
    <t>3102805638X</t>
  </si>
  <si>
    <t>9780674023819</t>
  </si>
  <si>
    <t>794173153</t>
  </si>
  <si>
    <t>PG3335 Z8 M17 1994</t>
  </si>
  <si>
    <t>0                      PG 3335000Z  8                  M  17          1994</t>
  </si>
  <si>
    <t>Exploring Gogol / Robert A. Maguire.</t>
  </si>
  <si>
    <t>Maguire, Robert A., 1930-2005.</t>
  </si>
  <si>
    <t>2018-03-09</t>
  </si>
  <si>
    <t>32188788:eng</t>
  </si>
  <si>
    <t>30076944</t>
  </si>
  <si>
    <t>ocm30076944</t>
  </si>
  <si>
    <t>3102931866G</t>
  </si>
  <si>
    <t>9780804723206</t>
  </si>
  <si>
    <t>793329016</t>
  </si>
  <si>
    <t>PG3335 Z8 M18</t>
  </si>
  <si>
    <t>0                      PG 3335000Z  8                  M  18</t>
  </si>
  <si>
    <t>Gogol from the twentieth century; eleven essays. Selected, edited, translated, and introduced by Robert A. Maguire.</t>
  </si>
  <si>
    <t>Maguire, Robert A., 1930-2005, compiler.</t>
  </si>
  <si>
    <t>Princeton, N.J., Princeton University Press [1974]</t>
  </si>
  <si>
    <t>291232486:eng</t>
  </si>
  <si>
    <t>865972</t>
  </si>
  <si>
    <t>ocm00865972</t>
  </si>
  <si>
    <t>3102889128V</t>
  </si>
  <si>
    <t>9780691062686</t>
  </si>
  <si>
    <t>791490307</t>
  </si>
  <si>
    <t>PG3335 Z8 N26 2012</t>
  </si>
  <si>
    <t>0                      PG 3335000Z  8                  N  26          2012</t>
  </si>
  <si>
    <t>N.V. Gogolʹ i slavi︠a︡nskie literatury / redkollegii︠a︡: L.N. Budagova [and three others].</t>
  </si>
  <si>
    <t>Mezhdunarodnai︠a︡ konferent︠s︡ii︠a︡ "N.V. Gogolʹ i slavi︠a︡nskie literatury" (2009 : Moscow, Russia)</t>
  </si>
  <si>
    <t>Moskva : "Indrik", 2012.</t>
  </si>
  <si>
    <t>4440920121:rus</t>
  </si>
  <si>
    <t>823895034</t>
  </si>
  <si>
    <t>ocn823895034</t>
  </si>
  <si>
    <t>3103523047L</t>
  </si>
  <si>
    <t>9785916742282</t>
  </si>
  <si>
    <t>794937468</t>
  </si>
  <si>
    <t>PG3335 Z8 O39 2009</t>
  </si>
  <si>
    <t>0                      PG 3335000Z  8                  O  39          2009</t>
  </si>
  <si>
    <t>Phantasms of matter in Gogol (and Gombrowicz) / Michal Oklot.</t>
  </si>
  <si>
    <t>Oklot, Michal.</t>
  </si>
  <si>
    <t>Champaign, IL : Dalkey Archive Press, ©2009.</t>
  </si>
  <si>
    <t>21236747:eng</t>
  </si>
  <si>
    <t>228374556</t>
  </si>
  <si>
    <t>ocn228374556</t>
  </si>
  <si>
    <t>31030608979</t>
  </si>
  <si>
    <t>9781564784940</t>
  </si>
  <si>
    <t>794349405</t>
  </si>
  <si>
    <t>PG3335 Z8 P57 2010</t>
  </si>
  <si>
    <t>0                      PG 3335000Z  8                  P  57          2010</t>
  </si>
  <si>
    <t>Posledni︠a︡i︠a︡ kniga N.V. Gogoli︠a︡ : sbornik stateĭ i materialov / sostaviteli I.R. Monakhova, I.P. Zolotusskiĭ ; avtor predislovii︠a︡ I.P. Zolotusskiĭ.</t>
  </si>
  <si>
    <t>Moskva : Russkiĭ putʹ, 2010.</t>
  </si>
  <si>
    <t>964291563:rus</t>
  </si>
  <si>
    <t>646591147</t>
  </si>
  <si>
    <t>ocn646591147</t>
  </si>
  <si>
    <t>3103294924E</t>
  </si>
  <si>
    <t>9785858873532</t>
  </si>
  <si>
    <t>794830524</t>
  </si>
  <si>
    <t>PG3335 Z8 R66</t>
  </si>
  <si>
    <t>0                      PG 3335000Z  8                  R  66</t>
  </si>
  <si>
    <t>Through Gogol's looking glass : reverse vision, false focus, and precarious logic / William Woodin Rowe.</t>
  </si>
  <si>
    <t>New York : New York University Press, 1976.</t>
  </si>
  <si>
    <t>199063174:eng</t>
  </si>
  <si>
    <t>1859672</t>
  </si>
  <si>
    <t>ocm01859672</t>
  </si>
  <si>
    <t>31001434677</t>
  </si>
  <si>
    <t>9780814773666</t>
  </si>
  <si>
    <t>792001076</t>
  </si>
  <si>
    <t>3102931879E</t>
  </si>
  <si>
    <t>792001077</t>
  </si>
  <si>
    <t>PG3335 Z8 S52 1993</t>
  </si>
  <si>
    <t>0                      PG 3335000Z  8                  S  52          1993</t>
  </si>
  <si>
    <t>Nikolai Gogol and the Baroque cultural heritage / Gavriel Shapiro.</t>
  </si>
  <si>
    <t>Shapiro, Gavriel.</t>
  </si>
  <si>
    <t>University Park, Pa. : Pennsylvania State University Press, ©1993.</t>
  </si>
  <si>
    <t>20974917:eng</t>
  </si>
  <si>
    <t>25095007</t>
  </si>
  <si>
    <t>ocm25095007</t>
  </si>
  <si>
    <t>3102931874E</t>
  </si>
  <si>
    <t>9780271008615</t>
  </si>
  <si>
    <t>793212224</t>
  </si>
  <si>
    <t>PG3335 Z8 S55 1963</t>
  </si>
  <si>
    <t>0                      PG 3335000Z  8                  S  55          1963</t>
  </si>
  <si>
    <t>Tekhnika komicheskogo u Gogoli︠a︡. / Petrograd, Academia, 1923.</t>
  </si>
  <si>
    <t>Slonimskiĭ, A. L. (Aleksandr Leonidovich), 1884-1964.</t>
  </si>
  <si>
    <t>Providence : Brown University Press, 1963 [i.e. 1962]</t>
  </si>
  <si>
    <t>Rossiĭskiĭ institut istorii iskusstv. Voprosy poėtiki</t>
  </si>
  <si>
    <t>1860485:rus</t>
  </si>
  <si>
    <t>917716</t>
  </si>
  <si>
    <t>ocm00917716</t>
  </si>
  <si>
    <t>3102931864G</t>
  </si>
  <si>
    <t>791501802</t>
  </si>
  <si>
    <t>PG3335 Z8 W66 1982</t>
  </si>
  <si>
    <t>0                      PG 3335000Z  8                  W  66          1982</t>
  </si>
  <si>
    <t>The symbolic art of Gogol : essays on his short fiction / by James B. Woodward.</t>
  </si>
  <si>
    <t>Columbus, Ohio : Slavica, 1982, ©1981.</t>
  </si>
  <si>
    <t>222174848:eng</t>
  </si>
  <si>
    <t>10019246</t>
  </si>
  <si>
    <t>ocm10019246</t>
  </si>
  <si>
    <t>3102889123V</t>
  </si>
  <si>
    <t>9780893570934</t>
  </si>
  <si>
    <t>792704951</t>
  </si>
  <si>
    <t>PG3337 G6 O1213 2005</t>
  </si>
  <si>
    <t>0                      PG 3337000G  6                  O  1213        2005</t>
  </si>
  <si>
    <t>Oblomov / Ivan Goncharov ; translated by David Magarshack ; with an introduction by Milton Ehre.</t>
  </si>
  <si>
    <t>Goncharov, Ivan Aleksandrovich, 1812-1891.</t>
  </si>
  <si>
    <t>London ; New York : Penguin Books, ©2005.</t>
  </si>
  <si>
    <t>2018-09-11</t>
  </si>
  <si>
    <t>3377347461:eng</t>
  </si>
  <si>
    <t>62103847</t>
  </si>
  <si>
    <t>ocm62103847</t>
  </si>
  <si>
    <t>3103294762C</t>
  </si>
  <si>
    <t>9780140449877</t>
  </si>
  <si>
    <t>794100207</t>
  </si>
  <si>
    <t>PG3337 G6 O123 1915</t>
  </si>
  <si>
    <t>0                      PG 3337000G  6                  O  123         1915</t>
  </si>
  <si>
    <t>Oblomov / by I. Goncharov ; translated from the Russian by C.J. Hogarth.</t>
  </si>
  <si>
    <t>Goncharov, Ivan Alexandrovitch.</t>
  </si>
  <si>
    <t>London : Allen &amp; Unwin, [1915]</t>
  </si>
  <si>
    <t>9381047663:rus</t>
  </si>
  <si>
    <t>221103610</t>
  </si>
  <si>
    <t>ocn221103610</t>
  </si>
  <si>
    <t>3102931916N</t>
  </si>
  <si>
    <t>794324105</t>
  </si>
  <si>
    <t>PG3337 G6 O123 2010</t>
  </si>
  <si>
    <t>0                      PG 3337000G  6                  O  123         2010</t>
  </si>
  <si>
    <t>Roman I.A. Goncharova "Oblomov" : putevoditelʹ po tekstu : uchebnoe posobie / V.A. Nedzvet︠s︡kiĭ.</t>
  </si>
  <si>
    <t>Moskva : Izdatelʹstvo Moskovskogo universiteta, 2010.</t>
  </si>
  <si>
    <t>5619376567:rus</t>
  </si>
  <si>
    <t>739733064</t>
  </si>
  <si>
    <t>ocn739733064</t>
  </si>
  <si>
    <t>3103439802J</t>
  </si>
  <si>
    <t>9785211054394</t>
  </si>
  <si>
    <t>794883011</t>
  </si>
  <si>
    <t>PG3337 G6 O1233 1990</t>
  </si>
  <si>
    <t>0                      PG 3337000G  6                  O  1233        1990</t>
  </si>
  <si>
    <t>Oblomov, a Jungian approach : a literary image of the mother complex / Nathalie Baratoff.</t>
  </si>
  <si>
    <t>Baratoff, Nathalie.</t>
  </si>
  <si>
    <t>Bern ; New York : Peter Lang, 1990.</t>
  </si>
  <si>
    <t>European University studies. Series VI, Psychology ; vol. 302 = Publications universitaires européennes. Série VI, Psychologie ; vol. 302 = Europäische Hochschulschriften. Reihe VI, Psychologie ; Bd. 302</t>
  </si>
  <si>
    <t>2015-09-27</t>
  </si>
  <si>
    <t>152286337:eng</t>
  </si>
  <si>
    <t>22741154</t>
  </si>
  <si>
    <t>ocm22741154</t>
  </si>
  <si>
    <t>31026405449</t>
  </si>
  <si>
    <t>9783261041838</t>
  </si>
  <si>
    <t>793152621</t>
  </si>
  <si>
    <t>PG3337 G6 O12375 1991</t>
  </si>
  <si>
    <t>0                      PG 3337000G  6                  O  12375       1991</t>
  </si>
  <si>
    <t>Oblomov : a critical examination of Goncharov's novel / Richard Peace.</t>
  </si>
  <si>
    <t>Birmingham : Dept. of Russian Language and Literature, University of Birmingham, [1991]</t>
  </si>
  <si>
    <t>Birmingham Slavonic monographs, 0141-3805 ; no. 20</t>
  </si>
  <si>
    <t>2829782457:eng</t>
  </si>
  <si>
    <t>25724852</t>
  </si>
  <si>
    <t>ocm25724852</t>
  </si>
  <si>
    <t>3103249757J</t>
  </si>
  <si>
    <t>9780704411616</t>
  </si>
  <si>
    <t>793228658</t>
  </si>
  <si>
    <t>PG3337 G6 O1336 1998</t>
  </si>
  <si>
    <t>0                      PG 3337000G  6                  O  1336        1998</t>
  </si>
  <si>
    <t>Goncharov's Oblomov : a critical companion / edited by Galya Diment.</t>
  </si>
  <si>
    <t>837030662:eng</t>
  </si>
  <si>
    <t>38055987</t>
  </si>
  <si>
    <t>ocm38055987</t>
  </si>
  <si>
    <t>3102931847K</t>
  </si>
  <si>
    <t>9780810114050</t>
  </si>
  <si>
    <t>793514044</t>
  </si>
  <si>
    <t>PG3337 G6 O2 1979</t>
  </si>
  <si>
    <t>0                      PG 3337000G  6                  O  2           1979</t>
  </si>
  <si>
    <t>Obyknovenna︠ı︡a istori︠ı︡a : roman v dvukh chast︠ı︡akh / I.A. Goncharov.</t>
  </si>
  <si>
    <t>Moskva : Sovetska︠i︠ag Rossii︠a︡, 1979.</t>
  </si>
  <si>
    <t>3772036601:rus</t>
  </si>
  <si>
    <t>61538270</t>
  </si>
  <si>
    <t>ocm61538270</t>
  </si>
  <si>
    <t>3102931872E</t>
  </si>
  <si>
    <t>793969520</t>
  </si>
  <si>
    <t>PG3337 G6 O213 2015</t>
  </si>
  <si>
    <t>0                      PG 3337000G  6                  O  213         2015</t>
  </si>
  <si>
    <t>An ordinary story / Ivan Goncharov ; translated &amp; edited by Marjorie L. Hoover ; including the stage adaptation of the novel by Viktor Rozov.</t>
  </si>
  <si>
    <t>New York, NY : Ardis Publishers, Inc. in association with Overlook Duckworth, 2015.</t>
  </si>
  <si>
    <t>2018-11-30</t>
  </si>
  <si>
    <t>8906974462:eng</t>
  </si>
  <si>
    <t>889642497</t>
  </si>
  <si>
    <t>ocn889642497</t>
  </si>
  <si>
    <t>3103610722S</t>
  </si>
  <si>
    <t>9781468310764</t>
  </si>
  <si>
    <t>794978471</t>
  </si>
  <si>
    <t>PG3337 G6 O25 2003</t>
  </si>
  <si>
    <t>0                      PG 3337000G  6                  O  25          2003</t>
  </si>
  <si>
    <t>Oblomov : roman v chetyrekh chasti︠a︡kh / Ivan Aleksandrovich Goncharov.</t>
  </si>
  <si>
    <t>Moskva : ĖKSMO-PRESS, 2002.</t>
  </si>
  <si>
    <t>Russkai︠a︡ klassika</t>
  </si>
  <si>
    <t>10076459361:rus</t>
  </si>
  <si>
    <t>52148290</t>
  </si>
  <si>
    <t>ocm52148290</t>
  </si>
  <si>
    <t>3102998267D</t>
  </si>
  <si>
    <t>9785040060443</t>
  </si>
  <si>
    <t>793799597</t>
  </si>
  <si>
    <t>PG3337 G6 Z639 1997</t>
  </si>
  <si>
    <t>0                      PG 3337000G  6                  Z  639         1997</t>
  </si>
  <si>
    <t>Ivan Aleksandrovich Goncharov : mir tvorchestva / E. Krasnoshchekova.</t>
  </si>
  <si>
    <t>Krasnoshchekova, E. (Elena)</t>
  </si>
  <si>
    <t>Sankt-Peterburg : "Pushkinskiĭ fond", 1997.</t>
  </si>
  <si>
    <t>3857917381:rus</t>
  </si>
  <si>
    <t>39272249</t>
  </si>
  <si>
    <t>ocm39272249</t>
  </si>
  <si>
    <t>3102931924L</t>
  </si>
  <si>
    <t>9785857671122</t>
  </si>
  <si>
    <t>793542216</t>
  </si>
  <si>
    <t>PG3337 G6 Z6464</t>
  </si>
  <si>
    <t>0                      PG 3337000G  6                  Z  6464</t>
  </si>
  <si>
    <t>Ivan Goncharov / by Alexandra Lyngstad and Sverre Lyngstad.</t>
  </si>
  <si>
    <t>Lyngstad, Alexandra.</t>
  </si>
  <si>
    <t>New York : Twayne Publishers, [©1971]</t>
  </si>
  <si>
    <t>Twayne's world authors series ; TWAS 200. Russia</t>
  </si>
  <si>
    <t>1395918:eng</t>
  </si>
  <si>
    <t>354704</t>
  </si>
  <si>
    <t>ocm00354704</t>
  </si>
  <si>
    <t>3102931909P</t>
  </si>
  <si>
    <t>791348500</t>
  </si>
  <si>
    <t>PG3337 G6 Z89</t>
  </si>
  <si>
    <t>0                      PG 3337000G  6                  Z  89</t>
  </si>
  <si>
    <t>Ivan Goncharov; his life and his works [by] Vsevolod Setchkarev.</t>
  </si>
  <si>
    <t>Würzburg, Jal-Verlag, 1974.</t>
  </si>
  <si>
    <t>Colloquium slavicum ; Bd. 4</t>
  </si>
  <si>
    <t>213812249:eng</t>
  </si>
  <si>
    <t>1057390</t>
  </si>
  <si>
    <t>ocm01057390</t>
  </si>
  <si>
    <t>3102931883C</t>
  </si>
  <si>
    <t>9783777800912</t>
  </si>
  <si>
    <t>791535658</t>
  </si>
  <si>
    <t>PG3337 G6 1959</t>
  </si>
  <si>
    <t>0                      PG 3337000G  6           1959</t>
  </si>
  <si>
    <t>Sobranie sochineniǐ.</t>
  </si>
  <si>
    <t>Moskva Gos. izd-vo khudozh. lit-ry 1959-60.</t>
  </si>
  <si>
    <t>Biblioteka klassikov russkoǐ literatury</t>
  </si>
  <si>
    <t>9177987357:rus</t>
  </si>
  <si>
    <t>427854681</t>
  </si>
  <si>
    <t>ocn427854681</t>
  </si>
  <si>
    <t>3100810653V</t>
  </si>
  <si>
    <t>794703383</t>
  </si>
  <si>
    <t>2003-09-26</t>
  </si>
  <si>
    <t>3000551098Z</t>
  </si>
  <si>
    <t>794703385</t>
  </si>
  <si>
    <t>3100810654T</t>
  </si>
  <si>
    <t>794703382</t>
  </si>
  <si>
    <t>3100810655R</t>
  </si>
  <si>
    <t>794703381</t>
  </si>
  <si>
    <t>3100810652X</t>
  </si>
  <si>
    <t>794703384</t>
  </si>
  <si>
    <t>PG3337 G6 1997</t>
  </si>
  <si>
    <t>0                      PG 3337000G  6           1997</t>
  </si>
  <si>
    <t>Polnoe sobranie sochineniĭ i pisem v dvadt︠s︡ati tomakh / I.A. Goncharov ; [redakt︠s︡ionnai︠a︡ kollegii︠a︡ V.A. Kotelʹnikov ... V.A. Tunimanov (glavnyĭ redaktor) and others].</t>
  </si>
  <si>
    <t>Goncharov, Ivan Aleksandrovich, 1812-1891, author.</t>
  </si>
  <si>
    <t>Sankt-Peterburg : Nauka, 1997-&lt;2017&gt;</t>
  </si>
  <si>
    <t>1863584783:rus</t>
  </si>
  <si>
    <t>39328454</t>
  </si>
  <si>
    <t>ocm39328454</t>
  </si>
  <si>
    <t>31035856452</t>
  </si>
  <si>
    <t>9785020282575</t>
  </si>
  <si>
    <t>793543749</t>
  </si>
  <si>
    <t>2014-06-21</t>
  </si>
  <si>
    <t>31019095871</t>
  </si>
  <si>
    <t>793543758</t>
  </si>
  <si>
    <t>2018-04-05</t>
  </si>
  <si>
    <t>3102931900P</t>
  </si>
  <si>
    <t>793543755</t>
  </si>
  <si>
    <t>t.8:kn.1</t>
  </si>
  <si>
    <t>31031042860</t>
  </si>
  <si>
    <t>793543751</t>
  </si>
  <si>
    <t>2012-11-22</t>
  </si>
  <si>
    <t>3102931890A</t>
  </si>
  <si>
    <t>793543753</t>
  </si>
  <si>
    <t>3102931905P</t>
  </si>
  <si>
    <t>793543756</t>
  </si>
  <si>
    <t>3103766501E</t>
  </si>
  <si>
    <t>793543748</t>
  </si>
  <si>
    <t>3102931895A</t>
  </si>
  <si>
    <t>793543754</t>
  </si>
  <si>
    <t>t.8:kn.2</t>
  </si>
  <si>
    <t>3103334311L</t>
  </si>
  <si>
    <t>793543750</t>
  </si>
  <si>
    <t>PG3337 .G6 1997</t>
  </si>
  <si>
    <t>STANDING ORDER:V.8 ONWARDS</t>
  </si>
  <si>
    <t>B001165173</t>
  </si>
  <si>
    <t>793543747</t>
  </si>
  <si>
    <t>3101909580F</t>
  </si>
  <si>
    <t>793543757</t>
  </si>
  <si>
    <t>2013-08-15</t>
  </si>
  <si>
    <t>3102931885C</t>
  </si>
  <si>
    <t>793543752</t>
  </si>
  <si>
    <t>PG3337 G7 G6 1961</t>
  </si>
  <si>
    <t>0                      PG 3337000G  7                  G  6           1961</t>
  </si>
  <si>
    <t>Gore ot uma : komedii︠a︡ v chetyrekh deĭstvii︠a︡kh v stikhakh / A.S. Griboedov.</t>
  </si>
  <si>
    <t>Griboyedov, Aleksandr Sergeyevich, 1795-1829.</t>
  </si>
  <si>
    <t>Moskva : Gosud. izd-vo khudozh. lit-ry, 1961.</t>
  </si>
  <si>
    <t>477631234:rus</t>
  </si>
  <si>
    <t>2847158</t>
  </si>
  <si>
    <t>ocm02847158</t>
  </si>
  <si>
    <t>3101855983R</t>
  </si>
  <si>
    <t>792184610</t>
  </si>
  <si>
    <t>PG3337 G7 G666 2005</t>
  </si>
  <si>
    <t>0                      PG 3337000G  7                  G  666         2005</t>
  </si>
  <si>
    <t>Aleksandr Griboedov's Woe from wit : a commentary and translation / Mary Hobson.</t>
  </si>
  <si>
    <t>Hobson, Mary, 1926-</t>
  </si>
  <si>
    <t>Lewiston, N.Y. : Edwin Mellen Press, ©2005.</t>
  </si>
  <si>
    <t>Studies in Slavic languages and literature ; v. 25</t>
  </si>
  <si>
    <t>2015-10-01</t>
  </si>
  <si>
    <t>24929058:eng</t>
  </si>
  <si>
    <t>59360208</t>
  </si>
  <si>
    <t>ocm59360208</t>
  </si>
  <si>
    <t>3102647285J</t>
  </si>
  <si>
    <t>9780773461468</t>
  </si>
  <si>
    <t>793929571</t>
  </si>
  <si>
    <t>PG3337 G7 G6784 2008</t>
  </si>
  <si>
    <t>0                      PG 3337000G  7                  G  6784        2008</t>
  </si>
  <si>
    <t>Gore ot uma / A.S. Griboedov ; Komedii︠a︡ A.S. Griboedova "Gore ot uma" kommentariĭ / S.A. Fomichev ; Griboedovskai︠a︡ Moskva / M.O. Gershenzon.</t>
  </si>
  <si>
    <t>Sankt-Peterburg : Iskusstvo-SPB, 2008.</t>
  </si>
  <si>
    <t>Serii︠a︡ "Shkola teksta"</t>
  </si>
  <si>
    <t>9565772920:rus</t>
  </si>
  <si>
    <t>288916609</t>
  </si>
  <si>
    <t>ocn288916609</t>
  </si>
  <si>
    <t>31031014718</t>
  </si>
  <si>
    <t>9785210016232</t>
  </si>
  <si>
    <t>794421451</t>
  </si>
  <si>
    <t>PG3337 G7 Z685</t>
  </si>
  <si>
    <t>0                      PG 3337000G  7                  Z  685</t>
  </si>
  <si>
    <t>Griboedov--fakty i gipotezy / A. Lebedev.</t>
  </si>
  <si>
    <t>Lebedev, Aleksandr Aleksandrovich, active 1960-</t>
  </si>
  <si>
    <t>Moskva : Iskusstvo, 1980.</t>
  </si>
  <si>
    <t>2016-11-05</t>
  </si>
  <si>
    <t>10033579321:rus</t>
  </si>
  <si>
    <t>7196996</t>
  </si>
  <si>
    <t>ocm07196996</t>
  </si>
  <si>
    <t>31029195761</t>
  </si>
  <si>
    <t>792545456</t>
  </si>
  <si>
    <t>PG3337 G77 A6 1959</t>
  </si>
  <si>
    <t>0                      PG 3337000G  77                 A  6           1959</t>
  </si>
  <si>
    <t>Izbrannye proizvedeniia.</t>
  </si>
  <si>
    <t>Grigorovich, D. V. (Dmitriĭ Vasilʹevich), 1822-1899.</t>
  </si>
  <si>
    <t>Moskva : [publisher not identified], 1959.</t>
  </si>
  <si>
    <t>5342609636:rus</t>
  </si>
  <si>
    <t>427238877</t>
  </si>
  <si>
    <t>ocn427238877</t>
  </si>
  <si>
    <t>3102919584$</t>
  </si>
  <si>
    <t>794550268</t>
  </si>
  <si>
    <t>PG3337 G77 1896</t>
  </si>
  <si>
    <t>0                      PG 3337000G  77          1896</t>
  </si>
  <si>
    <t>Polnoe sobranīe sochinenīĭ.</t>
  </si>
  <si>
    <t>S.-Peterburg : Izd. A.F. Marksa, 1896.</t>
  </si>
  <si>
    <t>3., vnovʹ peresm. i ispr. avtorom izd.</t>
  </si>
  <si>
    <t>10033217172:rus</t>
  </si>
  <si>
    <t>5232230</t>
  </si>
  <si>
    <t>ocm05232230</t>
  </si>
  <si>
    <t>3103076214E</t>
  </si>
  <si>
    <t>792417864</t>
  </si>
  <si>
    <t>3103076215E</t>
  </si>
  <si>
    <t>792417866</t>
  </si>
  <si>
    <t>3103076220C</t>
  </si>
  <si>
    <t>792417860</t>
  </si>
  <si>
    <t>3103076213E</t>
  </si>
  <si>
    <t>792417863</t>
  </si>
  <si>
    <t>31008509226</t>
  </si>
  <si>
    <t>792417865</t>
  </si>
  <si>
    <t>3103076219E</t>
  </si>
  <si>
    <t>792417859</t>
  </si>
  <si>
    <t>v. 10</t>
  </si>
  <si>
    <t>3103076217E</t>
  </si>
  <si>
    <t>792417857</t>
  </si>
  <si>
    <t>v. 11</t>
  </si>
  <si>
    <t>3103076222C</t>
  </si>
  <si>
    <t>792417856</t>
  </si>
  <si>
    <t>3103076221C</t>
  </si>
  <si>
    <t>792417861</t>
  </si>
  <si>
    <t>3103076212E</t>
  </si>
  <si>
    <t>792417862</t>
  </si>
  <si>
    <t>3103076218E</t>
  </si>
  <si>
    <t>792417858</t>
  </si>
  <si>
    <t>v. 12</t>
  </si>
  <si>
    <t>3103076223C</t>
  </si>
  <si>
    <t>792417855</t>
  </si>
  <si>
    <t>PG3337 H4 K8 1969</t>
  </si>
  <si>
    <t>0                      PG 3337000H  4                  K  8           1969</t>
  </si>
  <si>
    <t>Kto vinovat? : roman v dvukh chasti︠a︡kh / A.I. Gert︠s︡en ; [vstupit. statʹi︠a︡ S. Rozanovoĭ].</t>
  </si>
  <si>
    <t>Herzen, Aleksandr, 1812-1870.</t>
  </si>
  <si>
    <t>Moskva : "Khudozhestvennai︠a︡ lit-ra", 1969.</t>
  </si>
  <si>
    <t>2016-10-26</t>
  </si>
  <si>
    <t>10075970224:rus</t>
  </si>
  <si>
    <t>18423347</t>
  </si>
  <si>
    <t>ocm18423347</t>
  </si>
  <si>
    <t>31029195535</t>
  </si>
  <si>
    <t>793025148</t>
  </si>
  <si>
    <t>PG3337 H4 K813 1984</t>
  </si>
  <si>
    <t>0                      PG 3337000H  4                  K  813         1984</t>
  </si>
  <si>
    <t>Who is to blame? : a novel in two parts / by Alexander Herzen ; translation, annotation, and introduction by Michael R. Katz.</t>
  </si>
  <si>
    <t>Ithaca : Cornell University Press, 1984.</t>
  </si>
  <si>
    <t>10141459178:eng</t>
  </si>
  <si>
    <t>10696269</t>
  </si>
  <si>
    <t>ocm10696269</t>
  </si>
  <si>
    <t>31029195633</t>
  </si>
  <si>
    <t>9780801414602</t>
  </si>
  <si>
    <t>792738016</t>
  </si>
  <si>
    <t>PG3337 K4 Z6 1939</t>
  </si>
  <si>
    <t>0                      PG 3337000K  4                  Z  6           1939</t>
  </si>
  <si>
    <t>A.S. Khomiakov et le mouvement slavophile.</t>
  </si>
  <si>
    <t>Gratieux, Albert, 1874-1951.</t>
  </si>
  <si>
    <t>Paris : Éditions du Cerf, 1939.</t>
  </si>
  <si>
    <t>Unam Sanctam ; 5-6</t>
  </si>
  <si>
    <t>288871202:fre</t>
  </si>
  <si>
    <t>1402952</t>
  </si>
  <si>
    <t>ocm01402952</t>
  </si>
  <si>
    <t>31029195771</t>
  </si>
  <si>
    <t>791619059</t>
  </si>
  <si>
    <t>PG3337 K42 P3613 2000</t>
  </si>
  <si>
    <t>0                      PG 3337000K  42                 P  3613        2000</t>
  </si>
  <si>
    <t>The boarding-school girl / Nadezhda Khvoshchinskaya ; translated from the Russian, annotated, and with an introduction by Karen Rosneck.</t>
  </si>
  <si>
    <t>Krestovskīĭ, V., 1824-1889.</t>
  </si>
  <si>
    <t>Evanston, Ill. : Northwestern University Press, 2000.</t>
  </si>
  <si>
    <t>2019-08-14</t>
  </si>
  <si>
    <t>27741562:eng</t>
  </si>
  <si>
    <t>42619703</t>
  </si>
  <si>
    <t>ocm42619703</t>
  </si>
  <si>
    <t>31029196346</t>
  </si>
  <si>
    <t>9780810117440</t>
  </si>
  <si>
    <t>793609840</t>
  </si>
  <si>
    <t>PG3337 K48 A55 1978</t>
  </si>
  <si>
    <t>0                      PG 3337000K  48                 A  55          1978</t>
  </si>
  <si>
    <t>Scritti filosofici / Ivan Vasilevič Kireevskij ; a cura di Angela Dioletta Siclari.</t>
  </si>
  <si>
    <t>Kireevskiĭ, Ivan Vasilʹevich, 1806-1856.</t>
  </si>
  <si>
    <t>Perugia : Benucci, 1978.</t>
  </si>
  <si>
    <t>ita</t>
  </si>
  <si>
    <t>Religione e filosofia / Centro internazionale di studi di filosofia della religione ; 6</t>
  </si>
  <si>
    <t>8908715322:ita</t>
  </si>
  <si>
    <t>32973519</t>
  </si>
  <si>
    <t>ocm32973519</t>
  </si>
  <si>
    <t>31029196298</t>
  </si>
  <si>
    <t>793398890</t>
  </si>
  <si>
    <t>PG3337 K48 Z59 1981</t>
  </si>
  <si>
    <t>0                      PG 3337000K  48                 Z  59          1981</t>
  </si>
  <si>
    <t>Arte e cultura nel romanticismo russo : I.V. Kireevskij / Angela Maria Dioletta Siclari.</t>
  </si>
  <si>
    <t>Dioletta Siclari, Angela Maria.</t>
  </si>
  <si>
    <t>Milano : F. Angeli, ©1981.</t>
  </si>
  <si>
    <t>Istituto di filosofia dell'Università di Parma ; 3</t>
  </si>
  <si>
    <t>367474836:ita</t>
  </si>
  <si>
    <t>9217424</t>
  </si>
  <si>
    <t>ocm09217424</t>
  </si>
  <si>
    <t>31029196248</t>
  </si>
  <si>
    <t>792664513</t>
  </si>
  <si>
    <t>PG3337 K48 Z7</t>
  </si>
  <si>
    <t>0                      PG 3337000K  48                 Z  7</t>
  </si>
  <si>
    <t>Russischer Intellekt in europäischer Krise. Ivan V. Kireevskij &lt;1806-1856&gt;.</t>
  </si>
  <si>
    <t>Müller, Eberhard, 1933-</t>
  </si>
  <si>
    <t>Köln, Böhlau, 1966.</t>
  </si>
  <si>
    <t>Beiträge zur Geschichte Osteuropas. Bd. 5</t>
  </si>
  <si>
    <t>365325918:ger</t>
  </si>
  <si>
    <t>1726348</t>
  </si>
  <si>
    <t>ocm01726348</t>
  </si>
  <si>
    <t>3102919614A</t>
  </si>
  <si>
    <t>791855375</t>
  </si>
  <si>
    <t>PG3337 L28 1963</t>
  </si>
  <si>
    <t>0                      PG 3337000L  28          1963</t>
  </si>
  <si>
    <t>Sochinenia.</t>
  </si>
  <si>
    <t>Lazhechnikov, I. I. (Ivan Ivanovich), 1792-1869.</t>
  </si>
  <si>
    <t>Moskva Gos. izd-vo khudozh. lit-ry 1963.</t>
  </si>
  <si>
    <t>314779953:rus</t>
  </si>
  <si>
    <t>427232661</t>
  </si>
  <si>
    <t>ocn427232661</t>
  </si>
  <si>
    <t>3100810643Y</t>
  </si>
  <si>
    <t>794548985</t>
  </si>
  <si>
    <t>2009-11-11</t>
  </si>
  <si>
    <t>3000793311D</t>
  </si>
  <si>
    <t>794548986</t>
  </si>
  <si>
    <t>PG3337 L4 A23 1967</t>
  </si>
  <si>
    <t>0                      PG 3337000L  4                  A  23          1967</t>
  </si>
  <si>
    <t>A Lermontov reader / edited, translated, and with an introduction by Guy Daniels.</t>
  </si>
  <si>
    <t>Lermontov, Mikhail I︠U︡rʹevich, 1814-1841.</t>
  </si>
  <si>
    <t>New York : Grosset &amp; Dunlap, 1967.</t>
  </si>
  <si>
    <t>Universal Library ed.</t>
  </si>
  <si>
    <t>2019-01-20</t>
  </si>
  <si>
    <t>1400954:eng</t>
  </si>
  <si>
    <t>1702119</t>
  </si>
  <si>
    <t>ocm01702119</t>
  </si>
  <si>
    <t>3000214928D</t>
  </si>
  <si>
    <t>791840659</t>
  </si>
  <si>
    <t>PG3337 L4 A24</t>
  </si>
  <si>
    <t>0                      PG 3337000L  4                  A  24</t>
  </si>
  <si>
    <t>The demon, and other poems [by] Mikhail Lermontov. Translated from the Russian by Eugene M. Kayden. Introd. by Sir Maurice Bowra.</t>
  </si>
  <si>
    <t>Yellow Springs, Ohio, Antioch Press, 1965.</t>
  </si>
  <si>
    <t>Classics of Russian poetry</t>
  </si>
  <si>
    <t>1370704:eng</t>
  </si>
  <si>
    <t>261496</t>
  </si>
  <si>
    <t>ocm00261496</t>
  </si>
  <si>
    <t>3102919618A</t>
  </si>
  <si>
    <t>791314249</t>
  </si>
  <si>
    <t>PG3337 L4 A6 1968b</t>
  </si>
  <si>
    <t>0                      PG 3337000L  4                  A  6           1968b</t>
  </si>
  <si>
    <t>Izbrannye proizvedenii︠a︡ / M.I︠U︡. Lermontov.</t>
  </si>
  <si>
    <t>[Leningrad] : Lenizdat, 1968.</t>
  </si>
  <si>
    <t>3768678683:rus</t>
  </si>
  <si>
    <t>22635565</t>
  </si>
  <si>
    <t>ocm22635565</t>
  </si>
  <si>
    <t>31029196288</t>
  </si>
  <si>
    <t>793149951</t>
  </si>
  <si>
    <t>PG3337 L4 A6 1973</t>
  </si>
  <si>
    <t>0                      PG 3337000L  4                  A  6           1973</t>
  </si>
  <si>
    <t>Izbrannye proizvedenii︠a︡ v dvukh tomakh / M. I︠U︡. Lermontov.; [vstup. stat'ia i primechaniia I.L. Andronikova].</t>
  </si>
  <si>
    <t>Moskva : Khudozhestvennaia lit-ra, 1973.</t>
  </si>
  <si>
    <t>2908485753:rus</t>
  </si>
  <si>
    <t>427251880</t>
  </si>
  <si>
    <t>ocn427251880</t>
  </si>
  <si>
    <t>31029196396</t>
  </si>
  <si>
    <t>794553448</t>
  </si>
  <si>
    <t>2004-11-15</t>
  </si>
  <si>
    <t>31029196386</t>
  </si>
  <si>
    <t>794553449</t>
  </si>
  <si>
    <t>PG3337 L4 G413 1958</t>
  </si>
  <si>
    <t>0                      PG 3337000L  4                  G  413         1958</t>
  </si>
  <si>
    <t>A hero of our time : a novel / by Mikhail Lermontov ; translated from the Russian by Vladimir Nabokov in collaboration with Dmitri Nabokov.</t>
  </si>
  <si>
    <t>Lermontov, Mikhail I︠U︡rʹevich, 1814-1841, author.</t>
  </si>
  <si>
    <t>Garden City, New York : Doubleday &amp; Company, Inc., 1958.</t>
  </si>
  <si>
    <t>Doubleday anchor books ; A133</t>
  </si>
  <si>
    <t>1395801:eng</t>
  </si>
  <si>
    <t>958337</t>
  </si>
  <si>
    <t>ocm00958337</t>
  </si>
  <si>
    <t>3102890265E</t>
  </si>
  <si>
    <t>791511704</t>
  </si>
  <si>
    <t>PG3337 L4 G413 1969</t>
  </si>
  <si>
    <t>0                      PG 3337000L  4                  G  413         1969</t>
  </si>
  <si>
    <t>A hero of our time [by] Mikhail Yurevich Lermontov. Translated from the Russian by Philip Longworth with an afterword by William E. Harkins.</t>
  </si>
  <si>
    <t>[London] Distributed by Heron Books [1969]</t>
  </si>
  <si>
    <t>The Greatest masterpieces of Russian literature</t>
  </si>
  <si>
    <t>22543818</t>
  </si>
  <si>
    <t>ocm22543818</t>
  </si>
  <si>
    <t>31036797904</t>
  </si>
  <si>
    <t>793147611</t>
  </si>
  <si>
    <t>PG3337 L4 G413 2009</t>
  </si>
  <si>
    <t>0                      PG 3337000L  4                  G  413         2009</t>
  </si>
  <si>
    <t>A hero of our time ; and, Princess Ligovskaya / Mikhail Lermontov ; translated by Martin Parker and Neil Cornwell.</t>
  </si>
  <si>
    <t>Richmond : Oneworld Classics, 2009.</t>
  </si>
  <si>
    <t>2019-10-01</t>
  </si>
  <si>
    <t>4037538856:eng</t>
  </si>
  <si>
    <t>315082475</t>
  </si>
  <si>
    <t>ocn315082475</t>
  </si>
  <si>
    <t>3103156901$</t>
  </si>
  <si>
    <t>9781847491213</t>
  </si>
  <si>
    <t>794439577</t>
  </si>
  <si>
    <t>PG3337 L4 G4133 2004</t>
  </si>
  <si>
    <t>0                      PG 3337000L  4                  G  4133        2004</t>
  </si>
  <si>
    <t>A hero of our time / Mikhail Lermontov ; translated, with a preface and notes, by Marian Schwartz ; introduction by Gary Shteyngart.</t>
  </si>
  <si>
    <t>New York : Modern Library, 2004.</t>
  </si>
  <si>
    <t>Modern Library classics</t>
  </si>
  <si>
    <t>2018-09-26</t>
  </si>
  <si>
    <t>53926794</t>
  </si>
  <si>
    <t>ocm53926794</t>
  </si>
  <si>
    <t>3102890270C</t>
  </si>
  <si>
    <t>9780812970760</t>
  </si>
  <si>
    <t>793853294</t>
  </si>
  <si>
    <t>PG3337 L4 G4133 2005</t>
  </si>
  <si>
    <t>0                      PG 3337000L  4                  G  4133        2005</t>
  </si>
  <si>
    <t>A hero of our time / Mikhail Lermontov ; translated by Hugh Aplin ; [foreword by Doris Lessing].</t>
  </si>
  <si>
    <t>London : Hesperus Press, 2005.</t>
  </si>
  <si>
    <t>57167460</t>
  </si>
  <si>
    <t>ocm57167460</t>
  </si>
  <si>
    <t>3102890279C</t>
  </si>
  <si>
    <t>9781843911067</t>
  </si>
  <si>
    <t>793907690</t>
  </si>
  <si>
    <t>PG3337 L4 G4133 2009</t>
  </si>
  <si>
    <t>0                      PG 3337000L  4                  G  4133        2009</t>
  </si>
  <si>
    <t>A hero of our time / Mikhail Lermontov ; translated with an introduction and notes by Natasha Randall ; foreword by Neil Labute.</t>
  </si>
  <si>
    <t>New York : Penguin Books, 2009.</t>
  </si>
  <si>
    <t>2019-12-02</t>
  </si>
  <si>
    <t>276819947</t>
  </si>
  <si>
    <t>ocn276819947</t>
  </si>
  <si>
    <t>3103083039N</t>
  </si>
  <si>
    <t>9780143105633</t>
  </si>
  <si>
    <t>794417261</t>
  </si>
  <si>
    <t>PG3337 L4 G4133 2016</t>
  </si>
  <si>
    <t>0                      PG 3337000L  4                  G  4133        2016</t>
  </si>
  <si>
    <t>A hero of our time : a novel / Mikhail Lermontov ; translated from the Russian and with an introduction by Elizabeth Cheresh Allen.</t>
  </si>
  <si>
    <t>Evanston, Illinois : Northwestern University Press, 2016.</t>
  </si>
  <si>
    <t>Northwestern world classics</t>
  </si>
  <si>
    <t>2018-11-20</t>
  </si>
  <si>
    <t>922729073</t>
  </si>
  <si>
    <t>ocn922729073</t>
  </si>
  <si>
    <t>31034227686</t>
  </si>
  <si>
    <t>9780810133518</t>
  </si>
  <si>
    <t>795004108</t>
  </si>
  <si>
    <t>PG3337 L4 G414 1946</t>
  </si>
  <si>
    <t>0                      PG 3337000L  4                  G  414         1946</t>
  </si>
  <si>
    <t>Un héros de notre temps : roman / Lermontov ; traduction de Pierre Josse.</t>
  </si>
  <si>
    <t>Paris : Éditions du Chêne, ©1946.</t>
  </si>
  <si>
    <t>2018-11-05</t>
  </si>
  <si>
    <t>1395801:fre</t>
  </si>
  <si>
    <t>35689842</t>
  </si>
  <si>
    <t>ocm35689842</t>
  </si>
  <si>
    <t>3102889190H</t>
  </si>
  <si>
    <t>793455073</t>
  </si>
  <si>
    <t>PG3337 L4 G42 1989</t>
  </si>
  <si>
    <t>0                      PG 3337000L  4                  G  42          1989</t>
  </si>
  <si>
    <t>A wicked irony : the rhetoric of Lermontov's A hero of our time / Andrew Barratt and A.D.P. Briggs.</t>
  </si>
  <si>
    <t>Barratt, Andrew.</t>
  </si>
  <si>
    <t>Bristol : Bristol Classical, 1989.</t>
  </si>
  <si>
    <t>20917006:eng</t>
  </si>
  <si>
    <t>59829730</t>
  </si>
  <si>
    <t>ocm59829730</t>
  </si>
  <si>
    <t>3102890275C</t>
  </si>
  <si>
    <t>9781853990205</t>
  </si>
  <si>
    <t>793932093</t>
  </si>
  <si>
    <t>PG3337 L4 G435 1987</t>
  </si>
  <si>
    <t>0                      PG 3337000L  4                  G  435         1987</t>
  </si>
  <si>
    <t>The ironic vision in Lermontov's A hero of our time / Marie Gilroy.</t>
  </si>
  <si>
    <t>Gilroy, Marie.</t>
  </si>
  <si>
    <t>Birmingham : University of Birmingham, [1989]</t>
  </si>
  <si>
    <t>Birmingham Slavonic monographs, 0141-3805 ; no. 19</t>
  </si>
  <si>
    <t>2016-09-29</t>
  </si>
  <si>
    <t>19897418:eng</t>
  </si>
  <si>
    <t>20298116</t>
  </si>
  <si>
    <t>ocm20298116</t>
  </si>
  <si>
    <t>3102889195H</t>
  </si>
  <si>
    <t>9780704409170</t>
  </si>
  <si>
    <t>793083631</t>
  </si>
  <si>
    <t>PG3337 L4 G49 2002</t>
  </si>
  <si>
    <t>0                      PG 3337000L  4                  G  49          2002</t>
  </si>
  <si>
    <t>Lermontov's A Hero of our time : a critical companion / edited by Lewis Bagby.</t>
  </si>
  <si>
    <t>Evanston, Ill. : Northwestern University Press : American Association of Teachers of Slavic and East European Languages, 2002.</t>
  </si>
  <si>
    <t>793904773:eng</t>
  </si>
  <si>
    <t>46315110</t>
  </si>
  <si>
    <t>ocm46315110</t>
  </si>
  <si>
    <t>3102889189J</t>
  </si>
  <si>
    <t>9780810116801</t>
  </si>
  <si>
    <t>793682247</t>
  </si>
  <si>
    <t>PG3337 L4 1948</t>
  </si>
  <si>
    <t>0                      PG 3337000L  4           1948</t>
  </si>
  <si>
    <t>Polnoe sobranie sochineniĭ / Mikhail I︠U︡rʹevich Lermontov.</t>
  </si>
  <si>
    <t>Moskva : Gos. izd-vo khudozh. lit-ry, 1948.</t>
  </si>
  <si>
    <t>2006-08-12</t>
  </si>
  <si>
    <t>197700747:rus</t>
  </si>
  <si>
    <t>3101151</t>
  </si>
  <si>
    <t>ocm03101151</t>
  </si>
  <si>
    <t>31025238592</t>
  </si>
  <si>
    <t>792217473</t>
  </si>
  <si>
    <t>31025238542</t>
  </si>
  <si>
    <t>792217472</t>
  </si>
  <si>
    <t>2010-08-20</t>
  </si>
  <si>
    <t>31025238650</t>
  </si>
  <si>
    <t>792217474</t>
  </si>
  <si>
    <t>2006-05-29</t>
  </si>
  <si>
    <t>31025238494</t>
  </si>
  <si>
    <t>792217475</t>
  </si>
  <si>
    <t>PG3337 L42 A44 2013</t>
  </si>
  <si>
    <t>0                      PG 3337000L  42                 A  44          2013</t>
  </si>
  <si>
    <t>Duėlʹ Lermontova s Marytnovym : Izyskanii︠a︡ i materialy / D.A. Alekseev.</t>
  </si>
  <si>
    <t>Alekseev, D. A. (Dmitriĭ Anatolʹevich), author.</t>
  </si>
  <si>
    <t>Moskva : Drevlekhranilishche, 2013.</t>
  </si>
  <si>
    <t>1367663892:rus</t>
  </si>
  <si>
    <t>852785891</t>
  </si>
  <si>
    <t>ocn852785891</t>
  </si>
  <si>
    <t>3103526903R</t>
  </si>
  <si>
    <t>9785936462153</t>
  </si>
  <si>
    <t>794951573</t>
  </si>
  <si>
    <t>PG3337 L42 G473 2012</t>
  </si>
  <si>
    <t>0                      PG 3337000L  42                 G  473         2012</t>
  </si>
  <si>
    <t>Podoben Bogu : retrospektiva zhizni M.I︠U︡. Lermontova / Andreĭ Ge.</t>
  </si>
  <si>
    <t>Gerasimenko, A. A. (Anatoliĭ Andreevich)</t>
  </si>
  <si>
    <t>Moskva : U Nikitskikh vorot, 2012.</t>
  </si>
  <si>
    <t>1171772524:rus</t>
  </si>
  <si>
    <t>812570497</t>
  </si>
  <si>
    <t>ocn812570497</t>
  </si>
  <si>
    <t>3103479698O</t>
  </si>
  <si>
    <t>9785913664600</t>
  </si>
  <si>
    <t>794931086</t>
  </si>
  <si>
    <t>PG3337 L42 K4</t>
  </si>
  <si>
    <t>0                      PG 3337000L  42                 K  4</t>
  </si>
  <si>
    <t>Lermontov : tragedy in the Caucasus / Laurence Kelly.</t>
  </si>
  <si>
    <t>Kelly, Laurence, 1933-</t>
  </si>
  <si>
    <t>London : Constable, 1977.</t>
  </si>
  <si>
    <t>54182813:eng</t>
  </si>
  <si>
    <t>3556698</t>
  </si>
  <si>
    <t>ocm03556698</t>
  </si>
  <si>
    <t>31028902978</t>
  </si>
  <si>
    <t>9780094617100</t>
  </si>
  <si>
    <t>792267903</t>
  </si>
  <si>
    <t>PG3337 L5 A12 1981</t>
  </si>
  <si>
    <t>0                      PG 3337000L  5                  A  12          1981</t>
  </si>
  <si>
    <t>Rasskazy / N.S. Leskov.</t>
  </si>
  <si>
    <t>Leskov, N. S. (Nikolaĭ Semenovich), 1831-1895.</t>
  </si>
  <si>
    <t>Moskva : Sov. Rossii︠a︡, 1981.</t>
  </si>
  <si>
    <t>2017-10-12</t>
  </si>
  <si>
    <t>4974888177:rus</t>
  </si>
  <si>
    <t>7807025</t>
  </si>
  <si>
    <t>ocm07807025</t>
  </si>
  <si>
    <t>3103742098P</t>
  </si>
  <si>
    <t>792580630</t>
  </si>
  <si>
    <t>2013-02-22</t>
  </si>
  <si>
    <t>30003672116</t>
  </si>
  <si>
    <t>792580629</t>
  </si>
  <si>
    <t>PG3337 L5 A247 2003</t>
  </si>
  <si>
    <t>0                      PG 3337000L  5                  A  247         2003</t>
  </si>
  <si>
    <t>The enchanted wanderer : selected tales / Nikolai Leskov ; translated by David Magarshack ; introduction by V.S. Pritchett.</t>
  </si>
  <si>
    <t>2003 Modern Library pbk. ed.</t>
  </si>
  <si>
    <t>2017-04-10</t>
  </si>
  <si>
    <t>2564798355:eng</t>
  </si>
  <si>
    <t>50322896</t>
  </si>
  <si>
    <t>ocm50322896</t>
  </si>
  <si>
    <t>3102347560W</t>
  </si>
  <si>
    <t>9780812966961</t>
  </si>
  <si>
    <t>793760823</t>
  </si>
  <si>
    <t>PG3337 L5 A33 1984</t>
  </si>
  <si>
    <t>0                      PG 3337000L  5                  A  33          1984</t>
  </si>
  <si>
    <t>"The sealed angel" and other stories / by Nikolay Leskov ; K.A. Lantz, editor and translator.</t>
  </si>
  <si>
    <t>Knoxville : University of Tennessee Press, ©1984.</t>
  </si>
  <si>
    <t>2017-10-13</t>
  </si>
  <si>
    <t>293782951:eng</t>
  </si>
  <si>
    <t>9762319</t>
  </si>
  <si>
    <t>ocm09762319</t>
  </si>
  <si>
    <t>30003606385</t>
  </si>
  <si>
    <t>9780870494116</t>
  </si>
  <si>
    <t>792692448</t>
  </si>
  <si>
    <t>PG3337 L5 E63 2013</t>
  </si>
  <si>
    <t>0                      PG 3337000L  5                  E  63          2013</t>
  </si>
  <si>
    <t>The enchanted wanderer and other stories / Nikolai Leskov ; translated, annotated and introduced by Richard Pevear and Larissa Volokhonsky.</t>
  </si>
  <si>
    <t>Leskov, N. S. (Nikolaĭ Semenovich), 1831-1895, author.</t>
  </si>
  <si>
    <t>London : Vintage Books, 2013.</t>
  </si>
  <si>
    <t>2014-02-27</t>
  </si>
  <si>
    <t>10142066131:eng</t>
  </si>
  <si>
    <t>822958979</t>
  </si>
  <si>
    <t>ocn822958979</t>
  </si>
  <si>
    <t>3103499268W</t>
  </si>
  <si>
    <t>9780099577355</t>
  </si>
  <si>
    <t>794936708</t>
  </si>
  <si>
    <t>PG3337 L5 O313 2012</t>
  </si>
  <si>
    <t>0                      PG 3337000L  5                  O  313         2012</t>
  </si>
  <si>
    <t>The enchanted wanderer / Nikolai Leskov ; translated by Ian Dreiblatt.</t>
  </si>
  <si>
    <t>Brooklyn, NY : Melville House Pub., ©2012.</t>
  </si>
  <si>
    <t>Art of the novella</t>
  </si>
  <si>
    <t>2013-05-30</t>
  </si>
  <si>
    <t>4020430295:eng</t>
  </si>
  <si>
    <t>764335938</t>
  </si>
  <si>
    <t>ocn764335938</t>
  </si>
  <si>
    <t>31034138772</t>
  </si>
  <si>
    <t>9781612191034</t>
  </si>
  <si>
    <t>794900338</t>
  </si>
  <si>
    <t>PG3337 L5 S613 2010</t>
  </si>
  <si>
    <t>0                      PG 3337000L  5                  S  613         2010</t>
  </si>
  <si>
    <t>The cathedral clergy : a chronicle / Nikolay Leskov ; translated, with an introduction by Margaret Winchell.</t>
  </si>
  <si>
    <t>Bloomington, Ind. : Slavica Publishers, 2010.</t>
  </si>
  <si>
    <t>2017-11-08</t>
  </si>
  <si>
    <t>28235151:eng</t>
  </si>
  <si>
    <t>657270912</t>
  </si>
  <si>
    <t>ocn657270912</t>
  </si>
  <si>
    <t>3103364834O</t>
  </si>
  <si>
    <t>9780893573737</t>
  </si>
  <si>
    <t>794835437</t>
  </si>
  <si>
    <t>PG3337 L5 Z77</t>
  </si>
  <si>
    <t>0                      PG 3337000L  5                  Z  77</t>
  </si>
  <si>
    <t>Nikolai Leskov : the man and his art / Hugh McLean.</t>
  </si>
  <si>
    <t>McLean, Hugh, 1925-2017.</t>
  </si>
  <si>
    <t>Cambridge, Mass. : Harvard University Press, 1977.</t>
  </si>
  <si>
    <t>2014-04-16</t>
  </si>
  <si>
    <t>2019-05-02</t>
  </si>
  <si>
    <t>863906158:eng</t>
  </si>
  <si>
    <t>2799199</t>
  </si>
  <si>
    <t>ocm02799199</t>
  </si>
  <si>
    <t>3102933588D</t>
  </si>
  <si>
    <t>9780674624719</t>
  </si>
  <si>
    <t>792178064</t>
  </si>
  <si>
    <t>3102933582D</t>
  </si>
  <si>
    <t>792178065</t>
  </si>
  <si>
    <t>PG3337 L5 Z933 2002</t>
  </si>
  <si>
    <t>0                      PG 3337000L  5                  Z  933         2002</t>
  </si>
  <si>
    <t>The organic worldview of Nikolai Leskov / Irmhild Christina Sperrle.</t>
  </si>
  <si>
    <t>Sperrle, Irmhild Christina.</t>
  </si>
  <si>
    <t>20643259:eng</t>
  </si>
  <si>
    <t>47805002</t>
  </si>
  <si>
    <t>ocm47805002</t>
  </si>
  <si>
    <t>3102197636I</t>
  </si>
  <si>
    <t>9780810117549</t>
  </si>
  <si>
    <t>793708412</t>
  </si>
  <si>
    <t>PG3337 L5 Z936 2010</t>
  </si>
  <si>
    <t>0                      PG 3337000L  5                  Z  936         2010</t>
  </si>
  <si>
    <t>Leskov i Nit︠s︡she : sravnitelʹnoe opisanie dvukh parallelʹnykh tvorcheskikh mirov / Aleksandr Toropt︠s︡ev.</t>
  </si>
  <si>
    <t>Toropt︠s︡ev, A. (Aleksandr)</t>
  </si>
  <si>
    <t>Moskva : Akademika, 2010.</t>
  </si>
  <si>
    <t>3771063029:rus</t>
  </si>
  <si>
    <t>697266088</t>
  </si>
  <si>
    <t>ocn697266088</t>
  </si>
  <si>
    <t>3103317930Y</t>
  </si>
  <si>
    <t>9785422500246</t>
  </si>
  <si>
    <t>794859819</t>
  </si>
  <si>
    <t>PG3337 L5 1956</t>
  </si>
  <si>
    <t>0                      PG 3337000L  5           1956</t>
  </si>
  <si>
    <t>Sobranie sochinenii / N.S. Leskov ; pod obshchei redaktsiei V.G. Bazanova ... [i dr.] ; v odinadtsati tomakh. T.7.</t>
  </si>
  <si>
    <t>Moskva : Gos. izd-vo khudozh. lit-ry, 1958.</t>
  </si>
  <si>
    <t>197254934:rus</t>
  </si>
  <si>
    <t>278146464</t>
  </si>
  <si>
    <t>ocn278146464</t>
  </si>
  <si>
    <t>3100810686G</t>
  </si>
  <si>
    <t>794419918</t>
  </si>
  <si>
    <t>3100810681Q</t>
  </si>
  <si>
    <t>794419913</t>
  </si>
  <si>
    <t>3100810692L</t>
  </si>
  <si>
    <t>794419926</t>
  </si>
  <si>
    <t>2014-09-18</t>
  </si>
  <si>
    <t>3100810688C</t>
  </si>
  <si>
    <t>794419920</t>
  </si>
  <si>
    <t>2009-03-20</t>
  </si>
  <si>
    <t>3100810685I</t>
  </si>
  <si>
    <t>794419917</t>
  </si>
  <si>
    <t>V. 11</t>
  </si>
  <si>
    <t>3100810751V</t>
  </si>
  <si>
    <t>794419922</t>
  </si>
  <si>
    <t>3100810689A</t>
  </si>
  <si>
    <t>794419921</t>
  </si>
  <si>
    <t>3100810682O</t>
  </si>
  <si>
    <t>794419914</t>
  </si>
  <si>
    <t>3100810741Y</t>
  </si>
  <si>
    <t>794419911</t>
  </si>
  <si>
    <t>3100810690P</t>
  </si>
  <si>
    <t>794419924</t>
  </si>
  <si>
    <t>3100810680S</t>
  </si>
  <si>
    <t>794419923</t>
  </si>
  <si>
    <t>2014-08-15</t>
  </si>
  <si>
    <t>3000616368O</t>
  </si>
  <si>
    <t>794419932</t>
  </si>
  <si>
    <t>3100810687E</t>
  </si>
  <si>
    <t>794419919</t>
  </si>
  <si>
    <t>3100810694H</t>
  </si>
  <si>
    <t>794419928</t>
  </si>
  <si>
    <t>3100810750X</t>
  </si>
  <si>
    <t>794419912</t>
  </si>
  <si>
    <t>2014-11-07</t>
  </si>
  <si>
    <t>3100810695F</t>
  </si>
  <si>
    <t>794419929</t>
  </si>
  <si>
    <t>3100810691N</t>
  </si>
  <si>
    <t>794419925</t>
  </si>
  <si>
    <t>3100810696D</t>
  </si>
  <si>
    <t>794419930</t>
  </si>
  <si>
    <t>3100810683M</t>
  </si>
  <si>
    <t>794419915</t>
  </si>
  <si>
    <t>3100810684K</t>
  </si>
  <si>
    <t>794419916</t>
  </si>
  <si>
    <t>2014-12-17</t>
  </si>
  <si>
    <t>3100810693J</t>
  </si>
  <si>
    <t>794419927</t>
  </si>
  <si>
    <t>2003-11-07</t>
  </si>
  <si>
    <t>3100810697B</t>
  </si>
  <si>
    <t>794419931</t>
  </si>
  <si>
    <t>PG3337 N4 Z796</t>
  </si>
  <si>
    <t>0                      PG 3337000N  4                  Z  796</t>
  </si>
  <si>
    <t>Nikolai Nekrasov, by M.B. Peppard.</t>
  </si>
  <si>
    <t>Peppard, Murray B., 1917-</t>
  </si>
  <si>
    <t>New York, Twayne Publishers [1967]</t>
  </si>
  <si>
    <t>Twayne's world authors series, TWAS 19</t>
  </si>
  <si>
    <t>1363529:eng</t>
  </si>
  <si>
    <t>258694</t>
  </si>
  <si>
    <t>ocm00258694</t>
  </si>
  <si>
    <t>3102933613O</t>
  </si>
  <si>
    <t>791312843</t>
  </si>
  <si>
    <t>PG3337 O25 1967</t>
  </si>
  <si>
    <t>0                      PG 3337000O  25          1967</t>
  </si>
  <si>
    <t>Polnoe sobranie stikhotvoreniĭ i pisem. Podgotovka teksta, biograficheskiĭ ocherk i kommentarii I.A. Kubasova. Vstupitel'nai︠a︡ stat'i︠a︡ i redaktsii︠a︡ D.D. Blagogo.</t>
  </si>
  <si>
    <t>Odoevskiĭ, Aleksandr Ivanovich, kni︠a︡zʹ, 1802-1839.</t>
  </si>
  <si>
    <t>Moskva, Academia, 1934; [The Hague], [Europe printing], [1967]</t>
  </si>
  <si>
    <t>Academia reprints ; no. 3</t>
  </si>
  <si>
    <t>3856263321:rus</t>
  </si>
  <si>
    <t>1682833</t>
  </si>
  <si>
    <t>ocm01682833</t>
  </si>
  <si>
    <t>3102933644I</t>
  </si>
  <si>
    <t>791831986</t>
  </si>
  <si>
    <t>PG3337 O3 A23 1992</t>
  </si>
  <si>
    <t>0                      PG 3337000O  3                  A  23          1992</t>
  </si>
  <si>
    <t>The salamander and other Gothic tales / Vladimir Odoevsky ; translated with an introduction by Neil Cornwell.</t>
  </si>
  <si>
    <t>Odoevskiĭ, V. F. (Vladimir Fedorovich), kni︠a︡zʹ, 1804-1869.</t>
  </si>
  <si>
    <t>London : Bristol Classical Press, 1992.</t>
  </si>
  <si>
    <t>375442773:eng</t>
  </si>
  <si>
    <t>27054548</t>
  </si>
  <si>
    <t>ocm27054548</t>
  </si>
  <si>
    <t>3102933643I</t>
  </si>
  <si>
    <t>9781853992278</t>
  </si>
  <si>
    <t>793257935</t>
  </si>
  <si>
    <t>PG3337 O3 A3 2016</t>
  </si>
  <si>
    <t>0                      PG 3337000O  3                  A  3           2016</t>
  </si>
  <si>
    <t>Les Contes bigarrés et autres nouvelles / Vladimir Odoïevski ; traduction et édition critique par Victoire Feuillebois.</t>
  </si>
  <si>
    <t>Odoevskiĭ, V. F. (Vladimir Fedorovich), kni︠a︡zʹ, 1804-1869, author.</t>
  </si>
  <si>
    <t>Paris : Classiques Garnier, 2016.</t>
  </si>
  <si>
    <t>Littératures du monde, 2115-5674 ; 16</t>
  </si>
  <si>
    <t>3536646539:fre</t>
  </si>
  <si>
    <t>950440023</t>
  </si>
  <si>
    <t>ocn950440023</t>
  </si>
  <si>
    <t>31037087761</t>
  </si>
  <si>
    <t>9782812436116</t>
  </si>
  <si>
    <t>795016585</t>
  </si>
  <si>
    <t>PG3337 O3 R813 1997</t>
  </si>
  <si>
    <t>0                      PG 3337000O  3                  R  813         1997</t>
  </si>
  <si>
    <t>Russian nights / by V.F. Odoevsky ; translated by Olga Koshansky-Olienikov and Ralph E. Matlaw ; introduction by Robert E. Matlaw ; afterword by Neil Cornwell.</t>
  </si>
  <si>
    <t>Evanston, Ill. : Northwestern University Press, 1997.</t>
  </si>
  <si>
    <t>Northwestern University Press ed.</t>
  </si>
  <si>
    <t>2016-08-14</t>
  </si>
  <si>
    <t>4495043180:eng</t>
  </si>
  <si>
    <t>36066136</t>
  </si>
  <si>
    <t>ocm36066136</t>
  </si>
  <si>
    <t>3102933652G</t>
  </si>
  <si>
    <t>9780810115200</t>
  </si>
  <si>
    <t>793465495</t>
  </si>
  <si>
    <t>PG3337 O3 Z58 2010</t>
  </si>
  <si>
    <t>0                      PG 3337000O  3                  Z  58          2010</t>
  </si>
  <si>
    <t>Odoevsky's four pathways into modern fiction : a comparative study / Neil Cornwell.</t>
  </si>
  <si>
    <t>Cornwell, Neil.</t>
  </si>
  <si>
    <t>Manchester ; New York : Manchester University Press : Distributed in the United States exclusively by Palgrave Macmillan, 2010.</t>
  </si>
  <si>
    <t>796539597:eng</t>
  </si>
  <si>
    <t>449857682</t>
  </si>
  <si>
    <t>ocn449857682</t>
  </si>
  <si>
    <t>3103231527V</t>
  </si>
  <si>
    <t>9780719082092</t>
  </si>
  <si>
    <t>794787496</t>
  </si>
  <si>
    <t>PG3337 O8 A23</t>
  </si>
  <si>
    <t>0                      PG 3337000O  8                  A  23</t>
  </si>
  <si>
    <t>Five plays. Translated and edited by Eugene K. Bristow.</t>
  </si>
  <si>
    <t>Ostrovsky, Aleksandr Nikolaevich, 1823-1886, author.</t>
  </si>
  <si>
    <t>New York, Pegasus [1969]</t>
  </si>
  <si>
    <t>2542393787:eng</t>
  </si>
  <si>
    <t>10668</t>
  </si>
  <si>
    <t>ocm00010668</t>
  </si>
  <si>
    <t>3102933759D</t>
  </si>
  <si>
    <t>791227321</t>
  </si>
  <si>
    <t>PG3337 O8 S6 1966</t>
  </si>
  <si>
    <t>0                      PG 3337000O  8                  S  6           1966</t>
  </si>
  <si>
    <t>Snegurochka : vesenni︠a︡i︠a︡ skazka v chetyrekh deĭstvii︠a︡kh s prologom / A.N. Ostrovskiĭ ; illi︠u︡strat︠s︡ii i oformlenie A. Ermolaeva.</t>
  </si>
  <si>
    <t>Moskva : Izdatelʹstvo "Detskai︠a︡ literatura", 1966.</t>
  </si>
  <si>
    <t>1812735041:rus</t>
  </si>
  <si>
    <t>22838106</t>
  </si>
  <si>
    <t>ocm22838106</t>
  </si>
  <si>
    <t>3102820894P</t>
  </si>
  <si>
    <t>793154873</t>
  </si>
  <si>
    <t>PG3337 P35 A17 1964</t>
  </si>
  <si>
    <t>0                      PG 3337000P  35                 A  17          1964</t>
  </si>
  <si>
    <t>Polnoe sobranie stikhotvoreniĭ / Karolina Pavlova ; vstupitelʹnai︠a︡ statʹi︠a︡ P.P. Gromova ; podgotovka teksta i primechanii︠a︡ N.M. Gaĭdenkova.</t>
  </si>
  <si>
    <t>Pavlova, Karolina, 1807-1893.</t>
  </si>
  <si>
    <t>Moskva : Sovetskiĭ pisatel', 1964.</t>
  </si>
  <si>
    <t>Biblioteka poėta. Bolʹshai︠a︡ serii︠a︡.</t>
  </si>
  <si>
    <t>3856588335:rus</t>
  </si>
  <si>
    <t>3066251</t>
  </si>
  <si>
    <t>ocm03066251</t>
  </si>
  <si>
    <t>3000795779R</t>
  </si>
  <si>
    <t>792212952</t>
  </si>
  <si>
    <t>PG3337 P35 D813</t>
  </si>
  <si>
    <t>0                      PG 3337000P  35                 D  813</t>
  </si>
  <si>
    <t>A double life / Karolina Pavlova ; translated and with an introd. by Barbara Heldt Monter.</t>
  </si>
  <si>
    <t>Ann Arbor, Mich. : Ardis, ©1978.</t>
  </si>
  <si>
    <t>657671:eng</t>
  </si>
  <si>
    <t>3898011</t>
  </si>
  <si>
    <t>ocm03898011</t>
  </si>
  <si>
    <t>3000462330G</t>
  </si>
  <si>
    <t>9780882332239</t>
  </si>
  <si>
    <t>792302935</t>
  </si>
  <si>
    <t>PG3337 P35 D8613 2019</t>
  </si>
  <si>
    <t>0                      PG 3337000P  35                 D  8613        2019</t>
  </si>
  <si>
    <t>A double life / Karolina Pavlova ; translated and with an introduction by Barbara Heldt.</t>
  </si>
  <si>
    <t>Pavlova, Karolina, 1807-1893, author.</t>
  </si>
  <si>
    <t>New York : Columbia University Press, [2019]</t>
  </si>
  <si>
    <t>Russian library</t>
  </si>
  <si>
    <t>2019-10-28</t>
  </si>
  <si>
    <t>1035462577</t>
  </si>
  <si>
    <t>on1035462577</t>
  </si>
  <si>
    <t>3103903412D</t>
  </si>
  <si>
    <t>9780231190787</t>
  </si>
  <si>
    <t>795057644</t>
  </si>
  <si>
    <t>3103903413B</t>
  </si>
  <si>
    <t>795057645</t>
  </si>
  <si>
    <t>PG3337 P35 Z65 2001</t>
  </si>
  <si>
    <t>0                      PG 3337000P  35                 Z  65          2001</t>
  </si>
  <si>
    <t>Essays on Karolina Pavlova / edited by Susanne Fusso and Alexander Lehrman.</t>
  </si>
  <si>
    <t>3863860880:eng</t>
  </si>
  <si>
    <t>45314738</t>
  </si>
  <si>
    <t>ocm45314738</t>
  </si>
  <si>
    <t>3102093536C</t>
  </si>
  <si>
    <t>9780810115446</t>
  </si>
  <si>
    <t>793669168</t>
  </si>
  <si>
    <t>PG3337 P5 1895</t>
  </si>
  <si>
    <t>0                      PG 3337000P  5           1895</t>
  </si>
  <si>
    <t>Pisemskiĭ, A. F. (Alekseĭ Feofilaktovich), 1820-1881.</t>
  </si>
  <si>
    <t>S.-Peterburg : [publisher not identified], 1895-1896.</t>
  </si>
  <si>
    <t>1895</t>
  </si>
  <si>
    <t>2-oe posmertnoe polnoe izd.</t>
  </si>
  <si>
    <t>2019-10-13</t>
  </si>
  <si>
    <t>10032559625:rus</t>
  </si>
  <si>
    <t>427250826</t>
  </si>
  <si>
    <t>ocn427250826</t>
  </si>
  <si>
    <t>3103225428N</t>
  </si>
  <si>
    <t>794553091</t>
  </si>
  <si>
    <t>V. 13</t>
  </si>
  <si>
    <t>3103225447J</t>
  </si>
  <si>
    <t>794553086</t>
  </si>
  <si>
    <t>V. 19</t>
  </si>
  <si>
    <t>3103225453H</t>
  </si>
  <si>
    <t>794553080</t>
  </si>
  <si>
    <t>V. 16</t>
  </si>
  <si>
    <t>3103225443J</t>
  </si>
  <si>
    <t>794553083</t>
  </si>
  <si>
    <t>2002-01-20</t>
  </si>
  <si>
    <t>3103225432L</t>
  </si>
  <si>
    <t>794553090</t>
  </si>
  <si>
    <t>V. 15</t>
  </si>
  <si>
    <t>3103225439L</t>
  </si>
  <si>
    <t>794553084</t>
  </si>
  <si>
    <t>V. 17</t>
  </si>
  <si>
    <t>3103225448J</t>
  </si>
  <si>
    <t>794553082</t>
  </si>
  <si>
    <t>V. 18</t>
  </si>
  <si>
    <t>3103225452H</t>
  </si>
  <si>
    <t>794553081</t>
  </si>
  <si>
    <t>V. 14</t>
  </si>
  <si>
    <t>3103225438L</t>
  </si>
  <si>
    <t>794553085</t>
  </si>
  <si>
    <t>3103225462F</t>
  </si>
  <si>
    <t>794553095</t>
  </si>
  <si>
    <t>V. 23</t>
  </si>
  <si>
    <t>3103225449J</t>
  </si>
  <si>
    <t>794553076</t>
  </si>
  <si>
    <t>3103225427N</t>
  </si>
  <si>
    <t>794553092</t>
  </si>
  <si>
    <t>3103225477D</t>
  </si>
  <si>
    <t>794553098</t>
  </si>
  <si>
    <t>V. 12</t>
  </si>
  <si>
    <t>3103225442J</t>
  </si>
  <si>
    <t>794553087</t>
  </si>
  <si>
    <t>3103225472D</t>
  </si>
  <si>
    <t>794553093</t>
  </si>
  <si>
    <t>3103225437L</t>
  </si>
  <si>
    <t>794553088</t>
  </si>
  <si>
    <t>3103225482B</t>
  </si>
  <si>
    <t>794553097</t>
  </si>
  <si>
    <t>V. 22</t>
  </si>
  <si>
    <t>3103225457H</t>
  </si>
  <si>
    <t>794553077</t>
  </si>
  <si>
    <t>V. 24</t>
  </si>
  <si>
    <t>3103225444J</t>
  </si>
  <si>
    <t>794553075</t>
  </si>
  <si>
    <t>3103225467F</t>
  </si>
  <si>
    <t>794553094</t>
  </si>
  <si>
    <t>V. 21</t>
  </si>
  <si>
    <t>3103225434L</t>
  </si>
  <si>
    <t>794553078</t>
  </si>
  <si>
    <t>3103225487B</t>
  </si>
  <si>
    <t>794553096</t>
  </si>
  <si>
    <t>V. 20</t>
  </si>
  <si>
    <t>3103225429N</t>
  </si>
  <si>
    <t>794553079</t>
  </si>
  <si>
    <t>V.10</t>
  </si>
  <si>
    <t>3103225433L</t>
  </si>
  <si>
    <t>794553089</t>
  </si>
  <si>
    <t>PG3337 P73 A6 1980</t>
  </si>
  <si>
    <t>0                      PG 3337000P  73                 A  6           1980</t>
  </si>
  <si>
    <t>Izbrannoe / N.G. Pomi︠a︡lovskiĭ.</t>
  </si>
  <si>
    <t>Pomi︠a︡lovskiĭ, N. G. (Nikolaĭ Gerasimovich), 1835-1863.</t>
  </si>
  <si>
    <t>Minsk : "Nauka i tekhnika", 1980.</t>
  </si>
  <si>
    <t>43296534:rus</t>
  </si>
  <si>
    <t>7654075</t>
  </si>
  <si>
    <t>ocm07654075</t>
  </si>
  <si>
    <t>3102933731H</t>
  </si>
  <si>
    <t>792572720</t>
  </si>
  <si>
    <t>PG3340 A1 1964a</t>
  </si>
  <si>
    <t>0                      PG 3340000A  1           1964a</t>
  </si>
  <si>
    <t>Sochinenii︠a︡.</t>
  </si>
  <si>
    <t>Moskva, Khudozh. lit-ra, 1964.</t>
  </si>
  <si>
    <t>3373035518:rus</t>
  </si>
  <si>
    <t>41284676</t>
  </si>
  <si>
    <t>ocm41284676</t>
  </si>
  <si>
    <t>3102933807K</t>
  </si>
  <si>
    <t>793588200</t>
  </si>
  <si>
    <t>PG3340 A1 1977</t>
  </si>
  <si>
    <t>0                      PG 3340000A  1           1977</t>
  </si>
  <si>
    <t>Polnoe sobranie sochineniĭ / A.S. Pushkin.</t>
  </si>
  <si>
    <t>Leningrad : Nauka, 1977-1979.</t>
  </si>
  <si>
    <t>Izd. 4.</t>
  </si>
  <si>
    <t>3374520601:rus</t>
  </si>
  <si>
    <t>7168468</t>
  </si>
  <si>
    <t>ocm07168468</t>
  </si>
  <si>
    <t>31029337985</t>
  </si>
  <si>
    <t>792543190</t>
  </si>
  <si>
    <t>3102933803K</t>
  </si>
  <si>
    <t>792543191</t>
  </si>
  <si>
    <t>31029337887</t>
  </si>
  <si>
    <t>792543189</t>
  </si>
  <si>
    <t>2004-11-16</t>
  </si>
  <si>
    <t>31029337799</t>
  </si>
  <si>
    <t>792543184</t>
  </si>
  <si>
    <t>31029337789</t>
  </si>
  <si>
    <t>792543187</t>
  </si>
  <si>
    <t>3102933808K</t>
  </si>
  <si>
    <t>792543193</t>
  </si>
  <si>
    <t>31029337837</t>
  </si>
  <si>
    <t>792543188</t>
  </si>
  <si>
    <t>31029337739</t>
  </si>
  <si>
    <t>792543186</t>
  </si>
  <si>
    <t>3102933802K</t>
  </si>
  <si>
    <t>792543192</t>
  </si>
  <si>
    <t>2015-07-24</t>
  </si>
  <si>
    <t>31029337749</t>
  </si>
  <si>
    <t>792543185</t>
  </si>
  <si>
    <t>PG3340 .A1 1999</t>
  </si>
  <si>
    <t>0                      PG 3340000A  1           1999</t>
  </si>
  <si>
    <t>Polnoe sobranie sochineniĭ v dvadt︠s︡ati tomakh / A.S. Pushkin ; redakt︠s︡ionnai︠a︡ kollegii︠a︡ N.N. Skatov (glavnyĭ redaktor) [and 15 others].</t>
  </si>
  <si>
    <t>Pushkin, Aleksandr Sergeevich, 1799-1837, author.</t>
  </si>
  <si>
    <t>Sankt-Peterburg : "Nauka", 1999-&lt;2016&gt;</t>
  </si>
  <si>
    <t>4440861527:rus</t>
  </si>
  <si>
    <t>42663908</t>
  </si>
  <si>
    <t>ocm42663908</t>
  </si>
  <si>
    <t>B001166046</t>
  </si>
  <si>
    <t>9785020283428</t>
  </si>
  <si>
    <t>793611012</t>
  </si>
  <si>
    <t>PG3340 A1 1999</t>
  </si>
  <si>
    <t>T.1</t>
  </si>
  <si>
    <t>3102933768B</t>
  </si>
  <si>
    <t>793611011</t>
  </si>
  <si>
    <t>T.2</t>
  </si>
  <si>
    <t>3102933763B</t>
  </si>
  <si>
    <t>793611010</t>
  </si>
  <si>
    <t>PG3340 .A1 2007</t>
  </si>
  <si>
    <t>0                      PG 3340000A  1           2007</t>
  </si>
  <si>
    <t>Sochinenii︠a︡ : kommentirovannoe izdanie / Pushkin ; pod obshcheĭ redakt︠s︡ieĭ Dėvida M. Betea.</t>
  </si>
  <si>
    <t>Moskva : Novoe izd-vo, 2007-&lt;2016&gt;</t>
  </si>
  <si>
    <t>2015-10-08</t>
  </si>
  <si>
    <t>1059244286:rus</t>
  </si>
  <si>
    <t>164826591</t>
  </si>
  <si>
    <t>ocn164826591</t>
  </si>
  <si>
    <t>B001651542</t>
  </si>
  <si>
    <t>9785983790766</t>
  </si>
  <si>
    <t>794259007</t>
  </si>
  <si>
    <t>PG3340 A1 2007</t>
  </si>
  <si>
    <t>vyp.1:ch.1</t>
  </si>
  <si>
    <t>3103026522S</t>
  </si>
  <si>
    <t>794259008</t>
  </si>
  <si>
    <t>PG3340 A17 2009</t>
  </si>
  <si>
    <t>0                      PG 3340000A  17          2009</t>
  </si>
  <si>
    <t>Stikhotvorenii︠a︡ i poėmy / Aleksandr Pushkin.</t>
  </si>
  <si>
    <t>Moskva : Ėksmo, 2009.</t>
  </si>
  <si>
    <t>2019-07-03</t>
  </si>
  <si>
    <t>5217082596:rus</t>
  </si>
  <si>
    <t>1050869982</t>
  </si>
  <si>
    <t>on1050869982</t>
  </si>
  <si>
    <t>3103143917E</t>
  </si>
  <si>
    <t>9785699329717</t>
  </si>
  <si>
    <t>795061601</t>
  </si>
  <si>
    <t>PG3340 A3 1954</t>
  </si>
  <si>
    <t>0                      PG 3340000A  3           1954</t>
  </si>
  <si>
    <t>Sochinenii︠a︡ v trekh tomakh.</t>
  </si>
  <si>
    <t>Moscow : Khudozhestvennai︠a︡ literature, 1954.</t>
  </si>
  <si>
    <t>2014-01-15</t>
  </si>
  <si>
    <t>2016-09-22</t>
  </si>
  <si>
    <t>2564805893:rus</t>
  </si>
  <si>
    <t>427251129</t>
  </si>
  <si>
    <t>ocn427251129</t>
  </si>
  <si>
    <t>3103076406A</t>
  </si>
  <si>
    <t>794553301</t>
  </si>
  <si>
    <t>3103076404A</t>
  </si>
  <si>
    <t>794553299</t>
  </si>
  <si>
    <t>3103076405A</t>
  </si>
  <si>
    <t>794553300</t>
  </si>
  <si>
    <t>PG3341 K65 2007</t>
  </si>
  <si>
    <t>0                      PG 3341000K  65          2007</t>
  </si>
  <si>
    <t>Lirika ; Evgeniĭ Onegin ; Mednyĭ vsadnik ; Pikovai︠a︡ dama, Povesti Belkina ; Malenʹkie tragedii ; Skazki / Aleksandr Sergeevich Pushkin ; [otv. redaktor L. Kli︠u︡shnik].</t>
  </si>
  <si>
    <t>Moskva : ĖKSMO, 2007.</t>
  </si>
  <si>
    <t>Biblioteka velikikh pisateleĭ. Brokgauz-Efron</t>
  </si>
  <si>
    <t>2019-09-30</t>
  </si>
  <si>
    <t>266510:rus</t>
  </si>
  <si>
    <t>427861981</t>
  </si>
  <si>
    <t>ocn427861981</t>
  </si>
  <si>
    <t>31033407846</t>
  </si>
  <si>
    <t>9785850508791</t>
  </si>
  <si>
    <t>794704134</t>
  </si>
  <si>
    <t>PG3341 S5 1984</t>
  </si>
  <si>
    <t>0                      PG 3341000S  5           1984</t>
  </si>
  <si>
    <t>Istoricheskie zametki : istoricheskai︠a︡ proza, zametki / Aleksandr Pushkin ; [sostavlenie i posleslovie Nikolai︠a︡ Nikolaevicha Skatova].</t>
  </si>
  <si>
    <t>Leningrad : Lenizdat, 1984.</t>
  </si>
  <si>
    <t>Biblioteka Stranit︠s︡y istorii Otechestva</t>
  </si>
  <si>
    <t>10033013140:rus</t>
  </si>
  <si>
    <t>12491332</t>
  </si>
  <si>
    <t>ocm12491332</t>
  </si>
  <si>
    <t>3102933855A</t>
  </si>
  <si>
    <t>792816707</t>
  </si>
  <si>
    <t>PG3343 B6 1965</t>
  </si>
  <si>
    <t>0                      PG 3343000B  6           1965</t>
  </si>
  <si>
    <t>Boris Godunov. With introduction, notes and vocabulary by Victor Terras.</t>
  </si>
  <si>
    <t>Letchworth (Herts.) Bradda [1965]</t>
  </si>
  <si>
    <t>Library of Russian classics</t>
  </si>
  <si>
    <t>4927578532:rus</t>
  </si>
  <si>
    <t>9767940</t>
  </si>
  <si>
    <t>ocm09767940</t>
  </si>
  <si>
    <t>31032950004</t>
  </si>
  <si>
    <t>792692722</t>
  </si>
  <si>
    <t>PG3343 B6 1970</t>
  </si>
  <si>
    <t>0                      PG 3343000B  6           1970</t>
  </si>
  <si>
    <t>Boris Godunov / Alexander Pushkin ; russian text with translation and notes by Philip L. Barbour.</t>
  </si>
  <si>
    <t>[Ann Arbor, Mich.] : [University Microfilms], [1970]</t>
  </si>
  <si>
    <t>2015-09-30</t>
  </si>
  <si>
    <t>4927578532:eng</t>
  </si>
  <si>
    <t>427205105</t>
  </si>
  <si>
    <t>ocn427205105</t>
  </si>
  <si>
    <t>31029338608</t>
  </si>
  <si>
    <t>794541095</t>
  </si>
  <si>
    <t>PG3343 B6 2008</t>
  </si>
  <si>
    <t>0                      PG 3343000B  6           2008</t>
  </si>
  <si>
    <t>Boris Godunov / Pushkin.</t>
  </si>
  <si>
    <t>Moskva : Novoe izdatelʹstvo, ©2008.</t>
  </si>
  <si>
    <t>Pushkin. Sochinenii︠a︡: kommentirovannoe izdanie pod obshcheĭ redakt︠s︡ieĭ Devida M. Betea ; vyp. 2</t>
  </si>
  <si>
    <t>10032641809:rus</t>
  </si>
  <si>
    <t>225876096</t>
  </si>
  <si>
    <t>ocn225876096</t>
  </si>
  <si>
    <t>3103499575L</t>
  </si>
  <si>
    <t>9785983791077</t>
  </si>
  <si>
    <t>794343206</t>
  </si>
  <si>
    <t>PG3343 B64 C57 2004</t>
  </si>
  <si>
    <t>0                      PG 3343000B  64                 C  57          2004</t>
  </si>
  <si>
    <t>Dimitry's shade : a reading of Alexander Pushkin's Boris Godunov / J. Douglas Clayton.</t>
  </si>
  <si>
    <t>Clayton, J. Douglas.</t>
  </si>
  <si>
    <t>312744009:eng</t>
  </si>
  <si>
    <t>50316312</t>
  </si>
  <si>
    <t>ocm50316312</t>
  </si>
  <si>
    <t>3102933854A</t>
  </si>
  <si>
    <t>9780810119383</t>
  </si>
  <si>
    <t>793760712</t>
  </si>
  <si>
    <t>PG3343 E33 O2 1984</t>
  </si>
  <si>
    <t>0                      PG 3343000E  33                 O  2           1984</t>
  </si>
  <si>
    <t>Pushkin's Egyptian nights : the biography of a work / Leslie O'Bell.</t>
  </si>
  <si>
    <t>O'Bell, Leslie.</t>
  </si>
  <si>
    <t>3301737:eng</t>
  </si>
  <si>
    <t>10123341</t>
  </si>
  <si>
    <t>ocm10123341</t>
  </si>
  <si>
    <t>3102933844C</t>
  </si>
  <si>
    <t>9780882339252</t>
  </si>
  <si>
    <t>792710175</t>
  </si>
  <si>
    <t>PG3343 E8 C58 1985</t>
  </si>
  <si>
    <t>0                      PG 3343000E  8                  C  58          1985</t>
  </si>
  <si>
    <t>Ice and flame : Aleksandr Pushkin's Eugene Onegin / J. Douglas Clayton.</t>
  </si>
  <si>
    <t>Toronto ; Buffalo : University of Toronto Press, ©1985.</t>
  </si>
  <si>
    <t>365656398:eng</t>
  </si>
  <si>
    <t>16803188</t>
  </si>
  <si>
    <t>ocm16803188</t>
  </si>
  <si>
    <t>3102933823G</t>
  </si>
  <si>
    <t>9780802056559</t>
  </si>
  <si>
    <t>792972989</t>
  </si>
  <si>
    <t>2009-12-21</t>
  </si>
  <si>
    <t>3102933818I</t>
  </si>
  <si>
    <t>792972988</t>
  </si>
  <si>
    <t>PG3343 E8 1953</t>
  </si>
  <si>
    <t>0                      PG 3343000E  8           1953</t>
  </si>
  <si>
    <t>Evgenij Onegin : a novel in verse / the Russian text edited with introd. and commentary by Dmitry C̆iz̆evsky.</t>
  </si>
  <si>
    <t>Cambridge : Harvard University Press, 1953.</t>
  </si>
  <si>
    <t>3943430302:rus</t>
  </si>
  <si>
    <t>769661</t>
  </si>
  <si>
    <t>ocm00769661</t>
  </si>
  <si>
    <t>3102933829G</t>
  </si>
  <si>
    <t>791466255</t>
  </si>
  <si>
    <t>2005-12-18</t>
  </si>
  <si>
    <t>3102933824G</t>
  </si>
  <si>
    <t>791466254</t>
  </si>
  <si>
    <t>PG3343 E8 1960</t>
  </si>
  <si>
    <t>0                      PG 3343000E  8           1960</t>
  </si>
  <si>
    <t>Evgeniĭ Onegin / A.S. Pushkin = Eugene Onegin / A.S. Pushkin ; preface by Ronald Hingley.</t>
  </si>
  <si>
    <t>London : Bradda Books, 1960.</t>
  </si>
  <si>
    <t>Russian plain texts</t>
  </si>
  <si>
    <t>4451786161:eng</t>
  </si>
  <si>
    <t>312618</t>
  </si>
  <si>
    <t>ocm00312618</t>
  </si>
  <si>
    <t>3103358286L</t>
  </si>
  <si>
    <t>791333309</t>
  </si>
  <si>
    <t>PG3343 E8 1966</t>
  </si>
  <si>
    <t>0                      PG 3343000E  8           1966</t>
  </si>
  <si>
    <t>Evgeniĭ Onegin : roman v stikhakh / A. Pushkin ; khudozhnik L.I︠A︡. Timoshenko.</t>
  </si>
  <si>
    <t>Moskva : Izd-vo Khudozh. lit-ra, 1966.</t>
  </si>
  <si>
    <t>2018-04-21</t>
  </si>
  <si>
    <t>9013643878:rus</t>
  </si>
  <si>
    <t>8199764</t>
  </si>
  <si>
    <t>ocm08199764</t>
  </si>
  <si>
    <t>3102933848C</t>
  </si>
  <si>
    <t>792605149</t>
  </si>
  <si>
    <t>PG3343 E8 1975</t>
  </si>
  <si>
    <t>0                      PG 3343000E  8           1975</t>
  </si>
  <si>
    <t>Evgeniĭ Onegin : roman v stikhakh / A.S. Pushkin ; illi︠u︡strat︠s︡ii N. Kuzʹmina.</t>
  </si>
  <si>
    <t>Moskva : Khudozh. lit-ra, 1975.</t>
  </si>
  <si>
    <t>2019-11-10</t>
  </si>
  <si>
    <t>48157988</t>
  </si>
  <si>
    <t>ocm48157988</t>
  </si>
  <si>
    <t>31032949990</t>
  </si>
  <si>
    <t>793717232</t>
  </si>
  <si>
    <t>PG3343 E8 1999</t>
  </si>
  <si>
    <t>0                      PG 3343000E  8           1999</t>
  </si>
  <si>
    <t>Evgeniĭ Onegin : roman v stikhakh / A.S. Pushkin ; risunki A.S. Pushkina ; kommentariĭ I︠U︡. M. Lotmana.</t>
  </si>
  <si>
    <t>Sankt-Peterburg : Kulʹt Inform Press Letniĭ Sad, 1999.</t>
  </si>
  <si>
    <t>2019-11-07</t>
  </si>
  <si>
    <t>10076300075:rus</t>
  </si>
  <si>
    <t>45662829</t>
  </si>
  <si>
    <t>ocm45662829</t>
  </si>
  <si>
    <t>3103005737Y</t>
  </si>
  <si>
    <t>9785839201651</t>
  </si>
  <si>
    <t>793675853</t>
  </si>
  <si>
    <t>PG3343 E83 B75 1992</t>
  </si>
  <si>
    <t>0                      PG 3343000E  83                 B  75          1992</t>
  </si>
  <si>
    <t>Alexander Pushkin, Eugene Onegin / A.D.P. Briggs.</t>
  </si>
  <si>
    <t>Briggs, A. D. P.</t>
  </si>
  <si>
    <t>Cambridge ; New York : Cambridge University Press, 1992.</t>
  </si>
  <si>
    <t>5534552040:eng</t>
  </si>
  <si>
    <t>24953770</t>
  </si>
  <si>
    <t>ocm24953770</t>
  </si>
  <si>
    <t>3102933828G</t>
  </si>
  <si>
    <t>9780521384728</t>
  </si>
  <si>
    <t>793208938</t>
  </si>
  <si>
    <t>PG3343 E83 D35 1997</t>
  </si>
  <si>
    <t>0                      PG 3343000E  83                 D  35          1997</t>
  </si>
  <si>
    <t>Pushkin's Evgenii Onegin / S. Dalton-Brown.</t>
  </si>
  <si>
    <t>Dalton-Brown, S. (Sally), author.</t>
  </si>
  <si>
    <t>816252:eng</t>
  </si>
  <si>
    <t>37858374</t>
  </si>
  <si>
    <t>ocm37858374</t>
  </si>
  <si>
    <t>3102933857A</t>
  </si>
  <si>
    <t>9781853994739</t>
  </si>
  <si>
    <t>793508564</t>
  </si>
  <si>
    <t>PG3343 E83 H37 1999</t>
  </si>
  <si>
    <t>0                      PG 3343000E  83                 H  37          1999</t>
  </si>
  <si>
    <t>Pushkin's Tatiana / Olga Peters Hasty.</t>
  </si>
  <si>
    <t>Hasty, Olga Peters.</t>
  </si>
  <si>
    <t>Madison : University of Wisconsin Press, ©1999.</t>
  </si>
  <si>
    <t>25726717:eng</t>
  </si>
  <si>
    <t>41017310</t>
  </si>
  <si>
    <t>ocm41017310</t>
  </si>
  <si>
    <t>3102933852A</t>
  </si>
  <si>
    <t>9780299164003</t>
  </si>
  <si>
    <t>793581930</t>
  </si>
  <si>
    <t>PG3343 E83 N33 1998</t>
  </si>
  <si>
    <t>0                      PG 3343000E  83                 N  33          1998</t>
  </si>
  <si>
    <t>Kommentariĭ k romanu A.S. Pushkina "Evgeniĭ Onegin" / Vladimir Nabokov ; [nauchnyǐ redaktor i avtor vstupitelʹnoǐ statʹi V.P. Stark ; perevod s angliĭskogo, E.M. Vidre and others].</t>
  </si>
  <si>
    <t>Sankt-Peterburg : Iskusstvo-SPB : Nabokovskiĭ fond, ©1998.</t>
  </si>
  <si>
    <t>3858093138:rus</t>
  </si>
  <si>
    <t>41890002</t>
  </si>
  <si>
    <t>ocm41890002</t>
  </si>
  <si>
    <t>3102933837E</t>
  </si>
  <si>
    <t>9785210014900</t>
  </si>
  <si>
    <t>793598308</t>
  </si>
  <si>
    <t>PG3343 E83 S56 2014</t>
  </si>
  <si>
    <t>0                      PG 3343000E  83                 S  56          2014</t>
  </si>
  <si>
    <t>"Evgeniĭ Onegin" : konstruktivnye print︠s︡ipy : monografii︠a︡ / E.V. Sint︠s︡ov.</t>
  </si>
  <si>
    <t>Sint︠s︡ov, E. V (Evgeniĭ Vasilʹevich), author.</t>
  </si>
  <si>
    <t>Kazanʹ : Kazanskiĭ gosudarstvennyĭ ėnergeticheskiĭ universitet, 2014.</t>
  </si>
  <si>
    <t>2896622833:rus</t>
  </si>
  <si>
    <t>936060201</t>
  </si>
  <si>
    <t>ocn936060201</t>
  </si>
  <si>
    <t>3103641413I</t>
  </si>
  <si>
    <t>9785898734107</t>
  </si>
  <si>
    <t>795010345</t>
  </si>
  <si>
    <t>PG3343 G73 S68 2010</t>
  </si>
  <si>
    <t>0                      PG 3343000G  73                 S  68          2010</t>
  </si>
  <si>
    <t>Psevdolotman : istoriko-bytovoĭ kommentariĭ k poėme A.S. Pushkina "Graf Nulin" / V.M. Sretenskiĭ.</t>
  </si>
  <si>
    <t>Sretenskiĭ, V. M.</t>
  </si>
  <si>
    <t>Moskva : Posev, 2010.</t>
  </si>
  <si>
    <t>2012-05-17</t>
  </si>
  <si>
    <t>1120124723:rus</t>
  </si>
  <si>
    <t>593265512</t>
  </si>
  <si>
    <t>ocn593265512</t>
  </si>
  <si>
    <t>3103355813T</t>
  </si>
  <si>
    <t>9785858241973</t>
  </si>
  <si>
    <t>794814897</t>
  </si>
  <si>
    <t>PG3343 K313 2007</t>
  </si>
  <si>
    <t>0                      PG 3343000K  313         2007</t>
  </si>
  <si>
    <t>The captain's daughter / Alexander Pushkin ; translated by Robert and Elizabeth Chandler.</t>
  </si>
  <si>
    <t>Hesperus Press classics</t>
  </si>
  <si>
    <t>2017-06-18</t>
  </si>
  <si>
    <t>4915416371:eng</t>
  </si>
  <si>
    <t>85691827</t>
  </si>
  <si>
    <t>ocm85691827</t>
  </si>
  <si>
    <t>31025724131</t>
  </si>
  <si>
    <t>9781843911548</t>
  </si>
  <si>
    <t>794214220</t>
  </si>
  <si>
    <t>PG3343 M43 B75 1990</t>
  </si>
  <si>
    <t>0                      PG 3343000M  43                 B  75          1990</t>
  </si>
  <si>
    <t>A comparative study of Pushkin's The bronze horseman, Nekrasov's Red-nosed frost, and Blok's The twelve : the wild world / A.D.P. Briggs.</t>
  </si>
  <si>
    <t>Briggs, A. D. P. (Tony. D. P.)</t>
  </si>
  <si>
    <t>Lewiston [N.Y.] : Edwin Mellen Press, ©1990.</t>
  </si>
  <si>
    <t>Studies in Slavic language &amp; literature ; v. 5</t>
  </si>
  <si>
    <t>2015-12-01</t>
  </si>
  <si>
    <t>370811056:eng</t>
  </si>
  <si>
    <t>22005778</t>
  </si>
  <si>
    <t>ocm22005778</t>
  </si>
  <si>
    <t>3100491362H</t>
  </si>
  <si>
    <t>9780889460829</t>
  </si>
  <si>
    <t>793132930</t>
  </si>
  <si>
    <t>PG3343 M43 K3 1998</t>
  </si>
  <si>
    <t>0                      PG 3343000M  43                 K  3           1998</t>
  </si>
  <si>
    <t>Pushkin's The bronze horseman / Andrew Kahn.</t>
  </si>
  <si>
    <t>Kahn, Andrew, author.</t>
  </si>
  <si>
    <t>2018-03-16</t>
  </si>
  <si>
    <t>25983123:eng</t>
  </si>
  <si>
    <t>40093394</t>
  </si>
  <si>
    <t>ocm40093394</t>
  </si>
  <si>
    <t>3101915473U</t>
  </si>
  <si>
    <t>9781853994449</t>
  </si>
  <si>
    <t>793559555</t>
  </si>
  <si>
    <t>PG3343 M44 L4x</t>
  </si>
  <si>
    <t>0                      PG 3343000M  44                 L  4x</t>
  </si>
  <si>
    <t>Pushkin's Bronze horseman : the story of a masterpiece. With an appendix including, in English, Mickiewicz's "Digression," Pushkin's "Bronze horseman," and other poems.</t>
  </si>
  <si>
    <t>Lednicki, Wacław, 1891-1967.</t>
  </si>
  <si>
    <t>Berkeley : University of California Press, 1955.</t>
  </si>
  <si>
    <t>University of California publications. Slavic studies ; 1</t>
  </si>
  <si>
    <t>445146:eng</t>
  </si>
  <si>
    <t>2561565</t>
  </si>
  <si>
    <t>ocm02561565</t>
  </si>
  <si>
    <t>31037423059</t>
  </si>
  <si>
    <t>792143834</t>
  </si>
  <si>
    <t>PG3343 P5 B6 1944</t>
  </si>
  <si>
    <t>0                      PG 3343000P  5                  B  6           1944</t>
  </si>
  <si>
    <t>Pikovai︠a︡ dama / A.S. Pushkina. The Queen of Spades / by A.S. Pushkin ; edited by D. Bondar.</t>
  </si>
  <si>
    <t>London : Pitman, 1938.</t>
  </si>
  <si>
    <t>4915566377:rus</t>
  </si>
  <si>
    <t>154288959</t>
  </si>
  <si>
    <t>ocn154288959</t>
  </si>
  <si>
    <t>3103249739N</t>
  </si>
  <si>
    <t>794251543</t>
  </si>
  <si>
    <t>PG3343 P63 B87 2005</t>
  </si>
  <si>
    <t>0                      PG 3343000P  63                 B  87          2005</t>
  </si>
  <si>
    <t>Pushkin's "Poltava" : a literary structuralist interpretation / Virginia M. Burns ; edited by Katya Burns.</t>
  </si>
  <si>
    <t>Burns, Virginia M. (Virginia Marie), 1939-</t>
  </si>
  <si>
    <t>Lanham. Md. : University Press of America, ©2005.</t>
  </si>
  <si>
    <t>1044429:eng</t>
  </si>
  <si>
    <t>57757378</t>
  </si>
  <si>
    <t>ocm57757378</t>
  </si>
  <si>
    <t>3102558252M</t>
  </si>
  <si>
    <t>9780761827290</t>
  </si>
  <si>
    <t>793919045</t>
  </si>
  <si>
    <t>PG3343 P65 1964</t>
  </si>
  <si>
    <t>0                      PG 3343000P  65          1964</t>
  </si>
  <si>
    <t>Tales of the late Ivan Petrovich Belkin ... edited by B.O. Unbegaun.</t>
  </si>
  <si>
    <t>Oxford [England] B. Blackwell [1964]</t>
  </si>
  <si>
    <t>Blackwell's Russian texts</t>
  </si>
  <si>
    <t>4917860379:eng</t>
  </si>
  <si>
    <t>7929479</t>
  </si>
  <si>
    <t>ocm07929479</t>
  </si>
  <si>
    <t>3000215349O</t>
  </si>
  <si>
    <t>792587653</t>
  </si>
  <si>
    <t>PG3343 P653 K56 2008</t>
  </si>
  <si>
    <t>0                      PG 3343000P  653                K  56          2008</t>
  </si>
  <si>
    <t>Aleksandr Pushkin's The tales of Belkin : formalist and structuralist readings and beyond the literary theories / Sang Hyun Kim.</t>
  </si>
  <si>
    <t>Kim, Sang Hyun.</t>
  </si>
  <si>
    <t>Lanham ; Plymouth : University Press Of America, ©2008.</t>
  </si>
  <si>
    <t>259913047:eng</t>
  </si>
  <si>
    <t>243545929</t>
  </si>
  <si>
    <t>ocn243545929</t>
  </si>
  <si>
    <t>3102976078Z</t>
  </si>
  <si>
    <t>9780761841296</t>
  </si>
  <si>
    <t>794378497</t>
  </si>
  <si>
    <t>PG3343 P653 P68 1999</t>
  </si>
  <si>
    <t>0                      PG 3343000P  653                P  68          1999</t>
  </si>
  <si>
    <t>Povesti Belkina / redaktory-sostaviteli N.K. Geĭ, I.L. Popova.</t>
  </si>
  <si>
    <t>Moskva : IMLI RAN, 1999.</t>
  </si>
  <si>
    <t>4535615750:rus</t>
  </si>
  <si>
    <t>44727732</t>
  </si>
  <si>
    <t>ocm44727732</t>
  </si>
  <si>
    <t>3102058304W</t>
  </si>
  <si>
    <t>9785920800152</t>
  </si>
  <si>
    <t>793656685</t>
  </si>
  <si>
    <t>PG3347 A1 1999</t>
  </si>
  <si>
    <t>0                      PG 3347000A  1           1999</t>
  </si>
  <si>
    <t>The complete works of Alexander Pushkin.</t>
  </si>
  <si>
    <t>Norfolk : Milner and Co. Ltd. ; Idyllwild, Calif. : Distributed outside the United Kingdom and the Republic of Ireland by Charles Schlacks, Jr., Publisher, 1999.</t>
  </si>
  <si>
    <t>3373719751:eng</t>
  </si>
  <si>
    <t>43889874</t>
  </si>
  <si>
    <t>ocm43889874</t>
  </si>
  <si>
    <t>31029338912</t>
  </si>
  <si>
    <t>9780907681069</t>
  </si>
  <si>
    <t>793637838</t>
  </si>
  <si>
    <t>2011-09-03</t>
  </si>
  <si>
    <t>31029338814</t>
  </si>
  <si>
    <t>793637836</t>
  </si>
  <si>
    <t>31029338766</t>
  </si>
  <si>
    <t>793637833</t>
  </si>
  <si>
    <t>2008-10-29</t>
  </si>
  <si>
    <t>31029338668</t>
  </si>
  <si>
    <t>793637830</t>
  </si>
  <si>
    <t>2008-04-24</t>
  </si>
  <si>
    <t>3102135940O</t>
  </si>
  <si>
    <t>793637832</t>
  </si>
  <si>
    <t>31029338658</t>
  </si>
  <si>
    <t>793637829</t>
  </si>
  <si>
    <t>31029338864</t>
  </si>
  <si>
    <t>793637839</t>
  </si>
  <si>
    <t>v.13</t>
  </si>
  <si>
    <t>31029338756</t>
  </si>
  <si>
    <t>793637827</t>
  </si>
  <si>
    <t>v.15</t>
  </si>
  <si>
    <t>2006-12-07</t>
  </si>
  <si>
    <t>31029338804</t>
  </si>
  <si>
    <t>793637825</t>
  </si>
  <si>
    <t>3102933901H</t>
  </si>
  <si>
    <t>793637835</t>
  </si>
  <si>
    <t>v.12</t>
  </si>
  <si>
    <t>31029338706</t>
  </si>
  <si>
    <t>793637828</t>
  </si>
  <si>
    <t>31029338962</t>
  </si>
  <si>
    <t>793637837</t>
  </si>
  <si>
    <t>3102933906H</t>
  </si>
  <si>
    <t>793637834</t>
  </si>
  <si>
    <t>31029338716</t>
  </si>
  <si>
    <t>793637831</t>
  </si>
  <si>
    <t>v.14</t>
  </si>
  <si>
    <t>3102135932N</t>
  </si>
  <si>
    <t>793637826</t>
  </si>
  <si>
    <t>PG3347 A15 1966</t>
  </si>
  <si>
    <t>0                      PG 3347000A  15          1966</t>
  </si>
  <si>
    <t>The complete prose tales of Alexandr Sergeyevitch Pushkin / translated from the Russian by Gillon R. Aitken.</t>
  </si>
  <si>
    <t>New York : W.W. Norton, 1966.</t>
  </si>
  <si>
    <t>459340:eng</t>
  </si>
  <si>
    <t>1011615</t>
  </si>
  <si>
    <t>ocm01011615</t>
  </si>
  <si>
    <t>31029338854</t>
  </si>
  <si>
    <t>9780393004656</t>
  </si>
  <si>
    <t>791524540</t>
  </si>
  <si>
    <t>PG3347 A15 1983</t>
  </si>
  <si>
    <t>0                      PG 3347000A  15          1983</t>
  </si>
  <si>
    <t>Alexander Pushkin, complete prose fiction / translated, with an introduction and notes, by Paul Debreczeny ; verse passages translated by Walter Arndt.</t>
  </si>
  <si>
    <t>Stanford, Calif. : Stanford University Press, 1983.</t>
  </si>
  <si>
    <t>2016-09-11</t>
  </si>
  <si>
    <t>8914145467:eng</t>
  </si>
  <si>
    <t>9623332</t>
  </si>
  <si>
    <t>ocm09623332</t>
  </si>
  <si>
    <t>31029338952</t>
  </si>
  <si>
    <t>9780804711425</t>
  </si>
  <si>
    <t>792685518</t>
  </si>
  <si>
    <t>2012-06-22</t>
  </si>
  <si>
    <t>31029338648</t>
  </si>
  <si>
    <t>792685519</t>
  </si>
  <si>
    <t>PG3347 A15 2016</t>
  </si>
  <si>
    <t>0                      PG 3347000A  15          2016</t>
  </si>
  <si>
    <t>Novels, tales, journeys : the complete prose of Alexander Pushkin / by Alexander Pushkin ; a new translation by Richard Pevear &amp; Larissa Volokhonsky.</t>
  </si>
  <si>
    <t>New York : Alfred A. Knopf, 2016.</t>
  </si>
  <si>
    <t>2875518583:eng</t>
  </si>
  <si>
    <t>934278133</t>
  </si>
  <si>
    <t>ocn934278133</t>
  </si>
  <si>
    <t>3103697800P</t>
  </si>
  <si>
    <t>9780307959621</t>
  </si>
  <si>
    <t>795009531</t>
  </si>
  <si>
    <t>PG3347 A17 1983c</t>
  </si>
  <si>
    <t>0                      PG 3347000A  17          1983c</t>
  </si>
  <si>
    <t>Collected narrative and lyrical poetry / Alexander Pushkin ; with English translations in the original prosody by Walter Arndt.</t>
  </si>
  <si>
    <t>Ann Arbor, MI : Ardis Publishers, 1983.</t>
  </si>
  <si>
    <t>2018-07-16</t>
  </si>
  <si>
    <t>229062418:eng</t>
  </si>
  <si>
    <t>317519112</t>
  </si>
  <si>
    <t>ocn317519112</t>
  </si>
  <si>
    <t>31029338942</t>
  </si>
  <si>
    <t>9780882338262</t>
  </si>
  <si>
    <t>794454125</t>
  </si>
  <si>
    <t>PG3347 A19 1982</t>
  </si>
  <si>
    <t>0                      PG 3347000A  19          1982</t>
  </si>
  <si>
    <t>Mozart and Salieri : the Little tragedies / Alexander Pushkin ; translated by Antony Wood ; foreword by Elaine Feinstein.</t>
  </si>
  <si>
    <t>London : Angel Books ; Chester Springs, Pa. : Dufour Editions, 1982.</t>
  </si>
  <si>
    <t>4923250857:eng</t>
  </si>
  <si>
    <t>9506165</t>
  </si>
  <si>
    <t>ocm09506165</t>
  </si>
  <si>
    <t>31029338982</t>
  </si>
  <si>
    <t>9780946162024</t>
  </si>
  <si>
    <t>792679321</t>
  </si>
  <si>
    <t>PG3347 A2 B7 2012</t>
  </si>
  <si>
    <t>0                      PG 3347000A  2                  B  7           2012</t>
  </si>
  <si>
    <t>The Queen of spades and selected works / Alexander Pushkin ; translated from the Russian by Anthony Briggs.</t>
  </si>
  <si>
    <t>London : Pushkin Press, 2012.</t>
  </si>
  <si>
    <t>2013-07-09</t>
  </si>
  <si>
    <t>1911534812:eng</t>
  </si>
  <si>
    <t>829682041</t>
  </si>
  <si>
    <t>ocn829682041</t>
  </si>
  <si>
    <t>3103457381G</t>
  </si>
  <si>
    <t>9781908968036</t>
  </si>
  <si>
    <t>794942616</t>
  </si>
  <si>
    <t>PG3347 A2 F36 2009</t>
  </si>
  <si>
    <t>0                      PG 3347000A  2                  F  36          2009</t>
  </si>
  <si>
    <t>Selected lyric poetry / Alexander Pushkin ; translated from the Russian and annotated by James E. Falen.</t>
  </si>
  <si>
    <t>3145609437:eng</t>
  </si>
  <si>
    <t>318428708</t>
  </si>
  <si>
    <t>ocn318428708</t>
  </si>
  <si>
    <t>31036018398</t>
  </si>
  <si>
    <t>9780810126428</t>
  </si>
  <si>
    <t>794481800</t>
  </si>
  <si>
    <t>PG3347 A2 P87 2011</t>
  </si>
  <si>
    <t>0                      PG 3347000A  2                  P  87          2011</t>
  </si>
  <si>
    <t>Pushkin threefold : narrative, lyric, polemic and ribald verse, the originals with linear and metric translations / Alexander Pushkin ; translations by Walter Arndt.</t>
  </si>
  <si>
    <t>New York : Ardis Publishers, 2011.</t>
  </si>
  <si>
    <t>2014-09-15</t>
  </si>
  <si>
    <t>5454014436:eng</t>
  </si>
  <si>
    <t>671703466</t>
  </si>
  <si>
    <t>ocn671703466</t>
  </si>
  <si>
    <t>3103408503A</t>
  </si>
  <si>
    <t>9781590205075</t>
  </si>
  <si>
    <t>794849055</t>
  </si>
  <si>
    <t>PG3347 A2 W55 1998</t>
  </si>
  <si>
    <t>0                      PG 3347000A  2                  W  55          1998</t>
  </si>
  <si>
    <t>Tales of Belkin and other prose writings / Alexander Pushkin ; translated by Ronald Wilks with an introduction by John Bayley.</t>
  </si>
  <si>
    <t>London : Penguin Books ; New York : Penguin Books USA, ©1998.</t>
  </si>
  <si>
    <t>203577369:eng</t>
  </si>
  <si>
    <t>39279050</t>
  </si>
  <si>
    <t>ocm39279050</t>
  </si>
  <si>
    <t>3101894627U</t>
  </si>
  <si>
    <t>9780140446753</t>
  </si>
  <si>
    <t>793542345</t>
  </si>
  <si>
    <t>PG3347 A2 Y3</t>
  </si>
  <si>
    <t>0                      PG 3347000A  2                  Y  3</t>
  </si>
  <si>
    <t>The poems, prose and plays of Alexander Pushkin / selected and edited, with an introduction by Avrahm Yarmolinsky.</t>
  </si>
  <si>
    <t>New York : Modern Library, [1936]</t>
  </si>
  <si>
    <t>2017-12-17</t>
  </si>
  <si>
    <t>1395679:eng</t>
  </si>
  <si>
    <t>1303214</t>
  </si>
  <si>
    <t>ocm01303214</t>
  </si>
  <si>
    <t>3103437649P</t>
  </si>
  <si>
    <t>791594869</t>
  </si>
  <si>
    <t>PG3347 A2 1936</t>
  </si>
  <si>
    <t>0                      PG 3347000A  2           1936</t>
  </si>
  <si>
    <t>The works of Alexander Pushkin : lyrics, narrative poems, folk tales, plays, prose / selected and edited, with an introduction by Avrahm Yarmolinsky.</t>
  </si>
  <si>
    <t>New York : Random House, [1936]</t>
  </si>
  <si>
    <t>3855424103:eng</t>
  </si>
  <si>
    <t>319684</t>
  </si>
  <si>
    <t>ocm00319684</t>
  </si>
  <si>
    <t>31029338932</t>
  </si>
  <si>
    <t>791335619</t>
  </si>
  <si>
    <t>PG3347 A2 1962</t>
  </si>
  <si>
    <t>0                      PG 3347000A  2           1962</t>
  </si>
  <si>
    <t>The queen of spades ; The negro of Peter the Great ; Dubrovsky ; The captain's daughter / Alexander Pushkin ; translated with an introduction by Rosemary Edmonds.</t>
  </si>
  <si>
    <t>Harmondsworth, Middlesex : Penguin Books, ©1962.</t>
  </si>
  <si>
    <t>Penguin classics ; L119</t>
  </si>
  <si>
    <t>2009-10-06</t>
  </si>
  <si>
    <t>4820371250:eng</t>
  </si>
  <si>
    <t>154164534</t>
  </si>
  <si>
    <t>ocn154164534</t>
  </si>
  <si>
    <t>31029338796</t>
  </si>
  <si>
    <t>794251078</t>
  </si>
  <si>
    <t>31029338894</t>
  </si>
  <si>
    <t>794251079</t>
  </si>
  <si>
    <t>PG3347 A2 2009</t>
  </si>
  <si>
    <t>0                      PG 3347000A  2           2009</t>
  </si>
  <si>
    <t>Tales of the late Ivan Petrovich Belkin ; The Queen of Spades ; The Captain's daughter ; Peter the Great's Blackamoor / Alexander Pushkin ; translated by Alan Myers ; edited with an introduction and notes by Andrew Kahn.</t>
  </si>
  <si>
    <t>2019-11-04</t>
  </si>
  <si>
    <t>1151570165:eng</t>
  </si>
  <si>
    <t>314843069</t>
  </si>
  <si>
    <t>ocn314843069</t>
  </si>
  <si>
    <t>3103082255H</t>
  </si>
  <si>
    <t>9780199538652</t>
  </si>
  <si>
    <t>794439260</t>
  </si>
  <si>
    <t>PG3347 E8 C5 2010</t>
  </si>
  <si>
    <t>0                      PG 3347000E  8                  C  5           2010</t>
  </si>
  <si>
    <t>Eugene Onegin : a novel in verse / by Alexander Pushkin ; translated and with a commentary by Roger Clarke.</t>
  </si>
  <si>
    <t>Richmond, Surrey, U.K. : Oneworld Classics, 2011.</t>
  </si>
  <si>
    <t>9046466044:eng</t>
  </si>
  <si>
    <t>636919040</t>
  </si>
  <si>
    <t>ocn636919040</t>
  </si>
  <si>
    <t>3103364812S</t>
  </si>
  <si>
    <t>9781847491602</t>
  </si>
  <si>
    <t>794826142</t>
  </si>
  <si>
    <t>PG3347 E8 J6 2003</t>
  </si>
  <si>
    <t>0                      PG 3347000E  8                  J  6           2003</t>
  </si>
  <si>
    <t>Eugene Onegin : a novel in verse / Alexander Pushkin ; translated by Charles Johnston.</t>
  </si>
  <si>
    <t>London : Penguin, 2003.</t>
  </si>
  <si>
    <t>Rev. ed. / introduction and notes by Michael Basker ; with a preface by John Bayley.</t>
  </si>
  <si>
    <t>2017-11-24</t>
  </si>
  <si>
    <t>51272322</t>
  </si>
  <si>
    <t>ocm51272322</t>
  </si>
  <si>
    <t>31025049565</t>
  </si>
  <si>
    <t>9780140448030</t>
  </si>
  <si>
    <t>793781986</t>
  </si>
  <si>
    <t>31025194085</t>
  </si>
  <si>
    <t>793781985</t>
  </si>
  <si>
    <t>PG3347 E8 N3 1964</t>
  </si>
  <si>
    <t>0                      PG 3347000E  8                  N  3           1964</t>
  </si>
  <si>
    <t>Eugene Onegin / a novel in verse by Aleksandr Pushkin ; translated from the Russian, with a commentary, by Vladimir Nabokov.</t>
  </si>
  <si>
    <t>New York, N.Y. : Bollingen Foundation, [1964]</t>
  </si>
  <si>
    <t>Bollingen series ; LXXII</t>
  </si>
  <si>
    <t>271414</t>
  </si>
  <si>
    <t>ocm00271414</t>
  </si>
  <si>
    <t>31029338922</t>
  </si>
  <si>
    <t>791318719</t>
  </si>
  <si>
    <t>31029338776</t>
  </si>
  <si>
    <t>791318721</t>
  </si>
  <si>
    <t>31029338824</t>
  </si>
  <si>
    <t>791318720</t>
  </si>
  <si>
    <t>PG3347 E8 N3 1975</t>
  </si>
  <si>
    <t>0                      PG 3347000E  8                  N  3           1975</t>
  </si>
  <si>
    <t>Eugene Onegin : a novel in verse / by Aleksandr Pushkin ; translated from the Russian, with a commentary by Vladimir Nabokov.</t>
  </si>
  <si>
    <t>[Princeton, N.J.] : Princeton University Press, ©1975.</t>
  </si>
  <si>
    <t>Bollingen series ; 72</t>
  </si>
  <si>
    <t>2014-10-23</t>
  </si>
  <si>
    <t>9349248808:eng</t>
  </si>
  <si>
    <t>1942342</t>
  </si>
  <si>
    <t>ocm01942342</t>
  </si>
  <si>
    <t>31029338678</t>
  </si>
  <si>
    <t>9780691097442</t>
  </si>
  <si>
    <t>792015544</t>
  </si>
  <si>
    <t>31029338638</t>
  </si>
  <si>
    <t>792015538</t>
  </si>
  <si>
    <t>2005-10-21</t>
  </si>
  <si>
    <t>3102933902H</t>
  </si>
  <si>
    <t>792015543</t>
  </si>
  <si>
    <t>2016-09-14</t>
  </si>
  <si>
    <t>3102867832Q</t>
  </si>
  <si>
    <t>792015546</t>
  </si>
  <si>
    <t>2009-09-20</t>
  </si>
  <si>
    <t>31029338972</t>
  </si>
  <si>
    <t>792015536</t>
  </si>
  <si>
    <t>31029338726</t>
  </si>
  <si>
    <t>792015535</t>
  </si>
  <si>
    <t>31029338874</t>
  </si>
  <si>
    <t>792015545</t>
  </si>
  <si>
    <t>2011-10-31</t>
  </si>
  <si>
    <t>31029338628</t>
  </si>
  <si>
    <t>792015537</t>
  </si>
  <si>
    <t>PG3347 E8 2008</t>
  </si>
  <si>
    <t>0                      PG 3347000E  8           2008</t>
  </si>
  <si>
    <t>Eugene Onegin : a novel in verse / Alexander Pushkin ; translated with an introduction and notes by Stanley Mitchell.</t>
  </si>
  <si>
    <t>London : Penguin Books, 2008.</t>
  </si>
  <si>
    <t>223803382</t>
  </si>
  <si>
    <t>ocn223803382</t>
  </si>
  <si>
    <t>3103055525H</t>
  </si>
  <si>
    <t>9780140448108</t>
  </si>
  <si>
    <t>794336522</t>
  </si>
  <si>
    <t>PG3347 E8 2016</t>
  </si>
  <si>
    <t>0                      PG 3347000E  8           2016</t>
  </si>
  <si>
    <t>Yevgeny Onegin : a novel in verse / Alexander Pushkin ; translated from Russian with an intoduction and a note on the translation by Anthony Briggs.</t>
  </si>
  <si>
    <t>London : Pushkin Press, [2016]</t>
  </si>
  <si>
    <t>2019-09-03</t>
  </si>
  <si>
    <t>4915264463:eng</t>
  </si>
  <si>
    <t>948790254</t>
  </si>
  <si>
    <t>ocn948790254</t>
  </si>
  <si>
    <t>3103657009Q</t>
  </si>
  <si>
    <t>9781782271918</t>
  </si>
  <si>
    <t>795015765</t>
  </si>
  <si>
    <t>PG3347 K3 2012</t>
  </si>
  <si>
    <t>0                      PG 3347000K  3           2012</t>
  </si>
  <si>
    <t>The captain's daughter ; and, A history of Pugachov / Alexander Pushkin ; translated by Paul Debreczeny.</t>
  </si>
  <si>
    <t>Richmond, Surrey, United kingdom : Alma Classics, 2012.</t>
  </si>
  <si>
    <t>[Complete works of Alexander Pushkin]</t>
  </si>
  <si>
    <t>2018-07-21</t>
  </si>
  <si>
    <t>1158379163:eng</t>
  </si>
  <si>
    <t>760291810</t>
  </si>
  <si>
    <t>ocn760291810</t>
  </si>
  <si>
    <t>3103422514M</t>
  </si>
  <si>
    <t>9781847492159</t>
  </si>
  <si>
    <t>794898540</t>
  </si>
  <si>
    <t>PG3347 P68 2009</t>
  </si>
  <si>
    <t>0                      PG 3347000P  68          2009</t>
  </si>
  <si>
    <t>The tales of Belkin / Alexander Pushkin ; translated by Hugh Aplin.</t>
  </si>
  <si>
    <t>London : Hesperus, 2009.</t>
  </si>
  <si>
    <t>2018-04-27</t>
  </si>
  <si>
    <t>4535615750:eng</t>
  </si>
  <si>
    <t>228367633</t>
  </si>
  <si>
    <t>ocn228367633</t>
  </si>
  <si>
    <t>3102860620P</t>
  </si>
  <si>
    <t>9781843911852</t>
  </si>
  <si>
    <t>794349227</t>
  </si>
  <si>
    <t>PG3347 R85 C53 2009</t>
  </si>
  <si>
    <t>0                      PG 3347000R  85                 C  53          2009</t>
  </si>
  <si>
    <t>Ruslan and Lyudmila / Alexander Pushkin ; translated by Roger Clarke.</t>
  </si>
  <si>
    <t>4820583895:eng</t>
  </si>
  <si>
    <t>427612569</t>
  </si>
  <si>
    <t>ocn427612569</t>
  </si>
  <si>
    <t>3103130208H</t>
  </si>
  <si>
    <t>9781847491305</t>
  </si>
  <si>
    <t>794693294</t>
  </si>
  <si>
    <t>PG3348 F5 K3</t>
  </si>
  <si>
    <t>0                      PG 3348000F  5                  K  3</t>
  </si>
  <si>
    <t>La fille du capitaine (Kapitanskai︠a︡ dochka) Traduit et préfacé par R. Labry.</t>
  </si>
  <si>
    <t>Paris : [publisher not identified], [1947-48]</t>
  </si>
  <si>
    <t>Collection bilingue des classiques étrangers</t>
  </si>
  <si>
    <t>2017-02-13</t>
  </si>
  <si>
    <t>9593397480:rus</t>
  </si>
  <si>
    <t>427266947</t>
  </si>
  <si>
    <t>ocn427266947</t>
  </si>
  <si>
    <t>3102933911F</t>
  </si>
  <si>
    <t>794556030</t>
  </si>
  <si>
    <t>3102931461S</t>
  </si>
  <si>
    <t>794556031</t>
  </si>
  <si>
    <t>PG3350 B35 2011</t>
  </si>
  <si>
    <t>0                      PG 3350000B  35          2011</t>
  </si>
  <si>
    <t>Zhiznʹ Pushkina : dokumentalʹno-khudozhestvennye povesti / M. Basina.</t>
  </si>
  <si>
    <t>Basina, M. (Marianna)</t>
  </si>
  <si>
    <t>Sankt-Peterburg : Izd-vo "Pushkinskogo fonda", 2011-</t>
  </si>
  <si>
    <t>3769860072:rus</t>
  </si>
  <si>
    <t>759192223</t>
  </si>
  <si>
    <t>ocn759192223</t>
  </si>
  <si>
    <t>31033938657</t>
  </si>
  <si>
    <t>9785898031794</t>
  </si>
  <si>
    <t>794897242</t>
  </si>
  <si>
    <t>PG3350 C45 2009</t>
  </si>
  <si>
    <t>0                      PG 3350000C  45          2009</t>
  </si>
  <si>
    <t>Brief lives : Alexander Pushkin / Robert Chandler ; with translations of his poetry by Robert Chandler, Stanley Mitchell and Antony Wood.</t>
  </si>
  <si>
    <t>Chandler, Robert, 1953-</t>
  </si>
  <si>
    <t>London : Hesperus Press, 2008.</t>
  </si>
  <si>
    <t>Brief lives</t>
  </si>
  <si>
    <t>2017-10-05</t>
  </si>
  <si>
    <t>1022907541:eng</t>
  </si>
  <si>
    <t>228366247</t>
  </si>
  <si>
    <t>ocn228366247</t>
  </si>
  <si>
    <t>3103241295L</t>
  </si>
  <si>
    <t>9781843919124</t>
  </si>
  <si>
    <t>794349217</t>
  </si>
  <si>
    <t>PG3350 G394 2010</t>
  </si>
  <si>
    <t>0                      PG 3350000G  394         2010</t>
  </si>
  <si>
    <t>A.S. Pushkin i Vladikavkaz / Getoeva-Mindzaeva L.K., Kusov G.I.</t>
  </si>
  <si>
    <t>Getoeva-Mindzaeva, L. K. (Larisa K.)</t>
  </si>
  <si>
    <t>Vladikavkaz : "Pero &amp; Kistʹ", 2010.</t>
  </si>
  <si>
    <t>1120761757:rus</t>
  </si>
  <si>
    <t>796017176</t>
  </si>
  <si>
    <t>ocn796017176</t>
  </si>
  <si>
    <t>3103446698E</t>
  </si>
  <si>
    <t>9785939000086</t>
  </si>
  <si>
    <t>794921970</t>
  </si>
  <si>
    <t>PG3350 K68 1997</t>
  </si>
  <si>
    <t>0                      PG 3350000K  68          1997</t>
  </si>
  <si>
    <t>Pushkin--Boldino, 1833 : novoe prochtenie--Mednyĭ vsadnik, Pikovai︠a︡ dama, Andzhelo, Osenʹ / Gennadiĭ Krasukhin.</t>
  </si>
  <si>
    <t>Krasukhin, Gennadiĭ.</t>
  </si>
  <si>
    <t>Moskva : Izd-vo "Flinta", 1997.</t>
  </si>
  <si>
    <t>2016-05-25</t>
  </si>
  <si>
    <t>10033111777:rus</t>
  </si>
  <si>
    <t>39210227</t>
  </si>
  <si>
    <t>ocm39210227</t>
  </si>
  <si>
    <t>31029339793</t>
  </si>
  <si>
    <t>9785893490114</t>
  </si>
  <si>
    <t>793540792</t>
  </si>
  <si>
    <t>PG3350 L68 1995</t>
  </si>
  <si>
    <t>0                      PG 3350000L  68          1995</t>
  </si>
  <si>
    <t>Pushkin / I︠U︡.M. Lotman ; [vstup. statʹi︠a︡ B.F. Egorova].</t>
  </si>
  <si>
    <t>Sankt-Peterburg : Iskusstvo-SPB, 1995.</t>
  </si>
  <si>
    <t>2006-10-12</t>
  </si>
  <si>
    <t>3901572725:rus</t>
  </si>
  <si>
    <t>33921611</t>
  </si>
  <si>
    <t>ocm33921611</t>
  </si>
  <si>
    <t>3102933992$</t>
  </si>
  <si>
    <t>9785210014832</t>
  </si>
  <si>
    <t>793413886</t>
  </si>
  <si>
    <t>3101544352K</t>
  </si>
  <si>
    <t>793413885</t>
  </si>
  <si>
    <t>PG3350 M44</t>
  </si>
  <si>
    <t>0                      PG 3350000M  44</t>
  </si>
  <si>
    <t>Pushkin i ego ėpokha.</t>
  </si>
  <si>
    <t>Meĭlakh, B. S. (Boris Solomonovich), 1909-1987</t>
  </si>
  <si>
    <t>Moskva, Gos. izd-vo khudozh. lit-ry, 1958.</t>
  </si>
  <si>
    <t>3769738180:rus</t>
  </si>
  <si>
    <t>382021</t>
  </si>
  <si>
    <t>ocm00382021</t>
  </si>
  <si>
    <t>30007964844</t>
  </si>
  <si>
    <t>791359172</t>
  </si>
  <si>
    <t>PG3350 P874 2016</t>
  </si>
  <si>
    <t>0                      PG 3350000P  874         2016</t>
  </si>
  <si>
    <t>Pushkin bez gli︠a︡nt︠s︡a / [sostavlenie i vstupitelʹnai︠a︡ statʹi︠a︡ Pavla Fokina].</t>
  </si>
  <si>
    <t>Sankt-Peterburg : Palʹmira, 2016.</t>
  </si>
  <si>
    <t>Bez gli︠a︡nt︠s︡a</t>
  </si>
  <si>
    <t>3856114817:rus</t>
  </si>
  <si>
    <t>960051616</t>
  </si>
  <si>
    <t>ocn960051616</t>
  </si>
  <si>
    <t>3103699140V</t>
  </si>
  <si>
    <t>9785521000166</t>
  </si>
  <si>
    <t>795022936</t>
  </si>
  <si>
    <t>PG3350 T7714 2012</t>
  </si>
  <si>
    <t>0                      PG 3350000T  7714        2012</t>
  </si>
  <si>
    <t>Mon Pouchkine / Marina Tsvetaïeva ; traduit du russe par André Markowicz.</t>
  </si>
  <si>
    <t>T︠S︡vetaeva, Marina, 1892-1941.</t>
  </si>
  <si>
    <t>Arles : Actes Sud ; [Montréal] : Leméac, ©2012.</t>
  </si>
  <si>
    <t>Babel ; 1093</t>
  </si>
  <si>
    <t>2013-10-21</t>
  </si>
  <si>
    <t>5092462323:fre</t>
  </si>
  <si>
    <t>833590265</t>
  </si>
  <si>
    <t>ocn833590265</t>
  </si>
  <si>
    <t>3103492669B</t>
  </si>
  <si>
    <t>9782330002718</t>
  </si>
  <si>
    <t>794944245</t>
  </si>
  <si>
    <t>PG3350 Z8 J3</t>
  </si>
  <si>
    <t>0                      PG 3350000Z  8                  J  3</t>
  </si>
  <si>
    <t>Puškin and his sculptural myth / Roman Jakobson ; translated [from the Czech] and edited by John Burbank.</t>
  </si>
  <si>
    <t>De proprietatibus litterarum. Series practica ; 116</t>
  </si>
  <si>
    <t>2708731:eng</t>
  </si>
  <si>
    <t>2021009</t>
  </si>
  <si>
    <t>ocm02021009</t>
  </si>
  <si>
    <t>31029340101</t>
  </si>
  <si>
    <t>9789027932617</t>
  </si>
  <si>
    <t>792030150</t>
  </si>
  <si>
    <t>PG3350.5 D4 K68 2012</t>
  </si>
  <si>
    <t>0                      PG 3350500D  4                  K  68          2012</t>
  </si>
  <si>
    <t>Taĭna bolezni i smerti Pushkina / Aleksandr Kostin.</t>
  </si>
  <si>
    <t>Kostin, Aleksandr Georgievich, author.</t>
  </si>
  <si>
    <t>Moskva : Algoritm, 2012.</t>
  </si>
  <si>
    <t>Zhiznʹ Pushkina</t>
  </si>
  <si>
    <t>1210648644:rus</t>
  </si>
  <si>
    <t>823894279</t>
  </si>
  <si>
    <t>ocn823894279</t>
  </si>
  <si>
    <t>3103512233Q</t>
  </si>
  <si>
    <t>9785443801735</t>
  </si>
  <si>
    <t>794937464</t>
  </si>
  <si>
    <t>PG3350.5 D4 V5813 1999</t>
  </si>
  <si>
    <t>0                      PG 3350500D  4                  V  5813        1999</t>
  </si>
  <si>
    <t>Pushkin's button / Serena Vitale ; translated from the Italian by Ann Goldstein and Jon Rothschild.</t>
  </si>
  <si>
    <t>Vitale, Serena.</t>
  </si>
  <si>
    <t>New York : Farrar, Straus and Giroux, ©1999.</t>
  </si>
  <si>
    <t>532934:eng</t>
  </si>
  <si>
    <t>37862695</t>
  </si>
  <si>
    <t>ocm37862695</t>
  </si>
  <si>
    <t>31029340171</t>
  </si>
  <si>
    <t>9780374239350</t>
  </si>
  <si>
    <t>793508639</t>
  </si>
  <si>
    <t>PG3350.5 D4 V5817 2013</t>
  </si>
  <si>
    <t>0                      PG 3350500D  4                  V  5817        2013</t>
  </si>
  <si>
    <t>Taĭna Dantesa, ili Pugovit︠s︡a Pushkina / Serena Vitale.</t>
  </si>
  <si>
    <t>Moskva : Algoritm, 2013.</t>
  </si>
  <si>
    <t>2013-07-10</t>
  </si>
  <si>
    <t>532934:rus</t>
  </si>
  <si>
    <t>830310633</t>
  </si>
  <si>
    <t>ocn830310633</t>
  </si>
  <si>
    <t>3103512024Y</t>
  </si>
  <si>
    <t>9785443802121</t>
  </si>
  <si>
    <t>794943250</t>
  </si>
  <si>
    <t>PG3350.5 L37 A7 2012</t>
  </si>
  <si>
    <t>0                      PG 3350500L  37                 A  7           2012</t>
  </si>
  <si>
    <t>Goncharova i Dantes : semeĭnye taĭny / Aleksandra Arapova.</t>
  </si>
  <si>
    <t>Arapova, Aleksandra.</t>
  </si>
  <si>
    <t>4732342052:rus</t>
  </si>
  <si>
    <t>829951029</t>
  </si>
  <si>
    <t>ocn829951029</t>
  </si>
  <si>
    <t>3103452140D</t>
  </si>
  <si>
    <t>9785443800622</t>
  </si>
  <si>
    <t>794942875</t>
  </si>
  <si>
    <t>PG3350.5 L37 S545 2012</t>
  </si>
  <si>
    <t>0                      PG 3350500L  37                 S  545         2012</t>
  </si>
  <si>
    <t>Zloĭ rok Pushkina : on, Dantes i Goncharova / Pavel Shchegolev.</t>
  </si>
  <si>
    <t>Shchegolev, P. E. (Pavel Eliseevich), 1877-1931, author.</t>
  </si>
  <si>
    <t>Moskva : ĖKSMO : Algoritm, 2012.</t>
  </si>
  <si>
    <t>2013-02-12</t>
  </si>
  <si>
    <t>1185854074:rus</t>
  </si>
  <si>
    <t>820775565</t>
  </si>
  <si>
    <t>ocn820775565</t>
  </si>
  <si>
    <t>31034867167</t>
  </si>
  <si>
    <t>9785699550395</t>
  </si>
  <si>
    <t>794935667</t>
  </si>
  <si>
    <t>PG3350.5 L6 G67 2011</t>
  </si>
  <si>
    <t>0                      PG 3350500L  6                  G  67          2011</t>
  </si>
  <si>
    <t>Natalʹi︠a︡ Goncharova protiv Pushkina? : voĭna li︠u︡bvi i revnosti / Natalʹi︠a︡ Gorbacheva.</t>
  </si>
  <si>
    <t>Gorbacheva, Natalʹi︠a︡ (Natalʹi︠a︡ Borisovna)</t>
  </si>
  <si>
    <t>Moskva : AST : Astrelʹ ; Vladimir : VKT, 2011.</t>
  </si>
  <si>
    <t>Kumiry. Istorii velikoĭ li︠u︡bvi</t>
  </si>
  <si>
    <t>867427061:rus</t>
  </si>
  <si>
    <t>713496079</t>
  </si>
  <si>
    <t>ocn713496079</t>
  </si>
  <si>
    <t>3103486883R</t>
  </si>
  <si>
    <t>9785170699230</t>
  </si>
  <si>
    <t>794872947</t>
  </si>
  <si>
    <t>PG3350.5 L6 O28 2012</t>
  </si>
  <si>
    <t>0                      PG 3350500L  6                  O  28          2012</t>
  </si>
  <si>
    <t>Rokovai︠a︡ krasavit︠s︡a Natalii︠a︡ Goncharova / Irina Obodovskai︠a︡, Mikhail Dementʹev.</t>
  </si>
  <si>
    <t>Obodovskai︠a︡, I. (Irina)</t>
  </si>
  <si>
    <t>1163560552:rus</t>
  </si>
  <si>
    <t>807995894</t>
  </si>
  <si>
    <t>ocn807995894</t>
  </si>
  <si>
    <t>3103506339C</t>
  </si>
  <si>
    <t>9785443800455</t>
  </si>
  <si>
    <t>794927326</t>
  </si>
  <si>
    <t>PG3350.8 R34 2013</t>
  </si>
  <si>
    <t>0                      PG 3350800R  34          2013</t>
  </si>
  <si>
    <t>Pushkin i Aleksandrina : zapretnai︠a︡ li︠u︡bovʹ poėta / Nikolaĭ Raevskiĭ.</t>
  </si>
  <si>
    <t>Raevskiĭ, Nikolaĭ Alekseevich, author.</t>
  </si>
  <si>
    <t>1206569359:rus</t>
  </si>
  <si>
    <t>826862730</t>
  </si>
  <si>
    <t>ocn826862730</t>
  </si>
  <si>
    <t>3103492414R</t>
  </si>
  <si>
    <t>9785443801667</t>
  </si>
  <si>
    <t>794939467</t>
  </si>
  <si>
    <t>PG3352 L44 1989</t>
  </si>
  <si>
    <t>0                      PG 3352000L  44          1989</t>
  </si>
  <si>
    <t>Russian literary politics and the Pushkin Celebration of 1880 / Marcus C. Levitt.</t>
  </si>
  <si>
    <t>2017-12-04</t>
  </si>
  <si>
    <t>2015963:eng</t>
  </si>
  <si>
    <t>18779524</t>
  </si>
  <si>
    <t>ocm18779524</t>
  </si>
  <si>
    <t>3102934130V</t>
  </si>
  <si>
    <t>9780801422508</t>
  </si>
  <si>
    <t>793036879</t>
  </si>
  <si>
    <t>PG3355.3 S48 O54 2003</t>
  </si>
  <si>
    <t>0                      PG 3355300S  48                 O  54          2003</t>
  </si>
  <si>
    <t>With Shakespeare's eyes : Pushkin's creative appropriation of Shakespeare / Catherine O'Neil.</t>
  </si>
  <si>
    <t>O'Neil, Catherine, 1964-</t>
  </si>
  <si>
    <t>Newark : University of Delaware Press, ©2003.</t>
  </si>
  <si>
    <t>2017-02-18</t>
  </si>
  <si>
    <t>364667523:eng</t>
  </si>
  <si>
    <t>51251700</t>
  </si>
  <si>
    <t>ocm51251700</t>
  </si>
  <si>
    <t>31029341070</t>
  </si>
  <si>
    <t>9780874138214</t>
  </si>
  <si>
    <t>793781425</t>
  </si>
  <si>
    <t>PG3355.5 E83 2010</t>
  </si>
  <si>
    <t>0                      PG 3355500E  83          2010</t>
  </si>
  <si>
    <t>Bozhestvennyĭ glagol : Pushkin, Blok, Akhmatova / V.M. Esipov.</t>
  </si>
  <si>
    <t>Esipov, Viktor.</t>
  </si>
  <si>
    <t>1105390343:rus</t>
  </si>
  <si>
    <t>670280606</t>
  </si>
  <si>
    <t>ocn670280606</t>
  </si>
  <si>
    <t>3103358662D</t>
  </si>
  <si>
    <t>9785955104270</t>
  </si>
  <si>
    <t>794847574</t>
  </si>
  <si>
    <t>PG3355.5 T33 2012</t>
  </si>
  <si>
    <t>0                      PG 3355500T  33          2012</t>
  </si>
  <si>
    <t>Taboo Pushkin : topics, texts, interpretations / edited by Alyssa Dinega Gillespie.</t>
  </si>
  <si>
    <t>1028526824:eng</t>
  </si>
  <si>
    <t>757838340</t>
  </si>
  <si>
    <t>ocn757838340</t>
  </si>
  <si>
    <t>3103414008$</t>
  </si>
  <si>
    <t>9780299287047</t>
  </si>
  <si>
    <t>794895739</t>
  </si>
  <si>
    <t>PG3356 B3</t>
  </si>
  <si>
    <t>0                      PG 3356000B  3</t>
  </si>
  <si>
    <t>Pushkin : a comparative commentary / by John Bayley.</t>
  </si>
  <si>
    <t>Bayley, John, 1925-2015.</t>
  </si>
  <si>
    <t>Cambridge [England] : University Press, 1971.</t>
  </si>
  <si>
    <t>Companion studies</t>
  </si>
  <si>
    <t>501998910:eng</t>
  </si>
  <si>
    <t>139860</t>
  </si>
  <si>
    <t>ocm00139860</t>
  </si>
  <si>
    <t>3102934141T</t>
  </si>
  <si>
    <t>9780521079549</t>
  </si>
  <si>
    <t>791269611</t>
  </si>
  <si>
    <t>PG3356 B47 2010</t>
  </si>
  <si>
    <t>0                      PG 3356000B  47          2010</t>
  </si>
  <si>
    <t>"Tak nekogda poėt--" : problemy nauchnoĭ biografii Pushkina / S.V. Berezkina.</t>
  </si>
  <si>
    <t>Berezkina, S. V.</t>
  </si>
  <si>
    <t>890877249:rus</t>
  </si>
  <si>
    <t>650974875</t>
  </si>
  <si>
    <t>ocn650974875</t>
  </si>
  <si>
    <t>3103393429R</t>
  </si>
  <si>
    <t>9785914760042</t>
  </si>
  <si>
    <t>794832694</t>
  </si>
  <si>
    <t>PG3356 B62</t>
  </si>
  <si>
    <t>0                      PG 3356000B  62</t>
  </si>
  <si>
    <t>O Pushkine : statʹ i issledovanii︠a︡ / S. Bondi.</t>
  </si>
  <si>
    <t>Bondi, S. (Sergeĭ)</t>
  </si>
  <si>
    <t>Moskva : Khudozhestvennaia literatura, 1978.</t>
  </si>
  <si>
    <t>5090552957:rus</t>
  </si>
  <si>
    <t>5054758</t>
  </si>
  <si>
    <t>ocm05054758</t>
  </si>
  <si>
    <t>3102934155R</t>
  </si>
  <si>
    <t>792404401</t>
  </si>
  <si>
    <t>PG3356 B74 1983</t>
  </si>
  <si>
    <t>0                      PG 3356000B  74          1983</t>
  </si>
  <si>
    <t>Alexander Pushkin : a critical study / A.D.P. Briggs.</t>
  </si>
  <si>
    <t>London : Croom Helm ; Totowa, N.J. : Barnes &amp; Noble Books, 1983.</t>
  </si>
  <si>
    <t>8729194</t>
  </si>
  <si>
    <t>ocm08729194</t>
  </si>
  <si>
    <t>3102934165P</t>
  </si>
  <si>
    <t>9780389203407</t>
  </si>
  <si>
    <t>792637996</t>
  </si>
  <si>
    <t>PG3356 C36 2006</t>
  </si>
  <si>
    <t>0                      PG 3356000C  36          2006</t>
  </si>
  <si>
    <t>The Cambridge companion to Pushkin / edited by Andrew Kahn.</t>
  </si>
  <si>
    <t>Cambridge ; New York : Cambridge University Press, 2006.</t>
  </si>
  <si>
    <t>58682384:eng</t>
  </si>
  <si>
    <t>71808129</t>
  </si>
  <si>
    <t>ocm71808129</t>
  </si>
  <si>
    <t>31025677418</t>
  </si>
  <si>
    <t>9780521843676</t>
  </si>
  <si>
    <t>794168472</t>
  </si>
  <si>
    <t>PG3356 D43 1997</t>
  </si>
  <si>
    <t>0                      PG 3356000D  43          1997</t>
  </si>
  <si>
    <t>Social functions of literature : Alexander Pushkin and Russian culture / Paul Debreczeny.</t>
  </si>
  <si>
    <t>Debreczeny, Paul.</t>
  </si>
  <si>
    <t>172222:eng</t>
  </si>
  <si>
    <t>34515241</t>
  </si>
  <si>
    <t>ocm34515241</t>
  </si>
  <si>
    <t>3102934164P</t>
  </si>
  <si>
    <t>9780804726627</t>
  </si>
  <si>
    <t>793428531</t>
  </si>
  <si>
    <t>PG3356 G878 2015</t>
  </si>
  <si>
    <t>0                      PG 3356000G  878         2015</t>
  </si>
  <si>
    <t>"Svobodnai︠a︡ stikhii︠a︡" : Statʹi o tvorchestve Pushkina / A.M. Gurevich.</t>
  </si>
  <si>
    <t>Gurevich, A. M. (Aleksandr Mikhaĭlovich), author.</t>
  </si>
  <si>
    <t>Moskva : I︠A︡zyki slavi︠a︡nskoĭ kulʹtury, 2015.</t>
  </si>
  <si>
    <t>Studia Philologica</t>
  </si>
  <si>
    <t>3863266576:rus</t>
  </si>
  <si>
    <t>906151093</t>
  </si>
  <si>
    <t>ocn906151093</t>
  </si>
  <si>
    <t>3103638830A</t>
  </si>
  <si>
    <t>9785990576230</t>
  </si>
  <si>
    <t>794992276</t>
  </si>
  <si>
    <t>PG3356 K348 2008</t>
  </si>
  <si>
    <t>0                      PG 3356000K  348         2008</t>
  </si>
  <si>
    <t>Pushkin's lyric intelligence / Andrew Kahn.</t>
  </si>
  <si>
    <t>Kahn, Andrew.</t>
  </si>
  <si>
    <t>Oxford ; New York : Oxford University Press, 2008.</t>
  </si>
  <si>
    <t>131239606:eng</t>
  </si>
  <si>
    <t>212893722</t>
  </si>
  <si>
    <t>ocn212893722</t>
  </si>
  <si>
    <t>3102976720O</t>
  </si>
  <si>
    <t>9780199234745</t>
  </si>
  <si>
    <t>794306479</t>
  </si>
  <si>
    <t>PG3356 V53 1992</t>
  </si>
  <si>
    <t>0                      PG 3356000V  53          1992</t>
  </si>
  <si>
    <t>Alexander Pushkin / Walter N. Vickery.</t>
  </si>
  <si>
    <t>Vickery, Walter N., 1921-1995.</t>
  </si>
  <si>
    <t>New York : Twayne Publishers ; Toronto : Maxwell Macmilan Canada ; New York : Maxwell Macmillan International, ©1992.</t>
  </si>
  <si>
    <t>Twayne's world authors series ; TWAS 82. Russian literature</t>
  </si>
  <si>
    <t>101574401:eng</t>
  </si>
  <si>
    <t>24468367</t>
  </si>
  <si>
    <t>ocm24468367</t>
  </si>
  <si>
    <t>3102934478E</t>
  </si>
  <si>
    <t>9780805782684</t>
  </si>
  <si>
    <t>793198921</t>
  </si>
  <si>
    <t>PG3356 W33 2011</t>
  </si>
  <si>
    <t>0                      PG 3356000W  33          2011</t>
  </si>
  <si>
    <t>A commentary to Pushkin's lyric poetry, 1826-1836 / Michael Wachtel.</t>
  </si>
  <si>
    <t>Madison : The University of Wisconsin Press, ©2011.</t>
  </si>
  <si>
    <t>837930674:eng</t>
  </si>
  <si>
    <t>708648574</t>
  </si>
  <si>
    <t>ocn708648574</t>
  </si>
  <si>
    <t>3103395504K</t>
  </si>
  <si>
    <t>9780299285449</t>
  </si>
  <si>
    <t>794869237</t>
  </si>
  <si>
    <t>PG3357 A44 2003</t>
  </si>
  <si>
    <t>0                      PG 3357000A  44          2003</t>
  </si>
  <si>
    <t>Alexander Pushkin's Little tragedies : the poetics of brevity / edited by Svetlana Evdokimova.</t>
  </si>
  <si>
    <t>Madison, Wisc. : University of Wisconsin Press, ©2003.</t>
  </si>
  <si>
    <t>2019-03-26</t>
  </si>
  <si>
    <t>838348244:eng</t>
  </si>
  <si>
    <t>51977962</t>
  </si>
  <si>
    <t>ocm51977962</t>
  </si>
  <si>
    <t>3102934469G</t>
  </si>
  <si>
    <t>9780299190248</t>
  </si>
  <si>
    <t>793795672</t>
  </si>
  <si>
    <t>PG3357 R37</t>
  </si>
  <si>
    <t>0                      PG 3357000R  37</t>
  </si>
  <si>
    <t>Dramaturg Pushkin : poėtika, idei, ėvoli︠u︡t︠s︡ii︠a︡ / St. Rassadin.</t>
  </si>
  <si>
    <t>Rassadin, Stanislav, 1935-2012.</t>
  </si>
  <si>
    <t>Moskva : Iskusstvo, 1977.</t>
  </si>
  <si>
    <t>5612426843:rus</t>
  </si>
  <si>
    <t>3581304</t>
  </si>
  <si>
    <t>ocm03581304</t>
  </si>
  <si>
    <t>3102934464G</t>
  </si>
  <si>
    <t>792270290</t>
  </si>
  <si>
    <t>PG3358 F5 D4 1983</t>
  </si>
  <si>
    <t>0                      PG 3358000F  5                  D  4           1983</t>
  </si>
  <si>
    <t>The other Pushkin : a study of Alexander Pushkin's prose fiction / Paul Debreczeny.</t>
  </si>
  <si>
    <t>43076826:eng</t>
  </si>
  <si>
    <t>9616862</t>
  </si>
  <si>
    <t>ocm09616862</t>
  </si>
  <si>
    <t>3102934134V</t>
  </si>
  <si>
    <t>9780804711432</t>
  </si>
  <si>
    <t>792684925</t>
  </si>
  <si>
    <t>2009-10-09</t>
  </si>
  <si>
    <t>3102934453I</t>
  </si>
  <si>
    <t>792684926</t>
  </si>
  <si>
    <t>PG3358 H45 E94 1999</t>
  </si>
  <si>
    <t>0                      PG 3358000H  45                 E  94          1999</t>
  </si>
  <si>
    <t>Pushkin's historical imagination / Svetlana Evdokimova.</t>
  </si>
  <si>
    <t>Evdokimova, Svetlana.</t>
  </si>
  <si>
    <t>New Haven : Yale University Press, ©1999.</t>
  </si>
  <si>
    <t>Russian literature and thought</t>
  </si>
  <si>
    <t>42698334:eng</t>
  </si>
  <si>
    <t>38199366</t>
  </si>
  <si>
    <t>ocm38199366</t>
  </si>
  <si>
    <t>3102934516N</t>
  </si>
  <si>
    <t>9780300070231</t>
  </si>
  <si>
    <t>793518551</t>
  </si>
  <si>
    <t>PG3358.H45 P4</t>
  </si>
  <si>
    <t>0                      PG 3358000H  45                 P  4</t>
  </si>
  <si>
    <t>Istoricheskiĭ roman A.S. Pushkina.</t>
  </si>
  <si>
    <t>Petrov, S. M. (Sergeĭ Mitrofanovich)</t>
  </si>
  <si>
    <t>Moskva, Izd-vo Akademii nauk SSSR, 1953.</t>
  </si>
  <si>
    <t>3858144771:rus</t>
  </si>
  <si>
    <t>4078490</t>
  </si>
  <si>
    <t>ocm04078490</t>
  </si>
  <si>
    <t>3102934500P</t>
  </si>
  <si>
    <t>792319667</t>
  </si>
  <si>
    <t>PG3358 H45 P4 1953</t>
  </si>
  <si>
    <t>0                      PG 3358000H  45                 P  4           1953</t>
  </si>
  <si>
    <t>3103250617O</t>
  </si>
  <si>
    <t>792319666</t>
  </si>
  <si>
    <t>PG3358 H5 B6</t>
  </si>
  <si>
    <t>0                      PG 3358000H  5                  B  6</t>
  </si>
  <si>
    <t>Pushkin v rabote nad istoricheskimi istochnikami.</t>
  </si>
  <si>
    <t>Blok, G. P.</t>
  </si>
  <si>
    <t>Moskva, Izd-vo Akademii nauk SSSR, 1949.</t>
  </si>
  <si>
    <t>Itogi i problemy sovremennoĭ nauki.</t>
  </si>
  <si>
    <t>3856750868:rus</t>
  </si>
  <si>
    <t>372404</t>
  </si>
  <si>
    <t>ocm00372404</t>
  </si>
  <si>
    <t>3102934505P</t>
  </si>
  <si>
    <t>791355481</t>
  </si>
  <si>
    <t>PG3358 M45 R67 2003</t>
  </si>
  <si>
    <t>0                      PG 3358000M  45                 R  67          2003</t>
  </si>
  <si>
    <t>Pushkin and the genres of madness : the masterpieces of 1833 / Gary Rosenshield.</t>
  </si>
  <si>
    <t>172475:eng</t>
  </si>
  <si>
    <t>51878457</t>
  </si>
  <si>
    <t>ocm51878457</t>
  </si>
  <si>
    <t>3102934496A</t>
  </si>
  <si>
    <t>9780299182045</t>
  </si>
  <si>
    <t>793793280</t>
  </si>
  <si>
    <t>PG3358 N4 L6 1974</t>
  </si>
  <si>
    <t>0                      PG 3358000N  4                  L  6           1974</t>
  </si>
  <si>
    <t>Pushkin i Vostok : ocherki / N.M. Lobikova.</t>
  </si>
  <si>
    <t>Lobikova, Nadezhda Mikhaĭlovna.</t>
  </si>
  <si>
    <t>Moskva : Nauka, 1974.</t>
  </si>
  <si>
    <t>2491118:rus</t>
  </si>
  <si>
    <t>1667698</t>
  </si>
  <si>
    <t>ocm01667698</t>
  </si>
  <si>
    <t>3103249756J</t>
  </si>
  <si>
    <t>791826505</t>
  </si>
  <si>
    <t>PG3358 P67 O87 2012</t>
  </si>
  <si>
    <t>0                      PG 3358000P  67                 O  87          2012</t>
  </si>
  <si>
    <t>Pushkin : opyt psikhologicheskogo izuchenii︠a︡ ego tvorchestva / D.N. Ovsi︠a︡niko-Kulikovskiĭ.</t>
  </si>
  <si>
    <t>Ovsi︠a︡niko-Kulikovskiĭ, D. N. (Dmitriĭ Nikolaevich), 1853-1920, author.</t>
  </si>
  <si>
    <t>Moskva : URSS : Librokom, 2012.</t>
  </si>
  <si>
    <t>Izdanie chetvertoe.</t>
  </si>
  <si>
    <t>42889827:rus</t>
  </si>
  <si>
    <t>793187419</t>
  </si>
  <si>
    <t>ocn793187419</t>
  </si>
  <si>
    <t>3103523053J</t>
  </si>
  <si>
    <t>9785397028530</t>
  </si>
  <si>
    <t>794917655</t>
  </si>
  <si>
    <t>PG3358 R37 G8 1976</t>
  </si>
  <si>
    <t>0                      PG 3358000R  37                 G  8           1976</t>
  </si>
  <si>
    <t>Pushkin i problemy realisticheskogo stili︠a︡.</t>
  </si>
  <si>
    <t>Moskva, Gosudarstvennoe izdatelʹstvo khudozhestvennoĭ literatury, 1957.</t>
  </si>
  <si>
    <t>115504244:rus</t>
  </si>
  <si>
    <t>23048099</t>
  </si>
  <si>
    <t>ocm23048099</t>
  </si>
  <si>
    <t>3102789606Q</t>
  </si>
  <si>
    <t>793160129</t>
  </si>
  <si>
    <t>PG3359 V53 1999</t>
  </si>
  <si>
    <t>0                      PG 3359000V  53          1999</t>
  </si>
  <si>
    <t>Stilʹ Pushkina / V.V. Vinogradov.</t>
  </si>
  <si>
    <t>Vinogradov, V. V. (Viktor Vladimirovich), 1895-1969.</t>
  </si>
  <si>
    <t>Moskva : "Nauka", 1999.</t>
  </si>
  <si>
    <t>2016-06-06</t>
  </si>
  <si>
    <t>2840696:rus</t>
  </si>
  <si>
    <t>42707753</t>
  </si>
  <si>
    <t>ocm42707753</t>
  </si>
  <si>
    <t>31029384454</t>
  </si>
  <si>
    <t>9785020116221</t>
  </si>
  <si>
    <t>793612259</t>
  </si>
  <si>
    <t>PG3361 S3 A16x 1977</t>
  </si>
  <si>
    <t>0                      PG 3361000S  3                  A  16x         1977</t>
  </si>
  <si>
    <t>Selected satirical writings / M.E. Saltykov-Shchedrin ; edited by I.P. Foote.</t>
  </si>
  <si>
    <t>Saltykov, Mikhail Evgrafovich, 1826-1889.</t>
  </si>
  <si>
    <t>Oxford : Clarendon Press, 1977.</t>
  </si>
  <si>
    <t>8958546:eng</t>
  </si>
  <si>
    <t>3265388</t>
  </si>
  <si>
    <t>ocm03265388</t>
  </si>
  <si>
    <t>31029384424</t>
  </si>
  <si>
    <t>9780198156413</t>
  </si>
  <si>
    <t>792236805</t>
  </si>
  <si>
    <t>PG3361 S3 A25 1977</t>
  </si>
  <si>
    <t>0                      PG 3361000S  3                  A  25          1977</t>
  </si>
  <si>
    <t>Fables / by Shchedrin (M.E. Saltykov) ; translated from the Russian by Vera Volkhovsky.</t>
  </si>
  <si>
    <t>Westport, Conn. : Hyperion Press, 1977.</t>
  </si>
  <si>
    <t>Classics of Russian literature</t>
  </si>
  <si>
    <t>3902092716:eng</t>
  </si>
  <si>
    <t>2940435</t>
  </si>
  <si>
    <t>ocm02940435</t>
  </si>
  <si>
    <t>31029384474</t>
  </si>
  <si>
    <t>9780883555163</t>
  </si>
  <si>
    <t>792196539</t>
  </si>
  <si>
    <t>PG3361 S3 G6 1964</t>
  </si>
  <si>
    <t>0                      PG 3361000S  3                  G  6           1964</t>
  </si>
  <si>
    <t>Gospoda Golovlevy / M. Saltykov-Shchedrin.</t>
  </si>
  <si>
    <t>Moskva : Izd-vo "Khudozh. lit-ra", 1964.</t>
  </si>
  <si>
    <t>232956534:rus</t>
  </si>
  <si>
    <t>10071188</t>
  </si>
  <si>
    <t>ocm10071188</t>
  </si>
  <si>
    <t>3102934351L</t>
  </si>
  <si>
    <t>792707358</t>
  </si>
  <si>
    <t>PG3361 S3 G613 1931</t>
  </si>
  <si>
    <t>0                      PG 3361000S  3                  G  613         1931</t>
  </si>
  <si>
    <t>The Golovlyov family / by M.E. Shchedrin (Saltykov) ; with and introduction by Edward Garnett ; translated by Natalie Duddington.</t>
  </si>
  <si>
    <t>London, [England] : George Allen &amp; Unwin, 1931.</t>
  </si>
  <si>
    <t>1931</t>
  </si>
  <si>
    <t>232956534:eng</t>
  </si>
  <si>
    <t>2145421</t>
  </si>
  <si>
    <t>ocm02145421</t>
  </si>
  <si>
    <t>3102934356L</t>
  </si>
  <si>
    <t>792055678</t>
  </si>
  <si>
    <t>PG3361 S3 G613 1986</t>
  </si>
  <si>
    <t>0                      PG 3361000S  3                  G  613         1986</t>
  </si>
  <si>
    <t>The Golovlevs / M.E. Saltykov-Shchedrin ; translated by I.P. Foote.</t>
  </si>
  <si>
    <t>Oxford ; New York : Oxford University Press, 1986.</t>
  </si>
  <si>
    <t>The world's classics</t>
  </si>
  <si>
    <t>2019-03-20</t>
  </si>
  <si>
    <t>12663290</t>
  </si>
  <si>
    <t>ocm12663290</t>
  </si>
  <si>
    <t>3102934326R</t>
  </si>
  <si>
    <t>9780192816160</t>
  </si>
  <si>
    <t>792822688</t>
  </si>
  <si>
    <t>PG3361 S3 G6385 1997</t>
  </si>
  <si>
    <t>0                      PG 3361000S  3                  G  6385        1997</t>
  </si>
  <si>
    <t>Saltykov-Shchedrin's The Golovlyovs : a critical companion / edited by I.P. Foote.</t>
  </si>
  <si>
    <t>Evanston, Ill. : Northwestern University Press, ©1997.</t>
  </si>
  <si>
    <t>2016-06-28</t>
  </si>
  <si>
    <t>900683439:eng</t>
  </si>
  <si>
    <t>37457830</t>
  </si>
  <si>
    <t>ocm37457830</t>
  </si>
  <si>
    <t>3102934316T</t>
  </si>
  <si>
    <t>9780810113114</t>
  </si>
  <si>
    <t>793499156</t>
  </si>
  <si>
    <t>PG3361 S3 I713 1982</t>
  </si>
  <si>
    <t>0                      PG 3361000S  3                  I  713         1982</t>
  </si>
  <si>
    <t>The history of a town : or, The chronicle of Foolov / Saltykov-Shchedrin ; translated and edited by Susan Brownsberger.</t>
  </si>
  <si>
    <t>541687:eng</t>
  </si>
  <si>
    <t>7977325</t>
  </si>
  <si>
    <t>ocm07977325</t>
  </si>
  <si>
    <t>3102711217T</t>
  </si>
  <si>
    <t>9780882336107</t>
  </si>
  <si>
    <t>792590891</t>
  </si>
  <si>
    <t>PG3361 S3 Z593</t>
  </si>
  <si>
    <t>0                      PG 3361000S  3                  Z  593</t>
  </si>
  <si>
    <t>Skazki Saltykova-Shchedrina / A. Bushmin.</t>
  </si>
  <si>
    <t>Bushmin, A. S. (Alekseĭ Sergeevich)</t>
  </si>
  <si>
    <t>Leningrad : "Khudozh. lit-ra", 1976.</t>
  </si>
  <si>
    <t>Izd 2., dorabotannoe.</t>
  </si>
  <si>
    <t>2019-07-04</t>
  </si>
  <si>
    <t>3863656656:rus</t>
  </si>
  <si>
    <t>2860323</t>
  </si>
  <si>
    <t>ocm02860323</t>
  </si>
  <si>
    <t>3102934330P</t>
  </si>
  <si>
    <t>792186110</t>
  </si>
  <si>
    <t>PG3361 S3 1918</t>
  </si>
  <si>
    <t>0                      PG 3361000S  3           1918</t>
  </si>
  <si>
    <t>Polnoe sobranīe sochinenīĭ / M.E. Saltykov (N. Shchedrin).</t>
  </si>
  <si>
    <t>Petrograd : Literaturno-Izdatelʹskīĭ Otdi︠e︡l Komissarīata Narodnago Prosvi︠e︡shchenīi︠a︡, &lt;1918&gt;</t>
  </si>
  <si>
    <t>1918</t>
  </si>
  <si>
    <t>2016-03-18</t>
  </si>
  <si>
    <t>2829952646:rus</t>
  </si>
  <si>
    <t>74814791</t>
  </si>
  <si>
    <t>ocm74814791</t>
  </si>
  <si>
    <t>3103254232G</t>
  </si>
  <si>
    <t>794173654</t>
  </si>
  <si>
    <t>3103254264A</t>
  </si>
  <si>
    <t>794173660</t>
  </si>
  <si>
    <t>3103254266A</t>
  </si>
  <si>
    <t>794173662</t>
  </si>
  <si>
    <t>3103254265A</t>
  </si>
  <si>
    <t>794173661</t>
  </si>
  <si>
    <t>3103254263A</t>
  </si>
  <si>
    <t>794173659</t>
  </si>
  <si>
    <t>3103254227I</t>
  </si>
  <si>
    <t>794173655</t>
  </si>
  <si>
    <t>3103254222I</t>
  </si>
  <si>
    <t>794173656</t>
  </si>
  <si>
    <t>3103254217K</t>
  </si>
  <si>
    <t>794173657</t>
  </si>
  <si>
    <t>3103254247E</t>
  </si>
  <si>
    <t>794173651</t>
  </si>
  <si>
    <t>3103254262A</t>
  </si>
  <si>
    <t>794173658</t>
  </si>
  <si>
    <t>3103254242E</t>
  </si>
  <si>
    <t>794173652</t>
  </si>
  <si>
    <t>3103254237G</t>
  </si>
  <si>
    <t>794173653</t>
  </si>
  <si>
    <t>PG3361 S3 1965</t>
  </si>
  <si>
    <t>0                      PG 3361000S  3           1965</t>
  </si>
  <si>
    <t>Sobranie sochineniĭ : v dvadt︠s︡ati tomakh / M.E. Saltykov-Shchedrin ; redakt︠s︡ionnai︠a︡ kollegii︠a︡ A.S. Bushmin, V. I︠A︡. Kirpotin, S.A. Makashin (glavnyĭ redaktor), E.I. Pokusaev.</t>
  </si>
  <si>
    <t>Moskva : Khudozhestvennai︠a︡ literatura, 1965-1977.</t>
  </si>
  <si>
    <t>2018-11-10</t>
  </si>
  <si>
    <t>3858139278:rus</t>
  </si>
  <si>
    <t>2683732</t>
  </si>
  <si>
    <t>ocm02683732</t>
  </si>
  <si>
    <t>31029384434</t>
  </si>
  <si>
    <t>792163021</t>
  </si>
  <si>
    <t>31029384386</t>
  </si>
  <si>
    <t>792162997</t>
  </si>
  <si>
    <t>2016-01-11</t>
  </si>
  <si>
    <t>31029384444</t>
  </si>
  <si>
    <t>792163012</t>
  </si>
  <si>
    <t>31029384336</t>
  </si>
  <si>
    <t>792162996</t>
  </si>
  <si>
    <t>V. 18 pt. 2</t>
  </si>
  <si>
    <t>3102938410A</t>
  </si>
  <si>
    <t>792163002</t>
  </si>
  <si>
    <t>3102938414A</t>
  </si>
  <si>
    <t>792163009</t>
  </si>
  <si>
    <t>V. 15 pt. 1</t>
  </si>
  <si>
    <t>3102938418A</t>
  </si>
  <si>
    <t>792163008</t>
  </si>
  <si>
    <t>V. 17 pt. 1</t>
  </si>
  <si>
    <t>3102938412A</t>
  </si>
  <si>
    <t>792163004</t>
  </si>
  <si>
    <t>31029384288</t>
  </si>
  <si>
    <t>792163013</t>
  </si>
  <si>
    <t>31029384376</t>
  </si>
  <si>
    <t>792163020</t>
  </si>
  <si>
    <t>V. 16 pt. 2</t>
  </si>
  <si>
    <t>3102938407C</t>
  </si>
  <si>
    <t>792163005</t>
  </si>
  <si>
    <t>V. 18 pt. 1</t>
  </si>
  <si>
    <t>3102938409C</t>
  </si>
  <si>
    <t>792163003</t>
  </si>
  <si>
    <t>V. 16 pt. 1</t>
  </si>
  <si>
    <t>3102938408C</t>
  </si>
  <si>
    <t>792163006</t>
  </si>
  <si>
    <t>31029384278</t>
  </si>
  <si>
    <t>792163019</t>
  </si>
  <si>
    <t>3102938417A</t>
  </si>
  <si>
    <t>792163016</t>
  </si>
  <si>
    <t>V. 19 pt. 2</t>
  </si>
  <si>
    <t>3100807678N</t>
  </si>
  <si>
    <t>792163000</t>
  </si>
  <si>
    <t>V. 19 pt. 1</t>
  </si>
  <si>
    <t>3102938415A</t>
  </si>
  <si>
    <t>792163001</t>
  </si>
  <si>
    <t>31029384298</t>
  </si>
  <si>
    <t>792163014</t>
  </si>
  <si>
    <t>31029384494</t>
  </si>
  <si>
    <t>792162995</t>
  </si>
  <si>
    <t>31029384396</t>
  </si>
  <si>
    <t>792163017</t>
  </si>
  <si>
    <t>31029384238</t>
  </si>
  <si>
    <t>792163018</t>
  </si>
  <si>
    <t>V. 15 pt. 2</t>
  </si>
  <si>
    <t>3102938413A</t>
  </si>
  <si>
    <t>792163007</t>
  </si>
  <si>
    <t>v.</t>
  </si>
  <si>
    <t>2005-03-18</t>
  </si>
  <si>
    <t>31029384228</t>
  </si>
  <si>
    <t>792163023</t>
  </si>
  <si>
    <t>31029384208</t>
  </si>
  <si>
    <t>792162999</t>
  </si>
  <si>
    <t>31029384326</t>
  </si>
  <si>
    <t>792163022</t>
  </si>
  <si>
    <t>31029384346</t>
  </si>
  <si>
    <t>792163015</t>
  </si>
  <si>
    <t>31029384248</t>
  </si>
  <si>
    <t>792163011</t>
  </si>
  <si>
    <t>31029384484</t>
  </si>
  <si>
    <t>792162998</t>
  </si>
  <si>
    <t>3102938419A</t>
  </si>
  <si>
    <t>792163010</t>
  </si>
  <si>
    <t>PG3361 S4 I15 1982</t>
  </si>
  <si>
    <t>0                      PG 3361000S  4                  I  15          1982</t>
  </si>
  <si>
    <t>I have come to you to greet you : selected poems / Afanasy Fet ; translated by James Greene ; with the assistance of literal versions provided by Cynthia Westwood ; introduction by Henry Gifford ; and an essay by Yevgeny Vinokurov.</t>
  </si>
  <si>
    <t>Fet, A. A. (Afanasiĭ Afanasʹevich), 1820-1892, author.</t>
  </si>
  <si>
    <t>London : Angel Books, 1982.</t>
  </si>
  <si>
    <t>12710293:eng</t>
  </si>
  <si>
    <t>9388568</t>
  </si>
  <si>
    <t>ocm09388568</t>
  </si>
  <si>
    <t>3000344934U</t>
  </si>
  <si>
    <t>9780946162017</t>
  </si>
  <si>
    <t>792673420</t>
  </si>
  <si>
    <t>PG3361 S714 Z78 1989</t>
  </si>
  <si>
    <t>0                      PG 3361000S  714                Z  78          1989</t>
  </si>
  <si>
    <t>Orest Somov : Russian fiction between romanticism and realism / John Mersereau, Jr.</t>
  </si>
  <si>
    <t>Ann Arbor : Ardis, ©1989.</t>
  </si>
  <si>
    <t>143881241:eng</t>
  </si>
  <si>
    <t>18949629</t>
  </si>
  <si>
    <t>ocm18949629</t>
  </si>
  <si>
    <t>3102934376H</t>
  </si>
  <si>
    <t>9780875010335</t>
  </si>
  <si>
    <t>793042202</t>
  </si>
  <si>
    <t>PG3361 S8 Z53 2010</t>
  </si>
  <si>
    <t>0                      PG 3361000S  8                  Z  53          2010</t>
  </si>
  <si>
    <t>A.V. Sukhovo-Kobylin : pro et contra : lichnostʹ i tvorchestvo A.V. Sukhovo-Kobylina v vospominanii︠a︡kh sovremennikov, v statʹi︠a︡kh literaturnykh i teatralʹnykh kritikov, pisateleĭ i filosofov, rezhisserov i akterov : antologii︠a︡ / [otvetstvennyĭ redaktor toma, D.K. Burlaka ; sostaviteli: V.M. Seleznev, E.O. Selezneva].</t>
  </si>
  <si>
    <t>Sankt-Peterburg : Izd-vo Russkoĭ khristianskoĭ gumanitarnoĭ akademii, 2010.</t>
  </si>
  <si>
    <t>Serii︠a︡ "Russkiĭ putʹ"</t>
  </si>
  <si>
    <t>3861122963:rus</t>
  </si>
  <si>
    <t>743393830</t>
  </si>
  <si>
    <t>ocn743393830</t>
  </si>
  <si>
    <t>3103410192V</t>
  </si>
  <si>
    <t>9785903931606</t>
  </si>
  <si>
    <t>794885746</t>
  </si>
  <si>
    <t>PG3361 T5 A25 1993</t>
  </si>
  <si>
    <t>0                      PG 3361000T  5                  A  25          1993</t>
  </si>
  <si>
    <t>On the heights of creation : the lyrics of Fedor Tyutchev / translated from the Russian with introduction and commentary by Anatoly Liberman.</t>
  </si>
  <si>
    <t>Liberman, Anatoly.</t>
  </si>
  <si>
    <t>Greenwich, Conn. : Jai Press, ©1993.</t>
  </si>
  <si>
    <t>Russian and East European studies ; v. 2</t>
  </si>
  <si>
    <t>292501181:eng</t>
  </si>
  <si>
    <t>26761440</t>
  </si>
  <si>
    <t>ocm26761440</t>
  </si>
  <si>
    <t>3102934390D</t>
  </si>
  <si>
    <t>9781559385251</t>
  </si>
  <si>
    <t>793250946</t>
  </si>
  <si>
    <t>PG3361 T5 Z82 1984</t>
  </si>
  <si>
    <t>0                      PG 3361000T  5                  Z  82          1984</t>
  </si>
  <si>
    <t>Russian metaphysical romanticism : the poetry of Tiutchev and Boratynskii / Sarah Pratt.</t>
  </si>
  <si>
    <t>Pratt, Sarah.</t>
  </si>
  <si>
    <t>Stanford, Calif. : Stanford University Press, 1984.</t>
  </si>
  <si>
    <t>2015-03-28</t>
  </si>
  <si>
    <t>896628719:eng</t>
  </si>
  <si>
    <t>11130054</t>
  </si>
  <si>
    <t>ocm11130054</t>
  </si>
  <si>
    <t>3102934363J</t>
  </si>
  <si>
    <t>9780804711883</t>
  </si>
  <si>
    <t>792759436</t>
  </si>
  <si>
    <t>PG3363 A1 1963</t>
  </si>
  <si>
    <t>0                      PG 3363000A  1           1963</t>
  </si>
  <si>
    <t>Sobranie sochineniĭ v chetyrëkh tomakh / A.K. Tolstoĭ.</t>
  </si>
  <si>
    <t>Tolstoy, Aleksey Konstantinovich, graf, 1817-1875.</t>
  </si>
  <si>
    <t>Moskva : Izd-vo "Khudozhestvennoĭ lit-ry", 1963-1964.</t>
  </si>
  <si>
    <t>2015-05-07</t>
  </si>
  <si>
    <t>2754358078:rus</t>
  </si>
  <si>
    <t>25457860</t>
  </si>
  <si>
    <t>ocm25457860</t>
  </si>
  <si>
    <t>3000615051L</t>
  </si>
  <si>
    <t>793222573</t>
  </si>
  <si>
    <t>31008076427</t>
  </si>
  <si>
    <t>793222572</t>
  </si>
  <si>
    <t>3102934357L</t>
  </si>
  <si>
    <t>793222577</t>
  </si>
  <si>
    <t>3102934362J</t>
  </si>
  <si>
    <t>793222574</t>
  </si>
  <si>
    <t>3102934367J</t>
  </si>
  <si>
    <t>793222576</t>
  </si>
  <si>
    <t>3102934372H</t>
  </si>
  <si>
    <t>793222575</t>
  </si>
  <si>
    <t>PG3363 T8 E5 1922</t>
  </si>
  <si>
    <t>0                      PG 3363000T  8                  E  5           1922</t>
  </si>
  <si>
    <t>Tsar Fyodor Ivanovitch : a play in five acts / by Count Alexei Tolstoy ; English translation by Jenny Covan.</t>
  </si>
  <si>
    <t>New York : Brentanos, ©1922.</t>
  </si>
  <si>
    <t>The Moscow Art Theatre series of Russian plays ; v. 1</t>
  </si>
  <si>
    <t>2015-03-02</t>
  </si>
  <si>
    <t>2308171:eng</t>
  </si>
  <si>
    <t>1409571</t>
  </si>
  <si>
    <t>ocm01409571</t>
  </si>
  <si>
    <t>3103249724P</t>
  </si>
  <si>
    <t>791620052</t>
  </si>
  <si>
    <t>PG3363 Z8 D3 1972</t>
  </si>
  <si>
    <t>0                      PG 3363000Z  8                  D  3           1972</t>
  </si>
  <si>
    <t>A.K. Tolstoy / by Margaret Dalton.</t>
  </si>
  <si>
    <t>Dalton, Margaret, 1928-</t>
  </si>
  <si>
    <t>New York : Twayne Publishers, ©1972.</t>
  </si>
  <si>
    <t>Twayne's world authors series. Russia ; 168</t>
  </si>
  <si>
    <t>5610694208:eng</t>
  </si>
  <si>
    <t>251477</t>
  </si>
  <si>
    <t>ocm00251477</t>
  </si>
  <si>
    <t>3103249723P</t>
  </si>
  <si>
    <t>791309819</t>
  </si>
  <si>
    <t>PG3363 Z8 P6 1908</t>
  </si>
  <si>
    <t>0                      PG 3363000Z  8                  P  6           1908</t>
  </si>
  <si>
    <t>Aleksi︠e︡ĭ Konstantinovichʺ Tolstoĭ, ego zhiznʹ i sochinenii︠a︡ sbornikʺ istoriko-literaturnykhʺ stateĭ Sostavilʺ V. Pokrovskiĭ.</t>
  </si>
  <si>
    <t>Pokrovskīĭ, V. I. (Vasilīĭ Ivanovich), compiler.</t>
  </si>
  <si>
    <t>Moskva, Skladʺ vʺ Knizhnomʺ magazini︠e︡ V. Spiridonova i A. Mikhaĭlova, 1908.</t>
  </si>
  <si>
    <t>3855588133:rus</t>
  </si>
  <si>
    <t>4239614</t>
  </si>
  <si>
    <t>ocm04239614</t>
  </si>
  <si>
    <t>3103445605$</t>
  </si>
  <si>
    <t>792333764</t>
  </si>
  <si>
    <t>PG3365 A1 1960</t>
  </si>
  <si>
    <t>0                      PG 3365000A  1           1960</t>
  </si>
  <si>
    <t>Sobranie sochineniĭ.</t>
  </si>
  <si>
    <t>Tolstoy, Leo, graf, 1828-1910.</t>
  </si>
  <si>
    <t>Moskva : [publisher not identified], 1960-1965.</t>
  </si>
  <si>
    <t>Sobranie sochineniĭ v dvatsati tomakh</t>
  </si>
  <si>
    <t>2019-06-01</t>
  </si>
  <si>
    <t>3373730759:rus</t>
  </si>
  <si>
    <t>427855453</t>
  </si>
  <si>
    <t>ocn427855453</t>
  </si>
  <si>
    <t>3103223335W</t>
  </si>
  <si>
    <t>794703550</t>
  </si>
  <si>
    <t>2017-08-30</t>
  </si>
  <si>
    <t>3103223339W</t>
  </si>
  <si>
    <t>794703546</t>
  </si>
  <si>
    <t>2016-09-13</t>
  </si>
  <si>
    <t>3103223340U</t>
  </si>
  <si>
    <t>794703545</t>
  </si>
  <si>
    <t>2017-02-17</t>
  </si>
  <si>
    <t>3103223328Y</t>
  </si>
  <si>
    <t>794703557</t>
  </si>
  <si>
    <t>3103223342U</t>
  </si>
  <si>
    <t>794703543</t>
  </si>
  <si>
    <t>3103223341U</t>
  </si>
  <si>
    <t>794703544</t>
  </si>
  <si>
    <t>2014-04-17</t>
  </si>
  <si>
    <t>3103223330W</t>
  </si>
  <si>
    <t>794703555</t>
  </si>
  <si>
    <t>3103223331W</t>
  </si>
  <si>
    <t>794703559</t>
  </si>
  <si>
    <t>3103223329Y</t>
  </si>
  <si>
    <t>794703556</t>
  </si>
  <si>
    <t>v.18</t>
  </si>
  <si>
    <t>2014-12-18</t>
  </si>
  <si>
    <t>3103223345U</t>
  </si>
  <si>
    <t>794703540</t>
  </si>
  <si>
    <t>2017-06-20</t>
  </si>
  <si>
    <t>3103223333W</t>
  </si>
  <si>
    <t>794703552</t>
  </si>
  <si>
    <t>v.16</t>
  </si>
  <si>
    <t>3103223343U</t>
  </si>
  <si>
    <t>794703542</t>
  </si>
  <si>
    <t>v.17</t>
  </si>
  <si>
    <t>3103223344U</t>
  </si>
  <si>
    <t>794703541</t>
  </si>
  <si>
    <t>3103223332W</t>
  </si>
  <si>
    <t>794703553</t>
  </si>
  <si>
    <t>3103223334W</t>
  </si>
  <si>
    <t>794703551</t>
  </si>
  <si>
    <t>3103223337W</t>
  </si>
  <si>
    <t>794703548</t>
  </si>
  <si>
    <t>v.20</t>
  </si>
  <si>
    <t>31032489979</t>
  </si>
  <si>
    <t>794703538</t>
  </si>
  <si>
    <t>2006-11-22</t>
  </si>
  <si>
    <t>31028915425</t>
  </si>
  <si>
    <t>794703558</t>
  </si>
  <si>
    <t>3103223338W</t>
  </si>
  <si>
    <t>794703547</t>
  </si>
  <si>
    <t>3103223336W</t>
  </si>
  <si>
    <t>794703549</t>
  </si>
  <si>
    <t>3103305515Q</t>
  </si>
  <si>
    <t>794703554</t>
  </si>
  <si>
    <t>v.19</t>
  </si>
  <si>
    <t>3103223346U</t>
  </si>
  <si>
    <t>794703539</t>
  </si>
  <si>
    <t>PG3365 A1 1994</t>
  </si>
  <si>
    <t>0                      PG 3365000A  1           1994</t>
  </si>
  <si>
    <t>Povesti i rasskazy / L.N. Tolstoĭ ; [sostavlenieR. A. Kravchenko].</t>
  </si>
  <si>
    <t>Moskva : A/O izd-vo "Raduga", 1994.</t>
  </si>
  <si>
    <t>2018-10-31</t>
  </si>
  <si>
    <t>4919365905:rus</t>
  </si>
  <si>
    <t>35205507</t>
  </si>
  <si>
    <t>ocm35205507</t>
  </si>
  <si>
    <t>31032509615</t>
  </si>
  <si>
    <t>9785050041814</t>
  </si>
  <si>
    <t>793446759</t>
  </si>
  <si>
    <t>PG3365 A15 M36 2004</t>
  </si>
  <si>
    <t>0                      PG 3365000A  15                 M  36          2004</t>
  </si>
  <si>
    <t>Great short works of Leo Tolstoy / with an introduction by John Bayley ; in the translations by Louise and Aylmer Maude.</t>
  </si>
  <si>
    <t>New York : Perennial Library, 2004.</t>
  </si>
  <si>
    <t>2019-03-09</t>
  </si>
  <si>
    <t>2286704826:eng</t>
  </si>
  <si>
    <t>54707173</t>
  </si>
  <si>
    <t>ocm54707173</t>
  </si>
  <si>
    <t>3102521288M</t>
  </si>
  <si>
    <t>9780060586973</t>
  </si>
  <si>
    <t>793866072</t>
  </si>
  <si>
    <t>2015-07-10</t>
  </si>
  <si>
    <t>3102521293K</t>
  </si>
  <si>
    <t>793866071</t>
  </si>
  <si>
    <t>PG3365 A15 1915</t>
  </si>
  <si>
    <t>0                      PG 3365000A  15          1915</t>
  </si>
  <si>
    <t>A first Russian reader, from L.N. Tolstoy, with English notes and a vocabulary by Percy Dearmer and Vyacheslav A. Tananevich.</t>
  </si>
  <si>
    <t>Oxford, Clarendon Press, 1915.</t>
  </si>
  <si>
    <t>2018-10-12</t>
  </si>
  <si>
    <t>23166922:rus</t>
  </si>
  <si>
    <t>2276940</t>
  </si>
  <si>
    <t>ocm02276940</t>
  </si>
  <si>
    <t>3103249751J</t>
  </si>
  <si>
    <t>792096476</t>
  </si>
  <si>
    <t>PG3365 A15 1960</t>
  </si>
  <si>
    <t>0                      PG 3365000A  15          1960</t>
  </si>
  <si>
    <t>Fables, tales, and stories. : a captive in the Caucasus. Compiled and adapted with notes and vocabulary by E. Vladimirsky and V. Zaitsev.</t>
  </si>
  <si>
    <t>Moscow : Foreign Languages Pub. House, 1960.</t>
  </si>
  <si>
    <t>Easy Russian series</t>
  </si>
  <si>
    <t>4820586026:eng</t>
  </si>
  <si>
    <t>61585967</t>
  </si>
  <si>
    <t>ocm61585967</t>
  </si>
  <si>
    <t>3103076559Y</t>
  </si>
  <si>
    <t>794023713</t>
  </si>
  <si>
    <t>3103249749L</t>
  </si>
  <si>
    <t>794023714</t>
  </si>
  <si>
    <t>- Education Migration Project - By Request</t>
  </si>
  <si>
    <t>PG3365 A15 1967</t>
  </si>
  <si>
    <t>0                      PG 3365000A  15          1967</t>
  </si>
  <si>
    <t>Great short works of Leo Tolstoy. With an introd. by John Bayley. In the translations by Louise and Aylmer Maude.</t>
  </si>
  <si>
    <t>Perennial classic ; P3071</t>
  </si>
  <si>
    <t>2016-04-02</t>
  </si>
  <si>
    <t>256596</t>
  </si>
  <si>
    <t>ocm00256596</t>
  </si>
  <si>
    <t>30010098624</t>
  </si>
  <si>
    <t>9780060830717</t>
  </si>
  <si>
    <t>791312140</t>
  </si>
  <si>
    <t>PG3365 A2 T75 2014</t>
  </si>
  <si>
    <t>0                      PG 3365000A  2                  T  75          2014</t>
  </si>
  <si>
    <t>Vse luchshie skazki i rasskazy / Lev Tolstoĭ ; khudozhniki Olʹga i Alekseĭ Ivanovy ; vedushchiĭ redaktor O.F. Trifonova.</t>
  </si>
  <si>
    <t>Tolstoy, Leo, graf, 1828-1910, author.</t>
  </si>
  <si>
    <t>Moskva : Izd-vo AST, [2014]</t>
  </si>
  <si>
    <t>3771922382:rus</t>
  </si>
  <si>
    <t>903913264</t>
  </si>
  <si>
    <t>ocn903913264</t>
  </si>
  <si>
    <t>31035863711</t>
  </si>
  <si>
    <t>9785170489671</t>
  </si>
  <si>
    <t>794989809</t>
  </si>
  <si>
    <t>PG3365 A6 2006</t>
  </si>
  <si>
    <t>0                      PG 3365000A  6           2006</t>
  </si>
  <si>
    <t>Anna Karenina / Lev Tolstoĭ ; [illustrated by V.A. Vanet︠s︡ian and others].</t>
  </si>
  <si>
    <t>Moskva : Slovo, 2006.</t>
  </si>
  <si>
    <t>Velikie knigi mira</t>
  </si>
  <si>
    <t>2015-06-27</t>
  </si>
  <si>
    <t>509824227:rus</t>
  </si>
  <si>
    <t>469710298</t>
  </si>
  <si>
    <t>ocn469710298</t>
  </si>
  <si>
    <t>31031014798</t>
  </si>
  <si>
    <t>794795955</t>
  </si>
  <si>
    <t>PG3365 A6 2007</t>
  </si>
  <si>
    <t>0                      PG 3365000A  6           2007</t>
  </si>
  <si>
    <t>Anna Karenina : roman / L.N. Tolstoĭ.</t>
  </si>
  <si>
    <t>Moskva : AST, ©2007.</t>
  </si>
  <si>
    <t>Zolotai︠a︡ klassika</t>
  </si>
  <si>
    <t>229411796</t>
  </si>
  <si>
    <t>ocn229411796</t>
  </si>
  <si>
    <t>3103251209Y</t>
  </si>
  <si>
    <t>9785170397471</t>
  </si>
  <si>
    <t>794353685</t>
  </si>
  <si>
    <t>PG3365 A63 A34 1990</t>
  </si>
  <si>
    <t>0                      PG 3365000A  63                 A  34          1990</t>
  </si>
  <si>
    <t>Anna Karenina : the bitterness of ecstasy / Gary Adelman.</t>
  </si>
  <si>
    <t>Adelman, Gary.</t>
  </si>
  <si>
    <t>Twayne's masterwork studies ; no. 56</t>
  </si>
  <si>
    <t>2017-03-24</t>
  </si>
  <si>
    <t>375299589:eng</t>
  </si>
  <si>
    <t>21295044</t>
  </si>
  <si>
    <t>ocm21295044</t>
  </si>
  <si>
    <t>3102938861P</t>
  </si>
  <si>
    <t>9780805780833</t>
  </si>
  <si>
    <t>793114460</t>
  </si>
  <si>
    <t>PG3365 A63 A44 2004</t>
  </si>
  <si>
    <t>0                      PG 3365000A  63                 A  44          2004</t>
  </si>
  <si>
    <t>Limits to interpretation : the meanings of Anna Karenina / Vladimir E. Alexandrov.</t>
  </si>
  <si>
    <t>Alexandrov, Vladimir E.</t>
  </si>
  <si>
    <t>Madison, Wis. : University of Wisconsin Press, ©2004.</t>
  </si>
  <si>
    <t>671410:eng</t>
  </si>
  <si>
    <t>53170151</t>
  </si>
  <si>
    <t>ocm53170151</t>
  </si>
  <si>
    <t>3102938860P</t>
  </si>
  <si>
    <t>9780299195403</t>
  </si>
  <si>
    <t>793822972</t>
  </si>
  <si>
    <t>PG3365 A63 A69 2003</t>
  </si>
  <si>
    <t>0                      PG 3365000A  63                 A  69          2003</t>
  </si>
  <si>
    <t>Approaches to teaching Tolstoy's Anna Karenina / edited by Liza Knapp and Amy Mandelker.</t>
  </si>
  <si>
    <t>New York : Modern Language Association of America, 2003.</t>
  </si>
  <si>
    <t>Approaches to teaching world literature ; 78</t>
  </si>
  <si>
    <t>350044459:eng</t>
  </si>
  <si>
    <t>50942100</t>
  </si>
  <si>
    <t>ocm50942100</t>
  </si>
  <si>
    <t>3102938870N</t>
  </si>
  <si>
    <t>9780873529044</t>
  </si>
  <si>
    <t>793775721</t>
  </si>
  <si>
    <t>PG3365 A63 A75 1988</t>
  </si>
  <si>
    <t>0                      PG 3365000A  63                 A  75          1988</t>
  </si>
  <si>
    <t>The unsaid Anna Karenina / Judith M. Armstrong.</t>
  </si>
  <si>
    <t>Armstrong, Judith.</t>
  </si>
  <si>
    <t>London : Macmillan Press, 1988.</t>
  </si>
  <si>
    <t>20351267:eng</t>
  </si>
  <si>
    <t>243518058</t>
  </si>
  <si>
    <t>ocn243518058</t>
  </si>
  <si>
    <t>3102938875N</t>
  </si>
  <si>
    <t>9780333443958</t>
  </si>
  <si>
    <t>794377786</t>
  </si>
  <si>
    <t>PG3365 A63 B55 1987</t>
  </si>
  <si>
    <t>0                      PG 3365000A  63                 B  55          1987</t>
  </si>
  <si>
    <t>Leo Tolstoy's Anna Karenina / edited and with an introduction by Harold Bloom.</t>
  </si>
  <si>
    <t>New York : Chelsea House, 1987.</t>
  </si>
  <si>
    <t>3144648826:eng</t>
  </si>
  <si>
    <t>15659058</t>
  </si>
  <si>
    <t>ocm15659058</t>
  </si>
  <si>
    <t>3102938880L</t>
  </si>
  <si>
    <t>9781555460778</t>
  </si>
  <si>
    <t>792938630</t>
  </si>
  <si>
    <t>PG3365 A63 B76 2010</t>
  </si>
  <si>
    <t>0                      PG 3365000A  63                 B  76          2010</t>
  </si>
  <si>
    <t>A "labyrinth of linkages" in Tolstoy's Anna Karenina / Gary L. Browning.</t>
  </si>
  <si>
    <t>Browning, Gary L.</t>
  </si>
  <si>
    <t>503365832:eng</t>
  </si>
  <si>
    <t>642352208</t>
  </si>
  <si>
    <t>ocn642352208</t>
  </si>
  <si>
    <t>3103343342E</t>
  </si>
  <si>
    <t>9781936235186</t>
  </si>
  <si>
    <t>794828183</t>
  </si>
  <si>
    <t>PG3365.A63 E7</t>
  </si>
  <si>
    <t>0                      PG 3365000A  63                 E  7</t>
  </si>
  <si>
    <t>Roman L.N. Tolstogo, 'Anna Karenina'.</t>
  </si>
  <si>
    <t>Ermilov, V. (Vladimir)</t>
  </si>
  <si>
    <t>Moskva : Gos, izd-vo. khudozh. lit-ry, 1963.</t>
  </si>
  <si>
    <t>Massovai&amp;#x0361;a istoriko-literaturnai&amp;#x0361;a biblioteka. ^A234370 ^A234370</t>
  </si>
  <si>
    <t>2006-02-28</t>
  </si>
  <si>
    <t>2015-04-01</t>
  </si>
  <si>
    <t>42822551:rus</t>
  </si>
  <si>
    <t>222071859</t>
  </si>
  <si>
    <t>ocn222071859</t>
  </si>
  <si>
    <t>3102938897J</t>
  </si>
  <si>
    <t>794329210</t>
  </si>
  <si>
    <t>PG3365 A63 E7 1963</t>
  </si>
  <si>
    <t>0                      PG 3365000A  63                 E  7           1963</t>
  </si>
  <si>
    <t>3103250598B</t>
  </si>
  <si>
    <t>794329209</t>
  </si>
  <si>
    <t>PG3365 A63 E93 1989</t>
  </si>
  <si>
    <t>0                      PG 3365000A  63                 E  93          1989</t>
  </si>
  <si>
    <t>Reflecting on Anna Karenina / Mary Evans.</t>
  </si>
  <si>
    <t>Evans, Mary, 1946-</t>
  </si>
  <si>
    <t>London ; New York : Routledge, 1989.</t>
  </si>
  <si>
    <t>Heroines?</t>
  </si>
  <si>
    <t>355802558:eng</t>
  </si>
  <si>
    <t>19221791</t>
  </si>
  <si>
    <t>ocm19221791</t>
  </si>
  <si>
    <t>3103217289E</t>
  </si>
  <si>
    <t>9780415017190</t>
  </si>
  <si>
    <t>793050286</t>
  </si>
  <si>
    <t>3103249777F</t>
  </si>
  <si>
    <t>793050285</t>
  </si>
  <si>
    <t>PG3365 A63 K63 2016</t>
  </si>
  <si>
    <t>0                      PG 3365000A  63                 K  63          2016</t>
  </si>
  <si>
    <t>Anna Karenina and others : Tolstoy's labyrinth of plots / Liza Knapp.</t>
  </si>
  <si>
    <t>Knapp, Liza, author.</t>
  </si>
  <si>
    <t>Madison, Wisconsin : The University of Wisconsin Press, [2016]</t>
  </si>
  <si>
    <t>2776059981:eng</t>
  </si>
  <si>
    <t>926313090</t>
  </si>
  <si>
    <t>ocn926313090</t>
  </si>
  <si>
    <t>31036871442</t>
  </si>
  <si>
    <t>9780299307905</t>
  </si>
  <si>
    <t>795005438</t>
  </si>
  <si>
    <t>PG3365 A63 M36 1993</t>
  </si>
  <si>
    <t>0                      PG 3365000A  63                 M  36          1993</t>
  </si>
  <si>
    <t>Framing Anna Karenina : Tolstoy, the woman question, and the Victorian novel / Amy Mandelker.</t>
  </si>
  <si>
    <t>Mandelker, Amy.</t>
  </si>
  <si>
    <t>Columbus : Ohio State University Press, ©1993.</t>
  </si>
  <si>
    <t>The Theory and interpretation of narrative series</t>
  </si>
  <si>
    <t>905990739:eng</t>
  </si>
  <si>
    <t>28421446</t>
  </si>
  <si>
    <t>ocm28421446</t>
  </si>
  <si>
    <t>3102693067K</t>
  </si>
  <si>
    <t>9780814206133</t>
  </si>
  <si>
    <t>793287833</t>
  </si>
  <si>
    <t>PG3365 A63 M67 2007</t>
  </si>
  <si>
    <t>0                      PG 3365000A  63                 M  67          2007</t>
  </si>
  <si>
    <t>Anna Karenina in our time : seeing more wisely / Gary Saul Morson.</t>
  </si>
  <si>
    <t>2018-09-15</t>
  </si>
  <si>
    <t>140832823:eng</t>
  </si>
  <si>
    <t>122313427</t>
  </si>
  <si>
    <t>ocn122313427</t>
  </si>
  <si>
    <t>3102645338Y</t>
  </si>
  <si>
    <t>9780300100709</t>
  </si>
  <si>
    <t>794220141</t>
  </si>
  <si>
    <t>PG3365 A63 P57 1993</t>
  </si>
  <si>
    <t>0                      PG 3365000A  63                 P  57          1993</t>
  </si>
  <si>
    <t>A psychological study of Tolstoy's Anna Karenina / Anthony Piraino.</t>
  </si>
  <si>
    <t>Piraino, Anthony, 1912-</t>
  </si>
  <si>
    <t>San Francisco : EmText, ©1993.</t>
  </si>
  <si>
    <t>30835596:eng</t>
  </si>
  <si>
    <t>28584953</t>
  </si>
  <si>
    <t>ocm28584953</t>
  </si>
  <si>
    <t>3102938900Y</t>
  </si>
  <si>
    <t>9780773419438</t>
  </si>
  <si>
    <t>793291399</t>
  </si>
  <si>
    <t>PG3365 A63 S3</t>
  </si>
  <si>
    <t>0                      PG 3365000A  63                 S  3</t>
  </si>
  <si>
    <t>The structure of Anna Karenina / Sydney Schultze.</t>
  </si>
  <si>
    <t>Schultze, Sydney.</t>
  </si>
  <si>
    <t>2014-04-03</t>
  </si>
  <si>
    <t>28689441:eng</t>
  </si>
  <si>
    <t>7614583</t>
  </si>
  <si>
    <t>ocm07614583</t>
  </si>
  <si>
    <t>3102938894J</t>
  </si>
  <si>
    <t>9780882334417</t>
  </si>
  <si>
    <t>792569682</t>
  </si>
  <si>
    <t>3102938899J</t>
  </si>
  <si>
    <t>792569683</t>
  </si>
  <si>
    <t>PG3365 A63 S8</t>
  </si>
  <si>
    <t>0                      PG 3365000A  63                 S  8</t>
  </si>
  <si>
    <t>The architecture of Anna Karenina : a history of its writing, structure, and message / Elisabeth Stenbock-Fermor.</t>
  </si>
  <si>
    <t>Stenbock-Fermor, Elisabeth.</t>
  </si>
  <si>
    <t>Lisse : Peter de Ridder Press, 1975.</t>
  </si>
  <si>
    <t>PdR Press publications on Lev N. Tolstoj ; 1</t>
  </si>
  <si>
    <t>370461691:eng</t>
  </si>
  <si>
    <t>1983164</t>
  </si>
  <si>
    <t>ocm01983164</t>
  </si>
  <si>
    <t>3103249793B</t>
  </si>
  <si>
    <t>792022845</t>
  </si>
  <si>
    <t>PG3365 A63 T48 1987</t>
  </si>
  <si>
    <t>0                      PG 3365000A  63                 T  48          1987</t>
  </si>
  <si>
    <t>Leo Tolstoy, Anna Karenina / Anthony Thorlby.</t>
  </si>
  <si>
    <t>Thorlby, Anthony.</t>
  </si>
  <si>
    <t>Cambridge [Cambridgeshire] ; New York : Cambridge University Press, 1987.</t>
  </si>
  <si>
    <t>15935622:eng</t>
  </si>
  <si>
    <t>17231762</t>
  </si>
  <si>
    <t>ocm17231762</t>
  </si>
  <si>
    <t>3103094860L</t>
  </si>
  <si>
    <t>9780521328197</t>
  </si>
  <si>
    <t>792984840</t>
  </si>
  <si>
    <t>PG3365 A63 T8 1993</t>
  </si>
  <si>
    <t>0                      PG 3365000A  63                 T  8           1993</t>
  </si>
  <si>
    <t>A Karenina companion / by C.J.G. Turner.</t>
  </si>
  <si>
    <t>Turner, C. J. G.</t>
  </si>
  <si>
    <t>Waterloo, Ont. : Wilfrid Laurier University Press, ©1993.</t>
  </si>
  <si>
    <t>30404446:eng</t>
  </si>
  <si>
    <t>28022028</t>
  </si>
  <si>
    <t>ocm28022028</t>
  </si>
  <si>
    <t>3103119252I</t>
  </si>
  <si>
    <t>9780889202252</t>
  </si>
  <si>
    <t>793277874</t>
  </si>
  <si>
    <t>PG3365 D5 2005</t>
  </si>
  <si>
    <t>0                      PG 3365000D  5           2005</t>
  </si>
  <si>
    <t>Detstvo, otrochestvo, i︠u︡nostʹ : roman, povesti, rasskazy / Lev Tolstoĭ.</t>
  </si>
  <si>
    <t>Moskva : Ėksmo, 2005.</t>
  </si>
  <si>
    <t>2017-11-12</t>
  </si>
  <si>
    <t>2044576973:rus</t>
  </si>
  <si>
    <t>63671281</t>
  </si>
  <si>
    <t>ocm63671281</t>
  </si>
  <si>
    <t>3103251147T</t>
  </si>
  <si>
    <t>9785699138166</t>
  </si>
  <si>
    <t>794122207</t>
  </si>
  <si>
    <t>PG3365 D53 W558 1995</t>
  </si>
  <si>
    <t>0                      PG 3365000D  53                 W  558         1995</t>
  </si>
  <si>
    <t>Tolstoy's Childhood / Gareth Williams.</t>
  </si>
  <si>
    <t>Williams, Gareth, 1936-</t>
  </si>
  <si>
    <t>London : Bristol Classical Press, 1995.</t>
  </si>
  <si>
    <t>Critical studies in Russian literature = Literaturovedenie</t>
  </si>
  <si>
    <t>34239063:eng</t>
  </si>
  <si>
    <t>32460776</t>
  </si>
  <si>
    <t>ocm32460776</t>
  </si>
  <si>
    <t>3103527347X</t>
  </si>
  <si>
    <t>9781853993831</t>
  </si>
  <si>
    <t>793384738</t>
  </si>
  <si>
    <t>PG3365 K73 S66 1996</t>
  </si>
  <si>
    <t>0                      PG 3365000K  73                 S  66          1996</t>
  </si>
  <si>
    <t>La Sonate à Kreutzer / [textes recueillis par Marie Sémon].</t>
  </si>
  <si>
    <t>Paris : Institut d'Études Slaves, 1992.</t>
  </si>
  <si>
    <t>Bibliothèque russe de l'Institut d'études slaves, 0078-9976 ; 89</t>
  </si>
  <si>
    <t>4663797489:fre</t>
  </si>
  <si>
    <t>27887448</t>
  </si>
  <si>
    <t>ocm27887448</t>
  </si>
  <si>
    <t>3103249778F</t>
  </si>
  <si>
    <t>9782720402647</t>
  </si>
  <si>
    <t>793274426</t>
  </si>
  <si>
    <t>PG3365 V6 1960</t>
  </si>
  <si>
    <t>0                      PG 3365000V  6           1960</t>
  </si>
  <si>
    <t>Voĭna i mir / Lev Tolstoĭ ; Illi︠u︡strat︠s︡ii V.A. Serova.</t>
  </si>
  <si>
    <t>t.3/4</t>
  </si>
  <si>
    <t>Moskva ; Leningrad : Gos. izd-vo Khudozh. lit-ry, 1960.</t>
  </si>
  <si>
    <t>4535703596:rus</t>
  </si>
  <si>
    <t>4544456</t>
  </si>
  <si>
    <t>ocm04544456</t>
  </si>
  <si>
    <t>31012003636</t>
  </si>
  <si>
    <t>792360843</t>
  </si>
  <si>
    <t>t.1/2</t>
  </si>
  <si>
    <t>31012003644</t>
  </si>
  <si>
    <t>792360844</t>
  </si>
  <si>
    <t>PG3365 V614</t>
  </si>
  <si>
    <t>0                      PG 3365000V  614</t>
  </si>
  <si>
    <t>La guerre et la paix / Léon Tolstoï ; tr. du russe par Michel Delines.</t>
  </si>
  <si>
    <t>Paris : [publisher not identified], [191-?]</t>
  </si>
  <si>
    <t>Collection des grands romans littéraires</t>
  </si>
  <si>
    <t>2004-05-10</t>
  </si>
  <si>
    <t>4535703596:fre</t>
  </si>
  <si>
    <t>427249226</t>
  </si>
  <si>
    <t>ocn427249226</t>
  </si>
  <si>
    <t>31008376955</t>
  </si>
  <si>
    <t>9780828835480</t>
  </si>
  <si>
    <t>794552865</t>
  </si>
  <si>
    <t>3102710739E</t>
  </si>
  <si>
    <t>794552866</t>
  </si>
  <si>
    <t>PG3365 V62 2009</t>
  </si>
  <si>
    <t>0                      PG 3365000V  62          2009</t>
  </si>
  <si>
    <t>Voĭna i mir / Lev Nikolaevich Tolstoĭ.</t>
  </si>
  <si>
    <t>t. 3-4</t>
  </si>
  <si>
    <t>Moskva : ĖKSMO, 2009.</t>
  </si>
  <si>
    <t>Biblioteka vsemirnoĭ literatury</t>
  </si>
  <si>
    <t>2013-10-22</t>
  </si>
  <si>
    <t>2019-11-14</t>
  </si>
  <si>
    <t>1050870635</t>
  </si>
  <si>
    <t>on1050870635</t>
  </si>
  <si>
    <t>3103284594H</t>
  </si>
  <si>
    <t>9785699311583</t>
  </si>
  <si>
    <t>795061611</t>
  </si>
  <si>
    <t>t. 1-2</t>
  </si>
  <si>
    <t>3103284599H</t>
  </si>
  <si>
    <t>795061612</t>
  </si>
  <si>
    <t>PG3365 V65 A98 2013</t>
  </si>
  <si>
    <t>0                      PG 3365000V  65                 A  98          2013</t>
  </si>
  <si>
    <t>Autour de Guerre et paix : la campagne de Russie / publié sous la direction de Michel Aucouturier.</t>
  </si>
  <si>
    <t>Paris : Institut d'études slaves, 2013.</t>
  </si>
  <si>
    <t>Bibliothèque russe de l'Institut d'études slaves 128. Cahiers Léon Tolstoï ; 24</t>
  </si>
  <si>
    <t>1825796239:fre</t>
  </si>
  <si>
    <t>873479858</t>
  </si>
  <si>
    <t>ocn873479858</t>
  </si>
  <si>
    <t>31035525141</t>
  </si>
  <si>
    <t>9782720405228</t>
  </si>
  <si>
    <t>794968442</t>
  </si>
  <si>
    <t>PG3365 V65 C47</t>
  </si>
  <si>
    <t>0                      PG 3365000V  65                 C  47</t>
  </si>
  <si>
    <t>Tolstoy's "War and Peace" : a study.</t>
  </si>
  <si>
    <t>Christian, R. F. (Reginald Frank), author.</t>
  </si>
  <si>
    <t>Oxford, England : Clarendon Press, 1962.</t>
  </si>
  <si>
    <t>2017-09-29</t>
  </si>
  <si>
    <t>365727586:eng</t>
  </si>
  <si>
    <t>321018</t>
  </si>
  <si>
    <t>ocm00321018</t>
  </si>
  <si>
    <t>31029978257</t>
  </si>
  <si>
    <t>791336097</t>
  </si>
  <si>
    <t>PG3365 V65 D6</t>
  </si>
  <si>
    <t>0                      PG 3365000V  65                 D  6</t>
  </si>
  <si>
    <t>Po stranit︠s︡am "Voĭny i mira" : zametki o romane L.N. Tolstogo "Voĭna i mir" / N. Dolinina.</t>
  </si>
  <si>
    <t>Dolinina, N. (Natalʹi︠a︡)</t>
  </si>
  <si>
    <t>Leningrad : Detskai︠a︡ literatura, 1973.</t>
  </si>
  <si>
    <t>Shkolnai︠a︡ biblioteka</t>
  </si>
  <si>
    <t>3855321367:rus</t>
  </si>
  <si>
    <t>11154002</t>
  </si>
  <si>
    <t>ocm11154002</t>
  </si>
  <si>
    <t>3000651024K</t>
  </si>
  <si>
    <t>792760536</t>
  </si>
  <si>
    <t>PG3365 V65 E536 2004</t>
  </si>
  <si>
    <t>0                      PG 3365000V  65                 E  536         2004</t>
  </si>
  <si>
    <t>Encore à propos de "Guerre et paix" / [textes recueillis par Luba Jurgenson].</t>
  </si>
  <si>
    <t>Paris : Institut d'études slaves, 2004.</t>
  </si>
  <si>
    <t>Bibliothèque russe de l'Institut d'études slaves, 0078-9976 ; 110. Cahiers Léon Tolstoï ; 15</t>
  </si>
  <si>
    <t>148481722:fre</t>
  </si>
  <si>
    <t>56920233</t>
  </si>
  <si>
    <t>ocm56920233</t>
  </si>
  <si>
    <t>3103249748L</t>
  </si>
  <si>
    <t>9782720404030</t>
  </si>
  <si>
    <t>793904007</t>
  </si>
  <si>
    <t>PG3365 V65 F48 1996</t>
  </si>
  <si>
    <t>0                      PG 3365000V  65                 F  48          1996</t>
  </si>
  <si>
    <t>Tolstoy and the genesis of "War and Peace" / Kathryn B. Feuer ; edited by Robin Feuer Miller and Donna Tussing Orwin.</t>
  </si>
  <si>
    <t>Feuer, Kathryn B. (Kathryn Beliveau), 1926-1992.</t>
  </si>
  <si>
    <t>Ithaca : Cornell University Press, 1996.</t>
  </si>
  <si>
    <t>8586273:eng</t>
  </si>
  <si>
    <t>34932783</t>
  </si>
  <si>
    <t>ocm34932783</t>
  </si>
  <si>
    <t>31029978207</t>
  </si>
  <si>
    <t>9780801419027</t>
  </si>
  <si>
    <t>793439129</t>
  </si>
  <si>
    <t>PG3365 V65 G8 1971</t>
  </si>
  <si>
    <t>0                      PG 3365000V  65                 G  8           1971</t>
  </si>
  <si>
    <t>A daring coiffeur: reflections on War and Peace and Anna Karenina.</t>
  </si>
  <si>
    <t>Gunn, Elizabeth.</t>
  </si>
  <si>
    <t>London, Chatto and Windus, 1971.</t>
  </si>
  <si>
    <t>868694224:eng</t>
  </si>
  <si>
    <t>227594</t>
  </si>
  <si>
    <t>ocm00227594</t>
  </si>
  <si>
    <t>3103009199O</t>
  </si>
  <si>
    <t>9780701117542</t>
  </si>
  <si>
    <t>791300584</t>
  </si>
  <si>
    <t>PG3365 V65 H58 1997</t>
  </si>
  <si>
    <t>0                      PG 3365000V  65                 H  58          1997</t>
  </si>
  <si>
    <t>Tolstoy, woman, and death : a study of War and peace and Anna Karenina / David Holbrook.</t>
  </si>
  <si>
    <t>Holbrook, David, 1923-2011.</t>
  </si>
  <si>
    <t>Madison, NJ : Fairleigh Dickinson University Press ; London ; Cranbury, NJ : Associated University Presses, ©1997.</t>
  </si>
  <si>
    <t>335534213:eng</t>
  </si>
  <si>
    <t>35574570</t>
  </si>
  <si>
    <t>ocm35574570</t>
  </si>
  <si>
    <t>3101747696X</t>
  </si>
  <si>
    <t>9780838637012</t>
  </si>
  <si>
    <t>793452532</t>
  </si>
  <si>
    <t>PG3365 V65 K36 2014</t>
  </si>
  <si>
    <t>0                      PG 3365000V  65                 K  36          2014</t>
  </si>
  <si>
    <t>Give War and Peace a chance : Tolstoyan wisdom for troubled times / Andrew D. Kaufman.</t>
  </si>
  <si>
    <t>Kaufman, Andrew, 1969-</t>
  </si>
  <si>
    <t>New York : Simon &amp; Schuster, 2014.</t>
  </si>
  <si>
    <t>First Simon &amp; Schuster hardcover edition.</t>
  </si>
  <si>
    <t>1822301323:eng</t>
  </si>
  <si>
    <t>852226564</t>
  </si>
  <si>
    <t>ocn852226564</t>
  </si>
  <si>
    <t>3103581586D</t>
  </si>
  <si>
    <t>9781451644708</t>
  </si>
  <si>
    <t>794951276</t>
  </si>
  <si>
    <t>PG3365 V65 L39 1988</t>
  </si>
  <si>
    <t>0                      PG 3365000V  65                 L  39          1988</t>
  </si>
  <si>
    <t>Leo Tolstoy's War and peace / edited and with an introduction by Harold Bloom.</t>
  </si>
  <si>
    <t>New York : Chelsea House Publishers, 1988.</t>
  </si>
  <si>
    <t>3643269:eng</t>
  </si>
  <si>
    <t>15792051</t>
  </si>
  <si>
    <t>ocm15792051</t>
  </si>
  <si>
    <t>3000530165Q</t>
  </si>
  <si>
    <t>9781555460785</t>
  </si>
  <si>
    <t>792942916</t>
  </si>
  <si>
    <t>PG3365 V65 L69 2004</t>
  </si>
  <si>
    <t>0                      PG 3365000V  65                 L  69          2004</t>
  </si>
  <si>
    <t>The overcoming of history in War and Peace / Jeff Love.</t>
  </si>
  <si>
    <t>Love, Jeff (G. Jeffrey)</t>
  </si>
  <si>
    <t>Amsterdam ; New York : Rodopi, 2004.</t>
  </si>
  <si>
    <t>Studies in Slavic literature and poetics ; v. 42</t>
  </si>
  <si>
    <t>351631042:eng</t>
  </si>
  <si>
    <t>56425844</t>
  </si>
  <si>
    <t>ocm56425844</t>
  </si>
  <si>
    <t>31024443951</t>
  </si>
  <si>
    <t>9789042016323</t>
  </si>
  <si>
    <t>793893079</t>
  </si>
  <si>
    <t>PG3365 V65 M63 1987</t>
  </si>
  <si>
    <t>0                      PG 3365000V  65                 M  63          1987</t>
  </si>
  <si>
    <t>Hidden in plain view : narrative and creative potentials in "War and peace" / Gary Saul Morson.</t>
  </si>
  <si>
    <t>Stanford, Calif. : Stanford University Press, 1987.</t>
  </si>
  <si>
    <t>10090368:eng</t>
  </si>
  <si>
    <t>15366196</t>
  </si>
  <si>
    <t>ocm15366196</t>
  </si>
  <si>
    <t>3103705481Z</t>
  </si>
  <si>
    <t>9780804713870</t>
  </si>
  <si>
    <t>792929568</t>
  </si>
  <si>
    <t>PG3365 V65 M64</t>
  </si>
  <si>
    <t>0                      PG 3365000V  65                 M  64</t>
  </si>
  <si>
    <t>"Voĭna i mir" za rubezhom : perevody, kritika, vlii︠a︡nie / T. Motyleva.</t>
  </si>
  <si>
    <t>Motyleva, T. (Tamara)</t>
  </si>
  <si>
    <t>Moskva : Sov. pisatelʹ, 1978.</t>
  </si>
  <si>
    <t>2015-09-03</t>
  </si>
  <si>
    <t>3856436941:rus</t>
  </si>
  <si>
    <t>5055225</t>
  </si>
  <si>
    <t>ocm05055225</t>
  </si>
  <si>
    <t>3000315802N</t>
  </si>
  <si>
    <t>792404429</t>
  </si>
  <si>
    <t>PG3365 V65 S53 1995</t>
  </si>
  <si>
    <t>0                      PG 3365000V  65                 S  53          1995</t>
  </si>
  <si>
    <t>War and peace : Tolstoy's mirror of the world / Rimvydas Šilbajoris.</t>
  </si>
  <si>
    <t>Šilbajoris, Rimvydas, 1926-2005.</t>
  </si>
  <si>
    <t>New York : Twayne Publishers, ©1995.</t>
  </si>
  <si>
    <t>Twayne's masterwork studies ; no. 146</t>
  </si>
  <si>
    <t>63129796:eng</t>
  </si>
  <si>
    <t>32396072</t>
  </si>
  <si>
    <t>ocm32396072</t>
  </si>
  <si>
    <t>31014840664</t>
  </si>
  <si>
    <t>9780805794496</t>
  </si>
  <si>
    <t>793383006</t>
  </si>
  <si>
    <t>PG3365 V65 T65 2012</t>
  </si>
  <si>
    <t>0                      PG 3365000V  65                 T  65          2012</t>
  </si>
  <si>
    <t>Tolstoy on war : narrative art and historical truth in "War and peace" / edited by Rick McPeak and Donna Tussing Orwin.</t>
  </si>
  <si>
    <t>Ithaca : Cornell University Press, ©2012.</t>
  </si>
  <si>
    <t>1101809704:eng</t>
  </si>
  <si>
    <t>786161792</t>
  </si>
  <si>
    <t>ocn786161792</t>
  </si>
  <si>
    <t>3103414520H</t>
  </si>
  <si>
    <t>9780801448980</t>
  </si>
  <si>
    <t>794915903</t>
  </si>
  <si>
    <t>PG3365 V65 W37 2014</t>
  </si>
  <si>
    <t>0                      PG 3365000V  65                 W  37          2014</t>
  </si>
  <si>
    <t>War and peace / editor, Brett Cooke, Texas A &amp; M University, College Station, Texas.</t>
  </si>
  <si>
    <t>4163228504:eng</t>
  </si>
  <si>
    <t>874838845</t>
  </si>
  <si>
    <t>ocn874838845</t>
  </si>
  <si>
    <t>3103590345Q</t>
  </si>
  <si>
    <t>9781619253933</t>
  </si>
  <si>
    <t>794969048</t>
  </si>
  <si>
    <t>PG3365 V7 1948</t>
  </si>
  <si>
    <t>0                      PG 3365000V  7           1948</t>
  </si>
  <si>
    <t>Voskresenie : roman.</t>
  </si>
  <si>
    <t>Moskva : Izd. "Pravda", 1948.</t>
  </si>
  <si>
    <t>Sobranie khudozhestvennykh proizvedeniĭ, L.N. Tolstoĭ ; 11</t>
  </si>
  <si>
    <t>10076065023:rus</t>
  </si>
  <si>
    <t>61614828</t>
  </si>
  <si>
    <t>ocm61614828</t>
  </si>
  <si>
    <t>3000797503L</t>
  </si>
  <si>
    <t>794053033</t>
  </si>
  <si>
    <t>PG3365 V73 A2 1996</t>
  </si>
  <si>
    <t>0                      PG 3365000V  73                 A  2           1996</t>
  </si>
  <si>
    <t>A propos de Résurrection / [textes recueillis par Marie Sémon].</t>
  </si>
  <si>
    <t>Paris : Institut d'études slaves, 1996.</t>
  </si>
  <si>
    <t>Bibliothèque russe de l'Institut d'études slaves, 0078-9976 ; 100. Cahiers Léon Tolstoï ; 10</t>
  </si>
  <si>
    <t>638598965:fre</t>
  </si>
  <si>
    <t>35028879</t>
  </si>
  <si>
    <t>ocm35028879</t>
  </si>
  <si>
    <t>3103285697A</t>
  </si>
  <si>
    <t>9782720403132</t>
  </si>
  <si>
    <t>793442051</t>
  </si>
  <si>
    <t>PG3365.V73 A24 1996</t>
  </si>
  <si>
    <t>0                      PG 3365000V  73                 A  24          1996</t>
  </si>
  <si>
    <t>2008-06-07</t>
  </si>
  <si>
    <t>31015580372</t>
  </si>
  <si>
    <t>793442052</t>
  </si>
  <si>
    <t>PG3366 A1 1917</t>
  </si>
  <si>
    <t>0                      PG 3366000A  1           1917</t>
  </si>
  <si>
    <t>The novels and other works of Lyof N. Tolstoï / Leo Tolstoy.</t>
  </si>
  <si>
    <t>New York : Scribner's, 1917.</t>
  </si>
  <si>
    <t>2014-09-01</t>
  </si>
  <si>
    <t>2015-02-24</t>
  </si>
  <si>
    <t>2242632:eng</t>
  </si>
  <si>
    <t>17206629</t>
  </si>
  <si>
    <t>ocm17206629</t>
  </si>
  <si>
    <t>3000304494J</t>
  </si>
  <si>
    <t>792984137</t>
  </si>
  <si>
    <t>31008377001</t>
  </si>
  <si>
    <t>792984132</t>
  </si>
  <si>
    <t>v. 22</t>
  </si>
  <si>
    <t>2008-04-11</t>
  </si>
  <si>
    <t>3100837715P</t>
  </si>
  <si>
    <t>792984117</t>
  </si>
  <si>
    <t>v. 20</t>
  </si>
  <si>
    <t>2008-08-18</t>
  </si>
  <si>
    <t>3100837713T</t>
  </si>
  <si>
    <t>792984119</t>
  </si>
  <si>
    <t>3100837699Y</t>
  </si>
  <si>
    <t>792984133</t>
  </si>
  <si>
    <t>2011-12-01</t>
  </si>
  <si>
    <t>3102796648P</t>
  </si>
  <si>
    <t>792984130</t>
  </si>
  <si>
    <t>2008-03-05</t>
  </si>
  <si>
    <t>3100837703W</t>
  </si>
  <si>
    <t>792984129</t>
  </si>
  <si>
    <t>v. 18</t>
  </si>
  <si>
    <t>2013-02-05</t>
  </si>
  <si>
    <t>3100837712V</t>
  </si>
  <si>
    <t>792984121</t>
  </si>
  <si>
    <t>v. 17</t>
  </si>
  <si>
    <t>3100837710Z</t>
  </si>
  <si>
    <t>792984122</t>
  </si>
  <si>
    <t>3100837704U</t>
  </si>
  <si>
    <t>792984128</t>
  </si>
  <si>
    <t>v. 14</t>
  </si>
  <si>
    <t>2002-03-20</t>
  </si>
  <si>
    <t>3100837708M</t>
  </si>
  <si>
    <t>792984124</t>
  </si>
  <si>
    <t>2013-01-08</t>
  </si>
  <si>
    <t>3102796643P</t>
  </si>
  <si>
    <t>792984131</t>
  </si>
  <si>
    <t>3100837706Q</t>
  </si>
  <si>
    <t>792984126</t>
  </si>
  <si>
    <t>3100837698$</t>
  </si>
  <si>
    <t>792984134</t>
  </si>
  <si>
    <t>v. 16</t>
  </si>
  <si>
    <t>2006-11-28</t>
  </si>
  <si>
    <t>3100837736H</t>
  </si>
  <si>
    <t>792984123</t>
  </si>
  <si>
    <t>v. 21</t>
  </si>
  <si>
    <t>2005-02-11</t>
  </si>
  <si>
    <t>3100837714R</t>
  </si>
  <si>
    <t>792984118</t>
  </si>
  <si>
    <t>v. 24</t>
  </si>
  <si>
    <t>3100837717L</t>
  </si>
  <si>
    <t>792984115</t>
  </si>
  <si>
    <t>v. 19</t>
  </si>
  <si>
    <t>2012-08-08</t>
  </si>
  <si>
    <t>3102823939M</t>
  </si>
  <si>
    <t>792984120</t>
  </si>
  <si>
    <t>2007-12-01</t>
  </si>
  <si>
    <t>3100837705S</t>
  </si>
  <si>
    <t>792984127</t>
  </si>
  <si>
    <t>31008376971</t>
  </si>
  <si>
    <t>792984135</t>
  </si>
  <si>
    <t>v. 23</t>
  </si>
  <si>
    <t>3100837716N</t>
  </si>
  <si>
    <t>792984116</t>
  </si>
  <si>
    <t>31008376963</t>
  </si>
  <si>
    <t>792984136</t>
  </si>
  <si>
    <t>v. 13</t>
  </si>
  <si>
    <t>3100837707O</t>
  </si>
  <si>
    <t>792984125</t>
  </si>
  <si>
    <t>PG3366 A13 C37 2014</t>
  </si>
  <si>
    <t>0                      PG 3366000A  13                 C  37          2014</t>
  </si>
  <si>
    <t>The death of Ivan Ilyich and Confession / Leo Tolstoy ; translated by Peter Carson.</t>
  </si>
  <si>
    <t>New York ; London : Liveright Publishing Corporation, a Division of W.W. Norton &amp; Company, [2014]</t>
  </si>
  <si>
    <t>1373559161:eng</t>
  </si>
  <si>
    <t>897481308</t>
  </si>
  <si>
    <t>ocn897481308</t>
  </si>
  <si>
    <t>31035313915</t>
  </si>
  <si>
    <t>9780871404268</t>
  </si>
  <si>
    <t>794985198</t>
  </si>
  <si>
    <t>PG3366 A13 K38 1991</t>
  </si>
  <si>
    <t>0                      PG 3366000A  13                 K  38          1991</t>
  </si>
  <si>
    <t>Tolstoy's short fiction : revised translations, backgrounds and sources, criticism / edited and with revised translations by Michael R. Katz.</t>
  </si>
  <si>
    <t>New York : Norton, ©1991.</t>
  </si>
  <si>
    <t>2908450119:eng</t>
  </si>
  <si>
    <t>20631448</t>
  </si>
  <si>
    <t>ocm20631448</t>
  </si>
  <si>
    <t>3102739069K</t>
  </si>
  <si>
    <t>9780393960167</t>
  </si>
  <si>
    <t>793093431</t>
  </si>
  <si>
    <t>PG3366 A13 K38 2008</t>
  </si>
  <si>
    <t>0                      PG 3366000A  13                 K  38          2008</t>
  </si>
  <si>
    <t>New York, N.Y. : Norton &amp; Co., ©2008.</t>
  </si>
  <si>
    <t>2019-11-20</t>
  </si>
  <si>
    <t>223106441</t>
  </si>
  <si>
    <t>ocn223106441</t>
  </si>
  <si>
    <t>3103155672Z</t>
  </si>
  <si>
    <t>9780393931501</t>
  </si>
  <si>
    <t>794334022</t>
  </si>
  <si>
    <t>PG3366 A13 M3 2001</t>
  </si>
  <si>
    <t>0                      PG 3366000A  13                 M  3           2001</t>
  </si>
  <si>
    <t>Collected shorter fiction / Leo Tolstoy ; translated from the Russian by Louise and Aylmer Maude and Nigel J. Cooper ; with an introduction by John Bayley.</t>
  </si>
  <si>
    <t>New York : Knopf, 2001.</t>
  </si>
  <si>
    <t>Everyman's library ; 243</t>
  </si>
  <si>
    <t>2019-11-23</t>
  </si>
  <si>
    <t>3373700211:eng</t>
  </si>
  <si>
    <t>45305030</t>
  </si>
  <si>
    <t>ocm45305030</t>
  </si>
  <si>
    <t>31029452967</t>
  </si>
  <si>
    <t>9780375411724</t>
  </si>
  <si>
    <t>793668970</t>
  </si>
  <si>
    <t>3102945301M</t>
  </si>
  <si>
    <t>793668969</t>
  </si>
  <si>
    <t>PG3366 A13 M34 2008</t>
  </si>
  <si>
    <t>0                      PG 3366000A  13                 M  34          2008</t>
  </si>
  <si>
    <t>The Kreutzer sonata and other stories / Leo Tolstoy ; translated with notes by David McDuff and Paul Foote ; with an introduction by Donna Tussing Orwin.</t>
  </si>
  <si>
    <t>London : Penguin, 2008.</t>
  </si>
  <si>
    <t>2260998549:eng</t>
  </si>
  <si>
    <t>181068306</t>
  </si>
  <si>
    <t>ocn181068306</t>
  </si>
  <si>
    <t>3102971326J</t>
  </si>
  <si>
    <t>9780140449600</t>
  </si>
  <si>
    <t>794281194</t>
  </si>
  <si>
    <t>PG3366 A13 P47 2009</t>
  </si>
  <si>
    <t>0                      PG 3366000A  13                 P  47          2009</t>
  </si>
  <si>
    <t>The death of Ivan Ilyich and other stories / Leo Tolstoy ; translated from the Russian by Richard Pevear and Larissa Volokhonsky ; with an introduction by Richard Pevear.</t>
  </si>
  <si>
    <t>New York : Alfred A. Knopf, 2009.</t>
  </si>
  <si>
    <t>2019-05-27</t>
  </si>
  <si>
    <t>4820386119:eng</t>
  </si>
  <si>
    <t>318971958</t>
  </si>
  <si>
    <t>ocn318971958</t>
  </si>
  <si>
    <t>31031546536</t>
  </si>
  <si>
    <t>9780307268815</t>
  </si>
  <si>
    <t>794483255</t>
  </si>
  <si>
    <t>PG3366 A15 M399 2006</t>
  </si>
  <si>
    <t>0                      PG 3366000A  15                 M  399         2006</t>
  </si>
  <si>
    <t>The Cossacks and other stories / Leo Tolstoy ; translated with notes by David McDuff and Paul Foote ; with an introduction by Paul Foote.</t>
  </si>
  <si>
    <t>London ; New York : Penguin, 2006.</t>
  </si>
  <si>
    <t>[New ed. ].</t>
  </si>
  <si>
    <t>3855337697:eng</t>
  </si>
  <si>
    <t>65764191</t>
  </si>
  <si>
    <t>ocm65764191</t>
  </si>
  <si>
    <t>31025975283</t>
  </si>
  <si>
    <t>9780140449594</t>
  </si>
  <si>
    <t>794136622</t>
  </si>
  <si>
    <t>PG3366 A15 S562 1964</t>
  </si>
  <si>
    <t>0                      PG 3366000A  15                 S  562         1964</t>
  </si>
  <si>
    <t>Short stories [by] Leo Tolstoy. Selected and introduced by Ernest J. Simmons.</t>
  </si>
  <si>
    <t>New York [Random House], [1964-65]</t>
  </si>
  <si>
    <t>The Modern library of the world's best books [ML346, 361]</t>
  </si>
  <si>
    <t>2015-01-19</t>
  </si>
  <si>
    <t>8907167611:eng</t>
  </si>
  <si>
    <t>1434232</t>
  </si>
  <si>
    <t>ocm01434232</t>
  </si>
  <si>
    <t>3103248753N</t>
  </si>
  <si>
    <t>791625000</t>
  </si>
  <si>
    <t>3103248762L</t>
  </si>
  <si>
    <t>791624999</t>
  </si>
  <si>
    <t>PG3366 A6</t>
  </si>
  <si>
    <t>0                      PG 3366000A  6</t>
  </si>
  <si>
    <t>Anna Karenina : a novel / Count Leo Tolstoy ; translated from the Russian by Constance Garnett.</t>
  </si>
  <si>
    <t>New York : Modern Library, [1950?]</t>
  </si>
  <si>
    <t>2019-12-05</t>
  </si>
  <si>
    <t>509824227:eng</t>
  </si>
  <si>
    <t>2460809</t>
  </si>
  <si>
    <t>ocm02460809</t>
  </si>
  <si>
    <t>3103449352J</t>
  </si>
  <si>
    <t>792130756</t>
  </si>
  <si>
    <t>3101355109W</t>
  </si>
  <si>
    <t>792130759</t>
  </si>
  <si>
    <t>2005-03-13</t>
  </si>
  <si>
    <t>3101848420P</t>
  </si>
  <si>
    <t>792130758</t>
  </si>
  <si>
    <t>2013-01-10</t>
  </si>
  <si>
    <t>3102907401V</t>
  </si>
  <si>
    <t>792130757</t>
  </si>
  <si>
    <t>PG3366 A6 1913</t>
  </si>
  <si>
    <t>0                      PG 3366000A  6           1913</t>
  </si>
  <si>
    <t>Anna Karenina.</t>
  </si>
  <si>
    <t>New York : Scribner's, 1913.</t>
  </si>
  <si>
    <t>1913</t>
  </si>
  <si>
    <t>Novels and other works of Lyof N. Tolstoi ; v. 7-9</t>
  </si>
  <si>
    <t>61578149</t>
  </si>
  <si>
    <t>ocm61578149</t>
  </si>
  <si>
    <t>3000252209V</t>
  </si>
  <si>
    <t>794013877</t>
  </si>
  <si>
    <t>2011-09-02</t>
  </si>
  <si>
    <t>3000252208X</t>
  </si>
  <si>
    <t>794013879</t>
  </si>
  <si>
    <t>2008-11-13</t>
  </si>
  <si>
    <t>30002522109</t>
  </si>
  <si>
    <t>794013878</t>
  </si>
  <si>
    <t>PG3366 A6 1939</t>
  </si>
  <si>
    <t>0                      PG 3366000A  6           1939</t>
  </si>
  <si>
    <t>Anna Karenina, by Leo Tolstoy; translated from the Russian by Constance Garnett, with an introductory essay by Thomas Mann and illustrations by Philip Reisman ...</t>
  </si>
  <si>
    <t>New York, Random House, 1939.</t>
  </si>
  <si>
    <t>981981</t>
  </si>
  <si>
    <t>ocm00981981</t>
  </si>
  <si>
    <t>31031029181</t>
  </si>
  <si>
    <t>791517926</t>
  </si>
  <si>
    <t>PG3366 A6 1965</t>
  </si>
  <si>
    <t>0                      PG 3366000A  6           1965</t>
  </si>
  <si>
    <t>Anna Karenina / Leo Tolstoy ; edited and introduced by Leonard J. Kent and Nina Berberova.</t>
  </si>
  <si>
    <t>New York : Modern Library, ©1965.</t>
  </si>
  <si>
    <t>Modern library college editions</t>
  </si>
  <si>
    <t>2016-06-18</t>
  </si>
  <si>
    <t>9021068828:eng</t>
  </si>
  <si>
    <t>837383579</t>
  </si>
  <si>
    <t>ocn837383579</t>
  </si>
  <si>
    <t>3103506150E</t>
  </si>
  <si>
    <t>9780075536321</t>
  </si>
  <si>
    <t>794945089</t>
  </si>
  <si>
    <t>3103506145G</t>
  </si>
  <si>
    <t>794945090</t>
  </si>
  <si>
    <t>PG3366 A6 1970</t>
  </si>
  <si>
    <t>0                      PG 3366000A  6           1970</t>
  </si>
  <si>
    <t>Anna Karenina / Leo Tolstoy ; the Maude translation, backgrounds and sources, essays in criticism ; edited by George Gibian.</t>
  </si>
  <si>
    <t>New York : W.W. Norton &amp; Co., [©1970]</t>
  </si>
  <si>
    <t>2017-03-09</t>
  </si>
  <si>
    <t>56106</t>
  </si>
  <si>
    <t>ocm00056106</t>
  </si>
  <si>
    <t>3103348862C</t>
  </si>
  <si>
    <t>9780393042771</t>
  </si>
  <si>
    <t>791241292</t>
  </si>
  <si>
    <t>2010-04-26</t>
  </si>
  <si>
    <t>3103349673C</t>
  </si>
  <si>
    <t>791241290</t>
  </si>
  <si>
    <t>2013-02-20</t>
  </si>
  <si>
    <t>3103349678C</t>
  </si>
  <si>
    <t>791241291</t>
  </si>
  <si>
    <t>PG3366 A6 1994</t>
  </si>
  <si>
    <t>0                      PG 3366000A  6           1994</t>
  </si>
  <si>
    <t>Anna Karenina : roman v vosʹmi chasti︠a︡kh / L.N. Tolstoǐ.</t>
  </si>
  <si>
    <t>Paris : Bookking International, 1994.</t>
  </si>
  <si>
    <t>Russkie klassiki</t>
  </si>
  <si>
    <t>33186942</t>
  </si>
  <si>
    <t>ocm33186942</t>
  </si>
  <si>
    <t>3103249762H</t>
  </si>
  <si>
    <t>9782877142649</t>
  </si>
  <si>
    <t>793403882</t>
  </si>
  <si>
    <t>PG3366 A6 2000</t>
  </si>
  <si>
    <t>0                      PG 3366000A  6           2000</t>
  </si>
  <si>
    <t>Anna Karenina / Leo Tolstoy ; introduction by Mona Simpson ; edited by Leonard J. Kent and Nina Berberova.</t>
  </si>
  <si>
    <t>New York : Modern Library, 2000.</t>
  </si>
  <si>
    <t>Modern Library paperback edition.</t>
  </si>
  <si>
    <t>44468967</t>
  </si>
  <si>
    <t>ocm44468967</t>
  </si>
  <si>
    <t>31034137795</t>
  </si>
  <si>
    <t>9780679783305</t>
  </si>
  <si>
    <t>793646926</t>
  </si>
  <si>
    <t>Anna Karenina : a novel in eight parts / Leo Tolstoy ; translated by Richard Pevear and Larissa Volokhonsky.</t>
  </si>
  <si>
    <t>London : Allen Lane, 2000.</t>
  </si>
  <si>
    <t>45350265</t>
  </si>
  <si>
    <t>ocm45350265</t>
  </si>
  <si>
    <t>31030245063</t>
  </si>
  <si>
    <t>9780713994605</t>
  </si>
  <si>
    <t>793669885</t>
  </si>
  <si>
    <t>PG3366 A6 2002</t>
  </si>
  <si>
    <t>0                      PG 3366000A  6           2002</t>
  </si>
  <si>
    <t>New York, NY : Penguin Books, 2002.</t>
  </si>
  <si>
    <t>2019-08-03</t>
  </si>
  <si>
    <t>2019-08-05</t>
  </si>
  <si>
    <t>48764443</t>
  </si>
  <si>
    <t>ocm48764443</t>
  </si>
  <si>
    <t>3102941007A</t>
  </si>
  <si>
    <t>9780142000274</t>
  </si>
  <si>
    <t>793727336</t>
  </si>
  <si>
    <t>31035852768</t>
  </si>
  <si>
    <t>793727335</t>
  </si>
  <si>
    <t>PG3366 A6 2003</t>
  </si>
  <si>
    <t>0                      PG 3366000A  6           2003</t>
  </si>
  <si>
    <t>Anna Karenina : a novel in eight parts / Leo Tolstoy ; translated by Richard Pevear and Larissa Volokhonsky ; with a preface by John Bayley.</t>
  </si>
  <si>
    <t>2017-12-18</t>
  </si>
  <si>
    <t>50937485</t>
  </si>
  <si>
    <t>ocm50937485</t>
  </si>
  <si>
    <t>3103581518R</t>
  </si>
  <si>
    <t>9780140449174</t>
  </si>
  <si>
    <t>793775633</t>
  </si>
  <si>
    <t>Anna Karenina / Leo Tolstoy ; with an introduction and notes by Amy Mandelker ; translated by Constance Garnett ; George Stade, consulting editorial director.</t>
  </si>
  <si>
    <t>New York : Barnes &amp; Noble Classics, ©2003.</t>
  </si>
  <si>
    <t>Barnes &amp; Noble classics</t>
  </si>
  <si>
    <t>2019-11-17</t>
  </si>
  <si>
    <t>53955840</t>
  </si>
  <si>
    <t>ocm53955840</t>
  </si>
  <si>
    <t>31034256461</t>
  </si>
  <si>
    <t>9781593080273</t>
  </si>
  <si>
    <t>793854004</t>
  </si>
  <si>
    <t>PG3366 A6 2004</t>
  </si>
  <si>
    <t>0                      PG 3366000A  6           2004</t>
  </si>
  <si>
    <t>New York : Barnes &amp; Noble Books, 2004, ©2003.</t>
  </si>
  <si>
    <t>2019-04-25</t>
  </si>
  <si>
    <t>2019-11-03</t>
  </si>
  <si>
    <t>60642199</t>
  </si>
  <si>
    <t>ocm60642199</t>
  </si>
  <si>
    <t>31035245442</t>
  </si>
  <si>
    <t>9781593081775</t>
  </si>
  <si>
    <t>793941184</t>
  </si>
  <si>
    <t>3103484336N</t>
  </si>
  <si>
    <t>793941185</t>
  </si>
  <si>
    <t>PG3366 A6 2008</t>
  </si>
  <si>
    <t>0                      PG 3366000A  6           2008</t>
  </si>
  <si>
    <t>Anna Karenina / Leo Tolstoy ; translated by Kyril Zinowieff and Jenny Hughes.</t>
  </si>
  <si>
    <t>Oxford : Oneworld Classics, 2008.</t>
  </si>
  <si>
    <t>220005468</t>
  </si>
  <si>
    <t>ocn220005468</t>
  </si>
  <si>
    <t>3102859552S</t>
  </si>
  <si>
    <t>9781847490599</t>
  </si>
  <si>
    <t>794319591</t>
  </si>
  <si>
    <t>Anna Karenina / Leo Tolstoy ; translated by Louise and Aylmer Maude ; with an introduction and notes by W. Gareth Jones.</t>
  </si>
  <si>
    <t>232787177</t>
  </si>
  <si>
    <t>ocn232787177</t>
  </si>
  <si>
    <t>31034326830</t>
  </si>
  <si>
    <t>9780199536061</t>
  </si>
  <si>
    <t>794364427</t>
  </si>
  <si>
    <t>PG3366 A6 2014</t>
  </si>
  <si>
    <t>0                      PG 3366000A  6           2014</t>
  </si>
  <si>
    <t>Anna Karenina / Leo Tolstoy ; translated from the Russian by Marian Schwartz ; edited with an introduction by Gary Saul Morson.</t>
  </si>
  <si>
    <t>New Haven, Connecticut : Yale University Press, 2014.</t>
  </si>
  <si>
    <t>Margellos world republic of letters book</t>
  </si>
  <si>
    <t>2019-11-12</t>
  </si>
  <si>
    <t>877851949</t>
  </si>
  <si>
    <t>ocn877851949</t>
  </si>
  <si>
    <t>3103581933B</t>
  </si>
  <si>
    <t>9780300203943</t>
  </si>
  <si>
    <t>794971079</t>
  </si>
  <si>
    <t>PG3366 D5 H72 1912</t>
  </si>
  <si>
    <t>0                      PG 3366000D  5                  H  72          1912</t>
  </si>
  <si>
    <t>Childhood, boyhood, and youth, by Count Leo Tolstoy.</t>
  </si>
  <si>
    <t>London, J.M. Dent &amp; Sons; New York, E.P. Dutton &amp; Co. [1912]</t>
  </si>
  <si>
    <t>1912</t>
  </si>
  <si>
    <t>Everyman's library. Fiction ; no. 591</t>
  </si>
  <si>
    <t>2018-11-22</t>
  </si>
  <si>
    <t>8907759052:eng</t>
  </si>
  <si>
    <t>646888</t>
  </si>
  <si>
    <t>ocm00646888</t>
  </si>
  <si>
    <t>31037733736</t>
  </si>
  <si>
    <t>791436837</t>
  </si>
  <si>
    <t>PG3366 D5 1899</t>
  </si>
  <si>
    <t>0                      PG 3366000D  5           1899</t>
  </si>
  <si>
    <t>Childhood, boyhood, youth.</t>
  </si>
  <si>
    <t>New York, Crowell [©1899]</t>
  </si>
  <si>
    <t>1899</t>
  </si>
  <si>
    <t>The complete works of Lyof N. Tolstoi</t>
  </si>
  <si>
    <t>2016-04-14</t>
  </si>
  <si>
    <t>825764</t>
  </si>
  <si>
    <t>ocm00825764</t>
  </si>
  <si>
    <t>3000215822O</t>
  </si>
  <si>
    <t>791480488</t>
  </si>
  <si>
    <t>PG3366 D5 1913</t>
  </si>
  <si>
    <t>0                      PG 3366000D  5           1913</t>
  </si>
  <si>
    <t>New York : Scribners, 1913.</t>
  </si>
  <si>
    <t>Novels and other works of Lyof N. Tolstoi, v.10</t>
  </si>
  <si>
    <t>427209176</t>
  </si>
  <si>
    <t>ocn427209176</t>
  </si>
  <si>
    <t>30002168724</t>
  </si>
  <si>
    <t>794542402</t>
  </si>
  <si>
    <t>PG3366 D5 2012</t>
  </si>
  <si>
    <t>0                      PG 3366000D  5           2012</t>
  </si>
  <si>
    <t>Childhood, boyhood, youth / Leo Tolstoy ; translated and with an introduction and notes by Judson Rosengrant.</t>
  </si>
  <si>
    <t>784019311</t>
  </si>
  <si>
    <t>ocn784019311</t>
  </si>
  <si>
    <t>3103413539J</t>
  </si>
  <si>
    <t>9780140449921</t>
  </si>
  <si>
    <t>794914392</t>
  </si>
  <si>
    <t>PG3366 D513 2002</t>
  </si>
  <si>
    <t>0                      PG 3366000D  513         2002</t>
  </si>
  <si>
    <t>Childhood, boyhood and youth / Leo Tolstoy ; translated, with an introduction, by Michael Scammell.</t>
  </si>
  <si>
    <t>New York : Modern Library, 2002.</t>
  </si>
  <si>
    <t>48466961</t>
  </si>
  <si>
    <t>ocm48466961</t>
  </si>
  <si>
    <t>3102735442S</t>
  </si>
  <si>
    <t>9780375759444</t>
  </si>
  <si>
    <t>793721657</t>
  </si>
  <si>
    <t>PG3366 F3 2006</t>
  </si>
  <si>
    <t>0                      PG 3366000F  3           2006</t>
  </si>
  <si>
    <t>The forged coupon / Leo Tolstoy ; translated by Hugh Aplin.</t>
  </si>
  <si>
    <t>2015-11-12</t>
  </si>
  <si>
    <t>2643411882:eng</t>
  </si>
  <si>
    <t>64097891</t>
  </si>
  <si>
    <t>ocm64097891</t>
  </si>
  <si>
    <t>3103251117Z</t>
  </si>
  <si>
    <t>9781843911357</t>
  </si>
  <si>
    <t>794124163</t>
  </si>
  <si>
    <t>PG3366 F5 A6 1951</t>
  </si>
  <si>
    <t>0                      PG 3366000F  5                  A  6           1951</t>
  </si>
  <si>
    <t>Anna Karénine : Résurrection.</t>
  </si>
  <si>
    <t>mm</t>
  </si>
  <si>
    <t>[Paris] : Gallimard, ©1951.</t>
  </si>
  <si>
    <t>Bibliothèque de la Pléiade</t>
  </si>
  <si>
    <t>4494930953:fre</t>
  </si>
  <si>
    <t>86048026</t>
  </si>
  <si>
    <t>ocm86048026</t>
  </si>
  <si>
    <t>3103249776F</t>
  </si>
  <si>
    <t>9782070105649</t>
  </si>
  <si>
    <t>794218053</t>
  </si>
  <si>
    <t>PG3366.F5 A6 1951</t>
  </si>
  <si>
    <t>2000-09-18</t>
  </si>
  <si>
    <t>3101448278U</t>
  </si>
  <si>
    <t>794218052</t>
  </si>
  <si>
    <t>PG3366 G4 1887</t>
  </si>
  <si>
    <t>0                      PG 3366000G  4           1887</t>
  </si>
  <si>
    <t>Where love is there God is also. By Count Lyof N. Tolstoi. Tr. from the Russian by Nathan Haskell Dole.</t>
  </si>
  <si>
    <t>New York, T.Y. Crowell &amp; Co. [©1887]</t>
  </si>
  <si>
    <t>1887</t>
  </si>
  <si>
    <t>2017-05-19</t>
  </si>
  <si>
    <t>31064995:eng</t>
  </si>
  <si>
    <t>28648127</t>
  </si>
  <si>
    <t>ocm28648127</t>
  </si>
  <si>
    <t>3101825737N</t>
  </si>
  <si>
    <t>793292807</t>
  </si>
  <si>
    <t>PG3366 K5 2003</t>
  </si>
  <si>
    <t>0                      PG 3366000K  5           2003</t>
  </si>
  <si>
    <t>Hadji Murat / Leo Tolstoy ; translated by Hugh Aplin ; [foreword by Colm Tóibín].</t>
  </si>
  <si>
    <t>London : Hesperus Press, 2003.</t>
  </si>
  <si>
    <t>100 pages</t>
  </si>
  <si>
    <t>2564896400:eng</t>
  </si>
  <si>
    <t>51068545</t>
  </si>
  <si>
    <t>ocm51068545</t>
  </si>
  <si>
    <t>3103251133V</t>
  </si>
  <si>
    <t>9781843910336</t>
  </si>
  <si>
    <t>793778249</t>
  </si>
  <si>
    <t>PG3366 K5 2011</t>
  </si>
  <si>
    <t>0                      PG 3366000K  5           2011</t>
  </si>
  <si>
    <t>Hadji Murat / Leo Tolstoy ; translated by Kyril Zinovieff and Jenny Hughes.</t>
  </si>
  <si>
    <t>2019-09-24</t>
  </si>
  <si>
    <t>728080697</t>
  </si>
  <si>
    <t>ocn728080697</t>
  </si>
  <si>
    <t>3103235045Q</t>
  </si>
  <si>
    <t>9781847491794</t>
  </si>
  <si>
    <t>794878771</t>
  </si>
  <si>
    <t>PG3366 K7 1898</t>
  </si>
  <si>
    <t>0                      PG 3366000K  7           1898</t>
  </si>
  <si>
    <t>The Kreutzer sonata, by Count Lyof N. Tolstoy.</t>
  </si>
  <si>
    <t>London, W. Scott [1898?]</t>
  </si>
  <si>
    <t>1898</t>
  </si>
  <si>
    <t>2016-10-24</t>
  </si>
  <si>
    <t>26652727</t>
  </si>
  <si>
    <t>ocm26652727</t>
  </si>
  <si>
    <t>31013999969</t>
  </si>
  <si>
    <t>793248732</t>
  </si>
  <si>
    <t>PG3366 K7 1985</t>
  </si>
  <si>
    <t>0                      PG 3366000K  7           1985</t>
  </si>
  <si>
    <t>The Kreutzer sonata and other stories / Leo Tolstoy ; translated with an introduction by David McDuff.</t>
  </si>
  <si>
    <t>2017-01-27</t>
  </si>
  <si>
    <t>13137162</t>
  </si>
  <si>
    <t>ocm13137162</t>
  </si>
  <si>
    <t>3103592866R</t>
  </si>
  <si>
    <t>9780140444698</t>
  </si>
  <si>
    <t>792842357</t>
  </si>
  <si>
    <t>PG3366 K7 2003</t>
  </si>
  <si>
    <t>0                      PG 3366000K  7           2003</t>
  </si>
  <si>
    <t>The Kreutzer sonata / Leo Tolstoy ; revised translation by Isai Kamen ; introduction by Doris Lessing ; notes by Michael A. Denner.</t>
  </si>
  <si>
    <t>52038071</t>
  </si>
  <si>
    <t>ocm52038071</t>
  </si>
  <si>
    <t>31030741999</t>
  </si>
  <si>
    <t>9780812968231</t>
  </si>
  <si>
    <t>793796867</t>
  </si>
  <si>
    <t>PG3366 K7 2014</t>
  </si>
  <si>
    <t>0                      PG 3366000K  7           2014</t>
  </si>
  <si>
    <t>The Kreutzer sonata variations : Lev Tolstoy's Novella and counterstories by Sofiya Tolstaya and Lev Lvovich Tolstoy / translated and edited by Michael R. Katz ; with a foreword by Ekaterina Tolstaya and an afterword by Andrey Tolstoy.</t>
  </si>
  <si>
    <t>New Haven ; London : Yale University Press, [2014]</t>
  </si>
  <si>
    <t>2018-05-14</t>
  </si>
  <si>
    <t>1778150316:eng</t>
  </si>
  <si>
    <t>868427751</t>
  </si>
  <si>
    <t>ocn868427751</t>
  </si>
  <si>
    <t>3103567023Q</t>
  </si>
  <si>
    <t>9780300189940</t>
  </si>
  <si>
    <t>794964715</t>
  </si>
  <si>
    <t>PG3366 S413 1887</t>
  </si>
  <si>
    <t>0                      PG 3366000S  413         1887</t>
  </si>
  <si>
    <t>Sebastopol / by Count Leo Tolstoï ; translated from the French by Frank D. Millet ; with introduction by W.D. Howells.</t>
  </si>
  <si>
    <t>New York : Harper &amp; Brothers, Franklin Square, 1887.</t>
  </si>
  <si>
    <t>[First American edition].</t>
  </si>
  <si>
    <t>The Continental classics, v. 2</t>
  </si>
  <si>
    <t>4918085377:eng</t>
  </si>
  <si>
    <t>1014180851</t>
  </si>
  <si>
    <t>on1014180851</t>
  </si>
  <si>
    <t>30007974726</t>
  </si>
  <si>
    <t>795047648</t>
  </si>
  <si>
    <t>PG3366 S6 D74 2008</t>
  </si>
  <si>
    <t>0                      PG 3366000S  6                  D  74          2008</t>
  </si>
  <si>
    <t>The death of Ivan Ilych / Leo Tolstoy ; translated by Ian Dreiblatt.</t>
  </si>
  <si>
    <t>Brooklyn, N.Y. : Melville House Pub., ©2008.</t>
  </si>
  <si>
    <t>The art of the novella</t>
  </si>
  <si>
    <t>2019-05-09</t>
  </si>
  <si>
    <t>182737013</t>
  </si>
  <si>
    <t>ocn182737013</t>
  </si>
  <si>
    <t>3102972496Z</t>
  </si>
  <si>
    <t>9781933633541</t>
  </si>
  <si>
    <t>794285361</t>
  </si>
  <si>
    <t>PG3366 S6 2003</t>
  </si>
  <si>
    <t>0                      PG 3366000S  6           2003</t>
  </si>
  <si>
    <t>The death of Ivan Ilyich ; and, Master and man / Leo Tolstoy ; a new translation, with an introduction and notes, by Ann Pasternak Slater.</t>
  </si>
  <si>
    <t>52038095</t>
  </si>
  <si>
    <t>ocm52038095</t>
  </si>
  <si>
    <t>3102798161S</t>
  </si>
  <si>
    <t>9780679642930</t>
  </si>
  <si>
    <t>793796869</t>
  </si>
  <si>
    <t>PG3366 S63 J3 1993</t>
  </si>
  <si>
    <t>0                      PG 3366000S  63                 J  3           1993</t>
  </si>
  <si>
    <t>The death of Ivan Ilich : an interpretation / Gary R. Jahn.</t>
  </si>
  <si>
    <t>Jahn, Gary R., author.</t>
  </si>
  <si>
    <t>New York : Twayne Publishers ; Toronto : Maxwell Macmillan Canada ; New York : Maxwell Macmillan International, [1993]</t>
  </si>
  <si>
    <t>Twayne's masterwork studies ; no. 119</t>
  </si>
  <si>
    <t>810095360:eng</t>
  </si>
  <si>
    <t>27147094</t>
  </si>
  <si>
    <t>ocm27147094</t>
  </si>
  <si>
    <t>3102518291Y</t>
  </si>
  <si>
    <t>9780805794397</t>
  </si>
  <si>
    <t>793260050</t>
  </si>
  <si>
    <t>3101234815X</t>
  </si>
  <si>
    <t>793260049</t>
  </si>
  <si>
    <t>PG3366 V513 1989</t>
  </si>
  <si>
    <t>0                      PG 3366000V  513         1989</t>
  </si>
  <si>
    <t>The power of darkness, or If a claw is caught, the bird is lost / Leo Tolstoy ; translated and adapted by Anthony Clark.</t>
  </si>
  <si>
    <t>Bath, Eng. : Absolute Classics, 1989.</t>
  </si>
  <si>
    <t>Absolute classics</t>
  </si>
  <si>
    <t>3855267950:eng</t>
  </si>
  <si>
    <t>22685630</t>
  </si>
  <si>
    <t>ocm22685630</t>
  </si>
  <si>
    <t>3103251113Z</t>
  </si>
  <si>
    <t>9780948230202</t>
  </si>
  <si>
    <t>793150985</t>
  </si>
  <si>
    <t>PG3366 V6 1905</t>
  </si>
  <si>
    <t>0                      PG 3366000V  6           1905</t>
  </si>
  <si>
    <t>War and peace / by Count Lyof N. Tolstoy ; from the Russian by Nathan Haskell Dole ; with two full-page illustrations by E.H. Garrett.</t>
  </si>
  <si>
    <t>London ; Felling-on-Tyne : Walter Scott Pub. Co., [1905?]</t>
  </si>
  <si>
    <t>1905</t>
  </si>
  <si>
    <t>2003-04-29</t>
  </si>
  <si>
    <t>2018-01-13</t>
  </si>
  <si>
    <t>9463319354:eng</t>
  </si>
  <si>
    <t>427355902</t>
  </si>
  <si>
    <t>ocn427355902</t>
  </si>
  <si>
    <t>3100837739B</t>
  </si>
  <si>
    <t>794626578</t>
  </si>
  <si>
    <t>3000409314F</t>
  </si>
  <si>
    <t>794626579</t>
  </si>
  <si>
    <t>PG3366 V6 1940</t>
  </si>
  <si>
    <t>0                      PG 3366000V  6           1940</t>
  </si>
  <si>
    <t>War and peace. Tr. by Constance Garnett.</t>
  </si>
  <si>
    <t>New York, Carlton House [194-]</t>
  </si>
  <si>
    <t>2542574457:eng</t>
  </si>
  <si>
    <t>3676917</t>
  </si>
  <si>
    <t>ocm03676917</t>
  </si>
  <si>
    <t>3000215544Q</t>
  </si>
  <si>
    <t>792280015</t>
  </si>
  <si>
    <t>PG3366 V6 1942</t>
  </si>
  <si>
    <t>0                      PG 3366000V  6           1942</t>
  </si>
  <si>
    <t>War and peace / by Leo Tolstoy ; translated by Louise and Aylmer Maude ; with a foreword by Clifton Fadiman.</t>
  </si>
  <si>
    <t>New York : Simon and Schuster, 1942.</t>
  </si>
  <si>
    <t>The inner sanctum ed.</t>
  </si>
  <si>
    <t>321109</t>
  </si>
  <si>
    <t>ocm00321109</t>
  </si>
  <si>
    <t>3103592802G</t>
  </si>
  <si>
    <t>791336122</t>
  </si>
  <si>
    <t>2011-11-22</t>
  </si>
  <si>
    <t>3103224435P</t>
  </si>
  <si>
    <t>791336120</t>
  </si>
  <si>
    <t>2011-12-15</t>
  </si>
  <si>
    <t>3100387756G</t>
  </si>
  <si>
    <t>791336121</t>
  </si>
  <si>
    <t>PG3366 V6 1966</t>
  </si>
  <si>
    <t>0                      PG 3366000V  6           1966</t>
  </si>
  <si>
    <t>War and peace / Leo Tolstoy ; the Maude translation, backgrounds and sources, essays in criticism ; edited by George Gibian.</t>
  </si>
  <si>
    <t>2017-08-03</t>
  </si>
  <si>
    <t>649417</t>
  </si>
  <si>
    <t>ocm00649417</t>
  </si>
  <si>
    <t>31023797457</t>
  </si>
  <si>
    <t>9780393042375</t>
  </si>
  <si>
    <t>791437391</t>
  </si>
  <si>
    <t>PG3366 V6 1982</t>
  </si>
  <si>
    <t>0                      PG 3366000V  6           1982</t>
  </si>
  <si>
    <t>War and peace / L.N. Tolstoy ; translated and with an introduction by Rosemary Edmonds.</t>
  </si>
  <si>
    <t>Harmondsworth ; New York : Penguin Books, 1982.</t>
  </si>
  <si>
    <t>10026390</t>
  </si>
  <si>
    <t>ocm10026390</t>
  </si>
  <si>
    <t>3102316909E</t>
  </si>
  <si>
    <t>9780140444179</t>
  </si>
  <si>
    <t>792705822</t>
  </si>
  <si>
    <t>3102799267L</t>
  </si>
  <si>
    <t>792705823</t>
  </si>
  <si>
    <t>3102322632S</t>
  </si>
  <si>
    <t>792705821</t>
  </si>
  <si>
    <t>PG3366 V6 1996</t>
  </si>
  <si>
    <t>0                      PG 3366000V  6           1996</t>
  </si>
  <si>
    <t>War and peace : the Maude translation, backgrounds and sources, criticism / Leo Tolstoy ; edited by George Gibian.</t>
  </si>
  <si>
    <t>New York : Norton, ©1996.</t>
  </si>
  <si>
    <t>3857288468:eng</t>
  </si>
  <si>
    <t>30814925</t>
  </si>
  <si>
    <t>ocm30814925</t>
  </si>
  <si>
    <t>31020920158</t>
  </si>
  <si>
    <t>9780393966473</t>
  </si>
  <si>
    <t>793345788</t>
  </si>
  <si>
    <t>2014-10-10</t>
  </si>
  <si>
    <t>31028008732</t>
  </si>
  <si>
    <t>793345787</t>
  </si>
  <si>
    <t>PG3366 V6 2005</t>
  </si>
  <si>
    <t>0                      PG 3366000V  6           2005</t>
  </si>
  <si>
    <t>War and peace / Leo Tolstoy ; a new translation by Anthony Briggs ; with an afterword by Orlando Figes.</t>
  </si>
  <si>
    <t>London ; New York : Penguin, 2005.</t>
  </si>
  <si>
    <t>2018-10-20</t>
  </si>
  <si>
    <t>60512859</t>
  </si>
  <si>
    <t>ocm60512859</t>
  </si>
  <si>
    <t>3103592803E</t>
  </si>
  <si>
    <t>9780713998337</t>
  </si>
  <si>
    <t>793938669</t>
  </si>
  <si>
    <t>PG3366 V6 2007</t>
  </si>
  <si>
    <t>0                      PG 3366000V  6           2007</t>
  </si>
  <si>
    <t>War and peace : original version / Leo Tolstoy ; translated by Andrew Bromfield.</t>
  </si>
  <si>
    <t>London : Harper Perennial, 2007.</t>
  </si>
  <si>
    <t>2018-05-04</t>
  </si>
  <si>
    <t>4535703596:eng</t>
  </si>
  <si>
    <t>76850766</t>
  </si>
  <si>
    <t>ocm76850766</t>
  </si>
  <si>
    <t>3102569755Z</t>
  </si>
  <si>
    <t>9780007148387</t>
  </si>
  <si>
    <t>794177748</t>
  </si>
  <si>
    <t>War and peace / Leo Tolstoy ; translated from the Russian by Richard Pevear and Larissa Volokhonsky.</t>
  </si>
  <si>
    <t>New York : Alfred A. Knopf, 2007.</t>
  </si>
  <si>
    <t>123232464</t>
  </si>
  <si>
    <t>ocn123232464</t>
  </si>
  <si>
    <t>31033858752</t>
  </si>
  <si>
    <t>9780307266934</t>
  </si>
  <si>
    <t>794225455</t>
  </si>
  <si>
    <t>PG3366 V6 2008b</t>
  </si>
  <si>
    <t>0                      PG 3366000V  6           2008b</t>
  </si>
  <si>
    <t>War and peace / Leo Tolstoy ; translated from the Russian by Richard Pevear and Larissa Volokhonsky ; with an introduction by Richard Pevear.</t>
  </si>
  <si>
    <t>New York : Vintage Classics, 2008.</t>
  </si>
  <si>
    <t>1st Vintage Classics ed.</t>
  </si>
  <si>
    <t>2018 Great American Read</t>
  </si>
  <si>
    <t>229028141</t>
  </si>
  <si>
    <t>ocn229028141</t>
  </si>
  <si>
    <t>31034276041</t>
  </si>
  <si>
    <t>9781400079988</t>
  </si>
  <si>
    <t>794352834</t>
  </si>
  <si>
    <t>PG3366 V6 2010</t>
  </si>
  <si>
    <t>0                      PG 3366000V  6           2010</t>
  </si>
  <si>
    <t>War and peace / Leo Tolstoy ; translated with notes by Louise and Aylmer Maude ; revised and edited with an introduction by Amy Mandelker.</t>
  </si>
  <si>
    <t>Oxford ; New York : Oxford University Press, 2010.</t>
  </si>
  <si>
    <t>2019-05-10</t>
  </si>
  <si>
    <t>10177610740:eng</t>
  </si>
  <si>
    <t>606774446</t>
  </si>
  <si>
    <t>ocn606774446</t>
  </si>
  <si>
    <t>3103502605P</t>
  </si>
  <si>
    <t>9780199589142</t>
  </si>
  <si>
    <t>794817218</t>
  </si>
  <si>
    <t>PG3366 V7 1952</t>
  </si>
  <si>
    <t>0                      PG 3366000V  7           1952</t>
  </si>
  <si>
    <t>Resurrection : a novel / by Leo Tolstoy ; translated by Louise Maude, with an introd. by Aylmer Maude.</t>
  </si>
  <si>
    <t>London : Oxford University Press, 1952.</t>
  </si>
  <si>
    <t>The world's classics ; 209</t>
  </si>
  <si>
    <t>49767140:eng</t>
  </si>
  <si>
    <t>13595765</t>
  </si>
  <si>
    <t>ocm13595765</t>
  </si>
  <si>
    <t>3103736270P</t>
  </si>
  <si>
    <t>792859262</t>
  </si>
  <si>
    <t>PG3366 V7 1966b</t>
  </si>
  <si>
    <t>0                      PG 3366000V  7           1966b</t>
  </si>
  <si>
    <t>Resurrection / L.N. Tolstoy ; translated and with an introduction by Rosemary Edmonds.</t>
  </si>
  <si>
    <t>Harmondsworth : Penguin, 1966.</t>
  </si>
  <si>
    <t>The Penguin classics ; L184</t>
  </si>
  <si>
    <t>9378919</t>
  </si>
  <si>
    <t>ocm09378919</t>
  </si>
  <si>
    <t>3000168655G</t>
  </si>
  <si>
    <t>9780140441840</t>
  </si>
  <si>
    <t>792673086</t>
  </si>
  <si>
    <t>PG3366 V7 1994</t>
  </si>
  <si>
    <t>0                      PG 3366000V  7           1994</t>
  </si>
  <si>
    <t>Resurrection / Leo Tolstoy ; translated by Louise Maude ; with an introduction by Richard F. Gustafson.</t>
  </si>
  <si>
    <t>28016249</t>
  </si>
  <si>
    <t>ocm28016249</t>
  </si>
  <si>
    <t>31014081255</t>
  </si>
  <si>
    <t>9780192831118</t>
  </si>
  <si>
    <t>793277543</t>
  </si>
  <si>
    <t>PG3366 V7 2009</t>
  </si>
  <si>
    <t>0                      PG 3366000V  7           2009</t>
  </si>
  <si>
    <t>Resurrection / Leo Tolstoy ; a new translation, with an introduction, by Anthony Briggs.</t>
  </si>
  <si>
    <t>London ; New York : Penguin Books, 2009.</t>
  </si>
  <si>
    <t>359673676</t>
  </si>
  <si>
    <t>ocn359673676</t>
  </si>
  <si>
    <t>3102859809T</t>
  </si>
  <si>
    <t>9780140424638</t>
  </si>
  <si>
    <t>794492270</t>
  </si>
  <si>
    <t>PG3367 F5 A2 1886</t>
  </si>
  <si>
    <t>0                      PG 3367000F  5                  A  2           1886</t>
  </si>
  <si>
    <t>Les Cosaques ; Souvenirs de Sebastopol / Comte León Tolstoï ; Traduits du russe.</t>
  </si>
  <si>
    <t>Paris : Hachette, 1886.</t>
  </si>
  <si>
    <t>1886</t>
  </si>
  <si>
    <t>2016-09-20</t>
  </si>
  <si>
    <t>8910394348:fre</t>
  </si>
  <si>
    <t>2404160</t>
  </si>
  <si>
    <t>ocm02404160</t>
  </si>
  <si>
    <t>3103076557Y</t>
  </si>
  <si>
    <t>792117630</t>
  </si>
  <si>
    <t>PG3367 F5 F3</t>
  </si>
  <si>
    <t>0                      PG 3367000F  5                  F  3</t>
  </si>
  <si>
    <t>Le faux coupon : et autres contes / par Léon Tolstoï ; traduit par J.-W. Bienstock.</t>
  </si>
  <si>
    <t>Paris ; New York : Nelson, [1911?]</t>
  </si>
  <si>
    <t>1911</t>
  </si>
  <si>
    <t>Collection Nelson</t>
  </si>
  <si>
    <t>2018-01-04</t>
  </si>
  <si>
    <t>427515732:fre</t>
  </si>
  <si>
    <t>4307719</t>
  </si>
  <si>
    <t>ocm04307719</t>
  </si>
  <si>
    <t>3000797495V</t>
  </si>
  <si>
    <t>792339750</t>
  </si>
  <si>
    <t>PG3367 F5 S4 1886</t>
  </si>
  <si>
    <t>0                      PG 3367000F  5                  S  4           1886</t>
  </si>
  <si>
    <t>Katia, par le comte Léon Tolstoï; traduction de M. le comte d'Hauterive.</t>
  </si>
  <si>
    <t>Paris, Perrin, 1886.</t>
  </si>
  <si>
    <t>6. éd.</t>
  </si>
  <si>
    <t>4922843074:fre</t>
  </si>
  <si>
    <t>11226779</t>
  </si>
  <si>
    <t>ocm11226779</t>
  </si>
  <si>
    <t>31030223557</t>
  </si>
  <si>
    <t>792763985</t>
  </si>
  <si>
    <t>PG3367 F5 V7 1913</t>
  </si>
  <si>
    <t>0                      PG 3367000F  5                  V  7           1913</t>
  </si>
  <si>
    <t>Resurrection, roman / traduit par T. De Wyzewa.</t>
  </si>
  <si>
    <t>Paris : [publisher not identified], 1913.</t>
  </si>
  <si>
    <t>Nouv. ed.</t>
  </si>
  <si>
    <t>49767140:fre</t>
  </si>
  <si>
    <t>427249189</t>
  </si>
  <si>
    <t>ocn427249189</t>
  </si>
  <si>
    <t>3000795883W</t>
  </si>
  <si>
    <t>794552857</t>
  </si>
  <si>
    <t>PG3368 M9715 2016</t>
  </si>
  <si>
    <t>0                      PG 3368000M  9715        2016</t>
  </si>
  <si>
    <t>Gedanken Immanuel Kants / Lev Nikolaevic̆ Tolstoj ; Anhand der Originalvorlagen aus dem Russischen zurückübertragen ; eingeleitet und herausgegeben von Alexei Nikolaevic̆ Krouglov.</t>
  </si>
  <si>
    <t>Mysli Immanuila Kanta. German.</t>
  </si>
  <si>
    <t>Stuttgart : Frommann-Holzboog, ©2016.</t>
  </si>
  <si>
    <t>Forschungen und Materialien zur deutschen Aufklärung. Abt. 1: Texte ; Band 3</t>
  </si>
  <si>
    <t>2019-10-11</t>
  </si>
  <si>
    <t>9964928779:ger</t>
  </si>
  <si>
    <t>956637277</t>
  </si>
  <si>
    <t>ocn956637277</t>
  </si>
  <si>
    <t>3103662082Z</t>
  </si>
  <si>
    <t>9783772827747</t>
  </si>
  <si>
    <t>795020329</t>
  </si>
  <si>
    <t>PG3377 E5 C48 1985</t>
  </si>
  <si>
    <t>0                      PG 3377000E  5                  C  48          1985</t>
  </si>
  <si>
    <t>Tolstoy's diaries / edited and translated by R.F. Christian.</t>
  </si>
  <si>
    <t>New York : Scribner Press, 1985.</t>
  </si>
  <si>
    <t>2014-08-29</t>
  </si>
  <si>
    <t>2017-10-10</t>
  </si>
  <si>
    <t>9437920069:eng</t>
  </si>
  <si>
    <t>12878476</t>
  </si>
  <si>
    <t>ocm12878476</t>
  </si>
  <si>
    <t>3103679139S</t>
  </si>
  <si>
    <t>9780684185125</t>
  </si>
  <si>
    <t>792831572</t>
  </si>
  <si>
    <t>3100837741O</t>
  </si>
  <si>
    <t>792831571</t>
  </si>
  <si>
    <t>PG3377 E5 C48 1994</t>
  </si>
  <si>
    <t>0                      PG 3377000E  5                  C  48          1994</t>
  </si>
  <si>
    <t>London : Flamingo, 1994.</t>
  </si>
  <si>
    <t>Abridged.</t>
  </si>
  <si>
    <t>2015-02-20</t>
  </si>
  <si>
    <t>2096631:eng</t>
  </si>
  <si>
    <t>30439415</t>
  </si>
  <si>
    <t>ocm30439415</t>
  </si>
  <si>
    <t>3102739317L</t>
  </si>
  <si>
    <t>9780006545132</t>
  </si>
  <si>
    <t>793335526</t>
  </si>
  <si>
    <t>PG3377 E5 M3x</t>
  </si>
  <si>
    <t>0                      PG 3377000E  5                  M  3x</t>
  </si>
  <si>
    <t>The private diary of Leo Tolstóy, 1853-1857, edited by Aylmer Maude, translated by Louise and Aylmer Maude ...</t>
  </si>
  <si>
    <t>Garden City, N.Y., Doubleday, Page &amp; Company, 1927.</t>
  </si>
  <si>
    <t>1548557:eng</t>
  </si>
  <si>
    <t>398983</t>
  </si>
  <si>
    <t>ocm00398983</t>
  </si>
  <si>
    <t>30004025501</t>
  </si>
  <si>
    <t>791365668</t>
  </si>
  <si>
    <t>PG3377 F5 A9 1979</t>
  </si>
  <si>
    <t>0                      PG 3377000F  5                  A  9           1979</t>
  </si>
  <si>
    <t>Journaux et carnets / Léon Tolstoï ; préface de Michel Aucouturier ; textes traduits, présentés et annotés par Gustave Aucouturier.</t>
  </si>
  <si>
    <t>[Paris] : Gallimard, 1979-©1985.</t>
  </si>
  <si>
    <t>Bibliothèque de la Pléiade ; 276, 281, 319</t>
  </si>
  <si>
    <t>2005-02-27</t>
  </si>
  <si>
    <t>293217879:fre</t>
  </si>
  <si>
    <t>5329510</t>
  </si>
  <si>
    <t>ocm05329510</t>
  </si>
  <si>
    <t>3102322665M</t>
  </si>
  <si>
    <t>792425540</t>
  </si>
  <si>
    <t>2010-04-15</t>
  </si>
  <si>
    <t>31023197088</t>
  </si>
  <si>
    <t>792425541</t>
  </si>
  <si>
    <t>31023197136</t>
  </si>
  <si>
    <t>792425542</t>
  </si>
  <si>
    <t>PG3379 A2 E5 1978b</t>
  </si>
  <si>
    <t>0                      PG 3379000A  2                  E  5           1978b</t>
  </si>
  <si>
    <t>Tolstoy's letters / selected, edited, and translated by R.F. Christian.</t>
  </si>
  <si>
    <t>New York : Scribner, ©1978.</t>
  </si>
  <si>
    <t>3769745466:eng</t>
  </si>
  <si>
    <t>3964072</t>
  </si>
  <si>
    <t>ocm03964072</t>
  </si>
  <si>
    <t>3102945334G</t>
  </si>
  <si>
    <t>9780684155968</t>
  </si>
  <si>
    <t>792309315</t>
  </si>
  <si>
    <t>3102945328I</t>
  </si>
  <si>
    <t>792309316</t>
  </si>
  <si>
    <t>PG3379 C44 2014</t>
  </si>
  <si>
    <t>0                      PG 3379000C  44          2014</t>
  </si>
  <si>
    <t>Tolstoy's false disciple : the untold story of Leo Tolstoy and Vladimir Chertkov / Alexandra Popoff.</t>
  </si>
  <si>
    <t>Popoff, Alexandra, author.</t>
  </si>
  <si>
    <t>New York, NY ; London : Pegasus Books, 2014.</t>
  </si>
  <si>
    <t>First Pegasus books cloth edition.</t>
  </si>
  <si>
    <t>2221010676:eng</t>
  </si>
  <si>
    <t>870098505</t>
  </si>
  <si>
    <t>ocn870098505</t>
  </si>
  <si>
    <t>3103581540L</t>
  </si>
  <si>
    <t>9781605986401</t>
  </si>
  <si>
    <t>794966126</t>
  </si>
  <si>
    <t>PG3379 T65 2017</t>
  </si>
  <si>
    <t>0                      PG 3379000T  65          2017</t>
  </si>
  <si>
    <t>Tolstoy and Tolstaya : a portrait of a life in letters / translated from the Russian by John Woodsworth, Arkadi Klioutchanski &amp; Liudmila Gladkova ; with a foreword by Vladimir Tolstoy ; edited and with an introduction by Andrew Donskov.</t>
  </si>
  <si>
    <t>[Ottawa, Ontario, Canada] : University Of Ottawa Press, 2017.</t>
  </si>
  <si>
    <t>2019-03-13</t>
  </si>
  <si>
    <t>4679747550:eng</t>
  </si>
  <si>
    <t>956395762</t>
  </si>
  <si>
    <t>ocn956395762</t>
  </si>
  <si>
    <t>3103748422C</t>
  </si>
  <si>
    <t>9780776624716</t>
  </si>
  <si>
    <t>795020104</t>
  </si>
  <si>
    <t>PG3379 V4713 1995</t>
  </si>
  <si>
    <t>0                      PG 3379000V  4713        1995</t>
  </si>
  <si>
    <t>Leo Tolstoy - Peter Verigin correspondence / prepared and with an introduction by Lidia Gromova-Opulśkaya ; editor, Andrew Donskov ; translated from the Russian by John Woodsworth.</t>
  </si>
  <si>
    <t>Tolstoy, Leo, 1828-1910.</t>
  </si>
  <si>
    <t>New York ; Ottawa : Legas, 1995.</t>
  </si>
  <si>
    <t>Russian series ; 3</t>
  </si>
  <si>
    <t>2016-10-21</t>
  </si>
  <si>
    <t>2865166813:eng</t>
  </si>
  <si>
    <t>35881025</t>
  </si>
  <si>
    <t>ocm35881025</t>
  </si>
  <si>
    <t>3102945327I</t>
  </si>
  <si>
    <t>9780921252467</t>
  </si>
  <si>
    <t>793459798</t>
  </si>
  <si>
    <t>PG3385 B37 2011</t>
  </si>
  <si>
    <t>0                      PG 3385000B  37          2011</t>
  </si>
  <si>
    <t>Tolstoy : a Russian life / Rosamund Bartlett.</t>
  </si>
  <si>
    <t>Bartlett, Rosamund.</t>
  </si>
  <si>
    <t>Boston [Mass.] : Houghton Mifflin Harcourt, 2011.</t>
  </si>
  <si>
    <t>2017-11-20</t>
  </si>
  <si>
    <t>796728115:eng</t>
  </si>
  <si>
    <t>666239940</t>
  </si>
  <si>
    <t>ocn666239940</t>
  </si>
  <si>
    <t>3103385703J</t>
  </si>
  <si>
    <t>9780151014385</t>
  </si>
  <si>
    <t>794844958</t>
  </si>
  <si>
    <t>PG3385 B374 2016</t>
  </si>
  <si>
    <t>0                      PG 3385000B  374         2016</t>
  </si>
  <si>
    <t>Lev Tolstoĭ : svobodnyĭ chelovek / Pavel Basinskiĭ.</t>
  </si>
  <si>
    <t>Moskva : Molodai︠a︡ gvardii︠a︡, 2016.</t>
  </si>
  <si>
    <t>4047835880:rus</t>
  </si>
  <si>
    <t>962102092</t>
  </si>
  <si>
    <t>ocn962102092</t>
  </si>
  <si>
    <t>3103728308M</t>
  </si>
  <si>
    <t>9785235039476</t>
  </si>
  <si>
    <t>795024162</t>
  </si>
  <si>
    <t>3103723707X</t>
  </si>
  <si>
    <t>795024163</t>
  </si>
  <si>
    <t>PG3385 B38 1967</t>
  </si>
  <si>
    <t>0                      PG 3385000B  38          1967</t>
  </si>
  <si>
    <t>Tolstoy and the novel / by John Bayley.</t>
  </si>
  <si>
    <t>New York : Viking Press, 1967, ©1966.</t>
  </si>
  <si>
    <t>1258385:eng</t>
  </si>
  <si>
    <t>321585</t>
  </si>
  <si>
    <t>ocm00321585</t>
  </si>
  <si>
    <t>3102945307M</t>
  </si>
  <si>
    <t>791336308</t>
  </si>
  <si>
    <t>3102945302M</t>
  </si>
  <si>
    <t>791336309</t>
  </si>
  <si>
    <t>PG3385 B75 2010</t>
  </si>
  <si>
    <t>0                      PG 3385000B  75          2010</t>
  </si>
  <si>
    <t>Brief lives : Leo Tolstoy / Anthony Briggs.</t>
  </si>
  <si>
    <t>Briggs, Anthony.</t>
  </si>
  <si>
    <t>London : Hesperus Press, 2010.</t>
  </si>
  <si>
    <t>2018-10-24</t>
  </si>
  <si>
    <t>541084110:eng</t>
  </si>
  <si>
    <t>649897676</t>
  </si>
  <si>
    <t>ocn649897676</t>
  </si>
  <si>
    <t>3103133655K</t>
  </si>
  <si>
    <t>9781843919117</t>
  </si>
  <si>
    <t>794832097</t>
  </si>
  <si>
    <t>PG3385 D65 2005</t>
  </si>
  <si>
    <t>0                      PG 3385000D  65          2005</t>
  </si>
  <si>
    <t>Leo Tolstoy and the Canadian Doukhobors : an historic relationship / Andrew Donskov.</t>
  </si>
  <si>
    <t>Donskov, Andrew, 1939-</t>
  </si>
  <si>
    <t>Ottawa, ON : CRCRR, 2005.</t>
  </si>
  <si>
    <t>Canada/Russia series ; v. 7</t>
  </si>
  <si>
    <t>9490457709:eng</t>
  </si>
  <si>
    <t>58728848</t>
  </si>
  <si>
    <t>ocm58728848</t>
  </si>
  <si>
    <t>3102533617B</t>
  </si>
  <si>
    <t>9780889273207</t>
  </si>
  <si>
    <t>793923693</t>
  </si>
  <si>
    <t>PG3385 E34 2009</t>
  </si>
  <si>
    <t>0                      PG 3385000E  34          2009</t>
  </si>
  <si>
    <t>Lev Tolstoĭ : issledovanii︠a︡, statʹi / B.M. Ėĭkhenbaum ; [sostavlenie, vstupitelʹnai︠a︡ statʹi︠a︡, obshchai︠a︡ redakt︠s︡ii︠a︡, I.N. Sukhikh ; kommentarii, L.E. Kocheshkova, I.I︠U︡. Matveeva].</t>
  </si>
  <si>
    <t>Sankt-Peterburg : Fakulʹtet filologii i iskusstv SPbGU, 2009.</t>
  </si>
  <si>
    <t>Filologicheskoe nasledie</t>
  </si>
  <si>
    <t>2016-07-18</t>
  </si>
  <si>
    <t>3770433329:rus</t>
  </si>
  <si>
    <t>593254090</t>
  </si>
  <si>
    <t>ocn593254090</t>
  </si>
  <si>
    <t>31033012468</t>
  </si>
  <si>
    <t>9785846507609</t>
  </si>
  <si>
    <t>794814893</t>
  </si>
  <si>
    <t>PG3385 G825 1954</t>
  </si>
  <si>
    <t>0                      PG 3385000G  825         1954</t>
  </si>
  <si>
    <t>Lev Nikolaevich Tolstoĭ : materialy k biografii / N.N. Gusev.</t>
  </si>
  <si>
    <t>Gusev, N. N. (Nikolaĭ Nikolaevich)</t>
  </si>
  <si>
    <t>Moskva : Izd-vo Akademii nauk SSSR, 1954-1970.</t>
  </si>
  <si>
    <t>2013-12-10</t>
  </si>
  <si>
    <t>2015-03-19</t>
  </si>
  <si>
    <t>8907465713:rus</t>
  </si>
  <si>
    <t>7061216</t>
  </si>
  <si>
    <t>ocm07061216</t>
  </si>
  <si>
    <t>3102944984T</t>
  </si>
  <si>
    <t>792538053</t>
  </si>
  <si>
    <t>2014-03-20</t>
  </si>
  <si>
    <t>3102944983T</t>
  </si>
  <si>
    <t>792538050</t>
  </si>
  <si>
    <t>3102944978V</t>
  </si>
  <si>
    <t>792538051</t>
  </si>
  <si>
    <t>3102944979V</t>
  </si>
  <si>
    <t>792538052</t>
  </si>
  <si>
    <t>PG3385 L213</t>
  </si>
  <si>
    <t>0                      PG 3385000L  213</t>
  </si>
  <si>
    <t>Reminiscences of Lev Tolstoi by his contemporaries.</t>
  </si>
  <si>
    <t>Moscow : Foreign Languages Publishing House, [1961?]</t>
  </si>
  <si>
    <t>53956756:eng</t>
  </si>
  <si>
    <t>285444</t>
  </si>
  <si>
    <t>ocm00285444</t>
  </si>
  <si>
    <t>3103678862A</t>
  </si>
  <si>
    <t>791323935</t>
  </si>
  <si>
    <t>PG3385 L49 1996</t>
  </si>
  <si>
    <t>0                      PG 3385000L  49          1996</t>
  </si>
  <si>
    <t>Lev Tolstoy and the concept of brotherhood : proceedings of a conference held at the University of Ottawa, 22-24 February 1996 / edited by Andrew Donskov and John Woodsworth.</t>
  </si>
  <si>
    <t>New York ; Ottawa : Legas, c1996.</t>
  </si>
  <si>
    <t>46015151:eng</t>
  </si>
  <si>
    <t>35937770</t>
  </si>
  <si>
    <t>ocm35937770</t>
  </si>
  <si>
    <t>3103309176A</t>
  </si>
  <si>
    <t>9780921252528</t>
  </si>
  <si>
    <t>793461621</t>
  </si>
  <si>
    <t>PG3385 L6817 2011</t>
  </si>
  <si>
    <t>0                      PG 3385000L  6817        2011</t>
  </si>
  <si>
    <t>Pervai︠a︡ biografii︠a︡ Lʹva Tolstogo / R. Lëvenfelʹd ; perevod s nemet︠s︡kogo L.M. Kulaevoĭ.</t>
  </si>
  <si>
    <t>Löwenfeld, Raphael, 1854-1910.</t>
  </si>
  <si>
    <t>Rostov-na-Donu : OOO "Feniks", 2011.</t>
  </si>
  <si>
    <t>Serii︠a︡ "Zolotoĭ fond"</t>
  </si>
  <si>
    <t>8911373424:rus</t>
  </si>
  <si>
    <t>729552513</t>
  </si>
  <si>
    <t>ocn729552513</t>
  </si>
  <si>
    <t>3103484619I</t>
  </si>
  <si>
    <t>9785222177129</t>
  </si>
  <si>
    <t>794879493</t>
  </si>
  <si>
    <t>PG3385.M28 M28 1922</t>
  </si>
  <si>
    <t>0                      PG 3385000M  28                 M  28          1922</t>
  </si>
  <si>
    <t>I︠A︡snopoli︠a︡nskie zapiski, 1904-1910 gody / D.P. Makovit︠s︡kiĭ ; redaktiroval N.N. Gusev.</t>
  </si>
  <si>
    <t>Makovický, Dušan, 1866-1921.</t>
  </si>
  <si>
    <t>Moskva : Zadruga, 1922-1923.</t>
  </si>
  <si>
    <t>3060787656:rus</t>
  </si>
  <si>
    <t>18171954</t>
  </si>
  <si>
    <t>ocm18171954</t>
  </si>
  <si>
    <t>3103269162P</t>
  </si>
  <si>
    <t>793016532</t>
  </si>
  <si>
    <t>PG3385 M37 2000</t>
  </si>
  <si>
    <t>0                      PG 3385000M  37          2000</t>
  </si>
  <si>
    <t>L. Tolstoĭ i Dostoevskiĭ / D.S. Merezhkovskiĭ ; izdanie podgotovila E.A. Andrushchenko.</t>
  </si>
  <si>
    <t>Merezhkovsky, Dmitry Sergeyevich, 1865-1941.</t>
  </si>
  <si>
    <t>Moskva : Nauka, 2000.</t>
  </si>
  <si>
    <t>9163053463:rus</t>
  </si>
  <si>
    <t>44550919</t>
  </si>
  <si>
    <t>ocm44550919</t>
  </si>
  <si>
    <t>3102944987T</t>
  </si>
  <si>
    <t>9785020115996</t>
  </si>
  <si>
    <t>793652975</t>
  </si>
  <si>
    <t>PG3385 M3x 1930</t>
  </si>
  <si>
    <t>0                      PG 3385000M  3x          1930</t>
  </si>
  <si>
    <t>The life of Tolstóy ... by Aylmer Maude ...</t>
  </si>
  <si>
    <t>Maude, Aylmer, 1858-1938.</t>
  </si>
  <si>
    <t>London, Oxford University Press, H. Milford [1930]</t>
  </si>
  <si>
    <t>1930</t>
  </si>
  <si>
    <t>World's classics ; 383-4</t>
  </si>
  <si>
    <t>2005-04-02</t>
  </si>
  <si>
    <t>5575842756:eng</t>
  </si>
  <si>
    <t>2182262</t>
  </si>
  <si>
    <t>ocm02182262</t>
  </si>
  <si>
    <t>30002489923</t>
  </si>
  <si>
    <t>792062371</t>
  </si>
  <si>
    <t>3100145800D</t>
  </si>
  <si>
    <t>792062370</t>
  </si>
  <si>
    <t>PG3385 N69 1918</t>
  </si>
  <si>
    <t>0                      PG 3385000N  69          1918</t>
  </si>
  <si>
    <t>Tolstoy, by George Rapall Noyes.</t>
  </si>
  <si>
    <t>New York, Duffield &amp; Company, 1918.</t>
  </si>
  <si>
    <t>Master spirits of literature</t>
  </si>
  <si>
    <t>1564885:eng</t>
  </si>
  <si>
    <t>1619960</t>
  </si>
  <si>
    <t>ocm01619960</t>
  </si>
  <si>
    <t>31030764206</t>
  </si>
  <si>
    <t>791793162</t>
  </si>
  <si>
    <t>PG3385 S5 1960</t>
  </si>
  <si>
    <t>0                      PG 3385000S  5           1960</t>
  </si>
  <si>
    <t>Leo Tolstoy.</t>
  </si>
  <si>
    <t>Simmons, Ernest J. (Ernest Joseph), 1903-1972.</t>
  </si>
  <si>
    <t>New York : Vintage Books, 1960.</t>
  </si>
  <si>
    <t>Vintage Russian library</t>
  </si>
  <si>
    <t>2004-04-10</t>
  </si>
  <si>
    <t>8907989694:eng</t>
  </si>
  <si>
    <t>60049454</t>
  </si>
  <si>
    <t>ocm60049454</t>
  </si>
  <si>
    <t>3000230841X</t>
  </si>
  <si>
    <t>793933428</t>
  </si>
  <si>
    <t>2012-03-06</t>
  </si>
  <si>
    <t>3000230842V</t>
  </si>
  <si>
    <t>793933430</t>
  </si>
  <si>
    <t>31001481721</t>
  </si>
  <si>
    <t>793933429</t>
  </si>
  <si>
    <t>31001481713</t>
  </si>
  <si>
    <t>793933427</t>
  </si>
  <si>
    <t>PG3385 S92 1921</t>
  </si>
  <si>
    <t>0                      PG 3385000S  92          1921</t>
  </si>
  <si>
    <t>Statʹi o Lʹvi︠e︡ Tolstom / Petr Struve.</t>
  </si>
  <si>
    <t>Struve, Petr Berngardovich, 1870-1944.</t>
  </si>
  <si>
    <t>Sofīi︠a︡ : Rossīĭsko-bolgarskoe kn-vo, 1921.</t>
  </si>
  <si>
    <t>2016-07-02</t>
  </si>
  <si>
    <t>10033093368:rus</t>
  </si>
  <si>
    <t>30061726</t>
  </si>
  <si>
    <t>ocm30061726</t>
  </si>
  <si>
    <t>3000794616N</t>
  </si>
  <si>
    <t>793328146</t>
  </si>
  <si>
    <t>PG3385 T5 C76 2008</t>
  </si>
  <si>
    <t>0                      PG 3385000T  5                  C  76          2008</t>
  </si>
  <si>
    <t>The legacy of Tolstoy : Alexandra Tolstoy and the Soviet regime in the 1920s / Robert Croskey.</t>
  </si>
  <si>
    <t>Croskey, Robert M., 1946-</t>
  </si>
  <si>
    <t>Seattle : Herbert J. Ellison Center for Russian, East European, and Central Asian Studies, University of Washington : Distributed by the University of Washington Press, ©2008.</t>
  </si>
  <si>
    <t>Donald W. Treadgold studies on Russia, East Europe, and Central Asia</t>
  </si>
  <si>
    <t>280860797:eng</t>
  </si>
  <si>
    <t>253842038</t>
  </si>
  <si>
    <t>ocn253842038</t>
  </si>
  <si>
    <t>3103084995H</t>
  </si>
  <si>
    <t>9780295988771</t>
  </si>
  <si>
    <t>794394122</t>
  </si>
  <si>
    <t>PG3385 T55 2015</t>
  </si>
  <si>
    <t>0                      PG 3385000T  55          2015</t>
  </si>
  <si>
    <t>Dorogoe ushedshee / T.P. Vilister-Tolstai︠a︡.</t>
  </si>
  <si>
    <t>Vilister-Tolstai︠a︡, Tatʹi︠a︡na Petrovna, author.</t>
  </si>
  <si>
    <t>Sankt-Peterburg : Nestor-Istorii︠a︡, 2015.</t>
  </si>
  <si>
    <t>2607605257:rus</t>
  </si>
  <si>
    <t>919315815</t>
  </si>
  <si>
    <t>ocn919315815</t>
  </si>
  <si>
    <t>3103638827$</t>
  </si>
  <si>
    <t>9785446905287</t>
  </si>
  <si>
    <t>795001711</t>
  </si>
  <si>
    <t>PG3385 T613 2010</t>
  </si>
  <si>
    <t>0                      PG 3385000T  613         2010</t>
  </si>
  <si>
    <t>My life / Sofia Andreevna Tolstaya ; translated from the Russian by John Woodsworth &amp; Arkadi Klioutchanski ; edited and with an introduction by Andrew Donskov.</t>
  </si>
  <si>
    <t>Tolstai︠a︡, S. A. (Sofʹi︠a︡ Andreevna), 1844-1919.</t>
  </si>
  <si>
    <t>[Ottawa] : University of Ottawa Press, 2010.</t>
  </si>
  <si>
    <t>609646486:eng</t>
  </si>
  <si>
    <t>471042764</t>
  </si>
  <si>
    <t>ocn471042764</t>
  </si>
  <si>
    <t>31032673002</t>
  </si>
  <si>
    <t>9780776630427</t>
  </si>
  <si>
    <t>794796622</t>
  </si>
  <si>
    <t>PG3385 T853 1961</t>
  </si>
  <si>
    <t>0                      PG 3385000T  853         1961</t>
  </si>
  <si>
    <t>Tolstoy remembered by his son. Translated from the Russian by Moura Budberg.</t>
  </si>
  <si>
    <t>Tolstoĭ, S. L. (Sergeĭ Lʹvovich), graf, 1863-1947.</t>
  </si>
  <si>
    <t>London, Weidenfeld and Nicolson, [©1961]</t>
  </si>
  <si>
    <t>2016-03-09</t>
  </si>
  <si>
    <t>50340525:eng</t>
  </si>
  <si>
    <t>1854837</t>
  </si>
  <si>
    <t>ocm01854837</t>
  </si>
  <si>
    <t>3000391485I</t>
  </si>
  <si>
    <t>791999899</t>
  </si>
  <si>
    <t>PG3385 T87</t>
  </si>
  <si>
    <t>0                      PG 3385000T  87</t>
  </si>
  <si>
    <t>Tolstoï / Henri Troyat.</t>
  </si>
  <si>
    <t>París : Fayard, ©1965.</t>
  </si>
  <si>
    <t>Les Grandes études littéraires</t>
  </si>
  <si>
    <t>2018-10-26</t>
  </si>
  <si>
    <t>3372549086:fre</t>
  </si>
  <si>
    <t>40701624</t>
  </si>
  <si>
    <t>ocm40701624</t>
  </si>
  <si>
    <t>3000797531G</t>
  </si>
  <si>
    <t>793573350</t>
  </si>
  <si>
    <t>PG3385 W48 2012</t>
  </si>
  <si>
    <t>0                      PG 3385000W  48          2012</t>
  </si>
  <si>
    <t>Tolstoy / A.N. Wilson.</t>
  </si>
  <si>
    <t>Wilson, A. N., 1950-</t>
  </si>
  <si>
    <t>London : Atlantic, 2012.</t>
  </si>
  <si>
    <t>2019-03-06</t>
  </si>
  <si>
    <t>45035:eng</t>
  </si>
  <si>
    <t>772973425</t>
  </si>
  <si>
    <t>ocn772973425</t>
  </si>
  <si>
    <t>3103395257J</t>
  </si>
  <si>
    <t>9781848879621</t>
  </si>
  <si>
    <t>794905078</t>
  </si>
  <si>
    <t>PG3386 M36</t>
  </si>
  <si>
    <t>0                      PG 3386000M  36</t>
  </si>
  <si>
    <t>Tolstoy; a collection of critical essays, edited by Ralph E. Matlaw.</t>
  </si>
  <si>
    <t>Matlaw, Ralph E., compiler.</t>
  </si>
  <si>
    <t>Englewood Cliffs, N.J., Prentice-Hall [1967]</t>
  </si>
  <si>
    <t>Twentieth century views</t>
  </si>
  <si>
    <t>2017-11-14</t>
  </si>
  <si>
    <t>144637205:eng</t>
  </si>
  <si>
    <t>1959187</t>
  </si>
  <si>
    <t>ocm01959187</t>
  </si>
  <si>
    <t>31030045573</t>
  </si>
  <si>
    <t>792018454</t>
  </si>
  <si>
    <t>30002451104</t>
  </si>
  <si>
    <t>792018455</t>
  </si>
  <si>
    <t>PG3386 T6 1917</t>
  </si>
  <si>
    <t>0                      PG 3386000T  6           1917</t>
  </si>
  <si>
    <t>Tolstoĭ, pami︠a︡tniki tvorchestva i zhizni / red. V.I. Sreznevskago i A.L. Bema.</t>
  </si>
  <si>
    <t>Petrograd : Ogni, 1917-</t>
  </si>
  <si>
    <t>2010-01-21</t>
  </si>
  <si>
    <t>2015-05-25</t>
  </si>
  <si>
    <t>364892384:rus</t>
  </si>
  <si>
    <t>61536130</t>
  </si>
  <si>
    <t>ocm61536130</t>
  </si>
  <si>
    <t>3000316659Y</t>
  </si>
  <si>
    <t>793967428</t>
  </si>
  <si>
    <t>3103599622K</t>
  </si>
  <si>
    <t>793967425</t>
  </si>
  <si>
    <t>3100837754F</t>
  </si>
  <si>
    <t>793967427</t>
  </si>
  <si>
    <t>3100837755D</t>
  </si>
  <si>
    <t>793967426</t>
  </si>
  <si>
    <t>PG3390 E3 1981</t>
  </si>
  <si>
    <t>0                      PG 3390000E  3           1981</t>
  </si>
  <si>
    <t>Sonya : the life of Countess Tolstoy.</t>
  </si>
  <si>
    <t>Edwards, Anne, 1927-</t>
  </si>
  <si>
    <t>New York : Simon and Schuster, ©1981.</t>
  </si>
  <si>
    <t>2016-04-15</t>
  </si>
  <si>
    <t>517000:eng</t>
  </si>
  <si>
    <t>6788518</t>
  </si>
  <si>
    <t>ocm06788518</t>
  </si>
  <si>
    <t>3102945030P</t>
  </si>
  <si>
    <t>9780671240400</t>
  </si>
  <si>
    <t>792523008</t>
  </si>
  <si>
    <t>PG3390 N55 2010</t>
  </si>
  <si>
    <t>0                      PG 3390000N  55          2010</t>
  </si>
  <si>
    <t>Sofʹi︠a︡ Tolstai︠a︡ / Nina Nikitina.</t>
  </si>
  <si>
    <t>Nikitina, N. (Nina)</t>
  </si>
  <si>
    <t>Moskva : Molodai︠a︡ gvardii︠a︡, 2010.</t>
  </si>
  <si>
    <t>Zhiznʹ zamechatelʹnykh li︠u︡deĭ, serii︠a︡ biografiĭ ; 1429 (1229)</t>
  </si>
  <si>
    <t>2013-08-03</t>
  </si>
  <si>
    <t>796020479:rus</t>
  </si>
  <si>
    <t>608627980</t>
  </si>
  <si>
    <t>ocn608627980</t>
  </si>
  <si>
    <t>3103284571L</t>
  </si>
  <si>
    <t>9785235032149</t>
  </si>
  <si>
    <t>794819629</t>
  </si>
  <si>
    <t>PG3390 P67 2010</t>
  </si>
  <si>
    <t>0                      PG 3390000P  67          2010</t>
  </si>
  <si>
    <t>Sophia Tolstoy : a biography / Alexandra Popoff.</t>
  </si>
  <si>
    <t>New York : Free Press, 2010.</t>
  </si>
  <si>
    <t>1st Free Press hardcover ed.</t>
  </si>
  <si>
    <t>796259366:eng</t>
  </si>
  <si>
    <t>424555576</t>
  </si>
  <si>
    <t>ocn424555576</t>
  </si>
  <si>
    <t>3103231592H</t>
  </si>
  <si>
    <t>9781416597599</t>
  </si>
  <si>
    <t>794506826</t>
  </si>
  <si>
    <t>PG3395 B37 2011</t>
  </si>
  <si>
    <t>0                      PG 3395000B  37          2011</t>
  </si>
  <si>
    <t>Lev Tolstoĭ : begstvo iz rai︠a︡ / Pavel Basinskiĭ.</t>
  </si>
  <si>
    <t>Moskva : AST : Astrelʹ, 2010.</t>
  </si>
  <si>
    <t>2015-07-29</t>
  </si>
  <si>
    <t>8910526429:rus</t>
  </si>
  <si>
    <t>656165829</t>
  </si>
  <si>
    <t>ocn656165829</t>
  </si>
  <si>
    <t>3103393532M</t>
  </si>
  <si>
    <t>9785170676699</t>
  </si>
  <si>
    <t>794834568</t>
  </si>
  <si>
    <t>PG3395 L438 2014</t>
  </si>
  <si>
    <t>0                      PG 3395000L  438         2014</t>
  </si>
  <si>
    <t>Lev Nikolaevich Tolstoĭ / pod redakt︠s︡ieĭ A.A. Guseĭnova, T.G. Shchedrinoĭ.</t>
  </si>
  <si>
    <t>Moskva : ROSSPĖN, 2014.</t>
  </si>
  <si>
    <t>Filosofii︠a︡ Rossii pervoĭ poloviny XX veka</t>
  </si>
  <si>
    <t>2866176924:rus</t>
  </si>
  <si>
    <t>894849895</t>
  </si>
  <si>
    <t>ocn894849895</t>
  </si>
  <si>
    <t>3103200251G</t>
  </si>
  <si>
    <t>9785824318807</t>
  </si>
  <si>
    <t>794983051</t>
  </si>
  <si>
    <t>PG3395 N53 2010</t>
  </si>
  <si>
    <t>0                      PG 3395000N  53          2010</t>
  </si>
  <si>
    <t>The death of Tolstoy : Russia on the eve, Astapovo Station, 1910 / William Nickell.</t>
  </si>
  <si>
    <t>Nickell, William, 1961-</t>
  </si>
  <si>
    <t>Ithaca : Cornell University Press, 2010.</t>
  </si>
  <si>
    <t>863944970:eng</t>
  </si>
  <si>
    <t>470361188</t>
  </si>
  <si>
    <t>ocn470361188</t>
  </si>
  <si>
    <t>31032394262</t>
  </si>
  <si>
    <t>9780801448348</t>
  </si>
  <si>
    <t>794796145</t>
  </si>
  <si>
    <t>PG3395 O6</t>
  </si>
  <si>
    <t>0                      PG 3395000O  6</t>
  </si>
  <si>
    <t>Lev Nikolaevich Tolstoĭ : Materialy k biogr. s 1886 po 1892 g. / L.D. Opulʹskai︠a︡.</t>
  </si>
  <si>
    <t>Gromova, L. D. (Lidii︠a︡ Dmitrievna), 1925-2003.</t>
  </si>
  <si>
    <t>Moskva : Nauka, 1979.</t>
  </si>
  <si>
    <t>2015-03-31</t>
  </si>
  <si>
    <t>10033251004:rus</t>
  </si>
  <si>
    <t>7007763</t>
  </si>
  <si>
    <t>ocm07007763</t>
  </si>
  <si>
    <t>3102945023R</t>
  </si>
  <si>
    <t>792535255</t>
  </si>
  <si>
    <t>PG3395 U44 2010</t>
  </si>
  <si>
    <t>0                      PG 3395000U  44          2010</t>
  </si>
  <si>
    <t>Ukhod i smertʹ Lʹva Tolstogo : korrespondent︠s︡ii, statʹi, ocherki : 30 okti︠a︡bri︠a︡ 1910--30 noi︠a︡bri︠a︡ 1910 / [nauchnyĭ redaktor, A.V. Lavrov ; sostavlenie, podgotovka teksta, kommentarii, ukazateli, podbor illi︠u︡strat︠s︡iĭ A.S. Aleksandrova, Ė.K. Aleksandrovoĭ ; vstupitelʹnai︠a︡ statʹi︠a︡ V.E. Bagno].</t>
  </si>
  <si>
    <t>3860998687:rus</t>
  </si>
  <si>
    <t>711737671</t>
  </si>
  <si>
    <t>ocn711737671</t>
  </si>
  <si>
    <t>3103410188X</t>
  </si>
  <si>
    <t>9785877810211</t>
  </si>
  <si>
    <t>794871141</t>
  </si>
  <si>
    <t>PG3403 C67 2010</t>
  </si>
  <si>
    <t>0                      PG 3403000C  67          2010</t>
  </si>
  <si>
    <t>Tolstoï cent ans après / publié sous la direction de Catherine Depretto ; avec la collaboration de Elena Ourjoumtseva.</t>
  </si>
  <si>
    <t>Colloque international "L'œuvre de Léon Tolstoï, bilan du XIXe européen" (2010 : Paris, France)</t>
  </si>
  <si>
    <t>Paris : Institut d'études slaves, ©2011.</t>
  </si>
  <si>
    <t>Cahiers Leon Tolstoï, 0078-9976 ; 22</t>
  </si>
  <si>
    <t>1126561740:fre</t>
  </si>
  <si>
    <t>770224731</t>
  </si>
  <si>
    <t>ocn770224731</t>
  </si>
  <si>
    <t>3103401968E</t>
  </si>
  <si>
    <t>9782720404832</t>
  </si>
  <si>
    <t>794903872</t>
  </si>
  <si>
    <t>PG3409.5 F6 1984</t>
  </si>
  <si>
    <t>0                      PG 3409500F  6           1984</t>
  </si>
  <si>
    <t>Tolstoy and the Russians : reflections on a relationship / Alexander Fodor.</t>
  </si>
  <si>
    <t>Fodor, Alexander.</t>
  </si>
  <si>
    <t>Ann Arbor, Mich. : Ardis, ©1984.</t>
  </si>
  <si>
    <t>2006-03-22</t>
  </si>
  <si>
    <t>196782718:eng</t>
  </si>
  <si>
    <t>10275877</t>
  </si>
  <si>
    <t>ocm10275877</t>
  </si>
  <si>
    <t>3102945070H</t>
  </si>
  <si>
    <t>9780882338910</t>
  </si>
  <si>
    <t>792717615</t>
  </si>
  <si>
    <t>3102945075H</t>
  </si>
  <si>
    <t>792717616</t>
  </si>
  <si>
    <t>PG3409.5 H47 1994</t>
  </si>
  <si>
    <t>0                      PG 3409500H  47          1994</t>
  </si>
  <si>
    <t>Les héritiers de Tolstoï dans la littérature russe / [textes recueillis par Marie Sémon].</t>
  </si>
  <si>
    <t>Paris : Institut d'études slaves, 1994.</t>
  </si>
  <si>
    <t>Bibliothèque russe de l'Institut d'études slaves, 0078-9976 ; 94. Cahiers Léon Tolstoï ; 8</t>
  </si>
  <si>
    <t>572993016:fre</t>
  </si>
  <si>
    <t>32194326</t>
  </si>
  <si>
    <t>ocm32194326</t>
  </si>
  <si>
    <t>3102945109S</t>
  </si>
  <si>
    <t>9782720402982</t>
  </si>
  <si>
    <t>793377697</t>
  </si>
  <si>
    <t>PG3409.5 M6</t>
  </si>
  <si>
    <t>0                      PG 3409500M  6</t>
  </si>
  <si>
    <t>O mirovom znachenii L.N. Tolstogo.</t>
  </si>
  <si>
    <t>Moskva, Sovetskiĭ pisatelʹ, 1957.</t>
  </si>
  <si>
    <t>10033147565:rus</t>
  </si>
  <si>
    <t>4264102</t>
  </si>
  <si>
    <t>ocm04264102</t>
  </si>
  <si>
    <t>3102945094D</t>
  </si>
  <si>
    <t>792336377</t>
  </si>
  <si>
    <t>PG3409.5 S6</t>
  </si>
  <si>
    <t>0                      PG 3409500S  6</t>
  </si>
  <si>
    <t>Tolstoy in prerevolutionary Russian criticism / Boris Sorokin.</t>
  </si>
  <si>
    <t>Sorokin, Boris, 1922-</t>
  </si>
  <si>
    <t>[Columbus] : Ohio State University Press for Miami University, [1979]</t>
  </si>
  <si>
    <t>2005-03-23</t>
  </si>
  <si>
    <t>475903:eng</t>
  </si>
  <si>
    <t>4549491</t>
  </si>
  <si>
    <t>ocm04549491</t>
  </si>
  <si>
    <t>3102945074H</t>
  </si>
  <si>
    <t>9780814202951</t>
  </si>
  <si>
    <t>792361439</t>
  </si>
  <si>
    <t>31027801023</t>
  </si>
  <si>
    <t>792361440</t>
  </si>
  <si>
    <t>PG3409.5 T65 1998</t>
  </si>
  <si>
    <t>0                      PG 3409500T  65          1998</t>
  </si>
  <si>
    <t>Tolstoï vu par les écrivains et les penseurs russes / [publié sous la direction de Michel Aucouturier et Marie Sémon].</t>
  </si>
  <si>
    <t>Paris : Institut d'études slaves, 1998.</t>
  </si>
  <si>
    <t>Bibliothèque russe de l'Institut d'études slaves, 0078-9976 ; 103. Cahiers Léon Tolstoï ; 13</t>
  </si>
  <si>
    <t>475744717:fre</t>
  </si>
  <si>
    <t>40462623</t>
  </si>
  <si>
    <t>ocm40462623</t>
  </si>
  <si>
    <t>3102945069J</t>
  </si>
  <si>
    <t>9782720403347</t>
  </si>
  <si>
    <t>793567768</t>
  </si>
  <si>
    <t>PG3409.5 T658 2008</t>
  </si>
  <si>
    <t>0                      PG 3409500T  658         2008</t>
  </si>
  <si>
    <t>Tolstoï écrivain et la critique / publié sous la direction de Catherine Depretto.</t>
  </si>
  <si>
    <t>Paris : Institut d'études slaves, 2008.</t>
  </si>
  <si>
    <t>Cahiers Léon Tolstoï ; 19</t>
  </si>
  <si>
    <t>351757987:fre</t>
  </si>
  <si>
    <t>300276439</t>
  </si>
  <si>
    <t>ocn300276439</t>
  </si>
  <si>
    <t>31030709509</t>
  </si>
  <si>
    <t>9782720404498</t>
  </si>
  <si>
    <t>794431158</t>
  </si>
  <si>
    <t>PG3409.5 W54 1990</t>
  </si>
  <si>
    <t>0                      PG 3409500W  54          1990</t>
  </si>
  <si>
    <t>The influence of Tolstoy on readers of his works / Gareth Williams.</t>
  </si>
  <si>
    <t>Lewiston, N.Y. : Edwin Mellen Press, ©1990.</t>
  </si>
  <si>
    <t>Studies in Slavic language and literature ; v. 4</t>
  </si>
  <si>
    <t>23170873:eng</t>
  </si>
  <si>
    <t>21869819</t>
  </si>
  <si>
    <t>ocm21869819</t>
  </si>
  <si>
    <t>3102945078H</t>
  </si>
  <si>
    <t>9780889462748</t>
  </si>
  <si>
    <t>793128573</t>
  </si>
  <si>
    <t>PG3409.7 F7 L5</t>
  </si>
  <si>
    <t>0                      PG 3409700F  7                  L  5</t>
  </si>
  <si>
    <t>Tolstoí en France, 1886-1910. Préf. par J.-M. Carré.</t>
  </si>
  <si>
    <t>Paris, Institut d'études slaves de l'Université de Paris, 1952.</t>
  </si>
  <si>
    <t>Bibliothèque de l'Institut français de Léningrad continuée par la Bibliothèque russe de l'Institut d'études slaves, t. 25</t>
  </si>
  <si>
    <t>4314698:fre</t>
  </si>
  <si>
    <t>2144150</t>
  </si>
  <si>
    <t>ocm02144150</t>
  </si>
  <si>
    <t>3102945083F</t>
  </si>
  <si>
    <t>792055484</t>
  </si>
  <si>
    <t>PG3409.7 F7 R396 1995</t>
  </si>
  <si>
    <t>0                      PG 3409700F  7                  R  396         1995</t>
  </si>
  <si>
    <t>Le rayonnement de Tolstoï en Occident / [textes recueillis par Michel Cadot].</t>
  </si>
  <si>
    <t>Paris : Institut d'études slaves, 1995</t>
  </si>
  <si>
    <t>Cahiers Léon Tolstoï. ; 9</t>
  </si>
  <si>
    <t>8909230756:fre</t>
  </si>
  <si>
    <t>463888374</t>
  </si>
  <si>
    <t>ocn463888374</t>
  </si>
  <si>
    <t>3102945088F</t>
  </si>
  <si>
    <t>9782720403125</t>
  </si>
  <si>
    <t>794793079</t>
  </si>
  <si>
    <t>PG3409.7 G4 S44 1963</t>
  </si>
  <si>
    <t>0                      PG 3409700G  4                  S  44          1963</t>
  </si>
  <si>
    <t>Über Tolstoi, über Dostojewskiij [von] Anna Seghers.</t>
  </si>
  <si>
    <t>Seghers, Anna, 1900-1983.</t>
  </si>
  <si>
    <t>Berlin, Aufbau-Verlag, 1963 [©1962]</t>
  </si>
  <si>
    <t>4020579504:ger</t>
  </si>
  <si>
    <t>396255</t>
  </si>
  <si>
    <t>ocm00396255</t>
  </si>
  <si>
    <t>3103249746L</t>
  </si>
  <si>
    <t>791364561</t>
  </si>
  <si>
    <t>PG3409.7 G45 K4 1966</t>
  </si>
  <si>
    <t>0                      PG 3409700G  45                 K  4           1966</t>
  </si>
  <si>
    <t>Gerhart Hauptmann und Lev Nikolajevič Tolstoj. Studien zur Wirkungsgeschichte von L.N. Tolstoj in Deutschland, 1885-1910.</t>
  </si>
  <si>
    <t>Kersten, Gerhard.</t>
  </si>
  <si>
    <t>Wiesbaden, Harrassowitz, 1966.</t>
  </si>
  <si>
    <t>Osteuropastudien der Hochschulen des Landes Hessen. Reihe 3, Frankfurter Abhandlungen zur Slavistik, Bd. 9</t>
  </si>
  <si>
    <t>197785364:ger</t>
  </si>
  <si>
    <t>1595760</t>
  </si>
  <si>
    <t>ocm01595760</t>
  </si>
  <si>
    <t>3102945098D</t>
  </si>
  <si>
    <t>9783447006620</t>
  </si>
  <si>
    <t>791774361</t>
  </si>
  <si>
    <t>PG3409.7 U6 A48 2006</t>
  </si>
  <si>
    <t>0                      PG 3409700U  6                  A  48          2006</t>
  </si>
  <si>
    <t>Americans in conversation with Tolstoy : selected accounts, 1887-1923 / edited by Peter Sekirin.</t>
  </si>
  <si>
    <t>Jefferson, N.C. : McFarland, ©2006.</t>
  </si>
  <si>
    <t>905991634:eng</t>
  </si>
  <si>
    <t>68786775</t>
  </si>
  <si>
    <t>ocm68786775</t>
  </si>
  <si>
    <t>3102635641S</t>
  </si>
  <si>
    <t>9780786422531</t>
  </si>
  <si>
    <t>794144245</t>
  </si>
  <si>
    <t>PG3410 C28 2002</t>
  </si>
  <si>
    <t>0                      PG 3410000C  28          2002</t>
  </si>
  <si>
    <t>The Cambridge companion to Tolstoy / edited by Donna Tussing Orwin.</t>
  </si>
  <si>
    <t>56820921:eng</t>
  </si>
  <si>
    <t>49942290</t>
  </si>
  <si>
    <t>ocm49942290</t>
  </si>
  <si>
    <t>3103491776A</t>
  </si>
  <si>
    <t>9780521010139</t>
  </si>
  <si>
    <t>793751107</t>
  </si>
  <si>
    <t>3102945141K</t>
  </si>
  <si>
    <t>793751108</t>
  </si>
  <si>
    <t>PG3410 C55</t>
  </si>
  <si>
    <t>0                      PG 3410000C  55</t>
  </si>
  <si>
    <t>Tolstoy : a critical introduction / R.F. Christian.</t>
  </si>
  <si>
    <t>503184:eng</t>
  </si>
  <si>
    <t>61980</t>
  </si>
  <si>
    <t>ocm00061980</t>
  </si>
  <si>
    <t>3102945151I</t>
  </si>
  <si>
    <t>9780521074933</t>
  </si>
  <si>
    <t>791243200</t>
  </si>
  <si>
    <t>2005-04-04</t>
  </si>
  <si>
    <t>3102945156I</t>
  </si>
  <si>
    <t>791243201</t>
  </si>
  <si>
    <t>PG3410 E5 1968</t>
  </si>
  <si>
    <t>0                      PG 3410000E  5           1968</t>
  </si>
  <si>
    <t>Molodoĭ Tolstoĭ / B.M. Ėĭkhenbaum.</t>
  </si>
  <si>
    <t>München : Wilhelm Fink Verlag, 1968.</t>
  </si>
  <si>
    <t>Slavische Propyläen ; Bd. 53</t>
  </si>
  <si>
    <t>2015-01-13</t>
  </si>
  <si>
    <t>1481168:rus</t>
  </si>
  <si>
    <t>153315303</t>
  </si>
  <si>
    <t>ocn153315303</t>
  </si>
  <si>
    <t>3102945135M</t>
  </si>
  <si>
    <t>794249712</t>
  </si>
  <si>
    <t>PG3410 F67 2013</t>
  </si>
  <si>
    <t>0                      PG 3410000F  67          2013</t>
  </si>
  <si>
    <t>Transnational Tolstoy : between the West and the world / John Burt Foster, Jr.</t>
  </si>
  <si>
    <t>Foster, John Burt, 1945- author.</t>
  </si>
  <si>
    <t>1205933845:eng</t>
  </si>
  <si>
    <t>826458590</t>
  </si>
  <si>
    <t>ocn826458590</t>
  </si>
  <si>
    <t>3103498434$</t>
  </si>
  <si>
    <t>9781441153265</t>
  </si>
  <si>
    <t>794939192</t>
  </si>
  <si>
    <t>PG3410 G5x</t>
  </si>
  <si>
    <t>0                      PG 3410000G  5x</t>
  </si>
  <si>
    <t>Leo Tolstoy, a critical anthology; edited by Henry Gifford.</t>
  </si>
  <si>
    <t>Gifford, Henry, compiler.</t>
  </si>
  <si>
    <t>Harmondsworth, Penguin, 1971.</t>
  </si>
  <si>
    <t>Penguin critical anthologies</t>
  </si>
  <si>
    <t>11842565:eng</t>
  </si>
  <si>
    <t>602268</t>
  </si>
  <si>
    <t>ocm00602268</t>
  </si>
  <si>
    <t>3102945120O</t>
  </si>
  <si>
    <t>9780140802146</t>
  </si>
  <si>
    <t>791425822</t>
  </si>
  <si>
    <t>PG3410 H293 1989</t>
  </si>
  <si>
    <t>0                      PG 3410000H  293         1989</t>
  </si>
  <si>
    <t>Narrative and anti-narrative structures in Lev Tolstoj's early works / Eric de Haard.</t>
  </si>
  <si>
    <t>Haard, Eric de.</t>
  </si>
  <si>
    <t>Amsterdam ; Atlanta, GA : Rodopi, 1989.</t>
  </si>
  <si>
    <t>22919710:eng</t>
  </si>
  <si>
    <t>21357540</t>
  </si>
  <si>
    <t>ocm21357540</t>
  </si>
  <si>
    <t>3102945114Q</t>
  </si>
  <si>
    <t>9789051831245</t>
  </si>
  <si>
    <t>793116665</t>
  </si>
  <si>
    <t>PG3410 K376 2011</t>
  </si>
  <si>
    <t>0                      PG 3410000K  376         2011</t>
  </si>
  <si>
    <t>Understanding Tolstoy / Andrew D. Kaufman.</t>
  </si>
  <si>
    <t>2017-10-04</t>
  </si>
  <si>
    <t>896689845:eng</t>
  </si>
  <si>
    <t>721085453</t>
  </si>
  <si>
    <t>ocn721085453</t>
  </si>
  <si>
    <t>3103384549L</t>
  </si>
  <si>
    <t>9780814211649</t>
  </si>
  <si>
    <t>794875247</t>
  </si>
  <si>
    <t>PG3410 L46 2014</t>
  </si>
  <si>
    <t>0                      PG 3410000L  46          2014</t>
  </si>
  <si>
    <t>O romanakh gr. L.N. Tolstogo : analiz, stilʹ i vei︠a︡nie : kriticheskiĭ ėti︠u︡d / K.N. Leontʹev ; predislovie A.A. Aleksandrova.</t>
  </si>
  <si>
    <t>Leontʹev, Konstantin, 1831-1891, author.</t>
  </si>
  <si>
    <t>Moskva : URSS : Knizhnyĭ dom "Librokom", 2014.</t>
  </si>
  <si>
    <t>Izdanie stereotipnoe.</t>
  </si>
  <si>
    <t>Mnogogrannyĭ mir ideĭ Lʹva Tolstogo</t>
  </si>
  <si>
    <t>3771614166:rus</t>
  </si>
  <si>
    <t>898477131</t>
  </si>
  <si>
    <t>ocn898477131</t>
  </si>
  <si>
    <t>3103562107A</t>
  </si>
  <si>
    <t>9785397045667</t>
  </si>
  <si>
    <t>794986425</t>
  </si>
  <si>
    <t>PG3410 .L46 2014</t>
  </si>
  <si>
    <t>B001577772</t>
  </si>
  <si>
    <t>794986424</t>
  </si>
  <si>
    <t>PG3410 L68 2008</t>
  </si>
  <si>
    <t>0                      PG 3410000L  68          2008</t>
  </si>
  <si>
    <t>Tolstoy : a guide for the perplexed / Jeff Love.</t>
  </si>
  <si>
    <t>London ; New York : Continuum, ©2008.</t>
  </si>
  <si>
    <t>The guides for the perplexed series</t>
  </si>
  <si>
    <t>803387853:eng</t>
  </si>
  <si>
    <t>212847597</t>
  </si>
  <si>
    <t>ocn212847597</t>
  </si>
  <si>
    <t>3102976847H</t>
  </si>
  <si>
    <t>9780826493781</t>
  </si>
  <si>
    <t>794306289</t>
  </si>
  <si>
    <t>PG3410 M3 2010</t>
  </si>
  <si>
    <t>0                      PG 3410000M  3           2010</t>
  </si>
  <si>
    <t>Tolstoy and his problems : essays / by Aylmer Maude.</t>
  </si>
  <si>
    <t>[LaVergne, Tenn.] : [Nabu Public Domain Reprints], [2010]</t>
  </si>
  <si>
    <t>1885274:eng</t>
  </si>
  <si>
    <t>793358734</t>
  </si>
  <si>
    <t>ocn793358734</t>
  </si>
  <si>
    <t>31034281502</t>
  </si>
  <si>
    <t>794918048</t>
  </si>
  <si>
    <t>PG3410 M35 2008</t>
  </si>
  <si>
    <t>0                      PG 3410000M  35          2008</t>
  </si>
  <si>
    <t>In quest of Tolstoy / Hugh McLean.</t>
  </si>
  <si>
    <t>Boston : Academic Studies Press, 2008.</t>
  </si>
  <si>
    <t>119367054:eng</t>
  </si>
  <si>
    <t>190761294</t>
  </si>
  <si>
    <t>ocn190761294</t>
  </si>
  <si>
    <t>3103847629P</t>
  </si>
  <si>
    <t>9781934843024</t>
  </si>
  <si>
    <t>794295475</t>
  </si>
  <si>
    <t>PG3410 N48</t>
  </si>
  <si>
    <t>0                      PG 3410000N  48</t>
  </si>
  <si>
    <t>New essays on Tolstoy / edited by Malcolm Jones.</t>
  </si>
  <si>
    <t>Cambridge [England] ; New York : Cambridge University Press, 1978.</t>
  </si>
  <si>
    <t>503937:eng</t>
  </si>
  <si>
    <t>11466527</t>
  </si>
  <si>
    <t>ocm11466527</t>
  </si>
  <si>
    <t>3103847634W</t>
  </si>
  <si>
    <t>9780521220910</t>
  </si>
  <si>
    <t>792774420</t>
  </si>
  <si>
    <t>2006-03-09</t>
  </si>
  <si>
    <t>3102945132M</t>
  </si>
  <si>
    <t>792774421</t>
  </si>
  <si>
    <t>PG3410 S4713 2007</t>
  </si>
  <si>
    <t>0                      PG 3410000S  4713        2007</t>
  </si>
  <si>
    <t>Energy of delusion : a book on plot / Viktor Shklovsky ; translated by Shushan Avagyan.</t>
  </si>
  <si>
    <t>Shklovskiĭ, Viktor, 1893-1984.</t>
  </si>
  <si>
    <t>Champaign, IL : Dalkey Archive Press, 2007.</t>
  </si>
  <si>
    <t>Dalkey Archive scholarly series</t>
  </si>
  <si>
    <t>140740753:eng</t>
  </si>
  <si>
    <t>71842783</t>
  </si>
  <si>
    <t>ocm71842783</t>
  </si>
  <si>
    <t>3102643679P</t>
  </si>
  <si>
    <t>9781564784261</t>
  </si>
  <si>
    <t>794169182</t>
  </si>
  <si>
    <t>PG3410 S66</t>
  </si>
  <si>
    <t>0                      PG 3410000S  66</t>
  </si>
  <si>
    <t>Tolstoy and Chekhov.</t>
  </si>
  <si>
    <t>Speirs, Logan.</t>
  </si>
  <si>
    <t>Cambridge [England] University Press, 1971.</t>
  </si>
  <si>
    <t>2006-04-18</t>
  </si>
  <si>
    <t>213821:eng</t>
  </si>
  <si>
    <t>121732</t>
  </si>
  <si>
    <t>ocm00121732</t>
  </si>
  <si>
    <t>3102945179E</t>
  </si>
  <si>
    <t>9780521079501</t>
  </si>
  <si>
    <t>791263485</t>
  </si>
  <si>
    <t>3102945184C</t>
  </si>
  <si>
    <t>791263483</t>
  </si>
  <si>
    <t>2012-04-07</t>
  </si>
  <si>
    <t>3102945174E</t>
  </si>
  <si>
    <t>791263484</t>
  </si>
  <si>
    <t>PG3410 S8</t>
  </si>
  <si>
    <t>0                      PG 3410000S  8</t>
  </si>
  <si>
    <t>Tolstoy or Dostoevsky; an essay in the old criticism.</t>
  </si>
  <si>
    <t>Steiner, George, 1929-</t>
  </si>
  <si>
    <t>New York, Knopf, 1959.</t>
  </si>
  <si>
    <t>2011-05-22</t>
  </si>
  <si>
    <t>2015-09-04</t>
  </si>
  <si>
    <t>3901098750:eng</t>
  </si>
  <si>
    <t>174027</t>
  </si>
  <si>
    <t>ocm00174027</t>
  </si>
  <si>
    <t>3102945199A</t>
  </si>
  <si>
    <t>791281308</t>
  </si>
  <si>
    <t>3102945198A</t>
  </si>
  <si>
    <t>791281306</t>
  </si>
  <si>
    <t>2015-04-08</t>
  </si>
  <si>
    <t>3102945194A</t>
  </si>
  <si>
    <t>791281307</t>
  </si>
  <si>
    <t>2004-04-03</t>
  </si>
  <si>
    <t>3102945197A</t>
  </si>
  <si>
    <t>791281309</t>
  </si>
  <si>
    <t>PG3410 T614 2010</t>
  </si>
  <si>
    <t>0                      PG 3410000T  614         2010</t>
  </si>
  <si>
    <t>Tolstoï et la Russie / publié sous la direction de Gérard Abensour.</t>
  </si>
  <si>
    <t>Paris : Institut d'études slaves, 2010.</t>
  </si>
  <si>
    <t>Bibliothèque russe de l'institut d'études slaves, 0078-9976 ; CXXIII</t>
  </si>
  <si>
    <t>2012-01-19</t>
  </si>
  <si>
    <t>767721713:fre</t>
  </si>
  <si>
    <t>694829418</t>
  </si>
  <si>
    <t>ocn694829418</t>
  </si>
  <si>
    <t>3103317610A</t>
  </si>
  <si>
    <t>9782720404733</t>
  </si>
  <si>
    <t>794857956</t>
  </si>
  <si>
    <t>PG3410 W28 1986</t>
  </si>
  <si>
    <t>0                      PG 3410000W  28          1986</t>
  </si>
  <si>
    <t>Critical essays on Tolstoy / Edward Wasiolek.</t>
  </si>
  <si>
    <t>Wasiolek, Edward.</t>
  </si>
  <si>
    <t>5532231:eng</t>
  </si>
  <si>
    <t>12723048</t>
  </si>
  <si>
    <t>ocm12723048</t>
  </si>
  <si>
    <t>3102945160G</t>
  </si>
  <si>
    <t>9780816188277</t>
  </si>
  <si>
    <t>792825710</t>
  </si>
  <si>
    <t>PG3410 W35 2011</t>
  </si>
  <si>
    <t>0                      PG 3410000W  35          2011</t>
  </si>
  <si>
    <t>Leo Tolstoy and the alibi of narrative / Justin Weir.</t>
  </si>
  <si>
    <t>New Haven [Conn.] : Yale University Press, ©2011.</t>
  </si>
  <si>
    <t>471774914:eng</t>
  </si>
  <si>
    <t>601349211</t>
  </si>
  <si>
    <t>ocn601349211</t>
  </si>
  <si>
    <t>3103314090O</t>
  </si>
  <si>
    <t>9780300153842</t>
  </si>
  <si>
    <t>794815507</t>
  </si>
  <si>
    <t>PG3411 A56 2010</t>
  </si>
  <si>
    <t>0                      PG 3411000A  56          2010</t>
  </si>
  <si>
    <t>Anniversary essays on Tolstoy / edited by Donna Tussing Orwin.</t>
  </si>
  <si>
    <t>New York : Cambridge University Press, 2010.</t>
  </si>
  <si>
    <t>2014-09-26</t>
  </si>
  <si>
    <t>766932727:eng</t>
  </si>
  <si>
    <t>649827381</t>
  </si>
  <si>
    <t>ocn649827381</t>
  </si>
  <si>
    <t>3103230806U</t>
  </si>
  <si>
    <t>9780521514910</t>
  </si>
  <si>
    <t>794832040</t>
  </si>
  <si>
    <t>PG3411 T64</t>
  </si>
  <si>
    <t>0                      PG 3411000T  64</t>
  </si>
  <si>
    <t>Tolstoĭ i nashe vremi︠a︡ : [Sb. stateĭ] / AN SSR, In-t mirovoĭ lit. im. A.M. Gorʹkogo ; [Redkol. K.N. Lomunov (otv. red.) and others].</t>
  </si>
  <si>
    <t>Moskva : Nauka, 1978.</t>
  </si>
  <si>
    <t>16777099:rus</t>
  </si>
  <si>
    <t>5334490</t>
  </si>
  <si>
    <t>ocm05334490</t>
  </si>
  <si>
    <t>3102945215N</t>
  </si>
  <si>
    <t>792426028</t>
  </si>
  <si>
    <t>PG3413 B4</t>
  </si>
  <si>
    <t>0                      PG 3413000B  4</t>
  </si>
  <si>
    <t>Women in Tolstoy : the ideal and the erotic / Ruth Crego Benson.</t>
  </si>
  <si>
    <t>Benson, Ruth Crego.</t>
  </si>
  <si>
    <t>Urbana : University of Illinois Press, ©1973.</t>
  </si>
  <si>
    <t>2017-11-27</t>
  </si>
  <si>
    <t>428147340:eng</t>
  </si>
  <si>
    <t>800476</t>
  </si>
  <si>
    <t>ocm00800476</t>
  </si>
  <si>
    <t>3102945234J</t>
  </si>
  <si>
    <t>9780252002878</t>
  </si>
  <si>
    <t>791473075</t>
  </si>
  <si>
    <t>PG3415 A3 T65 2003</t>
  </si>
  <si>
    <t>0                      PG 3415000A  3                  T  65          2003</t>
  </si>
  <si>
    <t>Tolstoï et l'art : idées esthétiques et création artistique / [textes recueillis par Michel Aucouturier].</t>
  </si>
  <si>
    <t>Paris : Institut d'études slaves, 2003.</t>
  </si>
  <si>
    <t>Bibliothèque russe de l'Institut d'études slaves, 0078-9976 ; 108. Cahiers Léon Tolstoï ; 14</t>
  </si>
  <si>
    <t>369508527:fre</t>
  </si>
  <si>
    <t>52133572</t>
  </si>
  <si>
    <t>ocm52133572</t>
  </si>
  <si>
    <t>3102502297Q</t>
  </si>
  <si>
    <t>9782720403705</t>
  </si>
  <si>
    <t>793799205</t>
  </si>
  <si>
    <t>PG3415 C5 B6</t>
  </si>
  <si>
    <t>0                      PG 3415000C  5                  B  6</t>
  </si>
  <si>
    <t>Tolstoy and China / by Derk Bodde with the collaboration of Galia Speshneff Bodde.</t>
  </si>
  <si>
    <t>Bodde, Derk, 1909-2003.</t>
  </si>
  <si>
    <t>Princeton : Princeton University Press, 1950.</t>
  </si>
  <si>
    <t>History of ideas series, no. 4</t>
  </si>
  <si>
    <t>422983474:eng</t>
  </si>
  <si>
    <t>1854850</t>
  </si>
  <si>
    <t>ocm01854850</t>
  </si>
  <si>
    <t>3102945241H</t>
  </si>
  <si>
    <t>791999905</t>
  </si>
  <si>
    <t>PG3415 E2 S5</t>
  </si>
  <si>
    <t>0                      PG 3415000E  2                  S  5</t>
  </si>
  <si>
    <t>Lev Tolstoĭ i Vostok.</t>
  </si>
  <si>
    <t>Shifman, A. (Aleksandr)</t>
  </si>
  <si>
    <t>Moskva, Izd-vo vostochnoĭ lit-ry, 1960.</t>
  </si>
  <si>
    <t>8910831127:rus</t>
  </si>
  <si>
    <t>9386902</t>
  </si>
  <si>
    <t>ocm09386902</t>
  </si>
  <si>
    <t>3102945231J</t>
  </si>
  <si>
    <t>792673363</t>
  </si>
  <si>
    <t>PG3415 F54 T69 2014</t>
  </si>
  <si>
    <t>0                      PG 3415000F  54                 T  69          2014</t>
  </si>
  <si>
    <t>Tolstoy on screen / edited by Lorna Fitzsimmons and Michael A. Denner.</t>
  </si>
  <si>
    <t>Evanston, Illinois : Northwestern University Press, [2015]</t>
  </si>
  <si>
    <t>2015-12-09</t>
  </si>
  <si>
    <t>1885114617:eng</t>
  </si>
  <si>
    <t>879583932</t>
  </si>
  <si>
    <t>ocn879583932</t>
  </si>
  <si>
    <t>3103582513N</t>
  </si>
  <si>
    <t>9780810130210</t>
  </si>
  <si>
    <t>794972384</t>
  </si>
  <si>
    <t>PG3415 H5 B4</t>
  </si>
  <si>
    <t>0                      PG 3415000H  5                  B  4</t>
  </si>
  <si>
    <t>The hedgehog and the fox; an essay on Tolstoy's view of history.</t>
  </si>
  <si>
    <t>Berlin, Isaiah, 1909-1997.</t>
  </si>
  <si>
    <t>New York, Simon &amp; Schuster [1953]</t>
  </si>
  <si>
    <t>138394554:eng</t>
  </si>
  <si>
    <t>259228</t>
  </si>
  <si>
    <t>ocm00259228</t>
  </si>
  <si>
    <t>3102945173E</t>
  </si>
  <si>
    <t>791313099</t>
  </si>
  <si>
    <t>PG3415 H5 B4 1967</t>
  </si>
  <si>
    <t>0                      PG 3415000H  5                  B  4           1967</t>
  </si>
  <si>
    <t>The hedgehog and the fox: an essay on Tolstoy's view of history.</t>
  </si>
  <si>
    <t>London, Weidenfeld &amp; Nicolson, 1967.</t>
  </si>
  <si>
    <t>2018-04-25</t>
  </si>
  <si>
    <t>465039</t>
  </si>
  <si>
    <t>ocm00465039</t>
  </si>
  <si>
    <t>3102945167G</t>
  </si>
  <si>
    <t>791385767</t>
  </si>
  <si>
    <t>PG3415 H5 B4 1986</t>
  </si>
  <si>
    <t>0                      PG 3415000H  5                  B  4           1986</t>
  </si>
  <si>
    <t>The hedgehog and the fox : an essay on Tolstoy's view of history / by Isaiah Berlin ; with an introduction by Michael Walzer.</t>
  </si>
  <si>
    <t>New York : Simon &amp; Schuster, 1986, ©1953.</t>
  </si>
  <si>
    <t>A Touchstone book</t>
  </si>
  <si>
    <t>2019-02-28</t>
  </si>
  <si>
    <t>10044831</t>
  </si>
  <si>
    <t>ocm10044831</t>
  </si>
  <si>
    <t>3102945162G</t>
  </si>
  <si>
    <t>9780671606015</t>
  </si>
  <si>
    <t>792706303</t>
  </si>
  <si>
    <t>3000486139B</t>
  </si>
  <si>
    <t>792706304</t>
  </si>
  <si>
    <t>PG3415 H5 L87 1993</t>
  </si>
  <si>
    <t>0                      PG 3415000H  5                  L  87          1993</t>
  </si>
  <si>
    <t>Posle Lʹva Tolstogo : istoricheskie vozzrenii︠a︡ Tolstogo i problemy XX veka / I︠A︡.S. Lurʹe.</t>
  </si>
  <si>
    <t>Lurʹe, I︠A︡. S. (I︠A︡kov Solomonovich), 1921-1996.</t>
  </si>
  <si>
    <t>Sankt-Peterburg : Dmitriĭ Bulanin, 1993.</t>
  </si>
  <si>
    <t>353421421:rus</t>
  </si>
  <si>
    <t>30385745</t>
  </si>
  <si>
    <t>ocm30385745</t>
  </si>
  <si>
    <t>31013090641</t>
  </si>
  <si>
    <t>9785860070066</t>
  </si>
  <si>
    <t>793334220</t>
  </si>
  <si>
    <t>PG3415 H5 L87 2002</t>
  </si>
  <si>
    <t>0                      PG 3415000H  5                  L  87          2002</t>
  </si>
  <si>
    <t>After Lev Tolstoi : Tolstoi's views about history and issues facing the XX century / Ya. S. Lurie ; [translation by Helen Reeve].</t>
  </si>
  <si>
    <t>Lurʹe, I︠A︡. S. (I︠A︡kov Solomonovich)</t>
  </si>
  <si>
    <t>Saint Petersburg : [Dimitrij Bulanin], 2002.</t>
  </si>
  <si>
    <t>3858991155:eng</t>
  </si>
  <si>
    <t>53832825</t>
  </si>
  <si>
    <t>ocm53832825</t>
  </si>
  <si>
    <t>3102352511K</t>
  </si>
  <si>
    <t>9785860073548</t>
  </si>
  <si>
    <t>793851357</t>
  </si>
  <si>
    <t>PG3415 M45 R36 1998</t>
  </si>
  <si>
    <t>0                      PG 3415000M  45                 R  36          1998</t>
  </si>
  <si>
    <t>Tolstoy on the couch : misogyny, masochism, and the absent mother / Daniel Rancour-Laferriere.</t>
  </si>
  <si>
    <t>New York : New York University Press, 1998.</t>
  </si>
  <si>
    <t>622343:eng</t>
  </si>
  <si>
    <t>38853820</t>
  </si>
  <si>
    <t>ocm38853820</t>
  </si>
  <si>
    <t>3101995183S</t>
  </si>
  <si>
    <t>9780814775097</t>
  </si>
  <si>
    <t>793531348</t>
  </si>
  <si>
    <t>PG3415 M85 T65 2009</t>
  </si>
  <si>
    <t>0                      PG 3415000M  85                 T  65          2009</t>
  </si>
  <si>
    <t>Tolstoï et la musique / publié sous la direction de Michel Aucouturier.</t>
  </si>
  <si>
    <t>Paris : Institut d'études slaves, 2009.</t>
  </si>
  <si>
    <t>Bibliothèque russe de l'institut d'études slaves, 0078-9976 ; 120</t>
  </si>
  <si>
    <t>2017-08-28</t>
  </si>
  <si>
    <t>366942813:fre</t>
  </si>
  <si>
    <t>492092972</t>
  </si>
  <si>
    <t>ocn492092972</t>
  </si>
  <si>
    <t>31032518624</t>
  </si>
  <si>
    <t>9782720404610</t>
  </si>
  <si>
    <t>794800999</t>
  </si>
  <si>
    <t>PG3415 N38 N38 2014</t>
  </si>
  <si>
    <t>0                      PG 3415000N  38                 N  38          2014</t>
  </si>
  <si>
    <t>La nature dans l'oeuvre de Tolstoi / sous la direction de Michel Aucouturier.</t>
  </si>
  <si>
    <t>Paris : Institut d'études slaves, 2014.</t>
  </si>
  <si>
    <t>Bibliothèque russe de l'Institut d'études slaves, 0078-9976 ; CXXX</t>
  </si>
  <si>
    <t>2296071746:fre</t>
  </si>
  <si>
    <t>902617363</t>
  </si>
  <si>
    <t>ocn902617363</t>
  </si>
  <si>
    <t>3103200348F</t>
  </si>
  <si>
    <t>9782720405303</t>
  </si>
  <si>
    <t>794988271</t>
  </si>
  <si>
    <t>PG3415 P4 S2 1973b</t>
  </si>
  <si>
    <t>0                      PG 3415000P  4                  S  2           1973b</t>
  </si>
  <si>
    <t>Tolstoy: the discovery of peace, by R.V. Sampson.</t>
  </si>
  <si>
    <t>Sampson, Ronald Victor.</t>
  </si>
  <si>
    <t>London, Heinemann, 1973.</t>
  </si>
  <si>
    <t>1348451813:eng</t>
  </si>
  <si>
    <t>842351</t>
  </si>
  <si>
    <t>ocm00842351</t>
  </si>
  <si>
    <t>3000384902J</t>
  </si>
  <si>
    <t>9780435187989</t>
  </si>
  <si>
    <t>791484245</t>
  </si>
  <si>
    <t>PG3415 P5 G7 1975b</t>
  </si>
  <si>
    <t>0                      PG 3415000P  5                  G  7           1975b</t>
  </si>
  <si>
    <t>Tolstoy : the comprehensive vision / E.B. Greenwood.</t>
  </si>
  <si>
    <t>Greenwood, E. B. (Edward Baker)</t>
  </si>
  <si>
    <t>London : Dent, 1975.</t>
  </si>
  <si>
    <t>797792901:eng</t>
  </si>
  <si>
    <t>1597732</t>
  </si>
  <si>
    <t>ocm01597732</t>
  </si>
  <si>
    <t>3000420178U</t>
  </si>
  <si>
    <t>9780460120135</t>
  </si>
  <si>
    <t>791774800</t>
  </si>
  <si>
    <t>PG3415 P5 O78 1993</t>
  </si>
  <si>
    <t>0                      PG 3415000P  5                  O  78          1993</t>
  </si>
  <si>
    <t>Tolstoy's art and thought, 1847-1880 / Donna Tussing Orwin.</t>
  </si>
  <si>
    <t>7940518:eng</t>
  </si>
  <si>
    <t>26851800</t>
  </si>
  <si>
    <t>ocm26851800</t>
  </si>
  <si>
    <t>3102780076T</t>
  </si>
  <si>
    <t>9780691069913</t>
  </si>
  <si>
    <t>793253308</t>
  </si>
  <si>
    <t>PG3415 P5 T648 2014</t>
  </si>
  <si>
    <t>0                      PG 3415000P  5                  T  648         2014</t>
  </si>
  <si>
    <t>Tolstoï et la vie intellectuelle de son temps / sous la direction de Françoise Lesourd.</t>
  </si>
  <si>
    <t>Paris : Institut d'études slaves, 2015.</t>
  </si>
  <si>
    <t>Bibliothèque russe de l'Institut d'études slaves ; CXXXII. Cahiers Léon Tolstoï ; 26</t>
  </si>
  <si>
    <t>8913418325:fre</t>
  </si>
  <si>
    <t>931096876</t>
  </si>
  <si>
    <t>ocn931096876</t>
  </si>
  <si>
    <t>3103640046O</t>
  </si>
  <si>
    <t>9782720405396</t>
  </si>
  <si>
    <t>795007428</t>
  </si>
  <si>
    <t>PG3415 P55 L43 2009</t>
  </si>
  <si>
    <t>0                      PG 3415000P  55                 L  43          2009</t>
  </si>
  <si>
    <t>Slavic sins of the flesh : food, sex, and carnal appetite in nineteenth-century Russian fiction / Ronald D. LeBlanc.</t>
  </si>
  <si>
    <t>LeBlanc, Ronald Denis.</t>
  </si>
  <si>
    <t>Durham, N.H. : University of New Hampshire Press ; Hanover [N.H.] : Published by University Press of New England, ©2009.</t>
  </si>
  <si>
    <t>Becoming modern: new nineteenth-century studies</t>
  </si>
  <si>
    <t>2015-02-23</t>
  </si>
  <si>
    <t>856491778:eng</t>
  </si>
  <si>
    <t>276339419</t>
  </si>
  <si>
    <t>ocn276339419</t>
  </si>
  <si>
    <t>3103080127Y</t>
  </si>
  <si>
    <t>9781584657675</t>
  </si>
  <si>
    <t>794416471</t>
  </si>
  <si>
    <t>PG3415 P6 L42</t>
  </si>
  <si>
    <t>0                      PG 3415000P  6                  L  42</t>
  </si>
  <si>
    <t>Tolstoy between war and peace / by Wacław Lednicki.</t>
  </si>
  <si>
    <t>The Hague : Mouton &amp; Co., 1965.</t>
  </si>
  <si>
    <t>Slavistic printings and reprintings ; 52</t>
  </si>
  <si>
    <t>7442488:eng</t>
  </si>
  <si>
    <t>13285155</t>
  </si>
  <si>
    <t>ocm13285155</t>
  </si>
  <si>
    <t>3102945223L</t>
  </si>
  <si>
    <t>792847250</t>
  </si>
  <si>
    <t>PG3415 R4 B57 2009</t>
  </si>
  <si>
    <t>0                      PG 3415000R  4                  B  57          2009</t>
  </si>
  <si>
    <t>God and man according to Tolstoy / Alexander Boot.</t>
  </si>
  <si>
    <t>Boot, Alexander.</t>
  </si>
  <si>
    <t>New York : Palgrave Macmillan, 2009.</t>
  </si>
  <si>
    <t>148514164:eng</t>
  </si>
  <si>
    <t>254529144</t>
  </si>
  <si>
    <t>ocn254529144</t>
  </si>
  <si>
    <t>31030826515</t>
  </si>
  <si>
    <t>9780230615861</t>
  </si>
  <si>
    <t>794398531</t>
  </si>
  <si>
    <t>PG3415 R4 M43 2008</t>
  </si>
  <si>
    <t>0                      PG 3415000R  4                  M  43          2008</t>
  </si>
  <si>
    <t>Tolstoy and the religious culture of his time : a biography of a long conversion, 1845-1887 / Inessa Medzhibovskaya.</t>
  </si>
  <si>
    <t>Medzhibovskaya, Inessa, 1964- author.</t>
  </si>
  <si>
    <t>Lanham, MD : Lexington Books, a division of Rowman &amp; Littlefield Publishers, Inc., [2008]</t>
  </si>
  <si>
    <t>803290492:eng</t>
  </si>
  <si>
    <t>189699326</t>
  </si>
  <si>
    <t>ocn189699326</t>
  </si>
  <si>
    <t>3103499579L</t>
  </si>
  <si>
    <t>9780739140758</t>
  </si>
  <si>
    <t>794295234</t>
  </si>
  <si>
    <t>PG3415 R4 R36 2007</t>
  </si>
  <si>
    <t>0                      PG 3415000R  4                  R  36          2007</t>
  </si>
  <si>
    <t>Tolstoy's quest for God / Daniel Rancour-Laferriere.</t>
  </si>
  <si>
    <t>New Brunswick, N.J. : Transaction Publishers, ©2007.</t>
  </si>
  <si>
    <t>103069232:eng</t>
  </si>
  <si>
    <t>137331420</t>
  </si>
  <si>
    <t>ocn137331420</t>
  </si>
  <si>
    <t>31026425137</t>
  </si>
  <si>
    <t>9780765803764</t>
  </si>
  <si>
    <t>794233962</t>
  </si>
  <si>
    <t>PG3415 R4 S7</t>
  </si>
  <si>
    <t>0                      PG 3415000R  4                  S  7</t>
  </si>
  <si>
    <t>Tolstoy the ascetic [by] G.W. Spence.</t>
  </si>
  <si>
    <t>Spence, G. W. (Gordon William)</t>
  </si>
  <si>
    <t>Edinburgh, London, Oliver &amp; Boyd, 1967.</t>
  </si>
  <si>
    <t>Biography and criticism, 8</t>
  </si>
  <si>
    <t>2003-04-07</t>
  </si>
  <si>
    <t>5534187024:eng</t>
  </si>
  <si>
    <t>458165</t>
  </si>
  <si>
    <t>ocm00458165</t>
  </si>
  <si>
    <t>3102945266D</t>
  </si>
  <si>
    <t>791383750</t>
  </si>
  <si>
    <t>3102945261D</t>
  </si>
  <si>
    <t>791383751</t>
  </si>
  <si>
    <t>PG3415 S6 P68 2013</t>
  </si>
  <si>
    <t>0                      PG 3415000S  6                  P  68          2013</t>
  </si>
  <si>
    <t>Pouvoir et société chez Tolstoï / publié sous la direction de Michel Aucouturier.</t>
  </si>
  <si>
    <t>Bibliothèque russe de l'Institut d'études slaves ; CXXVII. Cahiers Léon Tolstoï ; 23</t>
  </si>
  <si>
    <t>5619387448:fre</t>
  </si>
  <si>
    <t>829062638</t>
  </si>
  <si>
    <t>ocn829062638</t>
  </si>
  <si>
    <t>3103524694Q</t>
  </si>
  <si>
    <t>9782720404993</t>
  </si>
  <si>
    <t>794942057</t>
  </si>
  <si>
    <t>PG3418 T75 A8513 1996</t>
  </si>
  <si>
    <t>0                      PG 3418000T  75                 A  8513        1996</t>
  </si>
  <si>
    <t>Antonina / Evgeniya Tur ; translated by Michael R. Katz ; introduction by Jehanne Gheith.</t>
  </si>
  <si>
    <t>Tur, Evgenii︠a︡, 1815-1892.</t>
  </si>
  <si>
    <t>3943990549:eng</t>
  </si>
  <si>
    <t>35174839</t>
  </si>
  <si>
    <t>ocm35174839</t>
  </si>
  <si>
    <t>31029452809</t>
  </si>
  <si>
    <t>9780810114074</t>
  </si>
  <si>
    <t>793446007</t>
  </si>
  <si>
    <t>PG3420 A1 1960</t>
  </si>
  <si>
    <t>0                      PG 3420000A  1           1960</t>
  </si>
  <si>
    <t>Polnoe sobranie sochineniǐ i pisem : sochineniia.</t>
  </si>
  <si>
    <t>V. 13, pt. 2, kn. 1</t>
  </si>
  <si>
    <t>Turgenev, Ivan Sergeevich, 1818-1883.</t>
  </si>
  <si>
    <t>Moskva : Izdvo Akademii nauk SSSR, 1960-1968.</t>
  </si>
  <si>
    <t>10032613291:rus</t>
  </si>
  <si>
    <t>61585991</t>
  </si>
  <si>
    <t>ocm61585991</t>
  </si>
  <si>
    <t>31004600829</t>
  </si>
  <si>
    <t>794023743</t>
  </si>
  <si>
    <t>V. 1, pt. 2</t>
  </si>
  <si>
    <t>2000-03-28</t>
  </si>
  <si>
    <t>3100460105N</t>
  </si>
  <si>
    <t>794023768</t>
  </si>
  <si>
    <t>V. 3, pt. 2</t>
  </si>
  <si>
    <t>31001416881</t>
  </si>
  <si>
    <t>794023764</t>
  </si>
  <si>
    <t>V. 7, pt. 2</t>
  </si>
  <si>
    <t>3100460113O</t>
  </si>
  <si>
    <t>794023786</t>
  </si>
  <si>
    <t>V. 9, pt. 2</t>
  </si>
  <si>
    <t>31004601299</t>
  </si>
  <si>
    <t>794023782</t>
  </si>
  <si>
    <t>V. 6, pt. 1</t>
  </si>
  <si>
    <t>3100460116I</t>
  </si>
  <si>
    <t>794023759</t>
  </si>
  <si>
    <t>3100811853I</t>
  </si>
  <si>
    <t>794023798</t>
  </si>
  <si>
    <t>V. 12, pt. 1</t>
  </si>
  <si>
    <t>2001-11-02</t>
  </si>
  <si>
    <t>31004600861</t>
  </si>
  <si>
    <t>794023777</t>
  </si>
  <si>
    <t>3100141683B</t>
  </si>
  <si>
    <t>794023789</t>
  </si>
  <si>
    <t>V. 12, pt. 2, kn. 1</t>
  </si>
  <si>
    <t>3100222369H</t>
  </si>
  <si>
    <t>794023746</t>
  </si>
  <si>
    <t>3100222368J</t>
  </si>
  <si>
    <t>794023747</t>
  </si>
  <si>
    <t>V. 8, pt. 1</t>
  </si>
  <si>
    <t>3100222361X</t>
  </si>
  <si>
    <t>794023785</t>
  </si>
  <si>
    <t>V. 12, pt. 2, kn. 2</t>
  </si>
  <si>
    <t>3100222379E</t>
  </si>
  <si>
    <t>794023745</t>
  </si>
  <si>
    <t>V. 5, pt. 2</t>
  </si>
  <si>
    <t>31001416849</t>
  </si>
  <si>
    <t>794023760</t>
  </si>
  <si>
    <t>V. 11, pt. 1</t>
  </si>
  <si>
    <t>2011-02-15</t>
  </si>
  <si>
    <t>3100222366N</t>
  </si>
  <si>
    <t>794023779</t>
  </si>
  <si>
    <t>V. 13, pt. 2, kn. 2</t>
  </si>
  <si>
    <t>3100460081B</t>
  </si>
  <si>
    <t>794023772</t>
  </si>
  <si>
    <t>V. 9, pt. 1</t>
  </si>
  <si>
    <t>2012-08-01</t>
  </si>
  <si>
    <t>3100222364R</t>
  </si>
  <si>
    <t>794023783</t>
  </si>
  <si>
    <t>V. 3, pt. 1</t>
  </si>
  <si>
    <t>2010-09-21</t>
  </si>
  <si>
    <t>3100141689$</t>
  </si>
  <si>
    <t>794023795</t>
  </si>
  <si>
    <t>V. 5, pt. 1</t>
  </si>
  <si>
    <t>3100460118E</t>
  </si>
  <si>
    <t>794023791</t>
  </si>
  <si>
    <t>V. 1, pt. 1</t>
  </si>
  <si>
    <t>3100811835K</t>
  </si>
  <si>
    <t>794023769</t>
  </si>
  <si>
    <t>V. 6, pt. 2</t>
  </si>
  <si>
    <t>2005-11-24</t>
  </si>
  <si>
    <t>3100460115K</t>
  </si>
  <si>
    <t>794023788</t>
  </si>
  <si>
    <t>V. 7, pt. 1</t>
  </si>
  <si>
    <t>3100460114M</t>
  </si>
  <si>
    <t>794023787</t>
  </si>
  <si>
    <t>V. 4, pt. 2</t>
  </si>
  <si>
    <t>3100460119C</t>
  </si>
  <si>
    <t>794023762</t>
  </si>
  <si>
    <t>3100222374O</t>
  </si>
  <si>
    <t>794023770</t>
  </si>
  <si>
    <t>3100222360Z</t>
  </si>
  <si>
    <t>794023756</t>
  </si>
  <si>
    <t>V. 13, pt.1</t>
  </si>
  <si>
    <t>2009-07-29</t>
  </si>
  <si>
    <t>3100222378G</t>
  </si>
  <si>
    <t>794023774</t>
  </si>
  <si>
    <t>3100222375M</t>
  </si>
  <si>
    <t>794023741</t>
  </si>
  <si>
    <t>3100222363T</t>
  </si>
  <si>
    <t>794023752</t>
  </si>
  <si>
    <t>2016-05-02</t>
  </si>
  <si>
    <t>3100460112Q</t>
  </si>
  <si>
    <t>794023755</t>
  </si>
  <si>
    <t>V. 2, pt. 1</t>
  </si>
  <si>
    <t>31001416962</t>
  </si>
  <si>
    <t>794023767</t>
  </si>
  <si>
    <t>V. 4, pt. 1</t>
  </si>
  <si>
    <t>31001416865</t>
  </si>
  <si>
    <t>794023763</t>
  </si>
  <si>
    <t>3100460126F</t>
  </si>
  <si>
    <t>794023749</t>
  </si>
  <si>
    <t>3000552143E</t>
  </si>
  <si>
    <t>794023799</t>
  </si>
  <si>
    <t>31004600853</t>
  </si>
  <si>
    <t>794023776</t>
  </si>
  <si>
    <t>3100222376K</t>
  </si>
  <si>
    <t>794023742</t>
  </si>
  <si>
    <t>3100460117G</t>
  </si>
  <si>
    <t>794023790</t>
  </si>
  <si>
    <t>V.3;pt.1</t>
  </si>
  <si>
    <t>2013-12-02</t>
  </si>
  <si>
    <t>3100460108H</t>
  </si>
  <si>
    <t>794023765</t>
  </si>
  <si>
    <t>V. 10, pt. 2</t>
  </si>
  <si>
    <t>3100222365P</t>
  </si>
  <si>
    <t>794023750</t>
  </si>
  <si>
    <t>3100141681F</t>
  </si>
  <si>
    <t>794023757</t>
  </si>
  <si>
    <t>3100222377I</t>
  </si>
  <si>
    <t>794023773</t>
  </si>
  <si>
    <t>V. 2, pt. 2</t>
  </si>
  <si>
    <t>31001416954</t>
  </si>
  <si>
    <t>794023796</t>
  </si>
  <si>
    <t>3100460107J</t>
  </si>
  <si>
    <t>794023766</t>
  </si>
  <si>
    <t>2000-01-25</t>
  </si>
  <si>
    <t>3100460080D</t>
  </si>
  <si>
    <t>794023771</t>
  </si>
  <si>
    <t>3100460127D</t>
  </si>
  <si>
    <t>794023780</t>
  </si>
  <si>
    <t>V. 13, pt. 1</t>
  </si>
  <si>
    <t>31004600837</t>
  </si>
  <si>
    <t>794023744</t>
  </si>
  <si>
    <t>V. 8, pt. 2</t>
  </si>
  <si>
    <t>3100460111S</t>
  </si>
  <si>
    <t>794023784</t>
  </si>
  <si>
    <t>3100222362V</t>
  </si>
  <si>
    <t>794023754</t>
  </si>
  <si>
    <t>3100460109F</t>
  </si>
  <si>
    <t>794023794</t>
  </si>
  <si>
    <t>3100460110U</t>
  </si>
  <si>
    <t>794023753</t>
  </si>
  <si>
    <t>31001416873</t>
  </si>
  <si>
    <t>794023792</t>
  </si>
  <si>
    <t>31001416857</t>
  </si>
  <si>
    <t>794023761</t>
  </si>
  <si>
    <t>31004600845</t>
  </si>
  <si>
    <t>794023775</t>
  </si>
  <si>
    <t>2009-07-27</t>
  </si>
  <si>
    <t>3100460090A</t>
  </si>
  <si>
    <t>794023740</t>
  </si>
  <si>
    <t>V. 10, pt. 1</t>
  </si>
  <si>
    <t>2012-04-26</t>
  </si>
  <si>
    <t>3100460128B</t>
  </si>
  <si>
    <t>794023781</t>
  </si>
  <si>
    <t>V. 4, PT. 1</t>
  </si>
  <si>
    <t>2009-09-23</t>
  </si>
  <si>
    <t>31030056252</t>
  </si>
  <si>
    <t>794023793</t>
  </si>
  <si>
    <t>V. 11, pt. 2</t>
  </si>
  <si>
    <t>3100222367L</t>
  </si>
  <si>
    <t>794023778</t>
  </si>
  <si>
    <t>v. 10, pt. 1</t>
  </si>
  <si>
    <t>31005713698</t>
  </si>
  <si>
    <t>794023751</t>
  </si>
  <si>
    <t>v. 11, pt. 2</t>
  </si>
  <si>
    <t>3100417706T</t>
  </si>
  <si>
    <t>794023748</t>
  </si>
  <si>
    <t>3100460106L</t>
  </si>
  <si>
    <t>794023797</t>
  </si>
  <si>
    <t>3100141682D</t>
  </si>
  <si>
    <t>794023758</t>
  </si>
  <si>
    <t>PG3420 A2 D48 1968</t>
  </si>
  <si>
    <t>0                      PG 3420000A  2                  D  48          1968</t>
  </si>
  <si>
    <t>Rudin : Asi︠a︡ ; Dvori︠a︡nskoe gnezdo ; Nakanune ; Ott︠s︡y i deti ; Zapiski okhotnika ; Stikhotvorenii︠a︡ v proze ; Iz kriticheskogo nasledii︠a︡ / I.S. Turgenev ; [Sost. A.A. Develʹ].</t>
  </si>
  <si>
    <t>Leningrad : Lenizdat, 1975.</t>
  </si>
  <si>
    <t>2018-01-29</t>
  </si>
  <si>
    <t>3901132115:rus</t>
  </si>
  <si>
    <t>1842111</t>
  </si>
  <si>
    <t>ocm01842111</t>
  </si>
  <si>
    <t>3102945361A</t>
  </si>
  <si>
    <t>791997674</t>
  </si>
  <si>
    <t>PG3420 A7 1961</t>
  </si>
  <si>
    <t>0                      PG 3420000A  7           1961</t>
  </si>
  <si>
    <t>Asya / by Ivan Turgenev.</t>
  </si>
  <si>
    <t>N.Y. : [publisher not identified], [1961]</t>
  </si>
  <si>
    <t>An accented ed., with biography and glossary / by Lydia Savitakaya.</t>
  </si>
  <si>
    <t>4535804821:rus</t>
  </si>
  <si>
    <t>427264064</t>
  </si>
  <si>
    <t>ocn427264064</t>
  </si>
  <si>
    <t>3102945262D</t>
  </si>
  <si>
    <t>794555569</t>
  </si>
  <si>
    <t>PG3420 M8 1963</t>
  </si>
  <si>
    <t>0                      PG 3420000M  8           1963</t>
  </si>
  <si>
    <t>Mumu / I.S. Turgenev = Mumu / I.S. Turgenev ; with an introduction, notes, and vocabulary by J.Y. Muckle.</t>
  </si>
  <si>
    <t>Letchworth, Hertfordshire : Bradda Books [1963]</t>
  </si>
  <si>
    <t>10075861545:rus</t>
  </si>
  <si>
    <t>259094</t>
  </si>
  <si>
    <t>ocm00259094</t>
  </si>
  <si>
    <t>3103251138V</t>
  </si>
  <si>
    <t>9780900186738</t>
  </si>
  <si>
    <t>791313042</t>
  </si>
  <si>
    <t>PG3420 O8 1970b</t>
  </si>
  <si>
    <t>0                      PG 3420000O  8           1970b</t>
  </si>
  <si>
    <t>Ott︠s︡y i deti = Fathers and sons / I.S. Turgenev ; edited with an introduction, notes and vocabulary by Jack S. Posin.</t>
  </si>
  <si>
    <t>Letchworth : Bradda, 1970.</t>
  </si>
  <si>
    <t>The library of Russian classics</t>
  </si>
  <si>
    <t>4494933194:rus</t>
  </si>
  <si>
    <t>2631655</t>
  </si>
  <si>
    <t>ocm02631655</t>
  </si>
  <si>
    <t>3102945272B</t>
  </si>
  <si>
    <t>9780900186189</t>
  </si>
  <si>
    <t>792155401</t>
  </si>
  <si>
    <t>PG3420 O8 2000</t>
  </si>
  <si>
    <t>0                      PG 3420000O  8           2000</t>
  </si>
  <si>
    <t>Ott︠s︡y i deti / I.S. Turgenev ; podgotovka tekstov I.S. Turgeneva, statʹi︠a︡ i kommentarii, A.I. Bati︠u︡to.</t>
  </si>
  <si>
    <t>S. Peterburg : Gumanitarnoe agentstvo "Akademicheskii proekt", 2000.</t>
  </si>
  <si>
    <t>Russkai︠a︡ klassika s kommentarii︠a︡mi</t>
  </si>
  <si>
    <t>2018-11-28</t>
  </si>
  <si>
    <t>44655978</t>
  </si>
  <si>
    <t>ocm44655978</t>
  </si>
  <si>
    <t>3102945267D</t>
  </si>
  <si>
    <t>9785733100937</t>
  </si>
  <si>
    <t>793655196</t>
  </si>
  <si>
    <t>PG3420 O83 B4 1973</t>
  </si>
  <si>
    <t>0                      PG 3420000O  83                 B  4           1973</t>
  </si>
  <si>
    <t>Fathers and children; the Romanes lecture delivered in the Sheldonian Theatre 12 November 1970.</t>
  </si>
  <si>
    <t>Oxford, Clarendon Press [1973, ©1972]</t>
  </si>
  <si>
    <t>[Reprinted with corrections].</t>
  </si>
  <si>
    <t>The Romanes lecture, 1970</t>
  </si>
  <si>
    <t>2015-04-06</t>
  </si>
  <si>
    <t>906899337:eng</t>
  </si>
  <si>
    <t>1227237</t>
  </si>
  <si>
    <t>ocm01227237</t>
  </si>
  <si>
    <t>31033491220</t>
  </si>
  <si>
    <t>791577954</t>
  </si>
  <si>
    <t>PG3420 O83 L68 1983</t>
  </si>
  <si>
    <t>0                      PG 3420000O  83                 L  68          1983</t>
  </si>
  <si>
    <t>Turgenev's Fathers and sons / David Lowe.</t>
  </si>
  <si>
    <t>Lowe, David Allan, 1948-2011.</t>
  </si>
  <si>
    <t>Ann Arbor, Mich. : Ardis, ©1983.</t>
  </si>
  <si>
    <t>14368894:eng</t>
  </si>
  <si>
    <t>6487596</t>
  </si>
  <si>
    <t>ocm06487596</t>
  </si>
  <si>
    <t>3102945249H</t>
  </si>
  <si>
    <t>9780882336930</t>
  </si>
  <si>
    <t>792502797</t>
  </si>
  <si>
    <t>PG3420 O83 W37 1993</t>
  </si>
  <si>
    <t>0                      PG 3420000O  83                 W  37          1993</t>
  </si>
  <si>
    <t>Fathers and sons : Russia at the cross-roads / Edward Wasiolek.</t>
  </si>
  <si>
    <t>New York : Twayne Publishers, ©1993.</t>
  </si>
  <si>
    <t>Twayne's masterwork studies ; no. 101</t>
  </si>
  <si>
    <t>352523:eng</t>
  </si>
  <si>
    <t>27976885</t>
  </si>
  <si>
    <t>ocm27976885</t>
  </si>
  <si>
    <t>3102945264D</t>
  </si>
  <si>
    <t>9780805794458</t>
  </si>
  <si>
    <t>793276818</t>
  </si>
  <si>
    <t>PG3420 O83 W66 1996</t>
  </si>
  <si>
    <t>0                      PG 3420000O  83                 W  66          1996</t>
  </si>
  <si>
    <t>Turgenev's Fathers and sons / James Woodward.</t>
  </si>
  <si>
    <t>London : Bristol Classical Press ; Newburyport, MA : Focus Information Group, 1996.</t>
  </si>
  <si>
    <t>40823082:eng</t>
  </si>
  <si>
    <t>35240740</t>
  </si>
  <si>
    <t>ocm35240740</t>
  </si>
  <si>
    <t>3103249763H</t>
  </si>
  <si>
    <t>9781853993916</t>
  </si>
  <si>
    <t>793447619</t>
  </si>
  <si>
    <t>PG3420 R8 1962</t>
  </si>
  <si>
    <t>0                      PG 3420000R  8           1962</t>
  </si>
  <si>
    <t>Rudin / Ivan Turgenev. Edited with an introd. by Galina Stilman.</t>
  </si>
  <si>
    <t>New York, Columbia University Press [1962]</t>
  </si>
  <si>
    <t>4820333342:rus</t>
  </si>
  <si>
    <t>18850838</t>
  </si>
  <si>
    <t>ocm18850838</t>
  </si>
  <si>
    <t>3102945279B</t>
  </si>
  <si>
    <t>793039280</t>
  </si>
  <si>
    <t>PG3420 Z3 1965</t>
  </si>
  <si>
    <t>0                      PG 3420000Z  3           1965</t>
  </si>
  <si>
    <t>Zapiski okhotnika = A sportsman's sketches / I.S. Turgenev ; introd. by W. Harrison.</t>
  </si>
  <si>
    <t>Letchworth, Eng. : Bradda Books, 1965.</t>
  </si>
  <si>
    <t>2863405948:rus</t>
  </si>
  <si>
    <t>4953640</t>
  </si>
  <si>
    <t>ocm04953640</t>
  </si>
  <si>
    <t>31029452907</t>
  </si>
  <si>
    <t>792396419</t>
  </si>
  <si>
    <t>PG3420 Z3 1968</t>
  </si>
  <si>
    <t>0                      PG 3420000Z  3           1968</t>
  </si>
  <si>
    <t>Zapiski okhotnika / I.S. Turgenev ; risunki, B. Dekhterëva.</t>
  </si>
  <si>
    <t>Moskva : Izd-vo "Detskai︠a︡ lit-ra", 1968.</t>
  </si>
  <si>
    <t>Shkolʹnai︠a︡ biblioteka dli︠a︡ nerusskikh shkol</t>
  </si>
  <si>
    <t>10508738</t>
  </si>
  <si>
    <t>ocm10508738</t>
  </si>
  <si>
    <t>31029452859</t>
  </si>
  <si>
    <t>792729815</t>
  </si>
  <si>
    <t>PG3421 A13 2012</t>
  </si>
  <si>
    <t>0                      PG 3421000A  13          2012</t>
  </si>
  <si>
    <t>Faust / Ivan Turgenev ; translated by Hugh Aplin.</t>
  </si>
  <si>
    <t>Richmond : Oneworld Classics, 2012.</t>
  </si>
  <si>
    <t>2019-09-22</t>
  </si>
  <si>
    <t>4922561833:eng</t>
  </si>
  <si>
    <t>760291816</t>
  </si>
  <si>
    <t>ocn760291816</t>
  </si>
  <si>
    <t>3103498674M</t>
  </si>
  <si>
    <t>9781847492180</t>
  </si>
  <si>
    <t>794898542</t>
  </si>
  <si>
    <t>PG3421 A2 A45 1994</t>
  </si>
  <si>
    <t>0                      PG 3421000A  2                  A  45          1994</t>
  </si>
  <si>
    <t>The essential Turgenev / Ivan Sergeevich Turgenev ; edited and with an introduction by Elizabeth Cheresh Allen.</t>
  </si>
  <si>
    <t>232750134:eng</t>
  </si>
  <si>
    <t>29909251</t>
  </si>
  <si>
    <t>ocm29909251</t>
  </si>
  <si>
    <t>31029453758</t>
  </si>
  <si>
    <t>9780810110601</t>
  </si>
  <si>
    <t>793323503</t>
  </si>
  <si>
    <t>PG3421 A2 G37 1919</t>
  </si>
  <si>
    <t>0                      PG 3421000A  2                  G  37          1919</t>
  </si>
  <si>
    <t>The Jew : etc. / Ivan Turgenev ; translated from the Russian by Constance Garnett.</t>
  </si>
  <si>
    <t>London : W. Heinemann, 1919.</t>
  </si>
  <si>
    <t>Large type fine-paper ed.</t>
  </si>
  <si>
    <t>The novels of Ivan Turgenev ; 15</t>
  </si>
  <si>
    <t>2015-01-29</t>
  </si>
  <si>
    <t>1806436314:eng</t>
  </si>
  <si>
    <t>72678357</t>
  </si>
  <si>
    <t>ocm72678357</t>
  </si>
  <si>
    <t>3102945340E</t>
  </si>
  <si>
    <t>794170253</t>
  </si>
  <si>
    <t>PG3421 A25 S74x</t>
  </si>
  <si>
    <t>0                      PG 3421000A  25                 S  74x</t>
  </si>
  <si>
    <t>The Vintage Turgenev / translated from the Russian by Harry Stevens.</t>
  </si>
  <si>
    <t>New York : Vintage Books, 1960 [©1950]</t>
  </si>
  <si>
    <t>Vintage Russian library ; V-711--V-712</t>
  </si>
  <si>
    <t>196501860:eng</t>
  </si>
  <si>
    <t>1172057</t>
  </si>
  <si>
    <t>ocm01172057</t>
  </si>
  <si>
    <t>31029453748</t>
  </si>
  <si>
    <t>791564485</t>
  </si>
  <si>
    <t>2003-11-02</t>
  </si>
  <si>
    <t>31029453708</t>
  </si>
  <si>
    <t>791564484</t>
  </si>
  <si>
    <t>PG3421 D58 1984</t>
  </si>
  <si>
    <t>0                      PG 3421000D  58          1984</t>
  </si>
  <si>
    <t>Diary of a superfluous man / Ivan Turgenev ; translation and introduction by David Patterson.</t>
  </si>
  <si>
    <t>New York, N.Y. : W.W. Norton, ©1984.</t>
  </si>
  <si>
    <t>2017-12-13</t>
  </si>
  <si>
    <t>4924889871:eng</t>
  </si>
  <si>
    <t>10145249</t>
  </si>
  <si>
    <t>ocm10145249</t>
  </si>
  <si>
    <t>3103249715R</t>
  </si>
  <si>
    <t>9780393018622</t>
  </si>
  <si>
    <t>792711144</t>
  </si>
  <si>
    <t>PG3421 D5813 1913</t>
  </si>
  <si>
    <t>0                      PG 3421000D  5813        1913</t>
  </si>
  <si>
    <t>The diary of a superfluous man, etc. / by Ivan Turgenev ; translated from the Russian by Constance Garnett.</t>
  </si>
  <si>
    <t>London : W. Heinemann, 1913.</t>
  </si>
  <si>
    <t>Novels of Ivan Turgenev; 13</t>
  </si>
  <si>
    <t>2017-06-16</t>
  </si>
  <si>
    <t>8909788854:eng</t>
  </si>
  <si>
    <t>5063657</t>
  </si>
  <si>
    <t>ocm05063657</t>
  </si>
  <si>
    <t>3102945350C</t>
  </si>
  <si>
    <t>792404971</t>
  </si>
  <si>
    <t>PG3421 D8 1970</t>
  </si>
  <si>
    <t>0                      PG 3421000D  8           1970</t>
  </si>
  <si>
    <t>Home of the gentry. Translated by Richard Freeborn.</t>
  </si>
  <si>
    <t>Baltimore, Penguin Books [1970]</t>
  </si>
  <si>
    <t>4494928132:eng</t>
  </si>
  <si>
    <t>88687</t>
  </si>
  <si>
    <t>ocm00088687</t>
  </si>
  <si>
    <t>3102945360A</t>
  </si>
  <si>
    <t>9780140442243</t>
  </si>
  <si>
    <t>791251412</t>
  </si>
  <si>
    <t>PG3421 D913 1930</t>
  </si>
  <si>
    <t>0                      PG 3421000D  913         1930</t>
  </si>
  <si>
    <t>Smoke / by Ivan Turgenev.</t>
  </si>
  <si>
    <t>London : W. Heinemann, 1928, t.p.1930.</t>
  </si>
  <si>
    <t>The travellers' library</t>
  </si>
  <si>
    <t>9906723050:eng</t>
  </si>
  <si>
    <t>4848261</t>
  </si>
  <si>
    <t>ocm04848261</t>
  </si>
  <si>
    <t>3102945343E</t>
  </si>
  <si>
    <t>792388175</t>
  </si>
  <si>
    <t>PG3421 M4 N45 2014</t>
  </si>
  <si>
    <t>0                      PG 3421000M  4                  N  45          2014</t>
  </si>
  <si>
    <t>A month in the country : a comedy in five acts / Ivan Turgenev ; translated from the Russian by Richard Nelson, Richard Pevear and Larissa Volokhonsky.</t>
  </si>
  <si>
    <t>Turgenev, Ivan Sergeevich, 1818-1883, author.</t>
  </si>
  <si>
    <t>New York : Theatre Communications Group, 2014.</t>
  </si>
  <si>
    <t>TCG's classic Russian drama series</t>
  </si>
  <si>
    <t>2019-06-12</t>
  </si>
  <si>
    <t>8913301996:eng</t>
  </si>
  <si>
    <t>896359218</t>
  </si>
  <si>
    <t>ocn896359218</t>
  </si>
  <si>
    <t>31036126808</t>
  </si>
  <si>
    <t>9781559364676</t>
  </si>
  <si>
    <t>794983886</t>
  </si>
  <si>
    <t>PG3421 N3 1950</t>
  </si>
  <si>
    <t>0                      PG 3421000N  3           1950</t>
  </si>
  <si>
    <t>On the eve / by I.S. Turgenev ; translated by Gilbert Gardiner.</t>
  </si>
  <si>
    <t>London : Penguin Books, 1950.</t>
  </si>
  <si>
    <t>Penguin classics L9</t>
  </si>
  <si>
    <t>4757641399:eng</t>
  </si>
  <si>
    <t>317427357</t>
  </si>
  <si>
    <t>ocn317427357</t>
  </si>
  <si>
    <t>3102945338G</t>
  </si>
  <si>
    <t>9780140440096</t>
  </si>
  <si>
    <t>794453428</t>
  </si>
  <si>
    <t>PG3421 O8 1920</t>
  </si>
  <si>
    <t>0                      PG 3421000O  8           1920</t>
  </si>
  <si>
    <t>Fathers and sons / by Ivan S. Turgenev ; translated by Constance Garnett ; introd. by Thomas Seltzer.</t>
  </si>
  <si>
    <t>New York : The Modern Library, [1920?]</t>
  </si>
  <si>
    <t>1920</t>
  </si>
  <si>
    <t>4494933194:eng</t>
  </si>
  <si>
    <t>427389370</t>
  </si>
  <si>
    <t>ocn427389370</t>
  </si>
  <si>
    <t>3102945362A</t>
  </si>
  <si>
    <t>794649173</t>
  </si>
  <si>
    <t>PG3421 O8 1962</t>
  </si>
  <si>
    <t>0                      PG 3421000O  8           1962</t>
  </si>
  <si>
    <t>Fathers and children / Translated by Avril Pyman, introduction by Nikolay Andreyev.</t>
  </si>
  <si>
    <t>London, J.M. Dent; New York, Dutton [1962]</t>
  </si>
  <si>
    <t>Everyman's library, 742. Fiction</t>
  </si>
  <si>
    <t>8907022493:eng</t>
  </si>
  <si>
    <t>1033611</t>
  </si>
  <si>
    <t>ocm01033611</t>
  </si>
  <si>
    <t>3102945357C</t>
  </si>
  <si>
    <t>791529559</t>
  </si>
  <si>
    <t>PG3421 O8 1966</t>
  </si>
  <si>
    <t>0                      PG 3421000O  8           1966</t>
  </si>
  <si>
    <t>Fathers and sons : the author on the novel, contemporary reactions, essays in criticism / Ivan Turgenev ; edited, with a substantially new translation, by Ralph E. Matlaw.</t>
  </si>
  <si>
    <t>New York : W.W. Norton &amp; Company, Inc., [1966]</t>
  </si>
  <si>
    <t>Norton critical editions</t>
  </si>
  <si>
    <t>2013-01-16</t>
  </si>
  <si>
    <t>2015-01-10</t>
  </si>
  <si>
    <t>711805</t>
  </si>
  <si>
    <t>ocm00711805</t>
  </si>
  <si>
    <t>3102945353C</t>
  </si>
  <si>
    <t>9780393042856</t>
  </si>
  <si>
    <t>791452713</t>
  </si>
  <si>
    <t>3102945363A</t>
  </si>
  <si>
    <t>791452714</t>
  </si>
  <si>
    <t>PG3421 O813 2009</t>
  </si>
  <si>
    <t>0                      PG 3421000O  813         2009</t>
  </si>
  <si>
    <t>Fathers and children / Ivan Turgenev ; translated and edited by Michael R. Katz.</t>
  </si>
  <si>
    <t>New York : W.W. Norton, ©2009.</t>
  </si>
  <si>
    <t>217263837</t>
  </si>
  <si>
    <t>ocn217263837</t>
  </si>
  <si>
    <t>3103079686D</t>
  </si>
  <si>
    <t>9780393927979</t>
  </si>
  <si>
    <t>794316355</t>
  </si>
  <si>
    <t>31038670630</t>
  </si>
  <si>
    <t>794316354</t>
  </si>
  <si>
    <t>PG3421 O813 2009b</t>
  </si>
  <si>
    <t>0                      PG 3421000O  813         2009b</t>
  </si>
  <si>
    <t>Fathers and sons / Ivan Turgenev ; translated by Peter Carson, with an introduction by Rosamund Bartlett and an afterword by Tatyana Tolstaya.</t>
  </si>
  <si>
    <t>318411308</t>
  </si>
  <si>
    <t>ocn318411308</t>
  </si>
  <si>
    <t>3102860076X</t>
  </si>
  <si>
    <t>9780141441337</t>
  </si>
  <si>
    <t>794481603</t>
  </si>
  <si>
    <t>PG3421 O813 2010</t>
  </si>
  <si>
    <t>0                      PG 3421000O  813         2010</t>
  </si>
  <si>
    <t>Fathers and children / Ivan Turgenev ; translated by Michael Pursglove.</t>
  </si>
  <si>
    <t>Richmond : Oneworld Classics, ©2010.</t>
  </si>
  <si>
    <t>5508714707:eng</t>
  </si>
  <si>
    <t>489636459</t>
  </si>
  <si>
    <t>ocn489636459</t>
  </si>
  <si>
    <t>31034096171</t>
  </si>
  <si>
    <t>9781847491459</t>
  </si>
  <si>
    <t>794800370</t>
  </si>
  <si>
    <t>PG3421 R8 2012</t>
  </si>
  <si>
    <t>0                      PG 3421000R  8           2012</t>
  </si>
  <si>
    <t>Rudin / Ivan Turgenev ; translated by Dora O' Brien.</t>
  </si>
  <si>
    <t>Richmond, Surrey, United Kingdom : Alma Classics, 2012.</t>
  </si>
  <si>
    <t>4820333342:eng</t>
  </si>
  <si>
    <t>806438727</t>
  </si>
  <si>
    <t>ocn806438727</t>
  </si>
  <si>
    <t>3103432060M</t>
  </si>
  <si>
    <t>9781847492265</t>
  </si>
  <si>
    <t>794926963</t>
  </si>
  <si>
    <t>PG3421 S8 S4 1951</t>
  </si>
  <si>
    <t>0                      PG 3421000S  8                  S  4           1951</t>
  </si>
  <si>
    <t>Poems in prose in Russian and English. Edited from the original MS. with introduction by André Mazon. English translation by Constance Garnett and Roger Rees.</t>
  </si>
  <si>
    <t>Oxford, B. Blackwell, 1951.</t>
  </si>
  <si>
    <t>346845926:eng</t>
  </si>
  <si>
    <t>2942698</t>
  </si>
  <si>
    <t>ocm02942698</t>
  </si>
  <si>
    <t>3102945367A</t>
  </si>
  <si>
    <t>792196825</t>
  </si>
  <si>
    <t>PG3421 Z3 1906</t>
  </si>
  <si>
    <t>0                      PG 3421000Z  3           1906</t>
  </si>
  <si>
    <t>A sportsman's sketches. Translated from the Russian by Constance Garnett.</t>
  </si>
  <si>
    <t>New York, Macmillan; London, Wm. Heinemann, 1906.</t>
  </si>
  <si>
    <t>1906</t>
  </si>
  <si>
    <t>The novels of Ivan Turgenev, illustrated ed., v. 8-9</t>
  </si>
  <si>
    <t>2019-02-20</t>
  </si>
  <si>
    <t>2863405948:eng</t>
  </si>
  <si>
    <t>681615</t>
  </si>
  <si>
    <t>ocm00681615</t>
  </si>
  <si>
    <t>3102945406J</t>
  </si>
  <si>
    <t>9780404019082</t>
  </si>
  <si>
    <t>791444926</t>
  </si>
  <si>
    <t>A sportsman's sketches / by Ivan Turganev ; translated from the Russian by Constance Garnett ...</t>
  </si>
  <si>
    <t>London : William Heinemann, 1895.</t>
  </si>
  <si>
    <t>The novels of Ivan Turgenev ; v. 8-9</t>
  </si>
  <si>
    <t>2018-02-14</t>
  </si>
  <si>
    <t>23067639</t>
  </si>
  <si>
    <t>ocm23067639</t>
  </si>
  <si>
    <t>3102792982O</t>
  </si>
  <si>
    <t>793160743</t>
  </si>
  <si>
    <t>3102945405J</t>
  </si>
  <si>
    <t>791444925</t>
  </si>
  <si>
    <t>31030763661</t>
  </si>
  <si>
    <t>793160744</t>
  </si>
  <si>
    <t>PG3421 Z3 1990</t>
  </si>
  <si>
    <t>0                      PG 3421000Z  3           1990</t>
  </si>
  <si>
    <t>Sketches from a hunter's album / Ivan Turgenev ; translated with an introduction and notes by Richard Freeborn.</t>
  </si>
  <si>
    <t>London, England ; New York, N.Y., USA : Penguin Books, 1990.</t>
  </si>
  <si>
    <t>22736825</t>
  </si>
  <si>
    <t>ocm22736825</t>
  </si>
  <si>
    <t>31028912994</t>
  </si>
  <si>
    <t>9780140445220</t>
  </si>
  <si>
    <t>793152577</t>
  </si>
  <si>
    <t>PG3422 A13 1981</t>
  </si>
  <si>
    <t>0                      PG 3422000A  13          1981</t>
  </si>
  <si>
    <t>Romans et nouvelles complets / Tourguéniev ; textes traduits par Françoise Flamant, Henri Mongault et Edith Scherrer.</t>
  </si>
  <si>
    <t>[Paris] : Gallimard, ©1981-©1986.</t>
  </si>
  <si>
    <t>Bibliothèque de la Pléiade ; 289, 297, 326</t>
  </si>
  <si>
    <t>471395816:fre</t>
  </si>
  <si>
    <t>7973179</t>
  </si>
  <si>
    <t>ocm07973179</t>
  </si>
  <si>
    <t>3102945421F</t>
  </si>
  <si>
    <t>9782070110995</t>
  </si>
  <si>
    <t>792590325</t>
  </si>
  <si>
    <t>3102945420F</t>
  </si>
  <si>
    <t>792590326</t>
  </si>
  <si>
    <t>2008-11-21</t>
  </si>
  <si>
    <t>3102945426F</t>
  </si>
  <si>
    <t>792590324</t>
  </si>
  <si>
    <t>PG3428.5 T858 vyp.3</t>
  </si>
  <si>
    <t>0                      PG 3428500T  858                                                     vyp.3</t>
  </si>
  <si>
    <t>Ivan Turgenev i Frant︠s︡ii︠a︡ : sbornik stateĭ / Aleksandr Zvigilʹskiĭ.</t>
  </si>
  <si>
    <t>Zviguilsky, Alexandre.</t>
  </si>
  <si>
    <t>Izd. 2-e.</t>
  </si>
  <si>
    <t>Turgenevskie chtenii︠a︡ ; 3</t>
  </si>
  <si>
    <t>5618308040:rus</t>
  </si>
  <si>
    <t>729686639</t>
  </si>
  <si>
    <t>ocn729686639</t>
  </si>
  <si>
    <t>3103373174$</t>
  </si>
  <si>
    <t>9785858873655</t>
  </si>
  <si>
    <t>794879571</t>
  </si>
  <si>
    <t>PG3431 L5 E5 1959</t>
  </si>
  <si>
    <t>0                      PG 3431000L  5                  E  5           1959</t>
  </si>
  <si>
    <t>Literary reminiscences and autobiographical fragments / Ivan Turgenev ; translated with an introduction by David Magarshack ; and an essay on Turgenev by Edmund Wilson.</t>
  </si>
  <si>
    <t>New York : Grove Press, 1959, ©1958.</t>
  </si>
  <si>
    <t>1st Evergreen ed.</t>
  </si>
  <si>
    <t>1086228:eng</t>
  </si>
  <si>
    <t>3296743</t>
  </si>
  <si>
    <t>ocm03296743</t>
  </si>
  <si>
    <t>3101224273C</t>
  </si>
  <si>
    <t>792240096</t>
  </si>
  <si>
    <t>PG3432 1971</t>
  </si>
  <si>
    <t>0                      PG 3432000               1971</t>
  </si>
  <si>
    <t>Nouvelle correspondance inédite Textes recueillis annotes et precedes d'une introduction par Alexandre Zviguilsky.</t>
  </si>
  <si>
    <t>Paris : Librairie des cinq continents, 1971-</t>
  </si>
  <si>
    <t>Collection les inedits russes, 5, 6,</t>
  </si>
  <si>
    <t>2019-04-11</t>
  </si>
  <si>
    <t>257224091:fre</t>
  </si>
  <si>
    <t>150437730</t>
  </si>
  <si>
    <t>ocn150437730</t>
  </si>
  <si>
    <t>3000610383L</t>
  </si>
  <si>
    <t>794241928</t>
  </si>
  <si>
    <t>3100460089W</t>
  </si>
  <si>
    <t>794241927</t>
  </si>
  <si>
    <t>PG3432 1983</t>
  </si>
  <si>
    <t>0                      PG 3432000               1983</t>
  </si>
  <si>
    <t>Letters / Ivan Turgenev ; edited and translated by David Lowe.</t>
  </si>
  <si>
    <t>232153635:eng</t>
  </si>
  <si>
    <t>8866305</t>
  </si>
  <si>
    <t>ocm08866305</t>
  </si>
  <si>
    <t>3102798072T</t>
  </si>
  <si>
    <t>9780882337357</t>
  </si>
  <si>
    <t>792645449</t>
  </si>
  <si>
    <t>31028019147</t>
  </si>
  <si>
    <t>792645450</t>
  </si>
  <si>
    <t>PG3435 M2 1954</t>
  </si>
  <si>
    <t>0                      PG 3435000M  2           1954</t>
  </si>
  <si>
    <t>Turgenev : a life / by David Magarshack.</t>
  </si>
  <si>
    <t>Magarshack, David.</t>
  </si>
  <si>
    <t>London : Faber and Faber, [1954]</t>
  </si>
  <si>
    <t>1400857:eng</t>
  </si>
  <si>
    <t>320969</t>
  </si>
  <si>
    <t>ocm00320969</t>
  </si>
  <si>
    <t>31029453866</t>
  </si>
  <si>
    <t>791336088</t>
  </si>
  <si>
    <t>PG3435 S3 1978</t>
  </si>
  <si>
    <t>0                      PG 3435000S  3           1978</t>
  </si>
  <si>
    <t>Turgenev, his life and times / Leonard Schapiro.</t>
  </si>
  <si>
    <t>Schapiro, Leonard, 1908-1983.</t>
  </si>
  <si>
    <t>Oxford ; New York : Oxford University Press, ©1978.</t>
  </si>
  <si>
    <t>2017-07-21</t>
  </si>
  <si>
    <t>190628761:eng</t>
  </si>
  <si>
    <t>4773865</t>
  </si>
  <si>
    <t>ocm04773865</t>
  </si>
  <si>
    <t>3102798067V</t>
  </si>
  <si>
    <t>9780192117328</t>
  </si>
  <si>
    <t>792381892</t>
  </si>
  <si>
    <t>2013-01-31</t>
  </si>
  <si>
    <t>3000461162G</t>
  </si>
  <si>
    <t>792381891</t>
  </si>
  <si>
    <t>PG3443 A47 1992</t>
  </si>
  <si>
    <t>0                      PG 3443000A  47          1992</t>
  </si>
  <si>
    <t>Beyond realism : Turgenev's poetics of secular salvation / Elizabeth Cheresh Allen.</t>
  </si>
  <si>
    <t>Allen, Elizabeth Cheresh, 1951-2017.</t>
  </si>
  <si>
    <t>25103539:eng</t>
  </si>
  <si>
    <t>23868785</t>
  </si>
  <si>
    <t>ocm23868785</t>
  </si>
  <si>
    <t>3102945427F</t>
  </si>
  <si>
    <t>9780804718738</t>
  </si>
  <si>
    <t>793183764</t>
  </si>
  <si>
    <t>PG3443 C66 1990</t>
  </si>
  <si>
    <t>0                      PG 3443000C  66          1990</t>
  </si>
  <si>
    <t>Worlds within worlds : the novels of Ivan Turgenev / Jane T. Costlow.</t>
  </si>
  <si>
    <t>Princeton, N.J. : Princeton University Press, ©1990.</t>
  </si>
  <si>
    <t>795534907:eng</t>
  </si>
  <si>
    <t>20171948</t>
  </si>
  <si>
    <t>ocm20171948</t>
  </si>
  <si>
    <t>3102945442B</t>
  </si>
  <si>
    <t>9780691067834</t>
  </si>
  <si>
    <t>793080103</t>
  </si>
  <si>
    <t>PG3443 F7</t>
  </si>
  <si>
    <t>0                      PG 3443000F  7</t>
  </si>
  <si>
    <t>Turgenev: the novelist's novelist : a study.</t>
  </si>
  <si>
    <t>[London] : Oxford University Press, 1960.</t>
  </si>
  <si>
    <t>2007-12-06</t>
  </si>
  <si>
    <t>4020106070:eng</t>
  </si>
  <si>
    <t>320968</t>
  </si>
  <si>
    <t>ocm00320968</t>
  </si>
  <si>
    <t>31029454687</t>
  </si>
  <si>
    <t>791336086</t>
  </si>
  <si>
    <t>31029454579</t>
  </si>
  <si>
    <t>791336085</t>
  </si>
  <si>
    <t>2000-12-03</t>
  </si>
  <si>
    <t>31029454677</t>
  </si>
  <si>
    <t>791336087</t>
  </si>
  <si>
    <t>PG3443 T76 2010</t>
  </si>
  <si>
    <t>0                      PG 3443000T  76          2010</t>
  </si>
  <si>
    <t>Turgenev : art, ideology, and legacy / edited by Robert Reid and Joe Andrew.</t>
  </si>
  <si>
    <t>Amsterdam ; New York, NY : Rodopi, 2010.</t>
  </si>
  <si>
    <t>Studies in Slavic literature and poetics ; v. 56</t>
  </si>
  <si>
    <t>2013-02-03</t>
  </si>
  <si>
    <t>801945593:eng</t>
  </si>
  <si>
    <t>676723593</t>
  </si>
  <si>
    <t>ocn676723593</t>
  </si>
  <si>
    <t>31033138896</t>
  </si>
  <si>
    <t>9789042031470</t>
  </si>
  <si>
    <t>794849789</t>
  </si>
  <si>
    <t>PG3443.2 N38 2011</t>
  </si>
  <si>
    <t>0                      PG 3443200N  38          2011</t>
  </si>
  <si>
    <t>I.S. Turgenev : logika tvorchestva i mentalitet geroi︠a︡, kurs lekt︠s︡iĭ dli︠a︡ magistrantov / V.A. Nedzvet︠s︡kiĭ.</t>
  </si>
  <si>
    <t>Moskva : Moskovskiĭ gos. universitet, 2011.</t>
  </si>
  <si>
    <t>321738410:rus</t>
  </si>
  <si>
    <t>729686278</t>
  </si>
  <si>
    <t>ocn729686278</t>
  </si>
  <si>
    <t>3103393557I</t>
  </si>
  <si>
    <t>9785211059436</t>
  </si>
  <si>
    <t>794879565</t>
  </si>
  <si>
    <t>PG3447 V36 A15 1985</t>
  </si>
  <si>
    <t>0                      PG 3447000V  36                 A  15          1985</t>
  </si>
  <si>
    <t>Romany / A.F. Velʹtman ; [sostavlenie, vstup. statʹi︠a︡ V.I. Kalugina ; posleslovie i kommentarii A.P. Bogdanova].</t>
  </si>
  <si>
    <t>Velʹtman, Aleksandr Fomich, 1800-1870.</t>
  </si>
  <si>
    <t>Moskva : Sovremennik, 1985.</t>
  </si>
  <si>
    <t>Iz nasledii︠a︡</t>
  </si>
  <si>
    <t>2018-09-21</t>
  </si>
  <si>
    <t>5608884276:rus</t>
  </si>
  <si>
    <t>13867551</t>
  </si>
  <si>
    <t>ocm13867551</t>
  </si>
  <si>
    <t>31029454863</t>
  </si>
  <si>
    <t>792869968</t>
  </si>
  <si>
    <t>PG3447 V36 A24 1998</t>
  </si>
  <si>
    <t>0                      PG 3447000V  36                 A  24          1998</t>
  </si>
  <si>
    <t>Selected stories / A.F. Veltman ; translated from the Russian and with an introduction by James J. Gebhard.</t>
  </si>
  <si>
    <t>Evanston, Ill. : Northwestern University Press, 1998.</t>
  </si>
  <si>
    <t>4020582639:eng</t>
  </si>
  <si>
    <t>38270888</t>
  </si>
  <si>
    <t>ocm38270888</t>
  </si>
  <si>
    <t>31029454911</t>
  </si>
  <si>
    <t>9780810115262</t>
  </si>
  <si>
    <t>793520819</t>
  </si>
  <si>
    <t>PG3447 Z5 Z8636 2013</t>
  </si>
  <si>
    <t>0                      PG 3447000Z  5                  Z  8636        2013</t>
  </si>
  <si>
    <t>Pri svete Zhukovskogo : ocherki istorii russkoĭ literatury / Andreĭ Nemzer.</t>
  </si>
  <si>
    <t>Nemzer, A. S. (Andreĭ Semenovich), author.</t>
  </si>
  <si>
    <t>Moskva : Vremi︠a︡, 2013.</t>
  </si>
  <si>
    <t>5621796119:rus</t>
  </si>
  <si>
    <t>848020324</t>
  </si>
  <si>
    <t>ocn848020324</t>
  </si>
  <si>
    <t>31035245314</t>
  </si>
  <si>
    <t>9785969108394</t>
  </si>
  <si>
    <t>794949884</t>
  </si>
  <si>
    <t>PG3447 Z5 Z92 2016</t>
  </si>
  <si>
    <t>0                      PG 3447000Z  5                  Z  92          2016</t>
  </si>
  <si>
    <t>V.A. Zhukovskīĭ : poėzii︠a︡ chuvstva i "serdechnogo voobrazhenii︠a︡ / Aleksandr Veselovskīĭ.</t>
  </si>
  <si>
    <t>Veselovskīĭ, A. N. (Aleksandr Nikolaevich), 1838-1906, author.</t>
  </si>
  <si>
    <t>Moskva ; Sankt-Peterburg : T︠S︡entr gumanitarnykh init︠s︡iativ, 2016.</t>
  </si>
  <si>
    <t>Rossiĭskie Propilei</t>
  </si>
  <si>
    <t>4034673315:rus</t>
  </si>
  <si>
    <t>969349533</t>
  </si>
  <si>
    <t>ocn969349533</t>
  </si>
  <si>
    <t>31037013035</t>
  </si>
  <si>
    <t>9785987126370</t>
  </si>
  <si>
    <t>795027362</t>
  </si>
  <si>
    <t>PG3447 Z5 Z923 2015</t>
  </si>
  <si>
    <t>0                      PG 3447000Z  5                  Z  923         2015</t>
  </si>
  <si>
    <t>Vasily Zhukovsky's romanticism and the emotional history of Russia / Ilya Vinitsky.</t>
  </si>
  <si>
    <t>Vinit︠s︡kiĭ, I. I︠U︡. (Ilʹi︠a︡ I︠U︡rʹevich), 1969- author.</t>
  </si>
  <si>
    <t>2017-09-26</t>
  </si>
  <si>
    <t>9290671610:eng</t>
  </si>
  <si>
    <t>898158929</t>
  </si>
  <si>
    <t>ocn898158929</t>
  </si>
  <si>
    <t>3103653895W</t>
  </si>
  <si>
    <t>9780810130982</t>
  </si>
  <si>
    <t>794985967</t>
  </si>
  <si>
    <t>PG3452 A23 1987</t>
  </si>
  <si>
    <t>0                      PG 3452000A  23          1987</t>
  </si>
  <si>
    <t>Visions / stories and photographs by Leonid Andreyev ; edited and with an introduction by Olga Andreyev Carlisle.</t>
  </si>
  <si>
    <t>Andreyev, Leonid, 1871-1919.</t>
  </si>
  <si>
    <t>San Diego : Harcourt Brace Jovanovich, ©1987.</t>
  </si>
  <si>
    <t>10643322:eng</t>
  </si>
  <si>
    <t>15592503</t>
  </si>
  <si>
    <t>ocm15592503</t>
  </si>
  <si>
    <t>31029454785</t>
  </si>
  <si>
    <t>9780151939008</t>
  </si>
  <si>
    <t>792936391</t>
  </si>
  <si>
    <t>PG3452 A25 2010</t>
  </si>
  <si>
    <t>0                      PG 3452000A  25          2010</t>
  </si>
  <si>
    <t>Three plays : the black maskers, the life of man, and the Sabine women / Leonid Andreyev.</t>
  </si>
  <si>
    <t>[Rockville, Md.] : Wildside, [2010?]</t>
  </si>
  <si>
    <t>2015-02-27</t>
  </si>
  <si>
    <t>1185011596:eng</t>
  </si>
  <si>
    <t>820329338</t>
  </si>
  <si>
    <t>ocn820329338</t>
  </si>
  <si>
    <t>3103478492Y</t>
  </si>
  <si>
    <t>9781434407269</t>
  </si>
  <si>
    <t>794935222</t>
  </si>
  <si>
    <t>PG3452 A7313 1923</t>
  </si>
  <si>
    <t>0                      PG 3452000A  7313        1923</t>
  </si>
  <si>
    <t>Anathema, a tragedy in seven scenes, by Leonid Andreyev; authorized translation by Herman Bernstein.</t>
  </si>
  <si>
    <t>New York, The Macmillan Company, 1923.</t>
  </si>
  <si>
    <t>9415468443:eng</t>
  </si>
  <si>
    <t>10495564</t>
  </si>
  <si>
    <t>ocm10495564</t>
  </si>
  <si>
    <t>3102945507G</t>
  </si>
  <si>
    <t>792729055</t>
  </si>
  <si>
    <t>3102945512E</t>
  </si>
  <si>
    <t>792729054</t>
  </si>
  <si>
    <t>PG3452 Z45 1989</t>
  </si>
  <si>
    <t>0                      PG 3452000Z  45          1989</t>
  </si>
  <si>
    <t>Photographs by a Russian writer : an undiscovered portrait of pre-revolutionary Russia / Leonid Andreyev ; edited and introduced by Richard Davies ; with a foreword by Olga Andreyev Carlisle.</t>
  </si>
  <si>
    <t>New York, N.Y. : Thames and Hudson, 1989.</t>
  </si>
  <si>
    <t>836903778:eng</t>
  </si>
  <si>
    <t>19674642</t>
  </si>
  <si>
    <t>ocm19674642</t>
  </si>
  <si>
    <t>31007531775</t>
  </si>
  <si>
    <t>9780500541432</t>
  </si>
  <si>
    <t>793065771</t>
  </si>
  <si>
    <t>PG3452 Z48 2011</t>
  </si>
  <si>
    <t>0                      PG 3452000Z  48          2011</t>
  </si>
  <si>
    <t>Leonid Andreev : dalekie blizkie : sbornik / [sostavitelʹ I.G. Andreeva].</t>
  </si>
  <si>
    <t>Moskva : Minuvshee, 2011.</t>
  </si>
  <si>
    <t>1120452662:rus</t>
  </si>
  <si>
    <t>781939132</t>
  </si>
  <si>
    <t>ocn781939132</t>
  </si>
  <si>
    <t>3103482608S</t>
  </si>
  <si>
    <t>9785902073864</t>
  </si>
  <si>
    <t>794913426</t>
  </si>
  <si>
    <t>PG3452 Z5 K38</t>
  </si>
  <si>
    <t>0                      PG 3452000Z  5                  K  38</t>
  </si>
  <si>
    <t>Leonid Andreyev, a critical study by Alexander Kaun.</t>
  </si>
  <si>
    <t>Kaun, Alexander, 1889-1944.</t>
  </si>
  <si>
    <t>New York, B.W. Huebsch, Inc., 1924.</t>
  </si>
  <si>
    <t>1924</t>
  </si>
  <si>
    <t>2016-06-07</t>
  </si>
  <si>
    <t>497454464:eng</t>
  </si>
  <si>
    <t>1075055</t>
  </si>
  <si>
    <t>ocm01075055</t>
  </si>
  <si>
    <t>31033793804</t>
  </si>
  <si>
    <t>791539390</t>
  </si>
  <si>
    <t>PG3452 Z5 N48</t>
  </si>
  <si>
    <t>0                      PG 3452000Z  5                  N  48</t>
  </si>
  <si>
    <t>Leonid Andreyev [by] Josephine M. Newcombe.</t>
  </si>
  <si>
    <t>Newcombe, Josephine M. (Josephine Marjorie)</t>
  </si>
  <si>
    <t>Letchworth, Bradda, 1972.</t>
  </si>
  <si>
    <t>Russian literary profiles ; no. 1</t>
  </si>
  <si>
    <t>1696278:eng</t>
  </si>
  <si>
    <t>596494</t>
  </si>
  <si>
    <t>ocm00596494</t>
  </si>
  <si>
    <t>30003866178</t>
  </si>
  <si>
    <t>9780900186851</t>
  </si>
  <si>
    <t>791424354</t>
  </si>
  <si>
    <t>PG3452 Z5 W6</t>
  </si>
  <si>
    <t>0                      PG 3452000Z  5                  W  6</t>
  </si>
  <si>
    <t>Leonid Andreyev: a study, by James B. Woodward.</t>
  </si>
  <si>
    <t>Oxford, Clarendon P., 1969.</t>
  </si>
  <si>
    <t>2019-06-21</t>
  </si>
  <si>
    <t>1235019:eng</t>
  </si>
  <si>
    <t>68021</t>
  </si>
  <si>
    <t>ocm00068021</t>
  </si>
  <si>
    <t>3000507476T</t>
  </si>
  <si>
    <t>9780198156321</t>
  </si>
  <si>
    <t>791245157</t>
  </si>
  <si>
    <t>PG3452 Z8 H88 1990</t>
  </si>
  <si>
    <t>0                      PG 3452000Z  8                  H  88          1990</t>
  </si>
  <si>
    <t>A semiotic analysis of the short stories of Leonid Andreev, 1900-1909 / by Stephen Hutchings.</t>
  </si>
  <si>
    <t>London : Modern Humanities Research Association, 1990.</t>
  </si>
  <si>
    <t>Texts and dissertations ; v. 32</t>
  </si>
  <si>
    <t>143971937:eng</t>
  </si>
  <si>
    <t>23924642</t>
  </si>
  <si>
    <t>ocm23924642</t>
  </si>
  <si>
    <t>31011444365</t>
  </si>
  <si>
    <t>9780947623357</t>
  </si>
  <si>
    <t>793185047</t>
  </si>
  <si>
    <t>PG3452 Z8 I298 2010</t>
  </si>
  <si>
    <t>0                      PG 3452000Z  8                  I  298         2010</t>
  </si>
  <si>
    <t>Leonid Andreev i literatura Serebri︠a︡nogo veka : izbrannye trudy / Li︠u︡dmila Aleksandrovna Iezuitova.</t>
  </si>
  <si>
    <t>Iezuitova, L. A.</t>
  </si>
  <si>
    <t>Sankt-Peterburg : Petropolis, 2010.</t>
  </si>
  <si>
    <t>916104043:rus</t>
  </si>
  <si>
    <t>680644399</t>
  </si>
  <si>
    <t>ocn680644399</t>
  </si>
  <si>
    <t>3103482602S</t>
  </si>
  <si>
    <t>9785967602795</t>
  </si>
  <si>
    <t>794851268</t>
  </si>
  <si>
    <t>PG3453 A8 S33 2001</t>
  </si>
  <si>
    <t>0                      PG 3453000A  8                  S  33          2001</t>
  </si>
  <si>
    <t>Sanin : a novel / by Mikhail Artsybashev ; translated from the Russian by Michael R. Katz ; introduction by Otto Boele ; afterword by Nicholas Luker.</t>
  </si>
  <si>
    <t>Art︠s︡ybashev, M. (Mikhail), 1878-1927.</t>
  </si>
  <si>
    <t>Ithaca : Cornell University Press, 2001.</t>
  </si>
  <si>
    <t>2018-09-03</t>
  </si>
  <si>
    <t>319436:eng</t>
  </si>
  <si>
    <t>45023515</t>
  </si>
  <si>
    <t>ocm45023515</t>
  </si>
  <si>
    <t>31028152401</t>
  </si>
  <si>
    <t>9780801435713</t>
  </si>
  <si>
    <t>793662509</t>
  </si>
  <si>
    <t>PG3453 B2 Z757 2013</t>
  </si>
  <si>
    <t>0                      PG 3453000B  2                  Z  757         2013</t>
  </si>
  <si>
    <t>Konstantin Balʹmont glazami sovremennikov : vospominanii︠a︡, pisʹma, dnevniki, poėticheskie posvi︠a︡shchenii︠a︡, podrazhanii︠a︡, ėpigrammy, parodii, sharzhi / sost., primech. i komment. A.I︠U︡. Romanova ; vstup. st. L.N. Taganova.</t>
  </si>
  <si>
    <t>Sankt-Peterburg : Rostok, 2013.</t>
  </si>
  <si>
    <t>Serii︠a︡ Neizvestnyĭ XX vek</t>
  </si>
  <si>
    <t>2242015851:rus</t>
  </si>
  <si>
    <t>872955505</t>
  </si>
  <si>
    <t>ocn872955505</t>
  </si>
  <si>
    <t>31035530700</t>
  </si>
  <si>
    <t>9785946681322</t>
  </si>
  <si>
    <t>794968307</t>
  </si>
  <si>
    <t>PG3453 B6 D837 1993</t>
  </si>
  <si>
    <t>0                      PG 3453000B  6                  D  837         1993</t>
  </si>
  <si>
    <t>"Chernyĭ vecher, belyĭ sneg--" : tvorcheskai︠a︡ istorii︠a︡ i sudʹba poėmy Aleksandra Bloka "Dvenadt︠s︡atʹ" / O.P. Smola.</t>
  </si>
  <si>
    <t>Smola, O. P. (Oleg Petrovich)</t>
  </si>
  <si>
    <t>Moskva : Nasledie, 1993.</t>
  </si>
  <si>
    <t>3857489141:rus</t>
  </si>
  <si>
    <t>30770208</t>
  </si>
  <si>
    <t>ocm30770208</t>
  </si>
  <si>
    <t>3101371370T</t>
  </si>
  <si>
    <t>9785201131937</t>
  </si>
  <si>
    <t>793344428</t>
  </si>
  <si>
    <t>2009-09-29</t>
  </si>
  <si>
    <t>3100911803Q</t>
  </si>
  <si>
    <t>793344429</t>
  </si>
  <si>
    <t>PG3453 B6 D857</t>
  </si>
  <si>
    <t>0                      PG 3453000B  6                  D  857</t>
  </si>
  <si>
    <t>The poet and the revolution : Aleksandr Blok's The twelve / Sergei Hackel.</t>
  </si>
  <si>
    <t>Hackel, Sergei.</t>
  </si>
  <si>
    <t>Oxford [England] : Clarendon Press, 1975.</t>
  </si>
  <si>
    <t>293113730:eng</t>
  </si>
  <si>
    <t>2931942</t>
  </si>
  <si>
    <t>ocm02931942</t>
  </si>
  <si>
    <t>3000418988Z</t>
  </si>
  <si>
    <t>9780198156451</t>
  </si>
  <si>
    <t>792195495</t>
  </si>
  <si>
    <t>PG3453 B6 Z535 2011</t>
  </si>
  <si>
    <t>0                      PG 3453000B  6                  Z  535         2011</t>
  </si>
  <si>
    <t>Biografii︠a︡ kak istochnik i kontekst tvorchestva A. Bloka : materialy mezhdunarodnoĭ nauchnoĭ konferent︠s︡ii, posvi︠a︡shchennoĭ 130-letii︠u︡ so dni︠a︡ rozhdenii︠a︡ poėta / [otv. redaktor I.S. Prikhodʹko].</t>
  </si>
  <si>
    <t>Moskva : IMLI RAN, 2011.</t>
  </si>
  <si>
    <t>Shakhmatovskiĭ vestnik ; vyp. 12</t>
  </si>
  <si>
    <t>2013-11-04</t>
  </si>
  <si>
    <t>1099702622:rus</t>
  </si>
  <si>
    <t>784553379</t>
  </si>
  <si>
    <t>ocn784553379</t>
  </si>
  <si>
    <t>B001509926</t>
  </si>
  <si>
    <t>9785920803924</t>
  </si>
  <si>
    <t>794914545</t>
  </si>
  <si>
    <t>PG3453 B6 Z55 2015</t>
  </si>
  <si>
    <t>0                      PG 3453000B  6                  Z  55          2015</t>
  </si>
  <si>
    <t>Pisʹma k rodnym / A.A. Blok ; predisl. M. Beketovoĭ.</t>
  </si>
  <si>
    <t>Blok, Aleksandr Aleksandrovich, 1880-1921, author.</t>
  </si>
  <si>
    <t>Moskva : Knizhnyĭ klub Knigovek : Izdatelʹstvo Terra, 2015.</t>
  </si>
  <si>
    <t>Literaturnye pami︠a︡tniki russkogo byta</t>
  </si>
  <si>
    <t>3771423483:rus</t>
  </si>
  <si>
    <t>927294626</t>
  </si>
  <si>
    <t>ocn927294626</t>
  </si>
  <si>
    <t>3103632400S</t>
  </si>
  <si>
    <t>9785422410477</t>
  </si>
  <si>
    <t>795005802</t>
  </si>
  <si>
    <t>PG3453 B6 Z839 2011</t>
  </si>
  <si>
    <t>0                      PG 3453000B  6                  Z  839         2011</t>
  </si>
  <si>
    <t>Kolombina, Pʹero, Arlekin-- : Li︠u︡bovʹ Blok, Aleksandr Blok, Andreĭ Belyĭ : prival komediantov / Igorʹ Talalaevskiĭ.</t>
  </si>
  <si>
    <t>Talalaevskiĭ, Igorʹ.</t>
  </si>
  <si>
    <t>Sankt-Peterburg : Aleteĭi︠a︡, 2011.</t>
  </si>
  <si>
    <t>3860776680:rus</t>
  </si>
  <si>
    <t>703356935</t>
  </si>
  <si>
    <t>ocn703356935</t>
  </si>
  <si>
    <t>3103484700H</t>
  </si>
  <si>
    <t>9785914194458</t>
  </si>
  <si>
    <t>794864824</t>
  </si>
  <si>
    <t>PG3453 B8 A15 1990</t>
  </si>
  <si>
    <t>0                      PG 3453000B  8                  A  15          1990</t>
  </si>
  <si>
    <t>I︠U︡moristicheskie rasskazy ; Iz "Vseobshcheĭ istorii, obrabotannoĭ 'Satirikonom'" / N.A. Tėffi.</t>
  </si>
  <si>
    <t>Tėffi, N. A. (Nadezhda Aleksandrovna), 1872-1952.</t>
  </si>
  <si>
    <t>Moskva : "Khudozh. lit-ra, ", 1990.</t>
  </si>
  <si>
    <t>3980159297:rus</t>
  </si>
  <si>
    <t>24219027</t>
  </si>
  <si>
    <t>ocm24219027</t>
  </si>
  <si>
    <t>31029456485</t>
  </si>
  <si>
    <t>9785280018228</t>
  </si>
  <si>
    <t>793192889</t>
  </si>
  <si>
    <t>PG3453 B8 A2 2014</t>
  </si>
  <si>
    <t>0                      PG 3453000B  8                  A  2           2014</t>
  </si>
  <si>
    <t>Subtly worded and other stories / Teffi ; translated from the Russian by Anne Marie Jackson with Robert and Elizabeth Chandler, Clare Kitson, Irina Steinberg and Natalia Wase.</t>
  </si>
  <si>
    <t>Tėffi, N. A. (Nadezhda Aleksandrovna), 1872-1952, author.</t>
  </si>
  <si>
    <t>London : Pushkin Press, 2014.</t>
  </si>
  <si>
    <t>1916100659:eng</t>
  </si>
  <si>
    <t>876291674</t>
  </si>
  <si>
    <t>ocn876291674</t>
  </si>
  <si>
    <t>3103697440T</t>
  </si>
  <si>
    <t>9781782270379</t>
  </si>
  <si>
    <t>794969931</t>
  </si>
  <si>
    <t>PG3453 B8 A2 2016</t>
  </si>
  <si>
    <t>0                      PG 3453000B  8                  A  2           2016</t>
  </si>
  <si>
    <t>Rasputin and other ironies / by Teffi ; edited by Robert Chandler and Anne Marie Jackson ; translated from the Russian by Robert Chandler, Elizabeth Chandler, Rose France and Anne Marie Jackson.</t>
  </si>
  <si>
    <t>London : Pushkin Press, 2016.</t>
  </si>
  <si>
    <t>2794784390:eng</t>
  </si>
  <si>
    <t>928783185</t>
  </si>
  <si>
    <t>ocn928783185</t>
  </si>
  <si>
    <t>3103697554E</t>
  </si>
  <si>
    <t>9781782272175</t>
  </si>
  <si>
    <t>795006393</t>
  </si>
  <si>
    <t>PG3453 B8 Z4613 2016</t>
  </si>
  <si>
    <t>0                      PG 3453000B  8                  Z  4613        2016</t>
  </si>
  <si>
    <t>Memories : from Moscow to the Black Sea / Teffi ; translated from the Russian by Robert and Elizabeth Chandler, Anne Marie Jackson, and Irina Steinberg ; introduction by Edythe Haber.</t>
  </si>
  <si>
    <t>New York : New York Review Books, [2016]</t>
  </si>
  <si>
    <t>New York Review Books classics</t>
  </si>
  <si>
    <t>2547524884:eng</t>
  </si>
  <si>
    <t>910979688</t>
  </si>
  <si>
    <t>ocn910979688</t>
  </si>
  <si>
    <t>31036565287</t>
  </si>
  <si>
    <t>9781590179512</t>
  </si>
  <si>
    <t>794996853</t>
  </si>
  <si>
    <t>PG3453 B84 A23 1985</t>
  </si>
  <si>
    <t>0                      PG 3453000B  84                 A  23          1985</t>
  </si>
  <si>
    <t>Selected essays of Andrey Bely / edited, translated, and with an introduction by Steven Cassedy.</t>
  </si>
  <si>
    <t>Berkeley : University of California Press, ©1985.</t>
  </si>
  <si>
    <t>3844980:eng</t>
  </si>
  <si>
    <t>11316385</t>
  </si>
  <si>
    <t>ocm11316385</t>
  </si>
  <si>
    <t>3100235389R</t>
  </si>
  <si>
    <t>9780520052734</t>
  </si>
  <si>
    <t>792768339</t>
  </si>
  <si>
    <t>PG3453 B84 A6 1966</t>
  </si>
  <si>
    <t>0                      PG 3453000B  84                 A  6           1966</t>
  </si>
  <si>
    <t>Stikhotvorenii︠a︡ i poėmy / Andreĭ Belyĭ ; vstup. statʹi︠a︡ i sostavlenie T.I︠U︡. Khmelʹnit︠s︡koĭ ; podgotovka teksta i primechanii︠a︡ N.B. Bank i N.G. Zakharenko.</t>
  </si>
  <si>
    <t>Leningrad : Sov. pisatelʹ [Leningradskoe otd-nie], 1966.</t>
  </si>
  <si>
    <t>2018-02-07</t>
  </si>
  <si>
    <t>3374420297:rus</t>
  </si>
  <si>
    <t>2997499</t>
  </si>
  <si>
    <t>ocm02997499</t>
  </si>
  <si>
    <t>3102939720W</t>
  </si>
  <si>
    <t>792204409</t>
  </si>
  <si>
    <t>PG3453 B84 P43 1977</t>
  </si>
  <si>
    <t>0                      PG 3453000B  84                 P  43          1977</t>
  </si>
  <si>
    <t>Petersburg / Andrei Bely [i.e. B.N. Bugaev] ; translated, annotated, and introduced by Robert A. Maguire and John E. Malmstad.</t>
  </si>
  <si>
    <t>Bloomington : Indiana University Press, ©1977.</t>
  </si>
  <si>
    <t>Sources and translation series of the Russian Institute, Columbia University</t>
  </si>
  <si>
    <t>4851418861:eng</t>
  </si>
  <si>
    <t>232990641</t>
  </si>
  <si>
    <t>ocn232990641</t>
  </si>
  <si>
    <t>3103089521N</t>
  </si>
  <si>
    <t>9780253344106</t>
  </si>
  <si>
    <t>794364823</t>
  </si>
  <si>
    <t>2014-04-13</t>
  </si>
  <si>
    <t>3102050965S</t>
  </si>
  <si>
    <t>794364822</t>
  </si>
  <si>
    <t>PG3453 B84 P5 1978</t>
  </si>
  <si>
    <t>0                      PG 3453000B  84                 P  5           1978</t>
  </si>
  <si>
    <t>Peterburg : roman / Andreĭ Belyĭ ; vstup. statʹi︠a︡ A.S. Mi︠a︡snikova ; posleslovie P.G. Antokolʹskogo ; kommentarii P.K. Dogopolova.</t>
  </si>
  <si>
    <t>Moskva : Khudozh. lit., 1978.</t>
  </si>
  <si>
    <t>2052909991:rus</t>
  </si>
  <si>
    <t>4693214</t>
  </si>
  <si>
    <t>ocm04693214</t>
  </si>
  <si>
    <t>3103279989T</t>
  </si>
  <si>
    <t>792375725</t>
  </si>
  <si>
    <t>PG3453 B84 P5 1990</t>
  </si>
  <si>
    <t>0                      PG 3453000B  84                 P  5           1990</t>
  </si>
  <si>
    <t>Peterburg : roman v vosʹmi glavakh s prilogom i ėpilogom / Andreĭ Belyĭ ; [vstupitelʹnoe slovo D.S. Likhacheva ; podgotovka teksta i statʹi︠a︡ L.K. Dolgopolova ; primechanii︠a︡ S.S. Grechishkina, L.K. Dolgopolova, A.V. Lavrova ; redaktor V.I. Kolegova].</t>
  </si>
  <si>
    <t>Kiev : "Dnipro", 1990.</t>
  </si>
  <si>
    <t>Literaturno-khudozhestvennoe izd.</t>
  </si>
  <si>
    <t>3856550983:rus</t>
  </si>
  <si>
    <t>23729359</t>
  </si>
  <si>
    <t>ocm23729359</t>
  </si>
  <si>
    <t>3102945618B</t>
  </si>
  <si>
    <t>9785308008156</t>
  </si>
  <si>
    <t>793181051</t>
  </si>
  <si>
    <t>2009-09-28</t>
  </si>
  <si>
    <t>3103144475D</t>
  </si>
  <si>
    <t>793181050</t>
  </si>
  <si>
    <t>PG3453 B84 P5 2012</t>
  </si>
  <si>
    <t>0                      PG 3453000B  84                 P  5           2012</t>
  </si>
  <si>
    <t>Peterburg / Andreĭ Bi︠e︡lyĭ.</t>
  </si>
  <si>
    <t>[Jupiter, Fla.?] : Birchbark Press of Karacharovo, ©2012.</t>
  </si>
  <si>
    <t>814391461</t>
  </si>
  <si>
    <t>ocn814391461</t>
  </si>
  <si>
    <t>3103517913Q</t>
  </si>
  <si>
    <t>9780938618195</t>
  </si>
  <si>
    <t>794932193</t>
  </si>
  <si>
    <t>PG3453 B84 P513 1995</t>
  </si>
  <si>
    <t>0                      PG 3453000B  84                 P  513         1995</t>
  </si>
  <si>
    <t>Petersburg : a novel in eight chapters with a prologue and an epilogue / Andrei Bely ; translated by David McDuff.</t>
  </si>
  <si>
    <t>London ; New York : Penguin Books, 1995.</t>
  </si>
  <si>
    <t>Penguin twentieth-century classics</t>
  </si>
  <si>
    <t>4061540908:eng</t>
  </si>
  <si>
    <t>34919943</t>
  </si>
  <si>
    <t>ocm34919943</t>
  </si>
  <si>
    <t>3102945617B</t>
  </si>
  <si>
    <t>9780140186963</t>
  </si>
  <si>
    <t>793438900</t>
  </si>
  <si>
    <t>PG3453 B84 P513 2009</t>
  </si>
  <si>
    <t>0                      PG 3453000B  84                 P  513         2009</t>
  </si>
  <si>
    <t>Petersburg / Andrei Bely ; translated from the Russian by John Elsworth.</t>
  </si>
  <si>
    <t>London : Pushkin Press, 2009.</t>
  </si>
  <si>
    <t>2019-10-22</t>
  </si>
  <si>
    <t>9622635788:eng</t>
  </si>
  <si>
    <t>276816390</t>
  </si>
  <si>
    <t>ocn276816390</t>
  </si>
  <si>
    <t>3102856974O</t>
  </si>
  <si>
    <t>9781901285963</t>
  </si>
  <si>
    <t>794417186</t>
  </si>
  <si>
    <t>PG3453 B84 P5374 2012</t>
  </si>
  <si>
    <t>0                      PG 3453000B  84                 P  5374        2012</t>
  </si>
  <si>
    <t>The red jester : Andrei Bely's Petersburg as a novel of the European modern / Judith Wermuth-Atkinson.</t>
  </si>
  <si>
    <t>Wermuth, Judith, author.</t>
  </si>
  <si>
    <t>Berlin : Lit, 2012.</t>
  </si>
  <si>
    <t>Slavistik</t>
  </si>
  <si>
    <t>2016-10-19</t>
  </si>
  <si>
    <t>1050136444:eng</t>
  </si>
  <si>
    <t>793497119</t>
  </si>
  <si>
    <t>ocn793497119</t>
  </si>
  <si>
    <t>3103505254F</t>
  </si>
  <si>
    <t>9783643901545</t>
  </si>
  <si>
    <t>794918274</t>
  </si>
  <si>
    <t>PG3453 B84 P59 1982</t>
  </si>
  <si>
    <t>0                      PG 3453000B  84                 P  59          1982</t>
  </si>
  <si>
    <t>Andrej Belyj's 'Petersburg', James Joyce's 'Ulysses', and the Symbolist movement / Alexander Woronzoff.</t>
  </si>
  <si>
    <t>Woronzoff, Alexander.</t>
  </si>
  <si>
    <t>Berne ; Las Vegas : P. Lang, 1982.</t>
  </si>
  <si>
    <t>European university studies. Series XVIII, Comparative literature ; v. 28 = Publications universitaires européennes. Série XVIII, Littérature comparée ; v. 28 = Europäische Hochschulschriften. Reihe XVIII, Vergleichende Literaturwissenschaft ; Bd. 28</t>
  </si>
  <si>
    <t>3308609:eng</t>
  </si>
  <si>
    <t>8880701</t>
  </si>
  <si>
    <t>ocm08880701</t>
  </si>
  <si>
    <t>3102945681Y</t>
  </si>
  <si>
    <t>9783261050168</t>
  </si>
  <si>
    <t>792646242</t>
  </si>
  <si>
    <t>PG3453 B84 S43 2000</t>
  </si>
  <si>
    <t>0                      PG 3453000B  84                 S  43          2000</t>
  </si>
  <si>
    <t>The silver dove / Andrey Bely ; translated from the Russian by John Elsworth with an introduction and notes.</t>
  </si>
  <si>
    <t>Angel classics</t>
  </si>
  <si>
    <t>2015-03-14</t>
  </si>
  <si>
    <t>1995097:eng</t>
  </si>
  <si>
    <t>45114016</t>
  </si>
  <si>
    <t>ocm45114016</t>
  </si>
  <si>
    <t>31020528304</t>
  </si>
  <si>
    <t>9780810117570</t>
  </si>
  <si>
    <t>793664822</t>
  </si>
  <si>
    <t>PG3453 B84 Z525 2018</t>
  </si>
  <si>
    <t>0                      PG 3453000B  84                 Z  525         2018</t>
  </si>
  <si>
    <t>Zhezl Aarona : raboty po teorii slova, 1916-1927 gg. / Andreĭ Belyĭ ; sostavlenie, podgotovka teksta, vstupitelʹnai︠a︡ statʹi︠a︡, tekstologicheskie spravki i kommentarii E.V. Glukhovoĭ, D.O. Torshilova ; otvetstvennyĭ redaktor O.A. Korostelev.</t>
  </si>
  <si>
    <t>Bely, Andrey, 1880-1934, author.</t>
  </si>
  <si>
    <t>Moskva : IMLI RAN, 2018.</t>
  </si>
  <si>
    <t>Literaturnoe nasledstvo, 0130-3627 ; tom sto odinnadt︠s︡atyĭ</t>
  </si>
  <si>
    <t>2019-04-17</t>
  </si>
  <si>
    <t>9326892479:rus</t>
  </si>
  <si>
    <t>1097556766</t>
  </si>
  <si>
    <t>on1097556766</t>
  </si>
  <si>
    <t>3103859624J</t>
  </si>
  <si>
    <t>9785920805805</t>
  </si>
  <si>
    <t>795080884</t>
  </si>
  <si>
    <t>PG3453 B84 Z53 1985</t>
  </si>
  <si>
    <t>0                      PG 3453000B  84                 Z  53          1985</t>
  </si>
  <si>
    <t>Andrei Bely, the major symbolist fiction / Vladimir E. Alexandrov.</t>
  </si>
  <si>
    <t>Cambridge, Mass. : Harvard University Press, 1985.</t>
  </si>
  <si>
    <t>Russian Research Center studies ; 83</t>
  </si>
  <si>
    <t>57100:eng</t>
  </si>
  <si>
    <t>11158622</t>
  </si>
  <si>
    <t>ocm11158622</t>
  </si>
  <si>
    <t>3102945680Y</t>
  </si>
  <si>
    <t>9780674036468</t>
  </si>
  <si>
    <t>792760909</t>
  </si>
  <si>
    <t>PG3453 B84 Z55 1987</t>
  </si>
  <si>
    <t>0                      PG 3453000B  84                 Z  55          1987</t>
  </si>
  <si>
    <t>Andrey Bely : spirit of symbolism / edited by John E. Malmstad.</t>
  </si>
  <si>
    <t>836691259:eng</t>
  </si>
  <si>
    <t>14718485</t>
  </si>
  <si>
    <t>ocm14718485</t>
  </si>
  <si>
    <t>3102945690W</t>
  </si>
  <si>
    <t>9780801419843</t>
  </si>
  <si>
    <t>792900101</t>
  </si>
  <si>
    <t>PG3453 B84 Z56 1988</t>
  </si>
  <si>
    <t>0                      PG 3453000B  84                 Z  56          1988</t>
  </si>
  <si>
    <t>Andreĭ Belyĭ : problemy tvorchestva : statʹi, vospominanii︠a︡, publikat︠s︡ii / [sostaviteli, St. Lesnevskiĭ, Al. Mikhaĭlov].</t>
  </si>
  <si>
    <t>Moskva : Sov. pisatelʹ, 1988.</t>
  </si>
  <si>
    <t>3856303526:rus</t>
  </si>
  <si>
    <t>20340904</t>
  </si>
  <si>
    <t>ocm20340904</t>
  </si>
  <si>
    <t>31002131453</t>
  </si>
  <si>
    <t>9785265003461</t>
  </si>
  <si>
    <t>793085019</t>
  </si>
  <si>
    <t>PG3453 B84 Z6</t>
  </si>
  <si>
    <t>0                      PG 3453000B  84                 Z  6</t>
  </si>
  <si>
    <t>The apocalyptic symbolism of Andrej Bely / by Samuel D. Cioran.</t>
  </si>
  <si>
    <t>Cioran, Samuel D. (Samuel David), 1941-</t>
  </si>
  <si>
    <t>The Hague : Mouton, 1973.</t>
  </si>
  <si>
    <t>Slavistic printings and reprintings ; 274</t>
  </si>
  <si>
    <t>1834035:eng</t>
  </si>
  <si>
    <t>900685</t>
  </si>
  <si>
    <t>ocm00900685</t>
  </si>
  <si>
    <t>3101748162S</t>
  </si>
  <si>
    <t>9783111034256</t>
  </si>
  <si>
    <t>791497957</t>
  </si>
  <si>
    <t>PG3453 B84 Z62 1982</t>
  </si>
  <si>
    <t>0                      PG 3453000B  84                 Z  62          1982</t>
  </si>
  <si>
    <t>Andrej Belyjs ästhetische Theorie des schöpferischen Bewusstseins : Symbolisierung und Krise der Kultur um die Jahrhundertwende / Maria Deppermann.</t>
  </si>
  <si>
    <t>Deppermann, Maria.</t>
  </si>
  <si>
    <t>München : O. Sagner, 1982.</t>
  </si>
  <si>
    <t>Slavistische Beiträge ; Bd. 150</t>
  </si>
  <si>
    <t>196714687:ger</t>
  </si>
  <si>
    <t>8663596</t>
  </si>
  <si>
    <t>ocm08663596</t>
  </si>
  <si>
    <t>30003519504</t>
  </si>
  <si>
    <t>9783876902159</t>
  </si>
  <si>
    <t>792633558</t>
  </si>
  <si>
    <t>PG3453 B84 Z634 1983</t>
  </si>
  <si>
    <t>0                      PG 3453000B  84                 Z  634         1983</t>
  </si>
  <si>
    <t>Andrey Bely, a critical study of the novels / J.D. Elsworth.</t>
  </si>
  <si>
    <t>Elsworth, J. D. (John David)</t>
  </si>
  <si>
    <t>Cambridge [Cambridgeshire] ; New York : Cambridge University Press, 1983.</t>
  </si>
  <si>
    <t>43714760:eng</t>
  </si>
  <si>
    <t>9197168</t>
  </si>
  <si>
    <t>ocm09197168</t>
  </si>
  <si>
    <t>3000356740R</t>
  </si>
  <si>
    <t>9780521247245</t>
  </si>
  <si>
    <t>792663351</t>
  </si>
  <si>
    <t>PG3453 B84 Z638 2010</t>
  </si>
  <si>
    <t>0                      PG 3453000B  84                 Z  638         2010</t>
  </si>
  <si>
    <t>Odinokiĭ geniĭ Serebri︠a︡nogo veka / Zinaida Goloshchapova.</t>
  </si>
  <si>
    <t>Goloshchapova, Zinaida, author.</t>
  </si>
  <si>
    <t>Zheleznodorozhnyĭ : Rakelʹ-Info, 2010.</t>
  </si>
  <si>
    <t>686114602:rus</t>
  </si>
  <si>
    <t>670281087</t>
  </si>
  <si>
    <t>ocn670281087</t>
  </si>
  <si>
    <t>3103302351$</t>
  </si>
  <si>
    <t>9785904940027</t>
  </si>
  <si>
    <t>794847578</t>
  </si>
  <si>
    <t>PG3453 B84 Z74 1975</t>
  </si>
  <si>
    <t>0                      PG 3453000B  84                 Z  74          1975</t>
  </si>
  <si>
    <t>Andrey Bely : a critical review / edited by Gerald Janecek.</t>
  </si>
  <si>
    <t>International Symposium on Andrey Bely (1975 : University of Kentucky)</t>
  </si>
  <si>
    <t>Lexington : University Press of Kentucky, 1978.</t>
  </si>
  <si>
    <t>474137:eng</t>
  </si>
  <si>
    <t>4516118</t>
  </si>
  <si>
    <t>ocm04516118</t>
  </si>
  <si>
    <t>3000469006R</t>
  </si>
  <si>
    <t>9780813113685</t>
  </si>
  <si>
    <t>792358206</t>
  </si>
  <si>
    <t>PG3453 B84 Z75 1996</t>
  </si>
  <si>
    <t>0                      PG 3453000B  84                 Z  75          1996</t>
  </si>
  <si>
    <t>The reluctant modernist : Andrei Belyi and the development of Russian fiction, 1902-1914 / Roger Keys.</t>
  </si>
  <si>
    <t>Keys, Roger.</t>
  </si>
  <si>
    <t>Oxford ; New York : Clarendon Press, 1996.</t>
  </si>
  <si>
    <t>284440053:eng</t>
  </si>
  <si>
    <t>33333359</t>
  </si>
  <si>
    <t>ocm33333359</t>
  </si>
  <si>
    <t>31029456327</t>
  </si>
  <si>
    <t>9780198151609</t>
  </si>
  <si>
    <t>793406985</t>
  </si>
  <si>
    <t>PG3453 B84 Z76 1981</t>
  </si>
  <si>
    <t>0                      PG 3453000B  84                 Z  76          1981</t>
  </si>
  <si>
    <t>L'influence de l'anthroposophie sur lœuvre d'Andréi Biélyi / Frédéric C. Kozlik.</t>
  </si>
  <si>
    <t>Kozlik, Frédéric C.</t>
  </si>
  <si>
    <t>Frankfurt (Main) : R.G. Fischer, ©1981.</t>
  </si>
  <si>
    <t>3770175211:fre</t>
  </si>
  <si>
    <t>8045431</t>
  </si>
  <si>
    <t>ocm08045431</t>
  </si>
  <si>
    <t>30003523684</t>
  </si>
  <si>
    <t>9783883232515</t>
  </si>
  <si>
    <t>792595182</t>
  </si>
  <si>
    <t>31004601736</t>
  </si>
  <si>
    <t>792595181</t>
  </si>
  <si>
    <t>31004601728</t>
  </si>
  <si>
    <t>792595180</t>
  </si>
  <si>
    <t>PG3453 B84 Z86 1982</t>
  </si>
  <si>
    <t>0                      PG 3453000B  84                 Z  86          1982</t>
  </si>
  <si>
    <t>Word and music in the novels of Andrey Bely / Ada Steinberg.</t>
  </si>
  <si>
    <t>Steinberg, Ada.</t>
  </si>
  <si>
    <t>504916:eng</t>
  </si>
  <si>
    <t>8112866</t>
  </si>
  <si>
    <t>ocm08112866</t>
  </si>
  <si>
    <t>3000336228C</t>
  </si>
  <si>
    <t>9780521237314</t>
  </si>
  <si>
    <t>792599340</t>
  </si>
  <si>
    <t>PG3453 B9 A15 1983</t>
  </si>
  <si>
    <t>0                      PG 3453000B  9                  A  15          1983</t>
  </si>
  <si>
    <t>In a far distant land : selected stories / Ivan Bunin ; translated by Robert Bowie.</t>
  </si>
  <si>
    <t>Bunin, Ivan Alekseevich, 1870-1953.</t>
  </si>
  <si>
    <t>Ann Arbor, Mich. : Hermitage, 1983.</t>
  </si>
  <si>
    <t>1059159564:eng</t>
  </si>
  <si>
    <t>8975769</t>
  </si>
  <si>
    <t>ocm08975769</t>
  </si>
  <si>
    <t>30003541925</t>
  </si>
  <si>
    <t>9780938920274</t>
  </si>
  <si>
    <t>792650927</t>
  </si>
  <si>
    <t>PG3453 B9 A24</t>
  </si>
  <si>
    <t>0                      PG 3453000B  9                  A  24</t>
  </si>
  <si>
    <t>The dreams of Chang, and other stories; authorized translation from the Russian of Ivan Bunin, by Bernard Guilbert Guerney.</t>
  </si>
  <si>
    <t>New York, A.A. Knopf, 1923.</t>
  </si>
  <si>
    <t>2017-09-13</t>
  </si>
  <si>
    <t>16224559:eng</t>
  </si>
  <si>
    <t>895748</t>
  </si>
  <si>
    <t>ocm00895748</t>
  </si>
  <si>
    <t>3103741585J</t>
  </si>
  <si>
    <t>791496762</t>
  </si>
  <si>
    <t>PG3453 B9 A6 1956</t>
  </si>
  <si>
    <t>0                      PG 3453000B  9                  A  6           1956</t>
  </si>
  <si>
    <t>Izbrannye proizvedenii︠a︡ / I.A. Bunin ; vstup. statʹi︠a︡ An. Tarasenkova ; podgotovka teksta P.L. Vi︠a︡cheslavova.</t>
  </si>
  <si>
    <t>Moskva : Gos. izd-vo k︠h︡udozh. lit-ry, 1956.</t>
  </si>
  <si>
    <t>5342756610:rus</t>
  </si>
  <si>
    <t>4044383</t>
  </si>
  <si>
    <t>ocm04044383</t>
  </si>
  <si>
    <t>31030763691</t>
  </si>
  <si>
    <t>792316848</t>
  </si>
  <si>
    <t>PG3453 B9 A6 1976</t>
  </si>
  <si>
    <t>0                      PG 3453000B  9                  A  6           1976</t>
  </si>
  <si>
    <t>Rasskazy / I.A. Bunin.</t>
  </si>
  <si>
    <t>Moskva : Khudozhestvennai︠a︡ literatura, 1976.</t>
  </si>
  <si>
    <t>Narodnai︠a︡ biblioteka.</t>
  </si>
  <si>
    <t>4663562788:rus</t>
  </si>
  <si>
    <t>6843265</t>
  </si>
  <si>
    <t>ocm06843265</t>
  </si>
  <si>
    <t>3103269151R</t>
  </si>
  <si>
    <t>792526021</t>
  </si>
  <si>
    <t>PG3453.B9 A6 1976b</t>
  </si>
  <si>
    <t>0                      PG 3453000B  9                  A  6           1976b</t>
  </si>
  <si>
    <t>3102945688Y</t>
  </si>
  <si>
    <t>792526020</t>
  </si>
  <si>
    <t>PG3453 B9 A6 1993</t>
  </si>
  <si>
    <t>0                      PG 3453000B  9                  A  6           1993</t>
  </si>
  <si>
    <t>Sobranie sochineniĭ v vosʹmi tomakh / I.A. Bunin ; [vstupitelʹnai︠a︡ stati︠a︡, F.A. Stepuna ; sostavlenie, kommentarii, podgotovka teksta i podbor illi︠u︡strat︠s︡iĭ k tomam 1-8, A.K. Baboreko].</t>
  </si>
  <si>
    <t>Moskva : Moskovskiĭ rabochiĭ, 1993-</t>
  </si>
  <si>
    <t>2017-10-19</t>
  </si>
  <si>
    <t>3769523862:rus</t>
  </si>
  <si>
    <t>30967027</t>
  </si>
  <si>
    <t>ocm30967027</t>
  </si>
  <si>
    <t>31029456621</t>
  </si>
  <si>
    <t>9785239016565</t>
  </si>
  <si>
    <t>793349943</t>
  </si>
  <si>
    <t>3102945689Y</t>
  </si>
  <si>
    <t>793349941</t>
  </si>
  <si>
    <t>31029456671</t>
  </si>
  <si>
    <t>793349938</t>
  </si>
  <si>
    <t>31029456631</t>
  </si>
  <si>
    <t>793349942</t>
  </si>
  <si>
    <t>31029456641</t>
  </si>
  <si>
    <t>793349944</t>
  </si>
  <si>
    <t>31029456681</t>
  </si>
  <si>
    <t>793349940</t>
  </si>
  <si>
    <t>2002-10-18</t>
  </si>
  <si>
    <t>3102945684Y</t>
  </si>
  <si>
    <t>793349939</t>
  </si>
  <si>
    <t>PG3453 B9 A613 1989</t>
  </si>
  <si>
    <t>0                      PG 3453000B  9                  A  613         1989</t>
  </si>
  <si>
    <t>Wolves &amp; other love stories / Ivan Bunin ; translated from the Russian by Mark C. Scott.</t>
  </si>
  <si>
    <t>Santa Barbara, Calif. : Capra Press, 1989.</t>
  </si>
  <si>
    <t>2015-02-09</t>
  </si>
  <si>
    <t>293880908:eng</t>
  </si>
  <si>
    <t>19814428</t>
  </si>
  <si>
    <t>ocm19814428</t>
  </si>
  <si>
    <t>31029456593</t>
  </si>
  <si>
    <t>9780884963035</t>
  </si>
  <si>
    <t>793069396</t>
  </si>
  <si>
    <t>PG3453 B9 D53</t>
  </si>
  <si>
    <t>0                      PG 3453000B  9                  D  53</t>
  </si>
  <si>
    <t>The village / authorized translation from the Russian of Ivan Bunin, by Isabel F. Hapgood.</t>
  </si>
  <si>
    <t>2001-09-28</t>
  </si>
  <si>
    <t>365635394:eng</t>
  </si>
  <si>
    <t>2088856</t>
  </si>
  <si>
    <t>ocm02088856</t>
  </si>
  <si>
    <t>31029457216</t>
  </si>
  <si>
    <t>792043097</t>
  </si>
  <si>
    <t>31029456573</t>
  </si>
  <si>
    <t>792043098</t>
  </si>
  <si>
    <t>PG3453 B9 G613 1923</t>
  </si>
  <si>
    <t>0                      PG 3453000B  9                  G  613         1923</t>
  </si>
  <si>
    <t>The gentleman from San Francisco : and other stories / by I.A. Bunin.</t>
  </si>
  <si>
    <t>New York : Thomas Seltzer, 1923.</t>
  </si>
  <si>
    <t>451097:eng</t>
  </si>
  <si>
    <t>1132844</t>
  </si>
  <si>
    <t>ocm01132844</t>
  </si>
  <si>
    <t>31029457314</t>
  </si>
  <si>
    <t>791554012</t>
  </si>
  <si>
    <t>PG3453 B9 T413 1977</t>
  </si>
  <si>
    <t>0                      PG 3453000B  9                  T  413         1977</t>
  </si>
  <si>
    <t>Dark avenues, and other stories / by Ivan Bunin ; translated from the Russian by Richard Hare.</t>
  </si>
  <si>
    <t>Classics Russian literature</t>
  </si>
  <si>
    <t>543621:eng</t>
  </si>
  <si>
    <t>2597932</t>
  </si>
  <si>
    <t>ocm02597932</t>
  </si>
  <si>
    <t>3102945700A</t>
  </si>
  <si>
    <t>9780883554791</t>
  </si>
  <si>
    <t>792149896</t>
  </si>
  <si>
    <t>PG3453 B9 Z213 1994</t>
  </si>
  <si>
    <t>0                      PG 3453000B  9                  Z  213         1994</t>
  </si>
  <si>
    <t>The life of Arseniev : youth / Ivan Bunin ; books 1-4 translated by Gleb Struve and Hamish Miles, book 5 translated by Heidi Hillis, Susan McKean, and Sven A. Wolf ; edited, annotated, and with an introduction by Andrew Baruch Wachtel.</t>
  </si>
  <si>
    <t>2790431379:eng</t>
  </si>
  <si>
    <t>30624218</t>
  </si>
  <si>
    <t>ocm30624218</t>
  </si>
  <si>
    <t>3103602088M</t>
  </si>
  <si>
    <t>9780810111721</t>
  </si>
  <si>
    <t>793340458</t>
  </si>
  <si>
    <t>PG3453 B9 Z2388 1997</t>
  </si>
  <si>
    <t>0                      PG 3453000B  9                  Z  2388        1997</t>
  </si>
  <si>
    <t>The narratology of the autobiography : an analysis of the literary devices employed in Ivan Bunin's "The life of Arsen'ev" / Alexander F. Zweers.</t>
  </si>
  <si>
    <t>Zweers, Alexander F., 1931-</t>
  </si>
  <si>
    <t>New York : Peter Lang, ©1997.</t>
  </si>
  <si>
    <t>Middlebury studies in Russian language and literature ; v. 11</t>
  </si>
  <si>
    <t>2018-04-30</t>
  </si>
  <si>
    <t>39937343:eng</t>
  </si>
  <si>
    <t>34618134</t>
  </si>
  <si>
    <t>ocm34618134</t>
  </si>
  <si>
    <t>3102808529Q</t>
  </si>
  <si>
    <t>9780820433578</t>
  </si>
  <si>
    <t>793431455</t>
  </si>
  <si>
    <t>PG3453 B9 Z5678 2012</t>
  </si>
  <si>
    <t>0                      PG 3453000B  9                  Z  5678        2012</t>
  </si>
  <si>
    <t>I.A. Bunin v Pribaltike : Literaturnoe turne 1938 goda / A.V. Bakunt︠s︡ev.</t>
  </si>
  <si>
    <t>Bakunt︠s︡ev, A. V., author.</t>
  </si>
  <si>
    <t>Moskva : Dom russkogo zarubezhʹi︠a︡ im. Aleksandra Solzhenit︠s︡yna, 2012.</t>
  </si>
  <si>
    <t>3862222381:rus</t>
  </si>
  <si>
    <t>846816025</t>
  </si>
  <si>
    <t>ocn846816025</t>
  </si>
  <si>
    <t>3103527263W</t>
  </si>
  <si>
    <t>9785988540434</t>
  </si>
  <si>
    <t>794949292</t>
  </si>
  <si>
    <t>PG3453 B9 Z718 1995</t>
  </si>
  <si>
    <t>0                      PG 3453000B  9                  Z  718         1995</t>
  </si>
  <si>
    <t>Ivan Bunin : from the other shore, 1920-1933 : a portrait from letters, diaries, and fiction / edited with an introduction and notes by Thomas Gaiton Marullo.</t>
  </si>
  <si>
    <t>Chicago : Ivan R. Dee, 1995.</t>
  </si>
  <si>
    <t>2015-01-08</t>
  </si>
  <si>
    <t>3857380864:eng</t>
  </si>
  <si>
    <t>31754955</t>
  </si>
  <si>
    <t>ocm31754955</t>
  </si>
  <si>
    <t>3102945698W</t>
  </si>
  <si>
    <t>9781566630832</t>
  </si>
  <si>
    <t>793367372</t>
  </si>
  <si>
    <t>PG3455 A1 1999</t>
  </si>
  <si>
    <t>0                      PG 3455000A  1           1999</t>
  </si>
  <si>
    <t>Sobranie sochineniĭ v pi︠a︡tnadt︠s︡ati tomakh / A.P. Chekhov ; [sostavitelʹ O. Dorofeev].</t>
  </si>
  <si>
    <t>Chekhov, Anton Pavlovich, 1860-1904.</t>
  </si>
  <si>
    <t>Moskva : "TERRA", 1999-</t>
  </si>
  <si>
    <t>2008-10-27</t>
  </si>
  <si>
    <t>4020611406:rus</t>
  </si>
  <si>
    <t>42673955</t>
  </si>
  <si>
    <t>ocm42673955</t>
  </si>
  <si>
    <t>3102087472Z</t>
  </si>
  <si>
    <t>9785300024147</t>
  </si>
  <si>
    <t>793611187</t>
  </si>
  <si>
    <t>STANDING ORDER:V.9 ONWARDS</t>
  </si>
  <si>
    <t>B000043743</t>
  </si>
  <si>
    <t>793611192</t>
  </si>
  <si>
    <t>2010-06-19</t>
  </si>
  <si>
    <t>3102392874G</t>
  </si>
  <si>
    <t>793611177</t>
  </si>
  <si>
    <t>2014-04-25</t>
  </si>
  <si>
    <t>3102392903R</t>
  </si>
  <si>
    <t>793611185</t>
  </si>
  <si>
    <t>2009-08-19</t>
  </si>
  <si>
    <t>3102392884E</t>
  </si>
  <si>
    <t>793611181</t>
  </si>
  <si>
    <t>2004-06-01</t>
  </si>
  <si>
    <t>3102087464Y</t>
  </si>
  <si>
    <t>793611189</t>
  </si>
  <si>
    <t>31020874605</t>
  </si>
  <si>
    <t>793611191</t>
  </si>
  <si>
    <t>3102392894C</t>
  </si>
  <si>
    <t>793611178</t>
  </si>
  <si>
    <t>2014-09-28</t>
  </si>
  <si>
    <t>3102392908R</t>
  </si>
  <si>
    <t>793611183</t>
  </si>
  <si>
    <t>3102087469O</t>
  </si>
  <si>
    <t>793611190</t>
  </si>
  <si>
    <t>3102392913P</t>
  </si>
  <si>
    <t>793611184</t>
  </si>
  <si>
    <t>2005-09-21</t>
  </si>
  <si>
    <t>3102392889E</t>
  </si>
  <si>
    <t>793611179</t>
  </si>
  <si>
    <t>2006-01-05</t>
  </si>
  <si>
    <t>3102087477P</t>
  </si>
  <si>
    <t>793611186</t>
  </si>
  <si>
    <t>2009-08-21</t>
  </si>
  <si>
    <t>3102392879G</t>
  </si>
  <si>
    <t>793611182</t>
  </si>
  <si>
    <t>2014-11-18</t>
  </si>
  <si>
    <t>3102392899C</t>
  </si>
  <si>
    <t>793611180</t>
  </si>
  <si>
    <t>3102087468Q</t>
  </si>
  <si>
    <t>793611188</t>
  </si>
  <si>
    <t>PG3455 A1 2009</t>
  </si>
  <si>
    <t>0                      PG 3455000A  1           2009</t>
  </si>
  <si>
    <t>Polnoe sobranie povesteĭ, rasskazov i i︠u︡moresok v dvukh tomakh / Anton Chekhov.</t>
  </si>
  <si>
    <t>Moskva : Alʹfa-Kniga, 2009.</t>
  </si>
  <si>
    <t>375837922:rus</t>
  </si>
  <si>
    <t>503011743</t>
  </si>
  <si>
    <t>ocn503011743</t>
  </si>
  <si>
    <t>31032515899</t>
  </si>
  <si>
    <t>9785992203875</t>
  </si>
  <si>
    <t>794806056</t>
  </si>
  <si>
    <t>31032515889</t>
  </si>
  <si>
    <t>794806057</t>
  </si>
  <si>
    <t>PG3455 A15 1962</t>
  </si>
  <si>
    <t>0                      PG 3455000A  15          1962</t>
  </si>
  <si>
    <t>Izbrannye proizvedenii︠a︡ / A. P. Chekhov.</t>
  </si>
  <si>
    <t>Chekhov, Anton Pavlovich, 1860-1904, author.</t>
  </si>
  <si>
    <t>Moskva : Gosudarstvennoe izdatelʹstvo khudozhestvennoí literatury, 1962.</t>
  </si>
  <si>
    <t>2007-03-07</t>
  </si>
  <si>
    <t>2020-01-16</t>
  </si>
  <si>
    <t>9965453887:rus</t>
  </si>
  <si>
    <t>9340293</t>
  </si>
  <si>
    <t>ocm09340293</t>
  </si>
  <si>
    <t>3100460226B</t>
  </si>
  <si>
    <t>792671056</t>
  </si>
  <si>
    <t>3100416090A</t>
  </si>
  <si>
    <t>792671057</t>
  </si>
  <si>
    <t>3000649849C</t>
  </si>
  <si>
    <t>792671058</t>
  </si>
  <si>
    <t>PG3455 A15 1969</t>
  </si>
  <si>
    <t>0                      PG 3455000A  15          1969</t>
  </si>
  <si>
    <t>Three stories. [Tri rasskaza i Popryhunʹi︠a︡, Chelovek v futliare, Dushechka] [by] A.P. Chekhov; with an introduction, notes and vocabulary by L.S.K. le Fleming.</t>
  </si>
  <si>
    <t>Letchworth, Bradda, 1969.</t>
  </si>
  <si>
    <t>3857528129:rus</t>
  </si>
  <si>
    <t>95519</t>
  </si>
  <si>
    <t>ocm00095519</t>
  </si>
  <si>
    <t>3000651040M</t>
  </si>
  <si>
    <t>9780900186097</t>
  </si>
  <si>
    <t>791254517</t>
  </si>
  <si>
    <t>PG3455 A19 1972</t>
  </si>
  <si>
    <t>0                      PG 3455000A  19          1972</t>
  </si>
  <si>
    <t>P'esy : Plays.</t>
  </si>
  <si>
    <t>London : Bradda Books, [1972?]</t>
  </si>
  <si>
    <t>2261096802:rus</t>
  </si>
  <si>
    <t>427511258</t>
  </si>
  <si>
    <t>ocn427511258</t>
  </si>
  <si>
    <t>31024553246</t>
  </si>
  <si>
    <t>794672080</t>
  </si>
  <si>
    <t>PG3455 A2 1950</t>
  </si>
  <si>
    <t>0                      PG 3455000A  2           1950</t>
  </si>
  <si>
    <t>Sobranie sochineniĭ / A.P. Chekhov ; pod nabli︠u︡deniem V.V. Ermilova.</t>
  </si>
  <si>
    <t>Moskva : Pravda, 1950-</t>
  </si>
  <si>
    <t>Biblioteka "Ogonek"</t>
  </si>
  <si>
    <t>2843321011:rus</t>
  </si>
  <si>
    <t>4836959</t>
  </si>
  <si>
    <t>ocm04836959</t>
  </si>
  <si>
    <t>31033380556</t>
  </si>
  <si>
    <t>792387399</t>
  </si>
  <si>
    <t>31033380526</t>
  </si>
  <si>
    <t>792387400</t>
  </si>
  <si>
    <t>31033380576</t>
  </si>
  <si>
    <t>792387410</t>
  </si>
  <si>
    <t>31033380634</t>
  </si>
  <si>
    <t>792387403</t>
  </si>
  <si>
    <t>31033380546</t>
  </si>
  <si>
    <t>792387409</t>
  </si>
  <si>
    <t>31033380722</t>
  </si>
  <si>
    <t>792387408</t>
  </si>
  <si>
    <t>31033380674</t>
  </si>
  <si>
    <t>792387406</t>
  </si>
  <si>
    <t>31033380536</t>
  </si>
  <si>
    <t>792387402</t>
  </si>
  <si>
    <t>31033380586</t>
  </si>
  <si>
    <t>792387404</t>
  </si>
  <si>
    <t>31033380596</t>
  </si>
  <si>
    <t>792387405</t>
  </si>
  <si>
    <t>31033380684</t>
  </si>
  <si>
    <t>792387407</t>
  </si>
  <si>
    <t>31033380624</t>
  </si>
  <si>
    <t>792387401</t>
  </si>
  <si>
    <t>PG3455 D5 1976</t>
  </si>
  <si>
    <t>0                      PG 3455000D  5           1976</t>
  </si>
  <si>
    <t>Di︠a︡di︠a︡ Vani︠a︡ = Uncle Vanya / by Anton Chekhov ; edited with an introduction, notes and a select vocabulary by David Magarshack.</t>
  </si>
  <si>
    <t>Letchworth, Hertfordshire, Eng. : Bradda Books, 1976.</t>
  </si>
  <si>
    <t>1213389330:rus</t>
  </si>
  <si>
    <t>3745801</t>
  </si>
  <si>
    <t>ocm03745801</t>
  </si>
  <si>
    <t>3103251157R</t>
  </si>
  <si>
    <t>792287238</t>
  </si>
  <si>
    <t>PG3455 T8 M38 1995</t>
  </si>
  <si>
    <t>0                      PG 3455000T  8                  M  38          1995</t>
  </si>
  <si>
    <t>Chekhov's Three sisters / Gordon McVay.</t>
  </si>
  <si>
    <t>McVay, Gordon.</t>
  </si>
  <si>
    <t>London : Bristol Classical Press ; Newburyport, MA : Available in U.S. and Canada from Focus Information Group, 1995.</t>
  </si>
  <si>
    <t>2017-03-27</t>
  </si>
  <si>
    <t>816243:eng</t>
  </si>
  <si>
    <t>32567066</t>
  </si>
  <si>
    <t>ocm32567066</t>
  </si>
  <si>
    <t>3102227386D</t>
  </si>
  <si>
    <t>9781853993824</t>
  </si>
  <si>
    <t>793388917</t>
  </si>
  <si>
    <t>PG3455 T8 1962</t>
  </si>
  <si>
    <t>0                      PG 3455000T  8           1962</t>
  </si>
  <si>
    <t>Tri sestry / A.P. Chekhov = Three sisters / A.P. Chekhov ; edited with introduction, notes, and vocabulary by J.M.C. Davidson ; the text has been stressed by L.A. Volossevich.</t>
  </si>
  <si>
    <t>London : Bradda Books ; Chicago : Distributed by Russian Language Specialties, ©1962.</t>
  </si>
  <si>
    <t>1850512607:rus</t>
  </si>
  <si>
    <t>7029072</t>
  </si>
  <si>
    <t>ocm07029072</t>
  </si>
  <si>
    <t>3102815566P</t>
  </si>
  <si>
    <t>792536227</t>
  </si>
  <si>
    <t>PG3455 V5 1962</t>
  </si>
  <si>
    <t>0                      PG 3455000V  5           1962</t>
  </si>
  <si>
    <t>Vishnevyi sad: The cherry orchard. Edited with notes and vocabulary by J.M.C. Davidson.</t>
  </si>
  <si>
    <t>London, Bradda Books [1962]</t>
  </si>
  <si>
    <t>8847712447:rus</t>
  </si>
  <si>
    <t>1128607</t>
  </si>
  <si>
    <t>ocm01128607</t>
  </si>
  <si>
    <t>3103249714R</t>
  </si>
  <si>
    <t>791553357</t>
  </si>
  <si>
    <t>PG3455 V53 G6</t>
  </si>
  <si>
    <t>0                      PG 3455000V  53                 G  6</t>
  </si>
  <si>
    <t>Chekhov's The cherry orchard. Edited by Herbert Goldstone.</t>
  </si>
  <si>
    <t>Goldstone, Herbert, editor.</t>
  </si>
  <si>
    <t>Boston, Allyn and Bacon, 1965.</t>
  </si>
  <si>
    <t>Allyn and Bacon casebook series</t>
  </si>
  <si>
    <t>2741961:eng</t>
  </si>
  <si>
    <t>1873666</t>
  </si>
  <si>
    <t>ocm01873666</t>
  </si>
  <si>
    <t>3100980537L</t>
  </si>
  <si>
    <t>792003394</t>
  </si>
  <si>
    <t>PG3455 V53 R39 1994</t>
  </si>
  <si>
    <t>0                      PG 3455000V  53                 R  39          1994</t>
  </si>
  <si>
    <t>The cherry orchard : catastrophe and comedy / Donald Rayfield.</t>
  </si>
  <si>
    <t>Rayfield, Donald, 1942-</t>
  </si>
  <si>
    <t>New York : Twayne Publishers, ©1994.</t>
  </si>
  <si>
    <t>Twayne's masterwork studies ; no. 131</t>
  </si>
  <si>
    <t>30826294:eng</t>
  </si>
  <si>
    <t>28584298</t>
  </si>
  <si>
    <t>ocm28584298</t>
  </si>
  <si>
    <t>3101355778Q</t>
  </si>
  <si>
    <t>9780805783643</t>
  </si>
  <si>
    <t>793291365</t>
  </si>
  <si>
    <t>PG3455 V53 S54 2012</t>
  </si>
  <si>
    <t>0                      PG 3455000V  53                 S  54          2012</t>
  </si>
  <si>
    <t>Putevoditelʹ po komedii A.P. Chekhova "Vishnevyĭ sad" : uchebnoe posobie / S.L. Shelekhov.</t>
  </si>
  <si>
    <t>Shelekhov, S. L. (Sergeĭ Leonidovich)</t>
  </si>
  <si>
    <t>Moskva : Izdatelʹstvo Moskovskogo universiteta, 2012.</t>
  </si>
  <si>
    <t>2013-11-08</t>
  </si>
  <si>
    <t>3864012607:rus</t>
  </si>
  <si>
    <t>818843931</t>
  </si>
  <si>
    <t>ocn818843931</t>
  </si>
  <si>
    <t>31035245304</t>
  </si>
  <si>
    <t>9785211061774</t>
  </si>
  <si>
    <t>794934206</t>
  </si>
  <si>
    <t>PG3456 A1 1965</t>
  </si>
  <si>
    <t>0                      PG 3456000A  1           1965</t>
  </si>
  <si>
    <t>The Oxford Chekhov / translated and edited by Ronald Hingley.</t>
  </si>
  <si>
    <t>London ; New York : Oxford University Press, 1964-1980</t>
  </si>
  <si>
    <t>198296309:eng</t>
  </si>
  <si>
    <t>185344</t>
  </si>
  <si>
    <t>ocm00185344</t>
  </si>
  <si>
    <t>3000149366U</t>
  </si>
  <si>
    <t>9780192113535</t>
  </si>
  <si>
    <t>791286120</t>
  </si>
  <si>
    <t>2006-04-09</t>
  </si>
  <si>
    <t>31001481810</t>
  </si>
  <si>
    <t>791286116</t>
  </si>
  <si>
    <t>2015-02-16</t>
  </si>
  <si>
    <t>31034371237</t>
  </si>
  <si>
    <t>791286128</t>
  </si>
  <si>
    <t>2003-08-13</t>
  </si>
  <si>
    <t>3100148188N</t>
  </si>
  <si>
    <t>791286113</t>
  </si>
  <si>
    <t>31004602368</t>
  </si>
  <si>
    <t>791286123</t>
  </si>
  <si>
    <t>3100148186R</t>
  </si>
  <si>
    <t>791286114</t>
  </si>
  <si>
    <t>3100148187P</t>
  </si>
  <si>
    <t>791286122</t>
  </si>
  <si>
    <t>3100148185T</t>
  </si>
  <si>
    <t>791286115</t>
  </si>
  <si>
    <t>2005-09-23</t>
  </si>
  <si>
    <t>3100148183X</t>
  </si>
  <si>
    <t>791286118</t>
  </si>
  <si>
    <t>2019-09-19</t>
  </si>
  <si>
    <t>3100148182Z</t>
  </si>
  <si>
    <t>791286117</t>
  </si>
  <si>
    <t>3100148189L</t>
  </si>
  <si>
    <t>791286112</t>
  </si>
  <si>
    <t>31001481802</t>
  </si>
  <si>
    <t>791286125</t>
  </si>
  <si>
    <t>3100146211R</t>
  </si>
  <si>
    <t>791286129</t>
  </si>
  <si>
    <t>31002353840</t>
  </si>
  <si>
    <t>791286127</t>
  </si>
  <si>
    <t>2004-05-26</t>
  </si>
  <si>
    <t>3100460194Z</t>
  </si>
  <si>
    <t>791286121</t>
  </si>
  <si>
    <t>3000312217C</t>
  </si>
  <si>
    <t>791286119</t>
  </si>
  <si>
    <t>31004602376</t>
  </si>
  <si>
    <t>791286124</t>
  </si>
  <si>
    <t>2011-09-12</t>
  </si>
  <si>
    <t>3100909753I</t>
  </si>
  <si>
    <t>791286126</t>
  </si>
  <si>
    <t>PG3456 A13 B37 2004</t>
  </si>
  <si>
    <t>0                      PG 3456000A  13                 B  37          2004</t>
  </si>
  <si>
    <t>About love and other stories / Anton Chekhov ; translated with an introduction and notes by Rosamund Bartlett.</t>
  </si>
  <si>
    <t>4</t>
  </si>
  <si>
    <t>Oxford [England] ; New York : Oxford University Press, 2004.</t>
  </si>
  <si>
    <t>4494917515:eng</t>
  </si>
  <si>
    <t>54111400</t>
  </si>
  <si>
    <t>ocm54111400</t>
  </si>
  <si>
    <t>31025838823</t>
  </si>
  <si>
    <t>9780192802606</t>
  </si>
  <si>
    <t>793857661</t>
  </si>
  <si>
    <t>PG3456 A13 B38 2008</t>
  </si>
  <si>
    <t>0                      PG 3456000A  13                 B  38          2008</t>
  </si>
  <si>
    <t>The exclamation mark / Anton Chekhov ; translated by Rosamund Bartlett.</t>
  </si>
  <si>
    <t>London : Hesperus, 2008.</t>
  </si>
  <si>
    <t>1104874113:eng</t>
  </si>
  <si>
    <t>182731251</t>
  </si>
  <si>
    <t>ocn182731251</t>
  </si>
  <si>
    <t>3103054309V</t>
  </si>
  <si>
    <t>9781843911746</t>
  </si>
  <si>
    <t>794285223</t>
  </si>
  <si>
    <t>PG3456 A13 B58 2015</t>
  </si>
  <si>
    <t>0                      PG 3456000A  13                 B  58          2015</t>
  </si>
  <si>
    <t>The prank : the best of young Chekhov / Anton Chekhov ; translated from the Russian and with an introduction by Maria Bloshteyn ; illustrated by Nikolay Chekhov.</t>
  </si>
  <si>
    <t>New York : New York Review Books, [2015]</t>
  </si>
  <si>
    <t>881436908</t>
  </si>
  <si>
    <t>ocn881436908</t>
  </si>
  <si>
    <t>31035836940</t>
  </si>
  <si>
    <t>9781590178362</t>
  </si>
  <si>
    <t>794974361</t>
  </si>
  <si>
    <t>PG3456 A13 B78 2008</t>
  </si>
  <si>
    <t>0                      PG 3456000A  13                 B  78          2008</t>
  </si>
  <si>
    <t>How to write like Chekhov : advice and inspiration, straight from his own letters and work / edited and introduced by Piero Brunello and Lena Lenček ; translated from the Russian and Italian by Lena Lenček.</t>
  </si>
  <si>
    <t>[Cambridge, MA] : Da Capo Lifelong, 2008.</t>
  </si>
  <si>
    <t>1st Da Capo Press ed.</t>
  </si>
  <si>
    <t>1059101773:eng</t>
  </si>
  <si>
    <t>144525645</t>
  </si>
  <si>
    <t>ocn144525645</t>
  </si>
  <si>
    <t>31030555679</t>
  </si>
  <si>
    <t>9781569242599</t>
  </si>
  <si>
    <t>794235914</t>
  </si>
  <si>
    <t>PG3456 A13 C65 2005</t>
  </si>
  <si>
    <t>0                      PG 3456000A  13                 C  65          2005</t>
  </si>
  <si>
    <t>Chekhov : the four major plays / in new translations by Curt Columbus.</t>
  </si>
  <si>
    <t>Chicago : Ivan R. Dee, ©2005.</t>
  </si>
  <si>
    <t>3857809858:eng</t>
  </si>
  <si>
    <t>55600586</t>
  </si>
  <si>
    <t>ocm55600586</t>
  </si>
  <si>
    <t>31027350189</t>
  </si>
  <si>
    <t>9781566636254</t>
  </si>
  <si>
    <t>793879154</t>
  </si>
  <si>
    <t>PG3456 A13 C66 2016</t>
  </si>
  <si>
    <t>0                      PG 3456000A  13                 C  66          2016</t>
  </si>
  <si>
    <t>Little apples and other early stories / Anton Chekhov ; translated by Peter Constantine ; introduction by Cathy Popkin.</t>
  </si>
  <si>
    <t>New York : Seven Stories Press, [2016]</t>
  </si>
  <si>
    <t>A Seven Stories Press First edition.</t>
  </si>
  <si>
    <t>908517447</t>
  </si>
  <si>
    <t>ocn908517447</t>
  </si>
  <si>
    <t>3103654003G</t>
  </si>
  <si>
    <t>9781609806644</t>
  </si>
  <si>
    <t>794994769</t>
  </si>
  <si>
    <t>PG3456 A13 C68 2003</t>
  </si>
  <si>
    <t>0                      PG 3456000A  13                 C  68          2003</t>
  </si>
  <si>
    <t>Chekhov's doctors : a collection of Chekhov's medical tales / edited by Jack Coulehan ; foreword by Robert Coles.</t>
  </si>
  <si>
    <t>Kent, Ohio : Kent State University Press, [2003]</t>
  </si>
  <si>
    <t>Literature and medicine ; 5</t>
  </si>
  <si>
    <t>2015-09-08</t>
  </si>
  <si>
    <t>52388002</t>
  </si>
  <si>
    <t>ocm52388002</t>
  </si>
  <si>
    <t>3102889096K</t>
  </si>
  <si>
    <t>9780873387804</t>
  </si>
  <si>
    <t>793805304</t>
  </si>
  <si>
    <t>PG3456 A13 D8 1965</t>
  </si>
  <si>
    <t>0                      PG 3456000A  13                 D  8           1965</t>
  </si>
  <si>
    <t>Ward six and other stories. A new translation by Ann Dunnigan. With an afterword by Rufus W. Mathewson.</t>
  </si>
  <si>
    <t>[New York] New American Library [1965]</t>
  </si>
  <si>
    <t>Signet classic ; CT290</t>
  </si>
  <si>
    <t>1005623</t>
  </si>
  <si>
    <t>ocm01005623</t>
  </si>
  <si>
    <t>3000613676S</t>
  </si>
  <si>
    <t>791523163</t>
  </si>
  <si>
    <t>PG3456 A13 H56 2008</t>
  </si>
  <si>
    <t>0                      PG 3456000A  13                 H  56          2008</t>
  </si>
  <si>
    <t>Five plays / by Anton Chekhov ; translated by Ronald Hingley.</t>
  </si>
  <si>
    <t>2018-03-26</t>
  </si>
  <si>
    <t>291007519:eng</t>
  </si>
  <si>
    <t>226280275</t>
  </si>
  <si>
    <t>ocn226280275</t>
  </si>
  <si>
    <t>3103042739Q</t>
  </si>
  <si>
    <t>9780199536696</t>
  </si>
  <si>
    <t>794344538</t>
  </si>
  <si>
    <t>3103042744O</t>
  </si>
  <si>
    <t>794344539</t>
  </si>
  <si>
    <t>PG3456 A13 M35</t>
  </si>
  <si>
    <t>0                      PG 3456000A  13                 M  35</t>
  </si>
  <si>
    <t>Anton Chekhov's short stories : texts of the stories, backgrounds, criticism / selected and edited by Ralph E. Matlaw.</t>
  </si>
  <si>
    <t>New York : W.W. Norton &amp; Company, [1979]</t>
  </si>
  <si>
    <t>2261156412:eng</t>
  </si>
  <si>
    <t>4036487</t>
  </si>
  <si>
    <t>ocm04036487</t>
  </si>
  <si>
    <t>3000176121K</t>
  </si>
  <si>
    <t>9780393045284</t>
  </si>
  <si>
    <t>792315815</t>
  </si>
  <si>
    <t>PG3456 A13 M87 2014</t>
  </si>
  <si>
    <t>0                      PG 3456000A  13                 M  87          2014</t>
  </si>
  <si>
    <t>Chekhov : shorts / translated and introduced by Stephen Murline.</t>
  </si>
  <si>
    <t>London : Nick Hern Books, ©2014.</t>
  </si>
  <si>
    <t>1856226985:eng</t>
  </si>
  <si>
    <t>869343228</t>
  </si>
  <si>
    <t>ocn869343228</t>
  </si>
  <si>
    <t>3103611994R</t>
  </si>
  <si>
    <t>9781848422919</t>
  </si>
  <si>
    <t>794965337</t>
  </si>
  <si>
    <t>PG3456 A13 P48 2000</t>
  </si>
  <si>
    <t>0                      PG 3456000A  13                 P  48          2000</t>
  </si>
  <si>
    <t>Selected Stories of Anton Chekhov / by Anton Chekhov ; translated by Richard Pevear and Larissa Volokhonsky.</t>
  </si>
  <si>
    <t>New York : Bantam Books, 2000.</t>
  </si>
  <si>
    <t>43790819</t>
  </si>
  <si>
    <t>ocm43790819</t>
  </si>
  <si>
    <t>3102947660U</t>
  </si>
  <si>
    <t>9780553381009</t>
  </si>
  <si>
    <t>793634655</t>
  </si>
  <si>
    <t>PG3456 A13 P48 2004</t>
  </si>
  <si>
    <t>0                      PG 3456000A  13                 P  48          2004</t>
  </si>
  <si>
    <t>The complete short novels / Anton Chekhov ; translated from the Russian by Richard Pevear and Larissa Volokhonsky ; with an introduction by Richard Pevear.</t>
  </si>
  <si>
    <t>Everyman's Library ; 277</t>
  </si>
  <si>
    <t>53331729</t>
  </si>
  <si>
    <t>ocm53331729</t>
  </si>
  <si>
    <t>3103089348P</t>
  </si>
  <si>
    <t>9781400040490</t>
  </si>
  <si>
    <t>793826553</t>
  </si>
  <si>
    <t>PG3456 A13 P66 2014</t>
  </si>
  <si>
    <t>0                      PG 3456000A  13                 P  66          2014</t>
  </si>
  <si>
    <t>Anton Chekhov's selected stories : texts of the stories, comparison of translations, life and letters, criticism / selected and edited by Cathy Popkin, Columbia University.</t>
  </si>
  <si>
    <t>New York ; London : W.W. Norton &amp; Company, [2014]</t>
  </si>
  <si>
    <t>855779283</t>
  </si>
  <si>
    <t>ocn855779283</t>
  </si>
  <si>
    <t>3103532335D</t>
  </si>
  <si>
    <t>9780393925302</t>
  </si>
  <si>
    <t>794953830</t>
  </si>
  <si>
    <t>PG3456 A13 Y3 1960</t>
  </si>
  <si>
    <t>0                      PG 3456000A  13                 Y  3           1960</t>
  </si>
  <si>
    <t>The portable Chekhov / edited with and introduction by Avrahm Yarmolinsky.</t>
  </si>
  <si>
    <t>New York : [publisher not identified], [1960]</t>
  </si>
  <si>
    <t>Viking portable library</t>
  </si>
  <si>
    <t>2010-03-09</t>
  </si>
  <si>
    <t>2016-06-30</t>
  </si>
  <si>
    <t>196623185:eng</t>
  </si>
  <si>
    <t>427855419</t>
  </si>
  <si>
    <t>ocn427855419</t>
  </si>
  <si>
    <t>3000551857H</t>
  </si>
  <si>
    <t>794703534</t>
  </si>
  <si>
    <t>3100141590I</t>
  </si>
  <si>
    <t>794703532</t>
  </si>
  <si>
    <t>2014-03-15</t>
  </si>
  <si>
    <t>3100141708L</t>
  </si>
  <si>
    <t>794703535</t>
  </si>
  <si>
    <t>2005-04-11</t>
  </si>
  <si>
    <t>3100141707N</t>
  </si>
  <si>
    <t>794703533</t>
  </si>
  <si>
    <t>PG3456 A15 F66 1999</t>
  </si>
  <si>
    <t>0                      PG 3456000A  15                 F  66          1999</t>
  </si>
  <si>
    <t>Anton Chekhov : later short stories, 1888-1903 / edited by Shelby Foote ; translated by Constance Garnett.</t>
  </si>
  <si>
    <t>New York : Modern Library, 1999.</t>
  </si>
  <si>
    <t>39024687</t>
  </si>
  <si>
    <t>ocm39024687</t>
  </si>
  <si>
    <t>31029979470</t>
  </si>
  <si>
    <t>9780679603160</t>
  </si>
  <si>
    <t>793536056</t>
  </si>
  <si>
    <t>PG3456 A15 F66 1999b</t>
  </si>
  <si>
    <t>0                      PG 3456000A  15                 F  66          1999b</t>
  </si>
  <si>
    <t>Anton Chekhov : early short stories, 1883-1888 / edited by Shelby Foote ; translated by Constance Garnett.</t>
  </si>
  <si>
    <t>39024689</t>
  </si>
  <si>
    <t>ocm39024689</t>
  </si>
  <si>
    <t>31019453786</t>
  </si>
  <si>
    <t>9780679603177</t>
  </si>
  <si>
    <t>793536057</t>
  </si>
  <si>
    <t>PG3456 A15 G3 v.3</t>
  </si>
  <si>
    <t>0                      PG 3456000A  15                 G  3                                 v.3</t>
  </si>
  <si>
    <t>The lady with the dog and other stories / by Anton Tchehov ; from the Russian by Constance Garnett.</t>
  </si>
  <si>
    <t>v.3*</t>
  </si>
  <si>
    <t>London : Chatto &amp; Windus, 1917.</t>
  </si>
  <si>
    <t>The tales of Tchehov ; v. 3</t>
  </si>
  <si>
    <t>18342968</t>
  </si>
  <si>
    <t>ocm18342968</t>
  </si>
  <si>
    <t>31031277712</t>
  </si>
  <si>
    <t>793022092</t>
  </si>
  <si>
    <t>PG3456 A15 G3 1998</t>
  </si>
  <si>
    <t>0                      PG 3456000A  15                 G  3           1998</t>
  </si>
  <si>
    <t>The essential tales of Chekhov / edited and with an introduction by Richard Ford ; translated by Constance Garnett.</t>
  </si>
  <si>
    <t>Hopewell, N.J. : Ecco Press, 1998.</t>
  </si>
  <si>
    <t>2016-11-22</t>
  </si>
  <si>
    <t>39217783</t>
  </si>
  <si>
    <t>ocm39217783</t>
  </si>
  <si>
    <t>31019110326</t>
  </si>
  <si>
    <t>9780880016070</t>
  </si>
  <si>
    <t>793540977</t>
  </si>
  <si>
    <t>PG3456 A15 H44 2012</t>
  </si>
  <si>
    <t>0                      PG 3456000A  15                 H  44          2012</t>
  </si>
  <si>
    <t>About love : 3 stories / by Anton Chekhov ; translated by David Helwig ; designed &amp; decorated by Seth.</t>
  </si>
  <si>
    <t>[Emeryville, Ont.] : Biblioasis, 2012.</t>
  </si>
  <si>
    <t>811617736</t>
  </si>
  <si>
    <t>ocn811617736</t>
  </si>
  <si>
    <t>3103492604N</t>
  </si>
  <si>
    <t>9781926845425</t>
  </si>
  <si>
    <t>794930295</t>
  </si>
  <si>
    <t>PG3456 A15 H56 1989</t>
  </si>
  <si>
    <t>0                      PG 3456000A  15                 H  56          1989</t>
  </si>
  <si>
    <t>A woman's kingdom and other stories / Anton Chekhov ; translated with an introduction and notes by Ronald Hingley.</t>
  </si>
  <si>
    <t>Oxford [England] ; New York : Oxford University Press, 1989.</t>
  </si>
  <si>
    <t>18441855</t>
  </si>
  <si>
    <t>ocm18441855</t>
  </si>
  <si>
    <t>3102798533M</t>
  </si>
  <si>
    <t>9780192822093</t>
  </si>
  <si>
    <t>793025688</t>
  </si>
  <si>
    <t>PG3456 A15 L5</t>
  </si>
  <si>
    <t>0                      PG 3456000A  15                 L  5</t>
  </si>
  <si>
    <t>Short novels and stories / A.P. Chekhov ; [translated from the Russian by Ivy Litvinov].</t>
  </si>
  <si>
    <t>Moscow : Foreign Languages Pub. House, [195-]</t>
  </si>
  <si>
    <t>687992</t>
  </si>
  <si>
    <t>ocm00687992</t>
  </si>
  <si>
    <t>31012312888</t>
  </si>
  <si>
    <t>791446404</t>
  </si>
  <si>
    <t>2011-01-21</t>
  </si>
  <si>
    <t>3000451689J</t>
  </si>
  <si>
    <t>791446405</t>
  </si>
  <si>
    <t>PG3456 A15 L5x 1932</t>
  </si>
  <si>
    <t>0                      PG 3456000A  15                 L  5x          1932</t>
  </si>
  <si>
    <t>The stories of Anton Chekhov / edited, and with an introd. by Robert N. Linscott.</t>
  </si>
  <si>
    <t>New York : Modern Library, 1932.</t>
  </si>
  <si>
    <t>The Modern library of the world's best books ; 50</t>
  </si>
  <si>
    <t>3855511021:eng</t>
  </si>
  <si>
    <t>4896750</t>
  </si>
  <si>
    <t>ocm04896750</t>
  </si>
  <si>
    <t>3000245094D</t>
  </si>
  <si>
    <t>792392057</t>
  </si>
  <si>
    <t>3000245095B</t>
  </si>
  <si>
    <t>792392058</t>
  </si>
  <si>
    <t>PG3456 A15 P58 1999</t>
  </si>
  <si>
    <t>0                      PG 3456000A  15                 P  58          1999</t>
  </si>
  <si>
    <t>The comic stories / Chekhov ; translated from the Russian and with an introduction by Harvey Pitcher.</t>
  </si>
  <si>
    <t>Chicago : Ivan R. Dee, 1999.</t>
  </si>
  <si>
    <t>10033113866:eng</t>
  </si>
  <si>
    <t>40180496</t>
  </si>
  <si>
    <t>ocm40180496</t>
  </si>
  <si>
    <t>31019882788</t>
  </si>
  <si>
    <t>9781566632416</t>
  </si>
  <si>
    <t>793561309</t>
  </si>
  <si>
    <t>PG3456 A15 R67 1997</t>
  </si>
  <si>
    <t>0                      PG 3456000A  15                 R  67          1997</t>
  </si>
  <si>
    <t>Stories of men / Anton Chekhov ; translated by Paula P. Ross.</t>
  </si>
  <si>
    <t>Amherst, NY : Prometheus Books, 1997.</t>
  </si>
  <si>
    <t>Literary classics</t>
  </si>
  <si>
    <t>36065976</t>
  </si>
  <si>
    <t>ocm36065976</t>
  </si>
  <si>
    <t>3102945769Z</t>
  </si>
  <si>
    <t>9781573921350</t>
  </si>
  <si>
    <t>793465443</t>
  </si>
  <si>
    <t>PG3456 A15 W49 1984</t>
  </si>
  <si>
    <t>0                      PG 3456000A  15                 W  49          1984</t>
  </si>
  <si>
    <t>The duel and other stories / Chekhov ; translated with an introduction by Ronald Wilks.</t>
  </si>
  <si>
    <t>Harmondsworth, Middlesex, England ; New York, N.Y., U.S.A. : Penguin, 1984.</t>
  </si>
  <si>
    <t>The Penguin classics</t>
  </si>
  <si>
    <t>10833333</t>
  </si>
  <si>
    <t>ocm10833333</t>
  </si>
  <si>
    <t>3102915614Q</t>
  </si>
  <si>
    <t>9780140444155</t>
  </si>
  <si>
    <t>792745794</t>
  </si>
  <si>
    <t>PG3456 A15 W5 1982</t>
  </si>
  <si>
    <t>0                      PG 3456000A  15                 W  5           1982</t>
  </si>
  <si>
    <t>The kiss and other stories / Chekhov ; translated with an introduction by Ronald Wilks.</t>
  </si>
  <si>
    <t>Harmondsworth, Middlesex, England ; New York, N.Y. : Penguin Books, 1982.</t>
  </si>
  <si>
    <t>9758512</t>
  </si>
  <si>
    <t>ocm09758512</t>
  </si>
  <si>
    <t>3102945779X</t>
  </si>
  <si>
    <t>9780140443363</t>
  </si>
  <si>
    <t>792692050</t>
  </si>
  <si>
    <t>PG3456 A16 H4713 2012</t>
  </si>
  <si>
    <t>0                      PG 3456000A  16                 H  4713        2012</t>
  </si>
  <si>
    <t>Chekhov on theatre / compiled by Jutta Hercher and Peter Urban ; translated, with an introduction and commentary by Stephen Mulrine.</t>
  </si>
  <si>
    <t>London : Nick Hern Books, 2012.</t>
  </si>
  <si>
    <t>... On theatre series</t>
  </si>
  <si>
    <t>2015-06-12</t>
  </si>
  <si>
    <t>1412704821:eng</t>
  </si>
  <si>
    <t>527339994</t>
  </si>
  <si>
    <t>ocn527339994</t>
  </si>
  <si>
    <t>31034072817</t>
  </si>
  <si>
    <t>9781848420755</t>
  </si>
  <si>
    <t>794809285</t>
  </si>
  <si>
    <t>PG3456 A19 H45 2003</t>
  </si>
  <si>
    <t>0                      PG 3456000A  19                 H  45          2003</t>
  </si>
  <si>
    <t>The essential plays / Anton Chekhov ; translated, with an introduction and notes, by Michael Henry Heim.</t>
  </si>
  <si>
    <t>291003142:eng</t>
  </si>
  <si>
    <t>51460575</t>
  </si>
  <si>
    <t>ocm51460575</t>
  </si>
  <si>
    <t>3102814364Z</t>
  </si>
  <si>
    <t>9780375761348</t>
  </si>
  <si>
    <t>793784743</t>
  </si>
  <si>
    <t>PG3456 A19 R63 1996</t>
  </si>
  <si>
    <t>0                      PG 3456000A  19                 R  63          1996</t>
  </si>
  <si>
    <t>Chekhov : four plays / translated by Carol Rocamora.</t>
  </si>
  <si>
    <t>Lyme, NH : Smith &amp; Kraus, 1996.</t>
  </si>
  <si>
    <t>First edition</t>
  </si>
  <si>
    <t>Great translations series</t>
  </si>
  <si>
    <t>291002858:eng</t>
  </si>
  <si>
    <t>35280681</t>
  </si>
  <si>
    <t>ocm35280681</t>
  </si>
  <si>
    <t>3103026674F</t>
  </si>
  <si>
    <t>9781575250656</t>
  </si>
  <si>
    <t>793448549</t>
  </si>
  <si>
    <t>2019-04-05</t>
  </si>
  <si>
    <t>3103026679F</t>
  </si>
  <si>
    <t>793448548</t>
  </si>
  <si>
    <t>2014-08-19</t>
  </si>
  <si>
    <t>3103026669H</t>
  </si>
  <si>
    <t>793448550</t>
  </si>
  <si>
    <t>PG3456 A19 S36 1997</t>
  </si>
  <si>
    <t>0                      PG 3456000A  19                 S  36          1997</t>
  </si>
  <si>
    <t>The plays of Anton Chekhov / a new translation by Paul Schmidt.</t>
  </si>
  <si>
    <t>New York : HarperCollins Publishers, [1997]</t>
  </si>
  <si>
    <t>2908593049:eng</t>
  </si>
  <si>
    <t>35293034</t>
  </si>
  <si>
    <t>ocm35293034</t>
  </si>
  <si>
    <t>3102945771X</t>
  </si>
  <si>
    <t>9780060187057</t>
  </si>
  <si>
    <t>793448897</t>
  </si>
  <si>
    <t>PG3456 A19 S46 2007</t>
  </si>
  <si>
    <t>0                      PG 3456000A  19                 S  46          2007</t>
  </si>
  <si>
    <t>The complete plays / Anton Chekhov ; translated, edited, and annotated by Laurence Senelick.</t>
  </si>
  <si>
    <t>New York : Norton, ©2006.</t>
  </si>
  <si>
    <t>Norton paperback</t>
  </si>
  <si>
    <t>197496903:eng</t>
  </si>
  <si>
    <t>61309386</t>
  </si>
  <si>
    <t>ocm61309386</t>
  </si>
  <si>
    <t>3102977595C</t>
  </si>
  <si>
    <t>9780393048858</t>
  </si>
  <si>
    <t>793951059</t>
  </si>
  <si>
    <t>PG3456 A19 W43</t>
  </si>
  <si>
    <t>0                      PG 3456000A  19                 W  43</t>
  </si>
  <si>
    <t>Plays : second series / by Anton Tchekoff ; translated with an introduction by Julius West.</t>
  </si>
  <si>
    <t>London : Duckworth, 1925, ©1915.</t>
  </si>
  <si>
    <t>3943762706:eng</t>
  </si>
  <si>
    <t>2521864</t>
  </si>
  <si>
    <t>ocm02521864</t>
  </si>
  <si>
    <t>3102945760Z</t>
  </si>
  <si>
    <t>792138696</t>
  </si>
  <si>
    <t>PG3456 A19 W4x</t>
  </si>
  <si>
    <t>0                      PG 3456000A  19                 W  4x</t>
  </si>
  <si>
    <t>Six famous plays, by Anton Tchekoff. The bear, the three sisters, the cherry orchard, the proposal, translated from the Russian by Julius West; Uncle Vanya, the seagull, translated from the Russian by Marian Fell.</t>
  </si>
  <si>
    <t>London, G. Duckworth [©1939]</t>
  </si>
  <si>
    <t>2015-02-10</t>
  </si>
  <si>
    <t>148463369:eng</t>
  </si>
  <si>
    <t>427292798</t>
  </si>
  <si>
    <t>ocn427292798</t>
  </si>
  <si>
    <t>3102945786V</t>
  </si>
  <si>
    <t>794568375</t>
  </si>
  <si>
    <t>3102945761Z</t>
  </si>
  <si>
    <t>794568374</t>
  </si>
  <si>
    <t>2000-10-28</t>
  </si>
  <si>
    <t>3102945781V</t>
  </si>
  <si>
    <t>794568373</t>
  </si>
  <si>
    <t>PG3456 A19 1991</t>
  </si>
  <si>
    <t>0                      PG 3456000A  19          1991</t>
  </si>
  <si>
    <t>Plays / Anton Chekhov ; translated and introduced by Michael Frayn.</t>
  </si>
  <si>
    <t>London : Methuen, 1991.</t>
  </si>
  <si>
    <t>Methuen world dramatists</t>
  </si>
  <si>
    <t>2015-02-12</t>
  </si>
  <si>
    <t>5610015718:eng</t>
  </si>
  <si>
    <t>220422254</t>
  </si>
  <si>
    <t>ocn220422254</t>
  </si>
  <si>
    <t>3102848497W</t>
  </si>
  <si>
    <t>9780413181602</t>
  </si>
  <si>
    <t>794321321</t>
  </si>
  <si>
    <t>PG3456 C5 M85 1997</t>
  </si>
  <si>
    <t>0                      PG 3456000C  5                  M  85          1997</t>
  </si>
  <si>
    <t>The seagull / by Anton Chekhov ; translated and with an introduction by Stephen Mulrine.</t>
  </si>
  <si>
    <t>London : Nick Hern Books, 1997.</t>
  </si>
  <si>
    <t>Drama classics ; 28</t>
  </si>
  <si>
    <t>4061388300:eng</t>
  </si>
  <si>
    <t>38165617</t>
  </si>
  <si>
    <t>ocm38165617</t>
  </si>
  <si>
    <t>3103251128X</t>
  </si>
  <si>
    <t>9781854591937</t>
  </si>
  <si>
    <t>793517953</t>
  </si>
  <si>
    <t>3103249722P</t>
  </si>
  <si>
    <t>793517954</t>
  </si>
  <si>
    <t>PG3456 C5 S46 2010</t>
  </si>
  <si>
    <t>0                      PG 3456000C  5                  S  46          2010</t>
  </si>
  <si>
    <t>The seagull / Anton Chekhov ; translated by Laurence Senelick.</t>
  </si>
  <si>
    <t>New York : W.W. Norton &amp; Co., ©2010.</t>
  </si>
  <si>
    <t>Stage edition series</t>
  </si>
  <si>
    <t>449866151</t>
  </si>
  <si>
    <t>ocn449866151</t>
  </si>
  <si>
    <t>3103317040M</t>
  </si>
  <si>
    <t>9780393338171</t>
  </si>
  <si>
    <t>794787564</t>
  </si>
  <si>
    <t>3103303383Q</t>
  </si>
  <si>
    <t>794787563</t>
  </si>
  <si>
    <t>3103303378S</t>
  </si>
  <si>
    <t>794787562</t>
  </si>
  <si>
    <t>PG3456 C5 S86 1997</t>
  </si>
  <si>
    <t>0                      PG 3456000C  5                  S  86          1997</t>
  </si>
  <si>
    <t>The seagull / Anton Chekhov ; a new version by Tom Stoppard.</t>
  </si>
  <si>
    <t>Stoppard, Tom.</t>
  </si>
  <si>
    <t>London : Faber and Faber, 1997.</t>
  </si>
  <si>
    <t>2017-01-30</t>
  </si>
  <si>
    <t>5595770281:eng</t>
  </si>
  <si>
    <t>59592703</t>
  </si>
  <si>
    <t>ocm59592703</t>
  </si>
  <si>
    <t>3102941449R</t>
  </si>
  <si>
    <t>9780571192700</t>
  </si>
  <si>
    <t>793930682</t>
  </si>
  <si>
    <t>PG3456 D5 C57 2002</t>
  </si>
  <si>
    <t>0                      PG 3456000D  5                  C  57          2002</t>
  </si>
  <si>
    <t>Uncle Vanya / Anton Chekhov ; in a new translation by Curt Columbus.</t>
  </si>
  <si>
    <t>Chicago : I.R. Dee, ©2002.</t>
  </si>
  <si>
    <t>Plays for performance</t>
  </si>
  <si>
    <t>1213389330:eng</t>
  </si>
  <si>
    <t>48920335</t>
  </si>
  <si>
    <t>ocm48920335</t>
  </si>
  <si>
    <t>3102945780V</t>
  </si>
  <si>
    <t>9781566634434</t>
  </si>
  <si>
    <t>793730444</t>
  </si>
  <si>
    <t>PG3456 D5 F73 1987</t>
  </si>
  <si>
    <t>0                      PG 3456000D  5                  F  73          1987</t>
  </si>
  <si>
    <t>Uncle Vanya : scenes from country life in four acts / Anton Chekhov ; translated and introduced by Michael Frayn.</t>
  </si>
  <si>
    <t>London ; New York, NY : Methuen, 1987.</t>
  </si>
  <si>
    <t>A Methuen paperback</t>
  </si>
  <si>
    <t>2015-05-13</t>
  </si>
  <si>
    <t>18560646</t>
  </si>
  <si>
    <t>ocm18560646</t>
  </si>
  <si>
    <t>3102945840$</t>
  </si>
  <si>
    <t>9780413159502</t>
  </si>
  <si>
    <t>793029272</t>
  </si>
  <si>
    <t>PG3456 D5 G4 1979</t>
  </si>
  <si>
    <t>0                      PG 3456000D  5                  G  4           1979</t>
  </si>
  <si>
    <t>Uncle Vanya / Anton Chekhov ; a new version by Pam Gems ; with an introd. by Edward Braun.</t>
  </si>
  <si>
    <t>London : Eyre Methuen, 1979.</t>
  </si>
  <si>
    <t>A Methuen theatre classic</t>
  </si>
  <si>
    <t>6284165</t>
  </si>
  <si>
    <t>ocm06284165</t>
  </si>
  <si>
    <t>3103251144T</t>
  </si>
  <si>
    <t>9780413470201</t>
  </si>
  <si>
    <t>792488016</t>
  </si>
  <si>
    <t>PG3456 D5 G8</t>
  </si>
  <si>
    <t>0                      PG 3456000D  5                  G  8</t>
  </si>
  <si>
    <t>Uncle Vanya; scenes from country life in four acts. Translated from the Russian by Tyrone Guthrie and Leonid Kipnis.</t>
  </si>
  <si>
    <t>Minneapolis, University of Minnesota Press [1969]</t>
  </si>
  <si>
    <t>Minnesota drama editions, no. 5</t>
  </si>
  <si>
    <t>8256</t>
  </si>
  <si>
    <t>ocm00008256</t>
  </si>
  <si>
    <t>3102945785V</t>
  </si>
  <si>
    <t>791226686</t>
  </si>
  <si>
    <t>PG3456 D7 C53 1987</t>
  </si>
  <si>
    <t>0                      PG 3456000D  7                  C  53          1987</t>
  </si>
  <si>
    <t>The shooting party / Anton Chekhov.</t>
  </si>
  <si>
    <t>Chicago : University of Chicago Press, 1987, ©1986.</t>
  </si>
  <si>
    <t>University of Chicago Press ed.</t>
  </si>
  <si>
    <t>895843580:eng</t>
  </si>
  <si>
    <t>14214494</t>
  </si>
  <si>
    <t>ocm14214494</t>
  </si>
  <si>
    <t>31029457492</t>
  </si>
  <si>
    <t>9780226102412</t>
  </si>
  <si>
    <t>792882222</t>
  </si>
  <si>
    <t>PG3456 D8 S53 2011</t>
  </si>
  <si>
    <t>0                      PG 3456000D  8                  S  53          2011</t>
  </si>
  <si>
    <t>The duel / Anton Chekhov ; translated by Margarita Shalina.</t>
  </si>
  <si>
    <t>Brooklyn, N.Y. : Melville House, ©2011.</t>
  </si>
  <si>
    <t>2017-05-08</t>
  </si>
  <si>
    <t>3344523549:eng</t>
  </si>
  <si>
    <t>687652635</t>
  </si>
  <si>
    <t>ocn687652635</t>
  </si>
  <si>
    <t>3103363857O</t>
  </si>
  <si>
    <t>9781935554509</t>
  </si>
  <si>
    <t>794853973</t>
  </si>
  <si>
    <t>PG3456 I8 C65 2015</t>
  </si>
  <si>
    <t>0                      PG 3456000I  8                  C  65          2015</t>
  </si>
  <si>
    <t>Ivanov / by Anton Chekhov ; translated and adapted by Curt Columbus.</t>
  </si>
  <si>
    <t>Columbus, Curt, author, translator.</t>
  </si>
  <si>
    <t>New York, NY : Dramatists Play Service, Inc., [2015]</t>
  </si>
  <si>
    <t>4163518038:eng</t>
  </si>
  <si>
    <t>910087993</t>
  </si>
  <si>
    <t>ocn910087993</t>
  </si>
  <si>
    <t>3103583638C</t>
  </si>
  <si>
    <t>9780822231554</t>
  </si>
  <si>
    <t>794995869</t>
  </si>
  <si>
    <t>PG3456 P43 M3 1966</t>
  </si>
  <si>
    <t>0                      PG 3456000P  43                 M  3           1966</t>
  </si>
  <si>
    <t>Platonov; a play in four acts and five scenes [by] Anton Chekhov. Translated in full by David Magarshack.</t>
  </si>
  <si>
    <t>New York, Hill and Wang [1966, ©1964]</t>
  </si>
  <si>
    <t>A Mermaid dramabook, MD37</t>
  </si>
  <si>
    <t>4918682928:eng</t>
  </si>
  <si>
    <t>859787</t>
  </si>
  <si>
    <t>ocm00859787</t>
  </si>
  <si>
    <t>31029457500</t>
  </si>
  <si>
    <t>791488948</t>
  </si>
  <si>
    <t>PG3456 T8 C48 1990</t>
  </si>
  <si>
    <t>0                      PG 3456000T  8                  C  48          1990</t>
  </si>
  <si>
    <t>The three sisters : a play / by Anton Chekhov ; adapted by David Mamet from a literal translation by Vlada Chernomordik.</t>
  </si>
  <si>
    <t>Mamet, David.</t>
  </si>
  <si>
    <t>New York : Grove Press, ©1990.</t>
  </si>
  <si>
    <t>2018-01-27</t>
  </si>
  <si>
    <t>8907808069:eng</t>
  </si>
  <si>
    <t>46479901</t>
  </si>
  <si>
    <t>ocm46479901</t>
  </si>
  <si>
    <t>31029458203</t>
  </si>
  <si>
    <t>9780802132765</t>
  </si>
  <si>
    <t>793685889</t>
  </si>
  <si>
    <t>PG3456 T8 S46 2010</t>
  </si>
  <si>
    <t>0                      PG 3456000T  8                  S  46          2010</t>
  </si>
  <si>
    <t>Three sisters / Anton Chekhov ; translated by Laurence Senelick.</t>
  </si>
  <si>
    <t>1850512607:eng</t>
  </si>
  <si>
    <t>449866094</t>
  </si>
  <si>
    <t>ocn449866094</t>
  </si>
  <si>
    <t>3103213717T</t>
  </si>
  <si>
    <t>9780393338140</t>
  </si>
  <si>
    <t>794787558</t>
  </si>
  <si>
    <t>3103213746N</t>
  </si>
  <si>
    <t>794787556</t>
  </si>
  <si>
    <t>3103317039O</t>
  </si>
  <si>
    <t>794787557</t>
  </si>
  <si>
    <t>PG3456 V5 F7 1978</t>
  </si>
  <si>
    <t>0                      PG 3456000V  5                  F  7           1978</t>
  </si>
  <si>
    <t>The cherry orchard : a comedy in four acts / Anton Chekhov ; translated [from the Russian] and introduced by Michael Frayn.</t>
  </si>
  <si>
    <t>London : Eyre Methuen, 1978.</t>
  </si>
  <si>
    <t>Methuen's theatre classics</t>
  </si>
  <si>
    <t>8922075540:eng</t>
  </si>
  <si>
    <t>4465632</t>
  </si>
  <si>
    <t>ocm04465632</t>
  </si>
  <si>
    <t>3102945857Y</t>
  </si>
  <si>
    <t>9780413393401</t>
  </si>
  <si>
    <t>792352252</t>
  </si>
  <si>
    <t>PG3456 V5 S38 2010</t>
  </si>
  <si>
    <t>0                      PG 3456000V  5                  S  38          2010</t>
  </si>
  <si>
    <t>The cherry orchard / Anton Chekhov ; translated by Laurence Senelick.</t>
  </si>
  <si>
    <t>2019-10-21</t>
  </si>
  <si>
    <t>3768398426:eng</t>
  </si>
  <si>
    <t>449866125</t>
  </si>
  <si>
    <t>ocn449866125</t>
  </si>
  <si>
    <t>3103303360U</t>
  </si>
  <si>
    <t>9780393338164</t>
  </si>
  <si>
    <t>794787559</t>
  </si>
  <si>
    <t>3103303369U</t>
  </si>
  <si>
    <t>794787560</t>
  </si>
  <si>
    <t>2016-01-13</t>
  </si>
  <si>
    <t>3103303364U</t>
  </si>
  <si>
    <t>794787561</t>
  </si>
  <si>
    <t>PG3456 V5 V3 2015</t>
  </si>
  <si>
    <t>0                      PG 3456000V  5                  V  3           2015</t>
  </si>
  <si>
    <t>The Cherry Orchard : a comedy in four acts / Anton Chekhov ; translated from the Russian by Richard Nelson, Richard Pevear and Larissa Volokhonsky.</t>
  </si>
  <si>
    <t>New York : Theatre Communications Group, 2015.</t>
  </si>
  <si>
    <t>TCG's classic Russian drama series.</t>
  </si>
  <si>
    <t>875252783</t>
  </si>
  <si>
    <t>ocn875252783</t>
  </si>
  <si>
    <t>3103608021O</t>
  </si>
  <si>
    <t>9781559364843</t>
  </si>
  <si>
    <t>794969349</t>
  </si>
  <si>
    <t>PG3457 F5 D5 1960</t>
  </si>
  <si>
    <t>0                      PG 3457000F  5                  D  5           1960</t>
  </si>
  <si>
    <t>Oncle Vania : suivi de Les trois soeurs.</t>
  </si>
  <si>
    <t>Paris : L'Arche, ©1960.</t>
  </si>
  <si>
    <t>Livre de poche 1448</t>
  </si>
  <si>
    <t>1213389330:fre</t>
  </si>
  <si>
    <t>427512571</t>
  </si>
  <si>
    <t>ocn427512571</t>
  </si>
  <si>
    <t>3102945767Z</t>
  </si>
  <si>
    <t>9782760909090</t>
  </si>
  <si>
    <t>794672237</t>
  </si>
  <si>
    <t>PG3457 F5 V5 1960</t>
  </si>
  <si>
    <t>0                      PG 3457000F  5                  V  5           1960</t>
  </si>
  <si>
    <t>La cerisaie : suivi de La mouette.</t>
  </si>
  <si>
    <t>Paris : L'Arche ed., 1960.</t>
  </si>
  <si>
    <t>Livre de poche ; 1090</t>
  </si>
  <si>
    <t>1059149611:fre</t>
  </si>
  <si>
    <t>61591244</t>
  </si>
  <si>
    <t>ocm61591244</t>
  </si>
  <si>
    <t>3102945772X</t>
  </si>
  <si>
    <t>794030235</t>
  </si>
  <si>
    <t>PG3458 A1 C44 2009</t>
  </si>
  <si>
    <t>0                      PG 3458000A  1                  C  44          2009</t>
  </si>
  <si>
    <t>Chekhov bez gli︠a︡nt︠s︡a / proekt Pavla Fokina.</t>
  </si>
  <si>
    <t>Sankt-Peterburg : Izd-vo Amfora, 2009.</t>
  </si>
  <si>
    <t>3770220840:rus</t>
  </si>
  <si>
    <t>528766116</t>
  </si>
  <si>
    <t>ocn528766116</t>
  </si>
  <si>
    <t>3103289514D</t>
  </si>
  <si>
    <t>9785367012149</t>
  </si>
  <si>
    <t>794809704</t>
  </si>
  <si>
    <t>PG3458 A1 C6 1985</t>
  </si>
  <si>
    <t>0                      PG 3458000A  1                  C  6           1985</t>
  </si>
  <si>
    <t>A Chekhov companion / edited by Toby W. Clyman.</t>
  </si>
  <si>
    <t>Westport, Conn. : Greenwood Press, 1985.</t>
  </si>
  <si>
    <t>54689133:eng</t>
  </si>
  <si>
    <t>11624264</t>
  </si>
  <si>
    <t>ocm11624264</t>
  </si>
  <si>
    <t>31029457432</t>
  </si>
  <si>
    <t>9780313234231</t>
  </si>
  <si>
    <t>792781328</t>
  </si>
  <si>
    <t>PG3458 A1 J3 1967</t>
  </si>
  <si>
    <t>0                      PG 3458000A  1                  J  3           1967</t>
  </si>
  <si>
    <t>Chekhov; a collection of critical essays.</t>
  </si>
  <si>
    <t>4160142498:eng</t>
  </si>
  <si>
    <t>2019843</t>
  </si>
  <si>
    <t>ocm02019843</t>
  </si>
  <si>
    <t>31029457472</t>
  </si>
  <si>
    <t>792029810</t>
  </si>
  <si>
    <t>31029457520</t>
  </si>
  <si>
    <t>792029809</t>
  </si>
  <si>
    <t>PG3458 A1 K583</t>
  </si>
  <si>
    <t>0                      PG 3458000A  1                  K  583</t>
  </si>
  <si>
    <t>Anton Tchekhov; literary and theatrical reminiscences, translated and edited by S.S. Koteliansky.</t>
  </si>
  <si>
    <t>Koteliansky, S. S. (Samuel Solomonovitch), 1880-1955, editor.</t>
  </si>
  <si>
    <t>London, Routledge 1927.</t>
  </si>
  <si>
    <t>1364355:eng</t>
  </si>
  <si>
    <t>4812409</t>
  </si>
  <si>
    <t>ocm04812409</t>
  </si>
  <si>
    <t>31029458115</t>
  </si>
  <si>
    <t>792385418</t>
  </si>
  <si>
    <t>PG3458 A3 B37 2004</t>
  </si>
  <si>
    <t>0                      PG 3458000A  3                  B  37          2004</t>
  </si>
  <si>
    <t>A life in letters / edited by Rosamund Bartlett ; translated by Rosamund Bartlett and Anthony Phillips.</t>
  </si>
  <si>
    <t>London ; New York : Penguin Books, 2004.</t>
  </si>
  <si>
    <t>355002589:eng</t>
  </si>
  <si>
    <t>57002828</t>
  </si>
  <si>
    <t>ocm57002828</t>
  </si>
  <si>
    <t>3102645914K</t>
  </si>
  <si>
    <t>9780140449228</t>
  </si>
  <si>
    <t>793905726</t>
  </si>
  <si>
    <t>PG3458 A3 Y3 1973</t>
  </si>
  <si>
    <t>0                      PG 3458000A  3                  Y  3           1973</t>
  </si>
  <si>
    <t>Letters of Anton Chekhov. Selected and edited by Avrahm Yarmolinsky.</t>
  </si>
  <si>
    <t>New York, Viking Press [1973]</t>
  </si>
  <si>
    <t>3855440095:eng</t>
  </si>
  <si>
    <t>727326</t>
  </si>
  <si>
    <t>ocm00727326</t>
  </si>
  <si>
    <t>3102945796T</t>
  </si>
  <si>
    <t>9780670425969</t>
  </si>
  <si>
    <t>791456273</t>
  </si>
  <si>
    <t>PG3458 A4 1996</t>
  </si>
  <si>
    <t>0                      PG 3458000A  4           1996</t>
  </si>
  <si>
    <t>Perepiska A.P. Chekhova : v trekh tomakh / [redakt︠s︡ionnai︠a︡ kollegii︠a︡ Vat︠s︡uro V.Ė. ... et al. ; sostavlenie i kommentarii M.P. Gromova].</t>
  </si>
  <si>
    <t>Moskva : Nasledie, 1996.</t>
  </si>
  <si>
    <t>Perepiska russkikh pisateleĭ</t>
  </si>
  <si>
    <t>2016-04-22</t>
  </si>
  <si>
    <t>2865253629:rus</t>
  </si>
  <si>
    <t>37282070</t>
  </si>
  <si>
    <t>ocm37282070</t>
  </si>
  <si>
    <t>31029458007</t>
  </si>
  <si>
    <t>9785201132613</t>
  </si>
  <si>
    <t>793494965</t>
  </si>
  <si>
    <t>3102945790T</t>
  </si>
  <si>
    <t>793494966</t>
  </si>
  <si>
    <t>2005-12-02</t>
  </si>
  <si>
    <t>31029458057</t>
  </si>
  <si>
    <t>793494964</t>
  </si>
  <si>
    <t>PG3458 A611 2011</t>
  </si>
  <si>
    <t>0                      PG 3458000A  611         2011</t>
  </si>
  <si>
    <t>A.P. Chekhov : ėnt︠s︡iklopedii︠a︡ / sostavitelʹ i nauchnyĭ redaktor, V.B. Kataev.</t>
  </si>
  <si>
    <t>Moskva : Prosveshchenie, 2011.</t>
  </si>
  <si>
    <t>3770899056:rus</t>
  </si>
  <si>
    <t>711245280</t>
  </si>
  <si>
    <t>ocn711245280</t>
  </si>
  <si>
    <t>3103479905X</t>
  </si>
  <si>
    <t>9785090197410</t>
  </si>
  <si>
    <t>794870960</t>
  </si>
  <si>
    <t>PG3458 A657 1995</t>
  </si>
  <si>
    <t>0                      PG 3458000A  657         1995</t>
  </si>
  <si>
    <t>Anton Chekhov and his times / translated from the Russian by Cynthia Carlile (Reminiscences) and Sharon McKee (Letters) ; compiled by Andrei Turkov.</t>
  </si>
  <si>
    <t>Fayetteville : University of Arkansas Press, 1995.</t>
  </si>
  <si>
    <t>2909587653:eng</t>
  </si>
  <si>
    <t>32013978</t>
  </si>
  <si>
    <t>ocm32013978</t>
  </si>
  <si>
    <t>31029458047</t>
  </si>
  <si>
    <t>9781557283917</t>
  </si>
  <si>
    <t>793373294</t>
  </si>
  <si>
    <t>PG3458 B37 2004</t>
  </si>
  <si>
    <t>0                      PG 3458000B  37          2004</t>
  </si>
  <si>
    <t>Chekhov : scenes from a life / Rosamund Bartlett.</t>
  </si>
  <si>
    <t>London : Free Press, 2004.</t>
  </si>
  <si>
    <t>221731:eng</t>
  </si>
  <si>
    <t>55970368</t>
  </si>
  <si>
    <t>ocm55970368</t>
  </si>
  <si>
    <t>3102945789V</t>
  </si>
  <si>
    <t>9780743230742</t>
  </si>
  <si>
    <t>793884889</t>
  </si>
  <si>
    <t>PG3458 B38</t>
  </si>
  <si>
    <t>0                      PG 3458000B  38</t>
  </si>
  <si>
    <t>A.P. Chekhov ; ideĭnye i tvorcheskie iskanii︠a︡.</t>
  </si>
  <si>
    <t>Berdnikov, Georgiĭ Petrovich.</t>
  </si>
  <si>
    <t>Leningrad, Gos. izd-vo khudozhestvennoĭ lit-ry [Leningraskoe otd-nie] 1961.</t>
  </si>
  <si>
    <t>134442246:rus</t>
  </si>
  <si>
    <t>3963014</t>
  </si>
  <si>
    <t>ocm03963014</t>
  </si>
  <si>
    <t>31029458283</t>
  </si>
  <si>
    <t>792308988</t>
  </si>
  <si>
    <t>PG3458 B42 1972</t>
  </si>
  <si>
    <t>0                      PG 3458000B  42          1972</t>
  </si>
  <si>
    <t>Chekhov-dramaturg. Tradits︡ii i novatorstvo v dramaturgii A.P. Chekhova.</t>
  </si>
  <si>
    <t>Moskva, "Iskusstvo, " 1972.</t>
  </si>
  <si>
    <t>Izd. 2-e, dorabot.</t>
  </si>
  <si>
    <t>3855365175:rus</t>
  </si>
  <si>
    <t>4622631</t>
  </si>
  <si>
    <t>ocm04622631</t>
  </si>
  <si>
    <t>31029458233</t>
  </si>
  <si>
    <t>792368860</t>
  </si>
  <si>
    <t>PG3458 B7</t>
  </si>
  <si>
    <t>0                      PG 3458000B  7</t>
  </si>
  <si>
    <t>Chekhov and his Russia : a sociological study.</t>
  </si>
  <si>
    <t>Bruford, Walter Horace, 1894-1988.</t>
  </si>
  <si>
    <t>London : K. Paul, Trench, Trubner, [1948]</t>
  </si>
  <si>
    <t>International library of sociology and social reconstruction</t>
  </si>
  <si>
    <t>196542195:eng</t>
  </si>
  <si>
    <t>70307969</t>
  </si>
  <si>
    <t>ocm70307969</t>
  </si>
  <si>
    <t>3102945798T</t>
  </si>
  <si>
    <t>794153078</t>
  </si>
  <si>
    <t>PG3458 B84</t>
  </si>
  <si>
    <t>0                      PG 3458000B  84</t>
  </si>
  <si>
    <t>O Chekhove.</t>
  </si>
  <si>
    <t>N'iu-Iork Izd-vo im. Chekhova 1955.</t>
  </si>
  <si>
    <t>3944144506:rus</t>
  </si>
  <si>
    <t>427193568</t>
  </si>
  <si>
    <t>ocn427193568</t>
  </si>
  <si>
    <t>3102945792T</t>
  </si>
  <si>
    <t>794535884</t>
  </si>
  <si>
    <t>PG3458 B942 2004</t>
  </si>
  <si>
    <t>0                      PG 3458000B  942         2004</t>
  </si>
  <si>
    <t>Tchékhov / Ivan Bounine ; traduit du russe, préfacé et annoté par Claire Hauchard.</t>
  </si>
  <si>
    <t>Monaco : Éditions du Rocher, 2004.</t>
  </si>
  <si>
    <t>2017-07-31</t>
  </si>
  <si>
    <t>1881887261:fre</t>
  </si>
  <si>
    <t>181336797</t>
  </si>
  <si>
    <t>ocn181336797</t>
  </si>
  <si>
    <t>3103103582W</t>
  </si>
  <si>
    <t>9782268051024</t>
  </si>
  <si>
    <t>794282180</t>
  </si>
  <si>
    <t>PG3458 C35 1998</t>
  </si>
  <si>
    <t>0                      PG 3458000C  35          1998</t>
  </si>
  <si>
    <t>Chekhov, the hidden ground : a biography / by Philip Callow.</t>
  </si>
  <si>
    <t>Callow, Philip.</t>
  </si>
  <si>
    <t>Chicago : Ivan R. Dee, 1998.</t>
  </si>
  <si>
    <t>8908755455:eng</t>
  </si>
  <si>
    <t>38010656</t>
  </si>
  <si>
    <t>ocm38010656</t>
  </si>
  <si>
    <t>3102945863W</t>
  </si>
  <si>
    <t>9781566631877</t>
  </si>
  <si>
    <t>793512753</t>
  </si>
  <si>
    <t>PG3458 C46 2010</t>
  </si>
  <si>
    <t>0                      PG 3458000C  46          2010</t>
  </si>
  <si>
    <t>Vokrug Chekhova : vstrechi i vpechatlenii︠a︡ / Mikhail Chekhov.</t>
  </si>
  <si>
    <t>Chekhov, Mikhail Pavlovich, 1865-1936.</t>
  </si>
  <si>
    <t>Sankt-Peterburg : Izdatelʹskai︠a︡ gruppa "Azbuka-klassika", 2010.</t>
  </si>
  <si>
    <t>Azbuka-klassika</t>
  </si>
  <si>
    <t>232808967:rus</t>
  </si>
  <si>
    <t>729394157</t>
  </si>
  <si>
    <t>ocn729394157</t>
  </si>
  <si>
    <t>3103340578E</t>
  </si>
  <si>
    <t>9785998508264</t>
  </si>
  <si>
    <t>794879449</t>
  </si>
  <si>
    <t>PG3458 C4613 2010</t>
  </si>
  <si>
    <t>0                      PG 3458000C  4613        2010</t>
  </si>
  <si>
    <t>Anton Chekhov : a brother's memoir / Mikhail Chekhov ; translated by Eugene Alper.</t>
  </si>
  <si>
    <t>New York : Palgrave Macmillan, 2010.</t>
  </si>
  <si>
    <t>3901327103:eng</t>
  </si>
  <si>
    <t>320185870</t>
  </si>
  <si>
    <t>ocn320185870</t>
  </si>
  <si>
    <t>31034308872</t>
  </si>
  <si>
    <t>9780230618831</t>
  </si>
  <si>
    <t>794485367</t>
  </si>
  <si>
    <t>PG3458 C48</t>
  </si>
  <si>
    <t>0                      PG 3458000C  48</t>
  </si>
  <si>
    <t>Chekhov : the critical heritage / edited by Victor Emeljanow.</t>
  </si>
  <si>
    <t>London ; Boston : Routledge &amp; Kegan Paul, 1981.</t>
  </si>
  <si>
    <t>The Critical heritage series</t>
  </si>
  <si>
    <t>906889243:eng</t>
  </si>
  <si>
    <t>7212015</t>
  </si>
  <si>
    <t>ocm07212015</t>
  </si>
  <si>
    <t>3103293959C</t>
  </si>
  <si>
    <t>9780710003744</t>
  </si>
  <si>
    <t>792546781</t>
  </si>
  <si>
    <t>PG3458 E54</t>
  </si>
  <si>
    <t>0                      PG 3458000E  54</t>
  </si>
  <si>
    <t>On the theory of descriptive poetics : Anton P. Chekhov as story-teller and playwright : essays / by Jan van der Eng, Jan M. Meijer and Herta Schmid.</t>
  </si>
  <si>
    <t>Eng, Jan van der.</t>
  </si>
  <si>
    <t>Lisse [postbus 168] : Peter de Ridder Press, 1978.</t>
  </si>
  <si>
    <t>Dutch studies in Russian literature ; 4</t>
  </si>
  <si>
    <t>292472434:eng</t>
  </si>
  <si>
    <t>4488164</t>
  </si>
  <si>
    <t>ocm04488164</t>
  </si>
  <si>
    <t>31029458391</t>
  </si>
  <si>
    <t>9789031601554</t>
  </si>
  <si>
    <t>792353927</t>
  </si>
  <si>
    <t>PG3458 E69 1959</t>
  </si>
  <si>
    <t>0                      PG 3458000E  69          1959</t>
  </si>
  <si>
    <t>A.P. Chekhov.</t>
  </si>
  <si>
    <t>Ermilov, V. (Vladimir), 1904-1965.</t>
  </si>
  <si>
    <t>Moskva, Sovetskiĭ pisatelʹ, 1959.</t>
  </si>
  <si>
    <t>Izd. dop.</t>
  </si>
  <si>
    <t>1064145354:rus</t>
  </si>
  <si>
    <t>4526318</t>
  </si>
  <si>
    <t>ocm04526318</t>
  </si>
  <si>
    <t>3102945844$</t>
  </si>
  <si>
    <t>792359153</t>
  </si>
  <si>
    <t>PG3458 G76 1993</t>
  </si>
  <si>
    <t>0                      PG 3458000G  76          1993</t>
  </si>
  <si>
    <t>Chekhov / Mikhail Gromov.</t>
  </si>
  <si>
    <t>Gromov, M. P.</t>
  </si>
  <si>
    <t>Moskva : "Molodai︠a︡ gvardii︠a︡", 1993.</t>
  </si>
  <si>
    <t>Zhiznʹ zamechatelʹnykh li︠u︡deĭ ; vyp. 724</t>
  </si>
  <si>
    <t>5342651437:rus</t>
  </si>
  <si>
    <t>29459054</t>
  </si>
  <si>
    <t>ocm29459054</t>
  </si>
  <si>
    <t>3101274944Z</t>
  </si>
  <si>
    <t>9785235019904</t>
  </si>
  <si>
    <t>793311642</t>
  </si>
  <si>
    <t>PG3458 G8</t>
  </si>
  <si>
    <t>0                      PG 3458000G  8</t>
  </si>
  <si>
    <t>Tvorchestvo A.P. Chekhova; ocherki.</t>
  </si>
  <si>
    <t>Gushchin, M.</t>
  </si>
  <si>
    <t>[Kharʹkhov] Izd-vo Kharʹkovskogo universiteta, 1954.</t>
  </si>
  <si>
    <t>2019-01-16</t>
  </si>
  <si>
    <t>3944684655:rus</t>
  </si>
  <si>
    <t>6706481</t>
  </si>
  <si>
    <t>ocm06706481</t>
  </si>
  <si>
    <t>30007815438</t>
  </si>
  <si>
    <t>792517799</t>
  </si>
  <si>
    <t>PG3458 H47 1966b</t>
  </si>
  <si>
    <t>0                      PG 3458000H  47          1966b</t>
  </si>
  <si>
    <t>Chekhov: a biographical and critical study.</t>
  </si>
  <si>
    <t>London, Allen &amp; Unwin, 1966.</t>
  </si>
  <si>
    <t>2015-03-04</t>
  </si>
  <si>
    <t>1361573:eng</t>
  </si>
  <si>
    <t>458103</t>
  </si>
  <si>
    <t>ocm00458103</t>
  </si>
  <si>
    <t>3000215675B</t>
  </si>
  <si>
    <t>791383715</t>
  </si>
  <si>
    <t>PG3458 H475 1989</t>
  </si>
  <si>
    <t>0                      PG 3458000H  475         1989</t>
  </si>
  <si>
    <t>A life of Anton Chekhov / Ronald Hingley.</t>
  </si>
  <si>
    <t>New York : Oxford University Press, 1989.</t>
  </si>
  <si>
    <t>Oxford lives</t>
  </si>
  <si>
    <t>5436235576:eng</t>
  </si>
  <si>
    <t>18780769</t>
  </si>
  <si>
    <t>ocm18780769</t>
  </si>
  <si>
    <t>31002135967</t>
  </si>
  <si>
    <t>9780192852007</t>
  </si>
  <si>
    <t>793037060</t>
  </si>
  <si>
    <t>2014-10-01</t>
  </si>
  <si>
    <t>3100752958J</t>
  </si>
  <si>
    <t>793037059</t>
  </si>
  <si>
    <t>PG3458 L55</t>
  </si>
  <si>
    <t>0                      PG 3458000L  55</t>
  </si>
  <si>
    <t>Anton Chekhov and the Lady with the dog. Foreword by Ronald Hingley.</t>
  </si>
  <si>
    <t>Llewellyn Smith, Virginia.</t>
  </si>
  <si>
    <t>London, New York, Oxford University Press, 1973.</t>
  </si>
  <si>
    <t>1826415:eng</t>
  </si>
  <si>
    <t>746639</t>
  </si>
  <si>
    <t>ocm00746639</t>
  </si>
  <si>
    <t>3000387829P</t>
  </si>
  <si>
    <t>9780192125569</t>
  </si>
  <si>
    <t>791460383</t>
  </si>
  <si>
    <t>PG3458 M3</t>
  </si>
  <si>
    <t>0                      PG 3458000M  3</t>
  </si>
  <si>
    <t>Chekhov the dramatist.</t>
  </si>
  <si>
    <t>London, J. Lehmann [1952]</t>
  </si>
  <si>
    <t>3755071811:eng</t>
  </si>
  <si>
    <t>2018684</t>
  </si>
  <si>
    <t>ocm02018684</t>
  </si>
  <si>
    <t>3000783188T</t>
  </si>
  <si>
    <t>792029649</t>
  </si>
  <si>
    <t>PG3458 M43 2011</t>
  </si>
  <si>
    <t>0                      PG 3458000M  43          2011</t>
  </si>
  <si>
    <t>Memories of Chekhov : accounts of the writer from his family, friends and contemporaries / edited and translated by Peter Sekirin ; foreword by Alan Twigg.</t>
  </si>
  <si>
    <t>Jefferson, N.C. : McFarland, ©2011.</t>
  </si>
  <si>
    <t>2013-05-02</t>
  </si>
  <si>
    <t>762376035:eng</t>
  </si>
  <si>
    <t>689522324</t>
  </si>
  <si>
    <t>ocn689522324</t>
  </si>
  <si>
    <t>3103384325V</t>
  </si>
  <si>
    <t>9780786458714</t>
  </si>
  <si>
    <t>794854951</t>
  </si>
  <si>
    <t>PG3458 P47 1993</t>
  </si>
  <si>
    <t>0                      PG 3458000P  47          1993</t>
  </si>
  <si>
    <t>Anton Chekhov : the sense and the nonsense / Natalia Pervukhina.</t>
  </si>
  <si>
    <t>Pervukhina, Natalia, 1943-</t>
  </si>
  <si>
    <t>New York ; Ottawa : Legas, ©1993.</t>
  </si>
  <si>
    <t>Literary criticism series ; 4</t>
  </si>
  <si>
    <t>141714043:eng</t>
  </si>
  <si>
    <t>28846382</t>
  </si>
  <si>
    <t>ocm28846382</t>
  </si>
  <si>
    <t>31015457244</t>
  </si>
  <si>
    <t>9780921252283</t>
  </si>
  <si>
    <t>793297525</t>
  </si>
  <si>
    <t>PG3458 R35 1997</t>
  </si>
  <si>
    <t>0                      PG 3458000R  35          1997</t>
  </si>
  <si>
    <t>Anton Chekhov : a life / Donald Rayfield.</t>
  </si>
  <si>
    <t>London : HarperCollins, 1997.</t>
  </si>
  <si>
    <t>2017-05-18</t>
  </si>
  <si>
    <t>52608182:eng</t>
  </si>
  <si>
    <t>37332209</t>
  </si>
  <si>
    <t>ocm37332209</t>
  </si>
  <si>
    <t>3101845395D</t>
  </si>
  <si>
    <t>9780002555036</t>
  </si>
  <si>
    <t>793496102</t>
  </si>
  <si>
    <t>PG3458 S5</t>
  </si>
  <si>
    <t>0                      PG 3458000S  5</t>
  </si>
  <si>
    <t>Chekhov : a biography / Ernest J. Simmons.</t>
  </si>
  <si>
    <t>Simmons, Ernest J. (Ernest Joseph), 1903-1972, author.</t>
  </si>
  <si>
    <t>Boston : Little, Brown, [1962]</t>
  </si>
  <si>
    <t>An atlantic monthly press book</t>
  </si>
  <si>
    <t>2015-02-14</t>
  </si>
  <si>
    <t>4757708780:eng</t>
  </si>
  <si>
    <t>41499711</t>
  </si>
  <si>
    <t>ocm41499711</t>
  </si>
  <si>
    <t>3102945858Y</t>
  </si>
  <si>
    <t>793592919</t>
  </si>
  <si>
    <t>PG3458 S839 2010</t>
  </si>
  <si>
    <t>0                      PG 3458000S  839         2010</t>
  </si>
  <si>
    <t>Chekhov v zhizni : si︠u︡zhety dli︠a︡ nebolʹshogo romana / Igorʹ Sukhikh.</t>
  </si>
  <si>
    <t>Sukhikh, I. N.</t>
  </si>
  <si>
    <t>4162000008:rus</t>
  </si>
  <si>
    <t>644583531</t>
  </si>
  <si>
    <t>ocn644583531</t>
  </si>
  <si>
    <t>3103340566G</t>
  </si>
  <si>
    <t>9785969105492</t>
  </si>
  <si>
    <t>794829224</t>
  </si>
  <si>
    <t>PG3458 V34</t>
  </si>
  <si>
    <t>0                      PG 3458000V  34</t>
  </si>
  <si>
    <t>The breaking string; the plays of Anton Chekhov [by] Maurice Valency.</t>
  </si>
  <si>
    <t>Valency, Maurice, 1903-1996.</t>
  </si>
  <si>
    <t>New York, Oxford University Press, 1966.</t>
  </si>
  <si>
    <t>2014-03-10</t>
  </si>
  <si>
    <t>317775692:eng</t>
  </si>
  <si>
    <t>712186</t>
  </si>
  <si>
    <t>ocm00712186</t>
  </si>
  <si>
    <t>31029458331</t>
  </si>
  <si>
    <t>791452928</t>
  </si>
  <si>
    <t>3102945852Y</t>
  </si>
  <si>
    <t>791452929</t>
  </si>
  <si>
    <t>31029458321</t>
  </si>
  <si>
    <t>791452927</t>
  </si>
  <si>
    <t>PG3458 Z8 A33 2013</t>
  </si>
  <si>
    <t>0                      PG 3458000Z  8                  A  33          2013</t>
  </si>
  <si>
    <t>Adapting Chekhov : the text and its mutations / edited by J. Douglas Clayton and Yana Meerzon.</t>
  </si>
  <si>
    <t>New York : Routledge, 2013.</t>
  </si>
  <si>
    <t>Routledge advances in theatre and performance studies ; 23</t>
  </si>
  <si>
    <t>1120928816:eng</t>
  </si>
  <si>
    <t>764304936</t>
  </si>
  <si>
    <t>ocn764304936</t>
  </si>
  <si>
    <t>31034569794</t>
  </si>
  <si>
    <t>9780415509695</t>
  </si>
  <si>
    <t>794900269</t>
  </si>
  <si>
    <t>PG3458 Z8 A47 1987</t>
  </si>
  <si>
    <t>0                      PG 3458000Z  8                  A  47          1987</t>
  </si>
  <si>
    <t>Anton Chekhov rediscovered : a collection of new studies with a comprehensive bibliography / edited by Savely Senderovich, Munir Sendich.</t>
  </si>
  <si>
    <t>East Lansing, Mich., USA : Russian Language Journal, 1987.</t>
  </si>
  <si>
    <t>2015-02-07</t>
  </si>
  <si>
    <t>13134819:eng</t>
  </si>
  <si>
    <t>17003357</t>
  </si>
  <si>
    <t>ocm17003357</t>
  </si>
  <si>
    <t>3103466725F</t>
  </si>
  <si>
    <t>792980205</t>
  </si>
  <si>
    <t>PG3458 Z8 A523 1999</t>
  </si>
  <si>
    <t>0                      PG 3458000Z  8                  A  523         1999</t>
  </si>
  <si>
    <t>Anton Chekhov / edited and with an introduction by Harold Bloom.</t>
  </si>
  <si>
    <t>Philadelphia, Pa. : Chelsea House Publishers, ©1999.</t>
  </si>
  <si>
    <t>Modern critical views</t>
  </si>
  <si>
    <t>766791293:eng</t>
  </si>
  <si>
    <t>38749010</t>
  </si>
  <si>
    <t>ocm38749010</t>
  </si>
  <si>
    <t>31029459112</t>
  </si>
  <si>
    <t>9780791047835</t>
  </si>
  <si>
    <t>793529974</t>
  </si>
  <si>
    <t>PG3458 Z8 A524 2003</t>
  </si>
  <si>
    <t>0                      PG 3458000Z  8                  A  524         2003</t>
  </si>
  <si>
    <t>Philadelphia : Chelsea House Publishers, ©2003.</t>
  </si>
  <si>
    <t>Bloom's biocritiques</t>
  </si>
  <si>
    <t>2017-03-03</t>
  </si>
  <si>
    <t>50404142</t>
  </si>
  <si>
    <t>ocm50404142</t>
  </si>
  <si>
    <t>31026333458</t>
  </si>
  <si>
    <t>9780791063811</t>
  </si>
  <si>
    <t>793764357</t>
  </si>
  <si>
    <t>PG3458 Z8 A525 2010</t>
  </si>
  <si>
    <t>0                      PG 3458000Z  8                  A  525         2010</t>
  </si>
  <si>
    <t>Anton Chekhov through the eyes of Russian thinkers : Vasilii Rozanov, Dmitrii Merezhkovskii and Lev Shestov / edited by Olga Tabachnikova ; translated by Olga Tabachnikova and Adam Ure ; translation editor, Adam Ure.</t>
  </si>
  <si>
    <t>New York : Anthem Press, 2010.</t>
  </si>
  <si>
    <t>2012-11-13</t>
  </si>
  <si>
    <t>364612800:eng</t>
  </si>
  <si>
    <t>663773387</t>
  </si>
  <si>
    <t>ocn663773387</t>
  </si>
  <si>
    <t>3103134507T</t>
  </si>
  <si>
    <t>9781843318415</t>
  </si>
  <si>
    <t>794842693</t>
  </si>
  <si>
    <t>PG3458 Z8 A57 2006</t>
  </si>
  <si>
    <t>0                      PG 3458000Z  8                  A  57          2006</t>
  </si>
  <si>
    <t>Anton Pavlovich Chekhov : poetics, hermeneutics, thematics / edited by J. Douglas Clayton.</t>
  </si>
  <si>
    <t>Ottawa, ON : Slavic Research Group at the University of Ottawa, 2006.</t>
  </si>
  <si>
    <t>472274604:eng</t>
  </si>
  <si>
    <t>71812398</t>
  </si>
  <si>
    <t>ocm71812398</t>
  </si>
  <si>
    <t>3102552921V</t>
  </si>
  <si>
    <t>9780889272873</t>
  </si>
  <si>
    <t>794168658</t>
  </si>
  <si>
    <t>PG3458 Z8 A67 2016</t>
  </si>
  <si>
    <t>0                      PG 3458000Z  8                  A  67          2016</t>
  </si>
  <si>
    <t>Approaches to teaching the works of Anton Chekhov / edited by Michael C. Finke and Michael Holquist.</t>
  </si>
  <si>
    <t>New York : The Modern Language Association of America, 2016.</t>
  </si>
  <si>
    <t>Approaches to teaching world literature</t>
  </si>
  <si>
    <t>3039889294:eng</t>
  </si>
  <si>
    <t>919452363</t>
  </si>
  <si>
    <t>ocn919452363</t>
  </si>
  <si>
    <t>3103654169J</t>
  </si>
  <si>
    <t>9781603292672</t>
  </si>
  <si>
    <t>795001835</t>
  </si>
  <si>
    <t>PG3458 Z8 B513 1983</t>
  </si>
  <si>
    <t>0                      PG 3458000Z  8                  B  513         1983</t>
  </si>
  <si>
    <t>Chekhov's art, a stylistic analysis / Peter M. Bitsilli ; translated by Toby W. Clyman &amp; Edwina Jannie Cruise.</t>
  </si>
  <si>
    <t>Bit︠s︡illi, P. M. (Petr Mikhaĭlovich), 1879-1953.</t>
  </si>
  <si>
    <t>43722494:eng</t>
  </si>
  <si>
    <t>9197554</t>
  </si>
  <si>
    <t>ocm09197554</t>
  </si>
  <si>
    <t>3102945881S</t>
  </si>
  <si>
    <t>9780882334899</t>
  </si>
  <si>
    <t>792663478</t>
  </si>
  <si>
    <t>PG3458 Z8 C36 2000</t>
  </si>
  <si>
    <t>0                      PG 3458000Z  8                  C  36          2000</t>
  </si>
  <si>
    <t>The Cambridge companion to Chekhov / edited by Vera Gottlieb and Paul Allain.</t>
  </si>
  <si>
    <t>Cambridge [England] ; New York : Cambridge University Press, 2000.</t>
  </si>
  <si>
    <t>352222584:eng</t>
  </si>
  <si>
    <t>42733726</t>
  </si>
  <si>
    <t>ocm42733726</t>
  </si>
  <si>
    <t>31029459152</t>
  </si>
  <si>
    <t>9780521581172</t>
  </si>
  <si>
    <t>793613002</t>
  </si>
  <si>
    <t>PG3458 Z8 C37 2013</t>
  </si>
  <si>
    <t>0                      PG 3458000Z  8                  C  37          2013</t>
  </si>
  <si>
    <t>Checking out Chekhov : a guide to the plays for actors, directors, and readers / Sharon Marie Carnicke.</t>
  </si>
  <si>
    <t>Carnicke, Sharon Marie, 1949-</t>
  </si>
  <si>
    <t>Companions to Russian literature</t>
  </si>
  <si>
    <t>1408721100:eng</t>
  </si>
  <si>
    <t>857993383</t>
  </si>
  <si>
    <t>ocn857993383</t>
  </si>
  <si>
    <t>3103527249$</t>
  </si>
  <si>
    <t>9781936235919</t>
  </si>
  <si>
    <t>794955708</t>
  </si>
  <si>
    <t>PG3458 Z8 C48</t>
  </si>
  <si>
    <t>0                      PG 3458000Z  8                  C  48</t>
  </si>
  <si>
    <t>Chekhov's art of writing : a collection of critical essays / edited by Paul Debreczeny and Thomas Eekman.</t>
  </si>
  <si>
    <t>Columbus, Ohio : Slavica Publishers, 1977.</t>
  </si>
  <si>
    <t>890465755:eng</t>
  </si>
  <si>
    <t>4222263</t>
  </si>
  <si>
    <t>ocm04222263</t>
  </si>
  <si>
    <t>31029459172</t>
  </si>
  <si>
    <t>9780893570453</t>
  </si>
  <si>
    <t>792332377</t>
  </si>
  <si>
    <t>3103679120C</t>
  </si>
  <si>
    <t>792332378</t>
  </si>
  <si>
    <t>PG3458 Z8 C5</t>
  </si>
  <si>
    <t>0                      PG 3458000Z  8                  C  5</t>
  </si>
  <si>
    <t>Poėtika Chekhova.</t>
  </si>
  <si>
    <t>Chudakov, A. P. (Aleksandr Pavlovich)</t>
  </si>
  <si>
    <t>Moskva, "Nauka, " 1971.</t>
  </si>
  <si>
    <t>3754246061:rus</t>
  </si>
  <si>
    <t>4018145</t>
  </si>
  <si>
    <t>ocm04018145</t>
  </si>
  <si>
    <t>31029459004</t>
  </si>
  <si>
    <t>792314392</t>
  </si>
  <si>
    <t>PG3458 Z8 C513 1983</t>
  </si>
  <si>
    <t>0                      PG 3458000Z  8                  C  513         1983</t>
  </si>
  <si>
    <t>Chekhov's poetics / A.P. Chudakov ; translated by Edwina Jannie Cruise &amp; Donald Dragt.</t>
  </si>
  <si>
    <t>2019-10-02</t>
  </si>
  <si>
    <t>3754246061:eng</t>
  </si>
  <si>
    <t>9154865</t>
  </si>
  <si>
    <t>ocm09154865</t>
  </si>
  <si>
    <t>3102945895Q</t>
  </si>
  <si>
    <t>9780882337807</t>
  </si>
  <si>
    <t>792660122</t>
  </si>
  <si>
    <t>PG3458 Z8 C75 1989</t>
  </si>
  <si>
    <t>0                      PG 3458000Z  8                  C  75          1989</t>
  </si>
  <si>
    <t>Critical essays on Anton Chekhov / [edited by] Thomas A. Eekman.</t>
  </si>
  <si>
    <t>Boston, Mass. : G.K. Hall, ©1989.</t>
  </si>
  <si>
    <t>21114946:eng</t>
  </si>
  <si>
    <t>19352117</t>
  </si>
  <si>
    <t>ocm19352117</t>
  </si>
  <si>
    <t>31029459094</t>
  </si>
  <si>
    <t>9780816188437</t>
  </si>
  <si>
    <t>793054984</t>
  </si>
  <si>
    <t>PG3458 Z8 F56 2005</t>
  </si>
  <si>
    <t>0                      PG 3458000Z  8                  F  56          2005</t>
  </si>
  <si>
    <t>Seeing Chekhov : life and art / Michael C. Finke.</t>
  </si>
  <si>
    <t>Finke, Michael C., 1957-</t>
  </si>
  <si>
    <t>Ithaca : Cornell University Press, 2005.</t>
  </si>
  <si>
    <t>231487463:eng</t>
  </si>
  <si>
    <t>57316764</t>
  </si>
  <si>
    <t>ocm57316764</t>
  </si>
  <si>
    <t>3102945890Q</t>
  </si>
  <si>
    <t>9780801443152</t>
  </si>
  <si>
    <t>793910512</t>
  </si>
  <si>
    <t>PG3458 Z8 G5 1995</t>
  </si>
  <si>
    <t>0                      PG 3458000Z  8                  G  5           1995</t>
  </si>
  <si>
    <t>Chekhov's plays : an opening into eternity / Richard Gilman.</t>
  </si>
  <si>
    <t>Gilman, Richard, 1923-2006.</t>
  </si>
  <si>
    <t>New Haven, CT : Yale University Press, ©1995.</t>
  </si>
  <si>
    <t>233038174:eng</t>
  </si>
  <si>
    <t>32429666</t>
  </si>
  <si>
    <t>ocm32429666</t>
  </si>
  <si>
    <t>3102945938Z</t>
  </si>
  <si>
    <t>9780300064612</t>
  </si>
  <si>
    <t>793383878</t>
  </si>
  <si>
    <t>PG3458 Z8 H3</t>
  </si>
  <si>
    <t>0                      PG 3458000Z  8                  H  3</t>
  </si>
  <si>
    <t>Chekhov : a study of the major stories and plays / Beverly Hahn.</t>
  </si>
  <si>
    <t>Hahn, Beverly, 1947-</t>
  </si>
  <si>
    <t>London ; New York : Cambridge University Press, 1977.</t>
  </si>
  <si>
    <t>2019-07-31</t>
  </si>
  <si>
    <t>478354433:eng</t>
  </si>
  <si>
    <t>2330928</t>
  </si>
  <si>
    <t>ocm02330928</t>
  </si>
  <si>
    <t>3102945884S</t>
  </si>
  <si>
    <t>9780521209519</t>
  </si>
  <si>
    <t>792104764</t>
  </si>
  <si>
    <t>3102945889S</t>
  </si>
  <si>
    <t>792104765</t>
  </si>
  <si>
    <t>PG3458 Z8 K38213 2002</t>
  </si>
  <si>
    <t>0                      PG 3458000Z  8                  K  38213       2002</t>
  </si>
  <si>
    <t>If only we could know! : an interpretation of Chekhov / Vladimir Kataev ; translated from the Russian and edited by Harvey Pitcher.</t>
  </si>
  <si>
    <t>Kataev, V. B. (Vladimir Borisovich)</t>
  </si>
  <si>
    <t>Chicago : Ivan R. Dee, 2002.</t>
  </si>
  <si>
    <t>3757076337:eng</t>
  </si>
  <si>
    <t>49327002</t>
  </si>
  <si>
    <t>ocm49327002</t>
  </si>
  <si>
    <t>3102945899Q</t>
  </si>
  <si>
    <t>9781566634489</t>
  </si>
  <si>
    <t>793737703</t>
  </si>
  <si>
    <t>PG3458 Z8 L64 2010</t>
  </si>
  <si>
    <t>0                      PG 3458000Z  8                  L  64          2010</t>
  </si>
  <si>
    <t>The Cambridge introduction to Chekhov / James N. Loehlin.</t>
  </si>
  <si>
    <t>Loehlin, James N.</t>
  </si>
  <si>
    <t>498696453:eng</t>
  </si>
  <si>
    <t>634743477</t>
  </si>
  <si>
    <t>ocn634743477</t>
  </si>
  <si>
    <t>31033249402</t>
  </si>
  <si>
    <t>9780521880770</t>
  </si>
  <si>
    <t>794825414</t>
  </si>
  <si>
    <t>PG3458 Z8 M26</t>
  </si>
  <si>
    <t>0                      PG 3458000Z  8                  M  26</t>
  </si>
  <si>
    <t>The real Chekhov : an introduction to Chekhov's last plays / by David Magarshack.</t>
  </si>
  <si>
    <t>London : Allen and Unwin, 1972.</t>
  </si>
  <si>
    <t>899832529:eng</t>
  </si>
  <si>
    <t>415921</t>
  </si>
  <si>
    <t>ocm00415921</t>
  </si>
  <si>
    <t>3102945892Q</t>
  </si>
  <si>
    <t>9780048910448</t>
  </si>
  <si>
    <t>791372188</t>
  </si>
  <si>
    <t>PG3458 Z8 M28 2001</t>
  </si>
  <si>
    <t>0                      PG 3458000Z  8                  M  28          2001</t>
  </si>
  <si>
    <t>Reading Chekhov : a critical journey / Janet Malcolm.</t>
  </si>
  <si>
    <t>Malcolm, Janet.</t>
  </si>
  <si>
    <t>New York : Random House, ©2001.</t>
  </si>
  <si>
    <t>793879517:eng</t>
  </si>
  <si>
    <t>46472060</t>
  </si>
  <si>
    <t>ocm46472060</t>
  </si>
  <si>
    <t>3102945897Q</t>
  </si>
  <si>
    <t>9780375506680</t>
  </si>
  <si>
    <t>793685519</t>
  </si>
  <si>
    <t>PG3458 Z8 P37 2008</t>
  </si>
  <si>
    <t>0                      PG 3458000Z  8                  P  37          2008</t>
  </si>
  <si>
    <t>The Chekhovian intertext : dialogue with a classic / Lyudmila Parts.</t>
  </si>
  <si>
    <t>Parts, Lyudmila.</t>
  </si>
  <si>
    <t>Columbus : Ohio State University Press, ©2008.</t>
  </si>
  <si>
    <t>304776778:eng</t>
  </si>
  <si>
    <t>180852102</t>
  </si>
  <si>
    <t>ocn180852102</t>
  </si>
  <si>
    <t>3102882098B</t>
  </si>
  <si>
    <t>9780814210833</t>
  </si>
  <si>
    <t>794280737</t>
  </si>
  <si>
    <t>PG3458 Z8 P583 2010</t>
  </si>
  <si>
    <t>0                      PG 3458000Z  8                  P  583         2010</t>
  </si>
  <si>
    <t>Responding to Chekhov : the journey of a lifetime / Harvey Pitcher.</t>
  </si>
  <si>
    <t>Pitcher, Harvey.</t>
  </si>
  <si>
    <t>Cromer : Swallow House Books, 2010.</t>
  </si>
  <si>
    <t>1046411307:eng</t>
  </si>
  <si>
    <t>670190408</t>
  </si>
  <si>
    <t>ocn670190408</t>
  </si>
  <si>
    <t>3103395158M</t>
  </si>
  <si>
    <t>9780905265087</t>
  </si>
  <si>
    <t>794847431</t>
  </si>
  <si>
    <t>PG3458 Z8 R39 1999</t>
  </si>
  <si>
    <t>0                      PG 3458000Z  8                  R  39          1999</t>
  </si>
  <si>
    <t>Understanding Chekhov : a critical study of Chekhov's prose and drama / Donald Rayfield.</t>
  </si>
  <si>
    <t>196756902:eng</t>
  </si>
  <si>
    <t>40595618</t>
  </si>
  <si>
    <t>ocm40595618</t>
  </si>
  <si>
    <t>3102945878U</t>
  </si>
  <si>
    <t>9780299163143</t>
  </si>
  <si>
    <t>793570798</t>
  </si>
  <si>
    <t>PG3458 Z8 R4 1993</t>
  </si>
  <si>
    <t>0                      PG 3458000Z  8                  R  4           1993</t>
  </si>
  <si>
    <t>Reading Chekhov's text / edited by Robert Louis Jackson.</t>
  </si>
  <si>
    <t>30581608:eng</t>
  </si>
  <si>
    <t>28221591</t>
  </si>
  <si>
    <t>ocm28221591</t>
  </si>
  <si>
    <t>3102945882S</t>
  </si>
  <si>
    <t>9780810110809</t>
  </si>
  <si>
    <t>793283138</t>
  </si>
  <si>
    <t>PG3458 Z8 S464 2012</t>
  </si>
  <si>
    <t>0                      PG 3458000Z  8                  S  464         2012</t>
  </si>
  <si>
    <t>Analiz rasskazov A.P. Chekhova "Spatʹ khochetsi︠a︡ i "Anna na shee" : monografii︠a︡ / Nina Semenova.</t>
  </si>
  <si>
    <t>Semenova, Nina, author.</t>
  </si>
  <si>
    <t>Saarbrücken, Germany : LAP Lambert Academic Publishing, 2012.</t>
  </si>
  <si>
    <t>2459702594:rus</t>
  </si>
  <si>
    <t>904605213</t>
  </si>
  <si>
    <t>ocn904605213</t>
  </si>
  <si>
    <t>3103586551$</t>
  </si>
  <si>
    <t>9783659126314</t>
  </si>
  <si>
    <t>794990654</t>
  </si>
  <si>
    <t>PG3458 Z8 W49 2011</t>
  </si>
  <si>
    <t>0                      PG 3458000Z  8                  W  49          2011</t>
  </si>
  <si>
    <t>Anton Chekhov / Rose Whyman.</t>
  </si>
  <si>
    <t>Whyman, Rose.</t>
  </si>
  <si>
    <t>London ; New York : Routledge, 2011, ©2011.</t>
  </si>
  <si>
    <t>Routledge modern and contemporary dramatists</t>
  </si>
  <si>
    <t>347272873:eng</t>
  </si>
  <si>
    <t>228374451</t>
  </si>
  <si>
    <t>ocn228374451</t>
  </si>
  <si>
    <t>31032312195</t>
  </si>
  <si>
    <t>9780415411431</t>
  </si>
  <si>
    <t>794349394</t>
  </si>
  <si>
    <t>PG3458 Z8 W5 1989</t>
  </si>
  <si>
    <t>0                      PG 3458000Z  8                  W  5           1989</t>
  </si>
  <si>
    <t>Anton Chekhov, the iconoclast / Lee J. Williames.</t>
  </si>
  <si>
    <t>Williames, Lee John.</t>
  </si>
  <si>
    <t>Scranton, PA : University of Scranton Press, ©1989.</t>
  </si>
  <si>
    <t>23528611:eng</t>
  </si>
  <si>
    <t>21685510</t>
  </si>
  <si>
    <t>ocm21685510</t>
  </si>
  <si>
    <t>3102945947X</t>
  </si>
  <si>
    <t>9780940866096</t>
  </si>
  <si>
    <t>793125791</t>
  </si>
  <si>
    <t>PG3458 Z9 A6628 1997</t>
  </si>
  <si>
    <t>0                      PG 3458000Z  9                  A  6628        1997</t>
  </si>
  <si>
    <t>Chekhov then and now : the reception of Chekhov in world culture / J. Douglas Clayton, editor.</t>
  </si>
  <si>
    <t>New York : Peter Lang, 1997.</t>
  </si>
  <si>
    <t>Middlebury studies in Russian language and literature ; vol. 7</t>
  </si>
  <si>
    <t>806897012:eng</t>
  </si>
  <si>
    <t>44603201</t>
  </si>
  <si>
    <t>ocm44603201</t>
  </si>
  <si>
    <t>3101748338H</t>
  </si>
  <si>
    <t>9780820430850</t>
  </si>
  <si>
    <t>793654045</t>
  </si>
  <si>
    <t>PG3458 Z9 C454 1997</t>
  </si>
  <si>
    <t>0                      PG 3458000Z  9                  C  454         1997</t>
  </si>
  <si>
    <t>Chekhov and Russian religious culture : the poetics of the Marian paradigm / Julie W. de Sherbinin.</t>
  </si>
  <si>
    <t>De Sherbinin, Julie W.</t>
  </si>
  <si>
    <t>335689114:eng</t>
  </si>
  <si>
    <t>36783935</t>
  </si>
  <si>
    <t>ocm36783935</t>
  </si>
  <si>
    <t>3102945957V</t>
  </si>
  <si>
    <t>9780810114043</t>
  </si>
  <si>
    <t>793484247</t>
  </si>
  <si>
    <t>PG3458 Z9 D723</t>
  </si>
  <si>
    <t>0                      PG 3458000Z  9                  D  723</t>
  </si>
  <si>
    <t>Chekhov's great plays : a critical anthology / edited, and with an introduction, by Jean-Pierre Barricelli.</t>
  </si>
  <si>
    <t>New York : New York University Press, 1981.</t>
  </si>
  <si>
    <t>The Gotham library of the New York University Press</t>
  </si>
  <si>
    <t>905849933:eng</t>
  </si>
  <si>
    <t>7462389</t>
  </si>
  <si>
    <t>ocm07462389</t>
  </si>
  <si>
    <t>3102945958V</t>
  </si>
  <si>
    <t>9780814710364</t>
  </si>
  <si>
    <t>792559942</t>
  </si>
  <si>
    <t>PG3458 Z9 D75</t>
  </si>
  <si>
    <t>0                      PG 3458000Z  9                  D  75</t>
  </si>
  <si>
    <t>Proza Chekhova : problemy interpretat︠s︡ii / V.B. Kataev.</t>
  </si>
  <si>
    <t>Moskva : Izd-vo Moskovskogo universiteta, 1979.</t>
  </si>
  <si>
    <t>3901096253:rus</t>
  </si>
  <si>
    <t>6154616</t>
  </si>
  <si>
    <t>ocm06154616</t>
  </si>
  <si>
    <t>3102945954V</t>
  </si>
  <si>
    <t>792478791</t>
  </si>
  <si>
    <t>PG3458 Z9 D76 1973b</t>
  </si>
  <si>
    <t>0                      PG 3458000Z  9                  D  76          1973b</t>
  </si>
  <si>
    <t>The Chekhov play: a new interpretation, by Harvey Pitcher.</t>
  </si>
  <si>
    <t>Pitcher, Harvey J.</t>
  </si>
  <si>
    <t>London, Chatto and Windus, 1973.</t>
  </si>
  <si>
    <t>1681559:eng</t>
  </si>
  <si>
    <t>1288939</t>
  </si>
  <si>
    <t>ocm01288939</t>
  </si>
  <si>
    <t>3102945944X</t>
  </si>
  <si>
    <t>9780701119423</t>
  </si>
  <si>
    <t>791592488</t>
  </si>
  <si>
    <t>3102945949X</t>
  </si>
  <si>
    <t>791592487</t>
  </si>
  <si>
    <t>PG3458 Z9 D77</t>
  </si>
  <si>
    <t>0                      PG 3458000Z  9                  D  77</t>
  </si>
  <si>
    <t>Chekhov in performance; a commentary on the major plays [by] J.L. Styan.</t>
  </si>
  <si>
    <t>Styan, J. L.</t>
  </si>
  <si>
    <t>2017-03-23</t>
  </si>
  <si>
    <t>794964504:eng</t>
  </si>
  <si>
    <t>130539</t>
  </si>
  <si>
    <t>ocm00130539</t>
  </si>
  <si>
    <t>31029459290</t>
  </si>
  <si>
    <t>9780521079754</t>
  </si>
  <si>
    <t>791266319</t>
  </si>
  <si>
    <t>31029459240</t>
  </si>
  <si>
    <t>791266318</t>
  </si>
  <si>
    <t>PG3458 Z9 D785 1980b</t>
  </si>
  <si>
    <t>0                      PG 3458000Z  9                  D  785         1980b</t>
  </si>
  <si>
    <t>Chekhov, a structuralist study / John Tulloch.</t>
  </si>
  <si>
    <t>Tulloch, John.</t>
  </si>
  <si>
    <t>Totowa, N.J. : Barnes &amp; Noble Books, ©1980.</t>
  </si>
  <si>
    <t>404573:eng</t>
  </si>
  <si>
    <t>6412977</t>
  </si>
  <si>
    <t>ocm06412977</t>
  </si>
  <si>
    <t>3102945930Z</t>
  </si>
  <si>
    <t>9780064970273</t>
  </si>
  <si>
    <t>792497384</t>
  </si>
  <si>
    <t>PG3458 Z9 D798 1988</t>
  </si>
  <si>
    <t>0                      PG 3458000Z  9                  D  798         1988</t>
  </si>
  <si>
    <t>Teatr Chekhova i ego mirovoe znachenie / B. Zingerman ; otvetstvennyĭ redaktor A.A. Anikst.</t>
  </si>
  <si>
    <t>Zingerman, B. I. (Boris Isaakovich)</t>
  </si>
  <si>
    <t>Moskva : "Nauka", 1988.</t>
  </si>
  <si>
    <t>Literaturno-khudozh. izd.</t>
  </si>
  <si>
    <t>3901237193:rus</t>
  </si>
  <si>
    <t>18509179</t>
  </si>
  <si>
    <t>ocm18509179</t>
  </si>
  <si>
    <t>3102945934Z</t>
  </si>
  <si>
    <t>9785020126916</t>
  </si>
  <si>
    <t>793027596</t>
  </si>
  <si>
    <t>PG3458 Z9 D7987 1997</t>
  </si>
  <si>
    <t>0                      PG 3458000Z  9                  D  7987        1997</t>
  </si>
  <si>
    <t>A systems approach to literature : mythopoetics of Chekhov's four major plays / Vera Zubarev.</t>
  </si>
  <si>
    <t>Zubareva, Vera.</t>
  </si>
  <si>
    <t>Westport, Conn. : Greenwood Press, 1997.</t>
  </si>
  <si>
    <t>Contributions to the study of world literature, 0738-9345 ; no. 75</t>
  </si>
  <si>
    <t>2015-11-22</t>
  </si>
  <si>
    <t>836982328:eng</t>
  </si>
  <si>
    <t>34943261</t>
  </si>
  <si>
    <t>ocm34943261</t>
  </si>
  <si>
    <t>3102945953V</t>
  </si>
  <si>
    <t>9780313301933</t>
  </si>
  <si>
    <t>793439364</t>
  </si>
  <si>
    <t>PG3458 Z9 F5347 1993</t>
  </si>
  <si>
    <t>0                      PG 3458000Z  9                  F  5347        1993</t>
  </si>
  <si>
    <t>Anton Chekhov : a study of the short fiction / Ronald L. Johnson.</t>
  </si>
  <si>
    <t>Johnson, Ronald L. (Ronald LeRoy), 1943-</t>
  </si>
  <si>
    <t>New York : Twayne Publishers ; Toronto : Maxwell Macmillan Canada ; New York : Maxwell Macmillan International, ©1993.</t>
  </si>
  <si>
    <t>Twayne's studies in short fiction ; no. 40</t>
  </si>
  <si>
    <t>2019-07-17</t>
  </si>
  <si>
    <t>462600323:eng</t>
  </si>
  <si>
    <t>26399737</t>
  </si>
  <si>
    <t>ocm26399737</t>
  </si>
  <si>
    <t>3102945945X</t>
  </si>
  <si>
    <t>9780805783490</t>
  </si>
  <si>
    <t>793244041</t>
  </si>
  <si>
    <t>PG3458 Z9 F5354 2014</t>
  </si>
  <si>
    <t>0                      PG 3458000Z  9                  F  5354        2014</t>
  </si>
  <si>
    <t>Khudozhestvennyĭ mir prozy A.P. Chekhova / V.I︠A︡. Linkov.</t>
  </si>
  <si>
    <t>Linkov, V. I︠A︡. (Vladimir I︠A︡kovlevich), 1938- author.</t>
  </si>
  <si>
    <t>Moskva : URSS : LELAND, 2014.</t>
  </si>
  <si>
    <t>43548696:rus</t>
  </si>
  <si>
    <t>889407127</t>
  </si>
  <si>
    <t>ocn889407127</t>
  </si>
  <si>
    <t>3103586040G</t>
  </si>
  <si>
    <t>9785971007104</t>
  </si>
  <si>
    <t>794978371</t>
  </si>
  <si>
    <t>PG3458 Z9 L3536 2014</t>
  </si>
  <si>
    <t>0                      PG 3458000Z  9                  L  3536        2014</t>
  </si>
  <si>
    <t>I︠A︡zykovye sredstva vyrazhenii︠a︡ komicheskogo v pisʹmakh A.P. Chekhova : monografii︠a︡ / T.V. Kyshtymova.</t>
  </si>
  <si>
    <t>Kyshtymova, T. V., author.</t>
  </si>
  <si>
    <t>Shadrinsk : Shadrinskiĭ dom pechati (Kargapolʹskiĭ fil.), 2014.</t>
  </si>
  <si>
    <t>2756676763:rus</t>
  </si>
  <si>
    <t>923359939</t>
  </si>
  <si>
    <t>ocn923359939</t>
  </si>
  <si>
    <t>3103701509M</t>
  </si>
  <si>
    <t>9785714216169</t>
  </si>
  <si>
    <t>795004520</t>
  </si>
  <si>
    <t>PG3458 Z9 L3575 2005</t>
  </si>
  <si>
    <t>0                      PG 3458000Z  9                  L  3575        2005</t>
  </si>
  <si>
    <t>Problemy kommunikat︠s︡ii u Chekhova / A.D. Stepanov.</t>
  </si>
  <si>
    <t>Stepanov, A. D. (Andreĭ Dmitrievich)</t>
  </si>
  <si>
    <t>43394187:rus</t>
  </si>
  <si>
    <t>60542184</t>
  </si>
  <si>
    <t>ocm60542184</t>
  </si>
  <si>
    <t>3103201019Q</t>
  </si>
  <si>
    <t>9785955100524</t>
  </si>
  <si>
    <t>793939307</t>
  </si>
  <si>
    <t>PG3458 Z9 R447 2004</t>
  </si>
  <si>
    <t>0                      PG 3458000Z  9                  R  447         2004</t>
  </si>
  <si>
    <t>Biblical subtexts and religious themes in works of Anton Chekhov / Mark Stanley Swift.</t>
  </si>
  <si>
    <t>Swift, Mark Stanley, 1955-</t>
  </si>
  <si>
    <t>New York : P. Lang, ©2004.</t>
  </si>
  <si>
    <t>Middlebury studies in Russian language and literature, 0888-8752 ; v. 18</t>
  </si>
  <si>
    <t>2019-10-27</t>
  </si>
  <si>
    <t>790130:eng</t>
  </si>
  <si>
    <t>51553246</t>
  </si>
  <si>
    <t>ocm51553246</t>
  </si>
  <si>
    <t>3102945933Z</t>
  </si>
  <si>
    <t>9780820438757</t>
  </si>
  <si>
    <t>793786696</t>
  </si>
  <si>
    <t>PG3458 Z9 S83 2006</t>
  </si>
  <si>
    <t>0                      PG 3458000Z  9                  S  83          2006</t>
  </si>
  <si>
    <t>Chekhov : the cherry orchard / James N. Loehlin.</t>
  </si>
  <si>
    <t>Plays in production</t>
  </si>
  <si>
    <t>905889019:eng</t>
  </si>
  <si>
    <t>70173367</t>
  </si>
  <si>
    <t>ocm70173367</t>
  </si>
  <si>
    <t>3102565576G</t>
  </si>
  <si>
    <t>9780521825931</t>
  </si>
  <si>
    <t>794150023</t>
  </si>
  <si>
    <t>PG3458 Z9 T565 2019</t>
  </si>
  <si>
    <t>0                      PG 3458000Z  9                  T  565         2019</t>
  </si>
  <si>
    <t>Chronotopes of modernity in Chekhov / Tintti Klapuri.</t>
  </si>
  <si>
    <t>Klapuri, Tintti, author.</t>
  </si>
  <si>
    <t>Berlin ; New York : Peter Lang, [2019]</t>
  </si>
  <si>
    <t>Slovo: slavistische Studien ; 2</t>
  </si>
  <si>
    <t>9088858567:eng</t>
  </si>
  <si>
    <t>1091236932</t>
  </si>
  <si>
    <t>on1091236932</t>
  </si>
  <si>
    <t>31038084863</t>
  </si>
  <si>
    <t>9783631777862</t>
  </si>
  <si>
    <t>795080206</t>
  </si>
  <si>
    <t>PG3458 Z9 W865 1987</t>
  </si>
  <si>
    <t>0                      PG 3458000Z  9                  W  865         1987</t>
  </si>
  <si>
    <t>Chekhov and women : women in the life and work of Chekhov / Carolina De Maegd-Soëp.</t>
  </si>
  <si>
    <t>Maegd-Soëp, Carolina de.</t>
  </si>
  <si>
    <t>Columbus, Ohio : Slavica Publishers, ©1987.</t>
  </si>
  <si>
    <t>330071769:eng</t>
  </si>
  <si>
    <t>17610042</t>
  </si>
  <si>
    <t>ocm17610042</t>
  </si>
  <si>
    <t>31029459270</t>
  </si>
  <si>
    <t>9780893571757</t>
  </si>
  <si>
    <t>792997222</t>
  </si>
  <si>
    <t>PG3458 Z9 Z823 2000</t>
  </si>
  <si>
    <t>0                      PG 3458000Z  9                  Z  823         2000</t>
  </si>
  <si>
    <t>Performing Chekhov / David Allen.</t>
  </si>
  <si>
    <t>Allen, David, 1959-</t>
  </si>
  <si>
    <t>London ; New York : Routledge, 2000.</t>
  </si>
  <si>
    <t>27670029:eng</t>
  </si>
  <si>
    <t>41361547</t>
  </si>
  <si>
    <t>ocm41361547</t>
  </si>
  <si>
    <t>3102090287M</t>
  </si>
  <si>
    <t>9780415189347</t>
  </si>
  <si>
    <t>793589933</t>
  </si>
  <si>
    <t>PG3460 D67 A2 2012</t>
  </si>
  <si>
    <t>0                      PG 3460000D  67                 A  2           2012</t>
  </si>
  <si>
    <t>What the emperor cannot do : tales and legends of the Orient / Vlas Doroshevich ; translated by Rowen Glie in collaboration with Ronald M. Landau and John Dewey.</t>
  </si>
  <si>
    <t>Doroshevich, V. M. (Vlas Mikhaĭlovich), 1864-1922.</t>
  </si>
  <si>
    <t>Moscow : Glas, [2012]</t>
  </si>
  <si>
    <t>Glas new Russian writing, contemporary Russian literature in English translation ; v. 53</t>
  </si>
  <si>
    <t>1166428026:eng</t>
  </si>
  <si>
    <t>756581616</t>
  </si>
  <si>
    <t>ocn756581616</t>
  </si>
  <si>
    <t>31034299609</t>
  </si>
  <si>
    <t>9785717200943</t>
  </si>
  <si>
    <t>794894634</t>
  </si>
  <si>
    <t>PG3460 G5 Z54 2018</t>
  </si>
  <si>
    <t>0                      PG 3460000G  5                  Z  54          2018</t>
  </si>
  <si>
    <t>Ėpistoli︠a︡rnoe nasledie Z.N. Gippius / sostaviteli N.A., Bogomolov i M.M. Pavlova ; otvetstvennyĭ redaktor O.A. Korostelev.</t>
  </si>
  <si>
    <t>Gippius, Z. N. (Zinaida Nikolaevna), 1869-1945, author.</t>
  </si>
  <si>
    <t>Moskva : IMLI RAN, 2018-</t>
  </si>
  <si>
    <t>Literaturnoe nasledstvo, 0130-3627 ; tom sto shestoĭ v dvukh knigakh</t>
  </si>
  <si>
    <t>2019-05-14</t>
  </si>
  <si>
    <t>9460490040:rus</t>
  </si>
  <si>
    <t>1089841993</t>
  </si>
  <si>
    <t>on1089841993</t>
  </si>
  <si>
    <t>3103859630O</t>
  </si>
  <si>
    <t>9785920805348</t>
  </si>
  <si>
    <t>795079667</t>
  </si>
  <si>
    <t>PG3462 M35 1951</t>
  </si>
  <si>
    <t>0                      PG 3462000M  35          1951</t>
  </si>
  <si>
    <t>Matʹ.</t>
  </si>
  <si>
    <t>Moskva : Gos. izd-vo khudozh. lit-ry, 1951.</t>
  </si>
  <si>
    <t>8907125684:rus</t>
  </si>
  <si>
    <t>6302415</t>
  </si>
  <si>
    <t>ocm06302415</t>
  </si>
  <si>
    <t>31033380732</t>
  </si>
  <si>
    <t>792489725</t>
  </si>
  <si>
    <t>PG3462 M35 1965</t>
  </si>
  <si>
    <t>0                      PG 3462000M  35          1965</t>
  </si>
  <si>
    <t>Matʹ / M. Gorʹkiĭ ; risunki Kukryniksy.</t>
  </si>
  <si>
    <t>Moskva : Izd-vo "Detskai︠a︡ lit-ra", 1965.</t>
  </si>
  <si>
    <t>Shkolʹnai︠a︡ biblioteka</t>
  </si>
  <si>
    <t>2017-09-18</t>
  </si>
  <si>
    <t>3374338112:rus</t>
  </si>
  <si>
    <t>6561213</t>
  </si>
  <si>
    <t>ocm06561213</t>
  </si>
  <si>
    <t>3103095538W</t>
  </si>
  <si>
    <t>792508896</t>
  </si>
  <si>
    <t>PG3463 A15 1959</t>
  </si>
  <si>
    <t>0                      PG 3463000A  15          1959</t>
  </si>
  <si>
    <t>Selected short stories / Maxim Gorky ; with an introductory essay by Stefan Zweig.</t>
  </si>
  <si>
    <t>New York : Ungar, 1959.</t>
  </si>
  <si>
    <t>2010-04-08</t>
  </si>
  <si>
    <t>2016-01-15</t>
  </si>
  <si>
    <t>4917180742:eng</t>
  </si>
  <si>
    <t>586380</t>
  </si>
  <si>
    <t>ocm00586380</t>
  </si>
  <si>
    <t>3102749911Z</t>
  </si>
  <si>
    <t>791421842</t>
  </si>
  <si>
    <t>3102945973R</t>
  </si>
  <si>
    <t>791421841</t>
  </si>
  <si>
    <t>PG3463 D4 D4x</t>
  </si>
  <si>
    <t>0                      PG 3463000D  4                  D  4x</t>
  </si>
  <si>
    <t>Decadence / by Maxim Gorky ; translated from the Russian by Veronica Dewey.</t>
  </si>
  <si>
    <t>New York : Robert M. McBride &amp; Co., 1927.</t>
  </si>
  <si>
    <t>739036:eng</t>
  </si>
  <si>
    <t>669621</t>
  </si>
  <si>
    <t>ocm00669621</t>
  </si>
  <si>
    <t>3102946048J</t>
  </si>
  <si>
    <t>791442098</t>
  </si>
  <si>
    <t>PG3463 M35 S3x 1974</t>
  </si>
  <si>
    <t>0                      PG 3463000M  35                 S  3x          1974</t>
  </si>
  <si>
    <t>Mother / Maxim Gorky ; with an introd. by Howard Fast ; [translated by Isidore Schneider].</t>
  </si>
  <si>
    <t>Secaucus, N.J. : Citadel Press, ©1975, ©1947.</t>
  </si>
  <si>
    <t>3374338112:eng</t>
  </si>
  <si>
    <t>12036812</t>
  </si>
  <si>
    <t>ocm12036812</t>
  </si>
  <si>
    <t>31027684019</t>
  </si>
  <si>
    <t>9780806508900</t>
  </si>
  <si>
    <t>792797876</t>
  </si>
  <si>
    <t>PG3465 A3 S35 1969</t>
  </si>
  <si>
    <t>0                      PG 3465000A  3                  S  35          1969</t>
  </si>
  <si>
    <t>Autobiography of Maxim Gorky : My childhood. In the world. My universities / translated by Isidor Schneider.</t>
  </si>
  <si>
    <t>New York : Citadel Press, [1969]</t>
  </si>
  <si>
    <t>4575465453:eng</t>
  </si>
  <si>
    <t>317257844</t>
  </si>
  <si>
    <t>ocn317257844</t>
  </si>
  <si>
    <t>3101426458D</t>
  </si>
  <si>
    <t>794451928</t>
  </si>
  <si>
    <t>PG3465 A35 1924</t>
  </si>
  <si>
    <t>0                      PG 3465000A  35          1924</t>
  </si>
  <si>
    <t>Fragments from my diary / by Maxim Gorki.</t>
  </si>
  <si>
    <t>London : Philip Allan, 1924.</t>
  </si>
  <si>
    <t>2018-08-23</t>
  </si>
  <si>
    <t>1453709:eng</t>
  </si>
  <si>
    <t>2148256</t>
  </si>
  <si>
    <t>ocm02148256</t>
  </si>
  <si>
    <t>3102946037L</t>
  </si>
  <si>
    <t>792056161</t>
  </si>
  <si>
    <t>PG3465 A35 1972b</t>
  </si>
  <si>
    <t>0                      PG 3465000A  35          1972b</t>
  </si>
  <si>
    <t>Fragments from my diary [by] Maxim Gorki. Translated by Moura Budberg.</t>
  </si>
  <si>
    <t>New York, Praeger [1972, ©1940]</t>
  </si>
  <si>
    <t>410486</t>
  </si>
  <si>
    <t>ocm00410486</t>
  </si>
  <si>
    <t>3102946042J</t>
  </si>
  <si>
    <t>9780713902686</t>
  </si>
  <si>
    <t>791369989</t>
  </si>
  <si>
    <t>PG3465 A38 1997</t>
  </si>
  <si>
    <t>0                      PG 3465000A  38          1997</t>
  </si>
  <si>
    <t>Maksim Gorky : selected letters / selected, translated, and edited by Andrew Barratt and Barry P. Scherr.</t>
  </si>
  <si>
    <t>Gorky, Maksim, 1868-1936, author.</t>
  </si>
  <si>
    <t>Oxford : Clarendon Press ; New York : Oxford University Press, 1997.</t>
  </si>
  <si>
    <t>3901630141:eng</t>
  </si>
  <si>
    <t>34967871</t>
  </si>
  <si>
    <t>ocm34967871</t>
  </si>
  <si>
    <t>3102946052H</t>
  </si>
  <si>
    <t>9780198151753</t>
  </si>
  <si>
    <t>793440088</t>
  </si>
  <si>
    <t>PG3465 B375 2011</t>
  </si>
  <si>
    <t>0                      PG 3465000B  375         2011</t>
  </si>
  <si>
    <t>Strasti po Maksimu : Gorʹkiĭ, 9 dneĭ posle smerti / Pavel Basinskiĭ.</t>
  </si>
  <si>
    <t>Moskva : AST : Astrelʹ, 2011.</t>
  </si>
  <si>
    <t>3902772251:rus</t>
  </si>
  <si>
    <t>719860354</t>
  </si>
  <si>
    <t>ocn719860354</t>
  </si>
  <si>
    <t>31037282971</t>
  </si>
  <si>
    <t>9785170715312</t>
  </si>
  <si>
    <t>794874777</t>
  </si>
  <si>
    <t>PG3465 H3 1962</t>
  </si>
  <si>
    <t>0                      PG 3465000H  3           1962</t>
  </si>
  <si>
    <t>Maxim Gorky, romantic realist and conservative revolutionary.</t>
  </si>
  <si>
    <t>Hare, Richard, 1907-1966.</t>
  </si>
  <si>
    <t>London, New York, Oxford University Press, 1962.</t>
  </si>
  <si>
    <t>2008-02-06</t>
  </si>
  <si>
    <t>545096899:eng</t>
  </si>
  <si>
    <t>321078</t>
  </si>
  <si>
    <t>ocm00321078</t>
  </si>
  <si>
    <t>31029460909</t>
  </si>
  <si>
    <t>791336109</t>
  </si>
  <si>
    <t>3102946085B</t>
  </si>
  <si>
    <t>791336108</t>
  </si>
  <si>
    <t>PG3465 H6 1948</t>
  </si>
  <si>
    <t>0                      PG 3465000H  6           1948</t>
  </si>
  <si>
    <t>The young Maxim Gorky, 1868-1902.</t>
  </si>
  <si>
    <t>Holtzman, Filia.</t>
  </si>
  <si>
    <t>New York, Columbia Univ. Press, 1948.</t>
  </si>
  <si>
    <t>1650521:eng</t>
  </si>
  <si>
    <t>709810</t>
  </si>
  <si>
    <t>ocm00709810</t>
  </si>
  <si>
    <t>31029460959</t>
  </si>
  <si>
    <t>791451807</t>
  </si>
  <si>
    <t>PG3465 Z9 L48</t>
  </si>
  <si>
    <t>0                      PG 3465000Z  9                  L  48</t>
  </si>
  <si>
    <t>The bridge and the abyss; the troubled friendship of Maxim Gorky and V.I. Lenin, by Bertram D. Wolfe.</t>
  </si>
  <si>
    <t>Wolfe, Bertram D. (Bertram David), 1896-1977.</t>
  </si>
  <si>
    <t>New York, Published for the Hoover Institution on War, Revolution and Peace, Stanford University, Stanford, Calif. [by] F.A. Praeger [1967]</t>
  </si>
  <si>
    <t>Hoover Institution publications</t>
  </si>
  <si>
    <t>2017-05-03</t>
  </si>
  <si>
    <t>1666368:eng</t>
  </si>
  <si>
    <t>712610</t>
  </si>
  <si>
    <t>ocm00712610</t>
  </si>
  <si>
    <t>3102946103O</t>
  </si>
  <si>
    <t>791453106</t>
  </si>
  <si>
    <t>PG3467 G9 Z57</t>
  </si>
  <si>
    <t>0                      PG 3467000G  9                  Z  57</t>
  </si>
  <si>
    <t>Russian futurism, urbanism and Elena Guro / Kjeld Bjørnager Jensen.</t>
  </si>
  <si>
    <t>Bjørnager, Kjeld.</t>
  </si>
  <si>
    <t>Århus (Box 285, 8100 C) : Arkona, 1977.</t>
  </si>
  <si>
    <t>14876558:eng</t>
  </si>
  <si>
    <t>4528679</t>
  </si>
  <si>
    <t>ocm04528679</t>
  </si>
  <si>
    <t>3000455983$</t>
  </si>
  <si>
    <t>9788787044240</t>
  </si>
  <si>
    <t>792359345</t>
  </si>
  <si>
    <t>PG3467 I8 P6837 2012</t>
  </si>
  <si>
    <t>0                      PG 3467000I  8                  P  6837        2012</t>
  </si>
  <si>
    <t>Istochniki "Povesti o Svetomire t︠s︡areviche" Vi︠a︡ch. Ivanova : drevni︠a︡i︠a︡ i srednevekovai︠a︡ knizhnostʹ i folʹklor / A.L. Toporkov.</t>
  </si>
  <si>
    <t>Toporkov, A. L., author.</t>
  </si>
  <si>
    <t>Moskva : Indrik, 2012.</t>
  </si>
  <si>
    <t>8912651061:rus</t>
  </si>
  <si>
    <t>844118645</t>
  </si>
  <si>
    <t>ocn844118645</t>
  </si>
  <si>
    <t>3103526568R</t>
  </si>
  <si>
    <t>9785916742343</t>
  </si>
  <si>
    <t>794948441</t>
  </si>
  <si>
    <t>PG3467 I8 Z92 2010</t>
  </si>
  <si>
    <t>0                      PG 3467000I  8                  Z  92          2010</t>
  </si>
  <si>
    <t>Vi︠a︡cheslav Ivanov : issledovanii︠a︡ i materialy / otvetsvennye redaktory, K.I︠U︡. Lappo-Danilevskiĭ, A.B. Shishkin.</t>
  </si>
  <si>
    <t>Sankt-Peterburg : Izd-vo Pushkinskogo Doma, 2010-&lt;2016&gt;</t>
  </si>
  <si>
    <t>3861345381:rus</t>
  </si>
  <si>
    <t>711615091</t>
  </si>
  <si>
    <t>ocn711615091</t>
  </si>
  <si>
    <t>3103410197V</t>
  </si>
  <si>
    <t>9785877810150</t>
  </si>
  <si>
    <t>794871045</t>
  </si>
  <si>
    <t>PG3467 K6 A6 1966</t>
  </si>
  <si>
    <t>0                      PG 3467000K  6                  A  6           1966</t>
  </si>
  <si>
    <t>Povesti i rasskazy.</t>
  </si>
  <si>
    <t>Korolenko, Vladimir Galaktionovich, 1853-1921.</t>
  </si>
  <si>
    <t>Moskow, Khudozh. lit-ra, 1966.</t>
  </si>
  <si>
    <t>2014-01-09</t>
  </si>
  <si>
    <t>10178103095:rus</t>
  </si>
  <si>
    <t>391339</t>
  </si>
  <si>
    <t>ocm00391339</t>
  </si>
  <si>
    <t>3101742744$</t>
  </si>
  <si>
    <t>791362845</t>
  </si>
  <si>
    <t>31017427407</t>
  </si>
  <si>
    <t>791362846</t>
  </si>
  <si>
    <t>PG3467 K637 N513 2001</t>
  </si>
  <si>
    <t>0                      PG 3467000K  637                N  513         2001</t>
  </si>
  <si>
    <t>Nihilist girl / Sofya Kovalevskaya ; translated by Natasha Kolchevska with Mary Zirin ; introduction by Natasha Kolchevska.</t>
  </si>
  <si>
    <t>Kovalevskai︠a︡, S. V. (Sofʹi︠a︡ Vasilʹevna), 1850-1891.</t>
  </si>
  <si>
    <t>New York : Modern Language Association of America, 2001.</t>
  </si>
  <si>
    <t>Texts and translations. Translations, 1079-252X ; 8</t>
  </si>
  <si>
    <t>2017-05-30</t>
  </si>
  <si>
    <t>31354266:eng</t>
  </si>
  <si>
    <t>46683619</t>
  </si>
  <si>
    <t>ocm46683619</t>
  </si>
  <si>
    <t>3102157224S</t>
  </si>
  <si>
    <t>9780873527903</t>
  </si>
  <si>
    <t>793689465</t>
  </si>
  <si>
    <t>PG3467 K7 E3 1925</t>
  </si>
  <si>
    <t>0                      PG 3467000K  7                  E  3           1925</t>
  </si>
  <si>
    <t>Edinai︠a︡-nedelimai︠a︡; roman.</t>
  </si>
  <si>
    <t>Krasnov, P. N. (Petr Nikolaevich), 1869-1947.</t>
  </si>
  <si>
    <t>[Berlin] Mednyĭ vsadnik [1925]</t>
  </si>
  <si>
    <t>2017-11-01</t>
  </si>
  <si>
    <t>22056473:rus</t>
  </si>
  <si>
    <t>6830331</t>
  </si>
  <si>
    <t>ocm06830331</t>
  </si>
  <si>
    <t>3101221976U</t>
  </si>
  <si>
    <t>792525500</t>
  </si>
  <si>
    <t>PG3467 K7 S2 1927</t>
  </si>
  <si>
    <t>0                      PG 3467000K  7                  S  2           1927</t>
  </si>
  <si>
    <t>S nami Bog; istoricheskiĭ roman.</t>
  </si>
  <si>
    <t>[Berlin] Mi︠e︡dnyĭ vsadnik [1927]</t>
  </si>
  <si>
    <t>2019-09-26</t>
  </si>
  <si>
    <t>889217641:rus</t>
  </si>
  <si>
    <t>6830321</t>
  </si>
  <si>
    <t>ocm06830321</t>
  </si>
  <si>
    <t>3101231969L</t>
  </si>
  <si>
    <t>792525499</t>
  </si>
  <si>
    <t>3101231970$</t>
  </si>
  <si>
    <t>792525498</t>
  </si>
  <si>
    <t>PG3467 K7 V2 1962</t>
  </si>
  <si>
    <t>0                      PG 3467000K  7                  V  2           1962</t>
  </si>
  <si>
    <t>V zhiteĭskom mori︠e︡ : sudʹba trekh ofit︠s︡erov : roman / P.N. Krasnov.</t>
  </si>
  <si>
    <t>Parizh : [publisher not identified], 1962.</t>
  </si>
  <si>
    <t>8910729501:rus</t>
  </si>
  <si>
    <t>6501404</t>
  </si>
  <si>
    <t>ocm06501404</t>
  </si>
  <si>
    <t>3101202924J</t>
  </si>
  <si>
    <t>792504103</t>
  </si>
  <si>
    <t>PG3467 K72 1987</t>
  </si>
  <si>
    <t>0                      PG 3467000K  72          1987</t>
  </si>
  <si>
    <t>Sochinenii︠a︡ : v dvukh tomakh / S.M. Stepni︠a︡k-Kravchinskiĭ.</t>
  </si>
  <si>
    <t>Stepniak, S., 1851-1895.</t>
  </si>
  <si>
    <t>Moskva : Khudozh. lit-ra, 1987.</t>
  </si>
  <si>
    <t>2019-03-02</t>
  </si>
  <si>
    <t>5395118159:rus</t>
  </si>
  <si>
    <t>27906299</t>
  </si>
  <si>
    <t>ocm27906299</t>
  </si>
  <si>
    <t>30005388176</t>
  </si>
  <si>
    <t>793275175</t>
  </si>
  <si>
    <t>3100805457C</t>
  </si>
  <si>
    <t>793275174</t>
  </si>
  <si>
    <t>PG3467 K8 A15 1916</t>
  </si>
  <si>
    <t>0                      PG 3467000K  8                  A  15          1916</t>
  </si>
  <si>
    <t>A Slav soul, and other stories / With an introd. by Stephen Graham.</t>
  </si>
  <si>
    <t>Kuprin, A. I. (Aleksandr Ivanovich), 1870-1938.</t>
  </si>
  <si>
    <t>London : Constable &amp; Co., 1916.</t>
  </si>
  <si>
    <t>Constable's Russian library</t>
  </si>
  <si>
    <t>1360036831:eng</t>
  </si>
  <si>
    <t>3183479</t>
  </si>
  <si>
    <t>ocm03183479</t>
  </si>
  <si>
    <t>3000793268P</t>
  </si>
  <si>
    <t>792226711</t>
  </si>
  <si>
    <t>PG3467 K8 A15 1986</t>
  </si>
  <si>
    <t>0                      PG 3467000K  8                  A  15          1986</t>
  </si>
  <si>
    <t>Povesti i rasskazy / A.I. Kuprin.</t>
  </si>
  <si>
    <t>Moskva : Khudozh. lit-ra, 1986.</t>
  </si>
  <si>
    <t>Klassiki i sovremenniki</t>
  </si>
  <si>
    <t>10033567111:rus</t>
  </si>
  <si>
    <t>16139656</t>
  </si>
  <si>
    <t>ocm16139656</t>
  </si>
  <si>
    <t>3000538695V</t>
  </si>
  <si>
    <t>792956367</t>
  </si>
  <si>
    <t>PG3467 K8 1957</t>
  </si>
  <si>
    <t>0                      PG 3467000K  8           1957</t>
  </si>
  <si>
    <t>Sobranie sochineniĭ v shesti tomakh /</t>
  </si>
  <si>
    <t>Kuprin, A. I. (Aleksandr Ivanovich), 1870-1938, author.</t>
  </si>
  <si>
    <t>Moskva : Gosudarstvennoe izdatelstvo khudozhestvennoĭ literatury, 1957-1958.</t>
  </si>
  <si>
    <t>2018-01-26</t>
  </si>
  <si>
    <t>10178058963:rus</t>
  </si>
  <si>
    <t>70306664</t>
  </si>
  <si>
    <t>ocm70306664</t>
  </si>
  <si>
    <t>3103076231A</t>
  </si>
  <si>
    <t>794153036</t>
  </si>
  <si>
    <t>3103076226C</t>
  </si>
  <si>
    <t>794153040</t>
  </si>
  <si>
    <t>2010-12-15</t>
  </si>
  <si>
    <t>3103076232A</t>
  </si>
  <si>
    <t>794153035</t>
  </si>
  <si>
    <t>3103076227C</t>
  </si>
  <si>
    <t>794153039</t>
  </si>
  <si>
    <t>3103076230A</t>
  </si>
  <si>
    <t>794153037</t>
  </si>
  <si>
    <t>3103076229C</t>
  </si>
  <si>
    <t>794153038</t>
  </si>
  <si>
    <t>PG3467 K93 A24 1972</t>
  </si>
  <si>
    <t>0                      PG 3467000K  93                 A  24          1972</t>
  </si>
  <si>
    <t>Wings : prose and poetry / by Mikhail Kuzmin ; translated and edited by Neil Granoien and Michael Green ; with a preface by Vladimir Markov.</t>
  </si>
  <si>
    <t>Kuzmin, M. A. (Mikhail Alekseevich), 1872-1936.</t>
  </si>
  <si>
    <t>Ann Arbor : Ardis, ©1972.</t>
  </si>
  <si>
    <t>10076501874:eng</t>
  </si>
  <si>
    <t>532606</t>
  </si>
  <si>
    <t>ocm00532606</t>
  </si>
  <si>
    <t>3000507636X</t>
  </si>
  <si>
    <t>9780882330136</t>
  </si>
  <si>
    <t>791405903</t>
  </si>
  <si>
    <t>PG3467 K93 A244 1980</t>
  </si>
  <si>
    <t>0                      PG 3467000K  93                 A  244         1980</t>
  </si>
  <si>
    <t>Selected prose &amp; poetry / Mikhail Kuzmin ; edited &amp; translated [from the Russian] by Michael Green.</t>
  </si>
  <si>
    <t>Ann Arbor, Mich. : Ardis, ©1980.</t>
  </si>
  <si>
    <t>2019-05-01</t>
  </si>
  <si>
    <t>290867597:eng</t>
  </si>
  <si>
    <t>6430859</t>
  </si>
  <si>
    <t>ocm06430859</t>
  </si>
  <si>
    <t>3000145532M</t>
  </si>
  <si>
    <t>9780882331775</t>
  </si>
  <si>
    <t>792498544</t>
  </si>
  <si>
    <t>PG3467 K93 A244 2005</t>
  </si>
  <si>
    <t>0                      PG 3467000K  93                 A  244         2005</t>
  </si>
  <si>
    <t>Selected writings / Mikhail Kuzmin ; translated from Russian, edited, annotated, and with an introduction by Michael A. Green and Stanislav A. Shvabrin.</t>
  </si>
  <si>
    <t>Lewisburg : Bucknell University Press, ©2005.</t>
  </si>
  <si>
    <t>290867816:eng</t>
  </si>
  <si>
    <t>56535014</t>
  </si>
  <si>
    <t>ocm56535014</t>
  </si>
  <si>
    <t>3102482553S</t>
  </si>
  <si>
    <t>9780838756010</t>
  </si>
  <si>
    <t>793895415</t>
  </si>
  <si>
    <t>PG3467 K93 Z76 1999</t>
  </si>
  <si>
    <t>0                      PG 3467000K  93                 Z  76          1999</t>
  </si>
  <si>
    <t>Mikhail Kuzmin : a life in art / John E. Malmstad, Nikolay Bogomolov.</t>
  </si>
  <si>
    <t>Malmstad, John E.</t>
  </si>
  <si>
    <t>Cambridge, Mass. : Harvard University Press, 1999.</t>
  </si>
  <si>
    <t>3768648691:eng</t>
  </si>
  <si>
    <t>39849594</t>
  </si>
  <si>
    <t>ocm39849594</t>
  </si>
  <si>
    <t>31019673514</t>
  </si>
  <si>
    <t>9780674530874</t>
  </si>
  <si>
    <t>793555121</t>
  </si>
  <si>
    <t>PG3467 L4 A27</t>
  </si>
  <si>
    <t>0                      PG 3467000L  4                  A  27</t>
  </si>
  <si>
    <t>Against the current : selections from the novels, essays, notes, and letters of Konstantin Leontiev / edited, with an introd. and notes, by George Ivask ; translated from the Russian by George Reavey.</t>
  </si>
  <si>
    <t>Leontʹev, Konstantin, 1831-1891.</t>
  </si>
  <si>
    <t>New York : Weybright and Talley, [1969]</t>
  </si>
  <si>
    <t>2018-09-24</t>
  </si>
  <si>
    <t>292313468:eng</t>
  </si>
  <si>
    <t>10802</t>
  </si>
  <si>
    <t>ocm00010802</t>
  </si>
  <si>
    <t>3000507638T</t>
  </si>
  <si>
    <t>791227394</t>
  </si>
  <si>
    <t>PG3467 L4 E33</t>
  </si>
  <si>
    <t>0                      PG 3467000L  4                  E  33</t>
  </si>
  <si>
    <t>The Egyptian dove : the story of a Russian, 1881 / Konstantin Leontiev ; introduction and notes by George Ivask ; translated from the Russian by George Reavey.</t>
  </si>
  <si>
    <t>New York : Weybright and Talley, [©1969]</t>
  </si>
  <si>
    <t>5090467717:eng</t>
  </si>
  <si>
    <t>10803</t>
  </si>
  <si>
    <t>ocm00010803</t>
  </si>
  <si>
    <t>3000215922K</t>
  </si>
  <si>
    <t>791227395</t>
  </si>
  <si>
    <t>PG3467 M29 A27 1984</t>
  </si>
  <si>
    <t>0                      PG 3467000M  29                 A  27          1984</t>
  </si>
  <si>
    <t>Red star : the first Bolshevik utopia / Alexander Bogdanov ; edited by Loren R. Graham and Richard Stites ; translated by Charles Rougle.</t>
  </si>
  <si>
    <t>Bogdanov, A. (Aleksandr), 1873-1928.</t>
  </si>
  <si>
    <t>Bloomington : Indiana Univ. Press, ©1984.</t>
  </si>
  <si>
    <t>2018-04-18</t>
  </si>
  <si>
    <t>1059217485:eng</t>
  </si>
  <si>
    <t>9970551</t>
  </si>
  <si>
    <t>ocm09970551</t>
  </si>
  <si>
    <t>30003656021</t>
  </si>
  <si>
    <t>9780253173508</t>
  </si>
  <si>
    <t>792702878</t>
  </si>
  <si>
    <t>PG3467 M4 A74 1931</t>
  </si>
  <si>
    <t>0                      PG 3467000M  4                  A  74          1931</t>
  </si>
  <si>
    <t>Akhnaton, king of Egypt, by Dmitri Merezhkovsky, translated from the Russian by Natalie A. Duddington.</t>
  </si>
  <si>
    <t>London, Dent [1931]</t>
  </si>
  <si>
    <t>2019-12-20</t>
  </si>
  <si>
    <t>1657861:eng</t>
  </si>
  <si>
    <t>15077175</t>
  </si>
  <si>
    <t>ocm15077175</t>
  </si>
  <si>
    <t>3000794434T</t>
  </si>
  <si>
    <t>792918989</t>
  </si>
  <si>
    <t>PG3467 M4 K2 1922</t>
  </si>
  <si>
    <t>0                      PG 3467000M  4                  K  2           1922</t>
  </si>
  <si>
    <t>Kristos i antikhrist, trilogiia.</t>
  </si>
  <si>
    <t>v.2 pt.2</t>
  </si>
  <si>
    <t>Berlin, Izd-vo I.P. Ladyzhnikova, 1922.</t>
  </si>
  <si>
    <t>2018-11-07</t>
  </si>
  <si>
    <t>5616909346:rus</t>
  </si>
  <si>
    <t>7040300</t>
  </si>
  <si>
    <t>ocm07040300</t>
  </si>
  <si>
    <t>3103113890G</t>
  </si>
  <si>
    <t>792536859</t>
  </si>
  <si>
    <t>3103113882I</t>
  </si>
  <si>
    <t>792536861</t>
  </si>
  <si>
    <t>v.2 pt.1</t>
  </si>
  <si>
    <t>3103113891G</t>
  </si>
  <si>
    <t>792536860</t>
  </si>
  <si>
    <t>v.3 pt.1</t>
  </si>
  <si>
    <t>3103113889I</t>
  </si>
  <si>
    <t>792536858</t>
  </si>
  <si>
    <t>v.3 pt.2</t>
  </si>
  <si>
    <t>3103113888I</t>
  </si>
  <si>
    <t>792536857</t>
  </si>
  <si>
    <t>PG3467 M4 K33 1929</t>
  </si>
  <si>
    <t>0                      PG 3467000M  4                  K  33          1929</t>
  </si>
  <si>
    <t>The death of the gods / Dmitri Merejkowski ; translated from the original Russian by Bernard Guilbert Guerney.</t>
  </si>
  <si>
    <t>New York : Modern Library, 1929.</t>
  </si>
  <si>
    <t>2019-08-30</t>
  </si>
  <si>
    <t>2908442619:eng</t>
  </si>
  <si>
    <t>213549155</t>
  </si>
  <si>
    <t>ocn213549155</t>
  </si>
  <si>
    <t>30005450374</t>
  </si>
  <si>
    <t>794310287</t>
  </si>
  <si>
    <t>PG3467 M4 K4 1908</t>
  </si>
  <si>
    <t>0                      PG 3467000M  4                  K  4           1908</t>
  </si>
  <si>
    <t>Leonardo da Vinci : historischer Roman der Wende des 15 Jahrhunderts / Dmitri Mereschkowski.</t>
  </si>
  <si>
    <t>Leipzig : [publisher not identified], 1908.</t>
  </si>
  <si>
    <t>4535715566:ger</t>
  </si>
  <si>
    <t>427239274</t>
  </si>
  <si>
    <t>ocn427239274</t>
  </si>
  <si>
    <t>3103095846L</t>
  </si>
  <si>
    <t>794550293</t>
  </si>
  <si>
    <t>PG3467 M4 K43 1928</t>
  </si>
  <si>
    <t>0                      PG 3467000M  4                  K  43          1928</t>
  </si>
  <si>
    <t>The romance of Leonardo da Vinci, translated from the original Russian of Dmitri Merejkowski, by Bernard Guilbert Guerney.</t>
  </si>
  <si>
    <t>New York, The Modern Library [©1928]</t>
  </si>
  <si>
    <t>3772399304:eng</t>
  </si>
  <si>
    <t>620050</t>
  </si>
  <si>
    <t>ocm00620050</t>
  </si>
  <si>
    <t>31037618376</t>
  </si>
  <si>
    <t>791429975</t>
  </si>
  <si>
    <t>PG3467 M48 1957</t>
  </si>
  <si>
    <t>0                      PG 3467000M  48          1957</t>
  </si>
  <si>
    <t>Sobranie sochineniĭ / N. G. Garin-Mikhaĭlovskiĭ ; [Vstupitel'nai︠a︡ statʹi︠a︡ V. A. Borisovoĭ ; podgotovka teksta i primechanii︠a︡ I. V. Vorobʹevoĭ].</t>
  </si>
  <si>
    <t>Garin-Mikhaĭlovskiĭ, N. G. (Nikolaĭ Georgievich), 1852-1906.</t>
  </si>
  <si>
    <t>Moskva : Gos. izd-vo khudozh. lit-ry, 1957-58.</t>
  </si>
  <si>
    <t>2861376:rus</t>
  </si>
  <si>
    <t>10655627</t>
  </si>
  <si>
    <t>ocm10655627</t>
  </si>
  <si>
    <t>3000600003Q</t>
  </si>
  <si>
    <t>792736220</t>
  </si>
  <si>
    <t>2002-07-31</t>
  </si>
  <si>
    <t>3102277838K</t>
  </si>
  <si>
    <t>792736219</t>
  </si>
  <si>
    <t>3100234326J</t>
  </si>
  <si>
    <t>792736216</t>
  </si>
  <si>
    <t>31008055000</t>
  </si>
  <si>
    <t>792736218</t>
  </si>
  <si>
    <t>3100805519G</t>
  </si>
  <si>
    <t>792736217</t>
  </si>
  <si>
    <t>PG3467 N5 W5</t>
  </si>
  <si>
    <t>0                      PG 3467000N  5                  W  5</t>
  </si>
  <si>
    <t>With a diploma : and the whirlwind / by V.I. Nemirovitch-Dantchenko ; translated from the Russian with an introduction by W.J. Stanton Pyper.</t>
  </si>
  <si>
    <t>Nemirovich-Danchenko, Vasiliĭ Ivanovich, 1848-1936.</t>
  </si>
  <si>
    <t>London : Maunsel, 1915.</t>
  </si>
  <si>
    <t>198730081:eng</t>
  </si>
  <si>
    <t>11075169</t>
  </si>
  <si>
    <t>ocm11075169</t>
  </si>
  <si>
    <t>3000794263U</t>
  </si>
  <si>
    <t>792756816</t>
  </si>
  <si>
    <t>PG3467 O74 A24 1982</t>
  </si>
  <si>
    <t>0                      PG 3467000O  74                 A  24          1982</t>
  </si>
  <si>
    <t>Selected stories, reminiscences, and essays / Mikhail A. Osorgin ; edited and translated by D.M. Fiene.</t>
  </si>
  <si>
    <t>Osorgin, Mikhail Andreevich, 1878-1942.</t>
  </si>
  <si>
    <t>2018-05-30</t>
  </si>
  <si>
    <t>198320734:eng</t>
  </si>
  <si>
    <t>8034181</t>
  </si>
  <si>
    <t>ocm08034181</t>
  </si>
  <si>
    <t>3101209003S</t>
  </si>
  <si>
    <t>9780882334455</t>
  </si>
  <si>
    <t>792594575</t>
  </si>
  <si>
    <t>PG3467 O74 A6 1992</t>
  </si>
  <si>
    <t>0                      PG 3467000O  74                 A  6           1992</t>
  </si>
  <si>
    <t>Vremena : romany i avtobiograficheskoe povestvovanie / Mikhail Osorgin ; [sostavlenie i primechanii︠a︡ Evgenii︠a︡ Zashikhina].</t>
  </si>
  <si>
    <t>Ekaterinburg : Sredne-Uralʹskoe knizhnoe izd-vo : Assot︠s︡iat︠s︡ii︠a︡ "Rossiĭskai︠a︡ kniga", 1992.</t>
  </si>
  <si>
    <t>2016-01-08</t>
  </si>
  <si>
    <t>3943780819:rus</t>
  </si>
  <si>
    <t>28132827</t>
  </si>
  <si>
    <t>ocm28132827</t>
  </si>
  <si>
    <t>3103644381R</t>
  </si>
  <si>
    <t>9785752905025</t>
  </si>
  <si>
    <t>793280479</t>
  </si>
  <si>
    <t>PG3467 O74 S513 1930</t>
  </si>
  <si>
    <t>0                      PG 3467000O  74                 S  513         1930</t>
  </si>
  <si>
    <t>A quiet street (Sivtzev vrazhek) by Michael Ossorgin.</t>
  </si>
  <si>
    <t>London, M. Secker [1930]</t>
  </si>
  <si>
    <t>2018-07-11</t>
  </si>
  <si>
    <t>5090745742:eng</t>
  </si>
  <si>
    <t>2170294</t>
  </si>
  <si>
    <t>ocm02170294</t>
  </si>
  <si>
    <t>3000805418W</t>
  </si>
  <si>
    <t>792060568</t>
  </si>
  <si>
    <t>PG3467 O74 Z475 1992</t>
  </si>
  <si>
    <t>0                      PG 3467000O  74                 Z  475         1992</t>
  </si>
  <si>
    <t>Vospominanii︠a︡ ; Povestʹ o sestre / Mikhail Osorgin ; [sostavlenie, vstup. statʹi︠a︡ i primechanii︠a︡ O.G. Lasunskogo].</t>
  </si>
  <si>
    <t>Voronezh : Izd-vo Voronezhskogo un-ta, 1992.</t>
  </si>
  <si>
    <t>3769395649:rus</t>
  </si>
  <si>
    <t>26846044</t>
  </si>
  <si>
    <t>ocm26846044</t>
  </si>
  <si>
    <t>3101206345F</t>
  </si>
  <si>
    <t>9785745504754</t>
  </si>
  <si>
    <t>793253149</t>
  </si>
  <si>
    <t>PG3470 R4 A2 1985</t>
  </si>
  <si>
    <t>0                      PG 3470000R  4                  A  2           1985</t>
  </si>
  <si>
    <t>Selected prose / Alexei Remizov ; edited by Sona Aronian.</t>
  </si>
  <si>
    <t>Remizov, Alekseĭ, 1877-1957.</t>
  </si>
  <si>
    <t>Ann Arbor, Mich. : Ardis, ©1985.</t>
  </si>
  <si>
    <t>2018-01-12</t>
  </si>
  <si>
    <t>198413878:eng</t>
  </si>
  <si>
    <t>11370988</t>
  </si>
  <si>
    <t>ocm11370988</t>
  </si>
  <si>
    <t>3000380144I</t>
  </si>
  <si>
    <t>9780882335087</t>
  </si>
  <si>
    <t>792770523</t>
  </si>
  <si>
    <t>PG3470 R4 P52 1928</t>
  </si>
  <si>
    <t>0                      PG 3470000R  4                  P  52          1928</t>
  </si>
  <si>
    <t>The fifth pestilence, together with the history of the tinkling cymbal and sounding brass, Ivan Semyonovitch Stratilatov, by Alexei Remizov. Translated from the Russian, with a preface, by Alec Brown.</t>
  </si>
  <si>
    <t>London : Wishart and Co., 1928.</t>
  </si>
  <si>
    <t>1924018:eng</t>
  </si>
  <si>
    <t>427218845</t>
  </si>
  <si>
    <t>ocn427218845</t>
  </si>
  <si>
    <t>3102946167C</t>
  </si>
  <si>
    <t>794546024</t>
  </si>
  <si>
    <t>PG3470 R4 Z663 2010</t>
  </si>
  <si>
    <t>0                      PG 3470000R  4                  Z  663         2010</t>
  </si>
  <si>
    <t>Zhanr romana i tvorchestvo Aleksei︠a︡ Remizova, 1910-1950-e gody / A.M. Gracheva.</t>
  </si>
  <si>
    <t>Grachëva, A. M. (Alla M.)</t>
  </si>
  <si>
    <t>Serii︠a︡ "Biblioteka Pushkinskogo Doma"</t>
  </si>
  <si>
    <t>3860425958:rus</t>
  </si>
  <si>
    <t>650974870</t>
  </si>
  <si>
    <t>ocn650974870</t>
  </si>
  <si>
    <t>3103340574E</t>
  </si>
  <si>
    <t>9785914760257</t>
  </si>
  <si>
    <t>794832693</t>
  </si>
  <si>
    <t>PG3470 R77 O3714 1984</t>
  </si>
  <si>
    <t>0                      PG 3470000R  77                 O  3714        1984</t>
  </si>
  <si>
    <t>Feuilles tombées / Vassili Rozanov ; [traduction, introduction et notes de Jacques Michaut ; préface de Georges Nivat].</t>
  </si>
  <si>
    <t>Rozanov, V. V. (Vasiliĭ Vasilʹevich), 1856-1919.</t>
  </si>
  <si>
    <t>Lausanne : Editions L'Age d'homme, 1984.</t>
  </si>
  <si>
    <t>Classiques slaves</t>
  </si>
  <si>
    <t>3372165439:fre</t>
  </si>
  <si>
    <t>17655939</t>
  </si>
  <si>
    <t>ocm17655939</t>
  </si>
  <si>
    <t>3102946165C</t>
  </si>
  <si>
    <t>792999109</t>
  </si>
  <si>
    <t>PG3470 R77 U313</t>
  </si>
  <si>
    <t>0                      PG 3470000R  77                 U  313</t>
  </si>
  <si>
    <t>Solitaria, with an abridged account of the author's life, by E. Gollerbach. Other biographical material, and matter from the apocalypse of our times. Translated by S.S. Koteliansky.</t>
  </si>
  <si>
    <t>[London] : Wishart, 1927.</t>
  </si>
  <si>
    <t>2019-07-26</t>
  </si>
  <si>
    <t>3901691861:eng</t>
  </si>
  <si>
    <t>33466786</t>
  </si>
  <si>
    <t>ocm33466786</t>
  </si>
  <si>
    <t>31029461858</t>
  </si>
  <si>
    <t>793410351</t>
  </si>
  <si>
    <t>PG3470 R77 Z74 2010</t>
  </si>
  <si>
    <t>0                      PG 3470000R  77                 Z  74          2010</t>
  </si>
  <si>
    <t>Vasily Rozanov and the body of Russian literature / Henrietta Mondry.</t>
  </si>
  <si>
    <t>375471884:eng</t>
  </si>
  <si>
    <t>502304746</t>
  </si>
  <si>
    <t>ocn502304746</t>
  </si>
  <si>
    <t>3103344786R</t>
  </si>
  <si>
    <t>9780893573706</t>
  </si>
  <si>
    <t>794805622</t>
  </si>
  <si>
    <t>PG3470 S6 A6 1944</t>
  </si>
  <si>
    <t>0                      PG 3470000S  6                  A  6           1944</t>
  </si>
  <si>
    <t>Izbrannoe.</t>
  </si>
  <si>
    <t>Veresaev, V. V. (Vikentiĭ Vikentʹevich), 1867-1945.</t>
  </si>
  <si>
    <t>Moskva : [publisher not identified], 1944.</t>
  </si>
  <si>
    <t>1944</t>
  </si>
  <si>
    <t>3372185531:rus</t>
  </si>
  <si>
    <t>427218208</t>
  </si>
  <si>
    <t>ocn427218208</t>
  </si>
  <si>
    <t>30007898205</t>
  </si>
  <si>
    <t>794545831</t>
  </si>
  <si>
    <t>PG3470 S6 V8 1990</t>
  </si>
  <si>
    <t>0                      PG 3470000S  6                  V  8           1990</t>
  </si>
  <si>
    <t>V tupike ; Sestry / V. Veresaev.</t>
  </si>
  <si>
    <t>Moskva : Knizhnai︠a︡ palata, 1990.</t>
  </si>
  <si>
    <t>Iz arkhiva pechati</t>
  </si>
  <si>
    <t>2016-10-12</t>
  </si>
  <si>
    <t>3332922259:rus</t>
  </si>
  <si>
    <t>22495375</t>
  </si>
  <si>
    <t>ocm22495375</t>
  </si>
  <si>
    <t>3103644167T</t>
  </si>
  <si>
    <t>9785700002066</t>
  </si>
  <si>
    <t>793145965</t>
  </si>
  <si>
    <t>PG3470 T4 A22x</t>
  </si>
  <si>
    <t>0                      PG 3470000T  4                  A  22x</t>
  </si>
  <si>
    <t>The kiss of the unborn, and other stories / by Fedor Sologub ; translated and with an introduction by Murl G. Barker.</t>
  </si>
  <si>
    <t>Sologub, Fyodor, 1863-1927.</t>
  </si>
  <si>
    <t>Knoxville : University of Tennessee Press, [1977]</t>
  </si>
  <si>
    <t>4951397:eng</t>
  </si>
  <si>
    <t>2388120</t>
  </si>
  <si>
    <t>ocm02388120</t>
  </si>
  <si>
    <t>3000408773P</t>
  </si>
  <si>
    <t>9780870492020</t>
  </si>
  <si>
    <t>792114539</t>
  </si>
  <si>
    <t>PG3470 T4 A235</t>
  </si>
  <si>
    <t>0                      PG 3470000T  4                  A  235</t>
  </si>
  <si>
    <t>The sweet-scented name, and other fairy tales, fables and stories, by Fedor Sologub; ed. by Stephen Graham.</t>
  </si>
  <si>
    <t>New York, G.P. Putnam's Sons, 1915.</t>
  </si>
  <si>
    <t>2017-09-16</t>
  </si>
  <si>
    <t>1395913:eng</t>
  </si>
  <si>
    <t>319707</t>
  </si>
  <si>
    <t>ocm00319707</t>
  </si>
  <si>
    <t>3000794167Q</t>
  </si>
  <si>
    <t>791335633</t>
  </si>
  <si>
    <t>PG3470 T4 M413 1983</t>
  </si>
  <si>
    <t>0                      PG 3470000T  4                  M  413         1983</t>
  </si>
  <si>
    <t>The petty demon / Fyodor Sologub ; translated and introduced by S.D. Cioran, with an appendix and critical articles ; edited by Murl Barker.</t>
  </si>
  <si>
    <t>2019-01-17</t>
  </si>
  <si>
    <t>8913244165:eng</t>
  </si>
  <si>
    <t>9282494</t>
  </si>
  <si>
    <t>ocm09282494</t>
  </si>
  <si>
    <t>3000342605M</t>
  </si>
  <si>
    <t>9780882338071</t>
  </si>
  <si>
    <t>792668062</t>
  </si>
  <si>
    <t>PG3470 T4 N33 1975</t>
  </si>
  <si>
    <t>0                      PG 3470000T  4                  N  33          1975</t>
  </si>
  <si>
    <t>The created legend / by Feodor Sologub [i.e. F.K. Teternikov] ; Authorized translation from the Russian by John Cournos.</t>
  </si>
  <si>
    <t>New York : H. Fertig, 1975.</t>
  </si>
  <si>
    <t>9415515583:eng</t>
  </si>
  <si>
    <t>1256797</t>
  </si>
  <si>
    <t>ocm01256797</t>
  </si>
  <si>
    <t>3000408960Q</t>
  </si>
  <si>
    <t>791584980</t>
  </si>
  <si>
    <t>PG3470 T4 2000</t>
  </si>
  <si>
    <t>0                      PG 3470000T  4           2000</t>
  </si>
  <si>
    <t>Sobranie sochineniĭ v shesti tomakh / Fedor Sologub ; [sostavitelʹ i avtor primechaniĭ, T.F. Prokopov ; avtor vstupitelʹnoĭ statʹi, S.L. Solozhenkina].</t>
  </si>
  <si>
    <t>Moskva : NPK "Intelvak", 2000-2004.</t>
  </si>
  <si>
    <t>2564924536:rus</t>
  </si>
  <si>
    <t>45907758</t>
  </si>
  <si>
    <t>ocm45907758</t>
  </si>
  <si>
    <t>3102286509Y</t>
  </si>
  <si>
    <t>9785932640227</t>
  </si>
  <si>
    <t>793680964</t>
  </si>
  <si>
    <t>PG3470 .T4 2000</t>
  </si>
  <si>
    <t>B001166642</t>
  </si>
  <si>
    <t>793680968</t>
  </si>
  <si>
    <t>3102405910F</t>
  </si>
  <si>
    <t>793680960</t>
  </si>
  <si>
    <t>3102286514W</t>
  </si>
  <si>
    <t>793680965</t>
  </si>
  <si>
    <t>t. 5</t>
  </si>
  <si>
    <t>31022033862</t>
  </si>
  <si>
    <t>793680963</t>
  </si>
  <si>
    <t>3102286520U</t>
  </si>
  <si>
    <t>793680967</t>
  </si>
  <si>
    <t>t. 7</t>
  </si>
  <si>
    <t>3102286282R</t>
  </si>
  <si>
    <t>793680961</t>
  </si>
  <si>
    <t>3102274961N</t>
  </si>
  <si>
    <t>793680962</t>
  </si>
  <si>
    <t>3102286519W</t>
  </si>
  <si>
    <t>793680966</t>
  </si>
  <si>
    <t>PG3470 V4 K413 1999</t>
  </si>
  <si>
    <t>0                      PG 3470000V  4                  K  413         1999</t>
  </si>
  <si>
    <t>Keys to happiness : a novel / Anastasya Verbitskaya ; translated and edited by Beth Holmgren and Helena Goscilo.</t>
  </si>
  <si>
    <t>Verbit︠s︡kai︠a︡, A. (Anastasīi︠a︡), 1861-1928.</t>
  </si>
  <si>
    <t>Bloomington, Ind. : Indiana University Press, ©1999.</t>
  </si>
  <si>
    <t>2019-03-12</t>
  </si>
  <si>
    <t>2564983123:eng</t>
  </si>
  <si>
    <t>40159130</t>
  </si>
  <si>
    <t>ocm40159130</t>
  </si>
  <si>
    <t>3102946205L</t>
  </si>
  <si>
    <t>9780253335388</t>
  </si>
  <si>
    <t>793560915</t>
  </si>
  <si>
    <t>PG3470 V68 Z836 2017</t>
  </si>
  <si>
    <t>0                      PG 3470000V  68                 Z  836         2017</t>
  </si>
  <si>
    <t>Taĭna Maksa Voloshina / Ėduard Rozentalʹ.</t>
  </si>
  <si>
    <t>Rozentalʹ, Ėduard, 1928- author.</t>
  </si>
  <si>
    <t>Moskva : U Nikitskikh vorot, 2017.</t>
  </si>
  <si>
    <t>4721411232:rus</t>
  </si>
  <si>
    <t>1019621474</t>
  </si>
  <si>
    <t>on1019621474</t>
  </si>
  <si>
    <t>31037660739</t>
  </si>
  <si>
    <t>9785000954164</t>
  </si>
  <si>
    <t>795049245</t>
  </si>
  <si>
    <t>PG3470 Z4 Z77 2015</t>
  </si>
  <si>
    <t>0                      PG 3470000Z  4                  Z  77          2015</t>
  </si>
  <si>
    <t>Ben ʻanene zohar : yetsirato shel Ṿladimir (Zeʼev) Z'aboṭinsḳi ba-heḳsher ha-ḥevrati = Among radiant clouds : the literature of Vladimir (Ze'ev) Jabotinsky in its social context / Sveṭlanah Naṭḳovits'.</t>
  </si>
  <si>
    <t>Natkovich, Svetlana, author.</t>
  </si>
  <si>
    <t>Yerushalayim : Hotsaʼat sefarim ʻa. sh. Y.L. Magnes, ha-Universiṭah ha-ʻIvrit, [2015]</t>
  </si>
  <si>
    <t>Mahadurah rishonah.</t>
  </si>
  <si>
    <t>heb</t>
  </si>
  <si>
    <t>Meḥḳar ṿe-ʻiyun</t>
  </si>
  <si>
    <t>2575319040:heb</t>
  </si>
  <si>
    <t>908439098</t>
  </si>
  <si>
    <t>ocn908439098</t>
  </si>
  <si>
    <t>3103631880U</t>
  </si>
  <si>
    <t>9789654937719</t>
  </si>
  <si>
    <t>794994711</t>
  </si>
  <si>
    <t>PG3476 A248 K4813 2012</t>
  </si>
  <si>
    <t>0                      PG 3476000A  248                K  4813        2012</t>
  </si>
  <si>
    <t>Khatyn / Ales Adamovich ; [translated by Glenys Kozlov, Franes Longman and Sharon McKee ; edited by Camilla Stein].</t>
  </si>
  <si>
    <t>Adamovich, Alesʹ, 1927-1994.</t>
  </si>
  <si>
    <t>London : Glagoslav, 2012.</t>
  </si>
  <si>
    <t>2016-08-02</t>
  </si>
  <si>
    <t>3768420014:eng</t>
  </si>
  <si>
    <t>808500049</t>
  </si>
  <si>
    <t>ocn808500049</t>
  </si>
  <si>
    <t>3103501450P</t>
  </si>
  <si>
    <t>9781909156081</t>
  </si>
  <si>
    <t>794927722</t>
  </si>
  <si>
    <t>PG3476 A3164 R613 1998</t>
  </si>
  <si>
    <t>0                      PG 3476000A  3164               R  613         1998</t>
  </si>
  <si>
    <t>Novel with cocaine / M. Ageyev ; translated by Michael Henry Heim.</t>
  </si>
  <si>
    <t>Agi︠e︡ev, M.</t>
  </si>
  <si>
    <t>Evanston, Ill. : Northwestern University Press, 1998 printing.</t>
  </si>
  <si>
    <t>10141260707:eng</t>
  </si>
  <si>
    <t>39143078</t>
  </si>
  <si>
    <t>ocm39143078</t>
  </si>
  <si>
    <t>3103425655$</t>
  </si>
  <si>
    <t>9780810117099</t>
  </si>
  <si>
    <t>793539015</t>
  </si>
  <si>
    <t>PG3476 A324 A17 1973</t>
  </si>
  <si>
    <t>0                      PG 3476000A  324                A  17          1973</t>
  </si>
  <si>
    <t>Poems of Akhmatova = Anna Akhmatova, izbrannye stikhi / selected, translated and introduced by Stanley Kunitz with Max Hayward.</t>
  </si>
  <si>
    <t>Akhmatova, Anna Andreevna, 1889-1966, author.</t>
  </si>
  <si>
    <t>Boston : Little, Brown and Company, [1973]</t>
  </si>
  <si>
    <t>2863418267:eng</t>
  </si>
  <si>
    <t>539730</t>
  </si>
  <si>
    <t>ocm00539730</t>
  </si>
  <si>
    <t>31026405429</t>
  </si>
  <si>
    <t>9780316507004</t>
  </si>
  <si>
    <t>791408072</t>
  </si>
  <si>
    <t>PG3476 A324 A23 1983</t>
  </si>
  <si>
    <t>0                      PG 3476000A  324                A  23          1983</t>
  </si>
  <si>
    <t>Poems / Anna Akhmatova ; selected and translated by Lyn Coffin ; introduction by Joseph Brodsky.</t>
  </si>
  <si>
    <t>Akhmatova, Anna Andreevna, 1889-1966.</t>
  </si>
  <si>
    <t>New York : W.W. Norton, ©1983.</t>
  </si>
  <si>
    <t>2864126362:eng</t>
  </si>
  <si>
    <t>8628360</t>
  </si>
  <si>
    <t>ocm08628360</t>
  </si>
  <si>
    <t>3000354062I</t>
  </si>
  <si>
    <t>9780393015676</t>
  </si>
  <si>
    <t>792631187</t>
  </si>
  <si>
    <t>PG3476 A324 A234 2000</t>
  </si>
  <si>
    <t>0                      PG 3476000A  324                A  234         2000</t>
  </si>
  <si>
    <t>Selected poems of Anna Akhmatova / translated by Judith Hemschemeyer ; edited and introduced by Roberta Reeder.</t>
  </si>
  <si>
    <t>Brookline, Mass. : Zephyr, ©2000.</t>
  </si>
  <si>
    <t>4575376702:eng</t>
  </si>
  <si>
    <t>46402754</t>
  </si>
  <si>
    <t>ocm46402754</t>
  </si>
  <si>
    <t>31028671890</t>
  </si>
  <si>
    <t>9780939010615</t>
  </si>
  <si>
    <t>793684188</t>
  </si>
  <si>
    <t>PG3476 A324 A25 1989</t>
  </si>
  <si>
    <t>0                      PG 3476000A  324                A  25          1989</t>
  </si>
  <si>
    <t>Selected poems / Anna Akhmatova ; translated by Richard McKane.</t>
  </si>
  <si>
    <t>Newcastle upon Tyne : Bloodaxe, 1989.</t>
  </si>
  <si>
    <t>4883867057:eng</t>
  </si>
  <si>
    <t>21227982</t>
  </si>
  <si>
    <t>ocm21227982</t>
  </si>
  <si>
    <t>31025606394</t>
  </si>
  <si>
    <t>9781852240639</t>
  </si>
  <si>
    <t>793112982</t>
  </si>
  <si>
    <t>PG3476 A324 A25 1990</t>
  </si>
  <si>
    <t>0                      PG 3476000A  324                A  25          1990</t>
  </si>
  <si>
    <t>The complete poems of Anna Akhmatova / translated by Judith Hemschemeyer ; edited and with an introduction by Roberta Reeder.</t>
  </si>
  <si>
    <t>Somerville, Mass., U.S.A. : Zephyr Press, 1990.</t>
  </si>
  <si>
    <t>198824502:eng</t>
  </si>
  <si>
    <t>21314761</t>
  </si>
  <si>
    <t>ocm21314761</t>
  </si>
  <si>
    <t>3100255567H</t>
  </si>
  <si>
    <t>9780939010134</t>
  </si>
  <si>
    <t>793115283</t>
  </si>
  <si>
    <t>3101566797Y</t>
  </si>
  <si>
    <t>793115284</t>
  </si>
  <si>
    <t>PG3476 A324 A26 1992</t>
  </si>
  <si>
    <t>0                      PG 3476000A  324                A  26          1992</t>
  </si>
  <si>
    <t>My half century : selected prose / Anna Akhmatova ; edited by Ronald Meyer.</t>
  </si>
  <si>
    <t>Ann Arbor : Ardis, ©1992.</t>
  </si>
  <si>
    <t>2018-10-22</t>
  </si>
  <si>
    <t>1119155723:eng</t>
  </si>
  <si>
    <t>23582648</t>
  </si>
  <si>
    <t>ocm23582648</t>
  </si>
  <si>
    <t>31011898649</t>
  </si>
  <si>
    <t>9780875010632</t>
  </si>
  <si>
    <t>793176927</t>
  </si>
  <si>
    <t>3101220231B</t>
  </si>
  <si>
    <t>793176928</t>
  </si>
  <si>
    <t>PG3476 A324 A37</t>
  </si>
  <si>
    <t>0                      PG 3476000A  324                A  37</t>
  </si>
  <si>
    <t>Anna Akhmatova, une étude de Jeanne Rude. Avec un choix de poèmes [d'A. Akhmatova traduits du russe] ... une chronologie bibliographique ...</t>
  </si>
  <si>
    <t>Paris, P. Seghers, 1968.</t>
  </si>
  <si>
    <t>Poètes d'aujourd'hui ; 179</t>
  </si>
  <si>
    <t>2015-02-26</t>
  </si>
  <si>
    <t>3901367475:fre</t>
  </si>
  <si>
    <t>229213</t>
  </si>
  <si>
    <t>ocm00229213</t>
  </si>
  <si>
    <t>3000616109B</t>
  </si>
  <si>
    <t>791301269</t>
  </si>
  <si>
    <t>PG3476 A324 A6 1977b</t>
  </si>
  <si>
    <t>0                      PG 3476000A  324                A  6           1977b</t>
  </si>
  <si>
    <t>Izbrannai︠a︡ lirika / Anna Akhmatova ; [sostavlenie i primechanii︠a︡ L. Soldatovoĭ].</t>
  </si>
  <si>
    <t>Leningrad : Izd-vo "Detskai︠a︡ lit-ra", 1977.</t>
  </si>
  <si>
    <t>Poėticheskai︠a︡ bibliotechka shkolʹnika</t>
  </si>
  <si>
    <t>9657576924:rus</t>
  </si>
  <si>
    <t>3988985</t>
  </si>
  <si>
    <t>ocm03988985</t>
  </si>
  <si>
    <t>3102946227H</t>
  </si>
  <si>
    <t>792311530</t>
  </si>
  <si>
    <t>PG3476 A324 A6 1989b</t>
  </si>
  <si>
    <t>0                      PG 3476000A  324                A  6           1989b</t>
  </si>
  <si>
    <t>[Sobranie sochineniĭ] / Anna Akhmatova ; [sostavlenie i primechanii︠a︡ R.D. Timenchika i K.M. Polivanova].</t>
  </si>
  <si>
    <t>Moskva : Izd-vo MPI, 1989.</t>
  </si>
  <si>
    <t>Vsesoi︠u︡znoe obshchestvo knigoli︠u︡bov</t>
  </si>
  <si>
    <t>2000-09-07</t>
  </si>
  <si>
    <t>3374637505:rus</t>
  </si>
  <si>
    <t>61506683</t>
  </si>
  <si>
    <t>ocm61506683</t>
  </si>
  <si>
    <t>3102946208L</t>
  </si>
  <si>
    <t>9785704300014</t>
  </si>
  <si>
    <t>793956203</t>
  </si>
  <si>
    <t>2001-12-12</t>
  </si>
  <si>
    <t>3102946207L</t>
  </si>
  <si>
    <t>793956202</t>
  </si>
  <si>
    <t>3102946203L</t>
  </si>
  <si>
    <t>793956201</t>
  </si>
  <si>
    <t>2010-07-08</t>
  </si>
  <si>
    <t>3102946202L</t>
  </si>
  <si>
    <t>793956200</t>
  </si>
  <si>
    <t>3102946217J</t>
  </si>
  <si>
    <t>793956204</t>
  </si>
  <si>
    <t>PG3476 A324 A6 1997</t>
  </si>
  <si>
    <t>0                      PG 3476000A  324                A  6           1997</t>
  </si>
  <si>
    <t>Sochinenii︠a︡ v dvukh tomakh / Anna Akhmatova ; [sostavlenie i podgotovka teksta M.M. Kralina].</t>
  </si>
  <si>
    <t>Moskva : Izd-vo "T︠S︡itadelʹ", 1996.</t>
  </si>
  <si>
    <t>2018-09-28</t>
  </si>
  <si>
    <t>232743786:rus</t>
  </si>
  <si>
    <t>35792132</t>
  </si>
  <si>
    <t>ocm35792132</t>
  </si>
  <si>
    <t>31029462619</t>
  </si>
  <si>
    <t>9785765700105</t>
  </si>
  <si>
    <t>793457685</t>
  </si>
  <si>
    <t>31029462669</t>
  </si>
  <si>
    <t>793457686</t>
  </si>
  <si>
    <t>PG3476 A324 B413 1978</t>
  </si>
  <si>
    <t>0                      PG 3476000A  324                B  413         1978</t>
  </si>
  <si>
    <t>White flock / Anna Akhmatova ; [translated from the Russian and selected by Geoffrey Thurley, with an introd.].</t>
  </si>
  <si>
    <t>London : Oasis Books, 1978.</t>
  </si>
  <si>
    <t>3372105032:eng</t>
  </si>
  <si>
    <t>5341246</t>
  </si>
  <si>
    <t>ocm05341246</t>
  </si>
  <si>
    <t>31029462767</t>
  </si>
  <si>
    <t>9780903375252</t>
  </si>
  <si>
    <t>792426568</t>
  </si>
  <si>
    <t>PG3476 A324 P613 1973</t>
  </si>
  <si>
    <t>0                      PG 3476000A  324                P  613         1973</t>
  </si>
  <si>
    <t>A poem without a hero / Anna Akhmatova ; translated by Carl R. Proffer with Assya Humesky.</t>
  </si>
  <si>
    <t>Ann Arbor : Ardis, ©1973.</t>
  </si>
  <si>
    <t>2017-03-10</t>
  </si>
  <si>
    <t>4917943393:eng</t>
  </si>
  <si>
    <t>745587</t>
  </si>
  <si>
    <t>ocm00745587</t>
  </si>
  <si>
    <t>3102946251B</t>
  </si>
  <si>
    <t>9780882330464</t>
  </si>
  <si>
    <t>791460032</t>
  </si>
  <si>
    <t>PG3476 A324 Y68 1985</t>
  </si>
  <si>
    <t>0                      PG 3476000A  324                Y  68          1985</t>
  </si>
  <si>
    <t>You will hear thunder : poems / Akhmatova ; translated by D.M. Thomas.</t>
  </si>
  <si>
    <t>London : Secker &amp; Warburg, 1985.</t>
  </si>
  <si>
    <t>2016-06-20</t>
  </si>
  <si>
    <t>1059230712:eng</t>
  </si>
  <si>
    <t>11928748</t>
  </si>
  <si>
    <t>ocm11928748</t>
  </si>
  <si>
    <t>31029462649</t>
  </si>
  <si>
    <t>9780436011016</t>
  </si>
  <si>
    <t>792794090</t>
  </si>
  <si>
    <t>3102946259B</t>
  </si>
  <si>
    <t>792794091</t>
  </si>
  <si>
    <t>PG3476 A324 Z535 1992</t>
  </si>
  <si>
    <t>0                      PG 3476000A  324                Z  535         1992</t>
  </si>
  <si>
    <t>In a shattered mirror : the later poetry of Anna Akhmatova / Susan Amert.</t>
  </si>
  <si>
    <t>Amert, Susan.</t>
  </si>
  <si>
    <t>339624840:eng</t>
  </si>
  <si>
    <t>24246374</t>
  </si>
  <si>
    <t>ocm24246374</t>
  </si>
  <si>
    <t>3102946238F</t>
  </si>
  <si>
    <t>9780804719827</t>
  </si>
  <si>
    <t>793193389</t>
  </si>
  <si>
    <t>PG3476 A324 Z53813 1994</t>
  </si>
  <si>
    <t>0                      PG 3476000A  324                Z  53813       1994</t>
  </si>
  <si>
    <t>Anna Akhmatova and her circle / compilation and notes by Konstantin Polivanov ; translated from the Russian by Patricia Beriozkina.</t>
  </si>
  <si>
    <t>Anna Akhmatova i eë okruzhenie. English.</t>
  </si>
  <si>
    <t>Fayetteville, Ark. : University of Arkansas Press, 1994.</t>
  </si>
  <si>
    <t>3000545:eng</t>
  </si>
  <si>
    <t>28888800</t>
  </si>
  <si>
    <t>ocm28888800</t>
  </si>
  <si>
    <t>3102946237F</t>
  </si>
  <si>
    <t>9781557283085</t>
  </si>
  <si>
    <t>793298542</t>
  </si>
  <si>
    <t>PG3476 A324 Z5813 1994</t>
  </si>
  <si>
    <t>0                      PG 3476000A  324                Z  5813        1994</t>
  </si>
  <si>
    <t>The Akhmatova journals / Lydia Chukovskaya ; translated from the Russian by Milena Michalski and Sylva Rubashova ; poetry translated by Peter Norman.</t>
  </si>
  <si>
    <t>Chukovskai︠a︡, Lidii︠a︡ Korneevna.</t>
  </si>
  <si>
    <t>New York : Farrar, Straus &amp; Giroux, 1994-</t>
  </si>
  <si>
    <t>1st American ed.</t>
  </si>
  <si>
    <t>3901406903:eng</t>
  </si>
  <si>
    <t>28675024</t>
  </si>
  <si>
    <t>ocm28675024</t>
  </si>
  <si>
    <t>3102946846W</t>
  </si>
  <si>
    <t>9780374223427</t>
  </si>
  <si>
    <t>793293444</t>
  </si>
  <si>
    <t>PG3476 A324 Z646 1988</t>
  </si>
  <si>
    <t>0                      PG 3476000A  324                Z  646         1988</t>
  </si>
  <si>
    <t>Anna of all the Russias : the life of Anna Akhmatova (1889-1966) / by Jessie Davies.</t>
  </si>
  <si>
    <t>Davies, J. (Jessie)</t>
  </si>
  <si>
    <t>Liverpool : Lincoln Davies, 1988.</t>
  </si>
  <si>
    <t>316357691:eng</t>
  </si>
  <si>
    <t>24953072</t>
  </si>
  <si>
    <t>ocm24953072</t>
  </si>
  <si>
    <t>3102946835Y</t>
  </si>
  <si>
    <t>9780569090865</t>
  </si>
  <si>
    <t>793208874</t>
  </si>
  <si>
    <t>PG3476 A324 Z67 2005</t>
  </si>
  <si>
    <t>0                      PG 3476000A  324                Z  67          2005</t>
  </si>
  <si>
    <t>Anna of all the Russias : the life of Anna Akhmatova / Elaine Feinstein.</t>
  </si>
  <si>
    <t>Feinstein, Elaine.</t>
  </si>
  <si>
    <t>London : Weidenfeld &amp; Nicolson, 2005.</t>
  </si>
  <si>
    <t>3768580810:eng</t>
  </si>
  <si>
    <t>57381260</t>
  </si>
  <si>
    <t>ocm57381260</t>
  </si>
  <si>
    <t>3102487619D</t>
  </si>
  <si>
    <t>9780297643098</t>
  </si>
  <si>
    <t>793911767</t>
  </si>
  <si>
    <t>PG3476 A324 Z76313 1991</t>
  </si>
  <si>
    <t>0                      PG 3476000A  324                Z  76313       1991</t>
  </si>
  <si>
    <t>Remembering Anna Akhmatova / Anatoly Nayman ; introduction by Joseph Brodsky ; translated by Wendy Rosslyn.</t>
  </si>
  <si>
    <t>Naĭman, Anatoliĭ.</t>
  </si>
  <si>
    <t>New York : Henry Holt, ©1991.</t>
  </si>
  <si>
    <t>10141319489:eng</t>
  </si>
  <si>
    <t>23694255</t>
  </si>
  <si>
    <t>ocm23694255</t>
  </si>
  <si>
    <t>3102946853U</t>
  </si>
  <si>
    <t>9780805014082</t>
  </si>
  <si>
    <t>793180382</t>
  </si>
  <si>
    <t>PG3476 A324 Z85 1994</t>
  </si>
  <si>
    <t>0                      PG 3476000A  324                Z  85          1994</t>
  </si>
  <si>
    <t>Anna Akhmatova : poet and prophet / Roberta Reeder.</t>
  </si>
  <si>
    <t>Reeder, Roberta.</t>
  </si>
  <si>
    <t>32765740:eng</t>
  </si>
  <si>
    <t>30667910</t>
  </si>
  <si>
    <t>ocm30667910</t>
  </si>
  <si>
    <t>3102946837Y</t>
  </si>
  <si>
    <t>9780312112417</t>
  </si>
  <si>
    <t>793341670</t>
  </si>
  <si>
    <t>PG3476 A324 Z8837 2014</t>
  </si>
  <si>
    <t>0                      PG 3476000A  324                Z  8837        2014</t>
  </si>
  <si>
    <t>Posledniĭ poėt : Anna Akhmatova v 1960-e gody / Roman Timenchik.</t>
  </si>
  <si>
    <t>Timenchik, R. D. (Roman Davidovich), author.</t>
  </si>
  <si>
    <t>Moskva : Mosty kulʹtury ; Ierusalim : Gesharim, 2014-2015.</t>
  </si>
  <si>
    <t>Izdanie 2-e ispravlennoe i rasshirennoe.</t>
  </si>
  <si>
    <t>Vid s gory Skopus</t>
  </si>
  <si>
    <t>2266787469:rus</t>
  </si>
  <si>
    <t>900162666</t>
  </si>
  <si>
    <t>ocn900162666</t>
  </si>
  <si>
    <t>31035862598</t>
  </si>
  <si>
    <t>9785932733998</t>
  </si>
  <si>
    <t>794987213</t>
  </si>
  <si>
    <t>31035862588</t>
  </si>
  <si>
    <t>794987212</t>
  </si>
  <si>
    <t>PG3476 A324 1998</t>
  </si>
  <si>
    <t>0                      PG 3476000A  324         1998</t>
  </si>
  <si>
    <t>Sobranie sochineniĭ v shesti tomakh / Anna Akhmatova.</t>
  </si>
  <si>
    <t>Moskva : Ėllis Lak, 1998-2005.</t>
  </si>
  <si>
    <t>2015-06-09</t>
  </si>
  <si>
    <t>3376628677:rus</t>
  </si>
  <si>
    <t>62872262</t>
  </si>
  <si>
    <t>ocm62872262</t>
  </si>
  <si>
    <t>3102180017D</t>
  </si>
  <si>
    <t>9785888890295</t>
  </si>
  <si>
    <t>794113209</t>
  </si>
  <si>
    <t>31019694104</t>
  </si>
  <si>
    <t>794113215</t>
  </si>
  <si>
    <t>31025057449</t>
  </si>
  <si>
    <t>794113207</t>
  </si>
  <si>
    <t>3102464916Q</t>
  </si>
  <si>
    <t>794113208</t>
  </si>
  <si>
    <t>31021530663</t>
  </si>
  <si>
    <t>794113210</t>
  </si>
  <si>
    <t>T.2:Kn.1</t>
  </si>
  <si>
    <t>3101983829M</t>
  </si>
  <si>
    <t>794113214</t>
  </si>
  <si>
    <t>2003-05-17</t>
  </si>
  <si>
    <t>3102049958N</t>
  </si>
  <si>
    <t>794113211</t>
  </si>
  <si>
    <t>T.2:Kn.2</t>
  </si>
  <si>
    <t>3102011593L</t>
  </si>
  <si>
    <t>794113213</t>
  </si>
  <si>
    <t>3101969406W</t>
  </si>
  <si>
    <t>794113212</t>
  </si>
  <si>
    <t>PG3476 A633 I74</t>
  </si>
  <si>
    <t>0                      PG 3476000A  633                I  74</t>
  </si>
  <si>
    <t>Théâtre soviétique contemporain / traduction et adaptation de Gala Soloviéva Barbison et Henriette Valot.</t>
  </si>
  <si>
    <t>Paris : Éditions Denoël, 1966.</t>
  </si>
  <si>
    <t>2015-07-22</t>
  </si>
  <si>
    <t>344893417:fre</t>
  </si>
  <si>
    <t>6540731</t>
  </si>
  <si>
    <t>ocm06540731</t>
  </si>
  <si>
    <t>3000425882N</t>
  </si>
  <si>
    <t>792507431</t>
  </si>
  <si>
    <t>PG3476 A633 M63 1967</t>
  </si>
  <si>
    <t>0                      PG 3476000A  633                M  63          1967</t>
  </si>
  <si>
    <t>The promise, by Aleksei Arbuzov; translated by Ariadne Nicolaeff.</t>
  </si>
  <si>
    <t>Arbuzov, A. (Alekseĭ), 1908-1986.</t>
  </si>
  <si>
    <t>London, New York, Oxford U.P., 1967.</t>
  </si>
  <si>
    <t>Oxford paperbacks</t>
  </si>
  <si>
    <t>2223136:eng</t>
  </si>
  <si>
    <t>3486601</t>
  </si>
  <si>
    <t>ocm03486601</t>
  </si>
  <si>
    <t>31012053785</t>
  </si>
  <si>
    <t>792260380</t>
  </si>
  <si>
    <t>PG3476 A747 Z46 2009</t>
  </si>
  <si>
    <t>0                      PG 3476000A  747                Z  46          2009</t>
  </si>
  <si>
    <t>Net mne otveta-- : ėpistoli︠a︡rnyĭ dnevnik, 1951-2001 / Viktor Astafʹev.</t>
  </si>
  <si>
    <t>Astafʹev, Viktor Petrovich.</t>
  </si>
  <si>
    <t>Irkutsk : Izdatelʹ Sapronov, 2009.</t>
  </si>
  <si>
    <t>2016-05-21</t>
  </si>
  <si>
    <t>4820646339:rus</t>
  </si>
  <si>
    <t>427679533</t>
  </si>
  <si>
    <t>ocn427679533</t>
  </si>
  <si>
    <t>31031509925</t>
  </si>
  <si>
    <t>9785945351073</t>
  </si>
  <si>
    <t>794696604</t>
  </si>
  <si>
    <t>PG3476 A98 Z77 1997</t>
  </si>
  <si>
    <t>0                      PG 3476000A  98                 Z  77          1997</t>
  </si>
  <si>
    <t>How life writes the book : real socialism and socialist realism in Stalin's Russia / Thomas Lahusen.</t>
  </si>
  <si>
    <t>Lahusen, Thomas.</t>
  </si>
  <si>
    <t>Ithaca [N.Y.] : Cornell University Press, 1997.</t>
  </si>
  <si>
    <t>196494163:eng</t>
  </si>
  <si>
    <t>36783936</t>
  </si>
  <si>
    <t>ocm36783936</t>
  </si>
  <si>
    <t>3102916330R</t>
  </si>
  <si>
    <t>9780801433948</t>
  </si>
  <si>
    <t>793484248</t>
  </si>
  <si>
    <t>PG3476 B2 A23 2002</t>
  </si>
  <si>
    <t>0                      PG 3476000B  2                  A  23          2002</t>
  </si>
  <si>
    <t>The collected stories of Isaac Babel / edited by Nathalie Babel ; translated with notes by Peter Constantine ; introduction by Cynthia Ozick.</t>
  </si>
  <si>
    <t>Babelʹ, I. (Isaak), 1894-1940, author.</t>
  </si>
  <si>
    <t>New York : W.W. Norton, 2002.</t>
  </si>
  <si>
    <t>2242364516:eng</t>
  </si>
  <si>
    <t>50291078</t>
  </si>
  <si>
    <t>ocm50291078</t>
  </si>
  <si>
    <t>3102944413L</t>
  </si>
  <si>
    <t>9780393324020</t>
  </si>
  <si>
    <t>793760047</t>
  </si>
  <si>
    <t>The complete works of Isaac Babel / edited by Nathalie Babel ; translated with notes by Peter Constantine ; introduction by Cynthia Ozick.</t>
  </si>
  <si>
    <t>New York : Norton, [2002]</t>
  </si>
  <si>
    <t>2017-01-03</t>
  </si>
  <si>
    <t>376772687:eng</t>
  </si>
  <si>
    <t>47254278</t>
  </si>
  <si>
    <t>ocm47254278</t>
  </si>
  <si>
    <t>3102163311A</t>
  </si>
  <si>
    <t>9780393048469</t>
  </si>
  <si>
    <t>793702013</t>
  </si>
  <si>
    <t>PG3476 B2 A32</t>
  </si>
  <si>
    <t>0                      PG 3476000B  2                  A  32</t>
  </si>
  <si>
    <t>Contes d'Odessa.</t>
  </si>
  <si>
    <t>Babelʹ, I. (Isaak), 1894-1940.</t>
  </si>
  <si>
    <t>[Paris] : Gallimard, 1967.</t>
  </si>
  <si>
    <t>2016-08-30</t>
  </si>
  <si>
    <t>376748041:fre</t>
  </si>
  <si>
    <t>61591651</t>
  </si>
  <si>
    <t>ocm61591651</t>
  </si>
  <si>
    <t>31037066140</t>
  </si>
  <si>
    <t>794030696</t>
  </si>
  <si>
    <t>PG3476 B2 A6 1990</t>
  </si>
  <si>
    <t>0                      PG 3476000B  2                  A  6           1990</t>
  </si>
  <si>
    <t>Sochinenii︠a︡ : [v dvukh tomakh] / Isaak Babelʹ ; [vstupitelʹnai︠a︡ statʹi︠a︡ G.A. Beloĭ ; sostavlenie i podgotovka teksta A.N. Pirozhkovoĭ ; kommentarii S.N. Povart︠s︡ova ; khudozhnik V.A. Veksler].</t>
  </si>
  <si>
    <t>Babelʹ, I. (Isaak), 1894-1941.</t>
  </si>
  <si>
    <t>Moskva : "Khudozh. lit-ra", 1990.</t>
  </si>
  <si>
    <t>2014-09-06</t>
  </si>
  <si>
    <t>2864277846:rus</t>
  </si>
  <si>
    <t>23980548</t>
  </si>
  <si>
    <t>ocm23980548</t>
  </si>
  <si>
    <t>31011480507</t>
  </si>
  <si>
    <t>9785280001718</t>
  </si>
  <si>
    <t>793186749</t>
  </si>
  <si>
    <t>3101148047X</t>
  </si>
  <si>
    <t>793186750</t>
  </si>
  <si>
    <t>PG3476 B2 K613 2003</t>
  </si>
  <si>
    <t>0                      PG 3476000B  2                  K  613         2003</t>
  </si>
  <si>
    <t>Red Cavalry / Isaac Babel ; edited by Nathalie Babel ; translated with notes by Peter Constantine ; introduction by Michael Dirda.</t>
  </si>
  <si>
    <t>New York : W.W. Norton, 2003.</t>
  </si>
  <si>
    <t>4714431798:eng</t>
  </si>
  <si>
    <t>51454502</t>
  </si>
  <si>
    <t>ocm51454502</t>
  </si>
  <si>
    <t>3102946874Q</t>
  </si>
  <si>
    <t>9780393324235</t>
  </si>
  <si>
    <t>793784643</t>
  </si>
  <si>
    <t>PG3476 B2 K636 1996</t>
  </si>
  <si>
    <t>0                      PG 3476000B  2                  K  636         1996</t>
  </si>
  <si>
    <t>Red Cavalry : a critical companion / edited by Charles Rougle.</t>
  </si>
  <si>
    <t>Evanston, Ill. : Northwestern University Press : American Association of Teachers of Slavic and East European Languages, ©1996.</t>
  </si>
  <si>
    <t>2288175547:eng</t>
  </si>
  <si>
    <t>34640702</t>
  </si>
  <si>
    <t>ocm34640702</t>
  </si>
  <si>
    <t>3102946878Q</t>
  </si>
  <si>
    <t>9780810112131</t>
  </si>
  <si>
    <t>793432101</t>
  </si>
  <si>
    <t>PG3476 B2 K83 1979</t>
  </si>
  <si>
    <t>0                      PG 3476000B  2                  K  83          1979</t>
  </si>
  <si>
    <t>An investigation of composition and theme in Isaak Babel's literary cycle Konarmija / by Ragna Grøngaard ; [translated from the Danish by Daniel R. Frickelton].</t>
  </si>
  <si>
    <t>Grøngaard, Ragna.</t>
  </si>
  <si>
    <t>Aarhus : Arkona, 1979.</t>
  </si>
  <si>
    <t>Slaviske studier ; no. 1 = Slavonic studies ; no. 1</t>
  </si>
  <si>
    <t>2015-07-31</t>
  </si>
  <si>
    <t>28719806:eng</t>
  </si>
  <si>
    <t>7667131</t>
  </si>
  <si>
    <t>ocm07667131</t>
  </si>
  <si>
    <t>3102946879Q</t>
  </si>
  <si>
    <t>9788787044196</t>
  </si>
  <si>
    <t>792573317</t>
  </si>
  <si>
    <t>PG3476 B2 K83 1982</t>
  </si>
  <si>
    <t>0                      PG 3476000B  2                  K  83          1982</t>
  </si>
  <si>
    <t>Isaac Babel's Red cavalry / Carol Luplow.</t>
  </si>
  <si>
    <t>Luplow, Carol.</t>
  </si>
  <si>
    <t>30961874:eng</t>
  </si>
  <si>
    <t>8221472</t>
  </si>
  <si>
    <t>ocm08221472</t>
  </si>
  <si>
    <t>3102946884O</t>
  </si>
  <si>
    <t>9780882336220</t>
  </si>
  <si>
    <t>792606260</t>
  </si>
  <si>
    <t>PG3476.B2 O313 2016</t>
  </si>
  <si>
    <t>0                      PG 3476000B  2                  O  313         2016</t>
  </si>
  <si>
    <t>Odessa stories / Isaac Babel ; translated from the Russian by Boris Dralyuk.</t>
  </si>
  <si>
    <t>2019-08-04</t>
  </si>
  <si>
    <t>376748041:eng</t>
  </si>
  <si>
    <t>940933107</t>
  </si>
  <si>
    <t>ocn940933107</t>
  </si>
  <si>
    <t>3103811853V</t>
  </si>
  <si>
    <t>9781782271666</t>
  </si>
  <si>
    <t>795012061</t>
  </si>
  <si>
    <t>PG3476 B2 O34 1988</t>
  </si>
  <si>
    <t>0                      PG 3476000B  2                  O  34          1988</t>
  </si>
  <si>
    <t>Odesskie rasskazy i drugie proizvedenii︠a︡ / Isaak Babelʹ ; sostavlenie, predislovie, posleslovie i primechanii︠a︡ M. Vaĭnshteĭna.</t>
  </si>
  <si>
    <t>[Jerusalem?] : M. Wainstein, ©1988.</t>
  </si>
  <si>
    <t>Serii︠a︡ "Pami︠a︡tʹ"</t>
  </si>
  <si>
    <t>2019-06-19</t>
  </si>
  <si>
    <t>376755013:rus</t>
  </si>
  <si>
    <t>18224742</t>
  </si>
  <si>
    <t>ocm18224742</t>
  </si>
  <si>
    <t>3102946899M</t>
  </si>
  <si>
    <t>793017925</t>
  </si>
  <si>
    <t>PG3476 B2 R4313 2005</t>
  </si>
  <si>
    <t>0                      PG 3476000B  2                  R  4313        2005</t>
  </si>
  <si>
    <t>Red cavalry and other stories / Isaac Babel ; edited with notes by Efraim Sicher ; translated with an introduction by David McDuff.</t>
  </si>
  <si>
    <t>2017-06-11</t>
  </si>
  <si>
    <t>438752998:eng</t>
  </si>
  <si>
    <t>224292824</t>
  </si>
  <si>
    <t>ocn224292824</t>
  </si>
  <si>
    <t>3102561029K</t>
  </si>
  <si>
    <t>9780140449976</t>
  </si>
  <si>
    <t>794338243</t>
  </si>
  <si>
    <t>PG3476 B2 S48 1986</t>
  </si>
  <si>
    <t>0                      PG 3476000B  2                  S  48          1986</t>
  </si>
  <si>
    <t>Style and structure in the prose of Isaak Babel' / Efraim Sicher.</t>
  </si>
  <si>
    <t>Sicher, Efraim.</t>
  </si>
  <si>
    <t>Columbus, Ohio : Slavica Publishers, 1986, ©1985.</t>
  </si>
  <si>
    <t>11850527:eng</t>
  </si>
  <si>
    <t>16352408</t>
  </si>
  <si>
    <t>ocm16352408</t>
  </si>
  <si>
    <t>31029469040</t>
  </si>
  <si>
    <t>9780893571634</t>
  </si>
  <si>
    <t>792960656</t>
  </si>
  <si>
    <t>PG3476 B2 Z6 1972</t>
  </si>
  <si>
    <t>0                      PG 3476000B  2                  Z  6           1972</t>
  </si>
  <si>
    <t>The art of Isaac Babel / by Patricia Carden.</t>
  </si>
  <si>
    <t>Carden, Patricia.</t>
  </si>
  <si>
    <t>Ithaca : Cornell University Press, 1972.</t>
  </si>
  <si>
    <t>1380257:eng</t>
  </si>
  <si>
    <t>314233</t>
  </si>
  <si>
    <t>ocm00314233</t>
  </si>
  <si>
    <t>3102946885O</t>
  </si>
  <si>
    <t>9780801407208</t>
  </si>
  <si>
    <t>791333894</t>
  </si>
  <si>
    <t>PG3476 B2 Z66</t>
  </si>
  <si>
    <t>0                      PG 3476000B  2                  Z  66</t>
  </si>
  <si>
    <t>Isaac Babel, Russian master of the short story / by James E. Falen.</t>
  </si>
  <si>
    <t>Falen, James E., 1935-</t>
  </si>
  <si>
    <t>Knoxville : University of Tennessee Press, [1974]</t>
  </si>
  <si>
    <t>2014-03-30</t>
  </si>
  <si>
    <t>515347:eng</t>
  </si>
  <si>
    <t>897897</t>
  </si>
  <si>
    <t>ocm00897897</t>
  </si>
  <si>
    <t>3102946876Q</t>
  </si>
  <si>
    <t>9780870491566</t>
  </si>
  <si>
    <t>791497239</t>
  </si>
  <si>
    <t>3102946881O</t>
  </si>
  <si>
    <t>791497240</t>
  </si>
  <si>
    <t>PG3476 B2 Z796 2012</t>
  </si>
  <si>
    <t>0                      PG 3476000B  2                  Z  796         2012</t>
  </si>
  <si>
    <t>Babel' in context : a study in cultural identity / Efraim Sicher.</t>
  </si>
  <si>
    <t>Boston : Academic Studies Press, 2012.</t>
  </si>
  <si>
    <t>Borderlines : Russian and East European Jewish studies</t>
  </si>
  <si>
    <t>2017-01-29</t>
  </si>
  <si>
    <t>1186563326:eng</t>
  </si>
  <si>
    <t>744287183</t>
  </si>
  <si>
    <t>ocn744287183</t>
  </si>
  <si>
    <t>3103468873V</t>
  </si>
  <si>
    <t>9781936235957</t>
  </si>
  <si>
    <t>794885931</t>
  </si>
  <si>
    <t>PG3476 B2 Z799 2012</t>
  </si>
  <si>
    <t>0                      PG 3476000B  2                  Z  799         2012</t>
  </si>
  <si>
    <t>Isaac Babel and the self-invention of Odessan modernism / Rebecca Jane Stanton.</t>
  </si>
  <si>
    <t>Stanton, Rebecca Jane, 1972- author.</t>
  </si>
  <si>
    <t>Northwestern University Press Studies in Russian literature and theory</t>
  </si>
  <si>
    <t>1105135416:eng</t>
  </si>
  <si>
    <t>764361117</t>
  </si>
  <si>
    <t>ocn764361117</t>
  </si>
  <si>
    <t>31034148474</t>
  </si>
  <si>
    <t>9780810129412</t>
  </si>
  <si>
    <t>794900418</t>
  </si>
  <si>
    <t>PG3476 B34 M313 1950</t>
  </si>
  <si>
    <t>0                      PG 3476000B  34                 M  313         1950</t>
  </si>
  <si>
    <t>Malakhitovai︠a︡ shkatulka : uralʹskie skazy / P. Bazhov. Risunki A. I︠A︡kobson.</t>
  </si>
  <si>
    <t>Bazhov, P. P. (Pavel Petrovich), 1879-1950.</t>
  </si>
  <si>
    <t>Leningradskoe : Gazetno-zhurnalʹnoe i knikhnoe izdatelʹstvo, 1950.</t>
  </si>
  <si>
    <t>2018-01-14</t>
  </si>
  <si>
    <t>5091083439:rus</t>
  </si>
  <si>
    <t>3602621</t>
  </si>
  <si>
    <t>ocm03602621</t>
  </si>
  <si>
    <t>31018115794</t>
  </si>
  <si>
    <t>792272122</t>
  </si>
  <si>
    <t>PG3476 B42 C513 2013</t>
  </si>
  <si>
    <t>0                      PG 3476000B  42                 C  513         2013</t>
  </si>
  <si>
    <t>The amphibian man / Alexander Belyaev ; translation and cover art by Maria K. ; with images provided by 123RF ; editing by PubRight Manuscript Services.</t>
  </si>
  <si>
    <t>Beli︠a︡ev, A. (Aleksandr), 1884-1942.</t>
  </si>
  <si>
    <t>[United States?] : TSK Group LLC, ©2013.</t>
  </si>
  <si>
    <t>2017-10-24</t>
  </si>
  <si>
    <t>5454289156:eng</t>
  </si>
  <si>
    <t>910079316</t>
  </si>
  <si>
    <t>ocn910079316</t>
  </si>
  <si>
    <t>3103723729N</t>
  </si>
  <si>
    <t>9781496009012</t>
  </si>
  <si>
    <t>794995801</t>
  </si>
  <si>
    <t>PG3476 B42 G613 1981</t>
  </si>
  <si>
    <t>0                      PG 3476000B  42                 G  613         1981</t>
  </si>
  <si>
    <t>Professor Dowell's head / by Alexander Beli︠a︡ev ; introd. by Theodore Sturgeon ; translated by Antonina W. Bouis.</t>
  </si>
  <si>
    <t>New York : Collier Books, 1981, ©1980.</t>
  </si>
  <si>
    <t>1st Collier Books ed.</t>
  </si>
  <si>
    <t>Macmillan's Best of Soviet science fiction series</t>
  </si>
  <si>
    <t>2015-10-23</t>
  </si>
  <si>
    <t>4850750543:eng</t>
  </si>
  <si>
    <t>6487676</t>
  </si>
  <si>
    <t>ocm06487676</t>
  </si>
  <si>
    <t>3000325440P</t>
  </si>
  <si>
    <t>792502824</t>
  </si>
  <si>
    <t>PG3476 B425 N46 2015</t>
  </si>
  <si>
    <t>0                      PG 3476000B  425                N  46          2015</t>
  </si>
  <si>
    <t>"Nemnogo ... ne v fokuse ... : Stikhi 1921-1983 / Nina Berberova.</t>
  </si>
  <si>
    <t>Berberova, N. (Nina), author.</t>
  </si>
  <si>
    <t>Moskva : AST : Redakt︠s︡ii︠a︡ Eleny Shubinoĭ, 2015.</t>
  </si>
  <si>
    <t>Vsi︠a︡ Berberova</t>
  </si>
  <si>
    <t>2553447822:rus</t>
  </si>
  <si>
    <t>911305762</t>
  </si>
  <si>
    <t>ocn911305762</t>
  </si>
  <si>
    <t>31036421648</t>
  </si>
  <si>
    <t>9785170892174</t>
  </si>
  <si>
    <t>794998332</t>
  </si>
  <si>
    <t>PG3476 B45 Z48 2010</t>
  </si>
  <si>
    <t>0                      PG 3476000B  45                 Z  48          2010</t>
  </si>
  <si>
    <t>Olʹga : zapretnyĭ dnevnik / Olʹga Berggolʹt︠s︡ ; avtor proekta, Natalii︠a︡ Sokolovskai︠a︡.</t>
  </si>
  <si>
    <t>Berggolʹt︠s︡, Olʹga, 1910-1975.</t>
  </si>
  <si>
    <t>3902228492:rus</t>
  </si>
  <si>
    <t>635865880</t>
  </si>
  <si>
    <t>ocn635865880</t>
  </si>
  <si>
    <t>3103294596C</t>
  </si>
  <si>
    <t>9785998511462</t>
  </si>
  <si>
    <t>794825832</t>
  </si>
  <si>
    <t>PG3476 B45 Z5 1971</t>
  </si>
  <si>
    <t>0                      PG 3476000B  45                 Z  5           1971</t>
  </si>
  <si>
    <t>Dnevnye zvezdy. [Avtobiogr. povestʹ. / Il.: S.N. Spit︠s︡yn].</t>
  </si>
  <si>
    <t>Leningrad : "Sov. pisatelʹ", Leningr. otd-nie, 1971.</t>
  </si>
  <si>
    <t>2847552:rus</t>
  </si>
  <si>
    <t>6673118</t>
  </si>
  <si>
    <t>ocm06673118</t>
  </si>
  <si>
    <t>3000651724T</t>
  </si>
  <si>
    <t>792515604</t>
  </si>
  <si>
    <t>PG3476 B696 V671 1990</t>
  </si>
  <si>
    <t>0                      PG 3476000B  696                V  671         1990</t>
  </si>
  <si>
    <t>Iz plena let : romany / Aleksandr Borshchagovskiĭ.</t>
  </si>
  <si>
    <t>Borshchagovskiĭ, Aleksandr, 1913-2006.</t>
  </si>
  <si>
    <t>Moskva : "Sovremennik", 1990.</t>
  </si>
  <si>
    <t>5610645890:rus</t>
  </si>
  <si>
    <t>23248456</t>
  </si>
  <si>
    <t>ocm23248456</t>
  </si>
  <si>
    <t>3101341868E</t>
  </si>
  <si>
    <t>9785270008154</t>
  </si>
  <si>
    <t>793165710</t>
  </si>
  <si>
    <t>PG3476 B696 Z478 1991</t>
  </si>
  <si>
    <t>0                      PG 3476000B  696                Z  478         1991</t>
  </si>
  <si>
    <t>Zapiski balovni︠a︡ sudʹby / Aleksandr Borshchagovskiĭ.</t>
  </si>
  <si>
    <t>Moskva : Sov. pisatelʹ, 1991.</t>
  </si>
  <si>
    <t>28518770:rus</t>
  </si>
  <si>
    <t>25863335</t>
  </si>
  <si>
    <t>ocm25863335</t>
  </si>
  <si>
    <t>3101231645A</t>
  </si>
  <si>
    <t>9785265021670</t>
  </si>
  <si>
    <t>793231673</t>
  </si>
  <si>
    <t>PG3476 B78 A19 1972</t>
  </si>
  <si>
    <t>0                      PG 3476000B  78                 A  19          1972</t>
  </si>
  <si>
    <t>The early plays of Mikhail Bulgakov / edited by Ellendea Proffer ; translated by Carl R. Proffer and Ellendea Proffer.</t>
  </si>
  <si>
    <t>Bulgakov, Mikhail, 1891-1940, author.</t>
  </si>
  <si>
    <t>Bloomington : Indiana University Press, [1972]</t>
  </si>
  <si>
    <t>2006-04-07</t>
  </si>
  <si>
    <t>2018-10-15</t>
  </si>
  <si>
    <t>312163076:eng</t>
  </si>
  <si>
    <t>303545</t>
  </si>
  <si>
    <t>ocm00303545</t>
  </si>
  <si>
    <t>3102939804X</t>
  </si>
  <si>
    <t>9780253118851</t>
  </si>
  <si>
    <t>791329892</t>
  </si>
  <si>
    <t>3102939835R</t>
  </si>
  <si>
    <t>791329893</t>
  </si>
  <si>
    <t>PG3476 B78 A19 1991</t>
  </si>
  <si>
    <t>0                      PG 3476000B  78                 A  19          1991</t>
  </si>
  <si>
    <t>Pʹesy / Mikhail Bulgakev ; [sostaviteli, Li︠u︡bovʹ Evgenʹevna Belozerskai︠a︡-Bulgakova, Irina I︠U︡rʹevna Kovaleva].</t>
  </si>
  <si>
    <t>Bulgakov, Mikhail, 1891-1940.</t>
  </si>
  <si>
    <t>Moskva : Sovetskiĭ pisatelʹ, 1991.</t>
  </si>
  <si>
    <t>2016-04-26</t>
  </si>
  <si>
    <t>312171665:rus</t>
  </si>
  <si>
    <t>24478673</t>
  </si>
  <si>
    <t>ocm24478673</t>
  </si>
  <si>
    <t>3102939819V</t>
  </si>
  <si>
    <t>9785265013187</t>
  </si>
  <si>
    <t>793199140</t>
  </si>
  <si>
    <t>PG3476 B78 A2 2014</t>
  </si>
  <si>
    <t>0                      PG 3476000B  78                 A  2           2014</t>
  </si>
  <si>
    <t>Notes on a cuff and other stories / Mikhail Afanasevich Bulgakov ; translated by Roger Cockrell.</t>
  </si>
  <si>
    <t>Richmond : Alma Classics, 2014.</t>
  </si>
  <si>
    <t>2017-04-19</t>
  </si>
  <si>
    <t>3805524662:eng</t>
  </si>
  <si>
    <t>897502546</t>
  </si>
  <si>
    <t>ocn897502546</t>
  </si>
  <si>
    <t>3103655425M</t>
  </si>
  <si>
    <t>9781847493873</t>
  </si>
  <si>
    <t>794985224</t>
  </si>
  <si>
    <t>PG3476 B78 A25 1991</t>
  </si>
  <si>
    <t>0                      PG 3476000B  78                 A  25          1991</t>
  </si>
  <si>
    <t>Six plays / Mikhail Bulgakov ; introduced by Lesley Milne.</t>
  </si>
  <si>
    <t>London : Methuen Drama, ©1991</t>
  </si>
  <si>
    <t>Methuen world classics</t>
  </si>
  <si>
    <t>344772795:eng</t>
  </si>
  <si>
    <t>33859340</t>
  </si>
  <si>
    <t>ocm33859340</t>
  </si>
  <si>
    <t>3102939834R</t>
  </si>
  <si>
    <t>9780413645302</t>
  </si>
  <si>
    <t>793412464</t>
  </si>
  <si>
    <t>PG3476 B78 A26x</t>
  </si>
  <si>
    <t>0                      PG 3476000B  78                 A  26x</t>
  </si>
  <si>
    <t>Diaboliad, and other stories / Mikhail Bulgakov ; edited by Ellendea Proffer &amp; Carl R. Proffer ; translated by Carl R. Proffer.</t>
  </si>
  <si>
    <t>Bloomington : Indiana University Press, ©1972.</t>
  </si>
  <si>
    <t>345561998:eng</t>
  </si>
  <si>
    <t>315317</t>
  </si>
  <si>
    <t>ocm00315317</t>
  </si>
  <si>
    <t>3102939841P</t>
  </si>
  <si>
    <t>9780253116055</t>
  </si>
  <si>
    <t>791334207</t>
  </si>
  <si>
    <t>PG3476 B78 A6 2008</t>
  </si>
  <si>
    <t>0                      PG 3476000B  78                 A  6           2008</t>
  </si>
  <si>
    <t>Aleksandr Pushkin ; Zapiski pokoĭnika ; Master i Margerita / Mikhail Afanasʹevich Bulgakov ; [vstup. statʹi︠a︡ i kommentarii I.N. Sukhikh].</t>
  </si>
  <si>
    <t>Moskva : Izd-vo AST, ©2008.</t>
  </si>
  <si>
    <t>Zolotoĭ fond mirovoĭ klassiki</t>
  </si>
  <si>
    <t>906399808:rus</t>
  </si>
  <si>
    <t>728657146</t>
  </si>
  <si>
    <t>ocn728657146</t>
  </si>
  <si>
    <t>31033407738</t>
  </si>
  <si>
    <t>9785170434350</t>
  </si>
  <si>
    <t>794878951</t>
  </si>
  <si>
    <t>Polnoe sobranie romanov, povesteĭ i rasskazov v odnom tome / Mikhail Bulgakov.</t>
  </si>
  <si>
    <t>rec'd 2010 ed.</t>
  </si>
  <si>
    <t>Moskva : Alʹfa-kniga, 2008.</t>
  </si>
  <si>
    <t>503860261:rus</t>
  </si>
  <si>
    <t>301973407</t>
  </si>
  <si>
    <t>ocn301973407</t>
  </si>
  <si>
    <t>3103340518Q</t>
  </si>
  <si>
    <t>9785992201673</t>
  </si>
  <si>
    <t>794433146</t>
  </si>
  <si>
    <t>PG3476 B78 A614 1997</t>
  </si>
  <si>
    <t>0                      PG 3476000B  78                 A  614         1997</t>
  </si>
  <si>
    <t>Oeuvres. 1, La Garde blanche, nouvelles, récits, articles de variétés / Boulgakov ; introd. par Françoise Flamant ; éd. publ. sous la dir. de Françoise Flamant, avec la collab. d'Edith Scherrer ; textes trad., présentés et annotés par Jean-Louis Chavarot ... [et al.].</t>
  </si>
  <si>
    <t>Bulgakov, Mikhail Afanasʹevich, 1891-1940.</t>
  </si>
  <si>
    <t>Paris : Gallimard, 1997.</t>
  </si>
  <si>
    <t>Bibliothèque de la pléiade ; 439</t>
  </si>
  <si>
    <t>1059186317:fre</t>
  </si>
  <si>
    <t>37879565</t>
  </si>
  <si>
    <t>ocm37879565</t>
  </si>
  <si>
    <t>31023197186</t>
  </si>
  <si>
    <t>9782070112999</t>
  </si>
  <si>
    <t>793509119</t>
  </si>
  <si>
    <t>PG3476 B78 B473</t>
  </si>
  <si>
    <t>0                      PG 3476000B  78                 B  473</t>
  </si>
  <si>
    <t>The white guard [by] Mikhail Bulgakov. Translated from the Russian by Michael Glenny, with an epilogue by Viktor Nekrasov.</t>
  </si>
  <si>
    <t>New York, McGraw-Hill Book Co. [©1971]</t>
  </si>
  <si>
    <t>12331502:eng</t>
  </si>
  <si>
    <t>143684</t>
  </si>
  <si>
    <t>ocm00143684</t>
  </si>
  <si>
    <t>3102939816V</t>
  </si>
  <si>
    <t>9780070088535</t>
  </si>
  <si>
    <t>791270949</t>
  </si>
  <si>
    <t>2007-11-06</t>
  </si>
  <si>
    <t>3102939840P</t>
  </si>
  <si>
    <t>791270950</t>
  </si>
  <si>
    <t>PG3476 B78 B5 1998</t>
  </si>
  <si>
    <t>0                      PG 3476000B  78                 B  5           1998</t>
  </si>
  <si>
    <t>Belai︠a︡ gvardii︠a︡ / M.A. Bulgakov.</t>
  </si>
  <si>
    <t>Moskva : "Nash dom--L'Age d'Homme", 1998.</t>
  </si>
  <si>
    <t>4925228665:rus</t>
  </si>
  <si>
    <t>39763515</t>
  </si>
  <si>
    <t>ocm39763515</t>
  </si>
  <si>
    <t>3102947953N</t>
  </si>
  <si>
    <t>9785891360181</t>
  </si>
  <si>
    <t>793552744</t>
  </si>
  <si>
    <t>PG3476 B78 B55 1967b</t>
  </si>
  <si>
    <t>0                      PG 3476000B  78                 B  55          1967b</t>
  </si>
  <si>
    <t>Black snow : a theatrical novel / by Mikhail Bulgakov ; translated from the Russian by Michael Glenny.</t>
  </si>
  <si>
    <t>New York : Simon and Schuster, 1967.</t>
  </si>
  <si>
    <t>8909342133:eng</t>
  </si>
  <si>
    <t>428074475</t>
  </si>
  <si>
    <t>ocn428074475</t>
  </si>
  <si>
    <t>3102939861L</t>
  </si>
  <si>
    <t>794765295</t>
  </si>
  <si>
    <t>PG3476 B78 D66 2014</t>
  </si>
  <si>
    <t>0                      PG 3476000B  78                 D  66          2014</t>
  </si>
  <si>
    <t>Don Quixote / Mikhail Bulgakov ; Edited by Margarita Marinova and Scott Pollard.</t>
  </si>
  <si>
    <t>New York : The Modern Language Association of America, 2014.</t>
  </si>
  <si>
    <t>Texts and translations, 1079-2538 ; 29</t>
  </si>
  <si>
    <t>314711660:rus</t>
  </si>
  <si>
    <t>881386884</t>
  </si>
  <si>
    <t>ocn881386884</t>
  </si>
  <si>
    <t>3103738937M</t>
  </si>
  <si>
    <t>9781603291491</t>
  </si>
  <si>
    <t>794974225</t>
  </si>
  <si>
    <t>PG3476 B78 M3 1994</t>
  </si>
  <si>
    <t>0                      PG 3476000B  78                 M  3           1994</t>
  </si>
  <si>
    <t>Master i Margarita : roman / Mikhail Bulgakov ; illi︠u︡strat︠s︡ii khudozhnika B. Markevicha.</t>
  </si>
  <si>
    <t>Moskva : "Khudozhestvennai︠a︡ literatura", 1994.</t>
  </si>
  <si>
    <t>2017-12-15</t>
  </si>
  <si>
    <t>311231113:rus</t>
  </si>
  <si>
    <t>32623442</t>
  </si>
  <si>
    <t>ocm32623442</t>
  </si>
  <si>
    <t>31029460969</t>
  </si>
  <si>
    <t>9785280028463</t>
  </si>
  <si>
    <t>793390189</t>
  </si>
  <si>
    <t>PG3476 B78 M313 1992</t>
  </si>
  <si>
    <t>0                      PG 3476000B  78                 M  313         1992</t>
  </si>
  <si>
    <t>The master and Margarita / Mikhail Bulgakov ; translated from the Russian by Michael Glenny ; with an introduction by Simon Franklin.</t>
  </si>
  <si>
    <t>Everyman's library ; 66</t>
  </si>
  <si>
    <t>2017-05-04</t>
  </si>
  <si>
    <t>311231113:eng</t>
  </si>
  <si>
    <t>24503392</t>
  </si>
  <si>
    <t>ocm24503392</t>
  </si>
  <si>
    <t>31034257272</t>
  </si>
  <si>
    <t>9780679410461</t>
  </si>
  <si>
    <t>793199727</t>
  </si>
  <si>
    <t>31033702924</t>
  </si>
  <si>
    <t>793199726</t>
  </si>
  <si>
    <t>31033702896</t>
  </si>
  <si>
    <t>793199728</t>
  </si>
  <si>
    <t>PG3476 B78 M313 2016</t>
  </si>
  <si>
    <t>0                      PG 3476000B  78                 M  313         2016</t>
  </si>
  <si>
    <t>The Master and Margarita / Mikhail Bulgakov ; translated with notes by Richard Pevear and Larissa Volokhonsky ; foreword by Boris Fishman ; introduction by Richard Pevear.</t>
  </si>
  <si>
    <t>New York, New York : Penguin Books, 2016.</t>
  </si>
  <si>
    <t>910412975</t>
  </si>
  <si>
    <t>ocn910412975</t>
  </si>
  <si>
    <t>31038084669</t>
  </si>
  <si>
    <t>9780143108276</t>
  </si>
  <si>
    <t>794996148</t>
  </si>
  <si>
    <t>PG3476 B78 M33</t>
  </si>
  <si>
    <t>0                      PG 3476000B  78                 M  33</t>
  </si>
  <si>
    <t>The master and Margarita / Mikhail Bulgakov ; translated from the Russian by Michael Glenny.</t>
  </si>
  <si>
    <t>New York : Harper &amp; Row, ©1967.</t>
  </si>
  <si>
    <t>321339</t>
  </si>
  <si>
    <t>ocm00321339</t>
  </si>
  <si>
    <t>3103487680T</t>
  </si>
  <si>
    <t>791336237</t>
  </si>
  <si>
    <t>PG3476 B78 M33 1987</t>
  </si>
  <si>
    <t>0                      PG 3476000B  78                 M  33          1987</t>
  </si>
  <si>
    <t>The master and Margarita / by Mikhail Bulgakov ; translated from the Russian by Mirra Ginsburg.</t>
  </si>
  <si>
    <t>New York : Grove Press, 1987, ©1967.</t>
  </si>
  <si>
    <t>15315464</t>
  </si>
  <si>
    <t>ocm15315464</t>
  </si>
  <si>
    <t>3102939885H</t>
  </si>
  <si>
    <t>RECALLED</t>
  </si>
  <si>
    <t>9780802130112</t>
  </si>
  <si>
    <t>792927744</t>
  </si>
  <si>
    <t>PG3476 B78 M3334 1991</t>
  </si>
  <si>
    <t>0                      PG 3476000B  78                 M  3334        1991</t>
  </si>
  <si>
    <t>The apocalyptic vision of Mikhail Bulgakov's The master and Margarita / Edward E. Ericson, Jr.</t>
  </si>
  <si>
    <t>Ericson, Edward E.</t>
  </si>
  <si>
    <t>Lewiston : E. Mellen Press, ©1991.</t>
  </si>
  <si>
    <t>Studies in Slavic language and literature ; v. 6</t>
  </si>
  <si>
    <t>24812691:eng</t>
  </si>
  <si>
    <t>23900895</t>
  </si>
  <si>
    <t>ocm23900895</t>
  </si>
  <si>
    <t>3102939884H</t>
  </si>
  <si>
    <t>9780773497665</t>
  </si>
  <si>
    <t>793184546</t>
  </si>
  <si>
    <t>PG3476 B78 M3335 2011</t>
  </si>
  <si>
    <t>0                      PG 3476000B  78                 M  3335        2011</t>
  </si>
  <si>
    <t>Taĭna bulgakovskogo "Mastera ..." / Ėduard Filatʹev.</t>
  </si>
  <si>
    <t>Filatʹev, Ėduard, 1935- author.</t>
  </si>
  <si>
    <t>Sankt-Peterburg : Azbuka : "Azbuka-Attikus", 2011, ©2011.</t>
  </si>
  <si>
    <t>3861250669:rus</t>
  </si>
  <si>
    <t>739837274</t>
  </si>
  <si>
    <t>ocn739837274</t>
  </si>
  <si>
    <t>31033731377</t>
  </si>
  <si>
    <t>9785389020849</t>
  </si>
  <si>
    <t>794883050</t>
  </si>
  <si>
    <t>PG3476 B78 M33448 2007</t>
  </si>
  <si>
    <t>0                      PG 3476000B  78                 M  33448       2007</t>
  </si>
  <si>
    <t>Putevoditelʹ po romanu Mikhaila Bulgakova Master i Margarita / G. Lesskis, K. Atarova.</t>
  </si>
  <si>
    <t>Lesskis, G. (Georgiĭ)</t>
  </si>
  <si>
    <t>Moskva : Izd-vo "Raduga", 2007.</t>
  </si>
  <si>
    <t>116428476:rus</t>
  </si>
  <si>
    <t>181006906</t>
  </si>
  <si>
    <t>ocn181006906</t>
  </si>
  <si>
    <t>31030269688</t>
  </si>
  <si>
    <t>9785050064059</t>
  </si>
  <si>
    <t>794281042</t>
  </si>
  <si>
    <t>PG3476 B78 M335</t>
  </si>
  <si>
    <t>0                      PG 3476000B  78                 M  335</t>
  </si>
  <si>
    <t>Bulgakov's The Master and Margarita : the text as a cipher / by Elena N. Mahlow.</t>
  </si>
  <si>
    <t>Mahlow, Elena N.</t>
  </si>
  <si>
    <t>New York : Vantage Press, ©1975.</t>
  </si>
  <si>
    <t>3286223:eng</t>
  </si>
  <si>
    <t>1990992</t>
  </si>
  <si>
    <t>ocm01990992</t>
  </si>
  <si>
    <t>3102939890F</t>
  </si>
  <si>
    <t>9780533017423</t>
  </si>
  <si>
    <t>792024504</t>
  </si>
  <si>
    <t>PG3476 B78 M3353 1996</t>
  </si>
  <si>
    <t>0                      PG 3476000B  78                 M  3353        1996</t>
  </si>
  <si>
    <t>The Master &amp; Margarita : a critical companion / edited by Laura D. Weeks.</t>
  </si>
  <si>
    <t>2016-10-14</t>
  </si>
  <si>
    <t>4926021117:eng</t>
  </si>
  <si>
    <t>33407157</t>
  </si>
  <si>
    <t>ocm33407157</t>
  </si>
  <si>
    <t>31029462865</t>
  </si>
  <si>
    <t>9780810112124</t>
  </si>
  <si>
    <t>793408785</t>
  </si>
  <si>
    <t>PG3476 B78 M3367 1991</t>
  </si>
  <si>
    <t>0                      PG 3476000B  78                 M  3367        1991</t>
  </si>
  <si>
    <t>The writer's divided self in Bulgakov's The master and Margarita / Riitta H. Pittman.</t>
  </si>
  <si>
    <t>Pittman, Riitta H.</t>
  </si>
  <si>
    <t>New York : St. Martin's Press, 1991.</t>
  </si>
  <si>
    <t>18565542:eng</t>
  </si>
  <si>
    <t>23144322</t>
  </si>
  <si>
    <t>ocm23144322</t>
  </si>
  <si>
    <t>3102946326E</t>
  </si>
  <si>
    <t>9780312061487</t>
  </si>
  <si>
    <t>793162636</t>
  </si>
  <si>
    <t>PG3476 B78 M3375 2006</t>
  </si>
  <si>
    <t>0                      PG 3476000B  78                 M  3375        2006</t>
  </si>
  <si>
    <t>Taĭny "Mastera i Margarity" : rasshifrovannyĭ Bulgakov / Boris Sokolov.</t>
  </si>
  <si>
    <t>Sokolov, B. V. (Boris Vadimovich)</t>
  </si>
  <si>
    <t>Moskva : "ĖKSMO" : "I︠A︡uza", 2006.</t>
  </si>
  <si>
    <t>4957967967:rus</t>
  </si>
  <si>
    <t>63666409</t>
  </si>
  <si>
    <t>ocm63666409</t>
  </si>
  <si>
    <t>3102887185R</t>
  </si>
  <si>
    <t>9785699107599</t>
  </si>
  <si>
    <t>794122180</t>
  </si>
  <si>
    <t>PG3476 B78 M339 1984</t>
  </si>
  <si>
    <t>0                      PG 3476000B  78                 M  339         1984</t>
  </si>
  <si>
    <t>[Evangelie Mikhaila Bulgakova : opyt issledovanii︠a︡ 4-kh glav romana Master i Margarita / A. Zerkalov].</t>
  </si>
  <si>
    <t>Zerkalov, A.</t>
  </si>
  <si>
    <t>3855282798:rus</t>
  </si>
  <si>
    <t>11456510</t>
  </si>
  <si>
    <t>ocm11456510</t>
  </si>
  <si>
    <t>31029462963</t>
  </si>
  <si>
    <t>9780882338750</t>
  </si>
  <si>
    <t>792774144</t>
  </si>
  <si>
    <t>PG3476 B78 M34</t>
  </si>
  <si>
    <t>0                      PG 3476000B  78                 M  34</t>
  </si>
  <si>
    <t>Le maitre et Marguerite : roman / Mikhail Boulgakov ; texte intégral précédé d'une introduction de Sergueï Ermolinski ; traduit du russe par Claude Ligny.</t>
  </si>
  <si>
    <t>Paris : Robert Laffont, ©1968.</t>
  </si>
  <si>
    <t>Collection Pavillons</t>
  </si>
  <si>
    <t>2015-08-07</t>
  </si>
  <si>
    <t>311231113:fre</t>
  </si>
  <si>
    <t>6381192</t>
  </si>
  <si>
    <t>ocm06381192</t>
  </si>
  <si>
    <t>3102939847P</t>
  </si>
  <si>
    <t>792495295</t>
  </si>
  <si>
    <t>PG3476 B78 M6713 2013</t>
  </si>
  <si>
    <t>0                      PG 3476000B  78                 M  6713        2013</t>
  </si>
  <si>
    <t>Morphine / Mikhail Bulgakov ; [translated by Hugh Aplin].</t>
  </si>
  <si>
    <t>New York : New Directions, 2013.</t>
  </si>
  <si>
    <t>The New Directions pearls ; 1266</t>
  </si>
  <si>
    <t>2014-11-26</t>
  </si>
  <si>
    <t>1145737874:eng</t>
  </si>
  <si>
    <t>829988862</t>
  </si>
  <si>
    <t>ocn829988862</t>
  </si>
  <si>
    <t>31035058077</t>
  </si>
  <si>
    <t>9780811221689</t>
  </si>
  <si>
    <t>794942918</t>
  </si>
  <si>
    <t>PG3476 B78 R5813 2011</t>
  </si>
  <si>
    <t>0                      PG 3476000B  78                 R  5813        2011</t>
  </si>
  <si>
    <t>The fatal eggs / Mikhail Bulgakov ; translated by Roger Cockrell.</t>
  </si>
  <si>
    <t>Richmond : Oneworld Classics, [2011]</t>
  </si>
  <si>
    <t>2564787331:eng</t>
  </si>
  <si>
    <t>694600669</t>
  </si>
  <si>
    <t>ocn694600669</t>
  </si>
  <si>
    <t>3103342618F</t>
  </si>
  <si>
    <t>9781847491848</t>
  </si>
  <si>
    <t>794857790</t>
  </si>
  <si>
    <t>PG3476 B78 S6 1969</t>
  </si>
  <si>
    <t>0                      PG 3476000B  78                 S  6           1969</t>
  </si>
  <si>
    <t>Sobachʹe serdt︠s︡e / Mikhail Bulgakov.</t>
  </si>
  <si>
    <t>Paris : YMCA-Press, 1969.</t>
  </si>
  <si>
    <t>2018-04-02</t>
  </si>
  <si>
    <t>5218528182:rus</t>
  </si>
  <si>
    <t>221743135</t>
  </si>
  <si>
    <t>ocn221743135</t>
  </si>
  <si>
    <t>3102939857N</t>
  </si>
  <si>
    <t>794327584</t>
  </si>
  <si>
    <t>PG3476 B78 S613 1987</t>
  </si>
  <si>
    <t>0                      PG 3476000B  78                 S  613         1987</t>
  </si>
  <si>
    <t>Heart of a dog / Mikhail Bulgakov ; translated by Mirra Ginsburg.</t>
  </si>
  <si>
    <t>New York : Grove Press, 1987.</t>
  </si>
  <si>
    <t>5534117933:eng</t>
  </si>
  <si>
    <t>15592316</t>
  </si>
  <si>
    <t>ocm15592316</t>
  </si>
  <si>
    <t>3103585242E</t>
  </si>
  <si>
    <t>9780394623801</t>
  </si>
  <si>
    <t>792936368</t>
  </si>
  <si>
    <t>PG3476 B78 S613 2005</t>
  </si>
  <si>
    <t>0                      PG 3476000B  78                 S  613         2005</t>
  </si>
  <si>
    <t>A dog's heart : a monstrous story / Mikhail Bulgakov ; [foreword by A.S. Byatt] ; translated by Hugh Aplin.</t>
  </si>
  <si>
    <t>London : Hesperus, 2005.</t>
  </si>
  <si>
    <t>Modern voices</t>
  </si>
  <si>
    <t>10032365307:eng</t>
  </si>
  <si>
    <t>57574509</t>
  </si>
  <si>
    <t>ocm57574509</t>
  </si>
  <si>
    <t>3103505365A</t>
  </si>
  <si>
    <t>9781843914020</t>
  </si>
  <si>
    <t>793915777</t>
  </si>
  <si>
    <t>PG3476 B78 S613 2007</t>
  </si>
  <si>
    <t>0                      PG 3476000B  78                 S  613         2007</t>
  </si>
  <si>
    <t>A dog's heart : an appalling story / Mikhail Bulgakov ; translated and edited with notes by Andrew Bromfield ; with an introduction by James Meek.</t>
  </si>
  <si>
    <t>London ; New York : Penguin, 2007.</t>
  </si>
  <si>
    <t>2019-02-23</t>
  </si>
  <si>
    <t>124025269</t>
  </si>
  <si>
    <t>ocn124025269</t>
  </si>
  <si>
    <t>3102572188X</t>
  </si>
  <si>
    <t>9780140455151</t>
  </si>
  <si>
    <t>794229269</t>
  </si>
  <si>
    <t>PG3476 B78 S613 2011</t>
  </si>
  <si>
    <t>0                      PG 3476000B  78                 S  613         2011</t>
  </si>
  <si>
    <t>A dog's heart / Mikhail Bulgakov ; translated by Antonina W. Bouis.</t>
  </si>
  <si>
    <t>747008402</t>
  </si>
  <si>
    <t>ocn747008402</t>
  </si>
  <si>
    <t>3103381907T</t>
  </si>
  <si>
    <t>9781847492012</t>
  </si>
  <si>
    <t>794887622</t>
  </si>
  <si>
    <t>PG3476 B78 S63</t>
  </si>
  <si>
    <t>0                      PG 3476000B  78                 S  63</t>
  </si>
  <si>
    <t>The heart of a dog / Mikhail Bulgakov ; translated, with an introduction, by Michael Glenny.</t>
  </si>
  <si>
    <t>New York : Harcourt, Brace &amp; World, ©1968.</t>
  </si>
  <si>
    <t>449884</t>
  </si>
  <si>
    <t>ocm00449884</t>
  </si>
  <si>
    <t>3102939862L</t>
  </si>
  <si>
    <t>791382038</t>
  </si>
  <si>
    <t>PG3476 B78 S63 1968</t>
  </si>
  <si>
    <t>0                      PG 3476000B  78                 S  63          1968</t>
  </si>
  <si>
    <t>Heart of a dog / by Mikhail Bulgakov ; translated by Mirra Ginsburg.</t>
  </si>
  <si>
    <t>New York : Grove Press, Inc., [1968]</t>
  </si>
  <si>
    <t>2018-03-23</t>
  </si>
  <si>
    <t>232756</t>
  </si>
  <si>
    <t>ocm00232756</t>
  </si>
  <si>
    <t>3103251129X</t>
  </si>
  <si>
    <t>9780394174426</t>
  </si>
  <si>
    <t>791302757</t>
  </si>
  <si>
    <t>PG3476 B78 T413 2007</t>
  </si>
  <si>
    <t>0                      PG 3476000B  78                 T  413         2007</t>
  </si>
  <si>
    <t>A dead man's memoir : a theatrical novel / Mikhail Bulgakov ; translated and edited with notes by Andrew Bromfield with an introduction by Keith Gessen.</t>
  </si>
  <si>
    <t>52686675:eng</t>
  </si>
  <si>
    <t>124025268</t>
  </si>
  <si>
    <t>ocn124025268</t>
  </si>
  <si>
    <t>31028851504</t>
  </si>
  <si>
    <t>9780140455144</t>
  </si>
  <si>
    <t>794229268</t>
  </si>
  <si>
    <t>PG3476 B78 Z1813 2011</t>
  </si>
  <si>
    <t>0                      PG 3476000B  78                 Z  1813        2011</t>
  </si>
  <si>
    <t>A young doctor's notebook / Mikhail Bulgakov ; translated by Hugh Aplin.</t>
  </si>
  <si>
    <t>2019-08-23</t>
  </si>
  <si>
    <t>4926849699:eng</t>
  </si>
  <si>
    <t>711872040</t>
  </si>
  <si>
    <t>ocn711872040</t>
  </si>
  <si>
    <t>3103234371F</t>
  </si>
  <si>
    <t>9781847491770</t>
  </si>
  <si>
    <t>794871345</t>
  </si>
  <si>
    <t>PG3476 B78 Z46 2013</t>
  </si>
  <si>
    <t>0                      PG 3476000B  78                 Z  46          2013</t>
  </si>
  <si>
    <t>Mikhail Bulgakov : diaries and selected letters / Mikhail Bulgakov ; translated by Roger Cockrell.</t>
  </si>
  <si>
    <t>Richmond : Alma Classics, 2013.</t>
  </si>
  <si>
    <t>2018-03-21</t>
  </si>
  <si>
    <t>5620761922:eng</t>
  </si>
  <si>
    <t>825559696</t>
  </si>
  <si>
    <t>ocn825559696</t>
  </si>
  <si>
    <t>3103499687G</t>
  </si>
  <si>
    <t>9781847493033</t>
  </si>
  <si>
    <t>794938646</t>
  </si>
  <si>
    <t>PG3476 B78 Z527 1995</t>
  </si>
  <si>
    <t>0                      PG 3476000B  78                 Z  527         1995</t>
  </si>
  <si>
    <t>Bulgakov : the novelist-playwright / edited by Lesley Milne.</t>
  </si>
  <si>
    <t>Australia ; U.S. : Harwood, ©1995.</t>
  </si>
  <si>
    <t>Russian theatre archive, 1068-8161 ; v. 5</t>
  </si>
  <si>
    <t>1059970597:eng</t>
  </si>
  <si>
    <t>44620651</t>
  </si>
  <si>
    <t>ocm44620651</t>
  </si>
  <si>
    <t>3102939859N</t>
  </si>
  <si>
    <t>9783718656196</t>
  </si>
  <si>
    <t>793654441</t>
  </si>
  <si>
    <t>PG3476 B78 Z64 1991</t>
  </si>
  <si>
    <t>0                      PG 3476000B  78                 Z  64          1991</t>
  </si>
  <si>
    <t>Manuscripts don't burn : Mikhail Bulgakov, a life in letters and diaries / J.A.E. Curtis.</t>
  </si>
  <si>
    <t>Curtis, J. A. E. (Julie A. E.)</t>
  </si>
  <si>
    <t>London : Bloomsbury, 1991.</t>
  </si>
  <si>
    <t>26074819:eng</t>
  </si>
  <si>
    <t>23997464</t>
  </si>
  <si>
    <t>ocm23997464</t>
  </si>
  <si>
    <t>31029462923</t>
  </si>
  <si>
    <t>9780747508915</t>
  </si>
  <si>
    <t>793186989</t>
  </si>
  <si>
    <t>PG3476 B78 Z64 2017</t>
  </si>
  <si>
    <t>0                      PG 3476000B  78                 Z  64          2017</t>
  </si>
  <si>
    <t>Mikhail Bulgakov / J.A.E. Curtis.</t>
  </si>
  <si>
    <t>Curtis, J. A. E. (Julie A. E.), author.</t>
  </si>
  <si>
    <t>London, UK : Reaktion Books Ltd, 2017.</t>
  </si>
  <si>
    <t>292583333:eng</t>
  </si>
  <si>
    <t>951753713</t>
  </si>
  <si>
    <t>ocn951753713</t>
  </si>
  <si>
    <t>3103671366K</t>
  </si>
  <si>
    <t>9781780237411</t>
  </si>
  <si>
    <t>795017718</t>
  </si>
  <si>
    <t>PG3476 B78 Z75 2011</t>
  </si>
  <si>
    <t>0                      PG 3476000B  78                 Z  75          2011</t>
  </si>
  <si>
    <t>M.A. Bulgakov i bulgakovedenie v nauchnom i obrazovatelʹnom prostranstve : sbornik nauchnykh stateĭ / [otvestvennyĭ redaktor, V.A. Kokhanova].</t>
  </si>
  <si>
    <t>Moscow : Moskovskiĭ Gorodskoĭ Pedagogicheskiĭ Universitet ; I︠A︡roslavlʹ : Izd. Remder, 2011.</t>
  </si>
  <si>
    <t>1119790546:rus</t>
  </si>
  <si>
    <t>795531323</t>
  </si>
  <si>
    <t>ocn795531323</t>
  </si>
  <si>
    <t>3103440035V</t>
  </si>
  <si>
    <t>9785947552836</t>
  </si>
  <si>
    <t>794921300</t>
  </si>
  <si>
    <t>PG3476 B78 Z75185 2012</t>
  </si>
  <si>
    <t>0                      PG 3476000B  78                 Z  75185       2012</t>
  </si>
  <si>
    <t>Dom Margarity : moskovskie taĭny Mikhaila Bulgakova / Vladimir Kolganov.</t>
  </si>
  <si>
    <t>Kolganov, Vladimir Alekseevich.</t>
  </si>
  <si>
    <t>Moskva : T︠S︡entrpoligraf, 2012.</t>
  </si>
  <si>
    <t>Moskva i Podmoskovʹe, istorii︠a︡, pami︠a︡tniki, sudʹby</t>
  </si>
  <si>
    <t>3861599177:rus</t>
  </si>
  <si>
    <t>791648682</t>
  </si>
  <si>
    <t>ocn791648682</t>
  </si>
  <si>
    <t>31034846962</t>
  </si>
  <si>
    <t>9785227034076</t>
  </si>
  <si>
    <t>794916867</t>
  </si>
  <si>
    <t>PG3476 B78 Z754 1998</t>
  </si>
  <si>
    <t>0                      PG 3476000B  78                 Z  754         1998</t>
  </si>
  <si>
    <t>"Ėzotericheskie" kody romana M. Bulgakova "Master i Margarita" : ėksplit︠s︡itnoe i implit︠s︡itnoe v romane / Svetlana Kulʹi︠u︡s.</t>
  </si>
  <si>
    <t>Kulʹi︠u︡s, Svetlana, 1946-</t>
  </si>
  <si>
    <t>Tartu : Tartu Ülikooli Kirjastus, 1998.</t>
  </si>
  <si>
    <t>Dissertationes philologiae slavicae Universitatis Tartuensis, 1406-0809 ; 5</t>
  </si>
  <si>
    <t>3901767628:rus</t>
  </si>
  <si>
    <t>39616376</t>
  </si>
  <si>
    <t>ocm39616376</t>
  </si>
  <si>
    <t>31029462895</t>
  </si>
  <si>
    <t>9789985563212</t>
  </si>
  <si>
    <t>793549224</t>
  </si>
  <si>
    <t>PG3476 B78 Z765 1990</t>
  </si>
  <si>
    <t>0                      PG 3476000B  78                 Z  765         1990</t>
  </si>
  <si>
    <t>Mikhail Bulgakov : a critical biography / Lesley Milne.</t>
  </si>
  <si>
    <t>Milne, Lesley.</t>
  </si>
  <si>
    <t>Cambridge [England] ; New York : Cambridge University Press, 1990.</t>
  </si>
  <si>
    <t>836797520:eng</t>
  </si>
  <si>
    <t>20930832</t>
  </si>
  <si>
    <t>ocm20930832</t>
  </si>
  <si>
    <t>3102946324E</t>
  </si>
  <si>
    <t>9780521227285</t>
  </si>
  <si>
    <t>793103257</t>
  </si>
  <si>
    <t>PG3476 B78 Z77 1985</t>
  </si>
  <si>
    <t>0                      PG 3476000B  78                 Z  77          1985</t>
  </si>
  <si>
    <t>Mikhail Bulgakov / by Nadine Natov.</t>
  </si>
  <si>
    <t>Natov, Nadine.</t>
  </si>
  <si>
    <t>Boston : Twayne Publishers, ©1985.</t>
  </si>
  <si>
    <t>Twayne's world authors series ; TWAS 750. Russian literature</t>
  </si>
  <si>
    <t>3901013429:eng</t>
  </si>
  <si>
    <t>11134565</t>
  </si>
  <si>
    <t>ocm11134565</t>
  </si>
  <si>
    <t>3102946319G</t>
  </si>
  <si>
    <t>9780805765984</t>
  </si>
  <si>
    <t>792759777</t>
  </si>
  <si>
    <t>PG3476 B78 Z88 2013</t>
  </si>
  <si>
    <t>0                      PG 3476000B  78                 Z  88          2013</t>
  </si>
  <si>
    <t>Obruchenie sveta i tʹmy : o romane "Master i Margarita" i Mikhaile Bulgakove ėsse / Anatoliĭ Korolev.</t>
  </si>
  <si>
    <t>Korolev, Anatoliĭ, author.</t>
  </si>
  <si>
    <t>Moskva : Izdatelʹstvo Literaturnogo instituta, 2013.</t>
  </si>
  <si>
    <t>1780646034:rus</t>
  </si>
  <si>
    <t>869262731</t>
  </si>
  <si>
    <t>ocn869262731</t>
  </si>
  <si>
    <t>3103556211V</t>
  </si>
  <si>
    <t>9785706001490</t>
  </si>
  <si>
    <t>794965246</t>
  </si>
  <si>
    <t>PG3476.B78 Z8975 2017</t>
  </si>
  <si>
    <t>0                      PG 3476000B  78                 Z  8975        2017</t>
  </si>
  <si>
    <t>Bulgakov na poroge vechnosti : mistiko-ėzotericheskoe rassledovanie zagadochnoĭ gibeli Mikhaila Bulgakova / Gennadiĭ Smolin.</t>
  </si>
  <si>
    <t>Smolin, Gennadiĭ, author.</t>
  </si>
  <si>
    <t>Sankt-Peterburg : Aleteĭi︠a︡ 2017.</t>
  </si>
  <si>
    <t>4476755129:rus</t>
  </si>
  <si>
    <t>1002219585</t>
  </si>
  <si>
    <t>on1002219585</t>
  </si>
  <si>
    <t>3103879955L</t>
  </si>
  <si>
    <t>9785906910547</t>
  </si>
  <si>
    <t>795041011</t>
  </si>
  <si>
    <t>PG3476 B78 Z89956 2010</t>
  </si>
  <si>
    <t>0                      PG 3476000B  78                 Z  89956       2010</t>
  </si>
  <si>
    <t>Mikhail Bulgakov : morfiĭ, zhenshchiny, li︠u︡bovʹ / Varlen Strongin.</t>
  </si>
  <si>
    <t>Strongin, Varlen.</t>
  </si>
  <si>
    <t>867425917:rus</t>
  </si>
  <si>
    <t>713494455</t>
  </si>
  <si>
    <t>ocn713494455</t>
  </si>
  <si>
    <t>3103393259R</t>
  </si>
  <si>
    <t>9785170696550</t>
  </si>
  <si>
    <t>794872946</t>
  </si>
  <si>
    <t>PG3476 B78 Z95</t>
  </si>
  <si>
    <t>0                      PG 3476000B  78                 Z  95</t>
  </si>
  <si>
    <t>Mikhail Bulgakov : life and interpretations / A. Colin Wright.</t>
  </si>
  <si>
    <t>Wright, Anthony Colin, 1938-</t>
  </si>
  <si>
    <t>Toronto ; Buffalo : University of Toronto Press, ©1978.</t>
  </si>
  <si>
    <t>12885767:eng</t>
  </si>
  <si>
    <t>3748698</t>
  </si>
  <si>
    <t>ocm03748698</t>
  </si>
  <si>
    <t>3000461946J</t>
  </si>
  <si>
    <t>9780802054029</t>
  </si>
  <si>
    <t>792287517</t>
  </si>
  <si>
    <t>PG3476 B78 1982</t>
  </si>
  <si>
    <t>0                      PG 3476000B  78          1982</t>
  </si>
  <si>
    <t>Sobranie sochineniĭ / M.A. Bulgakov ; sostavlenie, obshchai︠a︡ redakt︠s︡ii︠a︡, predislovie i kommentarii Ėllendea Proffer.</t>
  </si>
  <si>
    <t>Ann Arbor : Ardis, ©1982-&lt;c1989&gt;</t>
  </si>
  <si>
    <t>2008-06-03</t>
  </si>
  <si>
    <t>2017-03-08</t>
  </si>
  <si>
    <t>4163980979:rus</t>
  </si>
  <si>
    <t>8283494</t>
  </si>
  <si>
    <t>ocm08283494</t>
  </si>
  <si>
    <t>3102220410F</t>
  </si>
  <si>
    <t>9780882335070</t>
  </si>
  <si>
    <t>792609829</t>
  </si>
  <si>
    <t>3102939825T</t>
  </si>
  <si>
    <t>792609827</t>
  </si>
  <si>
    <t>2009-08-17</t>
  </si>
  <si>
    <t>3102939830R</t>
  </si>
  <si>
    <t>792609828</t>
  </si>
  <si>
    <t>2008-10-03</t>
  </si>
  <si>
    <t>3102939820T</t>
  </si>
  <si>
    <t>792609826</t>
  </si>
  <si>
    <t>- Blackader-Lauterman Collection - Regular Loan</t>
  </si>
  <si>
    <t>PG3476 C324 P614</t>
  </si>
  <si>
    <t>0                      PG 3476000C  324                P  614</t>
  </si>
  <si>
    <t>Poèmes / Marc Chagall.</t>
  </si>
  <si>
    <t>Chagall, Marc, 1887-1985.</t>
  </si>
  <si>
    <t>Genève : Cramer éditeur, 1975.</t>
  </si>
  <si>
    <t>52314140:fre</t>
  </si>
  <si>
    <t>2393081</t>
  </si>
  <si>
    <t>ocm02393081</t>
  </si>
  <si>
    <t>3102508823Z</t>
  </si>
  <si>
    <t>792115660</t>
  </si>
  <si>
    <t>PG3476 C485 O6313 1989</t>
  </si>
  <si>
    <t>0                      PG 3476000C  485                O  6313        1989</t>
  </si>
  <si>
    <t>Sofia Petrovna / Lydia Chukovskaya ; translated from the Russian by David Floyd.</t>
  </si>
  <si>
    <t>Chukovskaı︠a︡, Lidiı︠a︡ Korneevna.</t>
  </si>
  <si>
    <t>3760610229:eng</t>
  </si>
  <si>
    <t>18815973</t>
  </si>
  <si>
    <t>ocm18815973</t>
  </si>
  <si>
    <t>31029463518</t>
  </si>
  <si>
    <t>9780002717410</t>
  </si>
  <si>
    <t>793037933</t>
  </si>
  <si>
    <t>PG3476 C485 O63x</t>
  </si>
  <si>
    <t>0                      PG 3476000C  485                O  63x</t>
  </si>
  <si>
    <t>The deserted house / by Lydia Chukovskaya. Translated by Aline B. Werth.</t>
  </si>
  <si>
    <t>First Edition.</t>
  </si>
  <si>
    <t>3945668617:eng</t>
  </si>
  <si>
    <t>712580</t>
  </si>
  <si>
    <t>ocm00712580</t>
  </si>
  <si>
    <t>3102946307I</t>
  </si>
  <si>
    <t>791453093</t>
  </si>
  <si>
    <t>PG3476 C485 S73x</t>
  </si>
  <si>
    <t>0                      PG 3476000C  485                S  73x</t>
  </si>
  <si>
    <t>Going under / Lydia Chukovskaya ; translated from the Russian by Peter M. Weston.</t>
  </si>
  <si>
    <t>London : Barrie and Jenkins, 1972.</t>
  </si>
  <si>
    <t>1976433:eng</t>
  </si>
  <si>
    <t>549048</t>
  </si>
  <si>
    <t>ocm00549048</t>
  </si>
  <si>
    <t>3102946317G</t>
  </si>
  <si>
    <t>9780214654077</t>
  </si>
  <si>
    <t>791411099</t>
  </si>
  <si>
    <t>PG3476 C485 Z47313 1988</t>
  </si>
  <si>
    <t>0                      PG 3476000C  485                Z  47313       1988</t>
  </si>
  <si>
    <t>To the memory of childhood / Lydia Chukovskaya ; translated by Eliza Kellogg Klose.</t>
  </si>
  <si>
    <t>Chukovskai︠a︡, Lidii︠a︡ Korneevna, author.</t>
  </si>
  <si>
    <t>Evanston, IL : Northwestern University Press, [1988]</t>
  </si>
  <si>
    <t>3856055711:eng</t>
  </si>
  <si>
    <t>17841873</t>
  </si>
  <si>
    <t>ocm17841873</t>
  </si>
  <si>
    <t>31029463666</t>
  </si>
  <si>
    <t>9780810107892</t>
  </si>
  <si>
    <t>793004927</t>
  </si>
  <si>
    <t>PG3476 C485 Z474 2010</t>
  </si>
  <si>
    <t>0                      PG 3476000C  485                Z  474         2010</t>
  </si>
  <si>
    <t>Prot︠s︡ess iskli︠u︡chenii︠a︡ : ocherk literaturnykh nravov / Lidii︠a︡ Chukovskai︠a︡.</t>
  </si>
  <si>
    <t>3863329115:rus</t>
  </si>
  <si>
    <t>670281273</t>
  </si>
  <si>
    <t>ocn670281273</t>
  </si>
  <si>
    <t>31033025013</t>
  </si>
  <si>
    <t>9785969105256</t>
  </si>
  <si>
    <t>794847581</t>
  </si>
  <si>
    <t>PG3476 C485 Z47414</t>
  </si>
  <si>
    <t>0                      PG 3476000C  485                Z  47414</t>
  </si>
  <si>
    <t>Les chemins de l'exclusion : (essai sur les moeurs littéraires en URSS) / Lydia Tchoukovskaia ; traduit du russe par George Russac.</t>
  </si>
  <si>
    <t>Paris : Encre, 1980.</t>
  </si>
  <si>
    <t>Collection chroniques du silence.</t>
  </si>
  <si>
    <t>3863329115:fre</t>
  </si>
  <si>
    <t>8135403</t>
  </si>
  <si>
    <t>ocm08135403</t>
  </si>
  <si>
    <t>3102946346A</t>
  </si>
  <si>
    <t>792601389</t>
  </si>
  <si>
    <t>PG3476 C49 S539 2014</t>
  </si>
  <si>
    <t>0                      PG 3476000C  49                 S  539         2014</t>
  </si>
  <si>
    <t>Skazki K. Chukovskogo v kartinkakh V. Suteeva / Korneĭ Ivanovich Chukovskiĭ ; khudozhnik V. Suteev.</t>
  </si>
  <si>
    <t>Chukovskiĭ, Korneĭ, author.</t>
  </si>
  <si>
    <t>Moskva : Izdatelʹstvo AST, [2014]</t>
  </si>
  <si>
    <t>Serii︡a︠ "Malysham"</t>
  </si>
  <si>
    <t>3862755909:rus</t>
  </si>
  <si>
    <t>905350814</t>
  </si>
  <si>
    <t>ocn905350814</t>
  </si>
  <si>
    <t>3103621044Z</t>
  </si>
  <si>
    <t>9785170840601</t>
  </si>
  <si>
    <t>794991255</t>
  </si>
  <si>
    <t>PG3476 C49 Z46313 2005</t>
  </si>
  <si>
    <t>0                      PG 3476000C  49                 Z  46313       2005</t>
  </si>
  <si>
    <t>Diary, 1901-1969 / Kornei Chukovsky ; edited by Victor Erlich ; translated by Michael Henry Heim.</t>
  </si>
  <si>
    <t>Chukovskiĭ, Korneĭ, 1882-1969, author.</t>
  </si>
  <si>
    <t>New Haven : Yale University Press, [2005]</t>
  </si>
  <si>
    <t>1070501018:eng</t>
  </si>
  <si>
    <t>56880283</t>
  </si>
  <si>
    <t>ocm56880283</t>
  </si>
  <si>
    <t>3102495161L</t>
  </si>
  <si>
    <t>9780300106114</t>
  </si>
  <si>
    <t>793903327</t>
  </si>
  <si>
    <t>PG3476 D613 K48 1991</t>
  </si>
  <si>
    <t>0                      PG 3476000D  613                K  48          1991</t>
  </si>
  <si>
    <t>Khranitelʹ drevnosteĭ : roman, novelly, ėsse / I︠U︡riĭ Dombrovskiĭ ; [predisl. V. Nepomnia︢shchego].</t>
  </si>
  <si>
    <t>Dombrovskiĭ, I︠U︡riĭ Osipovich.</t>
  </si>
  <si>
    <t>Moskva : Izvestii︠a︡, 1991.</t>
  </si>
  <si>
    <t>5610614219:rus</t>
  </si>
  <si>
    <t>26055562</t>
  </si>
  <si>
    <t>ocm26055562</t>
  </si>
  <si>
    <t>3101732272K</t>
  </si>
  <si>
    <t>9785206002898</t>
  </si>
  <si>
    <t>793236425</t>
  </si>
  <si>
    <t>PG3476 E43 S85 2012</t>
  </si>
  <si>
    <t>0                      PG 3476000E  43                 S  85          2012</t>
  </si>
  <si>
    <t>Stikhi i ustnye rasskazy / A.S. Ėfron.</t>
  </si>
  <si>
    <t>Ėfron, Ariadna, 1912-1975, author.</t>
  </si>
  <si>
    <t>Moskva : Vozvrashchenie, 2012.</t>
  </si>
  <si>
    <t>1209686485:rus</t>
  </si>
  <si>
    <t>828532576</t>
  </si>
  <si>
    <t>ocn828532576</t>
  </si>
  <si>
    <t>3103198880W</t>
  </si>
  <si>
    <t>9785930151381</t>
  </si>
  <si>
    <t>794941356</t>
  </si>
  <si>
    <t>PG3476 E5 C5 1962</t>
  </si>
  <si>
    <t>0                      PG 3476000E  5                  C  5           1962</t>
  </si>
  <si>
    <t>A change of season. / [translated from the Russian by Manya Harari and Humphrey Higgins].</t>
  </si>
  <si>
    <t>Ėrenburg, Ilʹi︠a︡, 1891-1967.</t>
  </si>
  <si>
    <t>New York : Knopf, 1962 [©1961]</t>
  </si>
  <si>
    <t>1st American ed.].</t>
  </si>
  <si>
    <t>Borzoi books</t>
  </si>
  <si>
    <t>8908855336:eng</t>
  </si>
  <si>
    <t>321190</t>
  </si>
  <si>
    <t>ocm00321190</t>
  </si>
  <si>
    <t>3000378521H</t>
  </si>
  <si>
    <t>791336172</t>
  </si>
  <si>
    <t>PG3476 E5 M6 1933</t>
  </si>
  <si>
    <t>0                      PG 3476000E  5                  M  6           1933</t>
  </si>
  <si>
    <t>Moskva slezam ne verit : roman / Ilʹi︠a︡ Ėrenburg.</t>
  </si>
  <si>
    <t>Paris : Gelikon, 1933.</t>
  </si>
  <si>
    <t>1933</t>
  </si>
  <si>
    <t>5218153332:rus</t>
  </si>
  <si>
    <t>11142066</t>
  </si>
  <si>
    <t>ocm11142066</t>
  </si>
  <si>
    <t>3000789143L</t>
  </si>
  <si>
    <t>792760133</t>
  </si>
  <si>
    <t>PG3476 E5 1962</t>
  </si>
  <si>
    <t>0                      PG 3476000E  5           1962</t>
  </si>
  <si>
    <t>Moskva, Gos. izd-vo khudozh. lit-ry, 1962-67.</t>
  </si>
  <si>
    <t>2007-01-24</t>
  </si>
  <si>
    <t>3376807730:rus</t>
  </si>
  <si>
    <t>2604134</t>
  </si>
  <si>
    <t>ocm02604134</t>
  </si>
  <si>
    <t>3101311217$</t>
  </si>
  <si>
    <t>792151700</t>
  </si>
  <si>
    <t>3101311227X</t>
  </si>
  <si>
    <t>792151695</t>
  </si>
  <si>
    <t>31008081595</t>
  </si>
  <si>
    <t>792151697</t>
  </si>
  <si>
    <t>3101311237U</t>
  </si>
  <si>
    <t>792151693</t>
  </si>
  <si>
    <t>3100808154F</t>
  </si>
  <si>
    <t>792151696</t>
  </si>
  <si>
    <t>31008081579</t>
  </si>
  <si>
    <t>792151699</t>
  </si>
  <si>
    <t>3100808164C</t>
  </si>
  <si>
    <t>792151692</t>
  </si>
  <si>
    <t>31008081587</t>
  </si>
  <si>
    <t>792151698</t>
  </si>
  <si>
    <t>31008081668</t>
  </si>
  <si>
    <t>792151694</t>
  </si>
  <si>
    <t>PG3476 E54 I84</t>
  </si>
  <si>
    <t>0                      PG 3476000E  54                 I  84</t>
  </si>
  <si>
    <t>Ivan the Terrible, a screenplay; [scenario] Translated by Ivor Montagu and Herbert Marshall. Edited by Ivor Montagu, with apendices and illus.</t>
  </si>
  <si>
    <t>Eisenstein, Sergei, 1898-1948.</t>
  </si>
  <si>
    <t>New York, Simon and Schuster, 1962.</t>
  </si>
  <si>
    <t>2015-04-09</t>
  </si>
  <si>
    <t>10141864849:eng</t>
  </si>
  <si>
    <t>321185</t>
  </si>
  <si>
    <t>ocm00321185</t>
  </si>
  <si>
    <t>3102946344A</t>
  </si>
  <si>
    <t>791336169</t>
  </si>
  <si>
    <t>PG3476 E74 A19 1982</t>
  </si>
  <si>
    <t>0                      PG 3476000E  74                 A  19          1982</t>
  </si>
  <si>
    <t>Dramaticheskie sochinenii︠a︡ / Sergeĭ Ermolinskiĭ.</t>
  </si>
  <si>
    <t>Ermolinskiĭ, Sergeĭ.</t>
  </si>
  <si>
    <t>Moskva : Iskusstvo, 1982.</t>
  </si>
  <si>
    <t>2015-10-27</t>
  </si>
  <si>
    <t>3856653701:rus</t>
  </si>
  <si>
    <t>9251078</t>
  </si>
  <si>
    <t>ocm09251078</t>
  </si>
  <si>
    <t>3102946328E</t>
  </si>
  <si>
    <t>792666132</t>
  </si>
  <si>
    <t>PG3476 E8 A27 1982</t>
  </si>
  <si>
    <t>0                      PG 3476000E  8                  A  27          1982</t>
  </si>
  <si>
    <t>Selected poetry / Sergei Esenin ; translated by Peter Tempest.</t>
  </si>
  <si>
    <t>Esenin, Sergeĭ Aleksandrovich, 1895-1925.</t>
  </si>
  <si>
    <t>Moscow : Progress Publishers, 1982.</t>
  </si>
  <si>
    <t>Progress Soviet authors library</t>
  </si>
  <si>
    <t>2019-03-30</t>
  </si>
  <si>
    <t>198169400:eng</t>
  </si>
  <si>
    <t>9736089</t>
  </si>
  <si>
    <t>ocm09736089</t>
  </si>
  <si>
    <t>3102946411D</t>
  </si>
  <si>
    <t>792691125</t>
  </si>
  <si>
    <t>PG3476 E8 Z53 1990</t>
  </si>
  <si>
    <t>0                      PG 3476000E  8                  Z  53          1990</t>
  </si>
  <si>
    <t>Isadora Duncan's Russian husband or, Child of the terrible years : the life of Sergei Yesenin (1895-1925) to commemorate the 95th anniversary of his birth and the 65th anniversary of his death / by Jessie Davies.</t>
  </si>
  <si>
    <t>[Chippenham, Wiltshire] : [A. Rowe], [1990?]</t>
  </si>
  <si>
    <t>2017-11-13</t>
  </si>
  <si>
    <t>836730827:eng</t>
  </si>
  <si>
    <t>427367596</t>
  </si>
  <si>
    <t>ocn427367596</t>
  </si>
  <si>
    <t>31029463794</t>
  </si>
  <si>
    <t>9780569092340</t>
  </si>
  <si>
    <t>794636184</t>
  </si>
  <si>
    <t>PG3476 E8 Z643 2011</t>
  </si>
  <si>
    <t>0                      PG 3476000E  8                  Z  643         2011</t>
  </si>
  <si>
    <t>Esenin/Dunkan--Dunkan/Esenin : [vospominanii︠a︡].</t>
  </si>
  <si>
    <t>Moskva : PROZAiK, 2011.</t>
  </si>
  <si>
    <t>2013-10-07</t>
  </si>
  <si>
    <t>5619585626:rus</t>
  </si>
  <si>
    <t>752287941</t>
  </si>
  <si>
    <t>ocn752287941</t>
  </si>
  <si>
    <t>31033731425</t>
  </si>
  <si>
    <t>9785916311044</t>
  </si>
  <si>
    <t>794891625</t>
  </si>
  <si>
    <t>PG3476 E8 Z774</t>
  </si>
  <si>
    <t>0                      PG 3476000E  8                  Z  774</t>
  </si>
  <si>
    <t>Esenin : a life / by Gordon McVay.</t>
  </si>
  <si>
    <t>Ann Arbor, Mich. : Ardis, ©1976.</t>
  </si>
  <si>
    <t>864601868:eng</t>
  </si>
  <si>
    <t>2284302</t>
  </si>
  <si>
    <t>ocm02284302</t>
  </si>
  <si>
    <t>30001775965</t>
  </si>
  <si>
    <t>9780882331829</t>
  </si>
  <si>
    <t>792097936</t>
  </si>
  <si>
    <t>2000-07-07</t>
  </si>
  <si>
    <t>3101565634U</t>
  </si>
  <si>
    <t>792097935</t>
  </si>
  <si>
    <t>PG3476 E8 Z795 1990</t>
  </si>
  <si>
    <t>0                      PG 3476000E  8                  Z  795         1990</t>
  </si>
  <si>
    <t>O Esenine : stikhi i proza pisateleĭ-sovremennikov poėta / [sostavitelʹ, avtor vstupitelʹnoĭ statʹi i primechaniĭ Sergeĭ Koshechkin].</t>
  </si>
  <si>
    <t>Moskva : Izd-vo "Pravda", 1990.</t>
  </si>
  <si>
    <t>143807160:rus</t>
  </si>
  <si>
    <t>24657312</t>
  </si>
  <si>
    <t>ocm24657312</t>
  </si>
  <si>
    <t>3101219933E</t>
  </si>
  <si>
    <t>9785253000991</t>
  </si>
  <si>
    <t>793203100</t>
  </si>
  <si>
    <t>PG3476 E95 A23x</t>
  </si>
  <si>
    <t>0                      PG 3476000E  95                 A  23x</t>
  </si>
  <si>
    <t>Life as theater: five modern plays. Translated [from the Russian] and edited by Christopher Collins.</t>
  </si>
  <si>
    <t>Evreinov, N. N. (Nikolaĭ Nikolaevich), 1879-1953.</t>
  </si>
  <si>
    <t>Ann Arbor [Mich.] Ardis [1973]</t>
  </si>
  <si>
    <t>2015-06-07</t>
  </si>
  <si>
    <t>2284233:eng</t>
  </si>
  <si>
    <t>1419654</t>
  </si>
  <si>
    <t>ocm01419654</t>
  </si>
  <si>
    <t>3000618465G</t>
  </si>
  <si>
    <t>791622161</t>
  </si>
  <si>
    <t>PG3476 E96 N3513 1995</t>
  </si>
  <si>
    <t>0                      PG 3476000E  96                 N  3513        1995</t>
  </si>
  <si>
    <t>Don't die before you're dead / Yevgeny Yevtushenko ; translated by Antonina W. Bouis.</t>
  </si>
  <si>
    <t>Yevtushenko, Yevgeny Aleksandrovich, 1933-2017.</t>
  </si>
  <si>
    <t>Toronto : Key Porter Books, c1995.</t>
  </si>
  <si>
    <t>2016-09-08</t>
  </si>
  <si>
    <t>15627669:eng</t>
  </si>
  <si>
    <t>32087707</t>
  </si>
  <si>
    <t>ocm32087707</t>
  </si>
  <si>
    <t>3101454251R</t>
  </si>
  <si>
    <t>9781550136586</t>
  </si>
  <si>
    <t>793375350</t>
  </si>
  <si>
    <t>PG3476 F2 R33 1973</t>
  </si>
  <si>
    <t>0                      PG 3476000F  2                  R  33          1973</t>
  </si>
  <si>
    <t>The nineteen, by A. Fadeyev. Translated from the Russian by R.D. Charques.</t>
  </si>
  <si>
    <t>Fadeev, Aleksandr, 1901-1956.</t>
  </si>
  <si>
    <t>Westport, Conn., Hyperion Press [1973]</t>
  </si>
  <si>
    <t>2012-02-04</t>
  </si>
  <si>
    <t>9463524087:eng</t>
  </si>
  <si>
    <t>572202</t>
  </si>
  <si>
    <t>ocm00572202</t>
  </si>
  <si>
    <t>3103146762Z</t>
  </si>
  <si>
    <t>9780883550038</t>
  </si>
  <si>
    <t>791418013</t>
  </si>
  <si>
    <t>3103146763Z</t>
  </si>
  <si>
    <t>791418014</t>
  </si>
  <si>
    <t>PG3476 G39 A6 2018</t>
  </si>
  <si>
    <t>0                      PG 3476000G  39                 A  6           2018</t>
  </si>
  <si>
    <t>The beggar and other stories / Gaito Gazdanov ; translated from the Russian and with an introduction by Bryan Karetnyk.</t>
  </si>
  <si>
    <t>Gazdanov, Gaito, author.</t>
  </si>
  <si>
    <t>London : Pushkin Press, 2018.</t>
  </si>
  <si>
    <t>First published by Pushkin Press in 2018.</t>
  </si>
  <si>
    <t>4538719795:eng</t>
  </si>
  <si>
    <t>1005877363</t>
  </si>
  <si>
    <t>on1005877363</t>
  </si>
  <si>
    <t>31038099070</t>
  </si>
  <si>
    <t>9781782274018</t>
  </si>
  <si>
    <t>795042815</t>
  </si>
  <si>
    <t>PG3476 G39 F55 2016</t>
  </si>
  <si>
    <t>0                      PG 3476000G  39                 F  55          2016</t>
  </si>
  <si>
    <t>The flight / Gaito Gazdanov ; translated from the Russian by Bryan Karetnyk.</t>
  </si>
  <si>
    <t>Pushkin collection</t>
  </si>
  <si>
    <t>3024669929:eng</t>
  </si>
  <si>
    <t>945999744</t>
  </si>
  <si>
    <t>ocn945999744</t>
  </si>
  <si>
    <t>31038099054</t>
  </si>
  <si>
    <t>9781782271628</t>
  </si>
  <si>
    <t>795014147</t>
  </si>
  <si>
    <t>PG3476 G39 N613 2009</t>
  </si>
  <si>
    <t>0                      PG 3476000G  39                 N  613         2009</t>
  </si>
  <si>
    <t>Night roads : a novel / Gaito Gazdanov ; translated from the Russian by Justin Doherty ; introduction by Laszlo Dienes.</t>
  </si>
  <si>
    <t>Gazdanov, Gaito.</t>
  </si>
  <si>
    <t>3855263371:eng</t>
  </si>
  <si>
    <t>268787836</t>
  </si>
  <si>
    <t>ocn268787836</t>
  </si>
  <si>
    <t>3103499257Y</t>
  </si>
  <si>
    <t>9780810125582</t>
  </si>
  <si>
    <t>794408341</t>
  </si>
  <si>
    <t>PG3476 G39 P713 2013</t>
  </si>
  <si>
    <t>0                      PG 3476000G  39                 P  713         2013</t>
  </si>
  <si>
    <t>The spectre of Alexander Wolf / Gaito Gazdanov ; translated from the Russian by Brian Karetnyk.</t>
  </si>
  <si>
    <t>London : Pushkin Press, 2013.</t>
  </si>
  <si>
    <t>2460333:eng</t>
  </si>
  <si>
    <t>830945299</t>
  </si>
  <si>
    <t>ocn830945299</t>
  </si>
  <si>
    <t>3103501449R</t>
  </si>
  <si>
    <t>9781782270089</t>
  </si>
  <si>
    <t>794943754</t>
  </si>
  <si>
    <t>PG3476 G39 V6913 2014</t>
  </si>
  <si>
    <t>0                      PG 3476000G  39                 V  6913        2014</t>
  </si>
  <si>
    <t>The Buddha's return / Gaito Gazdanov ; translated from the Russian by Bryan Karetnyk.</t>
  </si>
  <si>
    <t>2242228833:eng</t>
  </si>
  <si>
    <t>881024059</t>
  </si>
  <si>
    <t>ocn881024059</t>
  </si>
  <si>
    <t>3103810148K</t>
  </si>
  <si>
    <t>9781782270591</t>
  </si>
  <si>
    <t>794973710</t>
  </si>
  <si>
    <t>PG3476 G46 1975</t>
  </si>
  <si>
    <t>0                      PG 3476000G  46          1975</t>
  </si>
  <si>
    <t>Sobranie sochineniĭ / I︠U︡riĭ German ; [vstupit. statʹi︠a︡ R. Faĭnberga].</t>
  </si>
  <si>
    <t>German, I︠U︡riĭ Pavlovich, 1910-1967.</t>
  </si>
  <si>
    <t>Leningrad : Khudozh. lit., Leningr. otd-nie, 1975-</t>
  </si>
  <si>
    <t>3372457931:rus</t>
  </si>
  <si>
    <t>2169766</t>
  </si>
  <si>
    <t>ocm02169766</t>
  </si>
  <si>
    <t>31008081870</t>
  </si>
  <si>
    <t>792060487</t>
  </si>
  <si>
    <t>2006-07-31</t>
  </si>
  <si>
    <t>3000390883B</t>
  </si>
  <si>
    <t>792060489</t>
  </si>
  <si>
    <t>2006-10-28</t>
  </si>
  <si>
    <t>31008081862</t>
  </si>
  <si>
    <t>792060488</t>
  </si>
  <si>
    <t>3100808181C</t>
  </si>
  <si>
    <t>792060484</t>
  </si>
  <si>
    <t>2007-02-10</t>
  </si>
  <si>
    <t>3100808188Z</t>
  </si>
  <si>
    <t>792060486</t>
  </si>
  <si>
    <t>3100808189X</t>
  </si>
  <si>
    <t>792060485</t>
  </si>
  <si>
    <t>PG3476 G53 T7</t>
  </si>
  <si>
    <t>0                      PG 3476000G  53                 T  7</t>
  </si>
  <si>
    <t>T︠S︡ement ; roman.</t>
  </si>
  <si>
    <t>Gladkov, Fedor, 1883-1958.</t>
  </si>
  <si>
    <t>Moskva : Khudozhestvennai︠a︡ literatura, 1964.</t>
  </si>
  <si>
    <t>Biblioteka sovetskoĭ prozy</t>
  </si>
  <si>
    <t>1758450:rus</t>
  </si>
  <si>
    <t>61591969</t>
  </si>
  <si>
    <t>ocm61591969</t>
  </si>
  <si>
    <t>3000638291B</t>
  </si>
  <si>
    <t>794031028</t>
  </si>
  <si>
    <t>PG3476 G53 T73</t>
  </si>
  <si>
    <t>0                      PG 3476000G  53                 T  73</t>
  </si>
  <si>
    <t>Cement : a novel / by Fyodor Vasilievich Gladkov [translated from the Russian by A.S. Arthur and C. Ashleigh].</t>
  </si>
  <si>
    <t>New York : F. Ungar, [1960]</t>
  </si>
  <si>
    <t>1758450:eng</t>
  </si>
  <si>
    <t>633685</t>
  </si>
  <si>
    <t>ocm00633685</t>
  </si>
  <si>
    <t>3102267672N</t>
  </si>
  <si>
    <t>791433584</t>
  </si>
  <si>
    <t>PG3476 G53 T8 E5</t>
  </si>
  <si>
    <t>0                      PG 3476000G  53                 T  8                  E  5</t>
  </si>
  <si>
    <t>Cement / by Fedor Vasilievich Gladkov ; translated from the Russian by A.S. Arthur and C. Ashleigh.</t>
  </si>
  <si>
    <t>New York : International Publishers, 1929.</t>
  </si>
  <si>
    <t>586215</t>
  </si>
  <si>
    <t>ocm00586215</t>
  </si>
  <si>
    <t>31030136197</t>
  </si>
  <si>
    <t>791421792</t>
  </si>
  <si>
    <t>PG3476 G545 A17 1962</t>
  </si>
  <si>
    <t>0                      PG 3476000G  545                A  17          1962</t>
  </si>
  <si>
    <t>Stikhotvorenii︠a︡. Vstup. stat'i︠a︡ i podgotovka teksta Kornei︠a︡ Chukovskogo. Primechanii︠a︡ L.A. Evstigneevoĭ.</t>
  </si>
  <si>
    <t>Chernyĭ, Sasha.</t>
  </si>
  <si>
    <t>Leningrad : Sovetskiĭ Pisatel ' [Leningradskoe Otd-nie], 1962.</t>
  </si>
  <si>
    <t>2016-08-08</t>
  </si>
  <si>
    <t>140598309:rus</t>
  </si>
  <si>
    <t>3075328</t>
  </si>
  <si>
    <t>ocm03075328</t>
  </si>
  <si>
    <t>3000787535E</t>
  </si>
  <si>
    <t>792214249</t>
  </si>
  <si>
    <t>PG3476 G6553 E8 1986</t>
  </si>
  <si>
    <t>0                      PG 3476000G  6553               E  8           1986</t>
  </si>
  <si>
    <t>Ėta strannai︠a︡ zhiznʹ : povesti / Daniil Granin.</t>
  </si>
  <si>
    <t>Granin, Daniil.</t>
  </si>
  <si>
    <t>Kishinev : Literatura artistikė, 1986.</t>
  </si>
  <si>
    <t>2018-07-04</t>
  </si>
  <si>
    <t>3768636658:rus</t>
  </si>
  <si>
    <t>15861743</t>
  </si>
  <si>
    <t>ocm15861743</t>
  </si>
  <si>
    <t>31029464487</t>
  </si>
  <si>
    <t>792945645</t>
  </si>
  <si>
    <t>PG3476 G6553 M65 2013</t>
  </si>
  <si>
    <t>0                      PG 3476000G  6553               M  65          2013</t>
  </si>
  <si>
    <t>Moĭ leĭtenant / Daniil Granin.</t>
  </si>
  <si>
    <t>Moskva : OLMA Media Grupp, 2013.</t>
  </si>
  <si>
    <t>1208923023:rus</t>
  </si>
  <si>
    <t>828150724</t>
  </si>
  <si>
    <t>ocn828150724</t>
  </si>
  <si>
    <t>31034872628</t>
  </si>
  <si>
    <t>9785373044400</t>
  </si>
  <si>
    <t>794940797</t>
  </si>
  <si>
    <t>PG3476 G6553 Z46 2012</t>
  </si>
  <si>
    <t>0                      PG 3476000G  6553               Z  46          2012</t>
  </si>
  <si>
    <t>Zagovor / Daniil Granin.</t>
  </si>
  <si>
    <t>Moskva : OLMA, 2012.</t>
  </si>
  <si>
    <t>8911787083:rus</t>
  </si>
  <si>
    <t>798744772</t>
  </si>
  <si>
    <t>ocn798744772</t>
  </si>
  <si>
    <t>3103484159P</t>
  </si>
  <si>
    <t>9785373047340</t>
  </si>
  <si>
    <t>794923995</t>
  </si>
  <si>
    <t>PG3476 G6553 Z46 2014</t>
  </si>
  <si>
    <t>0                      PG 3476000G  6553               Z  46          2014</t>
  </si>
  <si>
    <t>Chelovek ne otsi︠u︡da / Daniil Granin.</t>
  </si>
  <si>
    <t>Granin, Daniil, author.</t>
  </si>
  <si>
    <t>Sankt-Peterburg : Izdatelʹskai︠a︡ gruppa "Lenizdat", [2014]</t>
  </si>
  <si>
    <t>2973978522:rus</t>
  </si>
  <si>
    <t>873828512</t>
  </si>
  <si>
    <t>ocn873828512</t>
  </si>
  <si>
    <t>3103586573W</t>
  </si>
  <si>
    <t>9785445307587</t>
  </si>
  <si>
    <t>794968555</t>
  </si>
  <si>
    <t>PG3476 G68 A25 1987</t>
  </si>
  <si>
    <t>0                      PG 3476000G  68                 A  25          1987</t>
  </si>
  <si>
    <t>Selected short stories / Alexander Grin ; translated by Nicholas Luker.</t>
  </si>
  <si>
    <t>Grin, A. (Aleksandr), 1880-1932.</t>
  </si>
  <si>
    <t>Ann Arbor : Ardis, ©1987.</t>
  </si>
  <si>
    <t>2015-04-25</t>
  </si>
  <si>
    <t>4020056722:eng</t>
  </si>
  <si>
    <t>12420476</t>
  </si>
  <si>
    <t>ocm12420476</t>
  </si>
  <si>
    <t>3000195201F</t>
  </si>
  <si>
    <t>9780882336848</t>
  </si>
  <si>
    <t>792815061</t>
  </si>
  <si>
    <t>PG3476 G68 A6 1957</t>
  </si>
  <si>
    <t>0                      PG 3476000G  68                 A  6           1957</t>
  </si>
  <si>
    <t>Izbrannoe. / A. Grin ; [predislovie K. Paustovskogo].</t>
  </si>
  <si>
    <t>Moskva : Izd-vo "Pravda, ", 1957.</t>
  </si>
  <si>
    <t>7354608:rus</t>
  </si>
  <si>
    <t>12444960</t>
  </si>
  <si>
    <t>ocm12444960</t>
  </si>
  <si>
    <t>3101159435D</t>
  </si>
  <si>
    <t>792816035</t>
  </si>
  <si>
    <t>PG3476 G7 A2 2010</t>
  </si>
  <si>
    <t>0                      PG 3476000G  7                  A  2           2010</t>
  </si>
  <si>
    <t>The road : short fiction and essays / Vasily Grossman ; translated from the Russian by Robert and Elizabeth Chandler ; with an introduction and notes by Robert Chandler with Yury Bit-Yunan ; and an afterword by Fydor Guber.</t>
  </si>
  <si>
    <t>Grossman, Vasiliĭ.</t>
  </si>
  <si>
    <t>London : MacLehose, 2010.</t>
  </si>
  <si>
    <t>2013-02-19</t>
  </si>
  <si>
    <t>3860318785:eng</t>
  </si>
  <si>
    <t>640085514</t>
  </si>
  <si>
    <t>ocn640085514</t>
  </si>
  <si>
    <t>31032303176</t>
  </si>
  <si>
    <t>9781906694258</t>
  </si>
  <si>
    <t>794827270</t>
  </si>
  <si>
    <t>PG3476 G7 D613 2013</t>
  </si>
  <si>
    <t>0                      PG 3476000G  7                  D  613         2013</t>
  </si>
  <si>
    <t>An Armenian sketchbook / Vasily Grossman ; translated by Robert Chandler, Elizabeth Chandler.</t>
  </si>
  <si>
    <t>Grossman, Vasiliĭ, author.</t>
  </si>
  <si>
    <t>London : MacLehose Press, 2013.</t>
  </si>
  <si>
    <t>2013-12-03</t>
  </si>
  <si>
    <t>4451882301:eng</t>
  </si>
  <si>
    <t>832605519</t>
  </si>
  <si>
    <t>ocn832605519</t>
  </si>
  <si>
    <t>3103501237Z</t>
  </si>
  <si>
    <t>9780857052353</t>
  </si>
  <si>
    <t>794943955</t>
  </si>
  <si>
    <t>PG3476 G7 V813 1972</t>
  </si>
  <si>
    <t>0                      PG 3476000G  7                  V  813         1972</t>
  </si>
  <si>
    <t>Forever flowing / [by] Vasily Grossman ; translated from the Russian by Thomas P. Whitney.</t>
  </si>
  <si>
    <t>New York : Harper &amp; Row, [1972]</t>
  </si>
  <si>
    <t>617292:eng</t>
  </si>
  <si>
    <t>309057</t>
  </si>
  <si>
    <t>ocm00309057</t>
  </si>
  <si>
    <t>31028464737</t>
  </si>
  <si>
    <t>9780060116132</t>
  </si>
  <si>
    <t>791331887</t>
  </si>
  <si>
    <t>PG3476 G7 V813 2009</t>
  </si>
  <si>
    <t>0                      PG 3476000G  7                  V  813         2009</t>
  </si>
  <si>
    <t>Everything flows / Vasily Grossman ; translated from the Russian by Robert and Elizabeth Chandler with Anna Aslanyan.</t>
  </si>
  <si>
    <t>New York : New York Review Books, ©2009.</t>
  </si>
  <si>
    <t>2018-04-11</t>
  </si>
  <si>
    <t>326505455</t>
  </si>
  <si>
    <t>ocn326505455</t>
  </si>
  <si>
    <t>31031574256</t>
  </si>
  <si>
    <t>9781590173282</t>
  </si>
  <si>
    <t>794490422</t>
  </si>
  <si>
    <t>PG3476 G7 V814</t>
  </si>
  <si>
    <t>0                      PG 3476000G  7                  V  814</t>
  </si>
  <si>
    <t>Tout passe . / Trad. du russe par Jacqueline Lafond. Vassili Grossman.</t>
  </si>
  <si>
    <t>Grossman, Vasilii Semenovich.</t>
  </si>
  <si>
    <t>(Paris) : Stock, (1972)</t>
  </si>
  <si>
    <t>617292:fre</t>
  </si>
  <si>
    <t>234073829</t>
  </si>
  <si>
    <t>ocn234073829</t>
  </si>
  <si>
    <t>31036797289</t>
  </si>
  <si>
    <t>794368057</t>
  </si>
  <si>
    <t>PG3476 G7 Z2313 2019</t>
  </si>
  <si>
    <t>0                      PG 3476000G  7                  Z  2313        2019</t>
  </si>
  <si>
    <t>Stalingrad / Vasily Grossman ; translated by Robert Chandler and Elizabeth Chandler ; edited by Robert Chandler and Yury Bit-Yunan.</t>
  </si>
  <si>
    <t>New York, Ny : New York Review Books, [2019]</t>
  </si>
  <si>
    <t>4915173537:eng</t>
  </si>
  <si>
    <t>1049790190</t>
  </si>
  <si>
    <t>on1049790190</t>
  </si>
  <si>
    <t>31038084596</t>
  </si>
  <si>
    <t>9781681373270</t>
  </si>
  <si>
    <t>795061234</t>
  </si>
  <si>
    <t>PG3476 G7 Z3513 1985</t>
  </si>
  <si>
    <t>0                      PG 3476000G  7                  Z  3513        1985</t>
  </si>
  <si>
    <t>Life and fate : a novel / Vasily Grossman ; translated from the Russian by Robert Chandler.</t>
  </si>
  <si>
    <t>London : Collins Harvill, 1985.</t>
  </si>
  <si>
    <t>2019-09-10</t>
  </si>
  <si>
    <t>117835895:eng</t>
  </si>
  <si>
    <t>13237915</t>
  </si>
  <si>
    <t>ocm13237915</t>
  </si>
  <si>
    <t>3102946499Y</t>
  </si>
  <si>
    <t>9780002614542</t>
  </si>
  <si>
    <t>792846016</t>
  </si>
  <si>
    <t>PG3476 G7 Z477 2005</t>
  </si>
  <si>
    <t>0                      PG 3476000G  7                  Z  477         2005</t>
  </si>
  <si>
    <t>A writer at war : Vasily Grossman with the Red Army 1941-1945 / edited and translated by Antony Beevor.</t>
  </si>
  <si>
    <t>London : The Harvill Press, 2005.</t>
  </si>
  <si>
    <t>53505701:eng</t>
  </si>
  <si>
    <t>61175941</t>
  </si>
  <si>
    <t>ocm61175941</t>
  </si>
  <si>
    <t>31024947667</t>
  </si>
  <si>
    <t>9781843430551</t>
  </si>
  <si>
    <t>793947965</t>
  </si>
  <si>
    <t>PG3476 G7 Z495 1988</t>
  </si>
  <si>
    <t>0                      PG 3476000G  7                  Z  495         1988</t>
  </si>
  <si>
    <t>Zhiznʹ i sudʹba : roman / Vasiliĭ Grossman.</t>
  </si>
  <si>
    <t>Moskva : Izdatel'stvo "Knizhnai︠a︡ palata", 1988.</t>
  </si>
  <si>
    <t>Populi&amp;#x0361;arnai&amp;#x0361;a biblioteka</t>
  </si>
  <si>
    <t>2015-10-30</t>
  </si>
  <si>
    <t>117835895:rus</t>
  </si>
  <si>
    <t>19576756</t>
  </si>
  <si>
    <t>ocm19576756</t>
  </si>
  <si>
    <t>3102946494Y</t>
  </si>
  <si>
    <t>9785700001342</t>
  </si>
  <si>
    <t>793062759</t>
  </si>
  <si>
    <t>PG3476 G7 Z49514 1983</t>
  </si>
  <si>
    <t>0                      PG 3476000G  7                  Z  49514       1983</t>
  </si>
  <si>
    <t>Vie et destin : roman / Vassili Grossman ; traduit du russe par Alexis Berelowitch, avec la collaboration de Anne Coldefy-Faucard ; préfacé par Efim Etkind.</t>
  </si>
  <si>
    <t>Grossman, Vasiliĭ Semenovich.</t>
  </si>
  <si>
    <t>Paris : Julliard ; [Lausanne] : Age d'homme, ©1983.</t>
  </si>
  <si>
    <t>117835895:fre</t>
  </si>
  <si>
    <t>17087909</t>
  </si>
  <si>
    <t>ocm17087909</t>
  </si>
  <si>
    <t>3102946489$</t>
  </si>
  <si>
    <t>9782260003342</t>
  </si>
  <si>
    <t>792981965</t>
  </si>
  <si>
    <t>PG3476 G7 Z54 2012</t>
  </si>
  <si>
    <t>0                      PG 3476000G  7                  Z  54          2012</t>
  </si>
  <si>
    <t>Vassili Grossman : un écrivain de combat : biographie / Myriam Anissimov.</t>
  </si>
  <si>
    <t>Anissimov, Myriam.</t>
  </si>
  <si>
    <t>Paris : Seuil, ©2012.</t>
  </si>
  <si>
    <t>2014-11-27</t>
  </si>
  <si>
    <t>1088013715:fre</t>
  </si>
  <si>
    <t>779875719</t>
  </si>
  <si>
    <t>ocn779875719</t>
  </si>
  <si>
    <t>3103463444W</t>
  </si>
  <si>
    <t>9782020978392</t>
  </si>
  <si>
    <t>794911523</t>
  </si>
  <si>
    <t>PG3476.G7 Z68 2019</t>
  </si>
  <si>
    <t>0                      PG 3476000G  7                  Z  68          2019</t>
  </si>
  <si>
    <t>Vasily Grossman and the Soviet century / Alexandra Popoff.</t>
  </si>
  <si>
    <t>New Haven : Yale University Press, [2019]</t>
  </si>
  <si>
    <t>2019-09-20</t>
  </si>
  <si>
    <t>8955042801:eng</t>
  </si>
  <si>
    <t>1048947607</t>
  </si>
  <si>
    <t>on1048947607</t>
  </si>
  <si>
    <t>3103863844T</t>
  </si>
  <si>
    <t>9780300222784</t>
  </si>
  <si>
    <t>795061069</t>
  </si>
  <si>
    <t>PG3476 G7 Z94 2018</t>
  </si>
  <si>
    <t>0                      PG 3476000G  7                  Z  94          2018</t>
  </si>
  <si>
    <t>Vasily Grossman : a writer's freedom / edited by Anna Bonola and Giovanni Maddalena.</t>
  </si>
  <si>
    <t>Montreal ; Kingston ; London ; Chicago : McGill-Queen's University Press, [2018]</t>
  </si>
  <si>
    <t>5390659457:eng</t>
  </si>
  <si>
    <t>1031338404</t>
  </si>
  <si>
    <t>on1031338404</t>
  </si>
  <si>
    <t>3103730663$</t>
  </si>
  <si>
    <t>9780773554481</t>
  </si>
  <si>
    <t>795055224</t>
  </si>
  <si>
    <t>PG3476 I2 B3 1960</t>
  </si>
  <si>
    <t>0                      PG 3476000I  2                  B  3           1960</t>
  </si>
  <si>
    <t>Batyĭ : chastʹ vtorai︠a︡ istoricheskoĭ trilogii / V. I︠A︡n.</t>
  </si>
  <si>
    <t>I︠A︡n, V. (Vasiliĭ), 1875-1954.</t>
  </si>
  <si>
    <t>Moskva : Izd-vo khudozh. lit-ry, 1960.</t>
  </si>
  <si>
    <t>5617777267:rus</t>
  </si>
  <si>
    <t>7100187</t>
  </si>
  <si>
    <t>ocm07100187</t>
  </si>
  <si>
    <t>3102946576Z</t>
  </si>
  <si>
    <t>792540423</t>
  </si>
  <si>
    <t>PG3476 I2 C5 1960</t>
  </si>
  <si>
    <t>0                      PG 3476000I  2                  C  5           1960</t>
  </si>
  <si>
    <t>Chingiz-khan : chastʹ pervai︠a︡ istoricheskoĭ trilogii / V. I︠A︡n.</t>
  </si>
  <si>
    <t>Moskva : Gos. izd-vo khudozh. lit-ry, 1960.</t>
  </si>
  <si>
    <t>3372193285:rus</t>
  </si>
  <si>
    <t>8833766</t>
  </si>
  <si>
    <t>ocm08833766</t>
  </si>
  <si>
    <t>3102946507C</t>
  </si>
  <si>
    <t>792643516</t>
  </si>
  <si>
    <t>PG3476 I2 K2 1960</t>
  </si>
  <si>
    <t>0                      PG 3476000I  2                  K  2           1960</t>
  </si>
  <si>
    <t>K "Poslednemu mori︠u︡"; chastʹ tretʹi︠a︡ istoricheskoĭ trilogii.</t>
  </si>
  <si>
    <t>Moskva, Gos. izd-vo khudozh. lit-ry, 1960.</t>
  </si>
  <si>
    <t>[His Nashestvie mongolov, 3]</t>
  </si>
  <si>
    <t>2015-05-19</t>
  </si>
  <si>
    <t>9988701680:rus</t>
  </si>
  <si>
    <t>15501438</t>
  </si>
  <si>
    <t>ocm15501438</t>
  </si>
  <si>
    <t>3102946512A</t>
  </si>
  <si>
    <t>792933418</t>
  </si>
  <si>
    <t>PG3476 I44 D8 1956</t>
  </si>
  <si>
    <t>0                      PG 3476000I  44                 D  8           1956</t>
  </si>
  <si>
    <t>Dvenadt︠s︡atʹ stulʹev. Zolotoi telenok.</t>
  </si>
  <si>
    <t>Ilʹf, Ilʹi︠a︡, 1897-1937.</t>
  </si>
  <si>
    <t>Moskva, Gos. izd-vo khudozh. lit-ry, 1956.</t>
  </si>
  <si>
    <t>3901005959:rus</t>
  </si>
  <si>
    <t>7064165</t>
  </si>
  <si>
    <t>ocm07064165</t>
  </si>
  <si>
    <t>31029477072</t>
  </si>
  <si>
    <t>792538266</t>
  </si>
  <si>
    <t>PG3476 I44 D9 1953</t>
  </si>
  <si>
    <t>0                      PG 3476000I  44                 D  9           1953</t>
  </si>
  <si>
    <t>Dvenadt︠s︡atʹ stulʹev / I. Ilʹf i E. Petrov.</t>
  </si>
  <si>
    <t>Nʹi︠u︡-Ĭork : Izd-vo im. Chekhova, 1953.</t>
  </si>
  <si>
    <t>5342804254:rus</t>
  </si>
  <si>
    <t>8573000</t>
  </si>
  <si>
    <t>ocm08573000</t>
  </si>
  <si>
    <t>31029465474</t>
  </si>
  <si>
    <t>792627838</t>
  </si>
  <si>
    <t>PG3476 I44 D913 1997</t>
  </si>
  <si>
    <t>0                      PG 3476000I  44                 D  913         1997</t>
  </si>
  <si>
    <t>The twelve chairs / Ilf &amp; Petrov ; translated from the Russian by John H.C. Richardson ; introduction by Maurice Friedberg.</t>
  </si>
  <si>
    <t>5342804254:eng</t>
  </si>
  <si>
    <t>36083502</t>
  </si>
  <si>
    <t>ocm36083502</t>
  </si>
  <si>
    <t>31029465386</t>
  </si>
  <si>
    <t>9780810114845</t>
  </si>
  <si>
    <t>793465830</t>
  </si>
  <si>
    <t>PG3476 I44 Z3 1965</t>
  </si>
  <si>
    <t>0                      PG 3476000I  44                 Z  3           1965</t>
  </si>
  <si>
    <t>Zolotoĭ telenok / Ilʹi︠a︡ Ilʹf, Evgeniĭ Petrov.</t>
  </si>
  <si>
    <t>Tula : Priokskoe Knizhnoe izd-vo, 1965.</t>
  </si>
  <si>
    <t>3768485613:rus</t>
  </si>
  <si>
    <t>4457214</t>
  </si>
  <si>
    <t>ocm04457214</t>
  </si>
  <si>
    <t>31029465248</t>
  </si>
  <si>
    <t>792351486</t>
  </si>
  <si>
    <t>PG3476 I44 Z3 2000</t>
  </si>
  <si>
    <t>0                      PG 3476000I  44                 Z  3           2000</t>
  </si>
  <si>
    <t>Zolotoĭ telenok : pervyĭ polnyĭ variant romana / Ilʹi︠a︡ Ilʹf, Evgeniĭ Petrov ; podgotovka teksta i vstupitelʹnai︠a︡ statʹi︠a︡ M. Odesskogo i D. Felʹdmana.</t>
  </si>
  <si>
    <t>Moskva : Vagrius, 2000.</t>
  </si>
  <si>
    <t>10032595683:rus</t>
  </si>
  <si>
    <t>47628622</t>
  </si>
  <si>
    <t>ocm47628622</t>
  </si>
  <si>
    <t>3102946577Z</t>
  </si>
  <si>
    <t>9785264005138</t>
  </si>
  <si>
    <t>793703949</t>
  </si>
  <si>
    <t>PG3476 I44 Z3 2003</t>
  </si>
  <si>
    <t>0                      PG 3476000I  44                 Z  3           2003</t>
  </si>
  <si>
    <t>Zolotoĭ telenok : avtorskai︠a︡ redakt︠s︡ii︠a︡ / Ilʹi︠a︡ Ilʹf, Evgeniĭ Petrov ; sostavlenie i kommentarii A.I. Ilʹf.</t>
  </si>
  <si>
    <t>Moskva : "Tekst", 2003.</t>
  </si>
  <si>
    <t>5614619674:rus</t>
  </si>
  <si>
    <t>52472466</t>
  </si>
  <si>
    <t>ocm52472466</t>
  </si>
  <si>
    <t>3102946582X</t>
  </si>
  <si>
    <t>9785751603144</t>
  </si>
  <si>
    <t>793807313</t>
  </si>
  <si>
    <t>PG3476 I44 Z313 2009</t>
  </si>
  <si>
    <t>0                      PG 3476000I  44                 Z  313         2009</t>
  </si>
  <si>
    <t>The golden calf : a novel / Ilya Ilf and Evgeny Petrov ; translated from the Russian by Konstantin Gurevich and Helen Anderson.</t>
  </si>
  <si>
    <t>Rochester, NY : Open Letter, 2009.</t>
  </si>
  <si>
    <t>10076764915:eng</t>
  </si>
  <si>
    <t>406109210</t>
  </si>
  <si>
    <t>ocn406109210</t>
  </si>
  <si>
    <t>3103251553F</t>
  </si>
  <si>
    <t>9781934824078</t>
  </si>
  <si>
    <t>794499575</t>
  </si>
  <si>
    <t>PG3476 I44 Z33 1961</t>
  </si>
  <si>
    <t>0                      PG 3476000I  44                 Z  33          1961</t>
  </si>
  <si>
    <t>The little golden calf, a satiric novel [by] Ilya Ilf and Eugene Petrov. [Translated from the Russian by Charles Malamuth].</t>
  </si>
  <si>
    <t>New York, F. Ungar Pub. Co. [1961, ©1960]</t>
  </si>
  <si>
    <t>9021250468:eng</t>
  </si>
  <si>
    <t>671061</t>
  </si>
  <si>
    <t>ocm00671061</t>
  </si>
  <si>
    <t>3102946592V</t>
  </si>
  <si>
    <t>791442460</t>
  </si>
  <si>
    <t>PG3476 I44 Z85 1990</t>
  </si>
  <si>
    <t>0                      PG 3476000I  44                 Z  85          1990</t>
  </si>
  <si>
    <t>[Romany I. Ilʹfa i E. Petrova : sputnik chitateli︠a︡ / I︠U︡.K. Shcheglov.].</t>
  </si>
  <si>
    <t>Shcheglov, I︠U︡. K. (I︠U︡riĭ Konstantinovich)</t>
  </si>
  <si>
    <t>Wien : Gesellschaft zur Förderung slawistischer Studien, 1990-1991.</t>
  </si>
  <si>
    <t>Wiener slawistischer Almanach. Sonderband, 0258-6835 ; 26</t>
  </si>
  <si>
    <t>2018-12-19</t>
  </si>
  <si>
    <t>1047812863:rus</t>
  </si>
  <si>
    <t>23268413</t>
  </si>
  <si>
    <t>ocm23268413</t>
  </si>
  <si>
    <t>3102946587X</t>
  </si>
  <si>
    <t>793166487</t>
  </si>
  <si>
    <t>31029465680</t>
  </si>
  <si>
    <t>793166486</t>
  </si>
  <si>
    <t>PG3476 I44 1961</t>
  </si>
  <si>
    <t>0                      PG 3476000I  44          1961</t>
  </si>
  <si>
    <t>Moskva : Gos. izd-vo khudozh. lit-ry, 1961.</t>
  </si>
  <si>
    <t>2006-05-18</t>
  </si>
  <si>
    <t>2015-09-28</t>
  </si>
  <si>
    <t>9284281239:rus</t>
  </si>
  <si>
    <t>427230318</t>
  </si>
  <si>
    <t>ocn427230318</t>
  </si>
  <si>
    <t>31029465326</t>
  </si>
  <si>
    <t>794548399</t>
  </si>
  <si>
    <t>2011-07-07</t>
  </si>
  <si>
    <t>31029465228</t>
  </si>
  <si>
    <t>794548401</t>
  </si>
  <si>
    <t>31029465278</t>
  </si>
  <si>
    <t>794548400</t>
  </si>
  <si>
    <t>2011-03-30</t>
  </si>
  <si>
    <t>31029465376</t>
  </si>
  <si>
    <t>794548398</t>
  </si>
  <si>
    <t>2007-02-07</t>
  </si>
  <si>
    <t>31029465424</t>
  </si>
  <si>
    <t>794548397</t>
  </si>
  <si>
    <t>PG3476 I45 A6 2008</t>
  </si>
  <si>
    <t>0                      PG 3476000I  45                 A  6           2008</t>
  </si>
  <si>
    <t>Filosofii︠a︡ futurista : romany i zaumnye dramy / Ilʹi︠a︡ Zdanevich (Ilʹi︠a︡zd) ; s prilozheniem doklada I. Zdanevicha "Iliazda" i "Zhitii︠a︡ Ilʹi Zdanevicha" I. Terentʹeva ; [podgotovka teksta i kommentarii R. Geĭro i S. Kudri︠a︡vt︠s︡eva ; sostavlenie i obshchai︠a︡ redakt︠s︡ii︠a︡ S. Kudri︠a︡vt︠s︡eva].</t>
  </si>
  <si>
    <t>Iliazd, 1894-1975.</t>
  </si>
  <si>
    <t>Moskva : Gilei︠a︡, 2008.</t>
  </si>
  <si>
    <t>2018-07-24</t>
  </si>
  <si>
    <t>3857384979:rus</t>
  </si>
  <si>
    <t>294760506</t>
  </si>
  <si>
    <t>ocn294760506</t>
  </si>
  <si>
    <t>3103101311N</t>
  </si>
  <si>
    <t>9785879870473</t>
  </si>
  <si>
    <t>794424926</t>
  </si>
  <si>
    <t>PG3476 I45 1994</t>
  </si>
  <si>
    <t>0                      PG 3476000I  45          1994</t>
  </si>
  <si>
    <t>Parizhachʹi : opisʹ / Ilʹi︠a︡zd (Ilʹi︠a︡ Zdanevich) ; podgotovka teksta i predislovie R. Geĭro ; pod redakt︠s︡ieĭ T. Nikolʹskoĭ.</t>
  </si>
  <si>
    <t>Moskva : Gilei︠a︡ ; Di︠u︡sselʹdorf : Goluboĭ vsadnik, 1994.</t>
  </si>
  <si>
    <t>Sobranie sochineniĭ v pi︠a︡ti tomakh / Ilʹi︠a︡zd ; t. 1</t>
  </si>
  <si>
    <t>2865161655:rus</t>
  </si>
  <si>
    <t>32263180</t>
  </si>
  <si>
    <t>ocm32263180</t>
  </si>
  <si>
    <t>3102946578Z</t>
  </si>
  <si>
    <t>9785853020320</t>
  </si>
  <si>
    <t>793379545</t>
  </si>
  <si>
    <t>3102946583X</t>
  </si>
  <si>
    <t>793379546</t>
  </si>
  <si>
    <t>PG3476 K4 V713 1995</t>
  </si>
  <si>
    <t>0                      PG 3476000K  4                  V  713         1995</t>
  </si>
  <si>
    <t>Time, forward! / Valentine Kataev ; translated from the Russian by Charles Malamuth.</t>
  </si>
  <si>
    <t>Kataev, Valentin, 1897-1986.</t>
  </si>
  <si>
    <t>4494918461:eng</t>
  </si>
  <si>
    <t>32666015</t>
  </si>
  <si>
    <t>ocm32666015</t>
  </si>
  <si>
    <t>31025427343</t>
  </si>
  <si>
    <t>9780810112476</t>
  </si>
  <si>
    <t>793391338</t>
  </si>
  <si>
    <t>PG3476 K4 Z57 1999</t>
  </si>
  <si>
    <t>0                      PG 3476000K  4                  Z  57          1999</t>
  </si>
  <si>
    <t>The art of writing badly : Valentin Kataev's mauvism and the rebirth of Russian modernism / Richard C. Borden.</t>
  </si>
  <si>
    <t>Borden, Richard C. (Richard Chandler)</t>
  </si>
  <si>
    <t>287774804:eng</t>
  </si>
  <si>
    <t>41445772</t>
  </si>
  <si>
    <t>ocm41445772</t>
  </si>
  <si>
    <t>31019910113</t>
  </si>
  <si>
    <t>9780810116917</t>
  </si>
  <si>
    <t>793591724</t>
  </si>
  <si>
    <t>PG3476 K4 1956</t>
  </si>
  <si>
    <t>0                      PG 3476000K  4           1956</t>
  </si>
  <si>
    <t>Sobranie sochineniĭ. [Kritiko-biograficheskiĭ ocherk i primechanii︠a︡ L. I. Skorino].</t>
  </si>
  <si>
    <t>Moskva, Gos. izd-vo khudozh. lit-ry, 1956-57.</t>
  </si>
  <si>
    <t>3372172141:rus</t>
  </si>
  <si>
    <t>5314403</t>
  </si>
  <si>
    <t>ocm05314403</t>
  </si>
  <si>
    <t>3000792705Y</t>
  </si>
  <si>
    <t>792424688</t>
  </si>
  <si>
    <t>3100808288V</t>
  </si>
  <si>
    <t>792424685</t>
  </si>
  <si>
    <t>3100808271B</t>
  </si>
  <si>
    <t>792424687</t>
  </si>
  <si>
    <t>3100808289T</t>
  </si>
  <si>
    <t>792424684</t>
  </si>
  <si>
    <t>3100808270D</t>
  </si>
  <si>
    <t>792424686</t>
  </si>
  <si>
    <t>PG3476 K43317 Z3613 1965</t>
  </si>
  <si>
    <t>0                      PG 3476000K  43317              Z  3613        1965</t>
  </si>
  <si>
    <t>The smell of bread, and other stories [by] Yury Kazakov. Translated from the Russian by Marya Harari and Andrew Thomson.</t>
  </si>
  <si>
    <t>Kazakov, I︠U︡riĭ, 1927-1982.</t>
  </si>
  <si>
    <t>London, Harvill Press [1965]</t>
  </si>
  <si>
    <t>60031157:eng</t>
  </si>
  <si>
    <t>330114</t>
  </si>
  <si>
    <t>ocm00330114</t>
  </si>
  <si>
    <t>31029466353</t>
  </si>
  <si>
    <t>791339435</t>
  </si>
  <si>
    <t>PG3476 K472 A2 2007</t>
  </si>
  <si>
    <t>0                      PG 3476000K  472                A  2           2007</t>
  </si>
  <si>
    <t>Today I wrote nothing : the selected writings of Daniil Kharms / edited and translated by Matvei Yankelevich.</t>
  </si>
  <si>
    <t>Kharms, Daniil, 1905-1942.</t>
  </si>
  <si>
    <t>1059105138:eng</t>
  </si>
  <si>
    <t>212817763</t>
  </si>
  <si>
    <t>ocn212817763</t>
  </si>
  <si>
    <t>31026479662</t>
  </si>
  <si>
    <t>9781585677436</t>
  </si>
  <si>
    <t>794306192</t>
  </si>
  <si>
    <t>PG3476 K472 A2 2017</t>
  </si>
  <si>
    <t>0                      PG 3476000K  472                A  2           2017</t>
  </si>
  <si>
    <t>Russian absurd : selected writings / Daniil Kharms ; translated from the Russian by Alex Cigale.</t>
  </si>
  <si>
    <t>Kharms, Daniil, 1905-1942, author.</t>
  </si>
  <si>
    <t>Evanston, Illinois : Northwestern University Press, 2017.</t>
  </si>
  <si>
    <t>5251212641:eng</t>
  </si>
  <si>
    <t>948340291</t>
  </si>
  <si>
    <t>ocn948340291</t>
  </si>
  <si>
    <t>3103671348M</t>
  </si>
  <si>
    <t>9780810134577</t>
  </si>
  <si>
    <t>795015470</t>
  </si>
  <si>
    <t>31036711441</t>
  </si>
  <si>
    <t>795015471</t>
  </si>
  <si>
    <t>PG3476 K472 A24 1989</t>
  </si>
  <si>
    <t>0                      PG 3476000K  472                A  24          1989</t>
  </si>
  <si>
    <t>The plummeting old women / Daniil Kharms ; introduction and translation by Neil Cornwell ; with an afterword by Hugh Maxton.</t>
  </si>
  <si>
    <t>Dublin, Ireland : Lilliput Press, 1989.</t>
  </si>
  <si>
    <t>Essays and texts in cultural history ; 3</t>
  </si>
  <si>
    <t>20806241:eng</t>
  </si>
  <si>
    <t>21520830</t>
  </si>
  <si>
    <t>ocm21520830</t>
  </si>
  <si>
    <t>3100657213E</t>
  </si>
  <si>
    <t>9780946640393</t>
  </si>
  <si>
    <t>793121254</t>
  </si>
  <si>
    <t>PG3476 K472 A6 1993</t>
  </si>
  <si>
    <t>0                      PG 3476000K  472                A  6           1993</t>
  </si>
  <si>
    <t>Meni︠a︡ nazyvai︠u︡t kaput︠s︡inom : nekotorye proizvedenii︠a︡ Daniila Ivanovicha Kharmsa / [khudozhniki G. Muryshkin, S. Georgieva, M. Muryshkina ; sostavlenie i podgotovka tekstov A. Gerasimova].</t>
  </si>
  <si>
    <t>[Moscow?] : MP "Karavento" sovmestno s firmoĭ "Pikment", 1993.</t>
  </si>
  <si>
    <t>3901717960:rus</t>
  </si>
  <si>
    <t>36640490</t>
  </si>
  <si>
    <t>ocm36640490</t>
  </si>
  <si>
    <t>3101371351X</t>
  </si>
  <si>
    <t>793480113</t>
  </si>
  <si>
    <t>PG3476 K472 I5 1993</t>
  </si>
  <si>
    <t>0                      PG 3476000K  472                I  5           1993</t>
  </si>
  <si>
    <t>Incidences / Daniil Kharms ; edited and translated by Neil Cornwell.</t>
  </si>
  <si>
    <t>London : Serpent's Tail, 1993.</t>
  </si>
  <si>
    <t>Extraordinary classics</t>
  </si>
  <si>
    <t>874120:eng</t>
  </si>
  <si>
    <t>30399815</t>
  </si>
  <si>
    <t>ocm30399815</t>
  </si>
  <si>
    <t>3101379368D</t>
  </si>
  <si>
    <t>9781852423063</t>
  </si>
  <si>
    <t>793334686</t>
  </si>
  <si>
    <t>PG3476 K472 Z648 1998</t>
  </si>
  <si>
    <t>0                      PG 3476000K  472                Z  648         1998</t>
  </si>
  <si>
    <t>Daniil Kharms, theologian of the absurd / Neil Carrick.</t>
  </si>
  <si>
    <t>Carrick, Neil.</t>
  </si>
  <si>
    <t>Birmingham, UK : Department of Russian Language and Literature, University of Birmingham, 1998.</t>
  </si>
  <si>
    <t>Birmingham Slavonic monographs, 0141-3805 ; no. 28</t>
  </si>
  <si>
    <t>42583932:eng</t>
  </si>
  <si>
    <t>39393070</t>
  </si>
  <si>
    <t>ocm39393070</t>
  </si>
  <si>
    <t>3101915477M</t>
  </si>
  <si>
    <t>9780704418653</t>
  </si>
  <si>
    <t>793545602</t>
  </si>
  <si>
    <t>PG3476 K472 Z65 1991</t>
  </si>
  <si>
    <t>0                      PG 3476000K  472                Z  65          1991</t>
  </si>
  <si>
    <t>Daniil Kharms and the poetics of the absurd : essays and materials / edited by Neil Cornwell.</t>
  </si>
  <si>
    <t>836741402:eng</t>
  </si>
  <si>
    <t>23143756</t>
  </si>
  <si>
    <t>ocm23143756</t>
  </si>
  <si>
    <t>3101114709E</t>
  </si>
  <si>
    <t>9780312061777</t>
  </si>
  <si>
    <t>793162580</t>
  </si>
  <si>
    <t>PG3476 K472 Z795 2012</t>
  </si>
  <si>
    <t>0                      PG 3476000K  472                Z  795         2012</t>
  </si>
  <si>
    <t>Udivitʹ storozha : perechityvai︠a︡ Kharmsa / Evgeniĭ Obukhov, Sergeĭ Gorbushin.</t>
  </si>
  <si>
    <t>Obukhov, Evgeniĭ, author.</t>
  </si>
  <si>
    <t>Moskva : Izdatelʹstvo IKAR, 2012.</t>
  </si>
  <si>
    <t>8911739423:rus</t>
  </si>
  <si>
    <t>793419503</t>
  </si>
  <si>
    <t>ocn793419503</t>
  </si>
  <si>
    <t>3103512111X</t>
  </si>
  <si>
    <t>9785797402886</t>
  </si>
  <si>
    <t>794918172</t>
  </si>
  <si>
    <t>PG3476 K472 1997</t>
  </si>
  <si>
    <t>0                      PG 3476000K  472         1997</t>
  </si>
  <si>
    <t>Polnoe sobranie sochineniĭ / D. Kharms ; [vstupitelʹnai︠a︡ statʹi︠a︡, podgotovka teksta i primechanii︠a︡ V.N. Sazhina].</t>
  </si>
  <si>
    <t>Sankt-Peterburg : Gumanitarnoe agentstvo "Akademicheskiĭ proekt, ", 1997-2002.</t>
  </si>
  <si>
    <t>2014-10-30</t>
  </si>
  <si>
    <t>10032538275:rus</t>
  </si>
  <si>
    <t>36836623</t>
  </si>
  <si>
    <t>ocm36836623</t>
  </si>
  <si>
    <t>3101810986X</t>
  </si>
  <si>
    <t>9785733100326</t>
  </si>
  <si>
    <t>793485347</t>
  </si>
  <si>
    <t>31018538559</t>
  </si>
  <si>
    <t>793485346</t>
  </si>
  <si>
    <t>31021683706</t>
  </si>
  <si>
    <t>793485345</t>
  </si>
  <si>
    <t>31018109824</t>
  </si>
  <si>
    <t>793485348</t>
  </si>
  <si>
    <t>PG3476 K485 A23 1987</t>
  </si>
  <si>
    <t>0                      PG 3476000K  485                A  23          1987</t>
  </si>
  <si>
    <t>Collected works of Velimir Khlebnikov / translated by Paul Schmidt ; edited by Charlotte Douglas.</t>
  </si>
  <si>
    <t>Khlebnikov, Velimir, 1885-1922, author.</t>
  </si>
  <si>
    <t>Cambridge, Mass. : Harvard University Press, 1987-1997.</t>
  </si>
  <si>
    <t>197487146:eng</t>
  </si>
  <si>
    <t>15489501</t>
  </si>
  <si>
    <t>ocm15489501</t>
  </si>
  <si>
    <t>31018466736</t>
  </si>
  <si>
    <t>9780674140455</t>
  </si>
  <si>
    <t>792933047</t>
  </si>
  <si>
    <t>2012-10-26</t>
  </si>
  <si>
    <t>3000533441D</t>
  </si>
  <si>
    <t>792933049</t>
  </si>
  <si>
    <t>2006-11-24</t>
  </si>
  <si>
    <t>3100951216H</t>
  </si>
  <si>
    <t>792933048</t>
  </si>
  <si>
    <t>PG3476 K485 A27 1985</t>
  </si>
  <si>
    <t>0                      PG 3476000K  485                A  27          1985</t>
  </si>
  <si>
    <t>The king of time : selected writings of the Russian futurian / Velimir Khlebnikov ; translated by Paul Schmidt ; edited by Charlotte Douglas.</t>
  </si>
  <si>
    <t>Khlebnikov, Velimir, 1885-1922.</t>
  </si>
  <si>
    <t>1059223924:eng</t>
  </si>
  <si>
    <t>11843005</t>
  </si>
  <si>
    <t>ocm11843005</t>
  </si>
  <si>
    <t>3000377281G</t>
  </si>
  <si>
    <t>9780674505155</t>
  </si>
  <si>
    <t>792790692</t>
  </si>
  <si>
    <t>PG3476 K485 A6 1967</t>
  </si>
  <si>
    <t>0                      PG 3476000K  485                A  6           1967</t>
  </si>
  <si>
    <t>Choix de poèmes. / traduit du russe et présenté par Luda Schnitzer.</t>
  </si>
  <si>
    <t>Honfleur : P.J. Oswald, 1967.</t>
  </si>
  <si>
    <t>La Poésie des pays socialistes ; 3</t>
  </si>
  <si>
    <t>2111829:fre</t>
  </si>
  <si>
    <t>1170977</t>
  </si>
  <si>
    <t>ocm01170977</t>
  </si>
  <si>
    <t>3102946685U</t>
  </si>
  <si>
    <t>791564133</t>
  </si>
  <si>
    <t>PG3476 K485 A6 1986b</t>
  </si>
  <si>
    <t>0                      PG 3476000K  485                A  6           1986b</t>
  </si>
  <si>
    <t>Tvorenii︠a︡ / Velimir Khlebnikov ; obshchai︠a︡ redakt︠s︡ii︠a︡ i vstupitelʹnai︠a︡ statʹi︠a︡ M.I︠A︡. Poli︠a︡kova ; sostaviteli, podgotovki teksta i kommentarii V.P. Grigorʹeva i A.E. Parnisa.</t>
  </si>
  <si>
    <t>Moskva : Sov. pisatelʹ, 1986.</t>
  </si>
  <si>
    <t>3768488132:rus</t>
  </si>
  <si>
    <t>16149455</t>
  </si>
  <si>
    <t>ocm16149455</t>
  </si>
  <si>
    <t>3102946651$</t>
  </si>
  <si>
    <t>792956557</t>
  </si>
  <si>
    <t>3102946675W</t>
  </si>
  <si>
    <t>792956558</t>
  </si>
  <si>
    <t>PG3476 K485 A63 1990</t>
  </si>
  <si>
    <t>0                      PG 3476000K  485                A  63          1990</t>
  </si>
  <si>
    <t>Proza / Velimir Khlebnikov ; [sostavitelʹ A.V. Dienko].</t>
  </si>
  <si>
    <t>Moskva : Sovremennik, 1990.</t>
  </si>
  <si>
    <t>118166199:rus</t>
  </si>
  <si>
    <t>23149423</t>
  </si>
  <si>
    <t>ocm23149423</t>
  </si>
  <si>
    <t>3102946686U</t>
  </si>
  <si>
    <t>9785270012335</t>
  </si>
  <si>
    <t>793162940</t>
  </si>
  <si>
    <t>PG3476 K485 N3 1982</t>
  </si>
  <si>
    <t>0                      PG 3476000K  485                N  3           1982</t>
  </si>
  <si>
    <t>"Nastoi︠a︡shchee" : poėma ; Alv́ėk : stikhi / Velemir Khlebnikov. Bibliografii︠a︡ / Sillov.</t>
  </si>
  <si>
    <t>Berkeley, Calif. : Berkeley Slavic Specialties, 1982.</t>
  </si>
  <si>
    <t>8907572505:rus</t>
  </si>
  <si>
    <t>238550518</t>
  </si>
  <si>
    <t>ocn238550518</t>
  </si>
  <si>
    <t>3102946656$</t>
  </si>
  <si>
    <t>9780933884304</t>
  </si>
  <si>
    <t>794373971</t>
  </si>
  <si>
    <t>PG3476 K485 Z34 1992</t>
  </si>
  <si>
    <t>0                      PG 3476000K  485                Z  34          1992</t>
  </si>
  <si>
    <t>Zangezi : sverkhpovestʹ / Velimir Khlebnikov ; [pod redakt︠s︡ieĭ i s predisloviem R.V. Duganova].</t>
  </si>
  <si>
    <t>Moskva : Di︠a︡gilevʹ t︠s︡entrʹ, 1992.</t>
  </si>
  <si>
    <t>3857291706:rus</t>
  </si>
  <si>
    <t>29601826</t>
  </si>
  <si>
    <t>ocm29601826</t>
  </si>
  <si>
    <t>3102946681U</t>
  </si>
  <si>
    <t>793315952</t>
  </si>
  <si>
    <t>PG3476 K485 Z464 2000</t>
  </si>
  <si>
    <t>0                      PG 3476000K  485                Z  464         2000</t>
  </si>
  <si>
    <t>Doski sudʹby / Velimīr Khli︠e︡bnikov. Konteksty Dosok sudʹby / Vasiliĭ Babkov.</t>
  </si>
  <si>
    <t>Moskva : Rubezh stoletiĭ, 2000.</t>
  </si>
  <si>
    <t>38978183:rus</t>
  </si>
  <si>
    <t>49492549</t>
  </si>
  <si>
    <t>ocm49492549</t>
  </si>
  <si>
    <t>3102946676W</t>
  </si>
  <si>
    <t>9785901144039</t>
  </si>
  <si>
    <t>793741044</t>
  </si>
  <si>
    <t>PG3476 K485 Z566 2008</t>
  </si>
  <si>
    <t>0                      PG 3476000K  485                Z  566         2008</t>
  </si>
  <si>
    <t>Velimir Khlebnikov i russkai︠a︡ literatura : statʹi raznykh let / R.V. Duganov ; [sostavitelʹ Natalii︠a︡ Duganova-Sheftelevich].</t>
  </si>
  <si>
    <t>Duganov, R. V.</t>
  </si>
  <si>
    <t>Moskva : Progress-plei︠a︡da, 2008.</t>
  </si>
  <si>
    <t>Russkie poėty</t>
  </si>
  <si>
    <t>133256294:rus</t>
  </si>
  <si>
    <t>221550331</t>
  </si>
  <si>
    <t>ocn221550331</t>
  </si>
  <si>
    <t>31030587063</t>
  </si>
  <si>
    <t>9785930060638</t>
  </si>
  <si>
    <t>794326770</t>
  </si>
  <si>
    <t>PG3476 K485 Z825 1995</t>
  </si>
  <si>
    <t>0                      PG 3476000K  485                Z  825         1995</t>
  </si>
  <si>
    <t>[Slovarʹ neologizmov Velimira Khlebnikova / Natalʹi︠a︡ Pert︠s︡ova ; predislovie Khenrika Barana].</t>
  </si>
  <si>
    <t>Pert︠s︡ova, Natalʹi︠a︡.</t>
  </si>
  <si>
    <t>Wien ; Moskau : Gesellschaft zur Förderung slawistischer Studien, 1995.</t>
  </si>
  <si>
    <t>Wiener slawistischer Almanach. Sonderband, 0258-6835 ; 40</t>
  </si>
  <si>
    <t>3857879440:rus</t>
  </si>
  <si>
    <t>33951026</t>
  </si>
  <si>
    <t>ocm33951026</t>
  </si>
  <si>
    <t>31029466373</t>
  </si>
  <si>
    <t>793414999</t>
  </si>
  <si>
    <t>PG3476 K485 Z846 2017</t>
  </si>
  <si>
    <t>0                      PG 3476000K  485                Z  846         2017</t>
  </si>
  <si>
    <t>Mnimoe sirotstvo : Khlebnikov i Kharms v kontekste russkogo i evropeĭskogo modernizma / Lada Panova.</t>
  </si>
  <si>
    <t>Panova, L. G. (Lada Gennadʹevna), author.</t>
  </si>
  <si>
    <t>Moskva : Izdatelʹskiĭ dom Vyssheĭ shkoly ėkonomiki, 2017.</t>
  </si>
  <si>
    <t>4220202113:rus</t>
  </si>
  <si>
    <t>972506788</t>
  </si>
  <si>
    <t>ocn972506788</t>
  </si>
  <si>
    <t>3103728291D</t>
  </si>
  <si>
    <t>9785759815099</t>
  </si>
  <si>
    <t>795028725</t>
  </si>
  <si>
    <t>PG3476 K488 A2 2014</t>
  </si>
  <si>
    <t>0                      PG 3476000K  488                A  2           2014</t>
  </si>
  <si>
    <t>Selected poems / Vladislav Khodasevich ; translated by Peter Daniels ; introduction by Michael Wachtel.</t>
  </si>
  <si>
    <t>Khodasevich, V. F. (Vladislav Felit︠s︡ianovich), 1886-1939, author.</t>
  </si>
  <si>
    <t>New York, NY : The Overlook Press, 2014.</t>
  </si>
  <si>
    <t>Bilingual edition.</t>
  </si>
  <si>
    <t>1661700581:eng</t>
  </si>
  <si>
    <t>852222054</t>
  </si>
  <si>
    <t>ocn852222054</t>
  </si>
  <si>
    <t>3103528848E</t>
  </si>
  <si>
    <t>9781468308105</t>
  </si>
  <si>
    <t>794951239</t>
  </si>
  <si>
    <t>PG3476 K488 Z59 1983</t>
  </si>
  <si>
    <t>0                      PG 3476000K  488                Z  59          1983</t>
  </si>
  <si>
    <t>Khodasevich, his life and art / David M. Bethea.</t>
  </si>
  <si>
    <t>2018-05-18</t>
  </si>
  <si>
    <t>42977765:eng</t>
  </si>
  <si>
    <t>9217623</t>
  </si>
  <si>
    <t>ocm09217623</t>
  </si>
  <si>
    <t>3000348673C</t>
  </si>
  <si>
    <t>9780691065595</t>
  </si>
  <si>
    <t>792664542</t>
  </si>
  <si>
    <t>PG3476 K544 Z76 2010</t>
  </si>
  <si>
    <t>0                      PG 3476000K  544                Z  76          2010</t>
  </si>
  <si>
    <t>Nikolai Klyuev : time and text, place and poet / Michael Makin.</t>
  </si>
  <si>
    <t>Makin, Michael.</t>
  </si>
  <si>
    <t>793252870:eng</t>
  </si>
  <si>
    <t>318428623</t>
  </si>
  <si>
    <t>ocn318428623</t>
  </si>
  <si>
    <t>3103243206V</t>
  </si>
  <si>
    <t>9780810126572</t>
  </si>
  <si>
    <t>794481791</t>
  </si>
  <si>
    <t>PG3476 K544 Z79 2010</t>
  </si>
  <si>
    <t>0                      PG 3476000K  544                Z  79          2010</t>
  </si>
  <si>
    <t>Nikolaĭ Kli︠u︡ev : vospominanii︠a︡ sovremennikov / [sostavlenie P.E. Poberezkina].</t>
  </si>
  <si>
    <t>Moskva : Progress-Plei︠a︡da, 2010.</t>
  </si>
  <si>
    <t>477282888:rus</t>
  </si>
  <si>
    <t>608633587</t>
  </si>
  <si>
    <t>ocn608633587</t>
  </si>
  <si>
    <t>31033025023</t>
  </si>
  <si>
    <t>9785930060911</t>
  </si>
  <si>
    <t>794819642</t>
  </si>
  <si>
    <t>PG3476 K566 S5</t>
  </si>
  <si>
    <t>0                      PG 3476000K  566                S  5</t>
  </si>
  <si>
    <t>Skazki / Natalʹi︠a︡ Kodri︠a︡nskai︠a︡ ; illi︠u︡strat︠s︡ii N. Goncharovoĭ ; predislovie Aleksei︠a︡ Remizova.</t>
  </si>
  <si>
    <t>Kodri︠a︡nskai︠a︡, Natalʹi︠a︡.</t>
  </si>
  <si>
    <t>Parizh : [publisher not identified], ©1950.</t>
  </si>
  <si>
    <t>3772431202:rus</t>
  </si>
  <si>
    <t>4936844</t>
  </si>
  <si>
    <t>ocm04936844</t>
  </si>
  <si>
    <t>3000793184V</t>
  </si>
  <si>
    <t>792395362</t>
  </si>
  <si>
    <t>PG3476 K58 A6 1982</t>
  </si>
  <si>
    <t>0                      PG 3476000K  58                 A  6           1982</t>
  </si>
  <si>
    <t>A great love / Alexandra Kollontai ; translated and introduced by Cathy Porter.</t>
  </si>
  <si>
    <t>Kollontaĭ, A. (Aleksandra), 1872-1952.</t>
  </si>
  <si>
    <t>New York : W.W. Norton, 1982, ©1981.</t>
  </si>
  <si>
    <t>354225408:eng</t>
  </si>
  <si>
    <t>7945979</t>
  </si>
  <si>
    <t>ocm07945979</t>
  </si>
  <si>
    <t>3103847636S</t>
  </si>
  <si>
    <t>9780393300284</t>
  </si>
  <si>
    <t>792588679</t>
  </si>
  <si>
    <t>PG3476 K76 S84 2001</t>
  </si>
  <si>
    <t>0                      PG 3476000K  76                 S  84          2001</t>
  </si>
  <si>
    <t>Suicide circus : selected poems / by Alexei Kruchenykh ; translated from the Russian by Jack Hirschman, Alexander Kohav &amp; Venyamin Tseytlin, with an introduction by Jack Hirschman and a preface and notes by Guy Bennett.</t>
  </si>
  <si>
    <t>Kruchenykh, A. (Alekseĭ), 1886-1968.</t>
  </si>
  <si>
    <t>København ; Los Angeles : Green Integer, 2001.</t>
  </si>
  <si>
    <t>1st English language ed.</t>
  </si>
  <si>
    <t>Green Integer ; 27</t>
  </si>
  <si>
    <t>1059225343:eng</t>
  </si>
  <si>
    <t>47366762</t>
  </si>
  <si>
    <t>ocm47366762</t>
  </si>
  <si>
    <t>3102129613P</t>
  </si>
  <si>
    <t>9781892295279</t>
  </si>
  <si>
    <t>793703401</t>
  </si>
  <si>
    <t>PG3476 K782 A2 2006</t>
  </si>
  <si>
    <t>0                      PG 3476000K  782                A  2           2006</t>
  </si>
  <si>
    <t>Seven stories / Sigizmund Krzhizhanovsky ; translated by Joanne Turnbull.</t>
  </si>
  <si>
    <t>Krzhizhanovskiĭ, Sigizmund, 1887-1950.</t>
  </si>
  <si>
    <t>[Moscow] : Glas ; Chicago : Distributed in North America by Northwestern University Press, ©2006.</t>
  </si>
  <si>
    <t>Glas new Russian writing : contemporary Russian literature in English translation ; v. 39</t>
  </si>
  <si>
    <t>46513534:eng</t>
  </si>
  <si>
    <t>64571831</t>
  </si>
  <si>
    <t>ocm64571831</t>
  </si>
  <si>
    <t>3102658519F</t>
  </si>
  <si>
    <t>9785717200738</t>
  </si>
  <si>
    <t>794130193</t>
  </si>
  <si>
    <t>PG3476 K782 A6 2009</t>
  </si>
  <si>
    <t>0                      PG 3476000K  782                A  6           2009</t>
  </si>
  <si>
    <t>Memories of the future / Sigizmund Krzhizhanovsky ; translated by Joanne Turnbull with Nikolai Formozov.</t>
  </si>
  <si>
    <t>New York Review Books classics.</t>
  </si>
  <si>
    <t>47468963:eng</t>
  </si>
  <si>
    <t>264044003</t>
  </si>
  <si>
    <t>ocn264044003</t>
  </si>
  <si>
    <t>3103406225N</t>
  </si>
  <si>
    <t>9781590173190</t>
  </si>
  <si>
    <t>794404413</t>
  </si>
  <si>
    <t>PG3476 L5 A7 1981</t>
  </si>
  <si>
    <t>0                      PG 3476000L  5                  A  7           1981</t>
  </si>
  <si>
    <t>Sobranie sochineniĭ v desi︠a︡ti tomakh / Leonid Leonov.</t>
  </si>
  <si>
    <t>Leonov, Leonid, 1899-1994.</t>
  </si>
  <si>
    <t>Moskva : "Khudozh. lit-ra, ", 1981-1984.</t>
  </si>
  <si>
    <t>4061588567:rus</t>
  </si>
  <si>
    <t>8763581</t>
  </si>
  <si>
    <t>ocm08763581</t>
  </si>
  <si>
    <t>31002337470</t>
  </si>
  <si>
    <t>792639460</t>
  </si>
  <si>
    <t>30003752209</t>
  </si>
  <si>
    <t>792639461</t>
  </si>
  <si>
    <t>3100808300U</t>
  </si>
  <si>
    <t>792639457</t>
  </si>
  <si>
    <t>3100808301S</t>
  </si>
  <si>
    <t>792639458</t>
  </si>
  <si>
    <t>3103773530G</t>
  </si>
  <si>
    <t>792639459</t>
  </si>
  <si>
    <t>3100233748Z</t>
  </si>
  <si>
    <t>792639455</t>
  </si>
  <si>
    <t>3103773308H</t>
  </si>
  <si>
    <t>792639456</t>
  </si>
  <si>
    <t>PG3476 L5 P57 1994</t>
  </si>
  <si>
    <t>0                      PG 3476000L  5                  P  57          1994</t>
  </si>
  <si>
    <t>Piramida : roman-navazhdenie v trekh chasti︠a︡kh / Leonid Leonov.</t>
  </si>
  <si>
    <t>Moskva : Golos, 1994.</t>
  </si>
  <si>
    <t>Russkai︠a︡ proza XX veka</t>
  </si>
  <si>
    <t>2015-11-05</t>
  </si>
  <si>
    <t>3857815673:rus</t>
  </si>
  <si>
    <t>31582948</t>
  </si>
  <si>
    <t>ocm31582948</t>
  </si>
  <si>
    <t>31014465553</t>
  </si>
  <si>
    <t>9785711701217</t>
  </si>
  <si>
    <t>793363630</t>
  </si>
  <si>
    <t>3101446559W</t>
  </si>
  <si>
    <t>793363629</t>
  </si>
  <si>
    <t>PG3476 L5 V913 1946</t>
  </si>
  <si>
    <t>0                      PG 3476000L  5                  V  913         1946</t>
  </si>
  <si>
    <t>Chariot of wrath : a novel / by Leonid Leonov ; translated from the Russian by Norbert Guterman.</t>
  </si>
  <si>
    <t>Leonov, Leonid, 1899-1994, author.</t>
  </si>
  <si>
    <t>New York : L.B. Fischer, 1946.</t>
  </si>
  <si>
    <t>2017-04-05</t>
  </si>
  <si>
    <t>256881615:eng</t>
  </si>
  <si>
    <t>1424092</t>
  </si>
  <si>
    <t>ocm01424092</t>
  </si>
  <si>
    <t>3000793371W</t>
  </si>
  <si>
    <t>791622879</t>
  </si>
  <si>
    <t>PG3476 M3 A2 1985</t>
  </si>
  <si>
    <t>0                      PG 3476000M  3                  A  2           1985</t>
  </si>
  <si>
    <t>Selected works in three volumes / Vladimir Mayakovsky ; [translated from the Russian].</t>
  </si>
  <si>
    <t>Mayakovsky, Vladimir, 1893-1930.</t>
  </si>
  <si>
    <t>[Moscow] : Raduga, ©1985-©1987.</t>
  </si>
  <si>
    <t>2013-03-04</t>
  </si>
  <si>
    <t>2863447204:eng</t>
  </si>
  <si>
    <t>13426034</t>
  </si>
  <si>
    <t>ocm13426034</t>
  </si>
  <si>
    <t>3103386359H</t>
  </si>
  <si>
    <t>9785050000170</t>
  </si>
  <si>
    <t>792853031</t>
  </si>
  <si>
    <t>2010-03-18</t>
  </si>
  <si>
    <t>31019981103</t>
  </si>
  <si>
    <t>792853030</t>
  </si>
  <si>
    <t>31008083482</t>
  </si>
  <si>
    <t>792853029</t>
  </si>
  <si>
    <t>PG3476 M3 A23 1991</t>
  </si>
  <si>
    <t>0                      PG 3476000M  3                  A  23          1991</t>
  </si>
  <si>
    <t>Listen! : early poems, 1913-1918 / Vladimir Mayakovsky ; translated by Maria Enzensberger ; with a foreward [sic] by Elaine Feinstein.</t>
  </si>
  <si>
    <t>Mayakovsky, Vladimir, 1893-1930, author.</t>
  </si>
  <si>
    <t>San Francisco : City Lights Books, [1991]</t>
  </si>
  <si>
    <t>First City Lights Books edition.</t>
  </si>
  <si>
    <t>Pocket poets series ; no. 47</t>
  </si>
  <si>
    <t>1059250628:eng</t>
  </si>
  <si>
    <t>23768026</t>
  </si>
  <si>
    <t>ocm23768026</t>
  </si>
  <si>
    <t>3103585021O</t>
  </si>
  <si>
    <t>9780872862555</t>
  </si>
  <si>
    <t>793182219</t>
  </si>
  <si>
    <t>PG3476 M3 A24</t>
  </si>
  <si>
    <t>0                      PG 3476000M  3                  A  24</t>
  </si>
  <si>
    <t>The bedbug; [a play] and selected poetry.</t>
  </si>
  <si>
    <t>New York, Meridian Books [1960]</t>
  </si>
  <si>
    <t>2018-04-14</t>
  </si>
  <si>
    <t>18664008:eng</t>
  </si>
  <si>
    <t>213755629</t>
  </si>
  <si>
    <t>ocn213755629</t>
  </si>
  <si>
    <t>31027213995</t>
  </si>
  <si>
    <t>794310653</t>
  </si>
  <si>
    <t>3000507674P</t>
  </si>
  <si>
    <t>794310654</t>
  </si>
  <si>
    <t>PG3476 M3 A24 1968</t>
  </si>
  <si>
    <t>0                      PG 3476000M  3                  A  24          1968</t>
  </si>
  <si>
    <t>The complete plays of Vladimir Mayakovsky. Translated by Guy Daniels. With an introd. by Robert Payne.</t>
  </si>
  <si>
    <t>New York, Washington Square Press [1968]</t>
  </si>
  <si>
    <t>1342914:eng</t>
  </si>
  <si>
    <t>1673233</t>
  </si>
  <si>
    <t>ocm01673233</t>
  </si>
  <si>
    <t>31025604516</t>
  </si>
  <si>
    <t>791827417</t>
  </si>
  <si>
    <t>3103147229H</t>
  </si>
  <si>
    <t>791827418</t>
  </si>
  <si>
    <t>PG3476 M3 A26</t>
  </si>
  <si>
    <t>0                      PG 3476000M  3                  A  26</t>
  </si>
  <si>
    <t>Mayakovsky. Translated and edited by Herbert Marshall.</t>
  </si>
  <si>
    <t>New York, Hill and Wang [1965]</t>
  </si>
  <si>
    <t>1401706:eng</t>
  </si>
  <si>
    <t>321301</t>
  </si>
  <si>
    <t>ocm00321301</t>
  </si>
  <si>
    <t>3103428805S</t>
  </si>
  <si>
    <t>791336228</t>
  </si>
  <si>
    <t>PG3476 M3 A28 1972</t>
  </si>
  <si>
    <t>0                      PG 3476000M  3                  A  28          1972</t>
  </si>
  <si>
    <t>Poems. [Translated by Dorian Rottenberg.</t>
  </si>
  <si>
    <t>Moscow, Progress Publishers, 1972]</t>
  </si>
  <si>
    <t>2016-02-04</t>
  </si>
  <si>
    <t>33097:eng</t>
  </si>
  <si>
    <t>646267</t>
  </si>
  <si>
    <t>ocm00646267</t>
  </si>
  <si>
    <t>3000448810L</t>
  </si>
  <si>
    <t>791436713</t>
  </si>
  <si>
    <t>PG3476 M3 A6 1987</t>
  </si>
  <si>
    <t>0                      PG 3476000M  3                  A  6           1987</t>
  </si>
  <si>
    <t>Sochinenii︠a︡ v dvukh tomakh / V.V. Mai︠a︡kovskiĭ ; redakt︠s︡ionnai︠a︡ kollegii︠a︡: Berdnikov G.P. [and 7 others] ; sostavlenie Al. Mikhaĭlova ; vstupitelʹnai︠a︡ statʹi︠a︡ A. Metchenko.</t>
  </si>
  <si>
    <t>Moskva : Izdatelʹstvo "Pravda", 1987-1988.</t>
  </si>
  <si>
    <t>3901107929:rus</t>
  </si>
  <si>
    <t>19327381</t>
  </si>
  <si>
    <t>ocm19327381</t>
  </si>
  <si>
    <t>31020939510</t>
  </si>
  <si>
    <t>793054506</t>
  </si>
  <si>
    <t>3102093960$</t>
  </si>
  <si>
    <t>793054505</t>
  </si>
  <si>
    <t>PG3476 M3 K4 1985</t>
  </si>
  <si>
    <t>0                      PG 3476000M  3                  K  4           1985</t>
  </si>
  <si>
    <t>Klop : the bedbug / V.V. Mayakovsky ; edited with introduction and notes by Robert Russell.</t>
  </si>
  <si>
    <t>[Durham] : University of Durham, 1985.</t>
  </si>
  <si>
    <t>Durham modern languages series</t>
  </si>
  <si>
    <t>5436149432:rus</t>
  </si>
  <si>
    <t>12839078</t>
  </si>
  <si>
    <t>ocm12839078</t>
  </si>
  <si>
    <t>3000374714Q</t>
  </si>
  <si>
    <t>9780907310112</t>
  </si>
  <si>
    <t>792830230</t>
  </si>
  <si>
    <t>PG3476 M3 Z84814</t>
  </si>
  <si>
    <t>0                      PG 3476000M  3                  Z  84814</t>
  </si>
  <si>
    <t>Maiakovski et le théâtre russe d'avant-garde. [Traduit par Mario Rossi et Antoine Vitez].</t>
  </si>
  <si>
    <t>Ripellino, Angelo Maria, 1923-1978.</t>
  </si>
  <si>
    <t>Paris, l'Arche, 1965.</t>
  </si>
  <si>
    <t>477686018:fre</t>
  </si>
  <si>
    <t>237454</t>
  </si>
  <si>
    <t>ocm00237454</t>
  </si>
  <si>
    <t>3102946697S</t>
  </si>
  <si>
    <t>791304659</t>
  </si>
  <si>
    <t>PG3476 M3 1955</t>
  </si>
  <si>
    <t>0                      PG 3476000M  3           1955</t>
  </si>
  <si>
    <t>Polnoe sobranie sochinenii.</t>
  </si>
  <si>
    <t>Moskva : [publisher not identified], 1955-1961.</t>
  </si>
  <si>
    <t>3372727972:rus</t>
  </si>
  <si>
    <t>427237469</t>
  </si>
  <si>
    <t>ocn427237469</t>
  </si>
  <si>
    <t>3100234264F</t>
  </si>
  <si>
    <t>794550120</t>
  </si>
  <si>
    <t>31008083547</t>
  </si>
  <si>
    <t>794550118</t>
  </si>
  <si>
    <t>3100808344A</t>
  </si>
  <si>
    <t>794550112</t>
  </si>
  <si>
    <t>3100808350F</t>
  </si>
  <si>
    <t>794550119</t>
  </si>
  <si>
    <t>3100808343C</t>
  </si>
  <si>
    <t>794550111</t>
  </si>
  <si>
    <t>31008083539</t>
  </si>
  <si>
    <t>794550115</t>
  </si>
  <si>
    <t>3100808351D</t>
  </si>
  <si>
    <t>794550116</t>
  </si>
  <si>
    <t>30007943150</t>
  </si>
  <si>
    <t>794550121</t>
  </si>
  <si>
    <t>31008083571</t>
  </si>
  <si>
    <t>794550113</t>
  </si>
  <si>
    <t>31008083563</t>
  </si>
  <si>
    <t>794550114</t>
  </si>
  <si>
    <t>2009-09-25</t>
  </si>
  <si>
    <t>3100234265D</t>
  </si>
  <si>
    <t>794550109</t>
  </si>
  <si>
    <t>3100808342E</t>
  </si>
  <si>
    <t>794550110</t>
  </si>
  <si>
    <t>3100808352B</t>
  </si>
  <si>
    <t>794550117</t>
  </si>
  <si>
    <t>PG3476 M3 1968</t>
  </si>
  <si>
    <t>0                      PG 3476000M  3           1968</t>
  </si>
  <si>
    <t>Sobranie sochineniĭ / V.V. Mai︠a︡kovskiĭ ; pod redakt︠s︡ieĭ L.V. Mai︠a︡kovskoĭ, V.V. Voront︠s︡ova, A.I. Koloskova.</t>
  </si>
  <si>
    <t>Moskva : "Pravda", 1968.</t>
  </si>
  <si>
    <t>1581880:rus</t>
  </si>
  <si>
    <t>547807</t>
  </si>
  <si>
    <t>ocm00547807</t>
  </si>
  <si>
    <t>3101490868J</t>
  </si>
  <si>
    <t>791410754</t>
  </si>
  <si>
    <t>3101490876K</t>
  </si>
  <si>
    <t>791410756</t>
  </si>
  <si>
    <t>3101490895G</t>
  </si>
  <si>
    <t>791410753</t>
  </si>
  <si>
    <t>3101490872S</t>
  </si>
  <si>
    <t>791410755</t>
  </si>
  <si>
    <t>3101490884L</t>
  </si>
  <si>
    <t>791410750</t>
  </si>
  <si>
    <t>3101490880T</t>
  </si>
  <si>
    <t>791410757</t>
  </si>
  <si>
    <t>3101490892M</t>
  </si>
  <si>
    <t>791410751</t>
  </si>
  <si>
    <t>3101490888D</t>
  </si>
  <si>
    <t>791410752</t>
  </si>
  <si>
    <t>PG3476 M312 A4 1986</t>
  </si>
  <si>
    <t>0                      PG 3476000M  312                A  4           1986</t>
  </si>
  <si>
    <t>Love is the heart of everything : correspondence between Vladimir Mayakovsky and Lili Brik, 1915-1930 / edited by Bengt Jangfeldt ; translated by Julian Graffy.</t>
  </si>
  <si>
    <t>Edinburgh : Polygon, 1986.</t>
  </si>
  <si>
    <t>2564790799:eng</t>
  </si>
  <si>
    <t>16647990</t>
  </si>
  <si>
    <t>ocm16647990</t>
  </si>
  <si>
    <t>31029467076</t>
  </si>
  <si>
    <t>9780948275043</t>
  </si>
  <si>
    <t>792967673</t>
  </si>
  <si>
    <t>PG3476 M312 B7</t>
  </si>
  <si>
    <t>0                      PG 3476000M  312                B  7</t>
  </si>
  <si>
    <t>Mayakovsky; a poet in the revolution, by Edward J. Brown.</t>
  </si>
  <si>
    <t>Princeton, N.J., Princeton University Press [©1973]</t>
  </si>
  <si>
    <t>Columbia University. Studies of the Russian Institute</t>
  </si>
  <si>
    <t>1621224:eng</t>
  </si>
  <si>
    <t>804824</t>
  </si>
  <si>
    <t>ocm00804824</t>
  </si>
  <si>
    <t>3102915625O</t>
  </si>
  <si>
    <t>9780691062556</t>
  </si>
  <si>
    <t>791474225</t>
  </si>
  <si>
    <t>PG3476 M312 B95 2017</t>
  </si>
  <si>
    <t>0                      PG 3476000M  312                B  95          2017</t>
  </si>
  <si>
    <t>Trinadt︠s︡atyĭ apostol : Mai︠a︡kovskiĭ, tragedii︠a︡-buff v shesti deĭstvii︠a︡kh / Dmitriĭ Bykov.</t>
  </si>
  <si>
    <t>Moskva : Molodai︠a︡ gvardii︠a︡, 2017.</t>
  </si>
  <si>
    <t>Izdanie tretʹe.</t>
  </si>
  <si>
    <t>3091415997:rus</t>
  </si>
  <si>
    <t>1002131845</t>
  </si>
  <si>
    <t>on1002131845</t>
  </si>
  <si>
    <t>3103862908Y</t>
  </si>
  <si>
    <t>9785235039667</t>
  </si>
  <si>
    <t>795040973</t>
  </si>
  <si>
    <t>PG3476 M312 C47</t>
  </si>
  <si>
    <t>0                      PG 3476000M  312                C  47</t>
  </si>
  <si>
    <t>Mai︠a︡kovskiĭ v Kitae / L.E. Cherkasskiĭ ; AN SSSR, In-t Vostokovedenii︠a︡.</t>
  </si>
  <si>
    <t>Cherkasskiĭ, L. E. (Leonid Evseevich)</t>
  </si>
  <si>
    <t>Moskva : Nauka, 1976.</t>
  </si>
  <si>
    <t>9999064:rus</t>
  </si>
  <si>
    <t>3338820</t>
  </si>
  <si>
    <t>ocm03338820</t>
  </si>
  <si>
    <t>31029467292</t>
  </si>
  <si>
    <t>792244084</t>
  </si>
  <si>
    <t>PG3476 M312 G678 2013</t>
  </si>
  <si>
    <t>0                      PG 3476000M  312                G  678         2013</t>
  </si>
  <si>
    <t>KinoFotoLi︠u︡doGusʹ : Mai︠a︡kovskiĭ i mirovoĭ khudozhestvennyĭ avangard v dokumentakh i kinomaterialakh : katalog vystavki / Gosudarstvennyĭ muzeĭ V.V. Mai︠a︡kovskogo, Gosudarstvennyĭ t︠s︡entr sovremennogo iskusstva (GT︠S︡SI) ; sostaviteli kataloga - G.A. Antipova [and four others] ; redaktory - I.V. Genalieva, V.V. Nesterova.</t>
  </si>
  <si>
    <t>Gosudarstvennyĭ muzeĭ V.V. Mai︠a︡kovskogo, author, issuing body.</t>
  </si>
  <si>
    <t>Moskva : Gosudarstvennyĭ muzeĭ V.V. Mai︠a︡kovskogo, 2013.</t>
  </si>
  <si>
    <t>4927730024:rus</t>
  </si>
  <si>
    <t>962767262</t>
  </si>
  <si>
    <t>ocn962767262</t>
  </si>
  <si>
    <t>3103687504Z</t>
  </si>
  <si>
    <t>9785902087076</t>
  </si>
  <si>
    <t>795024704</t>
  </si>
  <si>
    <t>PG3476 M312 J3413 2014</t>
  </si>
  <si>
    <t>0                      PG 3476000M  312                J  3413        2014</t>
  </si>
  <si>
    <t>Mayakovsky : a biography / Bengt Jangfeldt ; translated by Harry D. Watson.</t>
  </si>
  <si>
    <t>Jangfeldt, Bengt, 1948- author.</t>
  </si>
  <si>
    <t>Chicago : The University of Chicago Press, 2014.</t>
  </si>
  <si>
    <t>2018-02-18</t>
  </si>
  <si>
    <t>1823527737:eng</t>
  </si>
  <si>
    <t>871670525</t>
  </si>
  <si>
    <t>ocn871670525</t>
  </si>
  <si>
    <t>3103612599S</t>
  </si>
  <si>
    <t>9780226056975</t>
  </si>
  <si>
    <t>794967770</t>
  </si>
  <si>
    <t>PG3476 M312 J35x</t>
  </si>
  <si>
    <t>0                      PG 3476000M  312                J  35x</t>
  </si>
  <si>
    <t>Majakovskij and futurism 1917-1921 / by Bengt Jangfeldt.</t>
  </si>
  <si>
    <t>Jangfeldt, Bengt, 1948-</t>
  </si>
  <si>
    <t>Acta Universitatis Stockholmiensis. Stockholm studies in Russian literature ; 5</t>
  </si>
  <si>
    <t>5561628:eng</t>
  </si>
  <si>
    <t>2537299</t>
  </si>
  <si>
    <t>ocm02537299</t>
  </si>
  <si>
    <t>31029467202</t>
  </si>
  <si>
    <t>9789122000501</t>
  </si>
  <si>
    <t>792140736</t>
  </si>
  <si>
    <t>PG3476 M312 K4</t>
  </si>
  <si>
    <t>0                      PG 3476000M  312                K  4</t>
  </si>
  <si>
    <t>Mai︠a︡kovskiĭ v Amerike. Stranit︠s︡y biografii.</t>
  </si>
  <si>
    <t>Kemrad, Semen Samuilovich.</t>
  </si>
  <si>
    <t>Moskva, "Sov. Pisatelʹ", 1970.</t>
  </si>
  <si>
    <t>3856712877:rus</t>
  </si>
  <si>
    <t>2605122</t>
  </si>
  <si>
    <t>ocm02605122</t>
  </si>
  <si>
    <t>31029467262</t>
  </si>
  <si>
    <t>792151862</t>
  </si>
  <si>
    <t>PG3476 M312 M317 1985</t>
  </si>
  <si>
    <t>0                      PG 3476000M  312                M  317         1985</t>
  </si>
  <si>
    <t>Mai︠a︡kovskiĭ i sovremennostʹ / otvetstvennyĭ redaktor A.M. Ushakov.</t>
  </si>
  <si>
    <t>Moskva : "Nauka", 1985.</t>
  </si>
  <si>
    <t>3902132988:rus</t>
  </si>
  <si>
    <t>13163168</t>
  </si>
  <si>
    <t>ocm13163168</t>
  </si>
  <si>
    <t>31029467114</t>
  </si>
  <si>
    <t>792843313</t>
  </si>
  <si>
    <t>PG3476 M312 M39 2005</t>
  </si>
  <si>
    <t>0                      PG 3476000M  312                M  39          2005</t>
  </si>
  <si>
    <t>My discovery of America / Vladimir Mayakovsky ; translated by Neil Cornwell.</t>
  </si>
  <si>
    <t>1152539814:eng</t>
  </si>
  <si>
    <t>59355883</t>
  </si>
  <si>
    <t>ocm59355883</t>
  </si>
  <si>
    <t>3103586318D</t>
  </si>
  <si>
    <t>9781843914082</t>
  </si>
  <si>
    <t>793929458</t>
  </si>
  <si>
    <t>PG3476 M312 M553 2001</t>
  </si>
  <si>
    <t>0                      PG 3476000M  312                M  553         2001</t>
  </si>
  <si>
    <t>Zhiznʹ Mai︠a︡kovskogo : i︠a︡ svoe zemnoe ne dozhil / Aleksandr Mikhaĭlov.</t>
  </si>
  <si>
    <t>Mikhaĭlov, Al. (Aleksandr)</t>
  </si>
  <si>
    <t>Moskva : T︠S︡ėntrpoligraf, 2001.</t>
  </si>
  <si>
    <t>Bessmertnye imena</t>
  </si>
  <si>
    <t>37729026:rus</t>
  </si>
  <si>
    <t>48136353</t>
  </si>
  <si>
    <t>ocm48136353</t>
  </si>
  <si>
    <t>3102946769V</t>
  </si>
  <si>
    <t>9785227013019</t>
  </si>
  <si>
    <t>793716873</t>
  </si>
  <si>
    <t>PG3476 M312 N54 2008</t>
  </si>
  <si>
    <t>0                      PG 3476000M  312                N  54          2008</t>
  </si>
  <si>
    <t>Night wraps the sky : writings by and about Mayakovsky / edited by Michael Almereyda.</t>
  </si>
  <si>
    <t>New York : Farrar, Straus and Giroux, 2008.</t>
  </si>
  <si>
    <t>836167731:eng</t>
  </si>
  <si>
    <t>181335890</t>
  </si>
  <si>
    <t>ocn181335890</t>
  </si>
  <si>
    <t>3102652842O</t>
  </si>
  <si>
    <t>9780374281359</t>
  </si>
  <si>
    <t>794282160</t>
  </si>
  <si>
    <t>PG3476 M312 S5413</t>
  </si>
  <si>
    <t>0                      PG 3476000M  312                S  5413</t>
  </si>
  <si>
    <t>Mayakovsky and his circle, by Viktor Shklovsky. Edited and translated by Lily Feiler.</t>
  </si>
  <si>
    <t>New York, Dodd, Mead [1972]</t>
  </si>
  <si>
    <t>144638781:eng</t>
  </si>
  <si>
    <t>583920</t>
  </si>
  <si>
    <t>ocm00583920</t>
  </si>
  <si>
    <t>3102946771T</t>
  </si>
  <si>
    <t>9780396067016</t>
  </si>
  <si>
    <t>791421245</t>
  </si>
  <si>
    <t>PG3476 M312 W613</t>
  </si>
  <si>
    <t>0                      PG 3476000M  312                W  613</t>
  </si>
  <si>
    <t>The life of Mayakovsky. Translated from the Polish by Boleslaw Taborski.</t>
  </si>
  <si>
    <t>Woroszylski, Wiktor.</t>
  </si>
  <si>
    <t>New York, Orion Press, 1970 [©1971]</t>
  </si>
  <si>
    <t>2829720043:eng</t>
  </si>
  <si>
    <t>124148</t>
  </si>
  <si>
    <t>ocm00124148</t>
  </si>
  <si>
    <t>3102946692S</t>
  </si>
  <si>
    <t>9780670463510</t>
  </si>
  <si>
    <t>791264252</t>
  </si>
  <si>
    <t>PG3476 M34 1971</t>
  </si>
  <si>
    <t>0                      PG 3476000M  34          1971</t>
  </si>
  <si>
    <t>Sobranie sochineniĭ : v 5-ti t. / A.S. Makarenko ; [pod. obshch. red. A. Ternovskogo ; ill. I.L. Ushakov].</t>
  </si>
  <si>
    <t>Makarenko, Anton Semenovich, 1888-1939.</t>
  </si>
  <si>
    <t>Moskva : Pravda, 1971.</t>
  </si>
  <si>
    <t>Biblioteka Ogonek.</t>
  </si>
  <si>
    <t>2865271457:rus</t>
  </si>
  <si>
    <t>427552291</t>
  </si>
  <si>
    <t>ocn427552291</t>
  </si>
  <si>
    <t>3000651135B</t>
  </si>
  <si>
    <t>794683429</t>
  </si>
  <si>
    <t>31008083377</t>
  </si>
  <si>
    <t>794683427</t>
  </si>
  <si>
    <t>31002342784</t>
  </si>
  <si>
    <t>794683425</t>
  </si>
  <si>
    <t>31002342776</t>
  </si>
  <si>
    <t>794683428</t>
  </si>
  <si>
    <t>31008083385</t>
  </si>
  <si>
    <t>794683426</t>
  </si>
  <si>
    <t>PG3476 M353 Z2 1951</t>
  </si>
  <si>
    <t>0                      PG 3476000M  353                Z  2           1951</t>
  </si>
  <si>
    <t>Zemli︠a︡ i lira / Viktor Mamchenko.</t>
  </si>
  <si>
    <t>Mamchenko, Viktor.</t>
  </si>
  <si>
    <t>Parizh : [publisher not identified], 1951.</t>
  </si>
  <si>
    <t>17858811:rus</t>
  </si>
  <si>
    <t>18581772</t>
  </si>
  <si>
    <t>ocm18581772</t>
  </si>
  <si>
    <t>3103095532W</t>
  </si>
  <si>
    <t>793029747</t>
  </si>
  <si>
    <t>PG3476 M355 A2 2012</t>
  </si>
  <si>
    <t>0                      PG 3476000M  355                A  2           2012</t>
  </si>
  <si>
    <t>Stolen air : the selected poems of Osip Mandelstam / selected and translated by Christian Wiman ; introduction by Ilya Kaminsky.</t>
  </si>
  <si>
    <t>New York : Ecco, ©2012.</t>
  </si>
  <si>
    <t>1816120710:eng</t>
  </si>
  <si>
    <t>733223614</t>
  </si>
  <si>
    <t>ocn733223614</t>
  </si>
  <si>
    <t>31035028785</t>
  </si>
  <si>
    <t>9780062099426</t>
  </si>
  <si>
    <t>794881737</t>
  </si>
  <si>
    <t>PG3476 M355 A2 2015</t>
  </si>
  <si>
    <t>0                      PG 3476000M  355                A  2           2015</t>
  </si>
  <si>
    <t>The Voronezh notebooks / Osip Mandelstam ; translated from the Russian and with an introduction by Andrew Davis.</t>
  </si>
  <si>
    <t>Mandelʹshtam, Osip, 1891-1938, author.</t>
  </si>
  <si>
    <t>New York Review Books poets</t>
  </si>
  <si>
    <t>23407730:eng</t>
  </si>
  <si>
    <t>933881381</t>
  </si>
  <si>
    <t>ocn933881381</t>
  </si>
  <si>
    <t>31036529906</t>
  </si>
  <si>
    <t>9781590179109</t>
  </si>
  <si>
    <t>795009455</t>
  </si>
  <si>
    <t>PG3476 M355 A22</t>
  </si>
  <si>
    <t>0                      PG 3476000M  355                A  22</t>
  </si>
  <si>
    <t>The prose of Osip Mandelstam : the noise of time, Theodosia, the Egyptian stamp / translated, with a critical essay, by Clarence Brown.</t>
  </si>
  <si>
    <t>Princeton, N.J. : Princeton University Press, 1965.</t>
  </si>
  <si>
    <t>10177390945:eng</t>
  </si>
  <si>
    <t>321291</t>
  </si>
  <si>
    <t>ocm00321291</t>
  </si>
  <si>
    <t>3101823551A</t>
  </si>
  <si>
    <t>791336222</t>
  </si>
  <si>
    <t>3000216039Y</t>
  </si>
  <si>
    <t>791336223</t>
  </si>
  <si>
    <t>PG3476 M355 A22 1986</t>
  </si>
  <si>
    <t>0                      PG 3476000M  355                A  22          1986</t>
  </si>
  <si>
    <t>The noise of time : the prose of Osip Mandelstam / translated with critical essays by Clarence Brown.</t>
  </si>
  <si>
    <t>San Francisco : North Point Press, 1986.</t>
  </si>
  <si>
    <t>2019-01-26</t>
  </si>
  <si>
    <t>1357319864:eng</t>
  </si>
  <si>
    <t>14408242</t>
  </si>
  <si>
    <t>ocm14408242</t>
  </si>
  <si>
    <t>3102946784R</t>
  </si>
  <si>
    <t>9780865472389</t>
  </si>
  <si>
    <t>792889119</t>
  </si>
  <si>
    <t>PG3476 M355 A23 2004</t>
  </si>
  <si>
    <t>0                      PG 3476000M  355                A  23          2004</t>
  </si>
  <si>
    <t>Selected poems / Osip Mandelstam ; translated by Clarence Brown and W.S. Merwin.</t>
  </si>
  <si>
    <t>New York : New York Review Books, [2004]</t>
  </si>
  <si>
    <t>953362749:eng</t>
  </si>
  <si>
    <t>55738162</t>
  </si>
  <si>
    <t>ocm55738162</t>
  </si>
  <si>
    <t>3102938836V</t>
  </si>
  <si>
    <t>9781590170915</t>
  </si>
  <si>
    <t>793881786</t>
  </si>
  <si>
    <t>PG3476 M355 A244 1983</t>
  </si>
  <si>
    <t>0                      PG 3476000M  355                A  244         1983</t>
  </si>
  <si>
    <t>Selected poems / Osip Mandelstam ; translated from the Russian by David McDuff.</t>
  </si>
  <si>
    <t>London, England : Writers and Readers, 1983.</t>
  </si>
  <si>
    <t>11339594</t>
  </si>
  <si>
    <t>ocm11339594</t>
  </si>
  <si>
    <t>3102946786R</t>
  </si>
  <si>
    <t>9780863160530</t>
  </si>
  <si>
    <t>792769162</t>
  </si>
  <si>
    <t>PG3476 M355 A26 1990</t>
  </si>
  <si>
    <t>0                      PG 3476000M  355                A  26          1990</t>
  </si>
  <si>
    <t>Poems from Mandelstam / translated by R.H. Morrison ; with an introduction by Ervin C. Brody.</t>
  </si>
  <si>
    <t>Rutherford, N.J. : Fairleigh Dickinson University Press ; London : Associated University Presses, ©1990.</t>
  </si>
  <si>
    <t>197211658:eng</t>
  </si>
  <si>
    <t>20935758</t>
  </si>
  <si>
    <t>ocm20935758</t>
  </si>
  <si>
    <t>31029468003</t>
  </si>
  <si>
    <t>9780838633823</t>
  </si>
  <si>
    <t>793103765</t>
  </si>
  <si>
    <t>PG3476 M355 Z47714 1984</t>
  </si>
  <si>
    <t>0                      PG 3476000M  355                Z  47714       1984</t>
  </si>
  <si>
    <t>Voyage en Arménie / Ossip Mandelstam ; traduction de André du Bouchet.</t>
  </si>
  <si>
    <t>Paris : Mercure de France, 1984.</t>
  </si>
  <si>
    <t>1151417167:fre</t>
  </si>
  <si>
    <t>35245117</t>
  </si>
  <si>
    <t>ocm35245117</t>
  </si>
  <si>
    <t>3102946744Z</t>
  </si>
  <si>
    <t>9782715202115</t>
  </si>
  <si>
    <t>793447743</t>
  </si>
  <si>
    <t>PG3476 M355 Z513 1970</t>
  </si>
  <si>
    <t>0                      PG 3476000M  355                Z  513         1970</t>
  </si>
  <si>
    <t>Hope against hope; a memoir [by] Nadezhda Mandelstam. Translated from the Russian by Max Hayward, with an introd. by Clarence Brown.</t>
  </si>
  <si>
    <t>Mandelʹshtam, Nadezhda, 1899-1980.</t>
  </si>
  <si>
    <t>New York, Atheneum, 1970.</t>
  </si>
  <si>
    <t>2863396968:eng</t>
  </si>
  <si>
    <t>98196</t>
  </si>
  <si>
    <t>ocm00098196</t>
  </si>
  <si>
    <t>3102946789R</t>
  </si>
  <si>
    <t>9780689705304</t>
  </si>
  <si>
    <t>791255828</t>
  </si>
  <si>
    <t>3102946794P</t>
  </si>
  <si>
    <t>791255831</t>
  </si>
  <si>
    <t>3102946793P</t>
  </si>
  <si>
    <t>791255829</t>
  </si>
  <si>
    <t>PG3476 M355 Z74613 2010</t>
  </si>
  <si>
    <t>0                      PG 3476000M  355                Z  74613       2010</t>
  </si>
  <si>
    <t>Mandelstam / Oleg Lekmanov ; translated from Russian by Tatiana Retivov ; edited by Lazar Fleishman.</t>
  </si>
  <si>
    <t>Lekmanov, O. A., author.</t>
  </si>
  <si>
    <t>5453910671:eng</t>
  </si>
  <si>
    <t>496727669</t>
  </si>
  <si>
    <t>ocn496727669</t>
  </si>
  <si>
    <t>3103255074A</t>
  </si>
  <si>
    <t>9781934843284</t>
  </si>
  <si>
    <t>794802675</t>
  </si>
  <si>
    <t>PG3476 M355 Z78</t>
  </si>
  <si>
    <t>0                      PG 3476000M  355                Z  78</t>
  </si>
  <si>
    <t>Mozart and Salieri / Nadezhda Mandelstam ; translated by Robert A. McLean.</t>
  </si>
  <si>
    <t>Ann Arbor, Mich. : Ardis, ©1973.</t>
  </si>
  <si>
    <t>Ardis essay series.</t>
  </si>
  <si>
    <t>148034370:eng</t>
  </si>
  <si>
    <t>703752</t>
  </si>
  <si>
    <t>ocm00703752</t>
  </si>
  <si>
    <t>31029468073</t>
  </si>
  <si>
    <t>9780882330341</t>
  </si>
  <si>
    <t>791450380</t>
  </si>
  <si>
    <t>PG3476 M355 Z8 1970</t>
  </si>
  <si>
    <t>0                      PG 3476000M  355                Z  8           1970</t>
  </si>
  <si>
    <t>Vospominanii︠a︡ / Nadezhda Mandel'shtam.</t>
  </si>
  <si>
    <t>Kn.2</t>
  </si>
  <si>
    <t>N'i︠u︡ Ĭork : Izd-vo im. Chekhova, 1970.</t>
  </si>
  <si>
    <t>4927647215:rus</t>
  </si>
  <si>
    <t>14916011</t>
  </si>
  <si>
    <t>ocm14916011</t>
  </si>
  <si>
    <t>31029468023</t>
  </si>
  <si>
    <t>792913605</t>
  </si>
  <si>
    <t>Kn.3</t>
  </si>
  <si>
    <t>2005-08-04</t>
  </si>
  <si>
    <t>3102946787R</t>
  </si>
  <si>
    <t>792913604</t>
  </si>
  <si>
    <t>2006-07-05</t>
  </si>
  <si>
    <t>31029331162</t>
  </si>
  <si>
    <t>792913603</t>
  </si>
  <si>
    <t>Kn.1</t>
  </si>
  <si>
    <t>2018-05-07</t>
  </si>
  <si>
    <t>3102946797P</t>
  </si>
  <si>
    <t>792913606</t>
  </si>
  <si>
    <t>PG3476 M355 Z9243 2016</t>
  </si>
  <si>
    <t>0                      PG 3476000M  355                Z  9243        2016</t>
  </si>
  <si>
    <t>Moĭ drug Osip Mandelʹshtam : Izbrannai︠a︡ illi︠u︡strirovannai︠a︡ bibliografii︠a︡ i avtografy / Mikhail Seslavinskiĭ.</t>
  </si>
  <si>
    <t>Seslavinskiĭ, M. V., 1964- author.</t>
  </si>
  <si>
    <t>3028894321:rus</t>
  </si>
  <si>
    <t>950002512</t>
  </si>
  <si>
    <t>ocn950002512</t>
  </si>
  <si>
    <t>31038799959</t>
  </si>
  <si>
    <t>9785911872601</t>
  </si>
  <si>
    <t>795016486</t>
  </si>
  <si>
    <t>PG3476 M372 A6 1988</t>
  </si>
  <si>
    <t>0                      PG 3476000M  372                A  6           1988</t>
  </si>
  <si>
    <t>Roman bez vranʹi︠a︡ ; T︠S︡iniki ; Moĭ vek, moi︠a︡ molodostʹ, moi druzʹi︠a︡ i podrugi / Anatoliĭ Mariengof.</t>
  </si>
  <si>
    <t>Mariengof, Anatoliĭ, 1897-1962.</t>
  </si>
  <si>
    <t>Leningrad : "Khudozh. lit-ra, " Leningradskoe otd-nie, 1988.</t>
  </si>
  <si>
    <t>10141679952:rus</t>
  </si>
  <si>
    <t>20134133</t>
  </si>
  <si>
    <t>ocm20134133</t>
  </si>
  <si>
    <t>3102938905Y</t>
  </si>
  <si>
    <t>9785280009011</t>
  </si>
  <si>
    <t>793078739</t>
  </si>
  <si>
    <t>PG3476 M5213 Z473 2000</t>
  </si>
  <si>
    <t>0                      PG 3476000M  5213               Z  473         2000</t>
  </si>
  <si>
    <t>A novel without lies / Anatoly Mariengof ; translated by Jose Alaniz.</t>
  </si>
  <si>
    <t>Moscow, Russia : Glas Publishers, ©2000.</t>
  </si>
  <si>
    <t>Glas new Russian writing ; v. 23</t>
  </si>
  <si>
    <t>2018-04-06</t>
  </si>
  <si>
    <t>9989246718:eng</t>
  </si>
  <si>
    <t>44920802</t>
  </si>
  <si>
    <t>ocm44920802</t>
  </si>
  <si>
    <t>3102029593C</t>
  </si>
  <si>
    <t>9785717200493</t>
  </si>
  <si>
    <t>793660595</t>
  </si>
  <si>
    <t>PG3476 N3 A17 1961</t>
  </si>
  <si>
    <t>0                      PG 3476000N  3                  A  17          1961</t>
  </si>
  <si>
    <t>Poems / Vladimir Nabokov ; drawings by Robin Jacques.</t>
  </si>
  <si>
    <t>London : Weidenfeld and Nicolson, 1961.</t>
  </si>
  <si>
    <t>2008-11-03</t>
  </si>
  <si>
    <t>2017-05-10</t>
  </si>
  <si>
    <t>4918783753:eng</t>
  </si>
  <si>
    <t>2391285</t>
  </si>
  <si>
    <t>ocm02391285</t>
  </si>
  <si>
    <t>3103003312L</t>
  </si>
  <si>
    <t>792115054</t>
  </si>
  <si>
    <t>3103008173W</t>
  </si>
  <si>
    <t>792115053</t>
  </si>
  <si>
    <t>PG3476 N3 A17 1970</t>
  </si>
  <si>
    <t>0                      PG 3476000N  3                  A  17          1970</t>
  </si>
  <si>
    <t>Poems and problems / Vladimir Nabokov.</t>
  </si>
  <si>
    <t>New York : McGraw-Hill Book Co., ©1970.</t>
  </si>
  <si>
    <t>2019-05-23</t>
  </si>
  <si>
    <t>406063:eng</t>
  </si>
  <si>
    <t>133514</t>
  </si>
  <si>
    <t>ocm00133514</t>
  </si>
  <si>
    <t>3103199106S</t>
  </si>
  <si>
    <t>9780070457249</t>
  </si>
  <si>
    <t>791267228</t>
  </si>
  <si>
    <t>PG3476 N3 A2 2012</t>
  </si>
  <si>
    <t>0                      PG 3476000N  3                  A  2           2012</t>
  </si>
  <si>
    <t>Selected poems / Vladimir Nabokov ; edited and with an introduction by Thomas Karshan ; new translations by Dmitri Nabokov.</t>
  </si>
  <si>
    <t>New York : Alfred A. Knopf, 2012.</t>
  </si>
  <si>
    <t>1010667344:eng</t>
  </si>
  <si>
    <t>745979758</t>
  </si>
  <si>
    <t>ocn745979758</t>
  </si>
  <si>
    <t>3103411735L</t>
  </si>
  <si>
    <t>9780307593351</t>
  </si>
  <si>
    <t>794886823</t>
  </si>
  <si>
    <t>PG3476 N3 A26x</t>
  </si>
  <si>
    <t>0                      PG 3476000N  3                  A  26x</t>
  </si>
  <si>
    <t>A Russian beauty and other stories / Vladimir Nabokov.</t>
  </si>
  <si>
    <t>New York ; Toronto : McGraw-Hill Book Company, [1973]</t>
  </si>
  <si>
    <t>351337970:eng</t>
  </si>
  <si>
    <t>447413</t>
  </si>
  <si>
    <t>ocm00447413</t>
  </si>
  <si>
    <t>30006148969</t>
  </si>
  <si>
    <t>9780070457355</t>
  </si>
  <si>
    <t>791381241</t>
  </si>
  <si>
    <t>3103736073R</t>
  </si>
  <si>
    <t>791381242</t>
  </si>
  <si>
    <t>PG3476 N3 A26x 1974</t>
  </si>
  <si>
    <t>0                      PG 3476000N  3                  A  26x         1974</t>
  </si>
  <si>
    <t>2011-09-21</t>
  </si>
  <si>
    <t>30001932390</t>
  </si>
  <si>
    <t>791381243</t>
  </si>
  <si>
    <t>PG3476 N3 A6 1990</t>
  </si>
  <si>
    <t>0                      PG 3476000N  3                  A  6           1990</t>
  </si>
  <si>
    <t>Romany / Vladimir Nabokov ; [sostavlenie, podgotovka tekstov, predislovie A.S. Muli︠a︡rchika ; kommentarii V.L. Shokhinoĭ].</t>
  </si>
  <si>
    <t>933463705:rus</t>
  </si>
  <si>
    <t>21892126</t>
  </si>
  <si>
    <t>ocm21892126</t>
  </si>
  <si>
    <t>3102799827B</t>
  </si>
  <si>
    <t>9785270006730</t>
  </si>
  <si>
    <t>793129319</t>
  </si>
  <si>
    <t>PG3476 N3 A6 1993</t>
  </si>
  <si>
    <t>0                      PG 3476000N  3                  A  6           1993</t>
  </si>
  <si>
    <t>Romany, rasskazy, ėsse / Vladimir Nabokov.</t>
  </si>
  <si>
    <t>Sankt-Peterburg : Ėntar, 1993.</t>
  </si>
  <si>
    <t>231898249:rus</t>
  </si>
  <si>
    <t>38853698</t>
  </si>
  <si>
    <t>ocm38853698</t>
  </si>
  <si>
    <t>31014045194</t>
  </si>
  <si>
    <t>9785900390031</t>
  </si>
  <si>
    <t>793531329</t>
  </si>
  <si>
    <t>PG3476 N3 A6 1996</t>
  </si>
  <si>
    <t>0                      PG 3476000N  3                  A  6           1996</t>
  </si>
  <si>
    <t>Novels, 1969-1974 / Vladimir Nabokov.</t>
  </si>
  <si>
    <t>New York : Library of America, ©1996.</t>
  </si>
  <si>
    <t>Library of America ; 89</t>
  </si>
  <si>
    <t>9605299:eng</t>
  </si>
  <si>
    <t>150834698</t>
  </si>
  <si>
    <t>ocn150834698</t>
  </si>
  <si>
    <t>3103628454I</t>
  </si>
  <si>
    <t>9781883011208</t>
  </si>
  <si>
    <t>794248738</t>
  </si>
  <si>
    <t>3101700747R</t>
  </si>
  <si>
    <t>794248737</t>
  </si>
  <si>
    <t>PG3476 N3 A6 1996a</t>
  </si>
  <si>
    <t>0                      PG 3476000N  3                  A  6           1996a</t>
  </si>
  <si>
    <t>Novels, 1955-1962 / Vladimir Nabokov.</t>
  </si>
  <si>
    <t>The Library of America ; 88</t>
  </si>
  <si>
    <t>2019-08-13</t>
  </si>
  <si>
    <t>196629463:eng</t>
  </si>
  <si>
    <t>228666201</t>
  </si>
  <si>
    <t>ocn228666201</t>
  </si>
  <si>
    <t>3102796095X</t>
  </si>
  <si>
    <t>9781883011192</t>
  </si>
  <si>
    <t>794350359</t>
  </si>
  <si>
    <t>PG3476 N3 A6 1996b</t>
  </si>
  <si>
    <t>0                      PG 3476000N  3                  A  6           1996b</t>
  </si>
  <si>
    <t>Novels and memoirs, 1941-1951 / Vladimir Nabokov.</t>
  </si>
  <si>
    <t>The Library of America ; 87</t>
  </si>
  <si>
    <t>231899250:eng</t>
  </si>
  <si>
    <t>228666200</t>
  </si>
  <si>
    <t>ocn228666200</t>
  </si>
  <si>
    <t>3101700751$</t>
  </si>
  <si>
    <t>9781883011185</t>
  </si>
  <si>
    <t>794350358</t>
  </si>
  <si>
    <t>PG3476 N3 A6 1997</t>
  </si>
  <si>
    <t>0                      PG 3476000N  3                  A  6           1997</t>
  </si>
  <si>
    <t>The stories of Vladimir Nabokov.</t>
  </si>
  <si>
    <t>New York : Vintage Books, 1997, ©1995.</t>
  </si>
  <si>
    <t>1st Vintage International ed.</t>
  </si>
  <si>
    <t>2019-04-09</t>
  </si>
  <si>
    <t>4162062565:eng</t>
  </si>
  <si>
    <t>36100994</t>
  </si>
  <si>
    <t>ocm36100994</t>
  </si>
  <si>
    <t>3102891310H</t>
  </si>
  <si>
    <t>9780679729976</t>
  </si>
  <si>
    <t>793466306</t>
  </si>
  <si>
    <t>PG3476 N3 A65</t>
  </si>
  <si>
    <t>0                      PG 3476000N  3                  A  65</t>
  </si>
  <si>
    <t>Ada : or, Ardor: a family chronicle / Vladimir Nabokov.</t>
  </si>
  <si>
    <t>New York : McGraw-Hill Book Company, [1969]</t>
  </si>
  <si>
    <t>2019-08-27</t>
  </si>
  <si>
    <t>4535599723:eng</t>
  </si>
  <si>
    <t>7218</t>
  </si>
  <si>
    <t>ocm00007218</t>
  </si>
  <si>
    <t>3102734481O</t>
  </si>
  <si>
    <t>9780679725220</t>
  </si>
  <si>
    <t>791226504</t>
  </si>
  <si>
    <t>31036442610</t>
  </si>
  <si>
    <t>791226506</t>
  </si>
  <si>
    <t>2019-04-27</t>
  </si>
  <si>
    <t>31028671830</t>
  </si>
  <si>
    <t>791226505</t>
  </si>
  <si>
    <t>PG3476 N3 A6534 1985</t>
  </si>
  <si>
    <t>0                      PG 3476000N  3                  A  6534        1985</t>
  </si>
  <si>
    <t>The mirage in the mirror : Nabokov's Ada and its French pre-texts / Annapaola Cancogni.</t>
  </si>
  <si>
    <t>Cancogni, Annapaola, 1944-</t>
  </si>
  <si>
    <t>New York : Garland Pub., 1985.</t>
  </si>
  <si>
    <t>Garland publications in comparative literature</t>
  </si>
  <si>
    <t>836706302:eng</t>
  </si>
  <si>
    <t>11866975</t>
  </si>
  <si>
    <t>ocm11866975</t>
  </si>
  <si>
    <t>30003693583</t>
  </si>
  <si>
    <t>9780824067021</t>
  </si>
  <si>
    <t>792791720</t>
  </si>
  <si>
    <t>PG3476 N3 D33 1963</t>
  </si>
  <si>
    <t>0                      PG 3476000N  3                  D  33          1963</t>
  </si>
  <si>
    <t>The gift : a novel / by Vladimir Nabokov ; translated from the Russian by Michael Scammell with the collaboration of the author.</t>
  </si>
  <si>
    <t>New York : G.P. Putnam's Sons, 1963.</t>
  </si>
  <si>
    <t>Vintage international</t>
  </si>
  <si>
    <t>4917173484:eng</t>
  </si>
  <si>
    <t>265075</t>
  </si>
  <si>
    <t>ocm00265075</t>
  </si>
  <si>
    <t>3000794245W</t>
  </si>
  <si>
    <t>9780679727255</t>
  </si>
  <si>
    <t>791315682</t>
  </si>
  <si>
    <t>PG3476 N3 D335 2011</t>
  </si>
  <si>
    <t>0                      PG 3476000N  3                  D  335         2011</t>
  </si>
  <si>
    <t>Keys to the gift : a guide to Nabokov's novel / Yuri Leving.</t>
  </si>
  <si>
    <t>Leving, I︠U︡riĭ, author.</t>
  </si>
  <si>
    <t>2014-05-06</t>
  </si>
  <si>
    <t>993534537:eng</t>
  </si>
  <si>
    <t>782047793</t>
  </si>
  <si>
    <t>ocn782047793</t>
  </si>
  <si>
    <t>3103468238K</t>
  </si>
  <si>
    <t>9781934843970</t>
  </si>
  <si>
    <t>794913529</t>
  </si>
  <si>
    <t>PG3476 N3 F73 2012</t>
  </si>
  <si>
    <t>0                      PG 3476000N  3                  F  73          2012</t>
  </si>
  <si>
    <t>Nabokov's theatrical imagination / Siggy Frank.</t>
  </si>
  <si>
    <t>Frank, Siggy.</t>
  </si>
  <si>
    <t>2019-12-01</t>
  </si>
  <si>
    <t>1086960830:eng</t>
  </si>
  <si>
    <t>754716660</t>
  </si>
  <si>
    <t>ocn754716660</t>
  </si>
  <si>
    <t>31034092693</t>
  </si>
  <si>
    <t>9781107015456</t>
  </si>
  <si>
    <t>794893030</t>
  </si>
  <si>
    <t>PG3476 N3 I93 1966</t>
  </si>
  <si>
    <t>0                      PG 3476000N  3                  I  93          1966</t>
  </si>
  <si>
    <t>The Waltz invention : a play in three acts / by Vladimir Nabokov.</t>
  </si>
  <si>
    <t>New York : Phaedra, 1966.</t>
  </si>
  <si>
    <t>First edition, February 1, 1966.</t>
  </si>
  <si>
    <t>2017-08-07</t>
  </si>
  <si>
    <t>4991150:eng</t>
  </si>
  <si>
    <t>321206</t>
  </si>
  <si>
    <t>ocm00321206</t>
  </si>
  <si>
    <t>3000216057W</t>
  </si>
  <si>
    <t>791336179</t>
  </si>
  <si>
    <t>PG3476 N3 L3 1960</t>
  </si>
  <si>
    <t>0                      PG 3476000N  3                  L  3           1960</t>
  </si>
  <si>
    <t>Laughter in the dark / by Vladimir Nabokov.</t>
  </si>
  <si>
    <t>New York : New Directions, 1960.</t>
  </si>
  <si>
    <t>New edition.</t>
  </si>
  <si>
    <t>10075995074:eng</t>
  </si>
  <si>
    <t>289705</t>
  </si>
  <si>
    <t>ocm00289705</t>
  </si>
  <si>
    <t>3102933170R</t>
  </si>
  <si>
    <t>9780811216746</t>
  </si>
  <si>
    <t>791325445</t>
  </si>
  <si>
    <t>3102933175R</t>
  </si>
  <si>
    <t>791325446</t>
  </si>
  <si>
    <t>PG3476 N3 L6 1955</t>
  </si>
  <si>
    <t>0                      PG 3476000N  3                  L  6           1955</t>
  </si>
  <si>
    <t>Lolita / by Vladimir Nabokov.</t>
  </si>
  <si>
    <t>New York, [New York] : Putnam, ©1955.</t>
  </si>
  <si>
    <t>2019-08-15</t>
  </si>
  <si>
    <t>9021071821:eng</t>
  </si>
  <si>
    <t>40449711</t>
  </si>
  <si>
    <t>ocm40449711</t>
  </si>
  <si>
    <t>31033883795</t>
  </si>
  <si>
    <t>793567469</t>
  </si>
  <si>
    <t>2018-11-13</t>
  </si>
  <si>
    <t>3102802063K</t>
  </si>
  <si>
    <t>793567470</t>
  </si>
  <si>
    <t>PG3476 N3 L6 1970</t>
  </si>
  <si>
    <t>0                      PG 3476000N  3                  L  6           1970</t>
  </si>
  <si>
    <t>The annotated Lolita / Vladimir Nabokov ; edited, with preface, introduction and notes by Alfred Appel, Jr.</t>
  </si>
  <si>
    <t>New York : McGraw-Hill Book Co., [1970]</t>
  </si>
  <si>
    <t>2019-08-07</t>
  </si>
  <si>
    <t>3331:eng</t>
  </si>
  <si>
    <t>71429</t>
  </si>
  <si>
    <t>ocm00071429</t>
  </si>
  <si>
    <t>3102804498V</t>
  </si>
  <si>
    <t>9780070457300</t>
  </si>
  <si>
    <t>791246112</t>
  </si>
  <si>
    <t>PG3476 N3 L6 2000</t>
  </si>
  <si>
    <t>0                      PG 3476000N  3                  L  6           2000</t>
  </si>
  <si>
    <t>The annotated Lolita / Vladimir Nabokov ; edited, with preface, introduction and notes by Alfred Appel.</t>
  </si>
  <si>
    <t>London : Penguin, 2000.</t>
  </si>
  <si>
    <t>Rev. and expanded ed.</t>
  </si>
  <si>
    <t>2018-05-31</t>
  </si>
  <si>
    <t>59558135</t>
  </si>
  <si>
    <t>ocm59558135</t>
  </si>
  <si>
    <t>3103106544S</t>
  </si>
  <si>
    <t>9780141185040</t>
  </si>
  <si>
    <t>793930575</t>
  </si>
  <si>
    <t>3103765707$</t>
  </si>
  <si>
    <t>793930573</t>
  </si>
  <si>
    <t>3103302382U</t>
  </si>
  <si>
    <t>793930574</t>
  </si>
  <si>
    <t>3103302383U</t>
  </si>
  <si>
    <t>793930572</t>
  </si>
  <si>
    <t>PG3476 N3 L617</t>
  </si>
  <si>
    <t>0                      PG 3476000N  3                  L  617</t>
  </si>
  <si>
    <t>Lolita : roman / Vladimir Nabokov ; perevel s angliĭskago avtor.</t>
  </si>
  <si>
    <t>New York : Phaedra Publishers, [1967]</t>
  </si>
  <si>
    <t>3331:rus</t>
  </si>
  <si>
    <t>573526</t>
  </si>
  <si>
    <t>ocm00573526</t>
  </si>
  <si>
    <t>30006504257</t>
  </si>
  <si>
    <t>791418375</t>
  </si>
  <si>
    <t>PG3476 N3 L617 1976</t>
  </si>
  <si>
    <t>0                      PG 3476000N  3                  L  617         1976</t>
  </si>
  <si>
    <t>Lolita / Vladimir Nabokov ; perevel s angliĭskogo avtor.</t>
  </si>
  <si>
    <t>Nabokov, Vladimir Vladimirovich, 1899-1977, author, translator.</t>
  </si>
  <si>
    <t>Ann Arbor, Michigan : Ardis, 1976.</t>
  </si>
  <si>
    <t>Ardis edition.</t>
  </si>
  <si>
    <t>2585852</t>
  </si>
  <si>
    <t>ocm02585852</t>
  </si>
  <si>
    <t>3102785108K</t>
  </si>
  <si>
    <t>9780882332277</t>
  </si>
  <si>
    <t>792147375</t>
  </si>
  <si>
    <t>PG3476 N3 L6327 1992</t>
  </si>
  <si>
    <t>0                      PG 3476000N  3                  L  6327        1992</t>
  </si>
  <si>
    <t>Lolita / edited and with an introduction by Harold Bloom.</t>
  </si>
  <si>
    <t>New York : Chelsea House, ©1992.</t>
  </si>
  <si>
    <t>Major literary characters</t>
  </si>
  <si>
    <t>2017-10-17</t>
  </si>
  <si>
    <t>55561223:eng</t>
  </si>
  <si>
    <t>370353120</t>
  </si>
  <si>
    <t>ocn370353120</t>
  </si>
  <si>
    <t>3102933180P</t>
  </si>
  <si>
    <t>9780791009611</t>
  </si>
  <si>
    <t>794494516</t>
  </si>
  <si>
    <t>PG3476 N3 L6347 1995</t>
  </si>
  <si>
    <t>0                      PG 3476000N  3                  L  6347        1995</t>
  </si>
  <si>
    <t>Lolita : a Janus text / Lance Olsen.</t>
  </si>
  <si>
    <t>Olsen, Lance, 1956-</t>
  </si>
  <si>
    <t>New York : Twayne Publishers ; London : Prentice Hall International, ©1995.</t>
  </si>
  <si>
    <t>Twayne's masterwork studies ; no. 153</t>
  </si>
  <si>
    <t>807869565:eng</t>
  </si>
  <si>
    <t>31206194</t>
  </si>
  <si>
    <t>ocm31206194</t>
  </si>
  <si>
    <t>3102933146X</t>
  </si>
  <si>
    <t>9780805783551</t>
  </si>
  <si>
    <t>793355774</t>
  </si>
  <si>
    <t>PG3476 N3 L636 1968</t>
  </si>
  <si>
    <t>0                      PG 3476000N  3                  L  636         1968</t>
  </si>
  <si>
    <t>Keys to Lolita / Carl R. Proffer.</t>
  </si>
  <si>
    <t>Proffer, Carl R., author.</t>
  </si>
  <si>
    <t>Bloomington : Indiana University Press, [1968]</t>
  </si>
  <si>
    <t>1204906:eng</t>
  </si>
  <si>
    <t>293600</t>
  </si>
  <si>
    <t>ocm00293600</t>
  </si>
  <si>
    <t>3102735269U</t>
  </si>
  <si>
    <t>791326735</t>
  </si>
  <si>
    <t>PG3476 N3 L64 1959</t>
  </si>
  <si>
    <t>0                      PG 3476000N  3                  L  64          1959</t>
  </si>
  <si>
    <t>Lolita : roman / Vladimir Nabokov ; traduit de l'anglais par E.H. Kahane.</t>
  </si>
  <si>
    <t>Paris : Gallimard, 1959.</t>
  </si>
  <si>
    <t>Du monde entier</t>
  </si>
  <si>
    <t>3331:fre</t>
  </si>
  <si>
    <t>2145644</t>
  </si>
  <si>
    <t>ocm02145644</t>
  </si>
  <si>
    <t>3102796620T</t>
  </si>
  <si>
    <t>792055706</t>
  </si>
  <si>
    <t>3102933145X</t>
  </si>
  <si>
    <t>792055705</t>
  </si>
  <si>
    <t>PG3476 N3 L65</t>
  </si>
  <si>
    <t>0                      PG 3476000N  3                  L  65</t>
  </si>
  <si>
    <t>Look at the harlequins! / Vladimir Nabokov.</t>
  </si>
  <si>
    <t>New York : McGraw-Hill Book Company, [1974]</t>
  </si>
  <si>
    <t>1910225:eng</t>
  </si>
  <si>
    <t>947946</t>
  </si>
  <si>
    <t>ocm00947946</t>
  </si>
  <si>
    <t>3103103008Q</t>
  </si>
  <si>
    <t>9780070457386</t>
  </si>
  <si>
    <t>791509581</t>
  </si>
  <si>
    <t>PG3476 N3 O72</t>
  </si>
  <si>
    <t>0                      PG 3476000N  3                  O  72</t>
  </si>
  <si>
    <t>Despair : a novel / by Vladimir Nabokov.</t>
  </si>
  <si>
    <t>New York : G.P. Putnam's Sons, [1966]</t>
  </si>
  <si>
    <t>4917524271:eng</t>
  </si>
  <si>
    <t>289706</t>
  </si>
  <si>
    <t>ocm00289706</t>
  </si>
  <si>
    <t>3102933160T</t>
  </si>
  <si>
    <t>9780399500657</t>
  </si>
  <si>
    <t>791325447</t>
  </si>
  <si>
    <t>PG3476 N3 O72 1966</t>
  </si>
  <si>
    <t>0                      PG 3476000N  3                  O  72          1966</t>
  </si>
  <si>
    <t>London : Weidenfeld &amp; Nicholson, [1966]</t>
  </si>
  <si>
    <t>2019-11-24</t>
  </si>
  <si>
    <t>2356574</t>
  </si>
  <si>
    <t>ocm02356574</t>
  </si>
  <si>
    <t>3102933176R</t>
  </si>
  <si>
    <t>792108851</t>
  </si>
  <si>
    <t>PG3476 N3 P333 1999</t>
  </si>
  <si>
    <t>0                      PG 3476000N  3                  P  333         1999</t>
  </si>
  <si>
    <t>Nabokov's Pale fire : the magic of artistic discovery / Brian Boyd.</t>
  </si>
  <si>
    <t>Boyd, Brian, 1952-</t>
  </si>
  <si>
    <t>Princeton, N.J. : Princeton University Press, ©1999.</t>
  </si>
  <si>
    <t>800301842:eng</t>
  </si>
  <si>
    <t>41211639</t>
  </si>
  <si>
    <t>ocm41211639</t>
  </si>
  <si>
    <t>3102801880X</t>
  </si>
  <si>
    <t>9780691009599</t>
  </si>
  <si>
    <t>793586780</t>
  </si>
  <si>
    <t>PG3476 N3 P336 1988</t>
  </si>
  <si>
    <t>0                      PG 3476000N  3                  P  336         1988</t>
  </si>
  <si>
    <t>Find what the sailor has hidden : Vladimir Nabokov's Pale fire / Priscilla Meyer.</t>
  </si>
  <si>
    <t>Meyer, Priscilla.</t>
  </si>
  <si>
    <t>Middletown, Conn. : Wesleyan University Press, ©1988.</t>
  </si>
  <si>
    <t>2017-05-05</t>
  </si>
  <si>
    <t>254053635:eng</t>
  </si>
  <si>
    <t>17649640</t>
  </si>
  <si>
    <t>ocm17649640</t>
  </si>
  <si>
    <t>3102933150V</t>
  </si>
  <si>
    <t>9780819552068</t>
  </si>
  <si>
    <t>792998670</t>
  </si>
  <si>
    <t>PG3476 N3 P5 1957</t>
  </si>
  <si>
    <t>0                      PG 3476000N  3                  P  5           1957</t>
  </si>
  <si>
    <t>Pnin / Vladimir Nabokov.</t>
  </si>
  <si>
    <t>Garden City, New York : Doubleday &amp; Company, 1957.</t>
  </si>
  <si>
    <t>502598:eng</t>
  </si>
  <si>
    <t>861053</t>
  </si>
  <si>
    <t>ocm00861053</t>
  </si>
  <si>
    <t>3102799316s</t>
  </si>
  <si>
    <t>791489360</t>
  </si>
  <si>
    <t>PG3476 N3 P5 2004</t>
  </si>
  <si>
    <t>0                      PG 3476000N  3                  P  5           2004</t>
  </si>
  <si>
    <t>Pnin / Vladimir Nabokov ; with an introduction by David Lodge.</t>
  </si>
  <si>
    <t>Everyman's library ; 272</t>
  </si>
  <si>
    <t>54952062</t>
  </si>
  <si>
    <t>ocm54952062</t>
  </si>
  <si>
    <t>3102949546T</t>
  </si>
  <si>
    <t>9781400041985</t>
  </si>
  <si>
    <t>793870995</t>
  </si>
  <si>
    <t>PG3476 N3 P5934 1989</t>
  </si>
  <si>
    <t>0                      PG 3476000N  3                  P  5934        1989</t>
  </si>
  <si>
    <t>Phantom of fact : a guide to Nabokov's Pnin / Gennadi Barabtarlo.</t>
  </si>
  <si>
    <t>Barabtarlo, Gennady, 1949-2019.</t>
  </si>
  <si>
    <t>21409524:eng</t>
  </si>
  <si>
    <t>19517468</t>
  </si>
  <si>
    <t>ocm19517468</t>
  </si>
  <si>
    <t>3102933156V</t>
  </si>
  <si>
    <t>9780875010601</t>
  </si>
  <si>
    <t>793060748</t>
  </si>
  <si>
    <t>PG3476 N3 P5936 1997</t>
  </si>
  <si>
    <t>0                      PG 3476000N  3                  P  5936        1997</t>
  </si>
  <si>
    <t>Pniniad : Vladimir Nabokov and Marc Szeftel / Galya Diment.</t>
  </si>
  <si>
    <t>Diment, Galya.</t>
  </si>
  <si>
    <t>Seattle : University of Washington Press, ©1997.</t>
  </si>
  <si>
    <t>372900014:eng</t>
  </si>
  <si>
    <t>36566006</t>
  </si>
  <si>
    <t>ocm36566006</t>
  </si>
  <si>
    <t>3102933151V</t>
  </si>
  <si>
    <t>9780295976341</t>
  </si>
  <si>
    <t>793478697</t>
  </si>
  <si>
    <t>PG3476 N3 P713</t>
  </si>
  <si>
    <t>0                      PG 3476000N  3                  P  713</t>
  </si>
  <si>
    <t>Invitation to a beheading / Vladimir Nabokov ; translated by Dmitri Nabokov in collaboration with the author.</t>
  </si>
  <si>
    <t>New York : G.P. Putnam's Sons, ©1959.</t>
  </si>
  <si>
    <t>58324749:eng</t>
  </si>
  <si>
    <t>292275</t>
  </si>
  <si>
    <t>ocm00292275</t>
  </si>
  <si>
    <t>3103903946D</t>
  </si>
  <si>
    <t>791326360</t>
  </si>
  <si>
    <t>PG3476 N3 P7313 1989</t>
  </si>
  <si>
    <t>0                      PG 3476000N  3                  P  7313        1989</t>
  </si>
  <si>
    <t>New York : Vintage Books, 1989, ©1959.</t>
  </si>
  <si>
    <t>1st Vintage international ed.</t>
  </si>
  <si>
    <t>19971258</t>
  </si>
  <si>
    <t>ocm19971258</t>
  </si>
  <si>
    <t>31034021157</t>
  </si>
  <si>
    <t>9780679725312</t>
  </si>
  <si>
    <t>793073523</t>
  </si>
  <si>
    <t>PG3476 N3 P735 1997</t>
  </si>
  <si>
    <t>0                      PG 3476000N  3                  P  735         1997</t>
  </si>
  <si>
    <t>Nabokov's Invitation to a beheading : a critical companion / edited by Julian W. Connolly.</t>
  </si>
  <si>
    <t>Evanston, Ill. : Northwestern University Press : American Association of Teachers of Slavic and East European Languages, ©1997.</t>
  </si>
  <si>
    <t>2016-03-03</t>
  </si>
  <si>
    <t>617207:eng</t>
  </si>
  <si>
    <t>37024889</t>
  </si>
  <si>
    <t>ocm37024889</t>
  </si>
  <si>
    <t>3102933166T</t>
  </si>
  <si>
    <t>9780810112711</t>
  </si>
  <si>
    <t>793490195</t>
  </si>
  <si>
    <t>PG3476 N3 P737 1998</t>
  </si>
  <si>
    <t>0                      PG 3476000N  3                  P  737         1998</t>
  </si>
  <si>
    <t>Delicate markers : subtexts in Vladimir Nabokov's Invitation to a beheading / Gavriel Shapiro.</t>
  </si>
  <si>
    <t>New York : Peter Lang, 1998.</t>
  </si>
  <si>
    <t>Middlebury studies in Russian language and literature ; v. 19</t>
  </si>
  <si>
    <t>2018-02-08</t>
  </si>
  <si>
    <t>891351548:eng</t>
  </si>
  <si>
    <t>37770255</t>
  </si>
  <si>
    <t>ocm37770255</t>
  </si>
  <si>
    <t>3102933161T</t>
  </si>
  <si>
    <t>9780820439464</t>
  </si>
  <si>
    <t>793506665</t>
  </si>
  <si>
    <t>PG3476 N3 P73x 1965</t>
  </si>
  <si>
    <t>0                      PG 3476000N  3                  P  73x         1965</t>
  </si>
  <si>
    <t>New York : Capricorn Books, 1965.</t>
  </si>
  <si>
    <t>Capricorn books edition.</t>
  </si>
  <si>
    <t>1045201</t>
  </si>
  <si>
    <t>ocm01045201</t>
  </si>
  <si>
    <t>3102810698$</t>
  </si>
  <si>
    <t>791532782</t>
  </si>
  <si>
    <t>PG3476 N3 P74</t>
  </si>
  <si>
    <t>0                      PG 3476000N  3                  P  74</t>
  </si>
  <si>
    <t>Invitation au supplice / Vladimir Nabokov ; traduit du russe par Jarl Priel.</t>
  </si>
  <si>
    <t>[Paris] : Gallimard, ©1960.</t>
  </si>
  <si>
    <t>Collecition Folio ; 1172</t>
  </si>
  <si>
    <t>2973870984:fre</t>
  </si>
  <si>
    <t>23395682</t>
  </si>
  <si>
    <t>ocm23395682</t>
  </si>
  <si>
    <t>3102933137Z</t>
  </si>
  <si>
    <t>793169580</t>
  </si>
  <si>
    <t>PG3476 N3 R4</t>
  </si>
  <si>
    <t>0                      PG 3476000N  3                  R  4</t>
  </si>
  <si>
    <t>The real life of Sebastian Knight / Vladimir Nabokov.</t>
  </si>
  <si>
    <t>Norfolk, Conn. : New Directions, [1941]</t>
  </si>
  <si>
    <t>1941</t>
  </si>
  <si>
    <t>2019-09-14</t>
  </si>
  <si>
    <t>470522:eng</t>
  </si>
  <si>
    <t>2381791</t>
  </si>
  <si>
    <t>ocm02381791</t>
  </si>
  <si>
    <t>3102999921X</t>
  </si>
  <si>
    <t>792113687</t>
  </si>
  <si>
    <t>PG3476 N3 S613 1966</t>
  </si>
  <si>
    <t>0                      PG 3476000N  3                  S  613         1966</t>
  </si>
  <si>
    <t>The eye : a novel / by Vladimir Nabokov.</t>
  </si>
  <si>
    <t>London : Weidenfeld and Nicolson, 1966, ©1965.</t>
  </si>
  <si>
    <t>4534472:eng</t>
  </si>
  <si>
    <t>2124185</t>
  </si>
  <si>
    <t>ocm02124185</t>
  </si>
  <si>
    <t>3102933179R</t>
  </si>
  <si>
    <t>792051605</t>
  </si>
  <si>
    <t>PG3476 N3 S63x</t>
  </si>
  <si>
    <t>0                      PG 3476000N  3                  S  63x</t>
  </si>
  <si>
    <t>The eye / by Vladimir Nabokov ; translated by Dmitri Nabokov in collaboration with the author.</t>
  </si>
  <si>
    <t>New York : Phaedra, 1965.</t>
  </si>
  <si>
    <t>167454</t>
  </si>
  <si>
    <t>ocm00167454</t>
  </si>
  <si>
    <t>3102933184P</t>
  </si>
  <si>
    <t>791278685</t>
  </si>
  <si>
    <t>3103628580D</t>
  </si>
  <si>
    <t>791278686</t>
  </si>
  <si>
    <t>PG3476 N3 S7</t>
  </si>
  <si>
    <t>0                      PG 3476000N  3                  S  7</t>
  </si>
  <si>
    <t>Strong opinions / Vladimir Nabokov.</t>
  </si>
  <si>
    <t>New York, McGraw-Hill ©1973.</t>
  </si>
  <si>
    <t>1677865:eng</t>
  </si>
  <si>
    <t>618438</t>
  </si>
  <si>
    <t>ocm00618438</t>
  </si>
  <si>
    <t>3103404618L</t>
  </si>
  <si>
    <t>9780070457379</t>
  </si>
  <si>
    <t>791429653</t>
  </si>
  <si>
    <t>PG3476 N3 T8313 2013</t>
  </si>
  <si>
    <t>0                      PG 3476000N  3                  T  8313        2013</t>
  </si>
  <si>
    <t>The tragedy of Mr. Morn / by Vladimir Nabokov ; with an introduction by Thomas Karshan ; translation by Anastasia Tolstoy and Thomas Karshan.</t>
  </si>
  <si>
    <t>New York : Alfred A. Knopf, 2013.</t>
  </si>
  <si>
    <t>1st United States ed.</t>
  </si>
  <si>
    <t>2013-10-17</t>
  </si>
  <si>
    <t>3861532008:eng</t>
  </si>
  <si>
    <t>798058777</t>
  </si>
  <si>
    <t>ocn798058777</t>
  </si>
  <si>
    <t>3103454202A</t>
  </si>
  <si>
    <t>9780307960818</t>
  </si>
  <si>
    <t>794923083</t>
  </si>
  <si>
    <t>PG3476 N3 V5513 1986</t>
  </si>
  <si>
    <t>0                      PG 3476000N  3                  V  5513        1986</t>
  </si>
  <si>
    <t>The enchanter / Vladimir Nabokov ; translated by Dmitri Nabokov.</t>
  </si>
  <si>
    <t>New York : Putnam, ©1986.</t>
  </si>
  <si>
    <t>7335742:eng</t>
  </si>
  <si>
    <t>13822927</t>
  </si>
  <si>
    <t>ocm13822927</t>
  </si>
  <si>
    <t>3102933164T</t>
  </si>
  <si>
    <t>9780399132117</t>
  </si>
  <si>
    <t>792868129</t>
  </si>
  <si>
    <t>PG3476 N3 Z2413 1964</t>
  </si>
  <si>
    <t>0                      PG 3476000N  3                  Z  2413        1964</t>
  </si>
  <si>
    <t>The defense : [a novel] / by Vladimir Nabokov ; translated by Michael Schammell in collaboration with the author.</t>
  </si>
  <si>
    <t>London : Weidenfeld and Nicolson, [1964]</t>
  </si>
  <si>
    <t>508006617:eng</t>
  </si>
  <si>
    <t>29113881</t>
  </si>
  <si>
    <t>ocm29113881</t>
  </si>
  <si>
    <t>3102933149X</t>
  </si>
  <si>
    <t>793303543</t>
  </si>
  <si>
    <t>PG3476 N3 Z2413 1964b</t>
  </si>
  <si>
    <t>0                      PG 3476000N  3                  Z  2413        1964b</t>
  </si>
  <si>
    <t>The defense : a novel / by Vladimir Nabokov ; translated by Michael Scammell in collaboration with the author.</t>
  </si>
  <si>
    <t>New York : G.P. Putnam's Sons, [1964]</t>
  </si>
  <si>
    <t>70864043</t>
  </si>
  <si>
    <t>ocm70864043</t>
  </si>
  <si>
    <t>3102933154V</t>
  </si>
  <si>
    <t>9780399500633</t>
  </si>
  <si>
    <t>794160293</t>
  </si>
  <si>
    <t>PG3476 N3 Z2413 1990</t>
  </si>
  <si>
    <t>0                      PG 3476000N  3                  Z  2413        1990</t>
  </si>
  <si>
    <t>New York : Vintage Books, 1990.</t>
  </si>
  <si>
    <t>21231988</t>
  </si>
  <si>
    <t>ocm21231988</t>
  </si>
  <si>
    <t>3103402097V</t>
  </si>
  <si>
    <t>9780679727224</t>
  </si>
  <si>
    <t>793113265</t>
  </si>
  <si>
    <t>2017-05-02</t>
  </si>
  <si>
    <t>PG3476 N3 Z46 2017</t>
  </si>
  <si>
    <t>0                      PG 3476000N  3                  Z  46          2017</t>
  </si>
  <si>
    <t>Conversations with Vladimir Nabokov / edited by Robert Golla.</t>
  </si>
  <si>
    <t>Nabokov, Vladimir Vladimirovich, 1899-1977, interviewee.</t>
  </si>
  <si>
    <t>Jackson : University Press of Mississippi, [2017]</t>
  </si>
  <si>
    <t>Literary conversations series</t>
  </si>
  <si>
    <t>2018-06-12</t>
  </si>
  <si>
    <t>3948647093:eng</t>
  </si>
  <si>
    <t>962552499</t>
  </si>
  <si>
    <t>ocn962552499</t>
  </si>
  <si>
    <t>3103740223L</t>
  </si>
  <si>
    <t>9781496810953</t>
  </si>
  <si>
    <t>795024628</t>
  </si>
  <si>
    <t>PG3476 N3 Z476 1999</t>
  </si>
  <si>
    <t>0                      PG 3476000N  3                  Z  476         1999</t>
  </si>
  <si>
    <t>Speak, memory : an autobiography revisited / Vladimir Nabokov ; with an introduction by Brian Boyd.</t>
  </si>
  <si>
    <t>New York : Alfred A. Knopf, 1999.</t>
  </si>
  <si>
    <t>Everyman's library ; 188</t>
  </si>
  <si>
    <t>2261651488:eng</t>
  </si>
  <si>
    <t>40521191</t>
  </si>
  <si>
    <t>ocm40521191</t>
  </si>
  <si>
    <t>3103584406K</t>
  </si>
  <si>
    <t>9780375405532</t>
  </si>
  <si>
    <t>793568922</t>
  </si>
  <si>
    <t>PG3476 N3 Z4762 2005</t>
  </si>
  <si>
    <t>0                      PG 3476000N  3                  Z  4762        2005</t>
  </si>
  <si>
    <t>Vladimir Nabokov : AlphaBet in Color / Jean Holabird ; foreword by Brian Boyd.</t>
  </si>
  <si>
    <t>Holabird, Jean.</t>
  </si>
  <si>
    <t>Corte Madera, CA : Gingko Press, Inc., 2005.</t>
  </si>
  <si>
    <t>2017-04-20</t>
  </si>
  <si>
    <t>5615477343:eng</t>
  </si>
  <si>
    <t>62085463</t>
  </si>
  <si>
    <t>ocm62085463</t>
  </si>
  <si>
    <t>3102635648S</t>
  </si>
  <si>
    <t>9781584231394</t>
  </si>
  <si>
    <t>794099750</t>
  </si>
  <si>
    <t>PG3476 N3 Z48 2014</t>
  </si>
  <si>
    <t>0                      PG 3476000N  3                  Z  48          2014</t>
  </si>
  <si>
    <t>Letters to Véra / Vladimir Nabokov ; translated and edited by Olga Voronina and Brian Boyd.</t>
  </si>
  <si>
    <t>London : Penguin Classics, 2014.</t>
  </si>
  <si>
    <t>2231241984:eng</t>
  </si>
  <si>
    <t>876285295</t>
  </si>
  <si>
    <t>ocn876285295</t>
  </si>
  <si>
    <t>3103585044K</t>
  </si>
  <si>
    <t>9780141192239</t>
  </si>
  <si>
    <t>794969917</t>
  </si>
  <si>
    <t>PG3476 N3 Z5 1966</t>
  </si>
  <si>
    <t>0                      PG 3476000N  3                  Z  5           1966</t>
  </si>
  <si>
    <t>Speak, memory : an autobiography revisited / by Vladimir Nabokov.</t>
  </si>
  <si>
    <t>New York : Putnam, [1966]</t>
  </si>
  <si>
    <t>321204</t>
  </si>
  <si>
    <t>ocm00321204</t>
  </si>
  <si>
    <t>3103475253N</t>
  </si>
  <si>
    <t>791336175</t>
  </si>
  <si>
    <t>3102560075E</t>
  </si>
  <si>
    <t>791336176</t>
  </si>
  <si>
    <t>2016-04-17</t>
  </si>
  <si>
    <t>31036443129</t>
  </si>
  <si>
    <t>791336177</t>
  </si>
  <si>
    <t>PG3476.N3 Z5 1989</t>
  </si>
  <si>
    <t>0                      PG 3476000N  3                  Z  5           1989</t>
  </si>
  <si>
    <t>New York, N.Y. : Vintage International, 1989.</t>
  </si>
  <si>
    <t>[Revised edition].</t>
  </si>
  <si>
    <t>20649775</t>
  </si>
  <si>
    <t>ocm20649775</t>
  </si>
  <si>
    <t>3103337690L</t>
  </si>
  <si>
    <t>9780679723394</t>
  </si>
  <si>
    <t>793094117</t>
  </si>
  <si>
    <t>PG3476 N3 Z56 1991</t>
  </si>
  <si>
    <t>0                      PG 3476000N  3                  Z  56          1991</t>
  </si>
  <si>
    <t>Nabokov's otherworld / Vladimir E. Alexandrov.</t>
  </si>
  <si>
    <t>Princeton, N.J. : Princeton University Press, ©1991.</t>
  </si>
  <si>
    <t>23785626:eng</t>
  </si>
  <si>
    <t>21593772</t>
  </si>
  <si>
    <t>ocm21593772</t>
  </si>
  <si>
    <t>3102933163T</t>
  </si>
  <si>
    <t>9780691068664</t>
  </si>
  <si>
    <t>793123634</t>
  </si>
  <si>
    <t>PG3476 N3 Z562 1994</t>
  </si>
  <si>
    <t>0                      PG 3476000N  3                  Z  562         1994</t>
  </si>
  <si>
    <t>Madness, death and disease in the fiction of Vladimir Nabokov / Nina Allan.</t>
  </si>
  <si>
    <t>Allan, Nina.</t>
  </si>
  <si>
    <t>Birmingham : Dept. of Russian Language and Literature, University of Birmingham, ©1994.</t>
  </si>
  <si>
    <t>Birmingham Slavonic monographs, 0141-3805 ; no. 23</t>
  </si>
  <si>
    <t>37048726:eng</t>
  </si>
  <si>
    <t>32299026</t>
  </si>
  <si>
    <t>ocm32299026</t>
  </si>
  <si>
    <t>3101463839T</t>
  </si>
  <si>
    <t>9780704414129</t>
  </si>
  <si>
    <t>793380435</t>
  </si>
  <si>
    <t>PG3476 N3 Z57</t>
  </si>
  <si>
    <t>0                      PG 3476000N  3                  Z  57</t>
  </si>
  <si>
    <t>Nabokov's dark cinema / Alfred Appel, Jr.</t>
  </si>
  <si>
    <t>Appel, Alfred.</t>
  </si>
  <si>
    <t>New York : Oxford University Press, 1974.</t>
  </si>
  <si>
    <t>414832:eng</t>
  </si>
  <si>
    <t>1144821</t>
  </si>
  <si>
    <t>ocm01144821</t>
  </si>
  <si>
    <t>3102933158V</t>
  </si>
  <si>
    <t>9780195018349</t>
  </si>
  <si>
    <t>791556422</t>
  </si>
  <si>
    <t>PG3476 N3 Z575 2011</t>
  </si>
  <si>
    <t>0                      PG 3476000N  3                  Z  575         2011</t>
  </si>
  <si>
    <t>The enchanter : Nabokov and happiness / Lila Azam Zanganeh.</t>
  </si>
  <si>
    <t>Azam Zanganeh, Lila.</t>
  </si>
  <si>
    <t>New York : W.W. Norton &amp; Co., ©2011.</t>
  </si>
  <si>
    <t>678838964:eng</t>
  </si>
  <si>
    <t>668194786</t>
  </si>
  <si>
    <t>ocn668194786</t>
  </si>
  <si>
    <t>3103343421F</t>
  </si>
  <si>
    <t>9780393079920</t>
  </si>
  <si>
    <t>794846052</t>
  </si>
  <si>
    <t>PG3476 N3 Z583 1993</t>
  </si>
  <si>
    <t>0                      PG 3476000N  3                  Z  583         1993</t>
  </si>
  <si>
    <t>Vladimir Nabokov et l'émigration / sous la direction de Nora Buhks.</t>
  </si>
  <si>
    <t>Paris : Institut d'études slaves, 1993.</t>
  </si>
  <si>
    <t>Cultures &amp; sociétés de l'Est, 0765-0213 ; 18</t>
  </si>
  <si>
    <t>8908712131:fre</t>
  </si>
  <si>
    <t>30436619</t>
  </si>
  <si>
    <t>ocm30436619</t>
  </si>
  <si>
    <t>3102933143X</t>
  </si>
  <si>
    <t>9782720402913</t>
  </si>
  <si>
    <t>793335301</t>
  </si>
  <si>
    <t>PG3476 N3 Z585 1990</t>
  </si>
  <si>
    <t>0                      PG 3476000N  3                  Z  585         1990</t>
  </si>
  <si>
    <t>Vladimir Nabokov : the Russian years / Brian Boyd.</t>
  </si>
  <si>
    <t>2017-08-01</t>
  </si>
  <si>
    <t>4535881453:eng</t>
  </si>
  <si>
    <t>21037765</t>
  </si>
  <si>
    <t>ocm21037765</t>
  </si>
  <si>
    <t>3102949561P</t>
  </si>
  <si>
    <t>9780691067940</t>
  </si>
  <si>
    <t>793107277</t>
  </si>
  <si>
    <t>PG3476 N3 Z587 2011</t>
  </si>
  <si>
    <t>0                      PG 3476000N  3                  Z  587         2011</t>
  </si>
  <si>
    <t>Stalking Nabokov : selected essays / Brian Boyd.</t>
  </si>
  <si>
    <t>New York : Columbia University Press, 2011.</t>
  </si>
  <si>
    <t>797454419:eng</t>
  </si>
  <si>
    <t>706467117</t>
  </si>
  <si>
    <t>ocn706467117</t>
  </si>
  <si>
    <t>3103382461S</t>
  </si>
  <si>
    <t>9780231158565</t>
  </si>
  <si>
    <t>794866888</t>
  </si>
  <si>
    <t>PG3476 N3 Z59</t>
  </si>
  <si>
    <t>0                      PG 3476000N  3                  Z  59</t>
  </si>
  <si>
    <t>Nabokov / Maurice Couturier.</t>
  </si>
  <si>
    <t>Couturier, Maurice, 1939-</t>
  </si>
  <si>
    <t>Lausanne : L'Age d'homme, ©1979.</t>
  </si>
  <si>
    <t>Cistre essai ; 7</t>
  </si>
  <si>
    <t>30040931:fre</t>
  </si>
  <si>
    <t>8053118</t>
  </si>
  <si>
    <t>ocm08053118</t>
  </si>
  <si>
    <t>3102933147X</t>
  </si>
  <si>
    <t>792595813</t>
  </si>
  <si>
    <t>PG3476 N3 Z596 2005</t>
  </si>
  <si>
    <t>0                      PG 3476000N  3                  Z  596         2005</t>
  </si>
  <si>
    <t>The Cambridge Companion to Nabokov / edited by Julian W. Connolly.</t>
  </si>
  <si>
    <t>Cambridge ; New York : Cambridge University Press, 2005.</t>
  </si>
  <si>
    <t>57163306:eng</t>
  </si>
  <si>
    <t>58555979</t>
  </si>
  <si>
    <t>ocm58555979</t>
  </si>
  <si>
    <t>3102575543H</t>
  </si>
  <si>
    <t>9780521829571</t>
  </si>
  <si>
    <t>793922628</t>
  </si>
  <si>
    <t>PG3476 N3 Z6 1984</t>
  </si>
  <si>
    <t>0                      PG 3476000N  3                  Z  6           1984</t>
  </si>
  <si>
    <t>The novels of Vladimir Nabokov / Laurie Clancy.</t>
  </si>
  <si>
    <t>Clancy, Laurie, 1942-2010.</t>
  </si>
  <si>
    <t>New York : St. Martin's Press, 1984.</t>
  </si>
  <si>
    <t>2017-06-06</t>
  </si>
  <si>
    <t>19846865:eng</t>
  </si>
  <si>
    <t>9370877</t>
  </si>
  <si>
    <t>ocm09370877</t>
  </si>
  <si>
    <t>3102949566P</t>
  </si>
  <si>
    <t>9780312579708</t>
  </si>
  <si>
    <t>792672542</t>
  </si>
  <si>
    <t>PG3476 N3 Z615 1992</t>
  </si>
  <si>
    <t>0                      PG 3476000N  3                  Z  615         1992</t>
  </si>
  <si>
    <t>Nabokov's early fiction : patterns of self and other / Julian W. Connolly.</t>
  </si>
  <si>
    <t>808695061:eng</t>
  </si>
  <si>
    <t>24380019</t>
  </si>
  <si>
    <t>ocm24380019</t>
  </si>
  <si>
    <t>3103401803T</t>
  </si>
  <si>
    <t>9780521411356</t>
  </si>
  <si>
    <t>793197147</t>
  </si>
  <si>
    <t>PG3476 N3 Z6175 2006</t>
  </si>
  <si>
    <t>0                      PG 3476000N  3                  Z  6175        2006</t>
  </si>
  <si>
    <t>Vladimir Nabokov and the art of painting / Gerard de Vries and D. Barton Johnson ; with an essay by Liana Ashenden.</t>
  </si>
  <si>
    <t>Vries, Gerard de.</t>
  </si>
  <si>
    <t>Amsterdam : Amsterdam University Press, ©2006.</t>
  </si>
  <si>
    <t>49206716:eng</t>
  </si>
  <si>
    <t>65430798</t>
  </si>
  <si>
    <t>ocm65430798</t>
  </si>
  <si>
    <t>3102577106T</t>
  </si>
  <si>
    <t>9789053567906</t>
  </si>
  <si>
    <t>794134571</t>
  </si>
  <si>
    <t>PG3476 N3 Z636 2011</t>
  </si>
  <si>
    <t>0                      PG 3476000N  3                  Z  636         2011</t>
  </si>
  <si>
    <t>Vladimir Nabokov and the poetics of liberalism / Dana Dragunoiu.</t>
  </si>
  <si>
    <t>Dragunoiu, Dana.</t>
  </si>
  <si>
    <t>Evanston, Ill. : Northwestern University Press, ©2011.</t>
  </si>
  <si>
    <t>768819619:eng</t>
  </si>
  <si>
    <t>695860327</t>
  </si>
  <si>
    <t>ocn695860327</t>
  </si>
  <si>
    <t>3103363024H</t>
  </si>
  <si>
    <t>9780810127685</t>
  </si>
  <si>
    <t>794858750</t>
  </si>
  <si>
    <t>PG3476 N3 Z646 1991</t>
  </si>
  <si>
    <t>0                      PG 3476000N  3                  Z  646         1991</t>
  </si>
  <si>
    <t>Vladimir Nabokov : the American years / Brian Boyd.</t>
  </si>
  <si>
    <t>4535707977:eng</t>
  </si>
  <si>
    <t>22906836</t>
  </si>
  <si>
    <t>ocm22906836</t>
  </si>
  <si>
    <t>31028466447</t>
  </si>
  <si>
    <t>9780691067971</t>
  </si>
  <si>
    <t>793156560</t>
  </si>
  <si>
    <t>PG3476 N3 Z65</t>
  </si>
  <si>
    <t>0                      PG 3476000N  3                  Z  65</t>
  </si>
  <si>
    <t>Nabokov, his life in art; a critical narrative / Andrew Field.</t>
  </si>
  <si>
    <t>Field, Andrew, 1938-</t>
  </si>
  <si>
    <t>Boston, Little, Brown [1967]</t>
  </si>
  <si>
    <t>3901037494:eng</t>
  </si>
  <si>
    <t>1175654</t>
  </si>
  <si>
    <t>ocm01175654</t>
  </si>
  <si>
    <t>3102933162T</t>
  </si>
  <si>
    <t>791565449</t>
  </si>
  <si>
    <t>2016-04-13</t>
  </si>
  <si>
    <t>3102933172R</t>
  </si>
  <si>
    <t>791565450</t>
  </si>
  <si>
    <t>3102933167T</t>
  </si>
  <si>
    <t>791565451</t>
  </si>
  <si>
    <t>PG3476 N3 Z65x</t>
  </si>
  <si>
    <t>0                      PG 3476000N  3                  Z  65x</t>
  </si>
  <si>
    <t>Nabokov translated : a comparison of Nabokov's Russian and English prose / by Jane Grayson.</t>
  </si>
  <si>
    <t>Grayson, Jane.</t>
  </si>
  <si>
    <t>Oxford : Oxford University Press, 1977.</t>
  </si>
  <si>
    <t>Oxford modern languages and literature monographs</t>
  </si>
  <si>
    <t>270468791:eng</t>
  </si>
  <si>
    <t>2831276</t>
  </si>
  <si>
    <t>ocm02831276</t>
  </si>
  <si>
    <t>3102933157V</t>
  </si>
  <si>
    <t>9780198155270</t>
  </si>
  <si>
    <t>792182341</t>
  </si>
  <si>
    <t>PG3476 N3 Z668 1995</t>
  </si>
  <si>
    <t>0                      PG 3476000N  3                  Z  668         1995</t>
  </si>
  <si>
    <t>The Garland companion to Vladimir Nabokov / edited by Vladimir E. Alexandrov.</t>
  </si>
  <si>
    <t>New York : Garland Pub., ©1995.</t>
  </si>
  <si>
    <t>Garland reference library of the humanities ; vol. 1474</t>
  </si>
  <si>
    <t>55856871:eng</t>
  </si>
  <si>
    <t>31207628</t>
  </si>
  <si>
    <t>ocm31207628</t>
  </si>
  <si>
    <t>3102537179Z</t>
  </si>
  <si>
    <t>9780815303541</t>
  </si>
  <si>
    <t>793355981</t>
  </si>
  <si>
    <t>PG3476 N3 Z669 2007</t>
  </si>
  <si>
    <t>0                      PG 3476000N  3                  Z  669         2007</t>
  </si>
  <si>
    <t>Vladimir Nabokov : Bergsonian and Russian Formalist influences in his novels / Michael Glynn.</t>
  </si>
  <si>
    <t>Glynn, Michael.</t>
  </si>
  <si>
    <t>2016-11-11</t>
  </si>
  <si>
    <t>792845068:eng</t>
  </si>
  <si>
    <t>85851515</t>
  </si>
  <si>
    <t>ocm85851515</t>
  </si>
  <si>
    <t>3102645696D</t>
  </si>
  <si>
    <t>9781403979858</t>
  </si>
  <si>
    <t>794217189</t>
  </si>
  <si>
    <t>PG3476 N3 Z6725 2006</t>
  </si>
  <si>
    <t>0                      PG 3476000N  3                  Z  6725        2006</t>
  </si>
  <si>
    <t>The models of space, time and vision in V. Nabokov's fiction : narrative strategies and cultural frames / Marina Grishakova.</t>
  </si>
  <si>
    <t>Grishakova, Marina.</t>
  </si>
  <si>
    <t>Tartu : Tartu University Press, 2006.</t>
  </si>
  <si>
    <t>Tartu semiotics library, 1406-4278 ; 5</t>
  </si>
  <si>
    <t>2018-02-09</t>
  </si>
  <si>
    <t>1104399001:eng</t>
  </si>
  <si>
    <t>70843370</t>
  </si>
  <si>
    <t>ocm70843370</t>
  </si>
  <si>
    <t>3102686108M</t>
  </si>
  <si>
    <t>9789949113064</t>
  </si>
  <si>
    <t>794160091</t>
  </si>
  <si>
    <t>PG3476 N3 Z674 2007</t>
  </si>
  <si>
    <t>0                      PG 3476000N  3                  Z  674         2007</t>
  </si>
  <si>
    <t>Vladimir Nabokov et son ombre russe / Laurence Guy.</t>
  </si>
  <si>
    <t>Guy, Laurence.</t>
  </si>
  <si>
    <t>Aix-en-Provence : PUP. Publications de l'université de Provence, 2007.</t>
  </si>
  <si>
    <t>129583904:fre</t>
  </si>
  <si>
    <t>209327476</t>
  </si>
  <si>
    <t>ocn209327476</t>
  </si>
  <si>
    <t>31029110927</t>
  </si>
  <si>
    <t>9782853996860</t>
  </si>
  <si>
    <t>794305078</t>
  </si>
  <si>
    <t>PG3476 N3 Z696 1985</t>
  </si>
  <si>
    <t>0                      PG 3476000N  3                  Z  696         1985</t>
  </si>
  <si>
    <t>Worlds in regression : some novels of Vladimir Nabokov / D. Barton Johnson.</t>
  </si>
  <si>
    <t>Johnson, Donald B. (Donald Barton), 1933-</t>
  </si>
  <si>
    <t>Ann Arbor : Ardis, ©1985.</t>
  </si>
  <si>
    <t>319737324:eng</t>
  </si>
  <si>
    <t>11549579</t>
  </si>
  <si>
    <t>ocm11549579</t>
  </si>
  <si>
    <t>3102949526X</t>
  </si>
  <si>
    <t>9780882339085</t>
  </si>
  <si>
    <t>792778036</t>
  </si>
  <si>
    <t>PG3476 N3 Z6987 2007</t>
  </si>
  <si>
    <t>0                      PG 3476000N  3                  Z  6987        2007</t>
  </si>
  <si>
    <t>Imagining Nabokov : Russia between art and politics / Nina L. Khrushcheva.</t>
  </si>
  <si>
    <t>Khrushcheva, Nina L., 1964-</t>
  </si>
  <si>
    <t>2017-01-06</t>
  </si>
  <si>
    <t>197605608:eng</t>
  </si>
  <si>
    <t>154677809</t>
  </si>
  <si>
    <t>ocn154677809</t>
  </si>
  <si>
    <t>3102647130W</t>
  </si>
  <si>
    <t>9780300108866</t>
  </si>
  <si>
    <t>794252052</t>
  </si>
  <si>
    <t>PG3476 N3 Z6996 2002</t>
  </si>
  <si>
    <t>0                      PG 3476000N  3                  Z  6996        2002</t>
  </si>
  <si>
    <t>Discourse and ideology in Nabokov's prose / edited by David H.J. Larmour.</t>
  </si>
  <si>
    <t>Studies in Russian and European literature ; v. 7</t>
  </si>
  <si>
    <t>1046110920:eng</t>
  </si>
  <si>
    <t>49681436</t>
  </si>
  <si>
    <t>ocm49681436</t>
  </si>
  <si>
    <t>31022125483</t>
  </si>
  <si>
    <t>9780415286589</t>
  </si>
  <si>
    <t>793745543</t>
  </si>
  <si>
    <t>PG3476 N3 Z7</t>
  </si>
  <si>
    <t>0                      PG 3476000N  3                  Z  7</t>
  </si>
  <si>
    <t>Reading Nabokov / Douglas Fowler.</t>
  </si>
  <si>
    <t>Fowler, Douglas.</t>
  </si>
  <si>
    <t>Ithaca, N.Y. : Cornell University Press, 1974.</t>
  </si>
  <si>
    <t>1967519:eng</t>
  </si>
  <si>
    <t>1102867</t>
  </si>
  <si>
    <t>ocm01102867</t>
  </si>
  <si>
    <t>3102949564P</t>
  </si>
  <si>
    <t>9780801408281</t>
  </si>
  <si>
    <t>791547097</t>
  </si>
  <si>
    <t>Vladimir Nabokov / by L.L. Lee.</t>
  </si>
  <si>
    <t>Lee, L. L. (Lawrence L.)</t>
  </si>
  <si>
    <t>Boston : Twayne Publishers, 1976.</t>
  </si>
  <si>
    <t>Twayne's United States authors series ; 266</t>
  </si>
  <si>
    <t>461602:eng</t>
  </si>
  <si>
    <t>2005875</t>
  </si>
  <si>
    <t>ocm02005875</t>
  </si>
  <si>
    <t>3102949560P</t>
  </si>
  <si>
    <t>9780805771664</t>
  </si>
  <si>
    <t>792027396</t>
  </si>
  <si>
    <t>3102949555R</t>
  </si>
  <si>
    <t>792027397</t>
  </si>
  <si>
    <t>PG3476 N3 Z7213</t>
  </si>
  <si>
    <t>0                      PG 3476000N  3                  Z  7213</t>
  </si>
  <si>
    <t>Fictitious biographies : Vladimir Nabokovʼs English novels / H. Grabes.</t>
  </si>
  <si>
    <t>Grabes, Herbert.</t>
  </si>
  <si>
    <t>The Hague : Mouton, 1977.</t>
  </si>
  <si>
    <t>Studies in American literature ; v. 25</t>
  </si>
  <si>
    <t>291322678:eng</t>
  </si>
  <si>
    <t>3249893</t>
  </si>
  <si>
    <t>ocm03249893</t>
  </si>
  <si>
    <t>3103508124C</t>
  </si>
  <si>
    <t>9789027933454</t>
  </si>
  <si>
    <t>792234863</t>
  </si>
  <si>
    <t>PG3476 N3 Z733 2011</t>
  </si>
  <si>
    <t>0                      PG 3476000N  3                  Z  733         2011</t>
  </si>
  <si>
    <t>Vladimir Nabokov and the art of play / Thomas Karshan.</t>
  </si>
  <si>
    <t>Karshan, Thomas.</t>
  </si>
  <si>
    <t>Oxford ; New York : Oxford University Press, 2011.</t>
  </si>
  <si>
    <t>Oxford English monographs</t>
  </si>
  <si>
    <t>812418618:eng</t>
  </si>
  <si>
    <t>669124502</t>
  </si>
  <si>
    <t>ocn669124502</t>
  </si>
  <si>
    <t>3103234126V</t>
  </si>
  <si>
    <t>9780199603985</t>
  </si>
  <si>
    <t>794846737</t>
  </si>
  <si>
    <t>PG3476 N3 Z7375 2011</t>
  </si>
  <si>
    <t>0                      PG 3476000N  3                  Z  7375        2011</t>
  </si>
  <si>
    <t>Nabokov's cinematic afterlife / Ewa Mazierska.</t>
  </si>
  <si>
    <t>Mazierska, Ewa.</t>
  </si>
  <si>
    <t>2017-01-16</t>
  </si>
  <si>
    <t>495540926:eng</t>
  </si>
  <si>
    <t>630498288</t>
  </si>
  <si>
    <t>ocn630498288</t>
  </si>
  <si>
    <t>3103313673E</t>
  </si>
  <si>
    <t>9780786445431</t>
  </si>
  <si>
    <t>794824603</t>
  </si>
  <si>
    <t>PG3476 N3 Z743 2014</t>
  </si>
  <si>
    <t>0                      PG 3476000N  3                  Z  743         2014</t>
  </si>
  <si>
    <t>O Nabokove i prochem : statʹi, ret︠s︡enzii, publikat︠s︡ii / Nikolaĭ Melʹnikov.</t>
  </si>
  <si>
    <t>Melʹnikov, N. G., author.</t>
  </si>
  <si>
    <t>3772351875:rus</t>
  </si>
  <si>
    <t>896807306</t>
  </si>
  <si>
    <t>ocn896807306</t>
  </si>
  <si>
    <t>31036212798</t>
  </si>
  <si>
    <t>9785444801857</t>
  </si>
  <si>
    <t>794984185</t>
  </si>
  <si>
    <t>PG3476 N3 Z755 2010</t>
  </si>
  <si>
    <t>0                      PG 3476000N  3                  Z  755         2010</t>
  </si>
  <si>
    <t>Vladimir Nabokov : poetry and the lyric voice / Paul D. Morris.</t>
  </si>
  <si>
    <t>Morris, Paul Duncan, 1961-</t>
  </si>
  <si>
    <t>Toronto : University of Toronto Press, c2010.</t>
  </si>
  <si>
    <t>2018-01-19</t>
  </si>
  <si>
    <t>947628804:eng</t>
  </si>
  <si>
    <t>434559384</t>
  </si>
  <si>
    <t>ocn434559384</t>
  </si>
  <si>
    <t>31030726972</t>
  </si>
  <si>
    <t>9781442640207</t>
  </si>
  <si>
    <t>794782992</t>
  </si>
  <si>
    <t>PG3476 N3 Z76</t>
  </si>
  <si>
    <t>0                      PG 3476000N  3                  Z  76</t>
  </si>
  <si>
    <t>The underside of the weave : some stylistic devices used by Vladimir Nabokov / by Jessie Thomas Lokrantz.</t>
  </si>
  <si>
    <t>Lokrantz, Jessie Thomas.</t>
  </si>
  <si>
    <t>Uppsala : [Uppsala University], ©1973.</t>
  </si>
  <si>
    <t>Acta Universitatis Upsaliensis</t>
  </si>
  <si>
    <t>2017-02-21</t>
  </si>
  <si>
    <t>288937743:eng</t>
  </si>
  <si>
    <t>804433</t>
  </si>
  <si>
    <t>ocm00804433</t>
  </si>
  <si>
    <t>3102949562P</t>
  </si>
  <si>
    <t>9789155400255</t>
  </si>
  <si>
    <t>791474166</t>
  </si>
  <si>
    <t>PG3476 N3 Z77 1983</t>
  </si>
  <si>
    <t>0                      PG 3476000N  3                  Z  77          1983</t>
  </si>
  <si>
    <t>Nabokov's novels in English / Lucy Maddox.</t>
  </si>
  <si>
    <t>Maddox, Lucy.</t>
  </si>
  <si>
    <t>Athens : University of Georgia Press, ©1983.</t>
  </si>
  <si>
    <t>484974:eng</t>
  </si>
  <si>
    <t>8346562</t>
  </si>
  <si>
    <t>ocm08346562</t>
  </si>
  <si>
    <t>3102949535V</t>
  </si>
  <si>
    <t>9780820306261</t>
  </si>
  <si>
    <t>792614433</t>
  </si>
  <si>
    <t>PG3476 N3 Z776 1999</t>
  </si>
  <si>
    <t>0                      PG 3476000N  3                  Z  776         1999</t>
  </si>
  <si>
    <t>Nabokov and his fiction : new perspectives / edited by Julian W. Connolly.</t>
  </si>
  <si>
    <t>Cambridge ; New York : Cambridge University Press, 1999.</t>
  </si>
  <si>
    <t>2016-04-20</t>
  </si>
  <si>
    <t>917503069:eng</t>
  </si>
  <si>
    <t>40052738</t>
  </si>
  <si>
    <t>ocm40052738</t>
  </si>
  <si>
    <t>3102949550R</t>
  </si>
  <si>
    <t>9780521632836</t>
  </si>
  <si>
    <t>793559034</t>
  </si>
  <si>
    <t>PG3476 N3 Z78 1970</t>
  </si>
  <si>
    <t>0                      PG 3476000N  3                  Z  78          1970</t>
  </si>
  <si>
    <t>Nabokov : criticism, reminiscences, translations, and tributes. / edited by Alfred Appel, Jr. &amp; Charles Newman.</t>
  </si>
  <si>
    <t>Evanston [Ill.] : Northwestern University Press, 1970.</t>
  </si>
  <si>
    <t>TriQuarterly Books</t>
  </si>
  <si>
    <t>3756982946:eng</t>
  </si>
  <si>
    <t>74083</t>
  </si>
  <si>
    <t>ocm00074083</t>
  </si>
  <si>
    <t>31033706492</t>
  </si>
  <si>
    <t>9780810102927</t>
  </si>
  <si>
    <t>791246763</t>
  </si>
  <si>
    <t>PG3476 N3 Z787 1982</t>
  </si>
  <si>
    <t>0                      PG 3476000N  3                  Z  787         1982</t>
  </si>
  <si>
    <t>Nabokov, the critical heritage / edited by Norman Page.</t>
  </si>
  <si>
    <t>London ; Boston : Routledge &amp; Kegan Paul, 1982.</t>
  </si>
  <si>
    <t>Critical heritage series</t>
  </si>
  <si>
    <t>445790:eng</t>
  </si>
  <si>
    <t>8282295</t>
  </si>
  <si>
    <t>ocm08282295</t>
  </si>
  <si>
    <t>3102949554R</t>
  </si>
  <si>
    <t>9780710092236</t>
  </si>
  <si>
    <t>792609594</t>
  </si>
  <si>
    <t>PG3476 N3 Z79 1967</t>
  </si>
  <si>
    <t>0                      PG 3476000N  3                  Z  79          1967</t>
  </si>
  <si>
    <t>Nabokov: the man and his work; studies edited by L.S. Dembo.</t>
  </si>
  <si>
    <t>Madison, University of Wisconsin Press, 1967.</t>
  </si>
  <si>
    <t>2010-03-02</t>
  </si>
  <si>
    <t>1807653428:eng</t>
  </si>
  <si>
    <t>293595</t>
  </si>
  <si>
    <t>ocm00293595</t>
  </si>
  <si>
    <t>3102949553R</t>
  </si>
  <si>
    <t>791326728</t>
  </si>
  <si>
    <t>2010-01-09</t>
  </si>
  <si>
    <t>3102949552R</t>
  </si>
  <si>
    <t>791326732</t>
  </si>
  <si>
    <t>3102640172F</t>
  </si>
  <si>
    <t>791326731</t>
  </si>
  <si>
    <t>3100245852O</t>
  </si>
  <si>
    <t>791326730</t>
  </si>
  <si>
    <t>3102949549T</t>
  </si>
  <si>
    <t>791326729</t>
  </si>
  <si>
    <t>PG3476 N3 Z7925 2017</t>
  </si>
  <si>
    <t>0                      PG 3476000N  3                  Z  7925        2017</t>
  </si>
  <si>
    <t>Nabokov upside down / edited by Brian Boyd and Marijeta Bozovic.</t>
  </si>
  <si>
    <t>2018-02-02</t>
  </si>
  <si>
    <t>4229919591:eng</t>
  </si>
  <si>
    <t>948340218</t>
  </si>
  <si>
    <t>ocn948340218</t>
  </si>
  <si>
    <t>31036707847</t>
  </si>
  <si>
    <t>9780810134515</t>
  </si>
  <si>
    <t>795015468</t>
  </si>
  <si>
    <t>PG3476 N3 Z7935 2017</t>
  </si>
  <si>
    <t>0                      PG 3476000N  3                  Z  7935        2017</t>
  </si>
  <si>
    <t>Nabokov's women : the silent sisterhood of textual nomads / edited by Elena Rakhimova-Sommers.</t>
  </si>
  <si>
    <t>Lanham : Lexington Books, [2017]</t>
  </si>
  <si>
    <t>4402286136:eng</t>
  </si>
  <si>
    <t>992409784</t>
  </si>
  <si>
    <t>ocn992409784</t>
  </si>
  <si>
    <t>3103738099$</t>
  </si>
  <si>
    <t>9781498503303</t>
  </si>
  <si>
    <t>795038220</t>
  </si>
  <si>
    <t>PG3476 N3 Z794 2001</t>
  </si>
  <si>
    <t>0                      PG 3476000N  3                  Z  794         2001</t>
  </si>
  <si>
    <t>Nabokov's world / edited by Jane Grayson, Arnold McMillin, and Priscilla Meyer.</t>
  </si>
  <si>
    <t>New York : Palgrave, in association with School of Slavonic and East European Studies, 2001.</t>
  </si>
  <si>
    <t>Studies in Russia and East Europe</t>
  </si>
  <si>
    <t>2018-12-10</t>
  </si>
  <si>
    <t>2864024369:eng</t>
  </si>
  <si>
    <t>428074169</t>
  </si>
  <si>
    <t>ocn428074169</t>
  </si>
  <si>
    <t>3102734599J</t>
  </si>
  <si>
    <t>9780333964156</t>
  </si>
  <si>
    <t>794765010</t>
  </si>
  <si>
    <t>3102734582L</t>
  </si>
  <si>
    <t>794765009</t>
  </si>
  <si>
    <t>PG3476 N3 Z8</t>
  </si>
  <si>
    <t>0                      PG 3476000N  3                  Z  8</t>
  </si>
  <si>
    <t>Nabokov and the novel / Ellen Pifer.</t>
  </si>
  <si>
    <t>Pifer, Ellen.</t>
  </si>
  <si>
    <t>Cambridge, Mass. : Harvard University Press, 1980.</t>
  </si>
  <si>
    <t>521779:eng</t>
  </si>
  <si>
    <t>6331623</t>
  </si>
  <si>
    <t>ocm06331623</t>
  </si>
  <si>
    <t>3102907165S</t>
  </si>
  <si>
    <t>9780674598409</t>
  </si>
  <si>
    <t>792491613</t>
  </si>
  <si>
    <t>2012-05-31</t>
  </si>
  <si>
    <t>3102949534V</t>
  </si>
  <si>
    <t>792491614</t>
  </si>
  <si>
    <t>PG3476 N3 Z83 1984</t>
  </si>
  <si>
    <t>0                      PG 3476000N  3                  Z  83          1984</t>
  </si>
  <si>
    <t>Vladimir Nabokov : a critical study of the novels / David Rampton.</t>
  </si>
  <si>
    <t>Rampton, David, 1950-</t>
  </si>
  <si>
    <t>117886791:eng</t>
  </si>
  <si>
    <t>10123462</t>
  </si>
  <si>
    <t>ocm10123462</t>
  </si>
  <si>
    <t>3102949543T</t>
  </si>
  <si>
    <t>9780521257107</t>
  </si>
  <si>
    <t>792710218</t>
  </si>
  <si>
    <t>3102949524X</t>
  </si>
  <si>
    <t>792710217</t>
  </si>
  <si>
    <t>PG3476 N3 Z8375 2015</t>
  </si>
  <si>
    <t>0                      PG 3476000N  3                  Z  8375        2015</t>
  </si>
  <si>
    <t>Nabokov in America : on the road to Lolita / Robert Roper.</t>
  </si>
  <si>
    <t>Roper, Robert, 1946- author.</t>
  </si>
  <si>
    <t>New York : Bloomsbury, 2015.</t>
  </si>
  <si>
    <t>2018-03-30</t>
  </si>
  <si>
    <t>2058704711:eng</t>
  </si>
  <si>
    <t>897946344</t>
  </si>
  <si>
    <t>ocn897946344</t>
  </si>
  <si>
    <t>3103607549O</t>
  </si>
  <si>
    <t>9780802743633</t>
  </si>
  <si>
    <t>794985545</t>
  </si>
  <si>
    <t>PG3476 N3 Z84</t>
  </si>
  <si>
    <t>0                      PG 3476000N  3                  Z  84</t>
  </si>
  <si>
    <t>Nabokov's deceptive world.</t>
  </si>
  <si>
    <t>New York, New York University Press, 1971.</t>
  </si>
  <si>
    <t>1276286:eng</t>
  </si>
  <si>
    <t>163697</t>
  </si>
  <si>
    <t>ocm00163697</t>
  </si>
  <si>
    <t>3102907153U</t>
  </si>
  <si>
    <t>9780814773536</t>
  </si>
  <si>
    <t>791277249</t>
  </si>
  <si>
    <t>PG3476 N3 Z85 2013</t>
  </si>
  <si>
    <t>0                      PG 3476000N  3                  Z  85          2013</t>
  </si>
  <si>
    <t>The secret history of Vladimir Nabokov / Andrea Pitzer.</t>
  </si>
  <si>
    <t>Pitzer, Andrea.</t>
  </si>
  <si>
    <t>New York : Pegasus Books : Distributed by W.W. Norton &amp; Co., [2013]</t>
  </si>
  <si>
    <t>1185362355:eng</t>
  </si>
  <si>
    <t>785079139</t>
  </si>
  <si>
    <t>ocn785079139</t>
  </si>
  <si>
    <t>3103454350Y</t>
  </si>
  <si>
    <t>9781605984117</t>
  </si>
  <si>
    <t>794914693</t>
  </si>
  <si>
    <t>PG3476 N3 Z855 2000</t>
  </si>
  <si>
    <t>0                      PG 3476000N  3                  Z  855         2000</t>
  </si>
  <si>
    <t>Torpid smoke : the stories of Vladimir Nabokov / ed. by Steven G. Kellman ...</t>
  </si>
  <si>
    <t>Amsterdam : Rodopi, 2000.</t>
  </si>
  <si>
    <t>Studies in Slavic literature and poetics ; 35</t>
  </si>
  <si>
    <t>2016-01-30</t>
  </si>
  <si>
    <t>3856759754:eng</t>
  </si>
  <si>
    <t>237397047</t>
  </si>
  <si>
    <t>ocn237397047</t>
  </si>
  <si>
    <t>3102949533V</t>
  </si>
  <si>
    <t>9789042007192</t>
  </si>
  <si>
    <t>794373244</t>
  </si>
  <si>
    <t>PG3476 N3 Z86 1982</t>
  </si>
  <si>
    <t>0                      PG 3476000N  3                  Z  86          1982</t>
  </si>
  <si>
    <t>Vladimir Nabokov : the structure of literary desire / David Packman.</t>
  </si>
  <si>
    <t>Packman, David, 1949-</t>
  </si>
  <si>
    <t>Columbia : University of Missouri Press, 1982.</t>
  </si>
  <si>
    <t>363475383:eng</t>
  </si>
  <si>
    <t>8346838</t>
  </si>
  <si>
    <t>ocm08346838</t>
  </si>
  <si>
    <t>3102949542T</t>
  </si>
  <si>
    <t>9780826203724</t>
  </si>
  <si>
    <t>792614486</t>
  </si>
  <si>
    <t>PG3476 N3 Z8626 1999</t>
  </si>
  <si>
    <t>0                      PG 3476000N  3                  Z  8626        1999</t>
  </si>
  <si>
    <t>Vera (Mrs. Vladimir Nabokov) : a biography / Stacy Schiff.</t>
  </si>
  <si>
    <t>Schiff, Stacy.</t>
  </si>
  <si>
    <t>New York : Random House, 1999.</t>
  </si>
  <si>
    <t>9852847:eng</t>
  </si>
  <si>
    <t>40150675</t>
  </si>
  <si>
    <t>ocm40150675</t>
  </si>
  <si>
    <t>3102949528X</t>
  </si>
  <si>
    <t>9780679447900</t>
  </si>
  <si>
    <t>793560727</t>
  </si>
  <si>
    <t>PG3476 N3 Z862617 2010</t>
  </si>
  <si>
    <t>0                      PG 3476000N  3                  Z  862617      2010</t>
  </si>
  <si>
    <t>Véra (Missis Vladimir Nabokov) / Steĭsi Shiff ; [perevod s angliĭskogo O. Kirichenko].</t>
  </si>
  <si>
    <t>Moskva : KoLibri, 2010.</t>
  </si>
  <si>
    <t>9852847:rus</t>
  </si>
  <si>
    <t>653015602</t>
  </si>
  <si>
    <t>ocn653015602</t>
  </si>
  <si>
    <t>3103340505S</t>
  </si>
  <si>
    <t>9785389006539</t>
  </si>
  <si>
    <t>794833569</t>
  </si>
  <si>
    <t>PG3476 N3 Z8634 1999</t>
  </si>
  <si>
    <t>0                      PG 3476000N  3                  Z  8634        1999</t>
  </si>
  <si>
    <t>Tenʹ russkoĭ vetki : nabokovskai︠a︡ Vyra / [avtor-sostavitelʹ Aleksandr Semochkin ; fotografy, N. Emeli︠a︡nov, S. Shustov].</t>
  </si>
  <si>
    <t>Semochkin, Aleksandr.</t>
  </si>
  <si>
    <t>Sankt-Peterburg : Liga Pli︠u︡s, 1999.</t>
  </si>
  <si>
    <t>44604060:rus</t>
  </si>
  <si>
    <t>43509859</t>
  </si>
  <si>
    <t>ocm43509859</t>
  </si>
  <si>
    <t>3102949537V</t>
  </si>
  <si>
    <t>9785932940037</t>
  </si>
  <si>
    <t>793628387</t>
  </si>
  <si>
    <t>PG3476 N3 Z864 1999</t>
  </si>
  <si>
    <t>0                      PG 3476000N  3                  Z  864         1999</t>
  </si>
  <si>
    <t>The world of Nabokov's stories / Maxim D. Shrayer.</t>
  </si>
  <si>
    <t>Shrayer, Maxim, 1967-</t>
  </si>
  <si>
    <t>Austin : University of Texas Press, 1999.</t>
  </si>
  <si>
    <t>Literary modernism series</t>
  </si>
  <si>
    <t>16353744:eng</t>
  </si>
  <si>
    <t>38478478</t>
  </si>
  <si>
    <t>ocm38478478</t>
  </si>
  <si>
    <t>3102949523X</t>
  </si>
  <si>
    <t>9780292777330</t>
  </si>
  <si>
    <t>793524649</t>
  </si>
  <si>
    <t>PG3476 N3 Z865 1993</t>
  </si>
  <si>
    <t>0                      PG 3476000N  3                  Z  865         1993</t>
  </si>
  <si>
    <t>A Small Alpine form : studies in Nabokov's short fiction / edited by Charles Nicol, Gennady Barabtarlo.</t>
  </si>
  <si>
    <t>New York : Garland Pub., 1993.</t>
  </si>
  <si>
    <t>Garland reference library of the humanities ; vol. 1580</t>
  </si>
  <si>
    <t>836916383:eng</t>
  </si>
  <si>
    <t>26128967</t>
  </si>
  <si>
    <t>ocm26128967</t>
  </si>
  <si>
    <t>3102949532V</t>
  </si>
  <si>
    <t>9780815308577</t>
  </si>
  <si>
    <t>793238085</t>
  </si>
  <si>
    <t>PG3476 N3 Z87 1987</t>
  </si>
  <si>
    <t>0                      PG 3476000N  3                  Z  87          1987</t>
  </si>
  <si>
    <t>Understanding Vladimir Nabokov / by Stephen Jan Parker.</t>
  </si>
  <si>
    <t>Parker, Stephen Jan.</t>
  </si>
  <si>
    <t>Columbia, S.C. : University of South Carolina Press, ©1987.</t>
  </si>
  <si>
    <t>Understanding contemporary American literature</t>
  </si>
  <si>
    <t>10577688:eng</t>
  </si>
  <si>
    <t>15589741</t>
  </si>
  <si>
    <t>ocm15589741</t>
  </si>
  <si>
    <t>3102949527X</t>
  </si>
  <si>
    <t>9780872494947</t>
  </si>
  <si>
    <t>792936175</t>
  </si>
  <si>
    <t>PG3476 N3 Z88</t>
  </si>
  <si>
    <t>0                      PG 3476000N  3                  Z  88</t>
  </si>
  <si>
    <t>Nabokov &amp; others : patterns in Russian literature / W.W. Rowe.</t>
  </si>
  <si>
    <t>Rowe, William Woodin, author.</t>
  </si>
  <si>
    <t>Ann Arbor, Mich. : Ardis, ©1979.</t>
  </si>
  <si>
    <t>2018-11-09</t>
  </si>
  <si>
    <t>132096553:eng</t>
  </si>
  <si>
    <t>5341267</t>
  </si>
  <si>
    <t>ocm05341267</t>
  </si>
  <si>
    <t>3102949522X</t>
  </si>
  <si>
    <t>9780882333359</t>
  </si>
  <si>
    <t>792426572</t>
  </si>
  <si>
    <t>PG3476 N3 Z88 1993</t>
  </si>
  <si>
    <t>0                      PG 3476000N  3                  Z  88          1993</t>
  </si>
  <si>
    <t>Vladimir Nabokov / David Rampton.</t>
  </si>
  <si>
    <t>New York : St. Martin's Press, 1993.</t>
  </si>
  <si>
    <t>Modern novelists</t>
  </si>
  <si>
    <t>3943663043:eng</t>
  </si>
  <si>
    <t>27429963</t>
  </si>
  <si>
    <t>ocm27429963</t>
  </si>
  <si>
    <t>3102949586L</t>
  </si>
  <si>
    <t>9780312096298</t>
  </si>
  <si>
    <t>793266297</t>
  </si>
  <si>
    <t>PG3476 N3 Z887 1966</t>
  </si>
  <si>
    <t>0                      PG 3476000N  3                  Z  887         1966</t>
  </si>
  <si>
    <t>Escape into aesthetics : the art of Vladimir Nabokov / by Page Stegner.</t>
  </si>
  <si>
    <t>Stegner, Page.</t>
  </si>
  <si>
    <t>New York : Dial Press, 1966.</t>
  </si>
  <si>
    <t>1176992:eng</t>
  </si>
  <si>
    <t>167478</t>
  </si>
  <si>
    <t>ocm00167478</t>
  </si>
  <si>
    <t>3102949611W</t>
  </si>
  <si>
    <t>791278696</t>
  </si>
  <si>
    <t>3102949606Y</t>
  </si>
  <si>
    <t>791278697</t>
  </si>
  <si>
    <t>PG3476 N3 Z89</t>
  </si>
  <si>
    <t>0                      PG 3476000N  3                  Z  89</t>
  </si>
  <si>
    <t>Nabokov : the dimensions of parody / Dabney Stuart.</t>
  </si>
  <si>
    <t>Stuart, Dabney, 1937-</t>
  </si>
  <si>
    <t>Baton Rouge : Louisiana State University Press, ©1978.</t>
  </si>
  <si>
    <t>2017-05-24</t>
  </si>
  <si>
    <t>8908701366:eng</t>
  </si>
  <si>
    <t>3361935</t>
  </si>
  <si>
    <t>ocm03361935</t>
  </si>
  <si>
    <t>3102949581L</t>
  </si>
  <si>
    <t>9780807103845</t>
  </si>
  <si>
    <t>792246725</t>
  </si>
  <si>
    <t>2008-03-12</t>
  </si>
  <si>
    <t>3102949591J</t>
  </si>
  <si>
    <t>792246726</t>
  </si>
  <si>
    <t>PG3476 N3 Z895 1989</t>
  </si>
  <si>
    <t>0                      PG 3476000N  3                  Z  895         1989</t>
  </si>
  <si>
    <t>Nabokov : the mystery of literary structures / Leona Toker.</t>
  </si>
  <si>
    <t>836725633:eng</t>
  </si>
  <si>
    <t>18463539</t>
  </si>
  <si>
    <t>ocm18463539</t>
  </si>
  <si>
    <t>3102949571N</t>
  </si>
  <si>
    <t>9780801422119</t>
  </si>
  <si>
    <t>793026372</t>
  </si>
  <si>
    <t>PG3476 N3 Z897 1997</t>
  </si>
  <si>
    <t>0                      PG 3476000N  3                  Z  897         1997</t>
  </si>
  <si>
    <t>V.V. Nabokov--pro et contra : lichnostʹ i tvorchestvo Vladimira Nabokova v ot︠s︡enke russkikh i zarubezhnykh mysliteleĭ i issledovateleĭ : antologii︠a︡ / [otv. redaktor toma, D.K. Burlaka ; sostaviteli, B. Averin, M. Malikova, A. Dolinin].</t>
  </si>
  <si>
    <t>Sankt-Peterburg : Izd-vo Russkogo Khristianskogo gumanitarnogo in-ta, 1997-2001.</t>
  </si>
  <si>
    <t>Russkiĭ putʹ</t>
  </si>
  <si>
    <t>2017-11-06</t>
  </si>
  <si>
    <t>3769788935:rus</t>
  </si>
  <si>
    <t>38085391</t>
  </si>
  <si>
    <t>ocm38085391</t>
  </si>
  <si>
    <t>3102949570N</t>
  </si>
  <si>
    <t>9785888120583</t>
  </si>
  <si>
    <t>793514851</t>
  </si>
  <si>
    <t>3102949575N</t>
  </si>
  <si>
    <t>793514850</t>
  </si>
  <si>
    <t>PG3476 N3 Z897 2009</t>
  </si>
  <si>
    <t>0                      PG 3476000N  3                  Z  897         2009</t>
  </si>
  <si>
    <t>Transitional Nabokov / edited by Will Norman and Duncan White.</t>
  </si>
  <si>
    <t>Oxford ; New York : Peter Lang, 2009.</t>
  </si>
  <si>
    <t>144766758:eng</t>
  </si>
  <si>
    <t>247963070</t>
  </si>
  <si>
    <t>ocn247963070</t>
  </si>
  <si>
    <t>3103130964L</t>
  </si>
  <si>
    <t>9783039115259</t>
  </si>
  <si>
    <t>794384217</t>
  </si>
  <si>
    <t>PG3476 N3 Z95 2003</t>
  </si>
  <si>
    <t>0                      PG 3476000N  3                  Z  95          2003</t>
  </si>
  <si>
    <t>Nabokov at the movies : film perspectives in fiction / Barbara Wyllie.</t>
  </si>
  <si>
    <t>Wyllie, Barbara.</t>
  </si>
  <si>
    <t>Jefferson, N.C. : McFarland &amp; Co., ©2003.</t>
  </si>
  <si>
    <t>770840:eng</t>
  </si>
  <si>
    <t>52509490</t>
  </si>
  <si>
    <t>ocm52509490</t>
  </si>
  <si>
    <t>3102949547T</t>
  </si>
  <si>
    <t>9780786416387</t>
  </si>
  <si>
    <t>793808160</t>
  </si>
  <si>
    <t>PG3476 N3 Z976 1994</t>
  </si>
  <si>
    <t>0                      PG 3476000N  3                  Z  976         1994</t>
  </si>
  <si>
    <t>The magician's doubts : Nabokov and the risks of fiction / Michael Wood.</t>
  </si>
  <si>
    <t>Wood, Michael, 1936-</t>
  </si>
  <si>
    <t>London : Chatto &amp; Windus, 1994.</t>
  </si>
  <si>
    <t>576471:eng</t>
  </si>
  <si>
    <t>31238199</t>
  </si>
  <si>
    <t>ocm31238199</t>
  </si>
  <si>
    <t>3101430631C</t>
  </si>
  <si>
    <t>9780701161972</t>
  </si>
  <si>
    <t>793356575</t>
  </si>
  <si>
    <t>PG3476 N3 1987 vol. 3</t>
  </si>
  <si>
    <t>0                      PG 3476000N  3           1987                                        vol. 3</t>
  </si>
  <si>
    <t>Sogli︠a︡dataĭ ; Volshebnik / Vladimir Nabokov.</t>
  </si>
  <si>
    <t>vol. 3*</t>
  </si>
  <si>
    <t>Ann Arbor, MI : Ardis, 1991.</t>
  </si>
  <si>
    <t>Sobranie sochineniĭ / Vladimir Nabokov ; 3</t>
  </si>
  <si>
    <t>3372963482:rus</t>
  </si>
  <si>
    <t>24285503</t>
  </si>
  <si>
    <t>ocm24285503</t>
  </si>
  <si>
    <t>3102357984B</t>
  </si>
  <si>
    <t>9780875010809</t>
  </si>
  <si>
    <t>793194532</t>
  </si>
  <si>
    <t>PG3476 N3 1987 vol. 6</t>
  </si>
  <si>
    <t>0                      PG 3476000N  3           1987                                        vol. 6</t>
  </si>
  <si>
    <t>Dar / Vladimir Nabokov.</t>
  </si>
  <si>
    <t>vol. 6*</t>
  </si>
  <si>
    <t>Ann Arbor, Mich. : Ardis, 1988, ©1952.</t>
  </si>
  <si>
    <t>Sobranie sochineniĭ / Vladimir Nabokov ; 6</t>
  </si>
  <si>
    <t>2015-09-23</t>
  </si>
  <si>
    <t>10141675180:rus</t>
  </si>
  <si>
    <t>18324144</t>
  </si>
  <si>
    <t>ocm18324144</t>
  </si>
  <si>
    <t>3100749883W</t>
  </si>
  <si>
    <t>9780882335346</t>
  </si>
  <si>
    <t>793021544</t>
  </si>
  <si>
    <t>PG3476 N34 V4 1989</t>
  </si>
  <si>
    <t>0                      PG 3476000N  34                 V  4           1989</t>
  </si>
  <si>
    <t>Vdali muzyka i ogni : povesti i rasskazy / I︠U︡riĭ Nagibin.</t>
  </si>
  <si>
    <t>Nagibin, I︠U︡riĭ, 1920-1994.</t>
  </si>
  <si>
    <t>Moskva : "Sovremennik", 1989.</t>
  </si>
  <si>
    <t>8907559581:rus</t>
  </si>
  <si>
    <t>19889628</t>
  </si>
  <si>
    <t>ocm19889628</t>
  </si>
  <si>
    <t>3102949607Y</t>
  </si>
  <si>
    <t>793071595</t>
  </si>
  <si>
    <t>PG3476 N34 V7 1989</t>
  </si>
  <si>
    <t>0                      PG 3476000N  34                 V  7           1989</t>
  </si>
  <si>
    <t>Vstanʹ i idi : povesti i rasskazy / I︠U︡riĭ Nagibin ; [vstupitelʹnai︠a︡ statʹi︠a︡ A. Pistunovoĭ].</t>
  </si>
  <si>
    <t>Moskva : "Khudozh. lit-ra", 1989.</t>
  </si>
  <si>
    <t>290323963:rus</t>
  </si>
  <si>
    <t>21311627</t>
  </si>
  <si>
    <t>ocm21311627</t>
  </si>
  <si>
    <t>3102949597J</t>
  </si>
  <si>
    <t>9785280005211</t>
  </si>
  <si>
    <t>793115255</t>
  </si>
  <si>
    <t>PG3476 N34 Z463 1995</t>
  </si>
  <si>
    <t>0                      PG 3476000N  34                 Z  463         1995</t>
  </si>
  <si>
    <t>Dnevnik / I︠U︡riĭ Nagibin.</t>
  </si>
  <si>
    <t>Moskva : Izd-vo "Knizhnyĭ sad", 1995.</t>
  </si>
  <si>
    <t>Biblioteka Istorii︠a︡ Moskvy s drevneĭshikh vremen do nashikh dneĭ</t>
  </si>
  <si>
    <t>289819573:rus</t>
  </si>
  <si>
    <t>32831192</t>
  </si>
  <si>
    <t>ocm32831192</t>
  </si>
  <si>
    <t>3102949592J</t>
  </si>
  <si>
    <t>9785856760377</t>
  </si>
  <si>
    <t>793395411</t>
  </si>
  <si>
    <t>PG3476 N47 B6 1964</t>
  </si>
  <si>
    <t>0                      PG 3476000N  47                 B  6           1964</t>
  </si>
  <si>
    <t>Both sides of the ocean : a Russian writer's travels in Italy and the United States / by Viktor Nekrasov ; translated by Elias Kulukundis.</t>
  </si>
  <si>
    <t>Nekrasov, Viktor, 1911-1987.</t>
  </si>
  <si>
    <t>New York : Holt, Rinehart and Winston, [1964]</t>
  </si>
  <si>
    <t>2017-01-10</t>
  </si>
  <si>
    <t>432594162:eng</t>
  </si>
  <si>
    <t>321199</t>
  </si>
  <si>
    <t>ocm00321199</t>
  </si>
  <si>
    <t>3000619715E</t>
  </si>
  <si>
    <t>791336174</t>
  </si>
  <si>
    <t>PG3476 N47 V23 1991</t>
  </si>
  <si>
    <t>0                      PG 3476000N  47                 V  23          1991</t>
  </si>
  <si>
    <t>V okopakh Stalingrada : roman, rasskazy, povestʹ / Viktor Nekrasov.</t>
  </si>
  <si>
    <t>Leningrad : Lenizdat, 1991.</t>
  </si>
  <si>
    <t>10032495890:rus</t>
  </si>
  <si>
    <t>25883475</t>
  </si>
  <si>
    <t>ocm25883475</t>
  </si>
  <si>
    <t>31012098863</t>
  </si>
  <si>
    <t>9785289009272</t>
  </si>
  <si>
    <t>793232578</t>
  </si>
  <si>
    <t>PG3476 O37 A6 1974</t>
  </si>
  <si>
    <t>0                      PG 3476000O  37                 A  6           1974</t>
  </si>
  <si>
    <t>Izbrannoe. [Vstup. stat'i︠a︡ V.B. Shklovskogo. Primechanii︠a︡ V.V. Badikova].</t>
  </si>
  <si>
    <t>Olesha, I︠U︡riĭ Karlovich, 1899-1960.</t>
  </si>
  <si>
    <t>Moskva, Khudozh. lit-ra, 1974.</t>
  </si>
  <si>
    <t>10033023677:rus</t>
  </si>
  <si>
    <t>1282185</t>
  </si>
  <si>
    <t>ocm01282185</t>
  </si>
  <si>
    <t>3101727358S</t>
  </si>
  <si>
    <t>791590887</t>
  </si>
  <si>
    <t>PG3476 O37 T7513 2011</t>
  </si>
  <si>
    <t>0                      PG 3476000O  37                 T  7513        2011</t>
  </si>
  <si>
    <t>The three fat men : a fairytale / Yuri Olesha ; translated by Hugh Aplin.</t>
  </si>
  <si>
    <t>London : Hesperus Press, 2011.</t>
  </si>
  <si>
    <t>2556920294:eng</t>
  </si>
  <si>
    <t>727320415</t>
  </si>
  <si>
    <t>ocn727320415</t>
  </si>
  <si>
    <t>31033649959</t>
  </si>
  <si>
    <t>9781843914525</t>
  </si>
  <si>
    <t>794877910</t>
  </si>
  <si>
    <t>PG3476 O37 Z213 2004</t>
  </si>
  <si>
    <t>0                      PG 3476000O  37                 Z  213         2004</t>
  </si>
  <si>
    <t>Envy / Yuri Olesha ; translated from the Russian by Marian Schwartz ; introduction by Ken Kalfus ; illustrations by Natan Altman.</t>
  </si>
  <si>
    <t>New York : New York Review Books, ©2004.</t>
  </si>
  <si>
    <t>9846792831:eng</t>
  </si>
  <si>
    <t>54460869</t>
  </si>
  <si>
    <t>ocm54460869</t>
  </si>
  <si>
    <t>3102385852D</t>
  </si>
  <si>
    <t>9781590170861</t>
  </si>
  <si>
    <t>793862278</t>
  </si>
  <si>
    <t>PG3476 O37 Z23</t>
  </si>
  <si>
    <t>0                      PG 3476000O  37                 Z  23</t>
  </si>
  <si>
    <t>Envy : and other works / by Yuri Olesha ; translated, with an introduction, by Andrew R. MacAndrew.</t>
  </si>
  <si>
    <t>Garden City, N.Y. : Anchor Books, 1967.</t>
  </si>
  <si>
    <t>2019-09-27</t>
  </si>
  <si>
    <t>606771</t>
  </si>
  <si>
    <t>ocm00606771</t>
  </si>
  <si>
    <t>3000150596F</t>
  </si>
  <si>
    <t>791426846</t>
  </si>
  <si>
    <t>3000150595H</t>
  </si>
  <si>
    <t>791426847</t>
  </si>
  <si>
    <t>PG3476 O37 Z38 1996</t>
  </si>
  <si>
    <t>0                      PG 3476000O  37                 Z  38          1996</t>
  </si>
  <si>
    <t>Revolution betrayed : Jurij Oles̆a's Envy / Janet G. Tucker.</t>
  </si>
  <si>
    <t>Columbus, Ohio : Slavica Publishers, Inc., ©1996.</t>
  </si>
  <si>
    <t>292598719:eng</t>
  </si>
  <si>
    <t>34918015</t>
  </si>
  <si>
    <t>ocm34918015</t>
  </si>
  <si>
    <t>3101557906J</t>
  </si>
  <si>
    <t>9780893572631</t>
  </si>
  <si>
    <t>793438803</t>
  </si>
  <si>
    <t>PG3476 O37 Z58 1970</t>
  </si>
  <si>
    <t>0                      PG 3476000O  37                 Z  58          1970</t>
  </si>
  <si>
    <t>The invisible land : a study of the artistic imagination of Iurii Olesha.</t>
  </si>
  <si>
    <t>Beaujour, Elizabeth Klosty.</t>
  </si>
  <si>
    <t>New York : Columbia University Press, 1970.</t>
  </si>
  <si>
    <t>419753:eng</t>
  </si>
  <si>
    <t>97551</t>
  </si>
  <si>
    <t>ocm00097551</t>
  </si>
  <si>
    <t>30005076999</t>
  </si>
  <si>
    <t>9780231034289</t>
  </si>
  <si>
    <t>791255552</t>
  </si>
  <si>
    <t>2009-11-30</t>
  </si>
  <si>
    <t>3000216084T</t>
  </si>
  <si>
    <t>791255551</t>
  </si>
  <si>
    <t>31018286657</t>
  </si>
  <si>
    <t>791255553</t>
  </si>
  <si>
    <t>PG3476 O37 Z7 1994</t>
  </si>
  <si>
    <t>0                      PG 3476000O  37                 Z  7           1994</t>
  </si>
  <si>
    <t>A graveyard of themes : the genesis of three key works by Iurii Olesha / Kazimiera Ingdahl.</t>
  </si>
  <si>
    <t>Ingdahl, Kazimiera.</t>
  </si>
  <si>
    <t>Stockholm, Sweden : Almqvist &amp; Wiksell International, 1994.</t>
  </si>
  <si>
    <t>Acta Universitatis Stockholmiensis. Stockholm studies in Russian literature ; 29</t>
  </si>
  <si>
    <t>37092075:eng</t>
  </si>
  <si>
    <t>32950683</t>
  </si>
  <si>
    <t>ocm32950683</t>
  </si>
  <si>
    <t>3101558016A</t>
  </si>
  <si>
    <t>9789122016557</t>
  </si>
  <si>
    <t>793398276</t>
  </si>
  <si>
    <t>PG3476 O45 Z33 1981</t>
  </si>
  <si>
    <t>0                      PG 3476000O  45                 Z  33          1981</t>
  </si>
  <si>
    <t>Yurii Olesha's Envy / Andrew Barratt.</t>
  </si>
  <si>
    <t>Birmingham : Dept. of Russian Language &amp; Literature, University of Birmingham, [1981]</t>
  </si>
  <si>
    <t>Birmingham Slavonic monographs, 0141-3805 ; no. 12</t>
  </si>
  <si>
    <t>31854713:eng</t>
  </si>
  <si>
    <t>8333308</t>
  </si>
  <si>
    <t>ocm08333308</t>
  </si>
  <si>
    <t>3103741225C</t>
  </si>
  <si>
    <t>9780704404199</t>
  </si>
  <si>
    <t>792612808</t>
  </si>
  <si>
    <t>PG3476 O74 V64 1992</t>
  </si>
  <si>
    <t>0                      PG 3476000O  74                 V  64          1992</t>
  </si>
  <si>
    <t>Volʹnyĭ kamenshchik : povestʹ, rasskazy / Mikh. Osorgin.</t>
  </si>
  <si>
    <t>Moskva : Moskovskiĭ rabochiĭ, 1992.</t>
  </si>
  <si>
    <t>3901598041:rus</t>
  </si>
  <si>
    <t>26734037</t>
  </si>
  <si>
    <t>ocm26734037</t>
  </si>
  <si>
    <t>3101209692G</t>
  </si>
  <si>
    <t>9785239006276</t>
  </si>
  <si>
    <t>793250593</t>
  </si>
  <si>
    <t>PG3476 O8 K33 1967</t>
  </si>
  <si>
    <t>0                      PG 3476000O  8                  K  33          1967</t>
  </si>
  <si>
    <t>How the steel was tempered : a novel in two parts / Nikolai Ostrovsky ; translated from the Russian by R. Prokofieva.</t>
  </si>
  <si>
    <t>Ostrovsky, Nikolay, 1904-1936.</t>
  </si>
  <si>
    <t>Moscow : Progress Publishers, 1967.</t>
  </si>
  <si>
    <t>1st pbk. ed.</t>
  </si>
  <si>
    <t>Soviet novels series</t>
  </si>
  <si>
    <t>5377788363:eng</t>
  </si>
  <si>
    <t>4266980</t>
  </si>
  <si>
    <t>ocm04266980</t>
  </si>
  <si>
    <t>31028895857</t>
  </si>
  <si>
    <t>792336565</t>
  </si>
  <si>
    <t>V.1</t>
  </si>
  <si>
    <t>31028660847</t>
  </si>
  <si>
    <t>792336566</t>
  </si>
  <si>
    <t>PG3476 O8 R63</t>
  </si>
  <si>
    <t>0                      PG 3476000O  8                  R  63</t>
  </si>
  <si>
    <t>Born of the storm / Nicholas Ostrovsky ; translated from the Russian by Louise Luke Hiler.</t>
  </si>
  <si>
    <t>Westport, Conn. : Hyperion Press, 1975, ©1939.</t>
  </si>
  <si>
    <t>4915358819:eng</t>
  </si>
  <si>
    <t>1102969</t>
  </si>
  <si>
    <t>ocm01102969</t>
  </si>
  <si>
    <t>30004238193</t>
  </si>
  <si>
    <t>9780883551752</t>
  </si>
  <si>
    <t>791547137</t>
  </si>
  <si>
    <t>PG3476 P27 A11 1990</t>
  </si>
  <si>
    <t>0                      PG 3476000P  27                 A  11          1990</t>
  </si>
  <si>
    <t>Oeuvres / Boris Pasternak ; édition établie, présentée et annotée par Michel Aucuturier, Hélène Chatelain, Jean Durin, Gilles Gache ... [et al.] --.</t>
  </si>
  <si>
    <t>Pasternak, Boris Leonidovich, 1890-1960.</t>
  </si>
  <si>
    <t>Paris : Gallimard, 1990.</t>
  </si>
  <si>
    <t>Bibliothèque de la Pléiade ; 363</t>
  </si>
  <si>
    <t>2019-03-24</t>
  </si>
  <si>
    <t>1360832586:fre</t>
  </si>
  <si>
    <t>22372999</t>
  </si>
  <si>
    <t>ocm22372999</t>
  </si>
  <si>
    <t>3103150914L</t>
  </si>
  <si>
    <t>9782070111794</t>
  </si>
  <si>
    <t>793142227</t>
  </si>
  <si>
    <t>PG3476 P27 A234</t>
  </si>
  <si>
    <t>0                      PG 3476000P  27                 A  234</t>
  </si>
  <si>
    <t>The poems of Dr. Zhivago / translated with a commentary by Donald Davie.</t>
  </si>
  <si>
    <t>Manchester : University Press ; New York : Barnes &amp; Noble, ©1965.</t>
  </si>
  <si>
    <t>2018-06-23</t>
  </si>
  <si>
    <t>3856121607:eng</t>
  </si>
  <si>
    <t>321536</t>
  </si>
  <si>
    <t>ocm00321536</t>
  </si>
  <si>
    <t>30007957708</t>
  </si>
  <si>
    <t>791336300</t>
  </si>
  <si>
    <t>PG3476 P27 A237 1962b</t>
  </si>
  <si>
    <t>0                      PG 3476000P  27                 A  237         1962b</t>
  </si>
  <si>
    <t>In the interlude : poems, 1945-1960 / translated into English verse by Henry Kamen ; with a foreword by Sir Maurice Bowra and notes by George Katkov.</t>
  </si>
  <si>
    <t>London ; New York : Oxford University Press, 1962.</t>
  </si>
  <si>
    <t>Oxford paperbacks ; 45</t>
  </si>
  <si>
    <t>2017-12-10</t>
  </si>
  <si>
    <t>791840059:eng</t>
  </si>
  <si>
    <t>8141942</t>
  </si>
  <si>
    <t>ocm08141942</t>
  </si>
  <si>
    <t>3000551146D</t>
  </si>
  <si>
    <t>792601761</t>
  </si>
  <si>
    <t>3100223629C</t>
  </si>
  <si>
    <t>792601762</t>
  </si>
  <si>
    <t>PG3476 P27 A25 1958a</t>
  </si>
  <si>
    <t>0                      PG 3476000P  27                 A  25          1958a</t>
  </si>
  <si>
    <t>Safe conduct : an autobiography, and other writings / Boris Pasternak.</t>
  </si>
  <si>
    <t>Pasternak, Boris Leonidovich, 1890-1960, author.</t>
  </si>
  <si>
    <t>[New York] : [New Directions], [1958]</t>
  </si>
  <si>
    <t>A New Directions paperbook ; 77</t>
  </si>
  <si>
    <t>2013-02-04</t>
  </si>
  <si>
    <t>2252432:eng</t>
  </si>
  <si>
    <t>5686885</t>
  </si>
  <si>
    <t>ocm05686885</t>
  </si>
  <si>
    <t>3102796337$</t>
  </si>
  <si>
    <t>9780811201353</t>
  </si>
  <si>
    <t>792446603</t>
  </si>
  <si>
    <t>3000507709W</t>
  </si>
  <si>
    <t>792446604</t>
  </si>
  <si>
    <t>PG3476.P27 A3185 1990</t>
  </si>
  <si>
    <t>0                      PG 3476000P  27                 A  3185        1990</t>
  </si>
  <si>
    <t>2001-02-20</t>
  </si>
  <si>
    <t>3101489371B</t>
  </si>
  <si>
    <t>793142226</t>
  </si>
  <si>
    <t>PG3476 P27 B5 1969</t>
  </si>
  <si>
    <t>0                      PG 3476000P  27                 B  5           1969</t>
  </si>
  <si>
    <t>The blind beauty : a play / translated by Max Hayward and Manya Harari. With a foreword by Max Hayward.</t>
  </si>
  <si>
    <t>New York, Harcourt, Brace &amp; World [1969]</t>
  </si>
  <si>
    <t>[1st American ed.].</t>
  </si>
  <si>
    <t>1138837:eng</t>
  </si>
  <si>
    <t>16214</t>
  </si>
  <si>
    <t>ocm00016214</t>
  </si>
  <si>
    <t>3000619919Z</t>
  </si>
  <si>
    <t>791229286</t>
  </si>
  <si>
    <t>PG3476 P27 D63 2010</t>
  </si>
  <si>
    <t>0                      PG 3476000P  27                 D  63          2010</t>
  </si>
  <si>
    <t>Doctor Zhivago / Boris Pasternak ; translated from the Russian by Richard Pevear and Larissa Volokhonsky ; with an introduction by Richard Pevear.</t>
  </si>
  <si>
    <t>New York : Pantheon Books, ©2010.</t>
  </si>
  <si>
    <t>1063041434:eng</t>
  </si>
  <si>
    <t>497005221</t>
  </si>
  <si>
    <t>ocn497005221</t>
  </si>
  <si>
    <t>31032285356</t>
  </si>
  <si>
    <t>9780307377692</t>
  </si>
  <si>
    <t>794802952</t>
  </si>
  <si>
    <t>PG3476 P27 D635 2013</t>
  </si>
  <si>
    <t>0                      PG 3476000P  27                 D  635         2013</t>
  </si>
  <si>
    <t>Inside the Zhivago storm : the editorial adventures of Pasternak's masterpiece / Paolo Mancosu.</t>
  </si>
  <si>
    <t>Mancosu, Paolo, author.</t>
  </si>
  <si>
    <t>Milano : Feltrinelli editore, 2013.</t>
  </si>
  <si>
    <t>Annali / Fondazione Giangiacomo Feltrinelli ; anno quarantasettesimo 2011</t>
  </si>
  <si>
    <t>1779230018:eng</t>
  </si>
  <si>
    <t>862741672</t>
  </si>
  <si>
    <t>ocn862741672</t>
  </si>
  <si>
    <t>3103585049K</t>
  </si>
  <si>
    <t>9788807990687</t>
  </si>
  <si>
    <t>794960538</t>
  </si>
  <si>
    <t>PG3476 P27 D6837 2014</t>
  </si>
  <si>
    <t>0                      PG 3476000P  27                 D  6837        2014</t>
  </si>
  <si>
    <t>The Zhivago affair : the Kremlin, the CIA, and the battle over a forbidden book / Peter Finn and Petra Couvée.</t>
  </si>
  <si>
    <t>Finn, Peter, 1962-</t>
  </si>
  <si>
    <t>New York : Pantheon Books, [2014]</t>
  </si>
  <si>
    <t>2015-10-14</t>
  </si>
  <si>
    <t>1392065891:eng</t>
  </si>
  <si>
    <t>858366308</t>
  </si>
  <si>
    <t>ocn858366308</t>
  </si>
  <si>
    <t>3103566282C</t>
  </si>
  <si>
    <t>9780307908001</t>
  </si>
  <si>
    <t>794956138</t>
  </si>
  <si>
    <t>PG3476 P27 D715</t>
  </si>
  <si>
    <t>0                      PG 3476000P  27                 D  715</t>
  </si>
  <si>
    <t>Pasternak's Doctor Zhivago [by] Mary F. Rowland and Paul Rowland. With a pref. by Harry T. Moore.</t>
  </si>
  <si>
    <t>Rowland, Mary F., 1903-1979.</t>
  </si>
  <si>
    <t>Carbondale, Southern Illinois University Press [1967]</t>
  </si>
  <si>
    <t>Crosscurrents: modern critiques</t>
  </si>
  <si>
    <t>466779:eng</t>
  </si>
  <si>
    <t>182709</t>
  </si>
  <si>
    <t>ocm00182709</t>
  </si>
  <si>
    <t>3000158847D</t>
  </si>
  <si>
    <t>791285054</t>
  </si>
  <si>
    <t>2009-06-08</t>
  </si>
  <si>
    <t>3101748167I</t>
  </si>
  <si>
    <t>791285053</t>
  </si>
  <si>
    <t>PG3476 P27 M36 2016</t>
  </si>
  <si>
    <t>0                      PG 3476000P  27                 M  36          2016</t>
  </si>
  <si>
    <t>Zhivago's secret journey : from typescript to book / Paolo Mancosu.</t>
  </si>
  <si>
    <t>Stanford, California : Hoover Institution Press, Stanford University, [2016].</t>
  </si>
  <si>
    <t>Hoover Institution Press publication ; no. 670</t>
  </si>
  <si>
    <t>3829800285:eng</t>
  </si>
  <si>
    <t>950054527</t>
  </si>
  <si>
    <t>ocn950054527</t>
  </si>
  <si>
    <t>31033953938</t>
  </si>
  <si>
    <t>9780817919641</t>
  </si>
  <si>
    <t>795016524</t>
  </si>
  <si>
    <t>PG3476 P27 S413 2012</t>
  </si>
  <si>
    <t>0                      PG 3476000P  27                 S  413         2012</t>
  </si>
  <si>
    <t>My sister life and the Zhivago poems / Boris Pasternak ; translated from the Russian by James E. Falen.</t>
  </si>
  <si>
    <t>3375276665:eng</t>
  </si>
  <si>
    <t>731912708</t>
  </si>
  <si>
    <t>ocn731912708</t>
  </si>
  <si>
    <t>3103429579J</t>
  </si>
  <si>
    <t>9780810127975</t>
  </si>
  <si>
    <t>794881018</t>
  </si>
  <si>
    <t>PG3476 P27 Z48 2010</t>
  </si>
  <si>
    <t>0                      PG 3476000P  27                 Z  48          2010</t>
  </si>
  <si>
    <t>Boris Pasternak : family correspondence, 1921-1960 / translated and with an introduction by Nicolas Pasternak Slater ; edited by Maya Slater ; foreword by Lazar Fleishman.</t>
  </si>
  <si>
    <t>Stanford, Calif. : Hoover Institution Press, Stanford University, ©2010.</t>
  </si>
  <si>
    <t>Hoover Institution Press publication ; no. 578</t>
  </si>
  <si>
    <t>2014-03-11</t>
  </si>
  <si>
    <t>3901954050:eng</t>
  </si>
  <si>
    <t>503074565</t>
  </si>
  <si>
    <t>ocn503074565</t>
  </si>
  <si>
    <t>3103238807Z</t>
  </si>
  <si>
    <t>9780817910242</t>
  </si>
  <si>
    <t>794806181</t>
  </si>
  <si>
    <t>PG3476 P27 Z56 2011</t>
  </si>
  <si>
    <t>0                      PG 3476000P  27                 Z  56          2011</t>
  </si>
  <si>
    <t>Poėtika Pasternaka : invarianty, struktury, interteksty / A.K. Zholkovskiĭ.</t>
  </si>
  <si>
    <t>Nauchnoe prilozhenie ; vyp. 96</t>
  </si>
  <si>
    <t>5618132954:rus</t>
  </si>
  <si>
    <t>754909569</t>
  </si>
  <si>
    <t>ocn754909569</t>
  </si>
  <si>
    <t>31033731327</t>
  </si>
  <si>
    <t>9785867938727</t>
  </si>
  <si>
    <t>794893270</t>
  </si>
  <si>
    <t>PG3476 P27 Z654 2013</t>
  </si>
  <si>
    <t>0                      PG 3476000P  27                 Z  654         2013</t>
  </si>
  <si>
    <t>Art after philosophy : Boris Pasternak's early prose / Elena Glazov-Corrigan.</t>
  </si>
  <si>
    <t>Corrigan, Elena.</t>
  </si>
  <si>
    <t>Columbus : Ohio State University Press, ©2013.</t>
  </si>
  <si>
    <t>1378878090:eng</t>
  </si>
  <si>
    <t>801681409</t>
  </si>
  <si>
    <t>ocn801681409</t>
  </si>
  <si>
    <t>3103498528Z</t>
  </si>
  <si>
    <t>9780814212066</t>
  </si>
  <si>
    <t>794925198</t>
  </si>
  <si>
    <t>PG3476 P27 Z656 1996</t>
  </si>
  <si>
    <t>0                      PG 3476000P  27                 Z  656         1996</t>
  </si>
  <si>
    <t>Bremi︠a︡ styda / Daniil Danin.</t>
  </si>
  <si>
    <t>Danin, Daniil Semenovich.</t>
  </si>
  <si>
    <t>Moskva : Moskovskiĭ rabochiĭ, 1996.</t>
  </si>
  <si>
    <t>10033114959:rus</t>
  </si>
  <si>
    <t>36647740</t>
  </si>
  <si>
    <t>ocm36647740</t>
  </si>
  <si>
    <t>3102007267A</t>
  </si>
  <si>
    <t>9785239015674</t>
  </si>
  <si>
    <t>793480273</t>
  </si>
  <si>
    <t>PG3476 P27 Z742 2017</t>
  </si>
  <si>
    <t>0                      PG 3476000P  27                 Z  742         2017</t>
  </si>
  <si>
    <t>Lara : the untold love story and the inspiration for Doctor Zhivago / Anna Pasternak.</t>
  </si>
  <si>
    <t>Pasternak, Anna, 1967- author.</t>
  </si>
  <si>
    <t>New York, NY : Ecco, an imprint of HarperCollins Publishers, [2017]</t>
  </si>
  <si>
    <t>3008849142:eng</t>
  </si>
  <si>
    <t>969549715</t>
  </si>
  <si>
    <t>ocn969549715</t>
  </si>
  <si>
    <t>3103671317X</t>
  </si>
  <si>
    <t>9780062439345</t>
  </si>
  <si>
    <t>795027449</t>
  </si>
  <si>
    <t>PG3476 P27 Z747</t>
  </si>
  <si>
    <t>0                      PG 3476000P  27                 Z  747</t>
  </si>
  <si>
    <t>Pasternak : a collection of critical essays / edited by Victor Erlich.</t>
  </si>
  <si>
    <t>Englewood Cliffs, N.J. : Prentice-Hall, ©1978.</t>
  </si>
  <si>
    <t>3943716664:eng</t>
  </si>
  <si>
    <t>3361241</t>
  </si>
  <si>
    <t>ocm03361241</t>
  </si>
  <si>
    <t>3000427323C</t>
  </si>
  <si>
    <t>9780136528340</t>
  </si>
  <si>
    <t>792246607</t>
  </si>
  <si>
    <t>3000179150Z</t>
  </si>
  <si>
    <t>792246606</t>
  </si>
  <si>
    <t>PG3476 P27 Z815 1997</t>
  </si>
  <si>
    <t>0                      PG 3476000P  27                 Z  815         1997</t>
  </si>
  <si>
    <t>Understanding Boris Pasternak / Larissa Rudova.</t>
  </si>
  <si>
    <t>Rudova, Larissa, 1953-</t>
  </si>
  <si>
    <t>Columbia, S.C. : University of South Carolina Press, ©1997.</t>
  </si>
  <si>
    <t>Understanding modern European and Latin American literature</t>
  </si>
  <si>
    <t>41126823:eng</t>
  </si>
  <si>
    <t>35637882</t>
  </si>
  <si>
    <t>ocm35637882</t>
  </si>
  <si>
    <t>3101733023$</t>
  </si>
  <si>
    <t>9781570031434</t>
  </si>
  <si>
    <t>793453830</t>
  </si>
  <si>
    <t>PG3476 P27 Z876 2012</t>
  </si>
  <si>
    <t>0                      PG 3476000P  27                 Z  876         2012</t>
  </si>
  <si>
    <t>"I︠A︡ zhil v te dni ..." : Biograficheskie ėti︠u︡dy o Borise Pasternake / V.G. Smolit︠s︡kiĭ.</t>
  </si>
  <si>
    <t>Smolit︠s︡kiĭ, V. G. (Viktor Gershonovich), author.</t>
  </si>
  <si>
    <t>Moskva : Izdatelʹstvo "Zvezda i Krest", 2012.</t>
  </si>
  <si>
    <t>5235592073:rus</t>
  </si>
  <si>
    <t>809032692</t>
  </si>
  <si>
    <t>ocn809032692</t>
  </si>
  <si>
    <t>31034867401</t>
  </si>
  <si>
    <t>9785902468110</t>
  </si>
  <si>
    <t>794928097</t>
  </si>
  <si>
    <t>PG3476 P29 Z4</t>
  </si>
  <si>
    <t>0                      PG 3476000P  29                 Z  4</t>
  </si>
  <si>
    <t>Zolotoĭ linʹ : rasskazy / K. Paustovskiĭ ; risunki khudozhnikov Mikhaila Alekseeva, Nadezhdy Stroganovoĭ.</t>
  </si>
  <si>
    <t>Paustovsky, Konstantin, 1892-1968.</t>
  </si>
  <si>
    <t>[Moskva] : [Sovetskai︠a︡ Rossii︠a︡], [1962]</t>
  </si>
  <si>
    <t>4161349497:rus</t>
  </si>
  <si>
    <t>7455312</t>
  </si>
  <si>
    <t>ocm07455312</t>
  </si>
  <si>
    <t>3103706070E</t>
  </si>
  <si>
    <t>792559223</t>
  </si>
  <si>
    <t>PG3476 P29 1958</t>
  </si>
  <si>
    <t>0                      PG 3476000P  29          1958</t>
  </si>
  <si>
    <t>Moskva : đs.n.], 1958.</t>
  </si>
  <si>
    <t>3373696500:rus</t>
  </si>
  <si>
    <t>427248317</t>
  </si>
  <si>
    <t>ocn427248317</t>
  </si>
  <si>
    <t>31008103188</t>
  </si>
  <si>
    <t>794552789</t>
  </si>
  <si>
    <t>2003-04-21</t>
  </si>
  <si>
    <t>3100810301P</t>
  </si>
  <si>
    <t>794552790</t>
  </si>
  <si>
    <t>3100810302N</t>
  </si>
  <si>
    <t>794552787</t>
  </si>
  <si>
    <t>3100810300R</t>
  </si>
  <si>
    <t>794552788</t>
  </si>
  <si>
    <t>31008103196</t>
  </si>
  <si>
    <t>794552791</t>
  </si>
  <si>
    <t>30007957724</t>
  </si>
  <si>
    <t>794552792</t>
  </si>
  <si>
    <t>PG3476 P4145 Z473 1987</t>
  </si>
  <si>
    <t>0                      PG 3476000P  4145               Z  473         1987</t>
  </si>
  <si>
    <t>Russian poetry and literary life in Harbin and Shanghai, 1930-1950 : the memoirs of Valerij Perelešin / edited in Russian and with an introduction by Jan Paul Hinrichs.</t>
  </si>
  <si>
    <t>Pereleshin, Valeriĭ.</t>
  </si>
  <si>
    <t>Amsterdam : Rodopi, 1987.</t>
  </si>
  <si>
    <t>16111215:rus</t>
  </si>
  <si>
    <t>17241206</t>
  </si>
  <si>
    <t>ocm17241206</t>
  </si>
  <si>
    <t>31037066035</t>
  </si>
  <si>
    <t>9789062036196</t>
  </si>
  <si>
    <t>792985260</t>
  </si>
  <si>
    <t>PG3476 P466 A15 1988</t>
  </si>
  <si>
    <t>0                      PG 3476000P  466                A  15          1988</t>
  </si>
  <si>
    <t>Izbrannye proizvedenii︠a︡ : v 4-kh tomakh / Valentin Pikulʹ.</t>
  </si>
  <si>
    <t>Pikulʹ, Valentin, 1928-1990.</t>
  </si>
  <si>
    <t>Moskva : "Sovremennik", 1988.</t>
  </si>
  <si>
    <t>2007-11-01</t>
  </si>
  <si>
    <t>2016-09-18</t>
  </si>
  <si>
    <t>5342626977:rus</t>
  </si>
  <si>
    <t>18366120</t>
  </si>
  <si>
    <t>ocm18366120</t>
  </si>
  <si>
    <t>31008102718</t>
  </si>
  <si>
    <t>9785270001322</t>
  </si>
  <si>
    <t>793022981</t>
  </si>
  <si>
    <t>2011-03-29</t>
  </si>
  <si>
    <t>31033490293</t>
  </si>
  <si>
    <t>793022982</t>
  </si>
  <si>
    <t>3100810270A</t>
  </si>
  <si>
    <t>793022980</t>
  </si>
  <si>
    <t>3000644050A</t>
  </si>
  <si>
    <t>793022983</t>
  </si>
  <si>
    <t>PG3476 P466 K7 1990</t>
  </si>
  <si>
    <t>0                      PG 3476000P  466                K  7           1990</t>
  </si>
  <si>
    <t>Kreĭsera : roman iz zhizni i︠u︡nogo michmana / Valentin Pikulʹ.</t>
  </si>
  <si>
    <t>3855376986:rus</t>
  </si>
  <si>
    <t>428004925</t>
  </si>
  <si>
    <t>ocn428004925</t>
  </si>
  <si>
    <t>3101163781I</t>
  </si>
  <si>
    <t>9785270010799</t>
  </si>
  <si>
    <t>794744525</t>
  </si>
  <si>
    <t>PG3476 P543 A28</t>
  </si>
  <si>
    <t>0                      PG 3476000P  543                A  28</t>
  </si>
  <si>
    <t>Collected works / Andrei Platonov ; pref. by Joseph Brodsky ; translations by Thomas P. Whitney [and others].</t>
  </si>
  <si>
    <t>Platonov, Andreĭ Platonovich, 1899-1951, author.</t>
  </si>
  <si>
    <t>Ann Arbor, Mich. : Ardis, 1978.</t>
  </si>
  <si>
    <t>292585089:eng</t>
  </si>
  <si>
    <t>4244980</t>
  </si>
  <si>
    <t>ocm04244980</t>
  </si>
  <si>
    <t>3000415481A</t>
  </si>
  <si>
    <t>9780882331348</t>
  </si>
  <si>
    <t>792334213</t>
  </si>
  <si>
    <t>PG3476 P543 C513 1978</t>
  </si>
  <si>
    <t>0                      PG 3476000P  543                C  513         1978</t>
  </si>
  <si>
    <t>Chevengur / Andrei Platonov ; translated by Anthony Olcott.</t>
  </si>
  <si>
    <t>Platonov, Andreĭ Platonovich, 1899-1951.</t>
  </si>
  <si>
    <t>68956549:eng</t>
  </si>
  <si>
    <t>4265324</t>
  </si>
  <si>
    <t>ocm04265324</t>
  </si>
  <si>
    <t>31029305290</t>
  </si>
  <si>
    <t>9780882333090</t>
  </si>
  <si>
    <t>792336448</t>
  </si>
  <si>
    <t>PG3476 P543 D913 2003</t>
  </si>
  <si>
    <t>0                      PG 3476000P  543                D  913         2003</t>
  </si>
  <si>
    <t>Soul / Andrey Platonov ; translated from the Russian by Robert and Elizabeth Chandler and Olga Meerson, with Jane Chamberlain, Olga Kouznetsova and Eric Naiman.</t>
  </si>
  <si>
    <t>2018-09-10</t>
  </si>
  <si>
    <t>3770320518:eng</t>
  </si>
  <si>
    <t>51270878</t>
  </si>
  <si>
    <t>ocm51270878</t>
  </si>
  <si>
    <t>31029305230</t>
  </si>
  <si>
    <t>9781843430384</t>
  </si>
  <si>
    <t>793781929</t>
  </si>
  <si>
    <t>PG3476 P543 K613 1994</t>
  </si>
  <si>
    <t>0                      PG 3476000P  543                K  613         1994</t>
  </si>
  <si>
    <t>The foundation pit / Andrey Platonov ; translated, and with an introduction by Mirra Ginsburg.</t>
  </si>
  <si>
    <t>645210:eng</t>
  </si>
  <si>
    <t>29636383</t>
  </si>
  <si>
    <t>ocm29636383</t>
  </si>
  <si>
    <t>3103635507W</t>
  </si>
  <si>
    <t>9780810111455</t>
  </si>
  <si>
    <t>793316875</t>
  </si>
  <si>
    <t>PG3476 P543 K613 2009</t>
  </si>
  <si>
    <t>0                      PG 3476000P  543                K  613         2009</t>
  </si>
  <si>
    <t>The foundation pit / Andrey Platonov ; a new translation from the definitive Russian text by Robert &amp; Elizabeth Chandler, Olga Meerson ; with notes and an afterword by Robert Chandler and Olga Meerson.</t>
  </si>
  <si>
    <t>244056868</t>
  </si>
  <si>
    <t>ocn244056868</t>
  </si>
  <si>
    <t>3103612171T</t>
  </si>
  <si>
    <t>9781590173053</t>
  </si>
  <si>
    <t>794380582</t>
  </si>
  <si>
    <t>PG3476 P543 K63 2000</t>
  </si>
  <si>
    <t>0                      PG 3476000P  543                K  63          2000</t>
  </si>
  <si>
    <t>Kotlovan : tekst, materialy tvorcheskoĭ istorii / Andreĭ Platonov ; [redakt︠s︡ionnai︠a︡ kollegii︠a︡ N.A. Groznova and others].</t>
  </si>
  <si>
    <t>Sankt-Peterburg : Nauka, 2000.</t>
  </si>
  <si>
    <t>3944593757:rus</t>
  </si>
  <si>
    <t>46656454</t>
  </si>
  <si>
    <t>ocm46656454</t>
  </si>
  <si>
    <t>31028025587</t>
  </si>
  <si>
    <t>9785020284258</t>
  </si>
  <si>
    <t>793688849</t>
  </si>
  <si>
    <t>PG3476 P543 K633 2010</t>
  </si>
  <si>
    <t>0                      PG 3476000P  543                K  633         2010</t>
  </si>
  <si>
    <t>Putevoditelʹ po povesti A.P. Platonova "Kotlovan" : uchebnoe posobie / N.I. Duzhina.</t>
  </si>
  <si>
    <t>Duzhina, N. I. (Natalʹi︠a︡ Ilʹinichna)</t>
  </si>
  <si>
    <t>2014-12-15</t>
  </si>
  <si>
    <t>764066103:rus</t>
  </si>
  <si>
    <t>691857362</t>
  </si>
  <si>
    <t>ocn691857362</t>
  </si>
  <si>
    <t>3103484701H</t>
  </si>
  <si>
    <t>9785211053625</t>
  </si>
  <si>
    <t>794855850</t>
  </si>
  <si>
    <t>PG3476 P543 K637 2009</t>
  </si>
  <si>
    <t>0                      PG 3476000P  543                K  637         2009</t>
  </si>
  <si>
    <t>A companion to Andrei Platonov's The foundation pit / Thomas Seifrid.</t>
  </si>
  <si>
    <t>Seifrid, Thomas.</t>
  </si>
  <si>
    <t>135175035:eng</t>
  </si>
  <si>
    <t>317118344</t>
  </si>
  <si>
    <t>ocn317118344</t>
  </si>
  <si>
    <t>3103087016B</t>
  </si>
  <si>
    <t>9781934843086</t>
  </si>
  <si>
    <t>794450816</t>
  </si>
  <si>
    <t>PG3476 P543 S3313 2001</t>
  </si>
  <si>
    <t>0                      PG 3476000P  543                S  3313        2001</t>
  </si>
  <si>
    <t>Happy Moscow / Andrey Platonov ; translated from the Russian by Robert and Elizabeth Chandler [and others] ; with an introduction by Eric Naiman.</t>
  </si>
  <si>
    <t>London : Harvill, 2001.</t>
  </si>
  <si>
    <t>292927174:eng</t>
  </si>
  <si>
    <t>46808843</t>
  </si>
  <si>
    <t>ocm46808843</t>
  </si>
  <si>
    <t>31029305280</t>
  </si>
  <si>
    <t>9781860466465</t>
  </si>
  <si>
    <t>793691877</t>
  </si>
  <si>
    <t>PG3476 P543 Z469 2000</t>
  </si>
  <si>
    <t>0                      PG 3476000P  543                Z  469         2000</t>
  </si>
  <si>
    <t>Zapisnye knizhki : materialy k biografii / Andreĭ Platonov ; [publikat︠s︡ii︠a︡ M.A. Platonovoĭ ; sostavlenie, podgotovka teksta, predislovie i primechanii︠a︡ N.V. Kornienko].</t>
  </si>
  <si>
    <t>Moskva : IMLI RAN, "Nasledie", 2000.</t>
  </si>
  <si>
    <t>2018-12-17</t>
  </si>
  <si>
    <t>10033108668:rus</t>
  </si>
  <si>
    <t>44807813</t>
  </si>
  <si>
    <t>ocm44807813</t>
  </si>
  <si>
    <t>3102059585U</t>
  </si>
  <si>
    <t>9785920800022</t>
  </si>
  <si>
    <t>793658595</t>
  </si>
  <si>
    <t>PG3476 P543 Z58 2005</t>
  </si>
  <si>
    <t>0                      PG 3476000P  543                Z  58          2005</t>
  </si>
  <si>
    <t>The feminine in the prose of Andrey Platonov / by Philip Ross Bullock.</t>
  </si>
  <si>
    <t>Bullock, Philip Ross.</t>
  </si>
  <si>
    <t>London : Legenda/Modern Humanities Research Association and Maney Pub., 2005.</t>
  </si>
  <si>
    <t>20834323:eng</t>
  </si>
  <si>
    <t>50494356</t>
  </si>
  <si>
    <t>ocm50494356</t>
  </si>
  <si>
    <t>3102857865P</t>
  </si>
  <si>
    <t>9781900755757</t>
  </si>
  <si>
    <t>793766079</t>
  </si>
  <si>
    <t>PG3476 P543 Z778 1992</t>
  </si>
  <si>
    <t>0                      PG 3476000P  543                Z  778         1992</t>
  </si>
  <si>
    <t>Andrei Platonov : uncertainties of spirit / by Thomas Seifrid.</t>
  </si>
  <si>
    <t>836862982:eng</t>
  </si>
  <si>
    <t>23688933</t>
  </si>
  <si>
    <t>ocm23688933</t>
  </si>
  <si>
    <t>3101184888K</t>
  </si>
  <si>
    <t>9780521405225</t>
  </si>
  <si>
    <t>793179824</t>
  </si>
  <si>
    <t>PG3476 P543 Z873 1995</t>
  </si>
  <si>
    <t>0                      PG 3476000P  543                Z  873         1995</t>
  </si>
  <si>
    <t>"Strana filosofov" Andrei︠a︡ Platonova : problemy tvorchestva : po materialam vtoroĭ Mezhdunarodnoĭ nauchnoĭ konferent︠s︡ii, posvi︠a︡shchennoĭ 95-letii︠u︡ so dni︠a︡ rozhdenii︠a︡ A.P. Platonova, 17-19 okti︠a︡bri︠a︡ 1994 goda. Moskva / [redaktor-sostavitelʹ N.V. Kornienko].</t>
  </si>
  <si>
    <t>Moskva : "Nasledie", 1995-</t>
  </si>
  <si>
    <t>4916279879:rus</t>
  </si>
  <si>
    <t>34108816</t>
  </si>
  <si>
    <t>ocm34108816</t>
  </si>
  <si>
    <t>3101541836D</t>
  </si>
  <si>
    <t>9785201132392</t>
  </si>
  <si>
    <t>793418859</t>
  </si>
  <si>
    <t>PG3476 P543 Z96</t>
  </si>
  <si>
    <t>0                      PG 3476000P  543                Z  96</t>
  </si>
  <si>
    <t>Platonov and Fyodorov : the influence of Christian philosophy on a Soviet writer / Ayleen Teskey.</t>
  </si>
  <si>
    <t>Teskey, Ayleen.</t>
  </si>
  <si>
    <t>Amersham, England : Avebury, 1982.</t>
  </si>
  <si>
    <t>Avebury monographs on Russian literature</t>
  </si>
  <si>
    <t>345965624:eng</t>
  </si>
  <si>
    <t>8547349</t>
  </si>
  <si>
    <t>ocm08547349</t>
  </si>
  <si>
    <t>3000335218K</t>
  </si>
  <si>
    <t>9780861272143</t>
  </si>
  <si>
    <t>792626425</t>
  </si>
  <si>
    <t>PG3476 P617 A6 2010</t>
  </si>
  <si>
    <t>0                      PG 3476000P  617                A  6           2010</t>
  </si>
  <si>
    <t>Stikhotvorenii︠a︡ i poėmy / Elizaveta Polonskai︠a︡ ; [vstup. statʹi︠a︡, sostavlenie, podgotovka teksta i primechanii︠a︡, B.I︠A︡. Frezinskogo].</t>
  </si>
  <si>
    <t>Polonskai︠a︡, Elizaveta, 1890-1969.</t>
  </si>
  <si>
    <t>Sankt-Peterburg : Izd-vo Pushkinskogo Doma : "Pervyĭ IPKh", 2010.</t>
  </si>
  <si>
    <t>Novai︠a︡ biblioteka poėta. Malai︠a︡ serii︠a︡</t>
  </si>
  <si>
    <t>864727466:rus</t>
  </si>
  <si>
    <t>711615426</t>
  </si>
  <si>
    <t>ocn711615426</t>
  </si>
  <si>
    <t>31033938589</t>
  </si>
  <si>
    <t>9785877810174</t>
  </si>
  <si>
    <t>794871046</t>
  </si>
  <si>
    <t>PG3476 R87 D48 1988</t>
  </si>
  <si>
    <t>0                      PG 3476000R  87                 D  48          1988</t>
  </si>
  <si>
    <t>Deti Arbata / Anatoliĭ Rybakov.</t>
  </si>
  <si>
    <t>Rybakov, Anatoliĭ Naumovich.</t>
  </si>
  <si>
    <t>Tashkent : Izd-vo lit-ry i iskusstva im. Gafura Gulia︠︡ma, ©1988.</t>
  </si>
  <si>
    <t>2019-06-11</t>
  </si>
  <si>
    <t>9593910445:rus</t>
  </si>
  <si>
    <t>22157899</t>
  </si>
  <si>
    <t>ocm22157899</t>
  </si>
  <si>
    <t>30006440623</t>
  </si>
  <si>
    <t>9785635001318</t>
  </si>
  <si>
    <t>793135851</t>
  </si>
  <si>
    <t>PG3476 R87 D4833 1990</t>
  </si>
  <si>
    <t>0                      PG 3476000R  87                 D  4833        1990</t>
  </si>
  <si>
    <t>"Deti Arbata" Anatolii︠a︡ Rybakova / [sostavitelʹ Sh. G. Umerov].</t>
  </si>
  <si>
    <t>Moskva : Sov. pisatelʹ, 1990.</t>
  </si>
  <si>
    <t>S raznykh tochek zrenii︠a︡</t>
  </si>
  <si>
    <t>23838642:rus</t>
  </si>
  <si>
    <t>22251836</t>
  </si>
  <si>
    <t>ocm22251836</t>
  </si>
  <si>
    <t>3101008187B</t>
  </si>
  <si>
    <t>9785265015099</t>
  </si>
  <si>
    <t>793138552</t>
  </si>
  <si>
    <t>PG3476 R87 P713 1996</t>
  </si>
  <si>
    <t>0                      PG 3476000R  87                 P  713         1996</t>
  </si>
  <si>
    <t>Dust and ashes / Anatoli Rybakov ; translated by Antonina W. Bouis.</t>
  </si>
  <si>
    <t>Rybakov, Anatoliĭ, 1911-1998.</t>
  </si>
  <si>
    <t>Boston : Little, Brown, ©1996.</t>
  </si>
  <si>
    <t>[The Arbat trilogy ; v. 3]</t>
  </si>
  <si>
    <t>2015-06-10</t>
  </si>
  <si>
    <t>5612162365:eng</t>
  </si>
  <si>
    <t>33043337</t>
  </si>
  <si>
    <t>ocm33043337</t>
  </si>
  <si>
    <t>3101538650Z</t>
  </si>
  <si>
    <t>9780316763790</t>
  </si>
  <si>
    <t>793400276</t>
  </si>
  <si>
    <t>PG3476 R87 P73 1994</t>
  </si>
  <si>
    <t>0                      PG 3476000R  87                 P  73          1994</t>
  </si>
  <si>
    <t>Prakh i pepel : roman / Anatoliĭ Rybakov.</t>
  </si>
  <si>
    <t>Moskva : Terra, 1994.</t>
  </si>
  <si>
    <t>5612162365:rus</t>
  </si>
  <si>
    <t>32029927</t>
  </si>
  <si>
    <t>ocm32029927</t>
  </si>
  <si>
    <t>3101403738Y</t>
  </si>
  <si>
    <t>9785852556721</t>
  </si>
  <si>
    <t>793373794</t>
  </si>
  <si>
    <t>PG3476 R87 T74 1989</t>
  </si>
  <si>
    <t>0                      PG 3476000R  87                 T  74          1989</t>
  </si>
  <si>
    <t>Tridt︠s︡atʹ pi︠a︡tyĭ i drugie gody : roman / Anatoliĭ Rybakov.</t>
  </si>
  <si>
    <t>Rybakov, Anatoliĭ, 1911-1998, author.</t>
  </si>
  <si>
    <t>Moskva : Sovetskiĭ pisatelʹ, 1989-1990.</t>
  </si>
  <si>
    <t>2015-07-06</t>
  </si>
  <si>
    <t>4535659127:rus</t>
  </si>
  <si>
    <t>21163503</t>
  </si>
  <si>
    <t>ocm21163503</t>
  </si>
  <si>
    <t>3102795757O</t>
  </si>
  <si>
    <t>9785265010032</t>
  </si>
  <si>
    <t>793111284</t>
  </si>
  <si>
    <t>2008-12-18</t>
  </si>
  <si>
    <t>3100760282H</t>
  </si>
  <si>
    <t>793111285</t>
  </si>
  <si>
    <t>PG3476 R965 S613 2005</t>
  </si>
  <si>
    <t>0                      PG 3476000R  965                S  613         2005</t>
  </si>
  <si>
    <t>A dream in polar fog / by Yuri Rytkheu ; translated from the Russian by Ilona Yazhbin Chavasse.</t>
  </si>
  <si>
    <t>Rytkhėu, I︠U︡riĭ, 1930-2008.</t>
  </si>
  <si>
    <t>Brooklyn, N.Y. : Archipelago Books, ©2005.</t>
  </si>
  <si>
    <t>Rainmaker translations</t>
  </si>
  <si>
    <t>287551124:eng</t>
  </si>
  <si>
    <t>57044151</t>
  </si>
  <si>
    <t>ocm57044151</t>
  </si>
  <si>
    <t>3102483368S</t>
  </si>
  <si>
    <t>9780974968070</t>
  </si>
  <si>
    <t>793906348</t>
  </si>
  <si>
    <t>PG3476 S44 S64 2014</t>
  </si>
  <si>
    <t>0                      PG 3476000S  44                 S  64          2014</t>
  </si>
  <si>
    <t>Smertʹ i voskreshenie A.M. Butova (proisshestvie na novom kladbishche) : roman / Aleksandr Sharov.</t>
  </si>
  <si>
    <t>Sharov, Aleksandr, 1909-1984.</t>
  </si>
  <si>
    <t>Moskva : ArsisBooks, 2014.</t>
  </si>
  <si>
    <t>5083188112:rus</t>
  </si>
  <si>
    <t>875293096</t>
  </si>
  <si>
    <t>ocn875293096</t>
  </si>
  <si>
    <t>3103586045G</t>
  </si>
  <si>
    <t>9785904155322</t>
  </si>
  <si>
    <t>794969383</t>
  </si>
  <si>
    <t>PG3476 S448 B613 1990</t>
  </si>
  <si>
    <t>0                      PG 3476000S  448                B  613         1990</t>
  </si>
  <si>
    <t>The Bolsheviks and other plays / Mikhail Shatrov ; translated and introduced by Michael Glenny.</t>
  </si>
  <si>
    <t>Shatrov, Mikhail, 1932-2010, author.</t>
  </si>
  <si>
    <t>London : Hern, 1990.</t>
  </si>
  <si>
    <t>504987753:eng</t>
  </si>
  <si>
    <t>20932354</t>
  </si>
  <si>
    <t>ocm20932354</t>
  </si>
  <si>
    <t>3100754002Z</t>
  </si>
  <si>
    <t>9781854590367</t>
  </si>
  <si>
    <t>793103397</t>
  </si>
  <si>
    <t>PG3476 S488 A2 2017</t>
  </si>
  <si>
    <t>0                      PG 3476000S  488                A  2           2017</t>
  </si>
  <si>
    <t>Viktor Shklovsky : a reader / edited and translated by Alexandra Berlina.</t>
  </si>
  <si>
    <t>New York : Bloomsbury Academic, an imprint of Bloomsbury Publishing Inc, 2017.</t>
  </si>
  <si>
    <t>2879607273:eng</t>
  </si>
  <si>
    <t>934676872</t>
  </si>
  <si>
    <t>ocn934676872</t>
  </si>
  <si>
    <t>31036968490</t>
  </si>
  <si>
    <t>9781501310362</t>
  </si>
  <si>
    <t>795009806</t>
  </si>
  <si>
    <t>PG3476 S488 A6 1990</t>
  </si>
  <si>
    <t>0                      PG 3476000S  488                A  6           1990</t>
  </si>
  <si>
    <t>Gamburgskiĭ schet : statʹi, vospominanii︠a︡, ėsse, 1914-1933 / Viktor Shklovskiĭ ; [sostavlenie A.I︠U︡. Galushkina i A.P. Chudakova].</t>
  </si>
  <si>
    <t>9593912295:rus</t>
  </si>
  <si>
    <t>21485771</t>
  </si>
  <si>
    <t>ocm21485771</t>
  </si>
  <si>
    <t>3100574465Y</t>
  </si>
  <si>
    <t>9785265009517</t>
  </si>
  <si>
    <t>793120348</t>
  </si>
  <si>
    <t>PG3476 S488 B36 2014</t>
  </si>
  <si>
    <t>0                      PG 3476000S  488                B  36          2014</t>
  </si>
  <si>
    <t>Viktor Shklovskiĭ / Vladimir Berezin.</t>
  </si>
  <si>
    <t>Berezin, Vladimir (Vladimir Sergeevich), 1966- author.</t>
  </si>
  <si>
    <t>Moskva : Molodai︠a︡ gvardii︠a︡, 2014.</t>
  </si>
  <si>
    <t>Zhiznʹ zamechatelʹnykh li︠u︡deĭ, serii︠a︡ biografiĭ ; vypusk 1669 (1469)</t>
  </si>
  <si>
    <t>2216807195:rus</t>
  </si>
  <si>
    <t>875257503</t>
  </si>
  <si>
    <t>ocn875257503</t>
  </si>
  <si>
    <t>3103632466Z</t>
  </si>
  <si>
    <t>9785235037069</t>
  </si>
  <si>
    <t>794969361</t>
  </si>
  <si>
    <t>PG3476 S488 P5713 2012</t>
  </si>
  <si>
    <t>0                      PG 3476000S  488                P  5713        2012</t>
  </si>
  <si>
    <t>A hunt for optimism / Viktor Shklovsky ; translated by Shushan Avagyan.</t>
  </si>
  <si>
    <t>Champaign ; Dublin ; London : Dalkey Archive Press, [2012]</t>
  </si>
  <si>
    <t>174550348:eng</t>
  </si>
  <si>
    <t>783162453</t>
  </si>
  <si>
    <t>ocn783162453</t>
  </si>
  <si>
    <t>31034972379</t>
  </si>
  <si>
    <t>9781564787903</t>
  </si>
  <si>
    <t>794914036</t>
  </si>
  <si>
    <t>PG3476 S488 Z323</t>
  </si>
  <si>
    <t>0                      PG 3476000S  488                Z  323</t>
  </si>
  <si>
    <t>Zoo; or, Letters not about love [by] Viktor Shklovsky. Translated from the Russian and edited by Richard Sheldon.</t>
  </si>
  <si>
    <t>Ithaca, Cornell University Press [1971]</t>
  </si>
  <si>
    <t>2908489182:eng</t>
  </si>
  <si>
    <t>163821</t>
  </si>
  <si>
    <t>ocm00163821</t>
  </si>
  <si>
    <t>31030063207</t>
  </si>
  <si>
    <t>9780801406560</t>
  </si>
  <si>
    <t>791277293</t>
  </si>
  <si>
    <t>PG3476 S488 Z46 2012</t>
  </si>
  <si>
    <t>0                      PG 3476000S  488                Z  46          2012</t>
  </si>
  <si>
    <t>Shklovsky : witness to an era / Serena Vitale ; translated by Jamie Richards.</t>
  </si>
  <si>
    <t>Champaign [Ill.] : Dalkey Archive Press, 2012.</t>
  </si>
  <si>
    <t>1098223571:eng</t>
  </si>
  <si>
    <t>783161382</t>
  </si>
  <si>
    <t>ocn783161382</t>
  </si>
  <si>
    <t>31034552096</t>
  </si>
  <si>
    <t>9781564787910</t>
  </si>
  <si>
    <t>794914029</t>
  </si>
  <si>
    <t>PG3476 S488 Z5 1966</t>
  </si>
  <si>
    <t>0                      PG 3476000S  488                Z  5           1966</t>
  </si>
  <si>
    <t>Zhili-byli; vospominanii︠a︡, memuarnye zapisi, povesti o vremeni: s kont︠s︡a xix v. po 1964 g.</t>
  </si>
  <si>
    <t>Moskva, Sovetskiĭ pisatelʹ, 1966.</t>
  </si>
  <si>
    <t>10033135741:rus</t>
  </si>
  <si>
    <t>427511000</t>
  </si>
  <si>
    <t>ocn427511000</t>
  </si>
  <si>
    <t>3000617708L</t>
  </si>
  <si>
    <t>794671975</t>
  </si>
  <si>
    <t>PG3476 S52 P613 1931z</t>
  </si>
  <si>
    <t>0                      PG 3476000S  52                 P  613         1931z</t>
  </si>
  <si>
    <t>Virgin soil upturned / Mikhail Sholokhov ; translated from the Russian by R. Daglish.</t>
  </si>
  <si>
    <t>Sholokhov, Mikhail Aleksandrovich, 1905-1984.</t>
  </si>
  <si>
    <t>Moscow : Foreign Languages Pub. House, [1960?]</t>
  </si>
  <si>
    <t>Library of selected Soviet literature</t>
  </si>
  <si>
    <t>2015-10-26</t>
  </si>
  <si>
    <t>3374594036:eng</t>
  </si>
  <si>
    <t>1957087</t>
  </si>
  <si>
    <t>ocm01957087</t>
  </si>
  <si>
    <t>31028660779</t>
  </si>
  <si>
    <t>792018050</t>
  </si>
  <si>
    <t>2008-04-01</t>
  </si>
  <si>
    <t>31028660827</t>
  </si>
  <si>
    <t>792018051</t>
  </si>
  <si>
    <t>PG3476 S52 P63 1935</t>
  </si>
  <si>
    <t>0                      PG 3476000S  52                 P  63          1935</t>
  </si>
  <si>
    <t>Seeds of tomorrow / Mikhail Sholokhov ; translated from the Russian for the first time by Stephen Garry.</t>
  </si>
  <si>
    <t>Sholokhov, Mikhail Aleksandrovich, 1905-1984, author.</t>
  </si>
  <si>
    <t>New York : Alfred A. Knopf, 1935.</t>
  </si>
  <si>
    <t>2010-01-25</t>
  </si>
  <si>
    <t>2017-09-14</t>
  </si>
  <si>
    <t>4494925893:eng</t>
  </si>
  <si>
    <t>1573038</t>
  </si>
  <si>
    <t>ocm01573038</t>
  </si>
  <si>
    <t>30002489834</t>
  </si>
  <si>
    <t>791754417</t>
  </si>
  <si>
    <t>PG3476 S52 T48 1957</t>
  </si>
  <si>
    <t>0                      PG 3476000S  52                 T  48          1957</t>
  </si>
  <si>
    <t>Tikhiĭ Don; roman.</t>
  </si>
  <si>
    <t>V. 1-2</t>
  </si>
  <si>
    <t>Moskva, Gos. izd-vo khudozh. lit-ry, 1957.</t>
  </si>
  <si>
    <t>Biblioteka sovetskogo romana</t>
  </si>
  <si>
    <t>2016-02-19</t>
  </si>
  <si>
    <t>4495043437:rus</t>
  </si>
  <si>
    <t>213543550</t>
  </si>
  <si>
    <t>ocn213543550</t>
  </si>
  <si>
    <t>30007910856</t>
  </si>
  <si>
    <t>794310275</t>
  </si>
  <si>
    <t>V. 3-4</t>
  </si>
  <si>
    <t>31008103811</t>
  </si>
  <si>
    <t>794310274</t>
  </si>
  <si>
    <t>PG3476 S52 T4813 1934</t>
  </si>
  <si>
    <t>0                      PG 3476000S  52                 T  4813        1934</t>
  </si>
  <si>
    <t>And quiet flows the Don / by Mikhail Sholokhov; translated from the Russian by Stephen Garry.</t>
  </si>
  <si>
    <t>New York : A.A. Knopf, 1934.</t>
  </si>
  <si>
    <t>First American ed.</t>
  </si>
  <si>
    <t>4915923741:eng</t>
  </si>
  <si>
    <t>2804467</t>
  </si>
  <si>
    <t>ocm02804467</t>
  </si>
  <si>
    <t>31009895488</t>
  </si>
  <si>
    <t>9780394415208</t>
  </si>
  <si>
    <t>792178776</t>
  </si>
  <si>
    <t>2013-07-19</t>
  </si>
  <si>
    <t>3000173777L</t>
  </si>
  <si>
    <t>792178777</t>
  </si>
  <si>
    <t>PG3476 S52 T4813 1996</t>
  </si>
  <si>
    <t>0                      PG 3476000S  52                 T  4813        1996</t>
  </si>
  <si>
    <t>Quiet flows the Don / Mikhail Sholokhov ; translated by Robert Daglish ; revised and edited by Brian Murphy.</t>
  </si>
  <si>
    <t>New York : Carroll &amp; Graf Publishers, 1996.</t>
  </si>
  <si>
    <t>1st Carroll &amp; Grad ed.</t>
  </si>
  <si>
    <t>2017-02-01</t>
  </si>
  <si>
    <t>35222998</t>
  </si>
  <si>
    <t>ocm35222998</t>
  </si>
  <si>
    <t>31017007226</t>
  </si>
  <si>
    <t>9780786703609</t>
  </si>
  <si>
    <t>793447138</t>
  </si>
  <si>
    <t>PG3476 S52 T4833 2005</t>
  </si>
  <si>
    <t>0                      PG 3476000S  52                 T  4833        2005</t>
  </si>
  <si>
    <t>"Tikhiĭ Don" i politicheskai︠a︡ t︠s︡enzura : 1928-1991 / German Ermolaev.</t>
  </si>
  <si>
    <t>Ermolaev, Herman.</t>
  </si>
  <si>
    <t>Moskva : IMLI RAN, 2005.</t>
  </si>
  <si>
    <t>367907399:rus</t>
  </si>
  <si>
    <t>69223314</t>
  </si>
  <si>
    <t>ocm69223314</t>
  </si>
  <si>
    <t>3102674180J</t>
  </si>
  <si>
    <t>9785920802415</t>
  </si>
  <si>
    <t>794145617</t>
  </si>
  <si>
    <t>PG3476 S52 T57</t>
  </si>
  <si>
    <t>0                      PG 3476000S  52                 T  57</t>
  </si>
  <si>
    <t>Mikhail Sholokhov and his art / Herman Ermolaev.</t>
  </si>
  <si>
    <t>Princeton, N.J. : Princeton University Press, ©1982.</t>
  </si>
  <si>
    <t>442272:eng</t>
  </si>
  <si>
    <t>7575432</t>
  </si>
  <si>
    <t>ocm07575432</t>
  </si>
  <si>
    <t>3000156006W</t>
  </si>
  <si>
    <t>9780691076348</t>
  </si>
  <si>
    <t>792567190</t>
  </si>
  <si>
    <t>PG3476 S52 T763 2010</t>
  </si>
  <si>
    <t>0                      PG 3476000S  52                 T  763         2010</t>
  </si>
  <si>
    <t>Zagadki i taĭny "Tikhogo Dona" : dvenadt︠s︡atʹ let poiskov i nakhodok / [sostavlenie, A.G. Makarov].</t>
  </si>
  <si>
    <t>Moskva : AIRO-XXI, 2010.</t>
  </si>
  <si>
    <t>AIRO--issledovanii︠a︡ po probleme avtorstva "Tikhogo Dona"</t>
  </si>
  <si>
    <t>1355303449:rus</t>
  </si>
  <si>
    <t>608633585</t>
  </si>
  <si>
    <t>ocn608633585</t>
  </si>
  <si>
    <t>3103301112H</t>
  </si>
  <si>
    <t>9785910220892</t>
  </si>
  <si>
    <t>794819641</t>
  </si>
  <si>
    <t>PG3476 S52 Z57</t>
  </si>
  <si>
    <t>0                      PG 3476000S  52                 Z  57</t>
  </si>
  <si>
    <t>Sholokhov [by] C.G. Bearne.</t>
  </si>
  <si>
    <t>Bearne, C. G.</t>
  </si>
  <si>
    <t>Edinburgh, Oliver &amp; Boyd, 1969.</t>
  </si>
  <si>
    <t>Writers and critics</t>
  </si>
  <si>
    <t>1275894:eng</t>
  </si>
  <si>
    <t>84602</t>
  </si>
  <si>
    <t>ocm00084602</t>
  </si>
  <si>
    <t>3000216197G</t>
  </si>
  <si>
    <t>9780050021460</t>
  </si>
  <si>
    <t>791250123</t>
  </si>
  <si>
    <t>PG3476 S52 1985</t>
  </si>
  <si>
    <t>0                      PG 3476000S  52          1985</t>
  </si>
  <si>
    <t>Sobranie sochineniĭ v vosʹmi tomakh / Mikhail Sholokhov.</t>
  </si>
  <si>
    <t>Moskva : Khudozh. lit-ra, 1985-1986.</t>
  </si>
  <si>
    <t>115251389:rus</t>
  </si>
  <si>
    <t>123194059</t>
  </si>
  <si>
    <t>ocn123194059</t>
  </si>
  <si>
    <t>3100810386S</t>
  </si>
  <si>
    <t>794224715</t>
  </si>
  <si>
    <t>3100810387Q</t>
  </si>
  <si>
    <t>794224714</t>
  </si>
  <si>
    <t>30004804156</t>
  </si>
  <si>
    <t>794224717</t>
  </si>
  <si>
    <t>3100810398L</t>
  </si>
  <si>
    <t>794224713</t>
  </si>
  <si>
    <t>3100810389M</t>
  </si>
  <si>
    <t>794224712</t>
  </si>
  <si>
    <t>3103387135N</t>
  </si>
  <si>
    <t>794224716</t>
  </si>
  <si>
    <t>2000-08-09</t>
  </si>
  <si>
    <t>3100810399J</t>
  </si>
  <si>
    <t>794224711</t>
  </si>
  <si>
    <t>T. 8</t>
  </si>
  <si>
    <t>31008103722</t>
  </si>
  <si>
    <t>794224710</t>
  </si>
  <si>
    <t>PG3476 S5246 A6 1972</t>
  </si>
  <si>
    <t>0                      PG 3476000S  5246               A  6           1972</t>
  </si>
  <si>
    <t>Three plays / Yevgeniy Shvarts ; with an introd. and notes by Avril Pyman ; illustrated by Kirill Sokolov.</t>
  </si>
  <si>
    <t>Shvart︠s︡, Evgeniĭ, 1896-1958.</t>
  </si>
  <si>
    <t>Oxford ; New York : Pergamon Press, [©1972]</t>
  </si>
  <si>
    <t>4020097065:eng</t>
  </si>
  <si>
    <t>483536</t>
  </si>
  <si>
    <t>ocm00483536</t>
  </si>
  <si>
    <t>31032923115</t>
  </si>
  <si>
    <t>791389764</t>
  </si>
  <si>
    <t>PG3476 S5246 Z76</t>
  </si>
  <si>
    <t>0                      PG 3476000S  5246               Z  76</t>
  </si>
  <si>
    <t>Evgenii Shvarts and his fairy-tales for adults / Amanda J. Metcalf.</t>
  </si>
  <si>
    <t>Metcalf, Amanda J.</t>
  </si>
  <si>
    <t>Birmingham : Dept. of Russian Language &amp; Literature, University of Birmingham, ©1979.</t>
  </si>
  <si>
    <t>Birmingham Slavonic monographs, 0141-3805 ; no. 8</t>
  </si>
  <si>
    <t>24965865:eng</t>
  </si>
  <si>
    <t>6930519</t>
  </si>
  <si>
    <t>ocm06930519</t>
  </si>
  <si>
    <t>3102802600E</t>
  </si>
  <si>
    <t>9780704403505</t>
  </si>
  <si>
    <t>792531037</t>
  </si>
  <si>
    <t>PG3476 S539 A6 1992</t>
  </si>
  <si>
    <t>0                      PG 3476000S  539                A  6           1992</t>
  </si>
  <si>
    <t>Sobranie sochineniĭ v dvukh tomakh / Abram Tert︠s︡ (Andreĭ Sini︠a︡vskiĭ).</t>
  </si>
  <si>
    <t>Moskva : SP "Start", 1992.</t>
  </si>
  <si>
    <t>3375765729:rus</t>
  </si>
  <si>
    <t>27858234</t>
  </si>
  <si>
    <t>ocm27858234</t>
  </si>
  <si>
    <t>3101396997M</t>
  </si>
  <si>
    <t>9785852150257</t>
  </si>
  <si>
    <t>793273860</t>
  </si>
  <si>
    <t>3101397001I</t>
  </si>
  <si>
    <t>793273859</t>
  </si>
  <si>
    <t>PG3476 S539 F33 1967</t>
  </si>
  <si>
    <t>0                      PG 3476000S  539                F  33          1967</t>
  </si>
  <si>
    <t>Fantastic stories / by Abram Tertz.</t>
  </si>
  <si>
    <t>4915863271:eng</t>
  </si>
  <si>
    <t>3042022</t>
  </si>
  <si>
    <t>ocm03042022</t>
  </si>
  <si>
    <t>3000159575F</t>
  </si>
  <si>
    <t>792209878</t>
  </si>
  <si>
    <t>PG3476 S539 K7</t>
  </si>
  <si>
    <t>0                      PG 3476000S  539                K  7</t>
  </si>
  <si>
    <t>Kroshka T︠S︡ores / Abram Tert︠s︡ [i.e. A.D. Sini︠a︡vskiĭ].</t>
  </si>
  <si>
    <t>Parizh : "Sintaksis", 1980.</t>
  </si>
  <si>
    <t>4161633154:rus</t>
  </si>
  <si>
    <t>6980195</t>
  </si>
  <si>
    <t>ocm06980195</t>
  </si>
  <si>
    <t>3000327421J</t>
  </si>
  <si>
    <t>792533604</t>
  </si>
  <si>
    <t>PG3476 S539 S83 1965</t>
  </si>
  <si>
    <t>0                      PG 3476000S  539                S  83          1965</t>
  </si>
  <si>
    <t>The trial begins, &amp; On socialist realism / [by] Abram Tertz.</t>
  </si>
  <si>
    <t>New York : Vintage Books, [1965]</t>
  </si>
  <si>
    <t>First Vintage Edition</t>
  </si>
  <si>
    <t>Vintage Russian library, V-750</t>
  </si>
  <si>
    <t>2015-06-25</t>
  </si>
  <si>
    <t>2070233781:eng</t>
  </si>
  <si>
    <t>1175545</t>
  </si>
  <si>
    <t>ocm01175545</t>
  </si>
  <si>
    <t>3102944694$</t>
  </si>
  <si>
    <t>791565332</t>
  </si>
  <si>
    <t>3000507762S</t>
  </si>
  <si>
    <t>791565333</t>
  </si>
  <si>
    <t>PG3476 S539 Z5 2007</t>
  </si>
  <si>
    <t>0                      PG 3476000S  539                Z  5           2007</t>
  </si>
  <si>
    <t>Ivan the fool : Russian folk belief : a cultural history / Andrei Sinyavsky ; translated by Joanne Turnbull and Nikolai Formozov.</t>
  </si>
  <si>
    <t>Sini︠a︡vskiĭ, A. (Andreĭ), 1925-1997, author.</t>
  </si>
  <si>
    <t>Moscow : Glas ; Chicago : Distributed in North America by Northwestern University Press ; London : Distributed in the UK by Inpress, [2007]</t>
  </si>
  <si>
    <t>Glas new Russian writing : contemporary Russian literature in English translation ; v. 41</t>
  </si>
  <si>
    <t>370713603:eng</t>
  </si>
  <si>
    <t>72151816</t>
  </si>
  <si>
    <t>ocm72151816</t>
  </si>
  <si>
    <t>31026606054</t>
  </si>
  <si>
    <t>9785717200776</t>
  </si>
  <si>
    <t>794169725</t>
  </si>
  <si>
    <t>PG3476 S539 Z88 2010</t>
  </si>
  <si>
    <t>0                      PG 3476000S  539                Z  88          2010</t>
  </si>
  <si>
    <t>Nikomu ne zadolzhav-- : literaturnai︠a︡ kritika i ėsseistika A.D. Sini︠a︡vskogo / T.Ė. Ratʹkina.</t>
  </si>
  <si>
    <t>Ratʹkina, T. Ė. (Tatʹi︠a︡na Ėduardovna), 1984-</t>
  </si>
  <si>
    <t>Moskva : Sovpadenie, 2010.</t>
  </si>
  <si>
    <t>572462731:rus</t>
  </si>
  <si>
    <t>656476365</t>
  </si>
  <si>
    <t>ocn656476365</t>
  </si>
  <si>
    <t>31033407924</t>
  </si>
  <si>
    <t>9785903060795</t>
  </si>
  <si>
    <t>794834850</t>
  </si>
  <si>
    <t>PG3476 S5716 1977</t>
  </si>
  <si>
    <t>0                      PG 3476000S  5716        1977</t>
  </si>
  <si>
    <t>Sobranie sochineniĭ / Smeli︠a︡kov ; [red. V. Kuznet︠s︡ov ; vstupit. statʹi︠a︡ M. Dudina, Geroi︠a︡ Sot︠s︡. Truda, laureata Gos. premii RSFSR im. M. Gorʹkogo].</t>
  </si>
  <si>
    <t>Smeli︠a︡kov, I︠A︡roslav.</t>
  </si>
  <si>
    <t>Moskva : Molodai︠a︡ gvardii︠a︡, 1977-1978.</t>
  </si>
  <si>
    <t>3770005761:rus</t>
  </si>
  <si>
    <t>4432833</t>
  </si>
  <si>
    <t>ocm04432833</t>
  </si>
  <si>
    <t>31008103455</t>
  </si>
  <si>
    <t>792349756</t>
  </si>
  <si>
    <t>30003170889</t>
  </si>
  <si>
    <t>792349757</t>
  </si>
  <si>
    <t>3102711432J</t>
  </si>
  <si>
    <t>792349755</t>
  </si>
  <si>
    <t>PG3476 S78835 G7 1991</t>
  </si>
  <si>
    <t>0                      PG 3476000S  78835              G  7           1991</t>
  </si>
  <si>
    <t>Grad obrechennyĭ / Arkadiĭ Strugat︠s︡kiĭ, Boris Strugat︠s︡kiĭ.</t>
  </si>
  <si>
    <t>Strugat︠s︡kiĭ, Arkadiĭ, 1925-1991.</t>
  </si>
  <si>
    <t>Moskva : "Molodai︠a︡ gvardii︠a︡", 1991.</t>
  </si>
  <si>
    <t>10177775451:rus</t>
  </si>
  <si>
    <t>24928138</t>
  </si>
  <si>
    <t>ocm24928138</t>
  </si>
  <si>
    <t>3101273144Z</t>
  </si>
  <si>
    <t>9785235012158</t>
  </si>
  <si>
    <t>793208321</t>
  </si>
  <si>
    <t>PG3476 S78835 O8413 2015</t>
  </si>
  <si>
    <t>0                      PG 3476000S  78835              O  8413        2015</t>
  </si>
  <si>
    <t>The Dead Mountaineer's Inn : (one more last rite for the detective genre) / Arkady and Boris Strugatsky ; translated by Josh Billings ; introduction by Jeff Vandermeer.</t>
  </si>
  <si>
    <t>Strugat︠s︡kiĭ, Arkadiĭ, 1925-1991, author.</t>
  </si>
  <si>
    <t>Brooklyn ; London : Melville House Publishing, [2015]</t>
  </si>
  <si>
    <t>Neversink library</t>
  </si>
  <si>
    <t>4663796884:eng</t>
  </si>
  <si>
    <t>899113968</t>
  </si>
  <si>
    <t>ocn899113968</t>
  </si>
  <si>
    <t>31033947508</t>
  </si>
  <si>
    <t>9781612194325</t>
  </si>
  <si>
    <t>794986641</t>
  </si>
  <si>
    <t>PG3476 S78835 P66 1992</t>
  </si>
  <si>
    <t>0                      PG 3476000S  78835              P  66          1992</t>
  </si>
  <si>
    <t>Ponedelʹnik nachinaetsi︠a︡ v subbotu ; Skazka o troĭke / A. Strugat︠s︡kiĭ, B. Strugat︠s︡kiĭ.</t>
  </si>
  <si>
    <t>Sankt-Peterburg : Terra Fantastica, 1992.</t>
  </si>
  <si>
    <t>Serii︠a︡ "Zolotai︠a︡ t︠s︡epʹ" ; 2</t>
  </si>
  <si>
    <t>2018-03-25</t>
  </si>
  <si>
    <t>3901530770:rus</t>
  </si>
  <si>
    <t>29381596</t>
  </si>
  <si>
    <t>ocm29381596</t>
  </si>
  <si>
    <t>3101313598P</t>
  </si>
  <si>
    <t>9785792100077</t>
  </si>
  <si>
    <t>793309383</t>
  </si>
  <si>
    <t>PG3476 S78835 S63</t>
  </si>
  <si>
    <t>0                      PG 3476000S  78835              S  63</t>
  </si>
  <si>
    <t>Roadside picnic ; Tale of the troika / by Arkady Strugatsky and Boris Strugatsky ; translated from the Russian by Antonina W. Bouis ; introduction by Theodore Sturgeon.</t>
  </si>
  <si>
    <t>New York : Macmillan, ©1977.</t>
  </si>
  <si>
    <t>Best of Soviet Science Fiction.</t>
  </si>
  <si>
    <t>2908785976:eng</t>
  </si>
  <si>
    <t>2798470</t>
  </si>
  <si>
    <t>ocm02798470</t>
  </si>
  <si>
    <t>3103006849P</t>
  </si>
  <si>
    <t>9780026151702</t>
  </si>
  <si>
    <t>792177775</t>
  </si>
  <si>
    <t>PG3476 S78835 T713</t>
  </si>
  <si>
    <t>0                      PG 3476000S  78835              T  713</t>
  </si>
  <si>
    <t>Hard to be a God / Arkadi and Boris Strugatski ; [Translated by Wendayne Ackerman].</t>
  </si>
  <si>
    <t>New York : Seabury Press, [1973]</t>
  </si>
  <si>
    <t>A Continuum book</t>
  </si>
  <si>
    <t>5614671015:eng</t>
  </si>
  <si>
    <t>481252</t>
  </si>
  <si>
    <t>ocm00481252</t>
  </si>
  <si>
    <t>3103599407O</t>
  </si>
  <si>
    <t>9780816491216</t>
  </si>
  <si>
    <t>791389085</t>
  </si>
  <si>
    <t>PG3476 S78835 T7813 2014</t>
  </si>
  <si>
    <t>0                      PG 3476000S  78835              T  7813        2014</t>
  </si>
  <si>
    <t>Hard to be a God / Arkady and Boris Strugatsky ; translated by Olena Bormashenko.</t>
  </si>
  <si>
    <t>Chicago : Chicago Review Press Incorporated, [2014]</t>
  </si>
  <si>
    <t>863596647</t>
  </si>
  <si>
    <t>ocn863596647</t>
  </si>
  <si>
    <t>3103671256R</t>
  </si>
  <si>
    <t>9781613748282</t>
  </si>
  <si>
    <t>794961355</t>
  </si>
  <si>
    <t>3103723733W</t>
  </si>
  <si>
    <t>794961354</t>
  </si>
  <si>
    <t>PG3476 S78835 U413 2018</t>
  </si>
  <si>
    <t>0                      PG 3476000S  78835              U  413         2018</t>
  </si>
  <si>
    <t>The snail on the slope / Arkady and Boris Strugatsky ; translated by Olena Bormashenko.</t>
  </si>
  <si>
    <t>Chicago : Published by Chicago Review Press Incorporated, [2018]</t>
  </si>
  <si>
    <t>Rediscovered classics.</t>
  </si>
  <si>
    <t>1674629:eng</t>
  </si>
  <si>
    <t>1005188370</t>
  </si>
  <si>
    <t>on1005188370</t>
  </si>
  <si>
    <t>3103808474A</t>
  </si>
  <si>
    <t>9780914091875</t>
  </si>
  <si>
    <t>795042486</t>
  </si>
  <si>
    <t>PG3476 S78835 U46 2006</t>
  </si>
  <si>
    <t>0                      PG 3476000S  78835              U  46          2006</t>
  </si>
  <si>
    <t>Ulitka na sklone : opyt akademicheskogo izdanii︠a︡ / A. Strugat︠s︡kiĭ, B. Strugat︠s︡kiĭ.</t>
  </si>
  <si>
    <t>Moskva : Novoe literaturnoe obozrenie, 2006.</t>
  </si>
  <si>
    <t>8910915692:rus</t>
  </si>
  <si>
    <t>70908016</t>
  </si>
  <si>
    <t>ocm70908016</t>
  </si>
  <si>
    <t>3102686867Q</t>
  </si>
  <si>
    <t>9785867934231</t>
  </si>
  <si>
    <t>794161475</t>
  </si>
  <si>
    <t>PG3476 S78835 Z3213 2013</t>
  </si>
  <si>
    <t>0                      PG 3476000S  78835              Z  3213        2013</t>
  </si>
  <si>
    <t>Definitely maybe : a manuscript discovered under strange circumstances / Arkady and Boris Strugatsky ; translated by Antonina W. Bouis ; afterword by Boris Strugatsky.</t>
  </si>
  <si>
    <t>Brooklyn : Melville House Publishing, 2014.</t>
  </si>
  <si>
    <t>The Neversink library</t>
  </si>
  <si>
    <t>4535570973:eng</t>
  </si>
  <si>
    <t>826809772</t>
  </si>
  <si>
    <t>ocn826809772</t>
  </si>
  <si>
    <t>3103531093E</t>
  </si>
  <si>
    <t>9781612192819</t>
  </si>
  <si>
    <t>794939412</t>
  </si>
  <si>
    <t>PG3476 S78835 Z69 1994</t>
  </si>
  <si>
    <t>0                      PG 3476000S  78835              Z  69          1994</t>
  </si>
  <si>
    <t>Apocalyptic realism : the science fiction of Arkady and Boris Strugatsky / Yvonne Howell.</t>
  </si>
  <si>
    <t>Howell, Yvonne, 1960-</t>
  </si>
  <si>
    <t>New York : P. Lang, ©1994.</t>
  </si>
  <si>
    <t>Russian and East European studies in aesthetics and the philosophy of culture ; v. 1</t>
  </si>
  <si>
    <t>355551:eng</t>
  </si>
  <si>
    <t>26930393</t>
  </si>
  <si>
    <t>ocm26930393</t>
  </si>
  <si>
    <t>3101305430M</t>
  </si>
  <si>
    <t>9780820419626</t>
  </si>
  <si>
    <t>793255094</t>
  </si>
  <si>
    <t>PG3476 S78835 Z84 1991</t>
  </si>
  <si>
    <t>0                      PG 3476000S  78835              Z  84          1991</t>
  </si>
  <si>
    <t>The second Marxian invasion : the fiction of the Strugatsky brothers / by Stephen W. Potts.</t>
  </si>
  <si>
    <t>Potts, Stephen W., 1949-</t>
  </si>
  <si>
    <t>San Bernardino, Calif. : Borgo Press, ©1991.</t>
  </si>
  <si>
    <t>The Milford series. Popular writers of today, 0163-2469 ; v. 50</t>
  </si>
  <si>
    <t>141658563:eng</t>
  </si>
  <si>
    <t>10375504</t>
  </si>
  <si>
    <t>ocm10375504</t>
  </si>
  <si>
    <t>3101215755W</t>
  </si>
  <si>
    <t>9780893701796</t>
  </si>
  <si>
    <t>792723210</t>
  </si>
  <si>
    <t>3101906706Y</t>
  </si>
  <si>
    <t>792723209</t>
  </si>
  <si>
    <t>PG3476 S78835 1991 t. 7</t>
  </si>
  <si>
    <t>0                      PG 3476000S  78835       1991                                        t. 7</t>
  </si>
  <si>
    <t>Piknik na obochine ; Parenʹ iz preispodneĭ ; Za milliard let do kont︠s︡a sveta ; Povestʹ o druzhbe i nedruzhbe : povesti / Arkadiĭ Strugat︠s︡kiĭ, Boris Strugat︠s︡kiĭ.</t>
  </si>
  <si>
    <t>t. 7*</t>
  </si>
  <si>
    <t>Strugat︠s︡kiĭ, Arkadiĭ Natanovich.</t>
  </si>
  <si>
    <t>Moskva : "Tekst", 1993.</t>
  </si>
  <si>
    <t>Sobranie sochineniĭ ; t. 7</t>
  </si>
  <si>
    <t>3901574748:rus</t>
  </si>
  <si>
    <t>34516445</t>
  </si>
  <si>
    <t>ocm34516445</t>
  </si>
  <si>
    <t>3101314433F</t>
  </si>
  <si>
    <t>9785859500215</t>
  </si>
  <si>
    <t>793428644</t>
  </si>
  <si>
    <t>PG3476 T42 1987</t>
  </si>
  <si>
    <t>0                      PG 3476000T  42          1987</t>
  </si>
  <si>
    <t>Sobranie sochineniĭ ... / Vladimir Tendri︠a︡kov.</t>
  </si>
  <si>
    <t>Tendri︠a︡kov, Vladimir.</t>
  </si>
  <si>
    <t>Moskva : Khudozh. lit., 1987-1989.</t>
  </si>
  <si>
    <t>2003-11-28</t>
  </si>
  <si>
    <t>10076320223:rus</t>
  </si>
  <si>
    <t>263456436</t>
  </si>
  <si>
    <t>ocn263456436</t>
  </si>
  <si>
    <t>3100810374Z</t>
  </si>
  <si>
    <t>9785280001565</t>
  </si>
  <si>
    <t>794403738</t>
  </si>
  <si>
    <t>2002-04-23</t>
  </si>
  <si>
    <t>31008103706</t>
  </si>
  <si>
    <t>794403736</t>
  </si>
  <si>
    <t>30005377654</t>
  </si>
  <si>
    <t>794403739</t>
  </si>
  <si>
    <t>31008103714</t>
  </si>
  <si>
    <t>794403737</t>
  </si>
  <si>
    <t>2002-04-19</t>
  </si>
  <si>
    <t>3100217950W</t>
  </si>
  <si>
    <t>794403735</t>
  </si>
  <si>
    <t>PG3476 T58 A24 2003</t>
  </si>
  <si>
    <t>0                      PG 3476000T  58                 A  24          2003</t>
  </si>
  <si>
    <t>Pushkin's children : writings on Russia and Russians / Tatyana Tolstaya ; translated by Jamey Gambrell.</t>
  </si>
  <si>
    <t>Tolstai︠a︡, Tatʹi︠a︡na, 1951 May 3-</t>
  </si>
  <si>
    <t>Boston : Houghton Mifflin, ©2003.</t>
  </si>
  <si>
    <t>1059248656:eng</t>
  </si>
  <si>
    <t>50166724</t>
  </si>
  <si>
    <t>ocm50166724</t>
  </si>
  <si>
    <t>3103017721N</t>
  </si>
  <si>
    <t>9780618125005</t>
  </si>
  <si>
    <t>793757159</t>
  </si>
  <si>
    <t>PG3476 T58 A613 1992</t>
  </si>
  <si>
    <t>0                      PG 3476000T  58                 A  613         1992</t>
  </si>
  <si>
    <t>Sleepwalker in a fog / Tatyana Tolstaya ; translated from the Russian by Jamey Gambrell.</t>
  </si>
  <si>
    <t>New York : Knopf : Distributed by Random House, 1992.</t>
  </si>
  <si>
    <t>28606162:eng</t>
  </si>
  <si>
    <t>23691501</t>
  </si>
  <si>
    <t>ocm23691501</t>
  </si>
  <si>
    <t>3101116086E</t>
  </si>
  <si>
    <t>9780394587318</t>
  </si>
  <si>
    <t>793180134</t>
  </si>
  <si>
    <t>PG3476 T58 D45 2001</t>
  </si>
  <si>
    <t>0                      PG 3476000T  58                 D  45          2001</t>
  </si>
  <si>
    <t>Denʹ : lichnoe / Tatʹi︠a︡na Tolstai︠a︡.</t>
  </si>
  <si>
    <t>Moskva : "Podkova", 2001.</t>
  </si>
  <si>
    <t>2016-11-09</t>
  </si>
  <si>
    <t>3856621077:rus</t>
  </si>
  <si>
    <t>48050469</t>
  </si>
  <si>
    <t>ocm48050469</t>
  </si>
  <si>
    <t>3102470268B</t>
  </si>
  <si>
    <t>793714647</t>
  </si>
  <si>
    <t>PG3476 T58 I96 2002</t>
  </si>
  <si>
    <t>0                      PG 3476000T  58                 I  96          2002</t>
  </si>
  <si>
    <t>Izi︠u︡m : otbornoe / Tatʹi︠a︡na Tolstai︠a︡.</t>
  </si>
  <si>
    <t>Moskva : "Podkova" : "Ėksmo-Press", ©2002.</t>
  </si>
  <si>
    <t>197332004:rus</t>
  </si>
  <si>
    <t>50210087</t>
  </si>
  <si>
    <t>ocm50210087</t>
  </si>
  <si>
    <t>31023526569</t>
  </si>
  <si>
    <t>9785945842274</t>
  </si>
  <si>
    <t>793758004</t>
  </si>
  <si>
    <t>PG3476 T58 K97 2000</t>
  </si>
  <si>
    <t>0                      PG 3476000T  58                 K  97          2000</t>
  </si>
  <si>
    <t>Kysʹ : roman / Tatʹi︠a︡na Tolstai︠a︡.</t>
  </si>
  <si>
    <t>Tolstai︠a︡, Tatʹi︠a︡na, 1951 May 3- author.</t>
  </si>
  <si>
    <t>Moskva : Podkova : Inostranka, 2000.</t>
  </si>
  <si>
    <t>1031677:rus</t>
  </si>
  <si>
    <t>47841290</t>
  </si>
  <si>
    <t>ocm47841290</t>
  </si>
  <si>
    <t>31020857158</t>
  </si>
  <si>
    <t>9785941450015</t>
  </si>
  <si>
    <t>793709133</t>
  </si>
  <si>
    <t>PG3476 T58 K9713 2003</t>
  </si>
  <si>
    <t>0                      PG 3476000T  58                 K  9713        2003</t>
  </si>
  <si>
    <t>The slynx / Tatyana Tolstaya ; translated by Jamey Gambrell.</t>
  </si>
  <si>
    <t>Boston : Houghton Mifflin, 2003.</t>
  </si>
  <si>
    <t>2019-12-16</t>
  </si>
  <si>
    <t>1031677:eng</t>
  </si>
  <si>
    <t>50166741</t>
  </si>
  <si>
    <t>ocm50166741</t>
  </si>
  <si>
    <t>31022401870</t>
  </si>
  <si>
    <t>9780618124978</t>
  </si>
  <si>
    <t>793757162</t>
  </si>
  <si>
    <t>PG3476 T58 N6 2001</t>
  </si>
  <si>
    <t>0                      PG 3476000T  58                 N  6           2001</t>
  </si>
  <si>
    <t>Nochʹ : rasskazy / Tatʹi︠a︡na Tolstai︠a︡.</t>
  </si>
  <si>
    <t>Moskva : Podkova, 2001.</t>
  </si>
  <si>
    <t>4159999470:rus</t>
  </si>
  <si>
    <t>47217325</t>
  </si>
  <si>
    <t>ocm47217325</t>
  </si>
  <si>
    <t>3102395488E</t>
  </si>
  <si>
    <t>793701081</t>
  </si>
  <si>
    <t>PG3476 T58 Z67 1996</t>
  </si>
  <si>
    <t>0                      PG 3476000T  58                 Z  67          1996</t>
  </si>
  <si>
    <t>The explosive world of Tatyana N. Tolstaya's fiction / Helena Goscilo.</t>
  </si>
  <si>
    <t>Writers' worlds</t>
  </si>
  <si>
    <t>20454268:eng</t>
  </si>
  <si>
    <t>34410881</t>
  </si>
  <si>
    <t>ocm34410881</t>
  </si>
  <si>
    <t>3103018923D</t>
  </si>
  <si>
    <t>9781563248580</t>
  </si>
  <si>
    <t>793426093</t>
  </si>
  <si>
    <t>PG3476 T6 A813 1985</t>
  </si>
  <si>
    <t>0                      PG 3476000T  6                  A  813         1985</t>
  </si>
  <si>
    <t>Aelita, or, The decline of Mars / Alexei Tolstoi.</t>
  </si>
  <si>
    <t>Tolstoy, Aleksey Nikolayevich, graf, 1883-1945.</t>
  </si>
  <si>
    <t>4921472623:eng</t>
  </si>
  <si>
    <t>11971949</t>
  </si>
  <si>
    <t>ocm11971949</t>
  </si>
  <si>
    <t>3103147219J</t>
  </si>
  <si>
    <t>9780882337883</t>
  </si>
  <si>
    <t>792795570</t>
  </si>
  <si>
    <t>PG3476 T6 K5 1967</t>
  </si>
  <si>
    <t>0                      PG 3476000T  6                  K  5           1967</t>
  </si>
  <si>
    <t>Khozhdenie po mukam; trilogii︠a︡.</t>
  </si>
  <si>
    <t>[Moskva] Izd-vo Khudozh. lit-ra, 1967.</t>
  </si>
  <si>
    <t>3373175269:rus</t>
  </si>
  <si>
    <t>656307</t>
  </si>
  <si>
    <t>ocm00656307</t>
  </si>
  <si>
    <t>3101809798W</t>
  </si>
  <si>
    <t>791439149</t>
  </si>
  <si>
    <t>2005-02-07</t>
  </si>
  <si>
    <t>31018097854</t>
  </si>
  <si>
    <t>791439150</t>
  </si>
  <si>
    <t>PG3476 T6 1958</t>
  </si>
  <si>
    <t>0                      PG 3476000T  6           1958</t>
  </si>
  <si>
    <t>Moskva : Gos. izd-vo khudozh. lit-ry, 1958-61.</t>
  </si>
  <si>
    <t>3768889453:rus</t>
  </si>
  <si>
    <t>316977</t>
  </si>
  <si>
    <t>ocm00316977</t>
  </si>
  <si>
    <t>31004220988</t>
  </si>
  <si>
    <t>791334704</t>
  </si>
  <si>
    <t>31004220996</t>
  </si>
  <si>
    <t>791334712</t>
  </si>
  <si>
    <t>2010-04-27</t>
  </si>
  <si>
    <t>3100422087D</t>
  </si>
  <si>
    <t>791334707</t>
  </si>
  <si>
    <t>3100422090O</t>
  </si>
  <si>
    <t>791334709</t>
  </si>
  <si>
    <t>3100422092K</t>
  </si>
  <si>
    <t>791334710</t>
  </si>
  <si>
    <t>2001-07-26</t>
  </si>
  <si>
    <t>3100422081P</t>
  </si>
  <si>
    <t>791334705</t>
  </si>
  <si>
    <t>2009-12-23</t>
  </si>
  <si>
    <t>3000618964Z</t>
  </si>
  <si>
    <t>791334715</t>
  </si>
  <si>
    <t>31004220899</t>
  </si>
  <si>
    <t>791334708</t>
  </si>
  <si>
    <t>2000-07-19</t>
  </si>
  <si>
    <t>3100422083L</t>
  </si>
  <si>
    <t>791334714</t>
  </si>
  <si>
    <t>2011-10-24</t>
  </si>
  <si>
    <t>3102228215Q</t>
  </si>
  <si>
    <t>791334713</t>
  </si>
  <si>
    <t>3100422085H</t>
  </si>
  <si>
    <t>791334706</t>
  </si>
  <si>
    <t>2011-11-25</t>
  </si>
  <si>
    <t>3100422097A</t>
  </si>
  <si>
    <t>791334711</t>
  </si>
  <si>
    <t>PG3476 T749 Z87 2016</t>
  </si>
  <si>
    <t>0                      PG 3476000T  749                Z  87          2016</t>
  </si>
  <si>
    <t>Marina T︠S︡vetaeva : bezzakonnai︠a︡ kometa : Biografii︠a︡ / Irma Kudrova.</t>
  </si>
  <si>
    <t>Kudrova, I. V., author</t>
  </si>
  <si>
    <t>Moskva : Izdatelʹstvo AST : Redakt︠s︡ii︠a︡ Eleny Shubinoĭ, 2016.</t>
  </si>
  <si>
    <t>9490194610:rus</t>
  </si>
  <si>
    <t>972309191</t>
  </si>
  <si>
    <t>ocn972309191</t>
  </si>
  <si>
    <t>3103879984E</t>
  </si>
  <si>
    <t>9785170993611</t>
  </si>
  <si>
    <t>795028605</t>
  </si>
  <si>
    <t>PG3476 T749 Z89 2010</t>
  </si>
  <si>
    <t>0                      PG 3476000T  749                Z  89          2010</t>
  </si>
  <si>
    <t>Posledniĭ luch Serebri︠a︡nogo veka : vospominanii︠a︡ ob Anastasii T︠S︡vetaevoĭ / [sostavlenie G.K. Vasilʹeva, G.I︠A︡ Nikitinoĭ, O.A. Trukhachevoĭ].</t>
  </si>
  <si>
    <t>Moskva : Dom-muzeĭ Mariny T︠S︡vetaevoĭ, 2010.</t>
  </si>
  <si>
    <t>2012-11-04</t>
  </si>
  <si>
    <t>954602656:rus</t>
  </si>
  <si>
    <t>714294262</t>
  </si>
  <si>
    <t>ocn714294262</t>
  </si>
  <si>
    <t>31034101660</t>
  </si>
  <si>
    <t>9785930151145</t>
  </si>
  <si>
    <t>794873367</t>
  </si>
  <si>
    <t>PG3476 T75 A2 2012</t>
  </si>
  <si>
    <t>0                      PG 3476000T  75                 A  2           2012</t>
  </si>
  <si>
    <t>Dark elderberry branch / poems of Marina Tsvetaeva ; a reading by Ilya Kaminsky and Jean Valentine.</t>
  </si>
  <si>
    <t>T︠S︡vetaeva, Marina, 1892-1941, author.</t>
  </si>
  <si>
    <t>Farmington, Me. : Alice James Books, 2012, ©2012.</t>
  </si>
  <si>
    <t>4133222821:eng</t>
  </si>
  <si>
    <t>828184851</t>
  </si>
  <si>
    <t>ocn828184851</t>
  </si>
  <si>
    <t>31034686672</t>
  </si>
  <si>
    <t>9781882295944</t>
  </si>
  <si>
    <t>794940845</t>
  </si>
  <si>
    <t>PG3476 T75 A2 2014</t>
  </si>
  <si>
    <t>0                      PG 3476000T  75                 A  2           2014</t>
  </si>
  <si>
    <t>Moscow in the plague year / Marina Tsvetaeva ; translated from the Russian by Christopher Whyte.</t>
  </si>
  <si>
    <t>Brooklyn, NY : Archipelago Books, [2014]</t>
  </si>
  <si>
    <t>First Archipelago books edition.</t>
  </si>
  <si>
    <t>1782969737:eng</t>
  </si>
  <si>
    <t>869824797</t>
  </si>
  <si>
    <t>ocn869824797</t>
  </si>
  <si>
    <t>3103654345P</t>
  </si>
  <si>
    <t>9781935744962</t>
  </si>
  <si>
    <t>794965886</t>
  </si>
  <si>
    <t>PG3476 T75 A23 1986</t>
  </si>
  <si>
    <t>0                      PG 3476000T  75                 A  23          1986</t>
  </si>
  <si>
    <t>Selected poems of Marina Tsvetayeva / translated by Elaine Feinstein ; with literal versions provided by Angela Livingstone [and others].</t>
  </si>
  <si>
    <t>London : Hutchinson, 1986.</t>
  </si>
  <si>
    <t>[New and enl. ed.].</t>
  </si>
  <si>
    <t>Hutchinson poets</t>
  </si>
  <si>
    <t>2908542706:eng</t>
  </si>
  <si>
    <t>15514002</t>
  </si>
  <si>
    <t>ocm15514002</t>
  </si>
  <si>
    <t>3000484781Z</t>
  </si>
  <si>
    <t>9780091659318</t>
  </si>
  <si>
    <t>792933783</t>
  </si>
  <si>
    <t>PG3476 T75 A23 1999</t>
  </si>
  <si>
    <t>0                      PG 3476000T  75                 A  23          1999</t>
  </si>
  <si>
    <t>Selected poems / Marina Tsvetaeva ; translated and introduced by Elaine Feinstein ; with literal versions by Daisy Cockburn [and others].</t>
  </si>
  <si>
    <t>Manchester : Carcanet, 1999.</t>
  </si>
  <si>
    <t>Oxford poets</t>
  </si>
  <si>
    <t>4920424047:eng</t>
  </si>
  <si>
    <t>44019984</t>
  </si>
  <si>
    <t>ocm44019984</t>
  </si>
  <si>
    <t>31021304015</t>
  </si>
  <si>
    <t>9781903039373</t>
  </si>
  <si>
    <t>793640807</t>
  </si>
  <si>
    <t>PG3476 T75 A24 2002</t>
  </si>
  <si>
    <t>0                      PG 3476000T  75                 A  24          2002</t>
  </si>
  <si>
    <t>Earthly signs : Moscow diaries, 1917-1922 / Marina Tsvetaeva ; edited, translated, &amp; with an introduction by Jamey Gambrell.</t>
  </si>
  <si>
    <t>New Haven : Yale University Press, ©2002.</t>
  </si>
  <si>
    <t>996959:eng</t>
  </si>
  <si>
    <t>49385838</t>
  </si>
  <si>
    <t>ocm49385838</t>
  </si>
  <si>
    <t>3102236621F</t>
  </si>
  <si>
    <t>9780300069228</t>
  </si>
  <si>
    <t>793739120</t>
  </si>
  <si>
    <t>PG3476 T75 A254 1989b</t>
  </si>
  <si>
    <t>0                      PG 3476000T  75                 A  254         1989b</t>
  </si>
  <si>
    <t>In the inmost hour of the soul / selected poems of Marina Tsvetayeva ; translated by Nina Kossman.</t>
  </si>
  <si>
    <t>Clifton, New Jersey : Humana Press, [1989]</t>
  </si>
  <si>
    <t>Vox humana</t>
  </si>
  <si>
    <t>292943826:eng</t>
  </si>
  <si>
    <t>20523384</t>
  </si>
  <si>
    <t>ocm20523384</t>
  </si>
  <si>
    <t>3100213625Q</t>
  </si>
  <si>
    <t>9780896031371</t>
  </si>
  <si>
    <t>793090349</t>
  </si>
  <si>
    <t>PG3476 T75 A257 2010</t>
  </si>
  <si>
    <t>0                      PG 3476000T  75                 A  257         2010</t>
  </si>
  <si>
    <t>Art in the light of conscience : eight essays on poetry / Marina Tsvetaeva ; translated with an introduction &amp; notes by Angela Livingstone.</t>
  </si>
  <si>
    <t>Tarset : Bloodaxe Books, 2010.</t>
  </si>
  <si>
    <t>205226240:eng</t>
  </si>
  <si>
    <t>573397668</t>
  </si>
  <si>
    <t>ocn573397668</t>
  </si>
  <si>
    <t>3103322637L</t>
  </si>
  <si>
    <t>9781852248642</t>
  </si>
  <si>
    <t>794813934</t>
  </si>
  <si>
    <t>PG3476 T75 A35 1986</t>
  </si>
  <si>
    <t>0                      PG 3476000T  75                 A  35          1986</t>
  </si>
  <si>
    <t>Tentative de jalousie : et autres poèmes / Marina Tsvétaïéva ; traduits et présentés par Eve Malleret.</t>
  </si>
  <si>
    <t>Paris : La Découverte, 1986.</t>
  </si>
  <si>
    <t>Collection "Voix"</t>
  </si>
  <si>
    <t>292944637:fre</t>
  </si>
  <si>
    <t>16164439</t>
  </si>
  <si>
    <t>ocm16164439</t>
  </si>
  <si>
    <t>3101142927X</t>
  </si>
  <si>
    <t>9782707116338</t>
  </si>
  <si>
    <t>792956801</t>
  </si>
  <si>
    <t>PG3476 T75 A6 2017</t>
  </si>
  <si>
    <t>0                      PG 3476000T  75                 A  6           2017</t>
  </si>
  <si>
    <t>Tebe-- cherez sto let : istorii︠a︡ zhizni poėta v stikhakh, proze, pisʹmakh, dnevnikovykh zapisi︠a︡kh / Marina T︠S︡vetaeva ; sostavlenie i poi︠a︡snenii︠a︡ M.M. Urazovoĭ.</t>
  </si>
  <si>
    <t>Moskva : Vozvrashchenie ; Kislovodsk : Teatr-muzeĭ "Blagodatʹ", 2017.</t>
  </si>
  <si>
    <t>4526594517:rus</t>
  </si>
  <si>
    <t>1005141283</t>
  </si>
  <si>
    <t>on1005141283</t>
  </si>
  <si>
    <t>31038800018</t>
  </si>
  <si>
    <t>9785715703088</t>
  </si>
  <si>
    <t>795042465</t>
  </si>
  <si>
    <t>PG3476 T75 K713 2000</t>
  </si>
  <si>
    <t>0                      PG 3476000T  75                 K  713         2000</t>
  </si>
  <si>
    <t>The ratcatcher : a lyrical satire / Marina Tsvetaeva ; translated with an introduction and notes by Angela Livingstone.</t>
  </si>
  <si>
    <t>2017-05-06</t>
  </si>
  <si>
    <t>4494975598:eng</t>
  </si>
  <si>
    <t>45156735</t>
  </si>
  <si>
    <t>ocm45156735</t>
  </si>
  <si>
    <t>3102170773I</t>
  </si>
  <si>
    <t>9780810118164</t>
  </si>
  <si>
    <t>793665757</t>
  </si>
  <si>
    <t>PG3476 T75 M6 2010</t>
  </si>
  <si>
    <t>0                      PG 3476000T  75                 M  6           2010</t>
  </si>
  <si>
    <t>Moĭ Pushkin / Marina T︠S︡vetaeva.</t>
  </si>
  <si>
    <t>Sankt-Peterburg : Azbuka-klassika, 2010.</t>
  </si>
  <si>
    <t>49609533:rus</t>
  </si>
  <si>
    <t>855403049</t>
  </si>
  <si>
    <t>ocn855403049</t>
  </si>
  <si>
    <t>3103198784Z</t>
  </si>
  <si>
    <t>9785998510243</t>
  </si>
  <si>
    <t>794953405</t>
  </si>
  <si>
    <t>PG3476 T75 P43 2012</t>
  </si>
  <si>
    <t>0                      PG 3476000T  75                 P  43          2012</t>
  </si>
  <si>
    <t>Phaedra : with 'New Year's Letter' and other long poems / Marina Tsvetaeva ; translated by Angela Livingstone.</t>
  </si>
  <si>
    <t>London : Angel Classics, 2012.</t>
  </si>
  <si>
    <t>Angel Classics</t>
  </si>
  <si>
    <t>3902276323:eng</t>
  </si>
  <si>
    <t>797977271</t>
  </si>
  <si>
    <t>ocn797977271</t>
  </si>
  <si>
    <t>31034972349</t>
  </si>
  <si>
    <t>9780946162819</t>
  </si>
  <si>
    <t>794922955</t>
  </si>
  <si>
    <t>PG3476 T75 P5814 1984</t>
  </si>
  <si>
    <t>0                      PG 3476000T  75                 P  5814        1984</t>
  </si>
  <si>
    <t>Le poème de la montagne = Poėma gory ; Le poème de la fin = Poėma kont︠s︡a / Marina Tsvétaïéva ; traduit et présenté par Eve Malleret ; illustré par deux dessins de Dino Abidine.</t>
  </si>
  <si>
    <t>Lausanne : L'Age d'homme, ©1984.</t>
  </si>
  <si>
    <t>Les Grands poèmes du monde</t>
  </si>
  <si>
    <t>4241289555:fre</t>
  </si>
  <si>
    <t>16933297</t>
  </si>
  <si>
    <t>ocm16933297</t>
  </si>
  <si>
    <t>3000368320X</t>
  </si>
  <si>
    <t>792978045</t>
  </si>
  <si>
    <t>PG3476 T75 P6 1976</t>
  </si>
  <si>
    <t>0                      PG 3476000T  75                 P  6           1976</t>
  </si>
  <si>
    <t>Posle Rossii, 1922-1925 / Marina T︠S︡vetaeva.</t>
  </si>
  <si>
    <t>Paris : YMCA Press, 1976.</t>
  </si>
  <si>
    <t>4730700:rus</t>
  </si>
  <si>
    <t>2324047</t>
  </si>
  <si>
    <t>ocm02324047</t>
  </si>
  <si>
    <t>3100235377Y</t>
  </si>
  <si>
    <t>792103940</t>
  </si>
  <si>
    <t>PG3476 T75 V413 2003</t>
  </si>
  <si>
    <t>0                      PG 3476000T  75                 V  413         2003</t>
  </si>
  <si>
    <t>Milestones : a bilingual edition / Marina Tsvetaeva ; translated from the Russian with an introduction and notes by Robin Kemball.</t>
  </si>
  <si>
    <t>Evanston, Ill. : Northwestern University Press, 2003.</t>
  </si>
  <si>
    <t>European poetry classics</t>
  </si>
  <si>
    <t>2945973015:eng</t>
  </si>
  <si>
    <t>50004735</t>
  </si>
  <si>
    <t>ocm50004735</t>
  </si>
  <si>
    <t>31022799447</t>
  </si>
  <si>
    <t>9780810119413</t>
  </si>
  <si>
    <t>793753416</t>
  </si>
  <si>
    <t>PG3476 T75 Z48 2013</t>
  </si>
  <si>
    <t>0                      PG 3476000T  75                 Z  48          2013</t>
  </si>
  <si>
    <t>"V odnom potoke bytii︠a︡ ..." : Marina T︠S︡vetaeva i Maksimilian Voloshin / sostaviteli, V.A. Antipina, N.M. Miroshnichenko, I.N. Palash ; otvetstvennyĭ redaktor I︠U︡.G. Fridshteĭn.</t>
  </si>
  <si>
    <t>Moskva : T︠S︡entr knigi Rudomino, 2013.</t>
  </si>
  <si>
    <t>1833367127:rus</t>
  </si>
  <si>
    <t>872403632</t>
  </si>
  <si>
    <t>ocn872403632</t>
  </si>
  <si>
    <t>3103556210V</t>
  </si>
  <si>
    <t>9785905626944</t>
  </si>
  <si>
    <t>794968055</t>
  </si>
  <si>
    <t>PG3476 T75 Z5977 2010</t>
  </si>
  <si>
    <t>0                      PG 3476000T  75                 Z  5977        2010</t>
  </si>
  <si>
    <t>Puteshestvie v Italii︠u︡ s Marinoĭ T︠S︡vetaevoĭ / Tatʹi︠a︡na Bystrova.</t>
  </si>
  <si>
    <t>Bystrova, Tatʹi︠a︡na.</t>
  </si>
  <si>
    <t>770707951:rus</t>
  </si>
  <si>
    <t>667207939</t>
  </si>
  <si>
    <t>ocn667207939</t>
  </si>
  <si>
    <t>31033012644</t>
  </si>
  <si>
    <t>9785930151084</t>
  </si>
  <si>
    <t>794845428</t>
  </si>
  <si>
    <t>PG3476 T75 Z62 2006</t>
  </si>
  <si>
    <t>0                      PG 3476000T  75                 Z  62          2006</t>
  </si>
  <si>
    <t>The same solitude : Boris Pasternak and Marina Tsvetaeva / Catherine Ciepiela.</t>
  </si>
  <si>
    <t>Ciepiela, Catherine.</t>
  </si>
  <si>
    <t>Ithaca : Cornell University Press, 2006.</t>
  </si>
  <si>
    <t>48537267:eng</t>
  </si>
  <si>
    <t>64594401</t>
  </si>
  <si>
    <t>ocm64594401</t>
  </si>
  <si>
    <t>3102589891E</t>
  </si>
  <si>
    <t>9780801435348</t>
  </si>
  <si>
    <t>794130682</t>
  </si>
  <si>
    <t>PG3476 T75 Z676 1989</t>
  </si>
  <si>
    <t>0                      PG 3476000T  75                 Z  676         1989</t>
  </si>
  <si>
    <t>Marina Tsvetayeva / Elaine Feinstein.</t>
  </si>
  <si>
    <t>London, England ; New York, N.Y., USA : Penguin, 1989.</t>
  </si>
  <si>
    <t>Lives of modern women</t>
  </si>
  <si>
    <t>2019-06-26</t>
  </si>
  <si>
    <t>21411821:eng</t>
  </si>
  <si>
    <t>19668928</t>
  </si>
  <si>
    <t>ocm19668928</t>
  </si>
  <si>
    <t>3102327068K</t>
  </si>
  <si>
    <t>9780140087338</t>
  </si>
  <si>
    <t>793065423</t>
  </si>
  <si>
    <t>PG3476 T75 Z7439513 2004</t>
  </si>
  <si>
    <t>0                      PG 3476000T  75                 Z  7439513     2004</t>
  </si>
  <si>
    <t>The death of a poet : the last days of Marina Tsvetaeva / Irma Kudrova ; introduction by Ellendea Proffer ; translated from the Russian by Mary Ann Szporluk.</t>
  </si>
  <si>
    <t>Kudrova, I. V.</t>
  </si>
  <si>
    <t>Woodstock, N.Y. : Overlook Duckworth, 2004.</t>
  </si>
  <si>
    <t>3856235895:eng</t>
  </si>
  <si>
    <t>53276623</t>
  </si>
  <si>
    <t>ocm53276623</t>
  </si>
  <si>
    <t>31023481427</t>
  </si>
  <si>
    <t>9781585675227</t>
  </si>
  <si>
    <t>793825306</t>
  </si>
  <si>
    <t>PG3476 T75 Z744 1990</t>
  </si>
  <si>
    <t>0                      PG 3476000T  75                 Z  744         1990</t>
  </si>
  <si>
    <t>Marina Tsvétaéva / Véronique Lossky.</t>
  </si>
  <si>
    <t>Lossky, Véronique.</t>
  </si>
  <si>
    <t>Paris : Seghers, ©1990.</t>
  </si>
  <si>
    <t>Poètes d'aujourd'hui ; 262</t>
  </si>
  <si>
    <t>889936773:fre</t>
  </si>
  <si>
    <t>21478169</t>
  </si>
  <si>
    <t>ocm21478169</t>
  </si>
  <si>
    <t>31006782022</t>
  </si>
  <si>
    <t>9782232101687</t>
  </si>
  <si>
    <t>793119964</t>
  </si>
  <si>
    <t>PG3476 T75 Z93 2010</t>
  </si>
  <si>
    <t>0                      PG 3476000T  75                 Z  93          2010</t>
  </si>
  <si>
    <t>1910--god vstuplenii︠a︡ Mariny T︠S︡vetaevoĭ v literaturu : XVI Mezhdunarodnai︠a︡ nauchno-tematicheskai︠a︡ konferent︠s︡ii︠a︡, 8-10 okti︠a︡bri︠a︡ 2010 : sbornik dokladov / [Sostavitelʹ I. I︠U︡. Beli︠a︡kova].</t>
  </si>
  <si>
    <t>T︠S︡vetaevskai︠a︡ mezhdunarodnai︠a︡ nauchno-tematicheskai︠a︡ konferent︠s︡ii︠a︡ (16th : 2010 : Moscow, Russia)</t>
  </si>
  <si>
    <t>Moskva : Dom-muzeĭ Mariny T︠S︡vetaevoĭ, 2012.</t>
  </si>
  <si>
    <t>1370951431:rus</t>
  </si>
  <si>
    <t>815723832</t>
  </si>
  <si>
    <t>ocn815723832</t>
  </si>
  <si>
    <t>3103483749D</t>
  </si>
  <si>
    <t>9785930151305</t>
  </si>
  <si>
    <t>794932667</t>
  </si>
  <si>
    <t>PG3476 T75 Z945 2015</t>
  </si>
  <si>
    <t>0                      PG 3476000T  75                 Z  945         2015</t>
  </si>
  <si>
    <t>Vsë o T︠S︡vetaevoĭ : tematicheskie vstrechi pri sobranii materialov / Sostavitelʹ L.A. Mnukhin ; Redaktor V. Telit︠s︡yn.</t>
  </si>
  <si>
    <t>Mnukhin, L. A. (Lev Abramovich), 1938- compiler.</t>
  </si>
  <si>
    <t>Moskva : Principium, 2015.</t>
  </si>
  <si>
    <t>2917067786:rus</t>
  </si>
  <si>
    <t>908937683</t>
  </si>
  <si>
    <t>ocn908937683</t>
  </si>
  <si>
    <t>31036389055</t>
  </si>
  <si>
    <t>9785906557162</t>
  </si>
  <si>
    <t>794995150</t>
  </si>
  <si>
    <t>3103638908$</t>
  </si>
  <si>
    <t>794995151</t>
  </si>
  <si>
    <t>PG3476 T85 Z43 2010</t>
  </si>
  <si>
    <t>0                      PG 3476000T  85                 Z  43          2010</t>
  </si>
  <si>
    <t>Davno li? Zhiznʹ tomu nazad-- : biografii︠a︡, stikhi, vospominanii︠a︡ / Aleksandr Tvardovskiĭ.</t>
  </si>
  <si>
    <t>Tvardovskiĭ, A. (Aleksandr), 1910-1971.</t>
  </si>
  <si>
    <t>Moskva : ĖKSMO, 2010.</t>
  </si>
  <si>
    <t>10032695720:rus</t>
  </si>
  <si>
    <t>697977416</t>
  </si>
  <si>
    <t>ocn697977416</t>
  </si>
  <si>
    <t>3103369249K</t>
  </si>
  <si>
    <t>9785699427789</t>
  </si>
  <si>
    <t>794860496</t>
  </si>
  <si>
    <t>PG3476 T85 Z46 2010</t>
  </si>
  <si>
    <t>0                      PG 3476000T  85                 Z  46          2010</t>
  </si>
  <si>
    <t>"Chestno i︠a︡ ti︠a︡nul moĭ voz" : Aleksandr Tvardovskiĭ, 1910-1971 : stikhi, proza, dnevniki, pisʹma, dokumenty, golosa sovremennikov / sostavitelʹ, A.M. Turkov.</t>
  </si>
  <si>
    <t>Moskva : MIK, 2010.</t>
  </si>
  <si>
    <t>4429599785:rus</t>
  </si>
  <si>
    <t>697266319</t>
  </si>
  <si>
    <t>ocn697266319</t>
  </si>
  <si>
    <t>3103699142R</t>
  </si>
  <si>
    <t>9785879022186</t>
  </si>
  <si>
    <t>794859821</t>
  </si>
  <si>
    <t>PG3476 T9 P613 1990</t>
  </si>
  <si>
    <t>0                      PG 3476000T  9                  P  613         1990</t>
  </si>
  <si>
    <t>Lieutenant Kijé ; Young Vitushishnikov : two novellas / Yury Tynyanov ; translated and introduced by Mirra Ginsburg.</t>
  </si>
  <si>
    <t>Tyni︠a︡nov, I︠U︡. N. (I︠U︡riĭ Nikolaevich), 1894-1943.</t>
  </si>
  <si>
    <t>Boston, Mass. : Eridanos Press, ©1990.</t>
  </si>
  <si>
    <t>The Eridanos library ; 20</t>
  </si>
  <si>
    <t>771034864:eng</t>
  </si>
  <si>
    <t>23373534</t>
  </si>
  <si>
    <t>ocm23373534</t>
  </si>
  <si>
    <t>3102739436E</t>
  </si>
  <si>
    <t>9780941419369</t>
  </si>
  <si>
    <t>793168661</t>
  </si>
  <si>
    <t>PG3476 V44 A6 1990</t>
  </si>
  <si>
    <t>0                      PG 3476000V  44                 A  6           1990</t>
  </si>
  <si>
    <t>Povesti, ocherki, vospominanii︠a︡ / V.V. Vereshchagin ; [sostavlenie, vstupitelʹnai︠a︡ statʹi︠a︡ i primechanii︠a︡ V.A. Kosheleva i A.V. Chernova].</t>
  </si>
  <si>
    <t>Vereshchagin, Vasiliĭ Vasilʹevich, 1842-1904.</t>
  </si>
  <si>
    <t>Moskva : "Sov. Rossii︠a︡", 1990.</t>
  </si>
  <si>
    <t>2015-06-29</t>
  </si>
  <si>
    <t>365822986:rus</t>
  </si>
  <si>
    <t>27977664</t>
  </si>
  <si>
    <t>ocm27977664</t>
  </si>
  <si>
    <t>3101206122Z</t>
  </si>
  <si>
    <t>9785268010213</t>
  </si>
  <si>
    <t>793276872</t>
  </si>
  <si>
    <t>PG3476 V6 A26x 1969</t>
  </si>
  <si>
    <t>0                      PG 3476000V  6                  A  26x         1969</t>
  </si>
  <si>
    <t>Mother earth, and other stories [by] Boris Pilnyak; translated from the Russian and edited by Vera T. Reck and Michael Green.</t>
  </si>
  <si>
    <t>Pilʹni︠a︡k, Boris, 1894-1937.</t>
  </si>
  <si>
    <t>London, Deutsch, 1969.</t>
  </si>
  <si>
    <t>1587656:eng</t>
  </si>
  <si>
    <t>98594</t>
  </si>
  <si>
    <t>ocm00098594</t>
  </si>
  <si>
    <t>30006177594</t>
  </si>
  <si>
    <t>9780233960944</t>
  </si>
  <si>
    <t>791256035</t>
  </si>
  <si>
    <t>PG3476 V6 G6 1966</t>
  </si>
  <si>
    <t>0                      PG 3476000V  6                  G  6           1966</t>
  </si>
  <si>
    <t>Golyĭ god. The naked year, by Boris Pilnyak; Introduction by Dr. D.G.B. Piper.</t>
  </si>
  <si>
    <t>Chicago, Russian Language Specialties, 1966.</t>
  </si>
  <si>
    <t>Rarity reprints ; no. 3</t>
  </si>
  <si>
    <t>2015-03-25</t>
  </si>
  <si>
    <t>9093662249:rus</t>
  </si>
  <si>
    <t>3062032</t>
  </si>
  <si>
    <t>ocm03062032</t>
  </si>
  <si>
    <t>31035921132</t>
  </si>
  <si>
    <t>792212476</t>
  </si>
  <si>
    <t>PG3476 V622 M36 2013</t>
  </si>
  <si>
    <t>0                      PG 3476000V  622                M  36          2013</t>
  </si>
  <si>
    <t>Mir tesen / Evgeniĭ Voĭskunskiĭ.</t>
  </si>
  <si>
    <t>Voĭskunskiĭ, Evgeniĭ, 1922- author.</t>
  </si>
  <si>
    <t>Serii︠a︡ "Samoe vremi︠a︡!"</t>
  </si>
  <si>
    <t>2014-02-01</t>
  </si>
  <si>
    <t>3769103523:rus</t>
  </si>
  <si>
    <t>857741209</t>
  </si>
  <si>
    <t>ocn857741209</t>
  </si>
  <si>
    <t>3103536095V</t>
  </si>
  <si>
    <t>9785969108646</t>
  </si>
  <si>
    <t>794955325</t>
  </si>
  <si>
    <t>PG3476 Z34 A24</t>
  </si>
  <si>
    <t>0                      PG 3476000Z  34                 A  24</t>
  </si>
  <si>
    <t>A Soviet heretic / essays by Yevgeny Zamyatin ; edited and translated by Mirra Ginsburg.</t>
  </si>
  <si>
    <t>Zami︠a︡tin, Evgeniĭ Ivanovich, 1884-1937.</t>
  </si>
  <si>
    <t>Chicago, University of Chicago Press [1970]</t>
  </si>
  <si>
    <t>8907092840:eng</t>
  </si>
  <si>
    <t>110493</t>
  </si>
  <si>
    <t>ocm00110493</t>
  </si>
  <si>
    <t>3103292741O</t>
  </si>
  <si>
    <t>9780226978659</t>
  </si>
  <si>
    <t>791260276</t>
  </si>
  <si>
    <t>PG3476 Z34 M9 1967</t>
  </si>
  <si>
    <t>0                      PG 3476000Z  34                 M  9           1967</t>
  </si>
  <si>
    <t>My : roman / Evgeniĭ Zami︠a︡tin ; vstupitelʹnai︠a︡ statʹi︠a︡ Evgenii Zhiglevich ; statʹi︠a︡-posleslovie Vladimira Bondarenko.</t>
  </si>
  <si>
    <t>Zami︠a︡tin, Evgeniĭ Ivanovich, 1884-1937, author.</t>
  </si>
  <si>
    <t>New York : Mezhdunarodnoe Literaturnoe Sodruzhestvo, 1967.</t>
  </si>
  <si>
    <t>4916938635:rus</t>
  </si>
  <si>
    <t>3069064</t>
  </si>
  <si>
    <t>ocm03069064</t>
  </si>
  <si>
    <t>3101492005S</t>
  </si>
  <si>
    <t>792213237</t>
  </si>
  <si>
    <t>PG3476 Z34 M913 1952</t>
  </si>
  <si>
    <t>0                      PG 3476000Z  34                 M  913         1952</t>
  </si>
  <si>
    <t>We / by Eugene Zamiatin ; translated and with a foreword by Gregory Zilboorg ; introduction by Peter Rudy ; preface by Marc Slonim.</t>
  </si>
  <si>
    <t>New York : Dutton, 1952, ©1924.</t>
  </si>
  <si>
    <t>2019-12-19</t>
  </si>
  <si>
    <t>4916938635:eng</t>
  </si>
  <si>
    <t>427396064</t>
  </si>
  <si>
    <t>ocn427396064</t>
  </si>
  <si>
    <t>3102929978L</t>
  </si>
  <si>
    <t>9780839823209</t>
  </si>
  <si>
    <t>794650074</t>
  </si>
  <si>
    <t>2019-09-12</t>
  </si>
  <si>
    <t>3102721407K</t>
  </si>
  <si>
    <t>794650073</t>
  </si>
  <si>
    <t>PG3476 Z34 M913 2009</t>
  </si>
  <si>
    <t>0                      PG 3476000Z  34                 M  913         2009</t>
  </si>
  <si>
    <t>We / Yevgeny Zamyatin ; translated by Hugh Aplin ; [foreword by Alan Sillitoe].</t>
  </si>
  <si>
    <t>London : Hesperus Press, ©2009.</t>
  </si>
  <si>
    <t>220001787</t>
  </si>
  <si>
    <t>ocn220001787</t>
  </si>
  <si>
    <t>3103226553A</t>
  </si>
  <si>
    <t>9781843914464</t>
  </si>
  <si>
    <t>794319558</t>
  </si>
  <si>
    <t>PG3476 Z34 M913 2015</t>
  </si>
  <si>
    <t>0                      PG 3476000Z  34                 M  913         2015</t>
  </si>
  <si>
    <t>The annotated We : a new translation of Evgeny Zamiatin's novel / [translated and annotated by] Vladimir Wozniuk.</t>
  </si>
  <si>
    <t>Bethlehem : Lehigh University Press, [2015]</t>
  </si>
  <si>
    <t>902656952</t>
  </si>
  <si>
    <t>ocn902656952</t>
  </si>
  <si>
    <t>3103609994U</t>
  </si>
  <si>
    <t>9781611461787</t>
  </si>
  <si>
    <t>794988340</t>
  </si>
  <si>
    <t>PG3476 Z34 M9367 2000</t>
  </si>
  <si>
    <t>0                      PG 3476000Z  34                 M  9367        2000</t>
  </si>
  <si>
    <t>Zamiatin's We / Robert Russell.</t>
  </si>
  <si>
    <t>London : Bristol Classical Press, 2000.</t>
  </si>
  <si>
    <t>26772325:eng</t>
  </si>
  <si>
    <t>44427779</t>
  </si>
  <si>
    <t>ocm44427779</t>
  </si>
  <si>
    <t>3102192738Z</t>
  </si>
  <si>
    <t>9781853993930</t>
  </si>
  <si>
    <t>793646010</t>
  </si>
  <si>
    <t>PG3476 Z34 M938 1988</t>
  </si>
  <si>
    <t>0                      PG 3476000Z  34                 M  938         1988</t>
  </si>
  <si>
    <t>Zamyatin's We : a collection of critical essays / edited &amp; introduced by Gary Kern.</t>
  </si>
  <si>
    <t>Ann Arbor, Mich. : Ardis, ©1988.</t>
  </si>
  <si>
    <t>796604487:eng</t>
  </si>
  <si>
    <t>17618775</t>
  </si>
  <si>
    <t>ocm17618775</t>
  </si>
  <si>
    <t>31037055602</t>
  </si>
  <si>
    <t>9780882338040</t>
  </si>
  <si>
    <t>792997527</t>
  </si>
  <si>
    <t>2014-03-05</t>
  </si>
  <si>
    <t>31018286495</t>
  </si>
  <si>
    <t>792997526</t>
  </si>
  <si>
    <t>PG3476 Z34 Z55 1989</t>
  </si>
  <si>
    <t>0                      PG 3476000Z  34                 Z  55          1989</t>
  </si>
  <si>
    <t>Autour de Zamiatine : actes du colloque, Université de Lausanne, juin 1987 / édité par Leonid Heller. Suivi de Écrits oubliés / E. Zamiatine.</t>
  </si>
  <si>
    <t>Lausanne : L'Age d'homme, ©1989.</t>
  </si>
  <si>
    <t>Slavica. Littérature</t>
  </si>
  <si>
    <t>808380717:fre</t>
  </si>
  <si>
    <t>427367794</t>
  </si>
  <si>
    <t>ocn427367794</t>
  </si>
  <si>
    <t>3103309203L</t>
  </si>
  <si>
    <t>794636277</t>
  </si>
  <si>
    <t>PG3476 Z34 Z84</t>
  </si>
  <si>
    <t>0                      PG 3476000Z  34                 Z  84</t>
  </si>
  <si>
    <t>The life and works of Evgenij Zamjatin / Alex M. Shane.</t>
  </si>
  <si>
    <t>Shane, Alex M.</t>
  </si>
  <si>
    <t>Berkeley : University of California Press, 1968.</t>
  </si>
  <si>
    <t>Russian and East European studies</t>
  </si>
  <si>
    <t>1567825:eng</t>
  </si>
  <si>
    <t>441082</t>
  </si>
  <si>
    <t>ocm00441082</t>
  </si>
  <si>
    <t>3103602735F</t>
  </si>
  <si>
    <t>791379439</t>
  </si>
  <si>
    <t>2008-03-04</t>
  </si>
  <si>
    <t>3000505936V</t>
  </si>
  <si>
    <t>791379438</t>
  </si>
  <si>
    <t>PG3476 Z39 B57 1992</t>
  </si>
  <si>
    <t>0                      PG 3476000Z  39                 B  57          1992</t>
  </si>
  <si>
    <t>Blednai︠a︡ pravda / Vladimir Zazubrin.</t>
  </si>
  <si>
    <t>Zazubrin, Vladimir.</t>
  </si>
  <si>
    <t>Moskva : "Russkai︠a︡ kniga" : "Sov. Rossii︠a︡", 1992.</t>
  </si>
  <si>
    <t>10033096895:rus</t>
  </si>
  <si>
    <t>27918384</t>
  </si>
  <si>
    <t>ocm27918384</t>
  </si>
  <si>
    <t>3101316040O</t>
  </si>
  <si>
    <t>9785268014884</t>
  </si>
  <si>
    <t>793275346</t>
  </si>
  <si>
    <t>PG3476 Z68 I75 2014</t>
  </si>
  <si>
    <t>0                      PG 3476000Z  68                 I  75          2014</t>
  </si>
  <si>
    <t>Ironicheskai︠a︡ trilogii︠a︡ : Trezvennik ; Knut ; Zaveshchanie Granda / Leonid Zorin.</t>
  </si>
  <si>
    <t>Zorin, Leonid Genrikhovich, 1924- author.</t>
  </si>
  <si>
    <t>2015-04-04</t>
  </si>
  <si>
    <t>2526577710:rus</t>
  </si>
  <si>
    <t>893459745</t>
  </si>
  <si>
    <t>ocn893459745</t>
  </si>
  <si>
    <t>31035864620</t>
  </si>
  <si>
    <t>9785444801949</t>
  </si>
  <si>
    <t>794981678</t>
  </si>
  <si>
    <t>PG3476 Z68 O84 1986</t>
  </si>
  <si>
    <t>0                      PG 3476000Z  68                 O  84          1986</t>
  </si>
  <si>
    <t>Osenniĭ i︠u︡mor / Leonid Zorin.</t>
  </si>
  <si>
    <t>Zorin, Leonid Genrikhovich, 1924-</t>
  </si>
  <si>
    <t>Moskva : Moskovskiĭ rabochiĭ, 1986.</t>
  </si>
  <si>
    <t>7712050:rus</t>
  </si>
  <si>
    <t>14137169</t>
  </si>
  <si>
    <t>ocm14137169</t>
  </si>
  <si>
    <t>3000530641K</t>
  </si>
  <si>
    <t>792879442</t>
  </si>
  <si>
    <t>PG3476 Z68 Z28 2007</t>
  </si>
  <si>
    <t>0                      PG 3476000Z  68                 Z  28          2007</t>
  </si>
  <si>
    <t>Zaveshchanie Granda : kniga i︠u︡mora / Leonid Zorin.</t>
  </si>
  <si>
    <t>Moskva : Vremi︠a︡, 2007.</t>
  </si>
  <si>
    <t>68762157:rus</t>
  </si>
  <si>
    <t>84650283</t>
  </si>
  <si>
    <t>ocm84650283</t>
  </si>
  <si>
    <t>31028203993</t>
  </si>
  <si>
    <t>9785941171552</t>
  </si>
  <si>
    <t>794211524</t>
  </si>
  <si>
    <t>PG3476 Z7 A2 2018</t>
  </si>
  <si>
    <t>0                      PG 3476000Z  7                  A  2           2018</t>
  </si>
  <si>
    <t>Sentimental tales / Mikhail Zoshchenko ; translated by Boris Dralyuk.</t>
  </si>
  <si>
    <t>Zoshchenko, Mikhail, 1895-1958, author.</t>
  </si>
  <si>
    <t>New York : Columbia University Press, [2018]</t>
  </si>
  <si>
    <t>8908666554:eng</t>
  </si>
  <si>
    <t>1042813613</t>
  </si>
  <si>
    <t>on1042813613</t>
  </si>
  <si>
    <t>3103809957M</t>
  </si>
  <si>
    <t>9780231183789</t>
  </si>
  <si>
    <t>795059576</t>
  </si>
  <si>
    <t>PG3476 Z7 A24x 1963</t>
  </si>
  <si>
    <t>0                      PG 3476000Z  7                  A  24x         1963</t>
  </si>
  <si>
    <t>Nervous people : and other satires / Mikhail Zoshchenko ; ed., with an introd. by Hugh McLean ; transl. from the Russian by Maria Gordon and Hugh McLean.</t>
  </si>
  <si>
    <t>Zoshchenko, Mikhail, 1895-1958.</t>
  </si>
  <si>
    <t>London : V. Gollancz, 1963.</t>
  </si>
  <si>
    <t>2908432095:eng</t>
  </si>
  <si>
    <t>2960003</t>
  </si>
  <si>
    <t>ocm02960003</t>
  </si>
  <si>
    <t>30006177861</t>
  </si>
  <si>
    <t>792198890</t>
  </si>
  <si>
    <t>PG3476 Z7 L58 1967</t>
  </si>
  <si>
    <t>0                      PG 3476000Z  7                  L  58          1967</t>
  </si>
  <si>
    <t>Lyudi = Li︠u︡di / Mikhail Zoshchenko ; with an introduction by Hector Blair and notes by Hector Blair and Militsa Greene.</t>
  </si>
  <si>
    <t>London : Cambridge University Press, 1967.</t>
  </si>
  <si>
    <t>2017-02-06</t>
  </si>
  <si>
    <t>1776220:rus</t>
  </si>
  <si>
    <t>839187</t>
  </si>
  <si>
    <t>ocm00839187</t>
  </si>
  <si>
    <t>3101828514S</t>
  </si>
  <si>
    <t>791483589</t>
  </si>
  <si>
    <t>PG3478 B67 Z93 2000</t>
  </si>
  <si>
    <t>0                      PG 3478000B  67                 Z  93          2000</t>
  </si>
  <si>
    <t>Vospominanii︠a︡ o Fedore Abramove / [sostaviteli L.V. Krutikova-Abramova, A.I. Rubashkin].</t>
  </si>
  <si>
    <t>Moskva : Sovetskiĭ pisatelʹ, 2000.</t>
  </si>
  <si>
    <t>476864636:rus</t>
  </si>
  <si>
    <t>46994211</t>
  </si>
  <si>
    <t>ocm46994211</t>
  </si>
  <si>
    <t>31023887574</t>
  </si>
  <si>
    <t>9785265061720</t>
  </si>
  <si>
    <t>793696258</t>
  </si>
  <si>
    <t>PG3478 B89 A47 2012</t>
  </si>
  <si>
    <t>0                      PG 3478000B  89                 A  47          2012</t>
  </si>
  <si>
    <t>Agroblenie po-olbanski / Ilʹdar Abuzi︠a︡rov.</t>
  </si>
  <si>
    <t>Abuzi︠a︡rov, Ilʹdar.</t>
  </si>
  <si>
    <t>Moskva : Astrelʹ, 2012.</t>
  </si>
  <si>
    <t>2013-03-30</t>
  </si>
  <si>
    <t>1090964775:rus</t>
  </si>
  <si>
    <t>796355714</t>
  </si>
  <si>
    <t>ocn796355714</t>
  </si>
  <si>
    <t>31034872658</t>
  </si>
  <si>
    <t>9785271392429</t>
  </si>
  <si>
    <t>794922187</t>
  </si>
  <si>
    <t>PG3478 G24 S43 2001</t>
  </si>
  <si>
    <t>0                      PG 3478000G  24                 S  43          2001</t>
  </si>
  <si>
    <t>Sedʹmoĭ Sovershennyĭ : [roman] / Samid Agaev.</t>
  </si>
  <si>
    <t>Agaev, Samid.</t>
  </si>
  <si>
    <t>Moskva : [Izd-vo Pressverk], 2001.</t>
  </si>
  <si>
    <t>2016-05-17</t>
  </si>
  <si>
    <t>6364001:rus</t>
  </si>
  <si>
    <t>48492067</t>
  </si>
  <si>
    <t>ocm48492067</t>
  </si>
  <si>
    <t>3102388087J</t>
  </si>
  <si>
    <t>9785945840133</t>
  </si>
  <si>
    <t>793722306</t>
  </si>
  <si>
    <t>PG3478 G38 G65 2014</t>
  </si>
  <si>
    <t>0                      PG 3478000G  38                 G  65          2014</t>
  </si>
  <si>
    <t>Golod / Aleksandr Ageev ; [predisl. I. Kukulina, V. Kurit︠s︡yna ; sostaviteli Sergeĭ Ageev, I︠U︡lii︠a︡ Rakhaeva].</t>
  </si>
  <si>
    <t>Ageev, Aleksandr, 1956-2008, author.</t>
  </si>
  <si>
    <t>Moskva : Vremi︠a︡, 2014.</t>
  </si>
  <si>
    <t>3980438778:rus</t>
  </si>
  <si>
    <t>893857387</t>
  </si>
  <si>
    <t>ocn893857387</t>
  </si>
  <si>
    <t>3103638853Z</t>
  </si>
  <si>
    <t>9785969112698</t>
  </si>
  <si>
    <t>794982028</t>
  </si>
  <si>
    <t>PG3478 I35 A24 2003</t>
  </si>
  <si>
    <t>0                      PG 3478000I  35                 A  24          2003</t>
  </si>
  <si>
    <t>Child-and-rose / Gennady Aygi ; translated from the Russian by Peter France ; preface by Bei Dao.</t>
  </si>
  <si>
    <t>Aĭgi, Gennadiĭ, 1934-2006.</t>
  </si>
  <si>
    <t>New York : New Directions, ©2003.</t>
  </si>
  <si>
    <t>New Directions paperbook original ; 954</t>
  </si>
  <si>
    <t>288827770:eng</t>
  </si>
  <si>
    <t>50773450</t>
  </si>
  <si>
    <t>ocm50773450</t>
  </si>
  <si>
    <t>3102295933F</t>
  </si>
  <si>
    <t>9780811215367</t>
  </si>
  <si>
    <t>793772773</t>
  </si>
  <si>
    <t>PG3478 I35 A6 2008</t>
  </si>
  <si>
    <t>0                      PG 3478000I  35                 A  6           2008</t>
  </si>
  <si>
    <t>Stikhotvorenii︠a︡ : kommentirovannoe izdanie : [stikhi i ėsse] / Gennadiĭ Aĭgi ; [sostavitelʹ, G.M. Natapov ; kommentarii, K.N. Atarova].</t>
  </si>
  <si>
    <t>Moskva : OAO izd-vo "Raduga", 2008.</t>
  </si>
  <si>
    <t>3857274188:rus</t>
  </si>
  <si>
    <t>294761214</t>
  </si>
  <si>
    <t>ocn294761214</t>
  </si>
  <si>
    <t>31031511056</t>
  </si>
  <si>
    <t>9785050068019</t>
  </si>
  <si>
    <t>794424937</t>
  </si>
  <si>
    <t>PG3478 I35 S35 2002</t>
  </si>
  <si>
    <t>0                      PG 3478000I  35                 S  35          2002</t>
  </si>
  <si>
    <t>Salute -- to singing : one hundred variations on themes from folk-songs of the Volga region / Gennady Aygi ; translated from the Russian by Peter France.</t>
  </si>
  <si>
    <t>Brookline, MA : Zephyr Press, [2002]</t>
  </si>
  <si>
    <t>1151675169:eng</t>
  </si>
  <si>
    <t>50670793</t>
  </si>
  <si>
    <t>ocm50670793</t>
  </si>
  <si>
    <t>3102208706N</t>
  </si>
  <si>
    <t>9780939010691</t>
  </si>
  <si>
    <t>793770334</t>
  </si>
  <si>
    <t>PG3478 I8 Z413 2007</t>
  </si>
  <si>
    <t>0                      PG 3478000I  8                  Z  413         2007</t>
  </si>
  <si>
    <t>Jamilia / Chingiz Aĭtmatov.</t>
  </si>
  <si>
    <t>Aĭtmatov, Chingiz.</t>
  </si>
  <si>
    <t>London : Telegram, 2007.</t>
  </si>
  <si>
    <t>8912079313:eng</t>
  </si>
  <si>
    <t>85898378</t>
  </si>
  <si>
    <t>ocm85898378</t>
  </si>
  <si>
    <t>3102571584P</t>
  </si>
  <si>
    <t>9781846590320</t>
  </si>
  <si>
    <t>794217678</t>
  </si>
  <si>
    <t>PG3478 K43 D64 2012</t>
  </si>
  <si>
    <t>0                      PG 3478000K  43                 D  64          2012</t>
  </si>
  <si>
    <t>Dnevnik smertnit︠s︡y : Khadizha / Marina Akhmedova.</t>
  </si>
  <si>
    <t>rec'd 2012 ed.</t>
  </si>
  <si>
    <t>Akhmedova, Marina (Marina Nebievna)</t>
  </si>
  <si>
    <t>1019375134:rus</t>
  </si>
  <si>
    <t>823894813</t>
  </si>
  <si>
    <t>ocn823894813</t>
  </si>
  <si>
    <t>31034829677</t>
  </si>
  <si>
    <t>9785271371868</t>
  </si>
  <si>
    <t>794937466</t>
  </si>
  <si>
    <t>PG3478 K45 A6 1968</t>
  </si>
  <si>
    <t>0                      PG 3478000K  45                 A  6           1968</t>
  </si>
  <si>
    <t>Oznob. / Izbrannye proizvedenii︠a︡. [Pod. red. N. Tarasovoĭ.</t>
  </si>
  <si>
    <t>Akhmadulina, Bella, 1937-2010.</t>
  </si>
  <si>
    <t>Frankfurt/Main] : Posev, 1968.</t>
  </si>
  <si>
    <t>3768904913:rus</t>
  </si>
  <si>
    <t>3069060</t>
  </si>
  <si>
    <t>ocm03069060</t>
  </si>
  <si>
    <t>3000625757C</t>
  </si>
  <si>
    <t>792213236</t>
  </si>
  <si>
    <t>PG3478 K45 A6 1995</t>
  </si>
  <si>
    <t>0                      PG 3478000K  45                 A  6           1995</t>
  </si>
  <si>
    <t>[Stikhotvorenii︠a︡] / Bella Akhmadulina.</t>
  </si>
  <si>
    <t>Moskva : Slovo, 1995.</t>
  </si>
  <si>
    <t>Serii︠a︡ Samye moi stikhi</t>
  </si>
  <si>
    <t>1059212247:rus</t>
  </si>
  <si>
    <t>34009598</t>
  </si>
  <si>
    <t>ocm34009598</t>
  </si>
  <si>
    <t>3101510499S</t>
  </si>
  <si>
    <t>9785850500733</t>
  </si>
  <si>
    <t>793416346</t>
  </si>
  <si>
    <t>PG3478 K45 A6 1997</t>
  </si>
  <si>
    <t>0                      PG 3478000K  45                 A  6           1997</t>
  </si>
  <si>
    <t>Sochinenii︠a︡ / Bella Akhmadulina ; [kommentarii O. Grushnikova].</t>
  </si>
  <si>
    <t>Moskva : PAN : Korona-Print, 1997.</t>
  </si>
  <si>
    <t>2015-06-23</t>
  </si>
  <si>
    <t>3770671728:rus</t>
  </si>
  <si>
    <t>37204175</t>
  </si>
  <si>
    <t>ocm37204175</t>
  </si>
  <si>
    <t>31018103423</t>
  </si>
  <si>
    <t>9785901040010</t>
  </si>
  <si>
    <t>793493132</t>
  </si>
  <si>
    <t>3101801298I</t>
  </si>
  <si>
    <t>793493130</t>
  </si>
  <si>
    <t>2002-10-17</t>
  </si>
  <si>
    <t>3101801294Q</t>
  </si>
  <si>
    <t>793493131</t>
  </si>
  <si>
    <t>PG3478 K45 M5</t>
  </si>
  <si>
    <t>0                      PG 3478000K  45                 M  5</t>
  </si>
  <si>
    <t>Mig bytii︠a︡ / Bella Akhmadulina.</t>
  </si>
  <si>
    <t>Moskva : Agraf, 1997.</t>
  </si>
  <si>
    <t>Simvoly vremeni</t>
  </si>
  <si>
    <t>3856634221:rus</t>
  </si>
  <si>
    <t>37698499</t>
  </si>
  <si>
    <t>ocm37698499</t>
  </si>
  <si>
    <t>3101829676Y</t>
  </si>
  <si>
    <t>793505019</t>
  </si>
  <si>
    <t>PG3478 K45 O33 1996</t>
  </si>
  <si>
    <t>0                      PG 3478000K  45                 O  33          1996</t>
  </si>
  <si>
    <t>Odnazhdy v dekabre-- : rasskazy, ėsse, vospominanii︠a︡ / Bella Akhmadulina.</t>
  </si>
  <si>
    <t>Sankt-Peterburg : "Pushkinskiĭ fond", 1996.</t>
  </si>
  <si>
    <t>2016-11-15</t>
  </si>
  <si>
    <t>5618123070:rus</t>
  </si>
  <si>
    <t>35708329</t>
  </si>
  <si>
    <t>ocm35708329</t>
  </si>
  <si>
    <t>31017234870</t>
  </si>
  <si>
    <t>9785857670873</t>
  </si>
  <si>
    <t>793455451</t>
  </si>
  <si>
    <t>PG3478 K45 S3 1987</t>
  </si>
  <si>
    <t>0                      PG 3478000K  45                 S  3           1987</t>
  </si>
  <si>
    <t>Sad : novye stikhi / Bella Akhmadulina.</t>
  </si>
  <si>
    <t>Moskva : Sov. pisatelʹ, 1987.</t>
  </si>
  <si>
    <t>889962893:rus</t>
  </si>
  <si>
    <t>17363357</t>
  </si>
  <si>
    <t>ocm17363357</t>
  </si>
  <si>
    <t>3103705431D</t>
  </si>
  <si>
    <t>792989150</t>
  </si>
  <si>
    <t>PG3478 K68 M49 2010</t>
  </si>
  <si>
    <t>0                      PG 3478000K  68                 M  49          2010</t>
  </si>
  <si>
    <t>Mezh dvukh pozharov : stikhi raznykh let / Elena Akselʹrod.</t>
  </si>
  <si>
    <t>Akselʹrod, Elena.</t>
  </si>
  <si>
    <t>Poėticheskai︠a︡ biblioteka</t>
  </si>
  <si>
    <t>686115236:rus</t>
  </si>
  <si>
    <t>670281272</t>
  </si>
  <si>
    <t>ocn670281272</t>
  </si>
  <si>
    <t>31033025003</t>
  </si>
  <si>
    <t>9785969105638</t>
  </si>
  <si>
    <t>794847580</t>
  </si>
  <si>
    <t>PG3478 K7 M67 2005</t>
  </si>
  <si>
    <t>0                      PG 3478000K  7                  M  67          2005</t>
  </si>
  <si>
    <t>Moskva Kva-Kva / Vasiliĭ Aksenov.</t>
  </si>
  <si>
    <t>Aksenov, Vasiliĭ, 1932-2009.</t>
  </si>
  <si>
    <t>Moskva : ĖKSMO, 2006.</t>
  </si>
  <si>
    <t>Kulʹtovai︠a︡ rossiĭskai︠a︡ literatura</t>
  </si>
  <si>
    <t>8910953555:rus</t>
  </si>
  <si>
    <t>65183040</t>
  </si>
  <si>
    <t>ocm65183040</t>
  </si>
  <si>
    <t>31026093195</t>
  </si>
  <si>
    <t>9785699147182</t>
  </si>
  <si>
    <t>794132646</t>
  </si>
  <si>
    <t>PG3478 K7 T5813 1996</t>
  </si>
  <si>
    <t>0                      PG 3478000K  7                  T  5813        1996</t>
  </si>
  <si>
    <t>The winter's hero / Vasily Aksyonov ; translated by John Glad.</t>
  </si>
  <si>
    <t>New York : Random House, ©1996.</t>
  </si>
  <si>
    <t>2907537760:eng</t>
  </si>
  <si>
    <t>32778605</t>
  </si>
  <si>
    <t>ocm32778605</t>
  </si>
  <si>
    <t>3101594596$</t>
  </si>
  <si>
    <t>9780679432746</t>
  </si>
  <si>
    <t>793393770</t>
  </si>
  <si>
    <t>PG3478 K7 Z465 1987</t>
  </si>
  <si>
    <t>0                      PG 3478000K  7                  Z  465         1987</t>
  </si>
  <si>
    <t>In search of melancholy baby / Vassily Aksyonov ; translated [from an unpublished manuscript] by Michael Henry Heim and Antonina W. Bouis.</t>
  </si>
  <si>
    <t>Aksenov, Vasiliĭ, 1932-2009, author.</t>
  </si>
  <si>
    <t>New York : Random House, [1987]</t>
  </si>
  <si>
    <t>2018-08-11</t>
  </si>
  <si>
    <t>4820533791:eng</t>
  </si>
  <si>
    <t>14520881</t>
  </si>
  <si>
    <t>ocm14520881</t>
  </si>
  <si>
    <t>3103599429E</t>
  </si>
  <si>
    <t>9780394543642</t>
  </si>
  <si>
    <t>792892990</t>
  </si>
  <si>
    <t>PG3478 K78 A75513 2011</t>
  </si>
  <si>
    <t>0                      PG 3478000K  78                 A  75513       2011</t>
  </si>
  <si>
    <t>The Diamond chariot : the further adventures of Erast Fandorin / Boris Akunin ; translated by Andrew Bromfield.</t>
  </si>
  <si>
    <t>Akunin, B. (Boris)</t>
  </si>
  <si>
    <t>London : Weidenfeld &amp; Nicolson, 2011.</t>
  </si>
  <si>
    <t>Erast Fandorin; 10</t>
  </si>
  <si>
    <t>2014-04-29</t>
  </si>
  <si>
    <t>2898606551:eng</t>
  </si>
  <si>
    <t>712128453</t>
  </si>
  <si>
    <t>ocn712128453</t>
  </si>
  <si>
    <t>31034219752</t>
  </si>
  <si>
    <t>9780297860679</t>
  </si>
  <si>
    <t>794871856</t>
  </si>
  <si>
    <t>PG3478 K78 A97 2003</t>
  </si>
  <si>
    <t>0                      PG 3478000K  78                 A  97          2003</t>
  </si>
  <si>
    <t>Azazelʹ : roman / Boris Akunin.</t>
  </si>
  <si>
    <t>Moskva : "OLMA-PRESS", 2004.</t>
  </si>
  <si>
    <t>Vneklassnoe chtenie</t>
  </si>
  <si>
    <t>10141782614:rus</t>
  </si>
  <si>
    <t>56039505</t>
  </si>
  <si>
    <t>ocm56039505</t>
  </si>
  <si>
    <t>3102478548B</t>
  </si>
  <si>
    <t>9785948494630</t>
  </si>
  <si>
    <t>793886408</t>
  </si>
  <si>
    <t>PG3478 K78 A9713 2003</t>
  </si>
  <si>
    <t>0                      PG 3478000K  78                 A  9713        2003</t>
  </si>
  <si>
    <t>The winter queen : a novel / Boris Akunin ; translated by Andrew Bromfield.</t>
  </si>
  <si>
    <t>Akunin, B. (Boris), author.</t>
  </si>
  <si>
    <t>New York : Random House, ©2003.</t>
  </si>
  <si>
    <t>Erast Fandorin mystery ; bk. 1</t>
  </si>
  <si>
    <t>10033343188:eng</t>
  </si>
  <si>
    <t>50898816</t>
  </si>
  <si>
    <t>ocm50898816</t>
  </si>
  <si>
    <t>3103392666H</t>
  </si>
  <si>
    <t>9781400060498</t>
  </si>
  <si>
    <t>793774789</t>
  </si>
  <si>
    <t>PG3478 K78 D78 2015</t>
  </si>
  <si>
    <t>0                      PG 3478000K  78                 D  78          2015</t>
  </si>
  <si>
    <t>Drugoĭ putʹ / Akunin-Chkhartishvili.</t>
  </si>
  <si>
    <t>Moskva : Zakharov, 2015.</t>
  </si>
  <si>
    <t>Semeĭnyĭ alʹbom</t>
  </si>
  <si>
    <t>2018-08-01</t>
  </si>
  <si>
    <t>4168534741:rus</t>
  </si>
  <si>
    <t>923012302</t>
  </si>
  <si>
    <t>ocn923012302</t>
  </si>
  <si>
    <t>31036324715</t>
  </si>
  <si>
    <t>9785815913424</t>
  </si>
  <si>
    <t>795004450</t>
  </si>
  <si>
    <t>PG3478 K78 K559 2017</t>
  </si>
  <si>
    <t>0                      PG 3478000K  78                 K  559         2017</t>
  </si>
  <si>
    <t>Kni︠a︡zʹ Kli︠u︡kva : povesti / Boris Akunin.</t>
  </si>
  <si>
    <t>Moskva : AST, [2017]</t>
  </si>
  <si>
    <t>Istorii︠a︡ Rossiĭskogo gosudarstva</t>
  </si>
  <si>
    <t>4521177159:rus</t>
  </si>
  <si>
    <t>1004861344</t>
  </si>
  <si>
    <t>on1004861344</t>
  </si>
  <si>
    <t>3103760647G</t>
  </si>
  <si>
    <t>9785171041618</t>
  </si>
  <si>
    <t>795042227</t>
  </si>
  <si>
    <t>PG3478 K78 L48 2004</t>
  </si>
  <si>
    <t>0                      PG 3478000K  78                 L  48          2004</t>
  </si>
  <si>
    <t>Leviafan : roman / B. Akunin.</t>
  </si>
  <si>
    <t>Moskva : Zakharov, 2004.</t>
  </si>
  <si>
    <t>Novyĭ detektiv</t>
  </si>
  <si>
    <t>9965186129:rus</t>
  </si>
  <si>
    <t>427613863</t>
  </si>
  <si>
    <t>ocn427613863</t>
  </si>
  <si>
    <t>3102735186T</t>
  </si>
  <si>
    <t>9785815900950</t>
  </si>
  <si>
    <t>794693583</t>
  </si>
  <si>
    <t>PG3478 K78 L4813 2004</t>
  </si>
  <si>
    <t>0                      PG 3478000K  78                 L  4813        2004</t>
  </si>
  <si>
    <t>Murder on the Leviathan : a novel / Boris Akunin ; translated by Andrew Bromfield.</t>
  </si>
  <si>
    <t>New York : Random House, ©2004.</t>
  </si>
  <si>
    <t>10141416945:eng</t>
  </si>
  <si>
    <t>53932741</t>
  </si>
  <si>
    <t>ocm53932741</t>
  </si>
  <si>
    <t>3102423669C</t>
  </si>
  <si>
    <t>9781400060511</t>
  </si>
  <si>
    <t>793853407</t>
  </si>
  <si>
    <t>PG3478 K78 L5713 2011</t>
  </si>
  <si>
    <t>0                      PG 3478000K  78                 L  5713        2011</t>
  </si>
  <si>
    <t>He lover of death / Boris Akunin ; translated by Andrew Bromfield.</t>
  </si>
  <si>
    <t>London : Phoenix, 2011.</t>
  </si>
  <si>
    <t>Pbk. ed.</t>
  </si>
  <si>
    <t>An Erast Fandorin mystery</t>
  </si>
  <si>
    <t>5091640006:eng</t>
  </si>
  <si>
    <t>713597033</t>
  </si>
  <si>
    <t>ocn713597033</t>
  </si>
  <si>
    <t>3103396841$</t>
  </si>
  <si>
    <t>9780753828069</t>
  </si>
  <si>
    <t>794873014</t>
  </si>
  <si>
    <t>PG3478 K78 O8613 2007</t>
  </si>
  <si>
    <t>0                      PG 3478000K  78                 O  8613        2007</t>
  </si>
  <si>
    <t>Special assignments : the further adventures of Erast Fandorin / Boris Akunin ; translated by Andrew Bromfield.</t>
  </si>
  <si>
    <t>London : Weidenfeld &amp; Nicolson, 2007.</t>
  </si>
  <si>
    <t>Erast Fandorin series ; 5</t>
  </si>
  <si>
    <t>2016-10-07</t>
  </si>
  <si>
    <t>2564798021:eng</t>
  </si>
  <si>
    <t>156553945</t>
  </si>
  <si>
    <t>ocn156553945</t>
  </si>
  <si>
    <t>31028519895</t>
  </si>
  <si>
    <t>9780297848226</t>
  </si>
  <si>
    <t>794254250</t>
  </si>
  <si>
    <t>PG3478 K78 S39 2015</t>
  </si>
  <si>
    <t>0                      PG 3478000K  78                 S  39          2015</t>
  </si>
  <si>
    <t>Severnyĭ Chasovoĭ i drugie si︠u︡zhety / Boris Akunin.</t>
  </si>
  <si>
    <t>Moskva : AST, [2015]</t>
  </si>
  <si>
    <t>Li︠u︡bovʹ k istorii</t>
  </si>
  <si>
    <t>4435571440:rus</t>
  </si>
  <si>
    <t>908692183</t>
  </si>
  <si>
    <t>ocn908692183</t>
  </si>
  <si>
    <t>3103641401P</t>
  </si>
  <si>
    <t>9785170888740</t>
  </si>
  <si>
    <t>794994994</t>
  </si>
  <si>
    <t>PG3478 K78 S56 2005</t>
  </si>
  <si>
    <t>0                      PG 3478000K  78                 S  56          2005</t>
  </si>
  <si>
    <t>Shpionskiĭ roman : roman / Boris Akunin.</t>
  </si>
  <si>
    <t>Moskva : AST, 2005.</t>
  </si>
  <si>
    <t>Zhanry</t>
  </si>
  <si>
    <t>2018-06-08</t>
  </si>
  <si>
    <t>3858398181:rus</t>
  </si>
  <si>
    <t>58547351</t>
  </si>
  <si>
    <t>ocm58547351</t>
  </si>
  <si>
    <t>3102510642R</t>
  </si>
  <si>
    <t>9785170290420</t>
  </si>
  <si>
    <t>793922470</t>
  </si>
  <si>
    <t>PG3478 K78 S713 2009</t>
  </si>
  <si>
    <t>0                      PG 3478000K  78                 S  713         2009</t>
  </si>
  <si>
    <t>The state counsellor : the further adventures of Erast Fandorin / Boris Akunin ; translated by Andrew Bromfield.</t>
  </si>
  <si>
    <t>London : Phoenix, 2008.</t>
  </si>
  <si>
    <t>2017-05-23</t>
  </si>
  <si>
    <t>9449207:eng</t>
  </si>
  <si>
    <t>465357779</t>
  </si>
  <si>
    <t>ocn465357779</t>
  </si>
  <si>
    <t>3103457626J</t>
  </si>
  <si>
    <t>9780753826423</t>
  </si>
  <si>
    <t>794793843</t>
  </si>
  <si>
    <t>PG3478 L444 A6 2017</t>
  </si>
  <si>
    <t>0                      PG 3478000L  444                A  6           2017</t>
  </si>
  <si>
    <t>Ryba i drugie li︠u︡di : proza / Petr Aleshkovskiĭ.</t>
  </si>
  <si>
    <t>Aleshkovskiĭ, P. (Petr), author.</t>
  </si>
  <si>
    <t>Moskva : Izdatelʹstvo AST, 2017.</t>
  </si>
  <si>
    <t>Novai︠a︡ russkai︠a︡ klassika</t>
  </si>
  <si>
    <t>4205427273:rus</t>
  </si>
  <si>
    <t>986526714</t>
  </si>
  <si>
    <t>ocn986526714</t>
  </si>
  <si>
    <t>31037599901</t>
  </si>
  <si>
    <t>9785171024178</t>
  </si>
  <si>
    <t>795035669</t>
  </si>
  <si>
    <t>PG3478 L444 A75 2017</t>
  </si>
  <si>
    <t>0                      PG 3478000L  444                A  75          2017</t>
  </si>
  <si>
    <t>Arlekin : roman / Petr Aleshkovskiĭ.</t>
  </si>
  <si>
    <t>Moskva : Redakt︠s︡ii︠a︡ Eleny Shubinoĭ : Izdatelʹstvo AST, [2017]</t>
  </si>
  <si>
    <t>4390960141:rus</t>
  </si>
  <si>
    <t>990791846</t>
  </si>
  <si>
    <t>ocn990791846</t>
  </si>
  <si>
    <t>3103728320W</t>
  </si>
  <si>
    <t>9785171024536</t>
  </si>
  <si>
    <t>795037901</t>
  </si>
  <si>
    <t>PG3478 L444 K7 2015</t>
  </si>
  <si>
    <t>0                      PG 3478000L  444                K  7           2015</t>
  </si>
  <si>
    <t>Krepostʹ : roman / Petr Aleshkovskiĭ.</t>
  </si>
  <si>
    <t>Moskva : Izdatelʹstvo AST : Redakt︠s︡ii︠a︡ Eleny Shubinoĭ, 2015.</t>
  </si>
  <si>
    <t>3770382610:rus</t>
  </si>
  <si>
    <t>925475999</t>
  </si>
  <si>
    <t>ocn925475999</t>
  </si>
  <si>
    <t>3103632477U</t>
  </si>
  <si>
    <t>9785170926879</t>
  </si>
  <si>
    <t>795005060</t>
  </si>
  <si>
    <t>PG3478 M45 G68 2011</t>
  </si>
  <si>
    <t>0                      PG 3478000M  45                 G  68          2011</t>
  </si>
  <si>
    <t>Gnutai︠a︡ rechʹ / Maksim Amelin.</t>
  </si>
  <si>
    <t>Amelin, Maksim.</t>
  </si>
  <si>
    <t>Moskva : B.S.G.-Press, 2011.</t>
  </si>
  <si>
    <t>864915631:rus</t>
  </si>
  <si>
    <t>711744190</t>
  </si>
  <si>
    <t>ocn711744190</t>
  </si>
  <si>
    <t>3103568050G</t>
  </si>
  <si>
    <t>9785933812975</t>
  </si>
  <si>
    <t>794871146</t>
  </si>
  <si>
    <t>PG3478 M87 O84 2011</t>
  </si>
  <si>
    <t>0                      PG 3478000M  87                 O  84          2011</t>
  </si>
  <si>
    <t>Osenʹ skifa : stikhi / Vitaliĭ Amurskiĭ.</t>
  </si>
  <si>
    <t>Amurskiĭ, Vitaliĭ.</t>
  </si>
  <si>
    <t>Russkoe zarubezhʹe : kollekt︠s︡ii︠a︡ poėzii i prozy</t>
  </si>
  <si>
    <t>879047823:rus</t>
  </si>
  <si>
    <t>714294213</t>
  </si>
  <si>
    <t>ocn714294213</t>
  </si>
  <si>
    <t>3103393745E</t>
  </si>
  <si>
    <t>9785914194687</t>
  </si>
  <si>
    <t>794873366</t>
  </si>
  <si>
    <t>PG3478 N417 T75 2013</t>
  </si>
  <si>
    <t>0                      PG 3478000N  417                T  75          2013</t>
  </si>
  <si>
    <t>Trismegist : rasskazy / Viktor Andreev.</t>
  </si>
  <si>
    <t>Andreev, Viktor (Viktor Nikolaevich), author.</t>
  </si>
  <si>
    <t>Sankt-Peterburg : ID "Petropolis" : Soi︠u︡z pisateleĭ Sankt-Peterburga, 2013.</t>
  </si>
  <si>
    <t>1872731182:rus</t>
  </si>
  <si>
    <t>878040040</t>
  </si>
  <si>
    <t>ocn878040040</t>
  </si>
  <si>
    <t>3103557156M</t>
  </si>
  <si>
    <t>9785967605086</t>
  </si>
  <si>
    <t>794971209</t>
  </si>
  <si>
    <t>PG3478 R24 S75 2014</t>
  </si>
  <si>
    <t>0                      PG 3478000R  24                 S  75          2014</t>
  </si>
  <si>
    <t>Stolknovenie s babochkoĭ : roman / I︠U︡riĭ Arabov.</t>
  </si>
  <si>
    <t>Arabov, I︠U︡riĭ, 1954- author.</t>
  </si>
  <si>
    <t>Proza I︠U︡rii︠a︡ Arabova</t>
  </si>
  <si>
    <t>2543747980:rus</t>
  </si>
  <si>
    <t>891380735</t>
  </si>
  <si>
    <t>ocn891380735</t>
  </si>
  <si>
    <t>3103586036I</t>
  </si>
  <si>
    <t>9785170857777</t>
  </si>
  <si>
    <t>794980108</t>
  </si>
  <si>
    <t>PG3478 R38 M59 2017</t>
  </si>
  <si>
    <t>0                      PG 3478000R  38                 M  59          2017</t>
  </si>
  <si>
    <t>Mozhete zvatʹ meni︠a︡ Tatʹi︠a︡noĭ / Natalʹi︠a︡ Arbuzova.</t>
  </si>
  <si>
    <t>Arbuzova, Natalʹi︠a︡, author.</t>
  </si>
  <si>
    <t>Moskva : Vremi︠a︡, 2017.</t>
  </si>
  <si>
    <t>Samoe vremi︠a︡!</t>
  </si>
  <si>
    <t>4138397045:rus</t>
  </si>
  <si>
    <t>978374853</t>
  </si>
  <si>
    <t>ocn978374853</t>
  </si>
  <si>
    <t>3103760000T</t>
  </si>
  <si>
    <t>9785969115606</t>
  </si>
  <si>
    <t>795033287</t>
  </si>
  <si>
    <t>PG3478 R38 P67 2016</t>
  </si>
  <si>
    <t>0                      PG 3478000R  38                 P  67          2016</t>
  </si>
  <si>
    <t>Poskrëbyshi : povesti, rasskazy / Natalʹi︠a︡ Arbuzova.</t>
  </si>
  <si>
    <t>2902310919:rus</t>
  </si>
  <si>
    <t>936376521</t>
  </si>
  <si>
    <t>ocn936376521</t>
  </si>
  <si>
    <t>3103641377X</t>
  </si>
  <si>
    <t>9785969114234</t>
  </si>
  <si>
    <t>795010747</t>
  </si>
  <si>
    <t>PG3479 I455 D86 2011</t>
  </si>
  <si>
    <t>0                      PG 3479000I  455                D  86          2011</t>
  </si>
  <si>
    <t>Dumaĭ, chto govorishʹ : 41 rasskaz / Nikolaĭ Baĭtov.</t>
  </si>
  <si>
    <t>Baĭtov, Nikolaĭ, 1951-</t>
  </si>
  <si>
    <t>Moskva : KoLibri, 2011.</t>
  </si>
  <si>
    <t>"Uroki russkogo"</t>
  </si>
  <si>
    <t>2013-08-31</t>
  </si>
  <si>
    <t>1017133278:rus</t>
  </si>
  <si>
    <t>755066744</t>
  </si>
  <si>
    <t>ocn755066744</t>
  </si>
  <si>
    <t>3103526576P</t>
  </si>
  <si>
    <t>9785389020788</t>
  </si>
  <si>
    <t>794893531</t>
  </si>
  <si>
    <t>PG3479 I455 L58 2013</t>
  </si>
  <si>
    <t>0                      PG 3479000I  455                L  58          2013</t>
  </si>
  <si>
    <t>Li︠u︡bovʹ Mury : Roman / Nikolaĭ Baĭtov.</t>
  </si>
  <si>
    <t>Baĭtov, Nikolaĭ, 1951- author.</t>
  </si>
  <si>
    <t>Moskva : Novoe literaturnoe obozrenie, 2013.</t>
  </si>
  <si>
    <t>1789184342:rus</t>
  </si>
  <si>
    <t>855048453</t>
  </si>
  <si>
    <t>ocn855048453</t>
  </si>
  <si>
    <t>3103621280N</t>
  </si>
  <si>
    <t>9785444800942</t>
  </si>
  <si>
    <t>794953084</t>
  </si>
  <si>
    <t>PG3479 I455 Z36 2014</t>
  </si>
  <si>
    <t>0                      PG 3479000I  455                Z  36          2014</t>
  </si>
  <si>
    <t>Zverʹ dyshit : rasskazy / Nikolaĭ Baĭtov.</t>
  </si>
  <si>
    <t>Uroki russkogo</t>
  </si>
  <si>
    <t>2014-07-10</t>
  </si>
  <si>
    <t>3862559728:rus</t>
  </si>
  <si>
    <t>878039293</t>
  </si>
  <si>
    <t>ocn878039293</t>
  </si>
  <si>
    <t>3103557241L</t>
  </si>
  <si>
    <t>9785444801437</t>
  </si>
  <si>
    <t>794971206</t>
  </si>
  <si>
    <t>PG3479 O9 A6 1963</t>
  </si>
  <si>
    <t>0                      PG 3479000O  9                  A  6           1963</t>
  </si>
  <si>
    <t>Izbrannye proizvedenii︠a︡.</t>
  </si>
  <si>
    <t>Ovechkin, V. V. (Valentin Vladimirovich), 1904-1968.</t>
  </si>
  <si>
    <t>Moskva : Khud. lit., 1963.</t>
  </si>
  <si>
    <t>10033146831:rus</t>
  </si>
  <si>
    <t>427265256</t>
  </si>
  <si>
    <t>ocn427265256</t>
  </si>
  <si>
    <t>3103095835N</t>
  </si>
  <si>
    <t>794555737</t>
  </si>
  <si>
    <t>3103095836N</t>
  </si>
  <si>
    <t>794555738</t>
  </si>
  <si>
    <t>PG3479.3 R373 K78 2016</t>
  </si>
  <si>
    <t>0                      PG 3479300R  373                K  78          2016</t>
  </si>
  <si>
    <t>Kruk / Anna Berdichevskai︠a︡.</t>
  </si>
  <si>
    <t>Berdichevskai︠a︡, Anna, author.</t>
  </si>
  <si>
    <t>Znak kachestva. Sovremennai︠a︡ russkai︠a︡ literatura</t>
  </si>
  <si>
    <t>2017-03-16</t>
  </si>
  <si>
    <t>3772378879:rus</t>
  </si>
  <si>
    <t>944224774</t>
  </si>
  <si>
    <t>ocn944224774</t>
  </si>
  <si>
    <t>31036593515</t>
  </si>
  <si>
    <t>9785699846504</t>
  </si>
  <si>
    <t>795012842</t>
  </si>
  <si>
    <t>PG3479.3 R373 M65 2017</t>
  </si>
  <si>
    <t>0                      PG 3479300R  373                M  65          2017</t>
  </si>
  <si>
    <t>Molënoe diti︠a︡tko : (rasskazy raznykh let) / Anna Berdichevskai︠a︡ ; illi︠u︡strat︠s︡ii Rezo Gabriadze.</t>
  </si>
  <si>
    <t>4657264817:rus</t>
  </si>
  <si>
    <t>1013977432</t>
  </si>
  <si>
    <t>on1013977432</t>
  </si>
  <si>
    <t>3103760607S</t>
  </si>
  <si>
    <t>9785699993970</t>
  </si>
  <si>
    <t>795047554</t>
  </si>
  <si>
    <t>PG3479.4 I8 A2 1986</t>
  </si>
  <si>
    <t>0                      PG 3479400I  8                  A  2           1986</t>
  </si>
  <si>
    <t>Life in windy weather : short stories / Andrei Bitov ; edited by Priscilla Meyer.</t>
  </si>
  <si>
    <t>Bitov, Andreĭ, author.</t>
  </si>
  <si>
    <t>Ann Arbor : Ardis, 1986.</t>
  </si>
  <si>
    <t>439709251:eng</t>
  </si>
  <si>
    <t>12418955</t>
  </si>
  <si>
    <t>ocm12418955</t>
  </si>
  <si>
    <t>3000481518S</t>
  </si>
  <si>
    <t>9780882336916</t>
  </si>
  <si>
    <t>792814814</t>
  </si>
  <si>
    <t>PG3479.4 I8 A23 1992</t>
  </si>
  <si>
    <t>0                      PG 3479400I  8                  A  23          1992</t>
  </si>
  <si>
    <t>A captive of the Caucasus / Andrei Bitov ; translated by Susan Brownsberger.</t>
  </si>
  <si>
    <t>Bitov, Andreĭ.</t>
  </si>
  <si>
    <t>New York : Farrar Straus Giroux, 1992.</t>
  </si>
  <si>
    <t>9593492774:eng</t>
  </si>
  <si>
    <t>24871206</t>
  </si>
  <si>
    <t>ocm24871206</t>
  </si>
  <si>
    <t>3101182283R</t>
  </si>
  <si>
    <t>9780374118839</t>
  </si>
  <si>
    <t>793207057</t>
  </si>
  <si>
    <t>PG3479.4 I8 A6 1996</t>
  </si>
  <si>
    <t>0                      PG 3479400I  8                  A  6           1996</t>
  </si>
  <si>
    <t>Imperii︠a︡ v chetyrekh izmerenii︠a︡kh / Andreĭ Bitov.</t>
  </si>
  <si>
    <t>Kharʹkov : Folio ; Moskva : TKO AST, 1996.</t>
  </si>
  <si>
    <t>Nastoi︠a︡shchee</t>
  </si>
  <si>
    <t>2019-01-03</t>
  </si>
  <si>
    <t>1779954835:rus</t>
  </si>
  <si>
    <t>36014067</t>
  </si>
  <si>
    <t>ocm36014067</t>
  </si>
  <si>
    <t>3101700940X</t>
  </si>
  <si>
    <t>9785715003485</t>
  </si>
  <si>
    <t>793464003</t>
  </si>
  <si>
    <t>3101700932W</t>
  </si>
  <si>
    <t>793464001</t>
  </si>
  <si>
    <t>2008-10-10</t>
  </si>
  <si>
    <t>3101700936O</t>
  </si>
  <si>
    <t>793464002</t>
  </si>
  <si>
    <t>3101700944P</t>
  </si>
  <si>
    <t>793464004</t>
  </si>
  <si>
    <t>PG3479.4 I8 O4 1995</t>
  </si>
  <si>
    <t>0                      PG 3479400I  8                  O  4           1995</t>
  </si>
  <si>
    <t>Oglashennye : roman-stranstvie / Andreĭ Bitov.</t>
  </si>
  <si>
    <t>Moskva : BaGaZH, 1995.</t>
  </si>
  <si>
    <t>119032235:rus</t>
  </si>
  <si>
    <t>33247697</t>
  </si>
  <si>
    <t>ocm33247697</t>
  </si>
  <si>
    <t>31018036495</t>
  </si>
  <si>
    <t>793405351</t>
  </si>
  <si>
    <t>PG3479.4 I8 P8</t>
  </si>
  <si>
    <t>0                      PG 3479400I  8                  P  8</t>
  </si>
  <si>
    <t>Pushkinskiĭ dom / Andreĭ Bitov.</t>
  </si>
  <si>
    <t>5453835432:rus</t>
  </si>
  <si>
    <t>4231805</t>
  </si>
  <si>
    <t>ocm04231805</t>
  </si>
  <si>
    <t>31019408116</t>
  </si>
  <si>
    <t>9780882333502</t>
  </si>
  <si>
    <t>792333121</t>
  </si>
  <si>
    <t>2015-01-30</t>
  </si>
  <si>
    <t>3000318797C</t>
  </si>
  <si>
    <t>792333120</t>
  </si>
  <si>
    <t>PG3479.4 I8 P813 1987</t>
  </si>
  <si>
    <t>0                      PG 3479400I  8                  P  813         1987</t>
  </si>
  <si>
    <t>Pushkin house / Andrei Bitov ; translated from the Russian by Susan Brownsberger.</t>
  </si>
  <si>
    <t>New York : Farrar, Straus and Giroux, 1987.</t>
  </si>
  <si>
    <t>2019-10-19</t>
  </si>
  <si>
    <t>5453835432:eng</t>
  </si>
  <si>
    <t>16226782</t>
  </si>
  <si>
    <t>ocm16226782</t>
  </si>
  <si>
    <t>31031457710</t>
  </si>
  <si>
    <t>9780374239343</t>
  </si>
  <si>
    <t>792958603</t>
  </si>
  <si>
    <t>PG3479.4 I8 Z853 2016</t>
  </si>
  <si>
    <t>0                      PG 3479400I  8                  Z  853         2016</t>
  </si>
  <si>
    <t>Tvorchestvo Andrei︠a︡ Bitova v traktovkakh rossiĭskoĭ i russkoĭ zarubezhnoĭ literaturnoĭ kritiki / Marii︠a︡ Savelʹeva.</t>
  </si>
  <si>
    <t>Savelʹeva, Marii︠a︡, author.</t>
  </si>
  <si>
    <t>Moskva : Izdatelʹstvo "MGIMO-Universitet", 2016.</t>
  </si>
  <si>
    <t>Nauchnai︠a︡ shkola MGIMO</t>
  </si>
  <si>
    <t>3870086878:rus</t>
  </si>
  <si>
    <t>958391332</t>
  </si>
  <si>
    <t>ocn958391332</t>
  </si>
  <si>
    <t>3103699143P</t>
  </si>
  <si>
    <t>9785922814393</t>
  </si>
  <si>
    <t>795021769</t>
  </si>
  <si>
    <t>PG3479.4 O4465 P88 2007</t>
  </si>
  <si>
    <t>0                      PG 3479400O  4465               P  88          2007</t>
  </si>
  <si>
    <t>Putʹ Muri : [roman] / Ilʹi︠a︡ Boi︠a︡shov.</t>
  </si>
  <si>
    <t>Boi︠a︡shov, Ilʹi︠a︡.</t>
  </si>
  <si>
    <t>Sankt-Peterburg ; Moskva : Limbus Press : Izd-vo K. Tublina, ©2007.</t>
  </si>
  <si>
    <t>111305519:rus</t>
  </si>
  <si>
    <t>163620208</t>
  </si>
  <si>
    <t>ocn163620208</t>
  </si>
  <si>
    <t>3103101412K</t>
  </si>
  <si>
    <t>9785837004711</t>
  </si>
  <si>
    <t>794258425</t>
  </si>
  <si>
    <t>PG3479.4 R24 R67 2018</t>
  </si>
  <si>
    <t>0                      PG 3479400R  24                 R  67          2018</t>
  </si>
  <si>
    <t>Rosstani / Alekseĭ Bragin.</t>
  </si>
  <si>
    <t>Bragin, Alekseĭ, author.</t>
  </si>
  <si>
    <t>Moskva : Ripol klassik, 2018.</t>
  </si>
  <si>
    <t>Novai︠a︡ proza</t>
  </si>
  <si>
    <t>5457628647:rus</t>
  </si>
  <si>
    <t>1054262307</t>
  </si>
  <si>
    <t>on1054262307</t>
  </si>
  <si>
    <t>3103879976D</t>
  </si>
  <si>
    <t>9785386106942</t>
  </si>
  <si>
    <t>795063170</t>
  </si>
  <si>
    <t>PG3479.4 R64 A25 1973</t>
  </si>
  <si>
    <t>0                      PG 3479400R  64                 A  25          1973</t>
  </si>
  <si>
    <t>Joseph Brodsky, selected poems / translated from the Russian by George L. Kline ; foreword by W.H. Auden.</t>
  </si>
  <si>
    <t>Brodsky, Joseph, 1940-1996, author.</t>
  </si>
  <si>
    <t>New York : Harper &amp; Row, publishers, [1973]</t>
  </si>
  <si>
    <t>2864017139:eng</t>
  </si>
  <si>
    <t>931163</t>
  </si>
  <si>
    <t>ocm00931163</t>
  </si>
  <si>
    <t>31036013260</t>
  </si>
  <si>
    <t>9780060104849</t>
  </si>
  <si>
    <t>791505293</t>
  </si>
  <si>
    <t>PG3479.4 R64 A6 1994</t>
  </si>
  <si>
    <t>0                      PG 3479400R  64                 A  6           1994</t>
  </si>
  <si>
    <t>Izbrannye stikhotvorenii︠a︡, 1957-1992 / I.A. Brodskiĭ ; [posleslovie Ė.L. Beznosova].</t>
  </si>
  <si>
    <t>Brodsky, Joseph, 1940-1996.</t>
  </si>
  <si>
    <t>Moskva : "Panorama", 1994.</t>
  </si>
  <si>
    <t>Serii︠a︡ "Laureaty Nobelevskoĭ premii"</t>
  </si>
  <si>
    <t>2242349747:rus</t>
  </si>
  <si>
    <t>31908915</t>
  </si>
  <si>
    <t>ocm31908915</t>
  </si>
  <si>
    <t>31014026572</t>
  </si>
  <si>
    <t>9785852204059</t>
  </si>
  <si>
    <t>793371073</t>
  </si>
  <si>
    <t>PG3479.4 R64 B64 1992</t>
  </si>
  <si>
    <t>0                      PG 3479400R  64                 B  64          1992</t>
  </si>
  <si>
    <t>Bog sokhrani︠a︡et vse / Iosif Brodskiĭ.</t>
  </si>
  <si>
    <t>Moskva : "Mif", 1992.</t>
  </si>
  <si>
    <t>30218649:rus</t>
  </si>
  <si>
    <t>27196877</t>
  </si>
  <si>
    <t>ocm27196877</t>
  </si>
  <si>
    <t>3101241503O</t>
  </si>
  <si>
    <t>9785872140078</t>
  </si>
  <si>
    <t>793261536</t>
  </si>
  <si>
    <t>PG3479.4 R64 C6</t>
  </si>
  <si>
    <t>0                      PG 3479400R  64                 C  6</t>
  </si>
  <si>
    <t>Collines et autres poèmes [par] Iossip Brodski. Traduit du russe par Jean-Jacques Marie. Préface de Pierre Emmanuel.</t>
  </si>
  <si>
    <t>Paris, Éditions du Seuil [1966]</t>
  </si>
  <si>
    <t>2016-05-27</t>
  </si>
  <si>
    <t>307125782:fre</t>
  </si>
  <si>
    <t>664662</t>
  </si>
  <si>
    <t>ocm00664662</t>
  </si>
  <si>
    <t>3103678477D</t>
  </si>
  <si>
    <t>791440897</t>
  </si>
  <si>
    <t>PG3479.4 R64 F67 1992</t>
  </si>
  <si>
    <t>0                      PG 3479400R  64                 F  67          1992</t>
  </si>
  <si>
    <t>Forma vremeni : stikhotvorenii︠a︡, ėsse, pʹesy : v dvukh tomakh / Iosif Brodskiĭ ; [otvetstvennyĭ redaktor A.S. Potupa ; sostavitelʹ V.I. Ufli︠a︡nd].</t>
  </si>
  <si>
    <t>Minsk : Ėridan, 1992.</t>
  </si>
  <si>
    <t>1808015536:rus</t>
  </si>
  <si>
    <t>27441566</t>
  </si>
  <si>
    <t>ocm27441566</t>
  </si>
  <si>
    <t>3103678472N</t>
  </si>
  <si>
    <t>9785858721062</t>
  </si>
  <si>
    <t>793266924</t>
  </si>
  <si>
    <t>2004-11-12</t>
  </si>
  <si>
    <t>3100997337P</t>
  </si>
  <si>
    <t>793266923</t>
  </si>
  <si>
    <t>PG3479.4 R64 O5 1995</t>
  </si>
  <si>
    <t>0                      PG 3479400R  64                 O  5           1995</t>
  </si>
  <si>
    <t>On grief and reason : essays / Joseph Brodsky.</t>
  </si>
  <si>
    <t>New York : Farrar, Straus and Giroux, 1995.</t>
  </si>
  <si>
    <t>196068119:eng</t>
  </si>
  <si>
    <t>30154601</t>
  </si>
  <si>
    <t>ocm30154601</t>
  </si>
  <si>
    <t>3101558798S</t>
  </si>
  <si>
    <t>9780374234157</t>
  </si>
  <si>
    <t>793330929</t>
  </si>
  <si>
    <t>PG3479.4 R64 P45 1995</t>
  </si>
  <si>
    <t>0                      PG 3479400R  64                 P  45          1995</t>
  </si>
  <si>
    <t>Peĭzazh s navodneniem / Iosif Brodskiĭ ; [sostavitelʹ Aleksandr Sumerkin].</t>
  </si>
  <si>
    <t>Dana Point, Calif. : Ardis, 1995.</t>
  </si>
  <si>
    <t>5612125451:rus</t>
  </si>
  <si>
    <t>33361543</t>
  </si>
  <si>
    <t>ocm33361543</t>
  </si>
  <si>
    <t>3102047843D</t>
  </si>
  <si>
    <t>9780875010939</t>
  </si>
  <si>
    <t>793407926</t>
  </si>
  <si>
    <t>PG3479.4 R64 T6 1988</t>
  </si>
  <si>
    <t>0                      PG 3479400R  64                 T  6           1988</t>
  </si>
  <si>
    <t>To Urania : selected poems 1965-1985 / Joseph Brodsky.</t>
  </si>
  <si>
    <t>London : Viking, 1988.</t>
  </si>
  <si>
    <t>2017-07-03</t>
  </si>
  <si>
    <t>2542052287:eng</t>
  </si>
  <si>
    <t>17581455</t>
  </si>
  <si>
    <t>ocm17581455</t>
  </si>
  <si>
    <t>3101940868E</t>
  </si>
  <si>
    <t>9780670814398</t>
  </si>
  <si>
    <t>792996302</t>
  </si>
  <si>
    <t>PG3479.4 R64 T87 2010</t>
  </si>
  <si>
    <t>0                      PG 3479400R  64                 T  87          2010</t>
  </si>
  <si>
    <t>Brodsky abroad : empire, tourism, nostalgia / Sanna Turoma.</t>
  </si>
  <si>
    <t>Turoma, Sanna.</t>
  </si>
  <si>
    <t>Madison, Wis. : University of Wisconsin Press, ©2010.</t>
  </si>
  <si>
    <t>2012-01-31</t>
  </si>
  <si>
    <t>796240603:eng</t>
  </si>
  <si>
    <t>455870812</t>
  </si>
  <si>
    <t>ocn455870812</t>
  </si>
  <si>
    <t>3103240518W</t>
  </si>
  <si>
    <t>9780299236342</t>
  </si>
  <si>
    <t>794788279</t>
  </si>
  <si>
    <t>PG3479.4 R64 W3 1992</t>
  </si>
  <si>
    <t>0                      PG 3479400R  64                 W  3           1992</t>
  </si>
  <si>
    <t>Watermark / Joseph Brodsky.</t>
  </si>
  <si>
    <t>New York : Farrar, Straus &amp; Giroux, 1992.</t>
  </si>
  <si>
    <t>4919407973:eng</t>
  </si>
  <si>
    <t>25026373</t>
  </si>
  <si>
    <t>ocm25026373</t>
  </si>
  <si>
    <t>31011837557</t>
  </si>
  <si>
    <t>9780374148126</t>
  </si>
  <si>
    <t>793210361</t>
  </si>
  <si>
    <t>PG3479.4 R64 Z468 2002</t>
  </si>
  <si>
    <t>0                      PG 3479400R  64                 Z  468         2002</t>
  </si>
  <si>
    <t>Joseph Brodsky : conversations / edited by Cynthia L. Haven.</t>
  </si>
  <si>
    <t>Jackson : University Press of Mississippi, ©2002.</t>
  </si>
  <si>
    <t>1807134273:eng</t>
  </si>
  <si>
    <t>50424388</t>
  </si>
  <si>
    <t>ocm50424388</t>
  </si>
  <si>
    <t>31022871095</t>
  </si>
  <si>
    <t>9781578065271</t>
  </si>
  <si>
    <t>793764879</t>
  </si>
  <si>
    <t>PG3479.4 R64 Z566 2014</t>
  </si>
  <si>
    <t>0                      PG 3479400R  64                 Z  566         2014</t>
  </si>
  <si>
    <t>Brodsky translating Brodsky : poetry in self-translation / Alexandra Berlina.</t>
  </si>
  <si>
    <t>Berlina, Alexandra, author.</t>
  </si>
  <si>
    <t>New York : Bloomsbury, 2014.</t>
  </si>
  <si>
    <t>Literary studies</t>
  </si>
  <si>
    <t>1378560870:eng</t>
  </si>
  <si>
    <t>856976052</t>
  </si>
  <si>
    <t>ocn856976052</t>
  </si>
  <si>
    <t>3103565972Y</t>
  </si>
  <si>
    <t>9781623561734</t>
  </si>
  <si>
    <t>794954686</t>
  </si>
  <si>
    <t>PG3479.4 R64 Z665 2011</t>
  </si>
  <si>
    <t>0                      PG 3479400R  64                 Z  665         2011</t>
  </si>
  <si>
    <t>English rhythms in Russian verse : on the experiment of Joseph Brodsky / by Nila Friedberg.</t>
  </si>
  <si>
    <t>Friedberg, Nila, 1972-</t>
  </si>
  <si>
    <t>Trends in linguistics. Studies and monographs ; 232</t>
  </si>
  <si>
    <t>2014-04-01</t>
  </si>
  <si>
    <t>769407763:eng</t>
  </si>
  <si>
    <t>696321907</t>
  </si>
  <si>
    <t>ocn696321907</t>
  </si>
  <si>
    <t>3103406945Z</t>
  </si>
  <si>
    <t>9783110238082</t>
  </si>
  <si>
    <t>794859152</t>
  </si>
  <si>
    <t>PG3479.4 R64 Z7185 2012</t>
  </si>
  <si>
    <t>0                      PG 3479400R  64                 Z  7185        2012</t>
  </si>
  <si>
    <t>Iosif Brodskiĭ : problemy poėtiki : sbornik nauchnykh trudov i materialov / redaktory, A.G. Stepanov, I.V. Fomenko, S.I︠U︡. Artëmova.</t>
  </si>
  <si>
    <t>2014-01-28</t>
  </si>
  <si>
    <t>3862364028:rus</t>
  </si>
  <si>
    <t>823520393</t>
  </si>
  <si>
    <t>ocn823520393</t>
  </si>
  <si>
    <t>31034846942</t>
  </si>
  <si>
    <t>9785867939908</t>
  </si>
  <si>
    <t>794937204</t>
  </si>
  <si>
    <t>PG3479.4 R64 Z76513 2011</t>
  </si>
  <si>
    <t>0                      PG 3479400R  64                 Z  76513       2011</t>
  </si>
  <si>
    <t>Joseph Brodsky : a literary life / Lev Loseff ; translated by Jane Ann Miller.</t>
  </si>
  <si>
    <t>Losev, Lev, 1937-2009.</t>
  </si>
  <si>
    <t>New Haven : Yale University Press, ©2011.</t>
  </si>
  <si>
    <t>2014-07-07</t>
  </si>
  <si>
    <t>3901135742:eng</t>
  </si>
  <si>
    <t>601349173</t>
  </si>
  <si>
    <t>ocn601349173</t>
  </si>
  <si>
    <t>3103237487Z</t>
  </si>
  <si>
    <t>9780300141191</t>
  </si>
  <si>
    <t>794815505</t>
  </si>
  <si>
    <t>PG3479.4 R64 Z782 2000</t>
  </si>
  <si>
    <t>0                      PG 3479400R  64                 Z  782         2000</t>
  </si>
  <si>
    <t>Joseph Brodsky and the Soviet muse / David MacFadyen.</t>
  </si>
  <si>
    <t>MacFadyen, David, 1964-</t>
  </si>
  <si>
    <t>Montreal : McGill-Queen's University Press, ©2000.</t>
  </si>
  <si>
    <t>9657932195:eng</t>
  </si>
  <si>
    <t>43317563</t>
  </si>
  <si>
    <t>ocm43317563</t>
  </si>
  <si>
    <t>3102028586E</t>
  </si>
  <si>
    <t>9780773520851</t>
  </si>
  <si>
    <t>793624246</t>
  </si>
  <si>
    <t>PG3479.4 R64 Z837 2014</t>
  </si>
  <si>
    <t>0                      PG 3479400R  64                 Z  837         2014</t>
  </si>
  <si>
    <t>I.A. Brodskiĭ : analiz poėticheskogo teksta / L.A. Kolobaeva.</t>
  </si>
  <si>
    <t>Kolobaeva, L. A., author.</t>
  </si>
  <si>
    <t>Moskva : Russkiĭ impulʹs, 2014.</t>
  </si>
  <si>
    <t>2073757245:rus</t>
  </si>
  <si>
    <t>879321183</t>
  </si>
  <si>
    <t>ocn879321183</t>
  </si>
  <si>
    <t>3103199519E</t>
  </si>
  <si>
    <t>9785902525912</t>
  </si>
  <si>
    <t>794971910</t>
  </si>
  <si>
    <t>PG3479.4 R64 Z8457 2017</t>
  </si>
  <si>
    <t>0                      PG 3479400R  64                 Z  8457        2017</t>
  </si>
  <si>
    <t>Progulki s Brodskim i tak dalee : Iosif Brodskiĭ v filʹme Aleksei︠a︡ Shishova i Eleny I︠A︡kovich.</t>
  </si>
  <si>
    <t>Moskva : Corpus : Izdatelʹstvo AST, 2017.</t>
  </si>
  <si>
    <t>4154244563:rus</t>
  </si>
  <si>
    <t>980317317</t>
  </si>
  <si>
    <t>ocn980317317</t>
  </si>
  <si>
    <t>3103728305S</t>
  </si>
  <si>
    <t>9785170921157</t>
  </si>
  <si>
    <t>795033678</t>
  </si>
  <si>
    <t>PG3479.4 R64 Z846 2017</t>
  </si>
  <si>
    <t>0                      PG 3479400R  64                 Z  846         2017</t>
  </si>
  <si>
    <t>Brodsky among us : a memoir / Ellendea Proffer Teasley.</t>
  </si>
  <si>
    <t>Proffer Teasley, Ellendea, 1944- author.</t>
  </si>
  <si>
    <t>Brighton, MA : Academic Studies Press, 2017.</t>
  </si>
  <si>
    <t>Jews of Russia and Eastern Europe and their legacy</t>
  </si>
  <si>
    <t>3952177944:eng</t>
  </si>
  <si>
    <t>962889695</t>
  </si>
  <si>
    <t>ocn962889695</t>
  </si>
  <si>
    <t>3103740728S</t>
  </si>
  <si>
    <t>9781618115782</t>
  </si>
  <si>
    <t>795024772</t>
  </si>
  <si>
    <t>PG3479.4 R64 Z86 1999</t>
  </si>
  <si>
    <t>0                      PG 3479400R  64                 Z  86          1999</t>
  </si>
  <si>
    <t>Styles of ruin : Joseph Brodsky and the postmodernist elegy / David Rigsbee.</t>
  </si>
  <si>
    <t>Rigsbee, David.</t>
  </si>
  <si>
    <t>Westport, Conn. : Greenwood Press, 1999.</t>
  </si>
  <si>
    <t>Contributions to the study of world literature, 0738-9345 ; no. 93</t>
  </si>
  <si>
    <t>836938704:eng</t>
  </si>
  <si>
    <t>39190006</t>
  </si>
  <si>
    <t>ocm39190006</t>
  </si>
  <si>
    <t>3101952228Y</t>
  </si>
  <si>
    <t>9780313304194</t>
  </si>
  <si>
    <t>793540207</t>
  </si>
  <si>
    <t>PG3479.4 R64 1992</t>
  </si>
  <si>
    <t>0                      PG 3479400R  64          1992</t>
  </si>
  <si>
    <t>Sochinenii︠a︡ Iosifa Brodskogo / [izdanie sostavil i podgotovil G.F. Komarov].</t>
  </si>
  <si>
    <t>Sankt-Peterburg : Pushkinskiĭ fond, 1992-&lt;1995&gt;</t>
  </si>
  <si>
    <t>2864004834:rus</t>
  </si>
  <si>
    <t>29549193</t>
  </si>
  <si>
    <t>ocm29549193</t>
  </si>
  <si>
    <t>31034883523</t>
  </si>
  <si>
    <t>9785860180697</t>
  </si>
  <si>
    <t>793314071</t>
  </si>
  <si>
    <t>3100997334V</t>
  </si>
  <si>
    <t>793314070</t>
  </si>
  <si>
    <t>3101570228N</t>
  </si>
  <si>
    <t>793314068</t>
  </si>
  <si>
    <t>3101305084F</t>
  </si>
  <si>
    <t>793314069</t>
  </si>
  <si>
    <t>PG3479.4 U485 E76 2013</t>
  </si>
  <si>
    <t>0                      PG 3479400U  485                E  76          2013</t>
  </si>
  <si>
    <t>Ermo / I︠U︡riĭ Buĭda.</t>
  </si>
  <si>
    <t>Buĭda, I︠U︡riĭ.</t>
  </si>
  <si>
    <t>Moskva : Ėksmo, 2013.</t>
  </si>
  <si>
    <t>Bolshai︠a︡ literatura</t>
  </si>
  <si>
    <t>1789874097:rus</t>
  </si>
  <si>
    <t>870689871</t>
  </si>
  <si>
    <t>ocn870689871</t>
  </si>
  <si>
    <t>3103557233N</t>
  </si>
  <si>
    <t>9785699681679</t>
  </si>
  <si>
    <t>794966845</t>
  </si>
  <si>
    <t>PG3479.4 U485 I23 2014</t>
  </si>
  <si>
    <t>0                      PG 3479400U  485                I  23          2014</t>
  </si>
  <si>
    <t>I︠A︡d i med / I︠U︡riĭ Buĭda.</t>
  </si>
  <si>
    <t>Buĭda, I︠U︡riĭ, author.</t>
  </si>
  <si>
    <t>Bolʹshai︠a︡ literatura</t>
  </si>
  <si>
    <t>2014-05-31</t>
  </si>
  <si>
    <t>2244496460:rus</t>
  </si>
  <si>
    <t>873559331</t>
  </si>
  <si>
    <t>ocn873559331</t>
  </si>
  <si>
    <t>3103568055G</t>
  </si>
  <si>
    <t>9785699695621</t>
  </si>
  <si>
    <t>794968470</t>
  </si>
  <si>
    <t>PG3479.4 U485 P65 2016</t>
  </si>
  <si>
    <t>0                      PG 3479400U  485                P  65          2016</t>
  </si>
  <si>
    <t>Pokidai︠a︡ Arkadii︠u︡ : kniga peremen : roman / I︠U︡riĭ Buĭda.</t>
  </si>
  <si>
    <t>Bolʹshai︠a︡ literatura. Proza I︠U︡rii︠a︡ Buĭdy</t>
  </si>
  <si>
    <t>3906026083:rus</t>
  </si>
  <si>
    <t>960465308</t>
  </si>
  <si>
    <t>ocn960465308</t>
  </si>
  <si>
    <t>3103699360H</t>
  </si>
  <si>
    <t>9785699907687</t>
  </si>
  <si>
    <t>795023163</t>
  </si>
  <si>
    <t>PG3479.4 U485 P68 2014</t>
  </si>
  <si>
    <t>0                      PG 3479400U  485                P  68          2014</t>
  </si>
  <si>
    <t>Poslanie gospozhe moeĭ levoĭ ruke / I︠U︡riĭ Buĭda.</t>
  </si>
  <si>
    <t>5621413311:rus</t>
  </si>
  <si>
    <t>879571263</t>
  </si>
  <si>
    <t>ocn879571263</t>
  </si>
  <si>
    <t>31031988199</t>
  </si>
  <si>
    <t>9785699707997</t>
  </si>
  <si>
    <t>794972274</t>
  </si>
  <si>
    <t>PG3479.4 U485 S56 2012</t>
  </si>
  <si>
    <t>0                      PG 3479400U  485                S  56          2012</t>
  </si>
  <si>
    <t>Sini︠a︡i︠a︡ krovʹ / I︠U︡riĭ Buĭda.</t>
  </si>
  <si>
    <t>Moskva : ĖKSMO, 2012.</t>
  </si>
  <si>
    <t>Sovremennai︠a︡ russkai︠a︡ klassika</t>
  </si>
  <si>
    <t>1044270831:rus</t>
  </si>
  <si>
    <t>812629699</t>
  </si>
  <si>
    <t>ocn812629699</t>
  </si>
  <si>
    <t>3103478983L</t>
  </si>
  <si>
    <t>9785699536290</t>
  </si>
  <si>
    <t>794931127</t>
  </si>
  <si>
    <t>PG3479.4 U485 S73 2017</t>
  </si>
  <si>
    <t>0                      PG 3479400U  485                S  73          2017</t>
  </si>
  <si>
    <t>Stalen : roman / I︠U︡riĭ Buĭda.</t>
  </si>
  <si>
    <t>2018-11-04</t>
  </si>
  <si>
    <t>4682645716:rus</t>
  </si>
  <si>
    <t>1007107082</t>
  </si>
  <si>
    <t>on1007107082</t>
  </si>
  <si>
    <t>3103760652N</t>
  </si>
  <si>
    <t>9785699995080</t>
  </si>
  <si>
    <t>795043757</t>
  </si>
  <si>
    <t>PG3479.4 U485 T74 2015</t>
  </si>
  <si>
    <t>0                      PG 3479400U  485                T  74          2015</t>
  </si>
  <si>
    <t>T︠S︡eĭlon : roman / I︠U︡riĭ Buĭda.</t>
  </si>
  <si>
    <t>Bolʹshai︠a︡ literatura--Proza I︠U︡rii︠a︡ Buĭdy</t>
  </si>
  <si>
    <t>8865586481:rus</t>
  </si>
  <si>
    <t>927772710</t>
  </si>
  <si>
    <t>ocn927772710</t>
  </si>
  <si>
    <t>3103641574V</t>
  </si>
  <si>
    <t>9785699833719</t>
  </si>
  <si>
    <t>795006046</t>
  </si>
  <si>
    <t>PG3479.4 U485 Z4 2010</t>
  </si>
  <si>
    <t>0                      PG 3479400U  485                Z  4           2010</t>
  </si>
  <si>
    <t>Zhungli / I︠U︡riĭ Buĭda.</t>
  </si>
  <si>
    <t>2013-05-05</t>
  </si>
  <si>
    <t>775234248:rus</t>
  </si>
  <si>
    <t>700252201</t>
  </si>
  <si>
    <t>ocn700252201</t>
  </si>
  <si>
    <t>3103478964P</t>
  </si>
  <si>
    <t>9785699456536</t>
  </si>
  <si>
    <t>794861942</t>
  </si>
  <si>
    <t>PG3479.4 U565 Z46 2015</t>
  </si>
  <si>
    <t>0                      PG 3479400U  565                Z  46          2015</t>
  </si>
  <si>
    <t>Vkratt︠s︡e zhiznʹ / Evgeniĭ Bunimovich.</t>
  </si>
  <si>
    <t>Bunimovich, Evgeniĭ, author.</t>
  </si>
  <si>
    <t>Moskva : Izdatelʹstvo AST : Corpus, 2015.</t>
  </si>
  <si>
    <t>Corpus ; 324</t>
  </si>
  <si>
    <t>2567325460:rus</t>
  </si>
  <si>
    <t>913535484</t>
  </si>
  <si>
    <t>ocn913535484</t>
  </si>
  <si>
    <t>31036593612</t>
  </si>
  <si>
    <t>9785170898732</t>
  </si>
  <si>
    <t>794999450</t>
  </si>
  <si>
    <t>PG3479.4 Y35 N3 2015</t>
  </si>
  <si>
    <t>0                      PG 3479400Y  35                 N  3           2015</t>
  </si>
  <si>
    <t>Na zolotykh dozhdi︠a︡kh / Andreĭ Bychkov.</t>
  </si>
  <si>
    <t>Bychkov, Andreĭ, 1954- author.</t>
  </si>
  <si>
    <t>Moskva : ĖKSMO, 2015.</t>
  </si>
  <si>
    <t>Index Librorum: intellektualʹnai︠a︡ proza dli︠a︡ izbrannykh</t>
  </si>
  <si>
    <t>2508054388:rus</t>
  </si>
  <si>
    <t>908204912</t>
  </si>
  <si>
    <t>ocn908204912</t>
  </si>
  <si>
    <t>3103632443A</t>
  </si>
  <si>
    <t>9785699779178</t>
  </si>
  <si>
    <t>794994397</t>
  </si>
  <si>
    <t>PG3479.4 Y488 A6 2009</t>
  </si>
  <si>
    <t>0                      PG 3479400Y  488                A  6           2009</t>
  </si>
  <si>
    <t>Pisʹma schastʹi︠a︡ : dvadt︠s︡atʹ ballad i drugie stikhotvorenii︠a︡ / Dmitriĭ Bykov.</t>
  </si>
  <si>
    <t>Moskva : "Vagrius", 2009.</t>
  </si>
  <si>
    <t>2015-09-21</t>
  </si>
  <si>
    <t>2862823051:rus</t>
  </si>
  <si>
    <t>320461313</t>
  </si>
  <si>
    <t>ocn320461313</t>
  </si>
  <si>
    <t>3103212809W</t>
  </si>
  <si>
    <t>9785969706491</t>
  </si>
  <si>
    <t>794486309</t>
  </si>
  <si>
    <t>PG3479.4 Y488 K32 2014</t>
  </si>
  <si>
    <t>0                      PG 3479400Y  488                K  32          2014</t>
  </si>
  <si>
    <t>Kvartal : prokhozhdenie / Dmitriĭ Bykov.</t>
  </si>
  <si>
    <t>Moskva : AST, 2014.</t>
  </si>
  <si>
    <t>Proza Dmitrii︠a︡ Bykova</t>
  </si>
  <si>
    <t>1783199858:rus</t>
  </si>
  <si>
    <t>870310025</t>
  </si>
  <si>
    <t>ocn870310025</t>
  </si>
  <si>
    <t>31035531501</t>
  </si>
  <si>
    <t>9785170822621</t>
  </si>
  <si>
    <t>794966394</t>
  </si>
  <si>
    <t>PG3479.4 Y488 N68 2010</t>
  </si>
  <si>
    <t>0                      PG 3479400Y  488                N  68          2010</t>
  </si>
  <si>
    <t>Novye pisʹma schastʹi︠a︡ / Dmitriĭ Bykov.</t>
  </si>
  <si>
    <t>Bykov, Dmitriĭ, 1967-</t>
  </si>
  <si>
    <t>Serii︠a︡ "Poėticheskai︠a︡ biblioteka"</t>
  </si>
  <si>
    <t>3860335640:rus</t>
  </si>
  <si>
    <t>639949154</t>
  </si>
  <si>
    <t>ocn639949154</t>
  </si>
  <si>
    <t>3103294910G</t>
  </si>
  <si>
    <t>9785969105164</t>
  </si>
  <si>
    <t>794827140</t>
  </si>
  <si>
    <t>PG3479.4 Y488 O66 2010</t>
  </si>
  <si>
    <t>0                      PG 3479400Y  488                O  66          2010</t>
  </si>
  <si>
    <t>Opravdanie : roman / Dmitriĭ Bykov.</t>
  </si>
  <si>
    <t>Moskva : PROZiK, 2010.</t>
  </si>
  <si>
    <t>36180338:rus</t>
  </si>
  <si>
    <t>659524559</t>
  </si>
  <si>
    <t>ocn659524559</t>
  </si>
  <si>
    <t>3103294929E</t>
  </si>
  <si>
    <t>9785916310719</t>
  </si>
  <si>
    <t>794836346</t>
  </si>
  <si>
    <t>PG3479.4 Y488 O78 2011</t>
  </si>
  <si>
    <t>0                      PG 3479400Y  488                O  78          2011</t>
  </si>
  <si>
    <t>Ostromov, ili Uchenik charodei︠a︡ : posobie po levitat︠s︡ii / Dmitriĭ Bykov.</t>
  </si>
  <si>
    <t>2012-10-16</t>
  </si>
  <si>
    <t>5617043205:rus</t>
  </si>
  <si>
    <t>730288597</t>
  </si>
  <si>
    <t>ocn730288597</t>
  </si>
  <si>
    <t>31033938607</t>
  </si>
  <si>
    <t>9785916311075</t>
  </si>
  <si>
    <t>794879972</t>
  </si>
  <si>
    <t>PG3479.4 Y488 S54 2013</t>
  </si>
  <si>
    <t>0                      PG 3479400Y  488                S  54          2013</t>
  </si>
  <si>
    <t>Signaly : Roman / Dmitriĭ Bykov.</t>
  </si>
  <si>
    <t>(O;TB)</t>
  </si>
  <si>
    <t>Moskva : ĖKSMO, 2013.</t>
  </si>
  <si>
    <t>Laureaty literaturnykh premiĭ</t>
  </si>
  <si>
    <t>3864042238:rus</t>
  </si>
  <si>
    <t>867177645</t>
  </si>
  <si>
    <t>ocn867177645</t>
  </si>
  <si>
    <t>31031993876</t>
  </si>
  <si>
    <t>9785699685011</t>
  </si>
  <si>
    <t>794963874</t>
  </si>
  <si>
    <t>PG3479.5 H3494 D65 2012</t>
  </si>
  <si>
    <t>0                      PG 3479500H  3494               D  65          2012</t>
  </si>
  <si>
    <t>Don Ivan : roman / Alan Cherchesov.</t>
  </si>
  <si>
    <t>Cherchesov, Alan, author.</t>
  </si>
  <si>
    <t>1118377913:rus</t>
  </si>
  <si>
    <t>794749339</t>
  </si>
  <si>
    <t>ocn794749339</t>
  </si>
  <si>
    <t>3103473423V</t>
  </si>
  <si>
    <t>9785271392603</t>
  </si>
  <si>
    <t>794920466</t>
  </si>
  <si>
    <t>PG3479.5 H3494 R4513 2005</t>
  </si>
  <si>
    <t>0                      PG 3479500H  3494               R  4513        2005</t>
  </si>
  <si>
    <t>Requiem for the living : a novel / Alan Cherchesov ; translated by Subhi Shervell.</t>
  </si>
  <si>
    <t>Cherchesov, Alan.</t>
  </si>
  <si>
    <t>[Moscow] : GLAS ; Chicago : Distributed in North America by Nortwestern University Press, ©2005.</t>
  </si>
  <si>
    <t>Glas new Russian writing : contemporary Russian literature in English translation ; v. 36</t>
  </si>
  <si>
    <t>2908689608:eng</t>
  </si>
  <si>
    <t>60361046</t>
  </si>
  <si>
    <t>ocm60361046</t>
  </si>
  <si>
    <t>3102479310J</t>
  </si>
  <si>
    <t>9785717200707</t>
  </si>
  <si>
    <t>793936073</t>
  </si>
  <si>
    <t>PG3479.5 H4255 V4 2012</t>
  </si>
  <si>
    <t>0                      PG 3479500H  4255               V  4           2012</t>
  </si>
  <si>
    <t>Vernostʹ i revnostʹ : rasskaz v romanakh / Dmitriĭ Chërnyĭ.</t>
  </si>
  <si>
    <t>Chernyĭ, Dmitriĭ.</t>
  </si>
  <si>
    <t>Moskva : OGI, 2012.</t>
  </si>
  <si>
    <t>1414827671:rus</t>
  </si>
  <si>
    <t>794822632</t>
  </si>
  <si>
    <t>ocn794822632</t>
  </si>
  <si>
    <t>3103440410N</t>
  </si>
  <si>
    <t>9785942826482</t>
  </si>
  <si>
    <t>794920551</t>
  </si>
  <si>
    <t>PG3479.5 H463 I22 1998</t>
  </si>
  <si>
    <t>0                      PG 3479500H  463                I  22          1998</t>
  </si>
  <si>
    <t>I vse-taki i︠a︡ byl poėtom-- : Boris Chichibabin v stikhakh i proze.</t>
  </si>
  <si>
    <t>Chichibabin, Boris.</t>
  </si>
  <si>
    <t>Kharʹkov : "Folio" : SP "Karavella", 1998.</t>
  </si>
  <si>
    <t>2016-02-21</t>
  </si>
  <si>
    <t>1151976967:rus</t>
  </si>
  <si>
    <t>39509694</t>
  </si>
  <si>
    <t>ocm39509694</t>
  </si>
  <si>
    <t>3101904025V</t>
  </si>
  <si>
    <t>9789660303249</t>
  </si>
  <si>
    <t>793547416</t>
  </si>
  <si>
    <t>PG3479.5 H463 Z93 1998</t>
  </si>
  <si>
    <t>0                      PG 3479500H  463                Z  93          1998</t>
  </si>
  <si>
    <t>Vsemu zhivomu ne chuzhoĭ-- : Boris Chichibabin v statʹi︠a︡kh i vospominanii︠a︡kh / [sostaviteli, M.I. Bogoslavskiĭ, L.S. Karasʹ-Chichibabina, B.I︠A︡. Ladenzon].</t>
  </si>
  <si>
    <t>Kharʹkov : "Folio", 1998.</t>
  </si>
  <si>
    <t>42569266:rus</t>
  </si>
  <si>
    <t>39793288</t>
  </si>
  <si>
    <t>ocm39793288</t>
  </si>
  <si>
    <t>3101915470$</t>
  </si>
  <si>
    <t>9789660303256</t>
  </si>
  <si>
    <t>793553513</t>
  </si>
  <si>
    <t>PG3479.6 A839 B86 2015</t>
  </si>
  <si>
    <t>0                      PG 3479600A  839                B  86          2015</t>
  </si>
  <si>
    <t>Bumazhnyĭ geroĭ : Filosofichnye povesti A.K. / Aleksandr Davydov.</t>
  </si>
  <si>
    <t>Davydov, Aleksandr, author.</t>
  </si>
  <si>
    <t>2465853487:rus</t>
  </si>
  <si>
    <t>904800407</t>
  </si>
  <si>
    <t>ocn904800407</t>
  </si>
  <si>
    <t>3103687463N</t>
  </si>
  <si>
    <t>9785969112827</t>
  </si>
  <si>
    <t>794990795</t>
  </si>
  <si>
    <t>PG3479.6 M48 K74 2012</t>
  </si>
  <si>
    <t>0                      PG 3479600M  48                 K  74          2012</t>
  </si>
  <si>
    <t>Krestʹi︠a︡nin i tineĭdzher / Andreĭ Dmitriev.</t>
  </si>
  <si>
    <t>Dmitriev, Andreĭ, 1956-</t>
  </si>
  <si>
    <t>Moskva : Vremi︠a︡, 2012.</t>
  </si>
  <si>
    <t>2909359945:rus</t>
  </si>
  <si>
    <t>793419725</t>
  </si>
  <si>
    <t>ocn793419725</t>
  </si>
  <si>
    <t>3103478335C</t>
  </si>
  <si>
    <t>9785969107700</t>
  </si>
  <si>
    <t>794918174</t>
  </si>
  <si>
    <t>PG3479.6 O414 R63 2016</t>
  </si>
  <si>
    <t>0                      PG 3479600O  414                R  63          2016</t>
  </si>
  <si>
    <t>Rodina / Elena Dolgopi︠a︡t.</t>
  </si>
  <si>
    <t>Dolgopi︠a︡t, Elena, author.</t>
  </si>
  <si>
    <t>Moskva : RIPOL klassik, 2016.</t>
  </si>
  <si>
    <t>Chto pochitatʹ?</t>
  </si>
  <si>
    <t>4717380827:rus</t>
  </si>
  <si>
    <t>972885012</t>
  </si>
  <si>
    <t>ocn972885012</t>
  </si>
  <si>
    <t>3103863160M</t>
  </si>
  <si>
    <t>9785386094867</t>
  </si>
  <si>
    <t>795028865</t>
  </si>
  <si>
    <t>PG3479.6 O417 S47 2018</t>
  </si>
  <si>
    <t>0                      PG 3479600O  417                S  47          2018</t>
  </si>
  <si>
    <t>Serebri︠a︡nyĭ mizinet︠s︡ / Veronika Dolina.</t>
  </si>
  <si>
    <t>Dolina, Veronika, author.</t>
  </si>
  <si>
    <t>Moskva : Vremi︠a︡, 2018.</t>
  </si>
  <si>
    <t>4678811369:rus</t>
  </si>
  <si>
    <t>1015965292</t>
  </si>
  <si>
    <t>on1015965292</t>
  </si>
  <si>
    <t>3103879973J</t>
  </si>
  <si>
    <t>9785969116573</t>
  </si>
  <si>
    <t>795048246</t>
  </si>
  <si>
    <t>PG3479.6 O684 V95 2011</t>
  </si>
  <si>
    <t>0                      PG 3479600O  684                V  95          2011</t>
  </si>
  <si>
    <t>Vykidysh : dramaticheskai︠a︡ povestʹ / Vladislav Dorofeev.</t>
  </si>
  <si>
    <t>Dorofeev, Vladislav.</t>
  </si>
  <si>
    <t>923773537:rus</t>
  </si>
  <si>
    <t>739837308</t>
  </si>
  <si>
    <t>ocn739837308</t>
  </si>
  <si>
    <t>3103393529O</t>
  </si>
  <si>
    <t>9785170717521</t>
  </si>
  <si>
    <t>794883052</t>
  </si>
  <si>
    <t>PG3479.6 O85 C5 1986</t>
  </si>
  <si>
    <t>0                      PG 3479600O  85                 C  5           1986</t>
  </si>
  <si>
    <t>Chemodan / Sergeĭ Dovlatov.</t>
  </si>
  <si>
    <t>Dovlatov, Sergeĭ.</t>
  </si>
  <si>
    <t>Tenafly, N.J., USA : Ėrmitazh, 1986.</t>
  </si>
  <si>
    <t>6235579:rus</t>
  </si>
  <si>
    <t>13360924</t>
  </si>
  <si>
    <t>ocm13360924</t>
  </si>
  <si>
    <t>3101565900Z</t>
  </si>
  <si>
    <t>9780938920700</t>
  </si>
  <si>
    <t>792850163</t>
  </si>
  <si>
    <t>PG3479.6 O85 I58</t>
  </si>
  <si>
    <t>0                      PG 3479600O  85                 I  58</t>
  </si>
  <si>
    <t>The invisible book : (epilogue) / Sergei Dovlatov ; translated by Katherine O'Connor and Diana L. Burgin.</t>
  </si>
  <si>
    <t>2019-01-19</t>
  </si>
  <si>
    <t>890154794:eng</t>
  </si>
  <si>
    <t>5195249</t>
  </si>
  <si>
    <t>ocm05195249</t>
  </si>
  <si>
    <t>3000442937R</t>
  </si>
  <si>
    <t>9780882332857</t>
  </si>
  <si>
    <t>792415112</t>
  </si>
  <si>
    <t>PG3479.6 O85 P8713 2014</t>
  </si>
  <si>
    <t>0                      PG 3479600O  85                 P  8713        2014</t>
  </si>
  <si>
    <t>Pushkin hills / Sergeĭ Dovlatov ; translated by Katherine Dovlatov.</t>
  </si>
  <si>
    <t>Berkeley, CA : Counterpoint, [2013]</t>
  </si>
  <si>
    <t>2014-08-13</t>
  </si>
  <si>
    <t>4495209599:eng</t>
  </si>
  <si>
    <t>852223474</t>
  </si>
  <si>
    <t>ocn852223474</t>
  </si>
  <si>
    <t>31035315587</t>
  </si>
  <si>
    <t>9781619022454</t>
  </si>
  <si>
    <t>794951247</t>
  </si>
  <si>
    <t>PG3479.6 O85 Z39 1982</t>
  </si>
  <si>
    <t>0                      PG 3479600O  85                 Z  39          1982</t>
  </si>
  <si>
    <t>Zona : zapiski nadzirateli︠a︡ / Sergeĭ Dovlatov.</t>
  </si>
  <si>
    <t>Ann Arbor, MI : Ėrmitazh, 1982.</t>
  </si>
  <si>
    <t>3901308460:rus</t>
  </si>
  <si>
    <t>8728440</t>
  </si>
  <si>
    <t>ocm08728440</t>
  </si>
  <si>
    <t>31033164846</t>
  </si>
  <si>
    <t>9780938920236</t>
  </si>
  <si>
    <t>792637913</t>
  </si>
  <si>
    <t>PG3479.6 O85 Z3913 1985</t>
  </si>
  <si>
    <t>0                      PG 3479600O  85                 Z  3913        1985</t>
  </si>
  <si>
    <t>The zone : a prison camp guard's story / by Sergei Dovlatov ; translated from the Russian by Anne Frydman.</t>
  </si>
  <si>
    <t>New York, N.Y. : A.A. Knopf, 1985.</t>
  </si>
  <si>
    <t>2016-12-17</t>
  </si>
  <si>
    <t>1152031721:eng</t>
  </si>
  <si>
    <t>12163164</t>
  </si>
  <si>
    <t>ocm12163164</t>
  </si>
  <si>
    <t>3102510287V</t>
  </si>
  <si>
    <t>9780394535227</t>
  </si>
  <si>
    <t>792804469</t>
  </si>
  <si>
    <t>PG3479.6 O85 Z3913 2011</t>
  </si>
  <si>
    <t>0                      PG 3479600O  85                 Z  3913        2011</t>
  </si>
  <si>
    <t>The zone / Sergei Dovlatov ; translated by Anne Frydman ; edited by Katherine Dovlatov.</t>
  </si>
  <si>
    <t>751806588</t>
  </si>
  <si>
    <t>ocn751806588</t>
  </si>
  <si>
    <t>31033810901</t>
  </si>
  <si>
    <t>9781847491985</t>
  </si>
  <si>
    <t>794891152</t>
  </si>
  <si>
    <t>PG3479.6 O85 Z48 2003</t>
  </si>
  <si>
    <t>0                      PG 3479600O  85                 Z  48          2003</t>
  </si>
  <si>
    <t>Skvozʹ dzhungli bezumnoĭ zhizni : pisʹma k rodnym i druzʹi︠a︡m / Sergeĭ Dovlatov ; [sostavitelʹ, A.I︠U︡. Arʹev].</t>
  </si>
  <si>
    <t>Sankt-Peterburg : Zvezda, 2003.</t>
  </si>
  <si>
    <t>2018-02-01</t>
  </si>
  <si>
    <t>4434008258:rus</t>
  </si>
  <si>
    <t>53238682</t>
  </si>
  <si>
    <t>ocm53238682</t>
  </si>
  <si>
    <t>31024660128</t>
  </si>
  <si>
    <t>9785942140236</t>
  </si>
  <si>
    <t>793824429</t>
  </si>
  <si>
    <t>PG3479.6 O85 Z85 2001</t>
  </si>
  <si>
    <t>0                      PG 3479600O  85                 Z  85          2001</t>
  </si>
  <si>
    <t>Kogda sluchilosʹ petʹ S.D. i mne / Asi︠a︡ Pekurovskai︠a︡.</t>
  </si>
  <si>
    <t>Pekurovskai︠a︡, Asi︠a︡.</t>
  </si>
  <si>
    <t>Sankt-Peterburg : Symposium, 2001.</t>
  </si>
  <si>
    <t>37504721:rus</t>
  </si>
  <si>
    <t>47986193</t>
  </si>
  <si>
    <t>ocm47986193</t>
  </si>
  <si>
    <t>3102457639O</t>
  </si>
  <si>
    <t>9785890911605</t>
  </si>
  <si>
    <t>793712824</t>
  </si>
  <si>
    <t>PG3479.6 R28 U78 2013</t>
  </si>
  <si>
    <t>0                      PG 3479600R  28                 U  78          2013</t>
  </si>
  <si>
    <t>Ustranenie neizvestnogo / Arkadiĭ Dragomoshchenko ; vstup. statʹi︠a︡ A. Skidana.</t>
  </si>
  <si>
    <t>Dragomoshchenko, A. (Arkadiĭ), author.</t>
  </si>
  <si>
    <t>4440858032:rus</t>
  </si>
  <si>
    <t>861181906</t>
  </si>
  <si>
    <t>ocn861181906</t>
  </si>
  <si>
    <t>3103586046G</t>
  </si>
  <si>
    <t>9785444801086</t>
  </si>
  <si>
    <t>794958832</t>
  </si>
  <si>
    <t>PG3479.7 D43 A62 1989</t>
  </si>
  <si>
    <t>0                      PG 3479700D  43                 A  62          1989</t>
  </si>
  <si>
    <t>Antrakt : romany i povesti / I︠U︡liu Ėdlis.</t>
  </si>
  <si>
    <t>Ėdlis, I︠U︡liu.</t>
  </si>
  <si>
    <t>Moskva : Sov. pisatelʹ, 1989.</t>
  </si>
  <si>
    <t>291247315:rus</t>
  </si>
  <si>
    <t>20542593</t>
  </si>
  <si>
    <t>ocm20542593</t>
  </si>
  <si>
    <t>31022279493</t>
  </si>
  <si>
    <t>9785265006615</t>
  </si>
  <si>
    <t>793091033</t>
  </si>
  <si>
    <t>PG3479.7 K5 O84 2016</t>
  </si>
  <si>
    <t>0                      PG 3479700K  5                  O  84          2016</t>
  </si>
  <si>
    <t>Osenʹ v Zadonʹe : povestʹ o zemle i li︠u︡di︠a︡kh / Boris Ekimov.</t>
  </si>
  <si>
    <t>Ekimov, Boris, author.</t>
  </si>
  <si>
    <t>Moskva : Nikei︠a︡, 2016.</t>
  </si>
  <si>
    <t>3028896520:rus</t>
  </si>
  <si>
    <t>950001663</t>
  </si>
  <si>
    <t>ocn950001663</t>
  </si>
  <si>
    <t>3103659391U</t>
  </si>
  <si>
    <t>9785917613222</t>
  </si>
  <si>
    <t>795016484</t>
  </si>
  <si>
    <t>PG3479.7 L528 B53 2015</t>
  </si>
  <si>
    <t>0                      PG 3479700L  528                B  53          2015</t>
  </si>
  <si>
    <t>The librarian / Mikhail Elizarov ; translated from the Russian by Andrew Bromfield.</t>
  </si>
  <si>
    <t>Elizarov, Mikhail, author.</t>
  </si>
  <si>
    <t>London : Pushkin Press, 2015.</t>
  </si>
  <si>
    <t>285229178:eng</t>
  </si>
  <si>
    <t>870426374</t>
  </si>
  <si>
    <t>ocn870426374</t>
  </si>
  <si>
    <t>31037389877</t>
  </si>
  <si>
    <t>9781782270270</t>
  </si>
  <si>
    <t>794966516</t>
  </si>
  <si>
    <t>PG3479.7 L528 M85 2010</t>
  </si>
  <si>
    <t>0                      PG 3479700L  528                M  85          2010</t>
  </si>
  <si>
    <t>Mulʹtiki / Mikhail Elizarov.</t>
  </si>
  <si>
    <t>Elizarov, Mikhail.</t>
  </si>
  <si>
    <t>Laureat premii "Russkiĭ buker"</t>
  </si>
  <si>
    <t>2011-04-30</t>
  </si>
  <si>
    <t>480450198:rus</t>
  </si>
  <si>
    <t>613658636</t>
  </si>
  <si>
    <t>ocn613658636</t>
  </si>
  <si>
    <t>3103300595U</t>
  </si>
  <si>
    <t>9785170658091</t>
  </si>
  <si>
    <t>794822292</t>
  </si>
  <si>
    <t>PG3479.7 P67 L38 2010</t>
  </si>
  <si>
    <t>0                      PG 3479700P  67                 L  38          2010</t>
  </si>
  <si>
    <t>Latunnai︠a︡ luna : [rasskazy] / Asar Ėppelʹ.</t>
  </si>
  <si>
    <t>Ėppelʹ, A.</t>
  </si>
  <si>
    <t>Moskva : Astrelʹ : CORPUS, 2010.</t>
  </si>
  <si>
    <t>2012-07-02</t>
  </si>
  <si>
    <t>774294788:rus</t>
  </si>
  <si>
    <t>699807258</t>
  </si>
  <si>
    <t>ocn699807258</t>
  </si>
  <si>
    <t>3103393427R</t>
  </si>
  <si>
    <t>9785271312045</t>
  </si>
  <si>
    <t>794861629</t>
  </si>
  <si>
    <t>PG3479.7 R48 V65 2016</t>
  </si>
  <si>
    <t>0                      PG 3479700R  48                 V  65          2016</t>
  </si>
  <si>
    <t>Vokrug sveta : roman / Oleg Ermakov.</t>
  </si>
  <si>
    <t>Ermakov, O. (Oleg), author.</t>
  </si>
  <si>
    <t>Moskva : Ripol klassik, 2016.</t>
  </si>
  <si>
    <t>Dlinnyĭ spisok premii "Bolʹshai︠a︡ kniga"</t>
  </si>
  <si>
    <t>3822738689:rus</t>
  </si>
  <si>
    <t>957527556</t>
  </si>
  <si>
    <t>ocn957527556</t>
  </si>
  <si>
    <t>3103699395Z</t>
  </si>
  <si>
    <t>9785386093334</t>
  </si>
  <si>
    <t>795021049</t>
  </si>
  <si>
    <t>PG3479.7 R58 E58 1999</t>
  </si>
  <si>
    <t>0                      PG 3479700R  58                 E  58          1999</t>
  </si>
  <si>
    <t>Ėnt︠s︡iklopedii︠a︡ russkoĭ dushi : roman s ėnt︠s︡iklopedieĭ / Viktor Erofeev.</t>
  </si>
  <si>
    <t>Moskva : Podkova : Dekont+, 1999.</t>
  </si>
  <si>
    <t>2016-01-04</t>
  </si>
  <si>
    <t>6150314:rus</t>
  </si>
  <si>
    <t>44318514</t>
  </si>
  <si>
    <t>ocm44318514</t>
  </si>
  <si>
    <t>3102387993V</t>
  </si>
  <si>
    <t>9785895350171</t>
  </si>
  <si>
    <t>793645057</t>
  </si>
  <si>
    <t>PG3479.7 R58 M89 1997</t>
  </si>
  <si>
    <t>0                      PG 3479700R  58                 M  89          1997</t>
  </si>
  <si>
    <t>Muzhchiny / Viktor Erofeev.</t>
  </si>
  <si>
    <t>Moskva : Podkova, 1997.</t>
  </si>
  <si>
    <t>2019-03-22</t>
  </si>
  <si>
    <t>2945949270:rus</t>
  </si>
  <si>
    <t>39291186</t>
  </si>
  <si>
    <t>ocm39291186</t>
  </si>
  <si>
    <t>3101830974S</t>
  </si>
  <si>
    <t>9785895170038</t>
  </si>
  <si>
    <t>793542970</t>
  </si>
  <si>
    <t>PG3479.7 R58 R87 1994</t>
  </si>
  <si>
    <t>0                      PG 3479700R  58                 R  87          1994</t>
  </si>
  <si>
    <t>Russkai︠a︡ krasavit︠s︡a : roman, rasskazy / Viktor Erofeev.</t>
  </si>
  <si>
    <t>Moskva : Soi︠u︡z fotokhudozhnikov Rossii : "Molodai︠a︡ gvardii︠a︡", 1994.</t>
  </si>
  <si>
    <t>4916308231:rus</t>
  </si>
  <si>
    <t>32019931</t>
  </si>
  <si>
    <t>ocm32019931</t>
  </si>
  <si>
    <t>3103425773T</t>
  </si>
  <si>
    <t>9785723100121</t>
  </si>
  <si>
    <t>793373662</t>
  </si>
  <si>
    <t>PG3479.7 R58 Z3613 2004</t>
  </si>
  <si>
    <t>0                      PG 3479700R  58                 Z  3613        2004</t>
  </si>
  <si>
    <t>Life with an idiot / Victor Erofeyev ; translated by Andrew Reynolds.</t>
  </si>
  <si>
    <t>New York : Penguin, 2004.</t>
  </si>
  <si>
    <t>2016-11-30</t>
  </si>
  <si>
    <t>1102531760:eng</t>
  </si>
  <si>
    <t>55665285</t>
  </si>
  <si>
    <t>ocm55665285</t>
  </si>
  <si>
    <t>3102469106W</t>
  </si>
  <si>
    <t>9780140236217</t>
  </si>
  <si>
    <t>793880410</t>
  </si>
  <si>
    <t>PG3479.7 R59 M6 1986</t>
  </si>
  <si>
    <t>0                      PG 3479700R  59                 M  6           1986</t>
  </si>
  <si>
    <t>Moskva-Petushki : poėma / Venedikt Erofeev.</t>
  </si>
  <si>
    <t>Erofeev, Venedikt, 1938-1990.</t>
  </si>
  <si>
    <t>Moskva : "Interbuk", 1990.</t>
  </si>
  <si>
    <t>2005-01-17</t>
  </si>
  <si>
    <t>10141695404:rus</t>
  </si>
  <si>
    <t>24679113</t>
  </si>
  <si>
    <t>ocm24679113</t>
  </si>
  <si>
    <t>3101183905E</t>
  </si>
  <si>
    <t>793203586</t>
  </si>
  <si>
    <t>3101018402R</t>
  </si>
  <si>
    <t>793203587</t>
  </si>
  <si>
    <t>PG3479.7 R59 M6 2000</t>
  </si>
  <si>
    <t>0                      PG 3479700R  59                 M  6           2000</t>
  </si>
  <si>
    <t>Moskva-Petushki / Venedikt Erofeev. Bessmertnai︠a︡ poėma Venedikta Erofeeva "Moskva-Petushki" / Ėduard Vlasov.</t>
  </si>
  <si>
    <t>5618952679:rus</t>
  </si>
  <si>
    <t>44072138</t>
  </si>
  <si>
    <t>ocm44072138</t>
  </si>
  <si>
    <t>3102466671F</t>
  </si>
  <si>
    <t>9785264001987</t>
  </si>
  <si>
    <t>793641763</t>
  </si>
  <si>
    <t>PG3479.7 R59 M613</t>
  </si>
  <si>
    <t>0                      PG 3479700R  59                 M  613</t>
  </si>
  <si>
    <t>Moscow circles / Benedict Erofeev ; translated from the Russian by J.R. Dorrell.</t>
  </si>
  <si>
    <t>London, England : Writers and Readers Pub. Cooperative, 1981.</t>
  </si>
  <si>
    <t>Writers &amp; reading</t>
  </si>
  <si>
    <t>2016-04-04</t>
  </si>
  <si>
    <t>9593399038:eng</t>
  </si>
  <si>
    <t>8482790</t>
  </si>
  <si>
    <t>ocm08482790</t>
  </si>
  <si>
    <t>3000334982P</t>
  </si>
  <si>
    <t>9780906495261</t>
  </si>
  <si>
    <t>792622203</t>
  </si>
  <si>
    <t>PG3479.7 R59 M613 1994</t>
  </si>
  <si>
    <t>0                      PG 3479700R  59                 M  613         1994</t>
  </si>
  <si>
    <t>Moscow to the end of the line / Venedikt Erofeev ; translated by H. William Tjalsma.</t>
  </si>
  <si>
    <t>2018-08-16</t>
  </si>
  <si>
    <t>30544124</t>
  </si>
  <si>
    <t>ocm30544124</t>
  </si>
  <si>
    <t>3103004987M</t>
  </si>
  <si>
    <t>9780810112001</t>
  </si>
  <si>
    <t>793338310</t>
  </si>
  <si>
    <t>PG3479.7 R59 M613 1997</t>
  </si>
  <si>
    <t>0                      PG 3479700R  59                 M  613         1997</t>
  </si>
  <si>
    <t>Moscow stations : a poem / Venedikt Yerofeev ; translated by Stephen Mulrine.</t>
  </si>
  <si>
    <t>London : Faber and Faber in association with Brian Brolly, 1997.</t>
  </si>
  <si>
    <t>2019-11-27</t>
  </si>
  <si>
    <t>38438577</t>
  </si>
  <si>
    <t>ocm38438577</t>
  </si>
  <si>
    <t>3101810641U</t>
  </si>
  <si>
    <t>9780571190041</t>
  </si>
  <si>
    <t>793523932</t>
  </si>
  <si>
    <t>PG3479.7 R59 M614</t>
  </si>
  <si>
    <t>0                      PG 3479700R  59                 M  614</t>
  </si>
  <si>
    <t>Moscou-Pétouchki / Vénédict Eroféiev ; traduit du russe par Annie Sabatier et Antoine Pingaud ; postface de Michel Heller.</t>
  </si>
  <si>
    <t>Paris : A. Michel, ©1976.</t>
  </si>
  <si>
    <t>Les Grandes traductions</t>
  </si>
  <si>
    <t>10141695404:fre</t>
  </si>
  <si>
    <t>2427574</t>
  </si>
  <si>
    <t>ocm02427574</t>
  </si>
  <si>
    <t>3000410935M</t>
  </si>
  <si>
    <t>9782226002532</t>
  </si>
  <si>
    <t>792120661</t>
  </si>
  <si>
    <t>PG3479.7 R59 M638 1997</t>
  </si>
  <si>
    <t>0                      PG 3479700R  59                 M  638         1997</t>
  </si>
  <si>
    <t>Venedikt Erofeev's Moscow-Petushki : critical perspectives / Karen Ryan-Hayes, editor.</t>
  </si>
  <si>
    <t>Middlebury studies in Russian language and literature ; v. 14</t>
  </si>
  <si>
    <t>890584371:eng</t>
  </si>
  <si>
    <t>35243539</t>
  </si>
  <si>
    <t>ocm35243539</t>
  </si>
  <si>
    <t>3101846798N</t>
  </si>
  <si>
    <t>9780820436661</t>
  </si>
  <si>
    <t>793447699</t>
  </si>
  <si>
    <t>PG3479.7 S38 S77 2016</t>
  </si>
  <si>
    <t>0                      PG 3479700S  38                 S  77          2016</t>
  </si>
  <si>
    <t>Strasti po Bulgakovu : v 2-kh tomakh / Valeriĭ Esenkov.</t>
  </si>
  <si>
    <t>Esenkov, Valeriĭ, author.</t>
  </si>
  <si>
    <t>Moskva : Raritet, 2016.</t>
  </si>
  <si>
    <t>Strasti po Bulgakovu : v 2-kh tomakh ; 2</t>
  </si>
  <si>
    <t>3775892794:rus</t>
  </si>
  <si>
    <t>956380681</t>
  </si>
  <si>
    <t>ocn956380681</t>
  </si>
  <si>
    <t>3103659429V</t>
  </si>
  <si>
    <t>9785857351932</t>
  </si>
  <si>
    <t>795020075</t>
  </si>
  <si>
    <t>3103659419Y</t>
  </si>
  <si>
    <t>795020076</t>
  </si>
  <si>
    <t>PG3479.7 V7693 A6 2016</t>
  </si>
  <si>
    <t>0                      PG 3479700V  7693               A  6           2016</t>
  </si>
  <si>
    <t>Kaznënnyĭ kolokol / Boris Evseev.</t>
  </si>
  <si>
    <t>Evseev, Boris, 1954- author.</t>
  </si>
  <si>
    <t>Stranstvii︠a︡ dushi, proza Borisa Evseeva</t>
  </si>
  <si>
    <t>4053093110:rus</t>
  </si>
  <si>
    <t>971206405</t>
  </si>
  <si>
    <t>ocn971206405</t>
  </si>
  <si>
    <t>3103728310Z</t>
  </si>
  <si>
    <t>9785699927616</t>
  </si>
  <si>
    <t>795028073</t>
  </si>
  <si>
    <t>PG3479.7 V7693 E97 2010</t>
  </si>
  <si>
    <t>0                      PG 3479700V  7693               E  97          2010</t>
  </si>
  <si>
    <t>Evstigneĭ : roman-versii︠a︡ / Boris Evseev.</t>
  </si>
  <si>
    <t>Evseev, Boris, 1954-</t>
  </si>
  <si>
    <t>Samoe vremi︠a︡</t>
  </si>
  <si>
    <t>2012-05-22</t>
  </si>
  <si>
    <t>659516180:rus</t>
  </si>
  <si>
    <t>665067682</t>
  </si>
  <si>
    <t>ocn665067682</t>
  </si>
  <si>
    <t>3103393533M</t>
  </si>
  <si>
    <t>9785969105669</t>
  </si>
  <si>
    <t>794844538</t>
  </si>
  <si>
    <t>PG3479.7 V7693 O35 2016</t>
  </si>
  <si>
    <t>0                      PG 3479700V  7693               O  35          2016</t>
  </si>
  <si>
    <t>Ofirskiĭ skvoret︠s︡ : sbornik / Boris Evseev.</t>
  </si>
  <si>
    <t>Stranstvii︠a︡ dushi. Proza Borisa Evseeva</t>
  </si>
  <si>
    <t>3470039180:rus</t>
  </si>
  <si>
    <t>953576796</t>
  </si>
  <si>
    <t>ocn953576796</t>
  </si>
  <si>
    <t>3103659390W</t>
  </si>
  <si>
    <t>9785699865932</t>
  </si>
  <si>
    <t>795018838</t>
  </si>
  <si>
    <t>PG3479.7 V7693 P53 2013</t>
  </si>
  <si>
    <t>0                      PG 3479700V  7693               P  53          2013</t>
  </si>
  <si>
    <t>Plamenei︠u︡shchiĭ vozdukh : Istorii︠a︡ odnoĭ metamorfozy: Roman / Boris Evseev.</t>
  </si>
  <si>
    <t>1888979675:rus</t>
  </si>
  <si>
    <t>879984424</t>
  </si>
  <si>
    <t>ocn879984424</t>
  </si>
  <si>
    <t>31035865333</t>
  </si>
  <si>
    <t>9785969108721</t>
  </si>
  <si>
    <t>794972669</t>
  </si>
  <si>
    <t>PG3481 A426 A27 1983</t>
  </si>
  <si>
    <t>0                      PG 3481000A  426                A  27          1983</t>
  </si>
  <si>
    <t>Songs &amp; poems / Alexander Galich ; translated &amp; edited by Gerald Stanton Smith.</t>
  </si>
  <si>
    <t>Galich, Aleksandr, 1918-1977, author.</t>
  </si>
  <si>
    <t>2018-05-20</t>
  </si>
  <si>
    <t>3768511492:eng</t>
  </si>
  <si>
    <t>9828391</t>
  </si>
  <si>
    <t>ocm09828391</t>
  </si>
  <si>
    <t>3103639040Y</t>
  </si>
  <si>
    <t>9780882339528</t>
  </si>
  <si>
    <t>792695584</t>
  </si>
  <si>
    <t>PG3481 A4353 A97 2015</t>
  </si>
  <si>
    <t>0                      PG 3481000A  4353               A  97          2015</t>
  </si>
  <si>
    <t>Avtokhtony : roman / Marii︠a︡ Galina.</t>
  </si>
  <si>
    <t>Galina, Marii︠a︡, author.</t>
  </si>
  <si>
    <t>Moskva : Izdatelʹstvo AST, 2015.</t>
  </si>
  <si>
    <t>Kniga, kotorui︠u︡ zhdali</t>
  </si>
  <si>
    <t>3904182485:rus</t>
  </si>
  <si>
    <t>922337469</t>
  </si>
  <si>
    <t>ocn922337469</t>
  </si>
  <si>
    <t>3103659365V</t>
  </si>
  <si>
    <t>9785170906925</t>
  </si>
  <si>
    <t>795003791</t>
  </si>
  <si>
    <t>PG3481 A4556 Z53 2012</t>
  </si>
  <si>
    <t>0                      PG 3481000A  4556               Z  53          2012</t>
  </si>
  <si>
    <t>Zhasminovyĭ dym : Roman v rasskazakh o prevrashchenii︠a︡kh li︠u︡bvi / Igorʹ Gamai︠u︡nov.</t>
  </si>
  <si>
    <t>Gamai︠u︡nov, Igorʹ, author.</t>
  </si>
  <si>
    <t>Moskva : V.A. Strelet︠s︡kiĭ, 2012.</t>
  </si>
  <si>
    <t>1194511371:rus</t>
  </si>
  <si>
    <t>823894271</t>
  </si>
  <si>
    <t>ocn823894271</t>
  </si>
  <si>
    <t>3103482831G</t>
  </si>
  <si>
    <t>9785910390403</t>
  </si>
  <si>
    <t>794937463</t>
  </si>
  <si>
    <t>PG3481 A4584 A6 2003</t>
  </si>
  <si>
    <t>0                      PG 3481000A  4584               A  6           2003</t>
  </si>
  <si>
    <t>A kindred orphanhood / Sergey Gandlevsky ; translated from the Russian by Philip Metres.</t>
  </si>
  <si>
    <t>Gandlevskiĭ, Sergeĭ.</t>
  </si>
  <si>
    <t>Brookline, MA : Zephyr Press, ©2003.</t>
  </si>
  <si>
    <t>1059253083:eng</t>
  </si>
  <si>
    <t>54022686</t>
  </si>
  <si>
    <t>ocm54022686</t>
  </si>
  <si>
    <t>31023249429</t>
  </si>
  <si>
    <t>9780939010752</t>
  </si>
  <si>
    <t>793855588</t>
  </si>
  <si>
    <t>PG3481 A873 B47 2010</t>
  </si>
  <si>
    <t>0                      PG 3481000A  873                B  47          2010</t>
  </si>
  <si>
    <t>Berlinskai︠a︡ fleĭta : rasskazy, povesti / Anatoliĭ Gavrilov.</t>
  </si>
  <si>
    <t>Gavrilov, Anatoliĭ.</t>
  </si>
  <si>
    <t>Moskva : KoLibri, ©2010.</t>
  </si>
  <si>
    <t>688010170:rus</t>
  </si>
  <si>
    <t>672013826</t>
  </si>
  <si>
    <t>ocn672013826</t>
  </si>
  <si>
    <t>3103393715K</t>
  </si>
  <si>
    <t>9785389009721</t>
  </si>
  <si>
    <t>794849330</t>
  </si>
  <si>
    <t>PG3481 A873 V65 2011</t>
  </si>
  <si>
    <t>0                      PG 3481000A  873                V  65          2011</t>
  </si>
  <si>
    <t>Voplʹ vperedsmotri︠a︡shchego : Povestʹ. Rasskazy. Pʹesa / Anatoliĭ Gavrilov.</t>
  </si>
  <si>
    <t>Gavrilov, Anatoliĭ, author.</t>
  </si>
  <si>
    <t>3861333565:rus</t>
  </si>
  <si>
    <t>769145705</t>
  </si>
  <si>
    <t>ocn769145705</t>
  </si>
  <si>
    <t>3103478958R</t>
  </si>
  <si>
    <t>9785389025950</t>
  </si>
  <si>
    <t>794903073</t>
  </si>
  <si>
    <t>PG3481 I36 C54 2010</t>
  </si>
  <si>
    <t>0                      PG 3481000I  36                 C  54          2010</t>
  </si>
  <si>
    <t>Chertovo koleso : roman / Mikhail Gigolashvili.</t>
  </si>
  <si>
    <t>Gigolashvili, Mikhail.</t>
  </si>
  <si>
    <t>Moskva : Ad Marginem, ©2010.</t>
  </si>
  <si>
    <t>2012-02-22</t>
  </si>
  <si>
    <t>889648170:rus</t>
  </si>
  <si>
    <t>656165410</t>
  </si>
  <si>
    <t>ocn656165410</t>
  </si>
  <si>
    <t>3103294621N</t>
  </si>
  <si>
    <t>9785911030865</t>
  </si>
  <si>
    <t>794834566</t>
  </si>
  <si>
    <t>PG3481 I36 Z2 2012</t>
  </si>
  <si>
    <t>0                      PG 3481000I  36                 Z  2           2012</t>
  </si>
  <si>
    <t>Zakhvat Moskovii : nat︠s︡ional-lingvisticheskiĭ roman / Mikhail Gigolashvili.</t>
  </si>
  <si>
    <t>3861789638:rus</t>
  </si>
  <si>
    <t>794226819</t>
  </si>
  <si>
    <t>ocn794226819</t>
  </si>
  <si>
    <t>3103484160N</t>
  </si>
  <si>
    <t>9785699553938</t>
  </si>
  <si>
    <t>794919392</t>
  </si>
  <si>
    <t>PG3481 I57 B5613 1995</t>
  </si>
  <si>
    <t>0                      PG 3481000I  57                 B  5613        1995</t>
  </si>
  <si>
    <t>Blockade diary / Lidiya Ginzburg ; translated from the Russian by Alan Myers ; with an introduction by Aleksandr Kushner.</t>
  </si>
  <si>
    <t>London : Harvill Press, 1995.</t>
  </si>
  <si>
    <t>475216974:eng</t>
  </si>
  <si>
    <t>34279875</t>
  </si>
  <si>
    <t>ocm34279875</t>
  </si>
  <si>
    <t>31026937591</t>
  </si>
  <si>
    <t>9781860460326</t>
  </si>
  <si>
    <t>793422957</t>
  </si>
  <si>
    <t>PG3481 I57 Z75 2012</t>
  </si>
  <si>
    <t>0                      PG 3481000I  57                 Z  75          2012</t>
  </si>
  <si>
    <t>Lydia Ginzburg's alternative literary identities : a collection of articles and new translations / [compiled by] Emily Van Buskirk and Andrei Zorin (eds).</t>
  </si>
  <si>
    <t>Oxford ; New York : Peter Lang, [2012]</t>
  </si>
  <si>
    <t>Russian transformations : literature, thought, culture ; v. 3</t>
  </si>
  <si>
    <t>1101166387:eng</t>
  </si>
  <si>
    <t>785786649</t>
  </si>
  <si>
    <t>ocn785786649</t>
  </si>
  <si>
    <t>3103503444J</t>
  </si>
  <si>
    <t>9783039113507</t>
  </si>
  <si>
    <t>794915188</t>
  </si>
  <si>
    <t>PG3481 I76 A84 2016</t>
  </si>
  <si>
    <t>0                      PG 3481000I  76                 A  84          2016</t>
  </si>
  <si>
    <t>Arena XX : roman / Leonid Girshovich.</t>
  </si>
  <si>
    <t>Girshovich, Leonid, author</t>
  </si>
  <si>
    <t>3138285269:rus</t>
  </si>
  <si>
    <t>951432740</t>
  </si>
  <si>
    <t>ocn951432740</t>
  </si>
  <si>
    <t>3103699208N</t>
  </si>
  <si>
    <t>9785969114814</t>
  </si>
  <si>
    <t>795017369</t>
  </si>
  <si>
    <t>PG3481 L24 K34 1986</t>
  </si>
  <si>
    <t>0                      PG 3481000L  24                 K  34          1986</t>
  </si>
  <si>
    <t>Kakim i︠a︡ byl togda : rasskazy / Anatoliĭ Gladilin.</t>
  </si>
  <si>
    <t>Gladilin, Anatoliĭ.</t>
  </si>
  <si>
    <t>Ann Arbor : Ardis, ©1986.</t>
  </si>
  <si>
    <t>3855400691:rus</t>
  </si>
  <si>
    <t>12314522</t>
  </si>
  <si>
    <t>ocm12314522</t>
  </si>
  <si>
    <t>31002258139</t>
  </si>
  <si>
    <t>9780875010007</t>
  </si>
  <si>
    <t>792810289</t>
  </si>
  <si>
    <t>PG3481 L24 T46 2000</t>
  </si>
  <si>
    <t>0                      PG 3481000L  24                 T  46          2000</t>
  </si>
  <si>
    <t>Tenʹ vsadnika / Anatoliĭ Gladilin.</t>
  </si>
  <si>
    <t>Moskva : "Olimp" : "Astrelʹ" : Izd-vo AST, 2000.</t>
  </si>
  <si>
    <t>19947037:rus</t>
  </si>
  <si>
    <t>45907652</t>
  </si>
  <si>
    <t>ocm45907652</t>
  </si>
  <si>
    <t>3102136757A</t>
  </si>
  <si>
    <t>9785819502228</t>
  </si>
  <si>
    <t>793680958</t>
  </si>
  <si>
    <t>PG3481 L24 Z46 2008</t>
  </si>
  <si>
    <t>0                      PG 3481000L  24                 Z  46          2008</t>
  </si>
  <si>
    <t>Ulit︠s︡a generalov : popytka memuarov / Anatoliĭ Gladilin.</t>
  </si>
  <si>
    <t>Moskva : Vagrius, ©2008.</t>
  </si>
  <si>
    <t>2015-11-09</t>
  </si>
  <si>
    <t>180709903:rus</t>
  </si>
  <si>
    <t>226299057</t>
  </si>
  <si>
    <t>ocn226299057</t>
  </si>
  <si>
    <t>3103151467M</t>
  </si>
  <si>
    <t>9785969705418</t>
  </si>
  <si>
    <t>794344682</t>
  </si>
  <si>
    <t>PG3481.2 L578 K76 2016</t>
  </si>
  <si>
    <t>0                      PG 3481200L  578                K  76          2016</t>
  </si>
  <si>
    <t>Kto boitsi︠a︡ smotretʹ na more / Marii︠a︡ Golovanivskai︠a︡.</t>
  </si>
  <si>
    <t>Golovanivskai︠a︡, Marii︠a︡, 1963- author.</t>
  </si>
  <si>
    <t>Moskva : AST : Redakt︠s︡ii︠a︡ Eleny Shubinoĭ, [2016]</t>
  </si>
  <si>
    <t>Proza, zhenskiĭ rod</t>
  </si>
  <si>
    <t>4411999833:rus</t>
  </si>
  <si>
    <t>960643419</t>
  </si>
  <si>
    <t>ocn960643419</t>
  </si>
  <si>
    <t>31036874798</t>
  </si>
  <si>
    <t>9785170973866</t>
  </si>
  <si>
    <t>795023201</t>
  </si>
  <si>
    <t>PG3481.2 R117 V74 2019</t>
  </si>
  <si>
    <t>0                      PG 3481200R  117                V  74          2019</t>
  </si>
  <si>
    <t>Vse, sposobnye dyshatʹ dykhanie / Linor Goralik.</t>
  </si>
  <si>
    <t>Goralik, Linor, author.</t>
  </si>
  <si>
    <t>Moskva : AST, 2019.</t>
  </si>
  <si>
    <t>Angedonii︠a︡ : Proekt Danishevskogo</t>
  </si>
  <si>
    <t>9166943789:rus</t>
  </si>
  <si>
    <t>1089760706</t>
  </si>
  <si>
    <t>on1089760706</t>
  </si>
  <si>
    <t>31038802782</t>
  </si>
  <si>
    <t>9785171122690</t>
  </si>
  <si>
    <t>795079605</t>
  </si>
  <si>
    <t>PG3481.4.I85 O37 2014</t>
  </si>
  <si>
    <t>0                      PG 3481400I  85                 O  37          2014</t>
  </si>
  <si>
    <t>Odnovremenno : zhiznʹ / Evgeniĭ Grishkovet︠s︡.</t>
  </si>
  <si>
    <t>Grishkovet︠s︡, Evgeniĭ, author.</t>
  </si>
  <si>
    <t>Grishkovet︠s︡ Evgeniĭ. Sovremennai︠a︡ proza</t>
  </si>
  <si>
    <t>8913550524:rus</t>
  </si>
  <si>
    <t>895018218</t>
  </si>
  <si>
    <t>ocn895018218</t>
  </si>
  <si>
    <t>B001581799</t>
  </si>
  <si>
    <t>9785699758784</t>
  </si>
  <si>
    <t>794983286</t>
  </si>
  <si>
    <t>PG3481.4 I85 R83 2004</t>
  </si>
  <si>
    <t>0                      PG 3481400I  85                 R  83          2004</t>
  </si>
  <si>
    <t>Rubashka : roman / Evgeniĭ Grishkovet︠s︡.</t>
  </si>
  <si>
    <t>Grishkovet︠s︡, Evgeniĭ.</t>
  </si>
  <si>
    <t>Moskva : Vremi︠a︡, 2004.</t>
  </si>
  <si>
    <t>326319094:rus</t>
  </si>
  <si>
    <t>55999812</t>
  </si>
  <si>
    <t>ocm55999812</t>
  </si>
  <si>
    <t>3102417867W</t>
  </si>
  <si>
    <t>9785941171194</t>
  </si>
  <si>
    <t>793885607</t>
  </si>
  <si>
    <t>PG3481.4 I85 Z46 2013</t>
  </si>
  <si>
    <t>0                      PG 3481400I  85                 Z  46          2013</t>
  </si>
  <si>
    <t>Pochti rukopisnai︠a︡ zhiznʹ / Evgeniĭ Grishkovet︠s︡.</t>
  </si>
  <si>
    <t>Moskva : Makhaon, 2013.</t>
  </si>
  <si>
    <t>1367664247:rus</t>
  </si>
  <si>
    <t>852786245</t>
  </si>
  <si>
    <t>ocn852786245</t>
  </si>
  <si>
    <t>31031993924</t>
  </si>
  <si>
    <t>9785389058316</t>
  </si>
  <si>
    <t>794951578</t>
  </si>
  <si>
    <t>PG3481.4 I85 Z46 2014</t>
  </si>
  <si>
    <t>0                      PG 3481400I  85                 Z  46          2014</t>
  </si>
  <si>
    <t>3103562437W</t>
  </si>
  <si>
    <t>794983287</t>
  </si>
  <si>
    <t>PG3482 A355 S45 2010</t>
  </si>
  <si>
    <t>0                      PG 3482000A  355                S  45          2010</t>
  </si>
  <si>
    <t>Shifr sudʹby / Vladimir I︠A︡kimenko.</t>
  </si>
  <si>
    <t>I︠A︡kimenko, V. L. (Vladimir Lʹvovich)</t>
  </si>
  <si>
    <t>503361223:rus</t>
  </si>
  <si>
    <t>642350122</t>
  </si>
  <si>
    <t>ocn642350122</t>
  </si>
  <si>
    <t>3103393534M</t>
  </si>
  <si>
    <t>9785699393015</t>
  </si>
  <si>
    <t>794828142</t>
  </si>
  <si>
    <t>PG3482 L474 P47 2010</t>
  </si>
  <si>
    <t>0                      PG 3482000L  474                P  47          2010</t>
  </si>
  <si>
    <t>Pers : roman / Aleksandr Ilichevskiĭ.</t>
  </si>
  <si>
    <t>Ilichevskiĭ, Aleksandr.</t>
  </si>
  <si>
    <t>Moskva : AST : Astrelʹ, [2010]</t>
  </si>
  <si>
    <t>2012-03-04</t>
  </si>
  <si>
    <t>505364128:rus</t>
  </si>
  <si>
    <t>644567160</t>
  </si>
  <si>
    <t>ocn644567160</t>
  </si>
  <si>
    <t>3103393434P</t>
  </si>
  <si>
    <t>9785170648825</t>
  </si>
  <si>
    <t>794829221</t>
  </si>
  <si>
    <t>PG3482 S5 S6913 2015</t>
  </si>
  <si>
    <t>0                      PG 3482000S  5                  S  6913        2015</t>
  </si>
  <si>
    <t>The goatibex constellation / Fazil Iskander ; translated by Helen Burlingame.</t>
  </si>
  <si>
    <t>Iskander, Fazilʹ.</t>
  </si>
  <si>
    <t>New York : Ardis Publishers, 2015.</t>
  </si>
  <si>
    <t>895779920:eng</t>
  </si>
  <si>
    <t>883367193</t>
  </si>
  <si>
    <t>ocn883367193</t>
  </si>
  <si>
    <t>3103610748A</t>
  </si>
  <si>
    <t>9781468310757</t>
  </si>
  <si>
    <t>794975512</t>
  </si>
  <si>
    <t>PG3482 S5 Z69 2003</t>
  </si>
  <si>
    <t>0                      PG 3482000S  5                  Z  69          2003</t>
  </si>
  <si>
    <t>The myth of the non-Russian : Iskander and Aitmatov's magical universe / Erika Haber.</t>
  </si>
  <si>
    <t>Haber, Erika.</t>
  </si>
  <si>
    <t>Lanham : Lexington Books, ©2003.</t>
  </si>
  <si>
    <t>242507029:eng</t>
  </si>
  <si>
    <t>52108894</t>
  </si>
  <si>
    <t>ocm52108894</t>
  </si>
  <si>
    <t>31022746233</t>
  </si>
  <si>
    <t>9780739105313</t>
  </si>
  <si>
    <t>793798598</t>
  </si>
  <si>
    <t>PG3482.5 B28 G78 2018</t>
  </si>
  <si>
    <t>0                      PG 3482500B  28                 G  78          2018</t>
  </si>
  <si>
    <t>Gruppa krovi : povestʹ, rasskazy i zametki / Aleksandr Kabakov.</t>
  </si>
  <si>
    <t>Kabakov, Aleksandr, author.</t>
  </si>
  <si>
    <t>5087181438:rus</t>
  </si>
  <si>
    <t>1039633699</t>
  </si>
  <si>
    <t>on1039633699</t>
  </si>
  <si>
    <t>3103880000A</t>
  </si>
  <si>
    <t>9785969117242</t>
  </si>
  <si>
    <t>795058865</t>
  </si>
  <si>
    <t>PG3482.5 B28 S72 2014</t>
  </si>
  <si>
    <t>0                      PG 3482500B  28                 S  72          2014</t>
  </si>
  <si>
    <t>Stakan bez stenok : povestʹ, rasskazy / Aleksandr Kabakov.</t>
  </si>
  <si>
    <t>2220767875:rus</t>
  </si>
  <si>
    <t>894917024</t>
  </si>
  <si>
    <t>ocn894917024</t>
  </si>
  <si>
    <t>3103601833K</t>
  </si>
  <si>
    <t>9785170870998</t>
  </si>
  <si>
    <t>794983090</t>
  </si>
  <si>
    <t>PG3482.5 N68 S68 2010</t>
  </si>
  <si>
    <t>0                      PG 3482500N  68                 S  68          2010</t>
  </si>
  <si>
    <t>Sovety odinokogo kurilʹshchika : trinadt︠s︡atʹ rasskazov pro Tatarnikova / Maksim Kantor.</t>
  </si>
  <si>
    <t>Kantor, Maxim, 1957-</t>
  </si>
  <si>
    <t>2013-10-29</t>
  </si>
  <si>
    <t>481415777:rus</t>
  </si>
  <si>
    <t>615651404</t>
  </si>
  <si>
    <t>ocn615651404</t>
  </si>
  <si>
    <t>3103284666K</t>
  </si>
  <si>
    <t>9785170641710</t>
  </si>
  <si>
    <t>794822758</t>
  </si>
  <si>
    <t>PG3482.5 N69 S67 2008</t>
  </si>
  <si>
    <t>0                      PG 3482500N  69                 S  67          2008</t>
  </si>
  <si>
    <t>Sosedi : arabeski / Vladimir Kantor.</t>
  </si>
  <si>
    <t>Kantor, V. K. (Vladimir Karlovich)</t>
  </si>
  <si>
    <t>Moskva : Vremi︠a︡, 2008.</t>
  </si>
  <si>
    <t>3856596602:rus</t>
  </si>
  <si>
    <t>233540969</t>
  </si>
  <si>
    <t>ocn233540969</t>
  </si>
  <si>
    <t>3103249669K</t>
  </si>
  <si>
    <t>9785969102767</t>
  </si>
  <si>
    <t>794366147</t>
  </si>
  <si>
    <t>PG3482.6. 574 I97 2013</t>
  </si>
  <si>
    <t>0                      PG 3482600                                                           . 574 I97 2013</t>
  </si>
  <si>
    <t>I︠U︡rskai︠a︡ glina : putevoditelʹ po semeĭnomu alʹbomu / Galina Klimova.</t>
  </si>
  <si>
    <t>Klimova, G. D. (Galina D.), author.</t>
  </si>
  <si>
    <t>Moskva : OOO "Russkiĭ impulʹs", 2013.</t>
  </si>
  <si>
    <t>2014-09-08</t>
  </si>
  <si>
    <t>1382314396:rus</t>
  </si>
  <si>
    <t>857741378</t>
  </si>
  <si>
    <t>ocn857741378</t>
  </si>
  <si>
    <t>31035146454</t>
  </si>
  <si>
    <t>9785902525707</t>
  </si>
  <si>
    <t>794955326</t>
  </si>
  <si>
    <t>PG3482.6 H2653 P613 1998</t>
  </si>
  <si>
    <t>0                      PG 3482600H  2653               P  613         1998</t>
  </si>
  <si>
    <t>Under house arrest / Yevgeny Kkaritonov ; translated by Arch Tait.</t>
  </si>
  <si>
    <t>Kharitonov, Evgeniĭ, 1941-1981, author.</t>
  </si>
  <si>
    <t>London : Serpent's Tail, 1998.</t>
  </si>
  <si>
    <t>1102693384:eng</t>
  </si>
  <si>
    <t>40419682</t>
  </si>
  <si>
    <t>ocm40419682</t>
  </si>
  <si>
    <t>3101918437J</t>
  </si>
  <si>
    <t>9781852423551</t>
  </si>
  <si>
    <t>793566287</t>
  </si>
  <si>
    <t>PG3482.6 H2654 S68 1998</t>
  </si>
  <si>
    <t>0                      PG 3482600H  2654               S  68          1998</t>
  </si>
  <si>
    <t>Sposob sushchestvovanii︠a︡ / Mark Kharitonov.</t>
  </si>
  <si>
    <t>Kharitonov, Mark.</t>
  </si>
  <si>
    <t>[Moscow] : Novoe literaturnoe obozrenie, ©1998.</t>
  </si>
  <si>
    <t>3943600457:rus</t>
  </si>
  <si>
    <t>40838585</t>
  </si>
  <si>
    <t>ocm40838585</t>
  </si>
  <si>
    <t>31019480791</t>
  </si>
  <si>
    <t>9785867930387</t>
  </si>
  <si>
    <t>793576909</t>
  </si>
  <si>
    <t>PG3482.6 H2734 S5913 2012</t>
  </si>
  <si>
    <t>0                      PG 3482600H  2734               S  5913        2012</t>
  </si>
  <si>
    <t>Sense : a novel / Arslan Khasavov ; translated by Arch Tait.</t>
  </si>
  <si>
    <t>Khasavov, Arslan, 1988-</t>
  </si>
  <si>
    <t>Moscow [Russia] : Glas, [2012]</t>
  </si>
  <si>
    <t>Glas new Russian writing, contemporary Russian literature in English translation ; v. 54</t>
  </si>
  <si>
    <t>1165442078:eng</t>
  </si>
  <si>
    <t>756581613</t>
  </si>
  <si>
    <t>ocn756581613</t>
  </si>
  <si>
    <t>3103430122Z</t>
  </si>
  <si>
    <t>9785717200936</t>
  </si>
  <si>
    <t>794894633</t>
  </si>
  <si>
    <t>PG3482.6 H435 G73 2011</t>
  </si>
  <si>
    <t>0                      PG 3482600H  435                G  73          2011</t>
  </si>
  <si>
    <t>Granit︠s︡a dozhdi︠a︡ : povesti / Elena Kholmogorova.</t>
  </si>
  <si>
    <t>Kholmogorova, Elena.</t>
  </si>
  <si>
    <t>Moskva : AST : Astrelʹ, ©2011.</t>
  </si>
  <si>
    <t>2018-03-14</t>
  </si>
  <si>
    <t>1075803871:rus</t>
  </si>
  <si>
    <t>774053616</t>
  </si>
  <si>
    <t>ocn774053616</t>
  </si>
  <si>
    <t>3103487241C</t>
  </si>
  <si>
    <t>9785170755974</t>
  </si>
  <si>
    <t>794906239</t>
  </si>
  <si>
    <t>PG3482.6 H4448 Z25 2015</t>
  </si>
  <si>
    <t>0                      PG 3482600H  4448               Z  25          2015</t>
  </si>
  <si>
    <t>Zhilet︠s︡ : roman / Mikhail Kholmogorov.</t>
  </si>
  <si>
    <t>Kholmogorov, M. (Mikhail), 1942- author.</t>
  </si>
  <si>
    <t>Moskva : Ripol Klassik, 2015.</t>
  </si>
  <si>
    <t>2983424379:rus</t>
  </si>
  <si>
    <t>946941300</t>
  </si>
  <si>
    <t>ocn946941300</t>
  </si>
  <si>
    <t>31036993908</t>
  </si>
  <si>
    <t>9785386089153</t>
  </si>
  <si>
    <t>795014938</t>
  </si>
  <si>
    <t>PG3482.6 I25 A6 2005</t>
  </si>
  <si>
    <t>0                      PG 3482600I  25                 A  6           2005</t>
  </si>
  <si>
    <t>Stikhi / Timur Kibirov ; [A.S. Nemzer, vstupitelʹnai︠a︡ statʹi︠a︡].</t>
  </si>
  <si>
    <t>Kibirov, Timur.</t>
  </si>
  <si>
    <t>Moskva : Vremi︠a︡, 2005.</t>
  </si>
  <si>
    <t>9620630:rus</t>
  </si>
  <si>
    <t>60540344</t>
  </si>
  <si>
    <t>ocm60540344</t>
  </si>
  <si>
    <t>3102520186T</t>
  </si>
  <si>
    <t>9785969100312</t>
  </si>
  <si>
    <t>793939296</t>
  </si>
  <si>
    <t>PG3482.6 I65 P57 2012</t>
  </si>
  <si>
    <t>0                      PG 3482600I  65                 P  57          2012</t>
  </si>
  <si>
    <t>Pir v odinochku : romany / Ruslan Kireev.</t>
  </si>
  <si>
    <t>Kireev, Ruslan.</t>
  </si>
  <si>
    <t>2073394216:rus</t>
  </si>
  <si>
    <t>767858030</t>
  </si>
  <si>
    <t>ocn767858030</t>
  </si>
  <si>
    <t>3103487252A</t>
  </si>
  <si>
    <t>9785969106369</t>
  </si>
  <si>
    <t>794901609</t>
  </si>
  <si>
    <t>PG3482.6 I65 Z475 2008</t>
  </si>
  <si>
    <t>0                      PG 3482600I  65                 Z  475         2008</t>
  </si>
  <si>
    <t>Pi︠a︡tʹdesi︠a︡t let v rai︠u︡ : roman bez masok / Ruslan Kireev.</t>
  </si>
  <si>
    <t>176052009:rus</t>
  </si>
  <si>
    <t>294760931</t>
  </si>
  <si>
    <t>ocn294760931</t>
  </si>
  <si>
    <t>3103214617S</t>
  </si>
  <si>
    <t>9785969103719</t>
  </si>
  <si>
    <t>794424931</t>
  </si>
  <si>
    <t>PG3482.6 L42 K57 2010</t>
  </si>
  <si>
    <t>0                      PG 3482600L  42                 K  57          2010</t>
  </si>
  <si>
    <t>Khroniki 1999 goda / Igorʹ Klekh.</t>
  </si>
  <si>
    <t>Klekh, Igorʹ, 1952-</t>
  </si>
  <si>
    <t>890558605:rus</t>
  </si>
  <si>
    <t>501151367</t>
  </si>
  <si>
    <t>ocn501151367</t>
  </si>
  <si>
    <t>3103393752C</t>
  </si>
  <si>
    <t>9785867937430</t>
  </si>
  <si>
    <t>794804445</t>
  </si>
  <si>
    <t>PG3482.6 L484 P37 2015</t>
  </si>
  <si>
    <t>0                      PG 3482600L  484                P  37          2015</t>
  </si>
  <si>
    <t>Paradoks o evropeĭt︠s︡e / Nikolaĭ Klimontovich.</t>
  </si>
  <si>
    <t>Klimontovich, N. I︠U︡. (Nikolaĭ I︠U︡rʹevich), author.</t>
  </si>
  <si>
    <t>Moskva : Ėksmo, 2015.</t>
  </si>
  <si>
    <t>2507837790:rus</t>
  </si>
  <si>
    <t>908198054</t>
  </si>
  <si>
    <t>ocn908198054</t>
  </si>
  <si>
    <t>3103641434A</t>
  </si>
  <si>
    <t>9785699778874</t>
  </si>
  <si>
    <t>794994382</t>
  </si>
  <si>
    <t>PG3482.6 L544 A43 2010</t>
  </si>
  <si>
    <t>0                      PG 3482600L  544                A  43          2010</t>
  </si>
  <si>
    <t>Andermanir shtuk : sot︠s︡iofrenicheskiĭ roman / Evgeniĭ Kli︠u︡ev.</t>
  </si>
  <si>
    <t>Kli︠u︡ev, Evgeniĭ.</t>
  </si>
  <si>
    <t>2010-12-05</t>
  </si>
  <si>
    <t>794346345:rus</t>
  </si>
  <si>
    <t>662410414</t>
  </si>
  <si>
    <t>ocn662410414</t>
  </si>
  <si>
    <t>3103294919G</t>
  </si>
  <si>
    <t>9785969105485</t>
  </si>
  <si>
    <t>794837316</t>
  </si>
  <si>
    <t>PG3482.7 M268 S75 2011</t>
  </si>
  <si>
    <t>0                      PG 3482700M  268                S  75          2011</t>
  </si>
  <si>
    <t>Stikhi o smerti / Komar i Melamid.</t>
  </si>
  <si>
    <t>Komar, Vitaly.</t>
  </si>
  <si>
    <t>Vologda : OOO PF "Poligraf-Kniga", 2011.</t>
  </si>
  <si>
    <t>Biblioteka moskovskogo kont︠s︡eptualizma Germana Titova.</t>
  </si>
  <si>
    <t>2012-10-15</t>
  </si>
  <si>
    <t>28206382:rus</t>
  </si>
  <si>
    <t>730929040</t>
  </si>
  <si>
    <t>ocn730929040</t>
  </si>
  <si>
    <t>3103279526G</t>
  </si>
  <si>
    <t>9785919670421</t>
  </si>
  <si>
    <t>794880368</t>
  </si>
  <si>
    <t>PG3482.7 N59 Z483 1998</t>
  </si>
  <si>
    <t>0                      PG 3482700N  59                 Z  483         1998</t>
  </si>
  <si>
    <t>Ėkho : (vokrug i okolo pisem chitateleĭ) / Viktor Konet︠s︡kiĭ.</t>
  </si>
  <si>
    <t>Konet︠s︡kiĭ, Viktor Viktorovich.</t>
  </si>
  <si>
    <t>Sankt-Peterburg : Russko-Baltiĭskiĭ informat︠s︡ionnyĭ t︠s︡entr BLIT︠S︡, 1998.</t>
  </si>
  <si>
    <t>3769684642:rus</t>
  </si>
  <si>
    <t>41629946</t>
  </si>
  <si>
    <t>ocm41629946</t>
  </si>
  <si>
    <t>3102523872Z</t>
  </si>
  <si>
    <t>9785867890445</t>
  </si>
  <si>
    <t>793595715</t>
  </si>
  <si>
    <t>PG3482.7 P4 Z516</t>
  </si>
  <si>
    <t>0                      PG 3482700P  4                  Z  516</t>
  </si>
  <si>
    <t>The education of a true believer / Lev Kopelev ; translated from the Russian by Gary Kern.</t>
  </si>
  <si>
    <t>Kopelev, Lev, 1912-1997.</t>
  </si>
  <si>
    <t>New York : Harper &amp; Row, 1980.</t>
  </si>
  <si>
    <t>1151015816:eng</t>
  </si>
  <si>
    <t>5750051</t>
  </si>
  <si>
    <t>ocm05750051</t>
  </si>
  <si>
    <t>3102721935$</t>
  </si>
  <si>
    <t>9780060124762</t>
  </si>
  <si>
    <t>792450972</t>
  </si>
  <si>
    <t>PG3482.7 R5914 A6 1990</t>
  </si>
  <si>
    <t>0                      PG 3482700R  5914               A  6           1990</t>
  </si>
  <si>
    <t>Izbrannoe / Vladimir Kornilov.</t>
  </si>
  <si>
    <t>Kornilov, Vladimir.</t>
  </si>
  <si>
    <t>Moskva : Sovremennik, 1990-</t>
  </si>
  <si>
    <t>476198640:rus</t>
  </si>
  <si>
    <t>24729453</t>
  </si>
  <si>
    <t>ocm24729453</t>
  </si>
  <si>
    <t>3101334403C</t>
  </si>
  <si>
    <t>9785270007874</t>
  </si>
  <si>
    <t>793204402</t>
  </si>
  <si>
    <t>3101334402E</t>
  </si>
  <si>
    <t>793204403</t>
  </si>
  <si>
    <t>PG3482.7 R5957 P37 2011</t>
  </si>
  <si>
    <t>0                      PG 3482700R  5957               P  37          2011</t>
  </si>
  <si>
    <t>Parnasa dorogie imena / Valentina Korosteleva.</t>
  </si>
  <si>
    <t>Korosteleva, Valentina.</t>
  </si>
  <si>
    <t>Moskva : Akademika, 2011.</t>
  </si>
  <si>
    <t>2014-04-04</t>
  </si>
  <si>
    <t>4449812877:rus</t>
  </si>
  <si>
    <t>704889164</t>
  </si>
  <si>
    <t>ocn704889164</t>
  </si>
  <si>
    <t>3103369068M</t>
  </si>
  <si>
    <t>9785422500222</t>
  </si>
  <si>
    <t>794865893</t>
  </si>
  <si>
    <t>PG3482.7 R9 S7</t>
  </si>
  <si>
    <t>0                      PG 3482700R  9                  S  7</t>
  </si>
  <si>
    <t>Spletenii︠a︡ : [stikhi] / N. Korzhavin.</t>
  </si>
  <si>
    <t>Korzhavin, N. (Naum), 1925-2018.</t>
  </si>
  <si>
    <t>Frankfurt a.M. : Posev, 1981.</t>
  </si>
  <si>
    <t>3856183907:rus</t>
  </si>
  <si>
    <t>184785023</t>
  </si>
  <si>
    <t>ocn184785023</t>
  </si>
  <si>
    <t>3000334044W</t>
  </si>
  <si>
    <t>794290462</t>
  </si>
  <si>
    <t>PG3482.7 R9 V7</t>
  </si>
  <si>
    <t>0                      PG 3482700R  9                  V  7</t>
  </si>
  <si>
    <t>Vremena : izbrannoe / N. Korzhavin.</t>
  </si>
  <si>
    <t>Frankfurt-Main : Posev, 1976.</t>
  </si>
  <si>
    <t>4957958319:rus</t>
  </si>
  <si>
    <t>2310622</t>
  </si>
  <si>
    <t>ocm02310622</t>
  </si>
  <si>
    <t>3000428246$</t>
  </si>
  <si>
    <t>792101669</t>
  </si>
  <si>
    <t>PG3482.7 Z53415 V73 2016</t>
  </si>
  <si>
    <t>0                      PG 3482700Z  53415              V  73          2016</t>
  </si>
  <si>
    <t>Vrazhdebnyĭ portnoĭ / I︠U︡riĭ Kozlov.</t>
  </si>
  <si>
    <t>Kozlov, I︠U︡riĭ, author.</t>
  </si>
  <si>
    <t>3870087261:rus</t>
  </si>
  <si>
    <t>958391105</t>
  </si>
  <si>
    <t>ocn958391105</t>
  </si>
  <si>
    <t>3103687466H</t>
  </si>
  <si>
    <t>9785386083748</t>
  </si>
  <si>
    <t>795021765</t>
  </si>
  <si>
    <t>PG3482.8 R66 N6</t>
  </si>
  <si>
    <t>0                      PG 3482800R  66                 N  6</t>
  </si>
  <si>
    <t>The Nobel Prize / Yuri Krotkov ; translated from the Russian by Linda Aldwinckle.</t>
  </si>
  <si>
    <t>Krotkov, Yuri, 1917-1981.</t>
  </si>
  <si>
    <t>New York : Simon and Schuster, ©1980.</t>
  </si>
  <si>
    <t>3772387206:eng</t>
  </si>
  <si>
    <t>6015764</t>
  </si>
  <si>
    <t>ocm06015764</t>
  </si>
  <si>
    <t>30003055788</t>
  </si>
  <si>
    <t>9780671242558</t>
  </si>
  <si>
    <t>792470039</t>
  </si>
  <si>
    <t>PG3482.8 R82 O4 2014</t>
  </si>
  <si>
    <t>0                      PG 3482800R  82                 O  4           2014</t>
  </si>
  <si>
    <t>O li︠u︡di︠a︡kh i angelakh / Pavel Krusanov.</t>
  </si>
  <si>
    <t>Krusanov, Pavel, author.</t>
  </si>
  <si>
    <t>Sankt-Peterburg : Izdatelʹstvo "Azbuka", 2014.</t>
  </si>
  <si>
    <t>Russkai︠a︡ literatura. Bolʹshie knigi</t>
  </si>
  <si>
    <t>2224491456:rus</t>
  </si>
  <si>
    <t>895289099</t>
  </si>
  <si>
    <t>ocn895289099</t>
  </si>
  <si>
    <t>31035862578</t>
  </si>
  <si>
    <t>9785389077997</t>
  </si>
  <si>
    <t>794983455</t>
  </si>
  <si>
    <t>PG3482.8 R82 T73 2014</t>
  </si>
  <si>
    <t>0                      PG 3482800R  82                 T  73          2014</t>
  </si>
  <si>
    <t>T︠S︡arʹ golovy : rasskazy / Pavel Krusanov.</t>
  </si>
  <si>
    <t>4047634310:rus</t>
  </si>
  <si>
    <t>879579266</t>
  </si>
  <si>
    <t>ocn879579266</t>
  </si>
  <si>
    <t>31035531375</t>
  </si>
  <si>
    <t>9785170835881</t>
  </si>
  <si>
    <t>794972321</t>
  </si>
  <si>
    <t>PG3482.8 R82 Z434 2016</t>
  </si>
  <si>
    <t>0                      PG 3482800R  82                 Z  434         2016</t>
  </si>
  <si>
    <t>Zheleznyĭ par : roman / Pavel Krusanov.</t>
  </si>
  <si>
    <t>Moskva : Izdatelʹstvo AST : Redakt︠s︡ii︠a︡ Eleny Shubinoĭ, [2016]</t>
  </si>
  <si>
    <t>Proza nashego vremeni</t>
  </si>
  <si>
    <t>4421217914:rus</t>
  </si>
  <si>
    <t>959234379</t>
  </si>
  <si>
    <t>ocn959234379</t>
  </si>
  <si>
    <t>3103687471O</t>
  </si>
  <si>
    <t>9785170988112</t>
  </si>
  <si>
    <t>795022276</t>
  </si>
  <si>
    <t>PG3482.8 R896 V37 2012</t>
  </si>
  <si>
    <t>0                      PG 3482800R  896                V  37          2012</t>
  </si>
  <si>
    <t>Vasha zhiznʹ bolʹshe ne prekrasna : roman / Nikolaĭ Kryshchuk.</t>
  </si>
  <si>
    <t>Kryshchuk, Nikolaĭ.</t>
  </si>
  <si>
    <t>4445999044:rus</t>
  </si>
  <si>
    <t>793419724</t>
  </si>
  <si>
    <t>ocn793419724</t>
  </si>
  <si>
    <t>3103478963P</t>
  </si>
  <si>
    <t>9785969107632</t>
  </si>
  <si>
    <t>794918173</t>
  </si>
  <si>
    <t>PG3482.8 U19 C74 2018</t>
  </si>
  <si>
    <t>0                      PG 3482800U  19                 C  74          2018</t>
  </si>
  <si>
    <t>Crépuscule d'impressionniste / Iouri Koublanovski ; traduit du russe par Christine Zeytounian-Beloüs ; préface de Georges Nivat.</t>
  </si>
  <si>
    <t>Kublanovskiĭ, I︠U︡riĭ, author.</t>
  </si>
  <si>
    <t>Bègles, France : In'Hui / Le Castor Astral, [2018]</t>
  </si>
  <si>
    <t>Les Passeurs d'Inuits</t>
  </si>
  <si>
    <t>4944229565:fre</t>
  </si>
  <si>
    <t>1100420554</t>
  </si>
  <si>
    <t>on1100420554</t>
  </si>
  <si>
    <t>3103859832C</t>
  </si>
  <si>
    <t>9791027801497</t>
  </si>
  <si>
    <t>795081712</t>
  </si>
  <si>
    <t>PG3482.8 U257 C55 2012</t>
  </si>
  <si>
    <t>0                      PG 3482800U  257                C  55          2012</t>
  </si>
  <si>
    <t>Chislennik / Olʹga Kuchkina.</t>
  </si>
  <si>
    <t>Kuchkina, Olʹga.</t>
  </si>
  <si>
    <t>1107814742:rus</t>
  </si>
  <si>
    <t>793419726</t>
  </si>
  <si>
    <t>ocn793419726</t>
  </si>
  <si>
    <t>3103473486J</t>
  </si>
  <si>
    <t>9785969107694</t>
  </si>
  <si>
    <t>794918175</t>
  </si>
  <si>
    <t>PG3482.8 U257 S56 2015</t>
  </si>
  <si>
    <t>0                      PG 3482800U  257                S  56          2015</t>
  </si>
  <si>
    <t>Sindrom podsolnukha / Olʹga Kuchkina.</t>
  </si>
  <si>
    <t>Kuchkina, Olʹga, author.</t>
  </si>
  <si>
    <t>4435456156:rus</t>
  </si>
  <si>
    <t>921852531</t>
  </si>
  <si>
    <t>ocn921852531</t>
  </si>
  <si>
    <t>3103632501M</t>
  </si>
  <si>
    <t>9785969114036</t>
  </si>
  <si>
    <t>795003333</t>
  </si>
  <si>
    <t>PG3482.8 U257 T8 2013</t>
  </si>
  <si>
    <t>0                      PG 3482800U  257                T  8           2013</t>
  </si>
  <si>
    <t>Ty gde? / Olʹga Kuchkina.</t>
  </si>
  <si>
    <t>1873384961:rus</t>
  </si>
  <si>
    <t>847143465</t>
  </si>
  <si>
    <t>ocn847143465</t>
  </si>
  <si>
    <t>3103556123W</t>
  </si>
  <si>
    <t>9785969108639</t>
  </si>
  <si>
    <t>794949402</t>
  </si>
  <si>
    <t>PG3482.8 U62 A28 1994</t>
  </si>
  <si>
    <t>0                      PG 3482800U  62                 A  28          1994</t>
  </si>
  <si>
    <t>Night patrol and other stories / Mikhail Kuraev ; translated from the Russian by Margareta O. Thompson.</t>
  </si>
  <si>
    <t>Kuraev, Mikhail.</t>
  </si>
  <si>
    <t>Durham : Duke University Press, 1994.</t>
  </si>
  <si>
    <t>1059142692:eng</t>
  </si>
  <si>
    <t>28710265</t>
  </si>
  <si>
    <t>ocm28710265</t>
  </si>
  <si>
    <t>3101382336I</t>
  </si>
  <si>
    <t>9780822314028</t>
  </si>
  <si>
    <t>793294370</t>
  </si>
  <si>
    <t>PG3482.8 U6756 S613 2001</t>
  </si>
  <si>
    <t>0                      PG 3482800U  6756               S  613         2001</t>
  </si>
  <si>
    <t>Death and the penguin / Andrey Kurkov ; translated from the Russian by George Bird.</t>
  </si>
  <si>
    <t>Kurkov, Andreĭ.</t>
  </si>
  <si>
    <t>London : Harvill Press, 2001.</t>
  </si>
  <si>
    <t>794418:eng</t>
  </si>
  <si>
    <t>46908780</t>
  </si>
  <si>
    <t>ocm46908780</t>
  </si>
  <si>
    <t>3102789444O</t>
  </si>
  <si>
    <t>9781860468353</t>
  </si>
  <si>
    <t>793694170</t>
  </si>
  <si>
    <t>PG3483 A46 Z35 1989</t>
  </si>
  <si>
    <t>0                      PG 3483000A  46                 Z  35          1989</t>
  </si>
  <si>
    <t>Zakon palaty : povestʹ, rasskazy / Vladimir Lakshin.</t>
  </si>
  <si>
    <t>Lakshin, V. (Vladimir), 1933-</t>
  </si>
  <si>
    <t>2015-08-14</t>
  </si>
  <si>
    <t>3856368533:rus</t>
  </si>
  <si>
    <t>21471925</t>
  </si>
  <si>
    <t>ocm21471925</t>
  </si>
  <si>
    <t>31008812263</t>
  </si>
  <si>
    <t>9785265005793</t>
  </si>
  <si>
    <t>793119867</t>
  </si>
  <si>
    <t>PG3483 E818 A6 2015</t>
  </si>
  <si>
    <t>0                      PG 3483000E  818                A  6           2015</t>
  </si>
  <si>
    <t>Komnata strakha = House of fears / Vadim Leventalʹ.</t>
  </si>
  <si>
    <t>Leventalʹ, V. (Vadim), 1981- author.</t>
  </si>
  <si>
    <t>Proza Vadima Leventali︠a︡</t>
  </si>
  <si>
    <t>4021615999:rus</t>
  </si>
  <si>
    <t>921254101</t>
  </si>
  <si>
    <t>ocn921254101</t>
  </si>
  <si>
    <t>3103699123V</t>
  </si>
  <si>
    <t>9785170914531</t>
  </si>
  <si>
    <t>795003129</t>
  </si>
  <si>
    <t>PG3483 I448 L46 2007</t>
  </si>
  <si>
    <t>0                      PG 3483000I  448                L  46          2007</t>
  </si>
  <si>
    <t>Leonid obi︠a︡zatelʹno umret-- : roman / Dmitriĭ Lipskerov.</t>
  </si>
  <si>
    <t>Lipskerov, Dmitriĭ.</t>
  </si>
  <si>
    <t>Moskva : Astrelʹ : AST, 2006.</t>
  </si>
  <si>
    <t>10032735227:rus</t>
  </si>
  <si>
    <t>75971247</t>
  </si>
  <si>
    <t>ocm75971247</t>
  </si>
  <si>
    <t>31028203855</t>
  </si>
  <si>
    <t>9785170399970</t>
  </si>
  <si>
    <t>794175422</t>
  </si>
  <si>
    <t>PG3483 I448 O26 2016</t>
  </si>
  <si>
    <t>0                      PG 3483000I  448                O  26          2016</t>
  </si>
  <si>
    <t>O nem i o babochkakh : roman / Dmitriĭ Lipskerov.</t>
  </si>
  <si>
    <t>Lipskerov, Dmitriĭ, author.</t>
  </si>
  <si>
    <t>Proza Dmitrii︠a︡ Lipeskerova</t>
  </si>
  <si>
    <t>4017454079:rus</t>
  </si>
  <si>
    <t>960701954</t>
  </si>
  <si>
    <t>ocn960701954</t>
  </si>
  <si>
    <t>3103699355A</t>
  </si>
  <si>
    <t>9785170982684</t>
  </si>
  <si>
    <t>795023217</t>
  </si>
  <si>
    <t>PG3483 I448 P67 2000</t>
  </si>
  <si>
    <t>0                      PG 3483000I  448                P  67          2000</t>
  </si>
  <si>
    <t>Posledniĭ son razuma : roman / Dmitriĭ Lipskerov.</t>
  </si>
  <si>
    <t>1103676898:rus</t>
  </si>
  <si>
    <t>44105282</t>
  </si>
  <si>
    <t>ocm44105282</t>
  </si>
  <si>
    <t>3102395500R</t>
  </si>
  <si>
    <t>9785264001796</t>
  </si>
  <si>
    <t>793642622</t>
  </si>
  <si>
    <t>PG3483 O57 A6 2017</t>
  </si>
  <si>
    <t>0                      PG 3483000O  57                 A  6           2017</t>
  </si>
  <si>
    <t>Bezumnye voskresnye dni / Valeriĭ Lonskoĭ.</t>
  </si>
  <si>
    <t>Lonskoĭ, Valeriĭ, author.</t>
  </si>
  <si>
    <t>Moskva : Boslen, 2017.</t>
  </si>
  <si>
    <t>5194784244:rus</t>
  </si>
  <si>
    <t>1038023921</t>
  </si>
  <si>
    <t>on1038023921</t>
  </si>
  <si>
    <t>3103879994B</t>
  </si>
  <si>
    <t>9785911872953</t>
  </si>
  <si>
    <t>795058478</t>
  </si>
  <si>
    <t>PG3483 O57 G65 2018</t>
  </si>
  <si>
    <t>0                      PG 3483000O  57                 G  65          2018</t>
  </si>
  <si>
    <t>Golovokruzhenie v kont︠s︡e leta / Valeriĭ Lonskoĭ.</t>
  </si>
  <si>
    <t>Moskva : Boslen, 2018.</t>
  </si>
  <si>
    <t>5449694508:rus</t>
  </si>
  <si>
    <t>1053889058</t>
  </si>
  <si>
    <t>on1053889058</t>
  </si>
  <si>
    <t>3103863144K</t>
  </si>
  <si>
    <t>9785911873073</t>
  </si>
  <si>
    <t>795062668</t>
  </si>
  <si>
    <t>PG3483 U498 N54 2006</t>
  </si>
  <si>
    <t>0                      PG 3483000U  498                N  54          2006</t>
  </si>
  <si>
    <t>Nightwatch / Sergei Lukyanenko ; translated by Andrew Bromfield.</t>
  </si>
  <si>
    <t>Lukʹi︠a︡nenko, Sergeĭ.</t>
  </si>
  <si>
    <t>New York : Miramax Books/Hyperion, ©2006.</t>
  </si>
  <si>
    <t>Night watch series ; book 1</t>
  </si>
  <si>
    <t>2019-04-01</t>
  </si>
  <si>
    <t>3856672943:eng</t>
  </si>
  <si>
    <t>70635763</t>
  </si>
  <si>
    <t>ocm70635763</t>
  </si>
  <si>
    <t>3102636012B</t>
  </si>
  <si>
    <t>9781401359799</t>
  </si>
  <si>
    <t>794156857</t>
  </si>
  <si>
    <t>PG3483.2 K27 D65 2014</t>
  </si>
  <si>
    <t>0                      PG 3483200K  27                 D  65          2014</t>
  </si>
  <si>
    <t>Dolgozhiteli / Vladimir Makanin.</t>
  </si>
  <si>
    <t>Makanin, Vladimir, author.</t>
  </si>
  <si>
    <t>Moskva : Ėksmo, 2014.</t>
  </si>
  <si>
    <t>Proza sovremennogo klassika Vladimira Makanina</t>
  </si>
  <si>
    <t>3945305793:rus</t>
  </si>
  <si>
    <t>892488932</t>
  </si>
  <si>
    <t>ocn892488932</t>
  </si>
  <si>
    <t>3103199368A</t>
  </si>
  <si>
    <t>9785699750085</t>
  </si>
  <si>
    <t>794980865</t>
  </si>
  <si>
    <t>PG3483.2 K27 D84 2011</t>
  </si>
  <si>
    <t>0                      PG 3483200K  27                 D  84          2011</t>
  </si>
  <si>
    <t>Dve sestry i Kandinskiĭ : roman, ili st︠s︡eny iz zhizni 90-kh / Vladimir Makanin.</t>
  </si>
  <si>
    <t>Makanin, Vladimir.</t>
  </si>
  <si>
    <t>1097379093:rus</t>
  </si>
  <si>
    <t>775590639</t>
  </si>
  <si>
    <t>ocn775590639</t>
  </si>
  <si>
    <t>3103487257A</t>
  </si>
  <si>
    <t>9785699499748</t>
  </si>
  <si>
    <t>794907678</t>
  </si>
  <si>
    <t>PG3483.2 K27 O3 2014</t>
  </si>
  <si>
    <t>0                      PG 3483200K  27                 O  3           2014</t>
  </si>
  <si>
    <t>Obstrel / Vladimir Makanin.</t>
  </si>
  <si>
    <t>9438608146:rus</t>
  </si>
  <si>
    <t>879571264</t>
  </si>
  <si>
    <t>ocn879571264</t>
  </si>
  <si>
    <t>31031993974</t>
  </si>
  <si>
    <t>9785699709045</t>
  </si>
  <si>
    <t>794972275</t>
  </si>
  <si>
    <t>PG3483.2 K27 O36 2010</t>
  </si>
  <si>
    <t>0                      PG 3483200K  27                 O  36          2010</t>
  </si>
  <si>
    <t>Odnodnevnai︠a︡ voĭna / Vladimir Makanin.</t>
  </si>
  <si>
    <t>502948130:rus</t>
  </si>
  <si>
    <t>676925540</t>
  </si>
  <si>
    <t>ocn676925540</t>
  </si>
  <si>
    <t>3103393432P</t>
  </si>
  <si>
    <t>9785699407309</t>
  </si>
  <si>
    <t>794850198</t>
  </si>
  <si>
    <t>PG3483.2 K27 P75 2010</t>
  </si>
  <si>
    <t>0                      PG 3483200K  27                 P  75          2010</t>
  </si>
  <si>
    <t>Pri︠a︡mai︠a︡ linii︠a︡ / Vladimir Makanin.</t>
  </si>
  <si>
    <t>868880875:rus</t>
  </si>
  <si>
    <t>649438207</t>
  </si>
  <si>
    <t>ocn649438207</t>
  </si>
  <si>
    <t>31033006048</t>
  </si>
  <si>
    <t>9785699387939</t>
  </si>
  <si>
    <t>794831746</t>
  </si>
  <si>
    <t>PG3483.2 K36 F75 2012</t>
  </si>
  <si>
    <t>0                      PG 3483200K  36                 F  75          2012</t>
  </si>
  <si>
    <t>Fridl / Elena Makarova.</t>
  </si>
  <si>
    <t>Makarova, Elena, 1951-</t>
  </si>
  <si>
    <t>2015-02-02</t>
  </si>
  <si>
    <t>1105323811:rus</t>
  </si>
  <si>
    <t>791648407</t>
  </si>
  <si>
    <t>ocn791648407</t>
  </si>
  <si>
    <t>3103554943C</t>
  </si>
  <si>
    <t>9785867939519</t>
  </si>
  <si>
    <t>794916865</t>
  </si>
  <si>
    <t>PG3483.2 K474 N22 2019</t>
  </si>
  <si>
    <t>0                      PG 3483200K  474                N  22          2019</t>
  </si>
  <si>
    <t>Na konchike pera / Valentina Karpushina-Artegova.</t>
  </si>
  <si>
    <t>Karpushina-Artegova, Valentina Vladimirovna, author.</t>
  </si>
  <si>
    <t>Moskva : Rossiĭskiĭ soi︠u︡z pisateleĭ, 2019.</t>
  </si>
  <si>
    <t>9475398266:rus</t>
  </si>
  <si>
    <t>1114541748</t>
  </si>
  <si>
    <t>on1114541748</t>
  </si>
  <si>
    <t>3103880282B</t>
  </si>
  <si>
    <t>9785447733209</t>
  </si>
  <si>
    <t>795084477</t>
  </si>
  <si>
    <t>PG3483.2 K8 1973</t>
  </si>
  <si>
    <t>0                      PG 3483200K  8           1973</t>
  </si>
  <si>
    <t>Sobranie sochineniĭ / V. Maksimov.</t>
  </si>
  <si>
    <t>Maksimov, Vladimir, 1930-1995.</t>
  </si>
  <si>
    <t>Frankfurt/Main : Posev, 1973-1979.</t>
  </si>
  <si>
    <t>2004-05-18</t>
  </si>
  <si>
    <t>3135098560:rus</t>
  </si>
  <si>
    <t>1850522</t>
  </si>
  <si>
    <t>ocm01850522</t>
  </si>
  <si>
    <t>3100807809Y</t>
  </si>
  <si>
    <t>791999073</t>
  </si>
  <si>
    <t>3000324891Y</t>
  </si>
  <si>
    <t>791999078</t>
  </si>
  <si>
    <t>3100807808$</t>
  </si>
  <si>
    <t>791999075</t>
  </si>
  <si>
    <t>3100412432S</t>
  </si>
  <si>
    <t>791999076</t>
  </si>
  <si>
    <t>31008078071</t>
  </si>
  <si>
    <t>791999074</t>
  </si>
  <si>
    <t>31008078063</t>
  </si>
  <si>
    <t>791999077</t>
  </si>
  <si>
    <t>PG3483.2 K9 O88 2018</t>
  </si>
  <si>
    <t>0                      PG 3483200K  9                  O  88          2018</t>
  </si>
  <si>
    <t>Ostanovlennyĭ mir : Roman / Alekseĭ Makushinskiĭ.</t>
  </si>
  <si>
    <t>Makushinskiĭ, Alekseĭ, 1960- author.</t>
  </si>
  <si>
    <t>Moskva : Izdatelʹstvo "Ė", 2018.</t>
  </si>
  <si>
    <t>5217127892:rus</t>
  </si>
  <si>
    <t>1039599765</t>
  </si>
  <si>
    <t>on1039599765</t>
  </si>
  <si>
    <t>3103879961Q</t>
  </si>
  <si>
    <t>9785040919260</t>
  </si>
  <si>
    <t>795058859</t>
  </si>
  <si>
    <t>PG3483.2 M56 P67 2011</t>
  </si>
  <si>
    <t>0                      PG 3483200M  56                 P  67          2011</t>
  </si>
  <si>
    <t>Posle kont︠s︡a : roman / I︠U︡riĭ Mamleev.</t>
  </si>
  <si>
    <t>Mamleev, I︠U︡riĭ.</t>
  </si>
  <si>
    <t>1183176859:rus</t>
  </si>
  <si>
    <t>759475819</t>
  </si>
  <si>
    <t>ocn759475819</t>
  </si>
  <si>
    <t>3103478988L</t>
  </si>
  <si>
    <t>9785699510474</t>
  </si>
  <si>
    <t>794897406</t>
  </si>
  <si>
    <t>PG3483.2 R535 S64 1998</t>
  </si>
  <si>
    <t>0                      PG 3483200R  535                S  64          1998</t>
  </si>
  <si>
    <t>Smertʹ radi smerti / Aleksandra Marinina.</t>
  </si>
  <si>
    <t>Marinina, Aleksandra.</t>
  </si>
  <si>
    <t>Moskva : Izd-vo Ėksmo, 1998.</t>
  </si>
  <si>
    <t>Detektiv glazami zhenshchiny</t>
  </si>
  <si>
    <t>2736329:rus</t>
  </si>
  <si>
    <t>41079918</t>
  </si>
  <si>
    <t>ocm41079918</t>
  </si>
  <si>
    <t>31019455762</t>
  </si>
  <si>
    <t>9785040004119</t>
  </si>
  <si>
    <t>793584064</t>
  </si>
  <si>
    <t>PG3483.2 R54 B4 2004</t>
  </si>
  <si>
    <t>0                      PG 3483200R  54                 B  4           2004</t>
  </si>
  <si>
    <t>Belyĭ krug : [roman] / David Markish.</t>
  </si>
  <si>
    <t>Markish, David, 1938-</t>
  </si>
  <si>
    <t>Moskva : Izografus, 2004.</t>
  </si>
  <si>
    <t>10141468356:rus</t>
  </si>
  <si>
    <t>57285413</t>
  </si>
  <si>
    <t>ocm57285413</t>
  </si>
  <si>
    <t>3102687048D</t>
  </si>
  <si>
    <t>9785946610872</t>
  </si>
  <si>
    <t>793910119</t>
  </si>
  <si>
    <t>PG3483.2 R54 O8 2017</t>
  </si>
  <si>
    <t>0                      PG 3483200R  54                 O  8           2017</t>
  </si>
  <si>
    <t>Ot cherty do cherty / David Markish.</t>
  </si>
  <si>
    <t>Markish, David, 1938- author.</t>
  </si>
  <si>
    <t>4736606051:rus</t>
  </si>
  <si>
    <t>986524193</t>
  </si>
  <si>
    <t>ocn986524193</t>
  </si>
  <si>
    <t>31038593788</t>
  </si>
  <si>
    <t>9785699936045</t>
  </si>
  <si>
    <t>795035661</t>
  </si>
  <si>
    <t>PG3483.2 T768 D48 2014</t>
  </si>
  <si>
    <t>0                      PG 3483200T  768                D  48          2014</t>
  </si>
  <si>
    <t>Devi︠a︡tʹ devi︠a︡nostykh : rasskazy / Anna Matveeva.</t>
  </si>
  <si>
    <t>Matveeva, Anna, 1972- author.</t>
  </si>
  <si>
    <t>Moskva : Redakt︠s︡ii︠a︡ Eleny Shubinoĭ : AST, 2014.</t>
  </si>
  <si>
    <t>Proza Anny Matveevoĭ</t>
  </si>
  <si>
    <t>3862941044:rus</t>
  </si>
  <si>
    <t>889406178</t>
  </si>
  <si>
    <t>ocn889406178</t>
  </si>
  <si>
    <t>3103586041G</t>
  </si>
  <si>
    <t>9785170840670</t>
  </si>
  <si>
    <t>794978370</t>
  </si>
  <si>
    <t>PG3483.2 T768 E8817 2010</t>
  </si>
  <si>
    <t>0                      PG 3483200T  768                E  8817        2010</t>
  </si>
  <si>
    <t>Estʹ! / Anna Matveeva.</t>
  </si>
  <si>
    <t>Matveeva, Anna, 1972-</t>
  </si>
  <si>
    <t>1222879073:rus</t>
  </si>
  <si>
    <t>663108297</t>
  </si>
  <si>
    <t>ocn663108297</t>
  </si>
  <si>
    <t>3103410180X</t>
  </si>
  <si>
    <t>9785389009578</t>
  </si>
  <si>
    <t>794837743</t>
  </si>
  <si>
    <t>PG3483.2 T768 G67 2017</t>
  </si>
  <si>
    <t>0                      PG 3483200T  768                G  67          2017</t>
  </si>
  <si>
    <t>Gorozhane : udivitelʹnye istorii iz zhizni li︠u︡deĭ goroda E. : rasskazy / Anna Matveeva.</t>
  </si>
  <si>
    <t>2018-09-14</t>
  </si>
  <si>
    <t>4069230994:rus</t>
  </si>
  <si>
    <t>972644263</t>
  </si>
  <si>
    <t>ocn972644263</t>
  </si>
  <si>
    <t>3103760657D</t>
  </si>
  <si>
    <t>9785171004217</t>
  </si>
  <si>
    <t>795028753</t>
  </si>
  <si>
    <t>PG3483.2 T768 L65 2016</t>
  </si>
  <si>
    <t>0                      PG 3483200T  768                L  65          2016</t>
  </si>
  <si>
    <t>Lolotta i drugie parizhskie istorii : rasskazy i povesti / Anna Matveeva.</t>
  </si>
  <si>
    <t>3870087262:rus</t>
  </si>
  <si>
    <t>958391106</t>
  </si>
  <si>
    <t>ocn958391106</t>
  </si>
  <si>
    <t>3103699151Q</t>
  </si>
  <si>
    <t>9785170969913</t>
  </si>
  <si>
    <t>795021766</t>
  </si>
  <si>
    <t>PG3483.2 T768 N35 2007</t>
  </si>
  <si>
    <t>0                      PG 3483200T  768                N  35          2007</t>
  </si>
  <si>
    <t>Naĭti Tatʹi︠a︡nu / Anna Matveeva.</t>
  </si>
  <si>
    <t>Moskva : AST : Khranitelʹ, ©2007.</t>
  </si>
  <si>
    <t>1807552058:rus</t>
  </si>
  <si>
    <t>85690039</t>
  </si>
  <si>
    <t>ocm85690039</t>
  </si>
  <si>
    <t>31032006700</t>
  </si>
  <si>
    <t>9785170398195</t>
  </si>
  <si>
    <t>794214141</t>
  </si>
  <si>
    <t>PG3483.2 T768 N42 2004</t>
  </si>
  <si>
    <t>0                      PG 3483200T  768                N  42          2004</t>
  </si>
  <si>
    <t>Nebesa / Anna Matveeva.</t>
  </si>
  <si>
    <t>Moskva : Izd-vo AST : Li︠u︡ks, 2004.</t>
  </si>
  <si>
    <t>Gorodskoĭ roman</t>
  </si>
  <si>
    <t>8909950976:rus</t>
  </si>
  <si>
    <t>57557097</t>
  </si>
  <si>
    <t>ocm57557097</t>
  </si>
  <si>
    <t>3103622170P</t>
  </si>
  <si>
    <t>9785170267941</t>
  </si>
  <si>
    <t>793915393</t>
  </si>
  <si>
    <t>PG3483.2 T768 P3 2001</t>
  </si>
  <si>
    <t>0                      PG 3483200T  768                P  3           2001</t>
  </si>
  <si>
    <t>Pa-de-trua : [povesti i rasskazy] / Anna Matveeva.</t>
  </si>
  <si>
    <t>Ekaterinburg : U-Faktorii︠a︡, 2001.</t>
  </si>
  <si>
    <t>39582165:rus</t>
  </si>
  <si>
    <t>49976993</t>
  </si>
  <si>
    <t>ocm49976993</t>
  </si>
  <si>
    <t>3103200153J</t>
  </si>
  <si>
    <t>9785941760916</t>
  </si>
  <si>
    <t>793752672</t>
  </si>
  <si>
    <t>PG3483.2 T768 P47 2013</t>
  </si>
  <si>
    <t>0                      PG 3483200T  768                P  47          2013</t>
  </si>
  <si>
    <t>Pereval Di︠a︡tlova, ili Taĭna devi︠a︡ti : roman / Anna Matveeva.</t>
  </si>
  <si>
    <t>Moskva : AST, [2013]</t>
  </si>
  <si>
    <t>1843799113:rus</t>
  </si>
  <si>
    <t>844706568</t>
  </si>
  <si>
    <t>ocn844706568</t>
  </si>
  <si>
    <t>31032006750</t>
  </si>
  <si>
    <t>9785170777259</t>
  </si>
  <si>
    <t>794948660</t>
  </si>
  <si>
    <t>PG3483.2 T768 P63 2013</t>
  </si>
  <si>
    <t>0                      PG 3483200T  768                P  63          2013</t>
  </si>
  <si>
    <t>Podozhdi, i︠a︡ umru--i pridu : Rasskazy / Anna Matveeva.</t>
  </si>
  <si>
    <t>Moskva : AST, 2013.</t>
  </si>
  <si>
    <t>1410089086:rus</t>
  </si>
  <si>
    <t>861229560</t>
  </si>
  <si>
    <t>ocn861229560</t>
  </si>
  <si>
    <t>3103622175F</t>
  </si>
  <si>
    <t>9785170801176</t>
  </si>
  <si>
    <t>794958956</t>
  </si>
  <si>
    <t>PG3483.2 T768 Z18 2015</t>
  </si>
  <si>
    <t>0                      PG 3483200T  768                Z  18          2015</t>
  </si>
  <si>
    <t>Zavidnoe chuvstvo Very Steninoĭ : roman / Anna Matveeva.</t>
  </si>
  <si>
    <t>Moskva : Redakt︠s︡ii︠a︡ Eleny Shubinoĭ, 2015.</t>
  </si>
  <si>
    <t>Proza: zhenskiĭ rod</t>
  </si>
  <si>
    <t>2016-01-22</t>
  </si>
  <si>
    <t>2558191439:rus</t>
  </si>
  <si>
    <t>912057451</t>
  </si>
  <si>
    <t>ocn912057451</t>
  </si>
  <si>
    <t>3103638891R</t>
  </si>
  <si>
    <t>9785170907533</t>
  </si>
  <si>
    <t>794998727</t>
  </si>
  <si>
    <t>PG3483.3 E3787 A6 2016</t>
  </si>
  <si>
    <t>0                      PG 3483300E  3787               A  6           2016</t>
  </si>
  <si>
    <t>Voskreshenie Lilit / Aleksandr Melikhov.</t>
  </si>
  <si>
    <t>Melikhov, Aleksandr, author</t>
  </si>
  <si>
    <t>Moskva : Izdatelʹstvo Ė, 2016.</t>
  </si>
  <si>
    <t>Bolʹshai︠a︡ literatura. Proza Aleksandra Melikhova</t>
  </si>
  <si>
    <t>3973066815:rus</t>
  </si>
  <si>
    <t>949409100</t>
  </si>
  <si>
    <t>ocn949409100</t>
  </si>
  <si>
    <t>3103699122X</t>
  </si>
  <si>
    <t>9785699869800</t>
  </si>
  <si>
    <t>795015969</t>
  </si>
  <si>
    <t>PG3483.3 E3787I45 2015</t>
  </si>
  <si>
    <t>0                      PG 3483300E  3787               I  45          2015</t>
  </si>
  <si>
    <t>I net im vozdai︠a︡nii︠a︡ / Aleksandr Melikhov.</t>
  </si>
  <si>
    <t>Melikhov, Aleksandr, author.</t>
  </si>
  <si>
    <t>2873475226:rus</t>
  </si>
  <si>
    <t>934200249</t>
  </si>
  <si>
    <t>ocn934200249</t>
  </si>
  <si>
    <t>3103687512$</t>
  </si>
  <si>
    <t>9785699847112</t>
  </si>
  <si>
    <t>795009518</t>
  </si>
  <si>
    <t>PG3483.3 E77 S77 2017</t>
  </si>
  <si>
    <t>0                      PG 3483300E  77                 S  77          2017</t>
  </si>
  <si>
    <t>Striptiz na 115-ĭ doroge : rasskazy / Vadim Mesi︠a︡t︠s︡.</t>
  </si>
  <si>
    <t>Mesi︠a︡t︠s︡, Vadim, author.</t>
  </si>
  <si>
    <t>Odissei︠a︡ russkogo cheloveka : proza Vadima Mei︠a︡t︠s︡a</t>
  </si>
  <si>
    <t>4213181106:rus</t>
  </si>
  <si>
    <t>987332969</t>
  </si>
  <si>
    <t>ocn987332969</t>
  </si>
  <si>
    <t>3103879966G</t>
  </si>
  <si>
    <t>9785699941254</t>
  </si>
  <si>
    <t>795036022</t>
  </si>
  <si>
    <t>PG3483.3 I4268 U3 2014</t>
  </si>
  <si>
    <t>0                      PG 3483300I  4268               U  3           2014</t>
  </si>
  <si>
    <t>U nas v sadu zhuliki / Anatoliĭ Mikhaĭlov.</t>
  </si>
  <si>
    <t>Mikhaĭlov, Anatoliĭ, author.</t>
  </si>
  <si>
    <t>Moskva : Eksmo, 2014.</t>
  </si>
  <si>
    <t>2061066237:rus</t>
  </si>
  <si>
    <t>889370879</t>
  </si>
  <si>
    <t>ocn889370879</t>
  </si>
  <si>
    <t>3103621256K</t>
  </si>
  <si>
    <t>9785699669882</t>
  </si>
  <si>
    <t>794978366</t>
  </si>
  <si>
    <t>PG3483.3 I47 P75 2014</t>
  </si>
  <si>
    <t>0                      PG 3483300I  47                 P  75          2014</t>
  </si>
  <si>
    <t>Priglashënnai︠a︡ : roman / I︠U︡riĭ Miloslavskiĭ.</t>
  </si>
  <si>
    <t>Miloslavskiĭ, I︠U︡riĭ, author.</t>
  </si>
  <si>
    <t>2162540331:rus</t>
  </si>
  <si>
    <t>892579713</t>
  </si>
  <si>
    <t>ocn892579713</t>
  </si>
  <si>
    <t>31035865255</t>
  </si>
  <si>
    <t>9785170850259</t>
  </si>
  <si>
    <t>794980939</t>
  </si>
  <si>
    <t>PG3483.3 I5544 O87 2007</t>
  </si>
  <si>
    <t>0                      PG 3483300I  5544               O  87          2007</t>
  </si>
  <si>
    <t>Otryv / Aleksandr Mindadze ; [predislovie Dmitrii︠a︡ Bykova].</t>
  </si>
  <si>
    <t>Mindadze, Aleksandr.</t>
  </si>
  <si>
    <t>Sankt-Peterburg : Seans : Amfora, 2007.</t>
  </si>
  <si>
    <t>Biblioteka kinodramaturga</t>
  </si>
  <si>
    <t>5610298444:rus</t>
  </si>
  <si>
    <t>232329107</t>
  </si>
  <si>
    <t>ocn232329107</t>
  </si>
  <si>
    <t>31032223153</t>
  </si>
  <si>
    <t>9785367005226</t>
  </si>
  <si>
    <t>794363448</t>
  </si>
  <si>
    <t>PG3483.3 O739 P69 2009</t>
  </si>
  <si>
    <t>0                      PG 3483300O  739                P  69          2009</t>
  </si>
  <si>
    <t>Pozor i chistota : narodnai︠a︡ drama v tridt︠s︡ati glavakh / Tatʹi︠a︡na Moskvina.</t>
  </si>
  <si>
    <t>Moskvina, T. V.</t>
  </si>
  <si>
    <t>864943802:rus</t>
  </si>
  <si>
    <t>501151364</t>
  </si>
  <si>
    <t>ocn501151364</t>
  </si>
  <si>
    <t>3103393431P</t>
  </si>
  <si>
    <t>9785170625857</t>
  </si>
  <si>
    <t>794804444</t>
  </si>
  <si>
    <t>PG3483.3 O739 Z46 2015</t>
  </si>
  <si>
    <t>0                      PG 3483300O  739                Z  46          2015</t>
  </si>
  <si>
    <t>Zhiznʹ sovetskoĭ devushki : bioroman / Tatʹi︠a︡na Moskvina.</t>
  </si>
  <si>
    <t>Moskvina, T. V., author.</t>
  </si>
  <si>
    <t>Na poslednem dykhanii</t>
  </si>
  <si>
    <t>3863165482:rus</t>
  </si>
  <si>
    <t>902634433</t>
  </si>
  <si>
    <t>ocn902634433</t>
  </si>
  <si>
    <t>31036324820</t>
  </si>
  <si>
    <t>9785170868438</t>
  </si>
  <si>
    <t>794988286</t>
  </si>
  <si>
    <t>PG3483.3 O88 S47 2017</t>
  </si>
  <si>
    <t>0                      PG 3483300O  88                 S  47          2017</t>
  </si>
  <si>
    <t>Serdt︠s︡a kristalʹnye rossypi / Viktor Mostovoĭ.</t>
  </si>
  <si>
    <t>Mostovoĭ, Viktor, 1952- author.</t>
  </si>
  <si>
    <t>Moskva : Internat︠s︡ionalʹnyĭ Soi︠u︡z pisateleĭ, 2017.</t>
  </si>
  <si>
    <t>Sovremenniki i klassiki</t>
  </si>
  <si>
    <t>4721432825:rus</t>
  </si>
  <si>
    <t>1019638841</t>
  </si>
  <si>
    <t>on1019638841</t>
  </si>
  <si>
    <t>31037660658</t>
  </si>
  <si>
    <t>9785906916617</t>
  </si>
  <si>
    <t>795049257</t>
  </si>
  <si>
    <t>PG3484 A48 A6 2017</t>
  </si>
  <si>
    <t>0                      PG 3484000A  48                 A  6           2017</t>
  </si>
  <si>
    <t>Rasskazy o / Anatoliĭ Naĭman.</t>
  </si>
  <si>
    <t>Naĭman, Anatoliĭ, author.</t>
  </si>
  <si>
    <t>Moskva : AST, 2017.</t>
  </si>
  <si>
    <t>Lichnyĭ arkhiv</t>
  </si>
  <si>
    <t>4437031392:rus</t>
  </si>
  <si>
    <t>995806486</t>
  </si>
  <si>
    <t>ocn995806486</t>
  </si>
  <si>
    <t>3103759996Q</t>
  </si>
  <si>
    <t>9785171011499</t>
  </si>
  <si>
    <t>795039712</t>
  </si>
  <si>
    <t>PG3484 I4318 G78 2016</t>
  </si>
  <si>
    <t>0                      PG 3484000I  4318               G  78          2016</t>
  </si>
  <si>
    <t>Gruzinskai︠a︡ rapsodii︠a︡ : Rasskazy / Olesi︠a︡ Nikolaeva.</t>
  </si>
  <si>
    <t>Nikolaeva, Olesi︠a︡, author.</t>
  </si>
  <si>
    <t>Moskva : Izdatelʹstvo Sretenskogo monastyri︠a︡, 2016.</t>
  </si>
  <si>
    <t>3028894087:rus</t>
  </si>
  <si>
    <t>948748878</t>
  </si>
  <si>
    <t>ocn948748878</t>
  </si>
  <si>
    <t>31036593604</t>
  </si>
  <si>
    <t>9785753310958</t>
  </si>
  <si>
    <t>795015719</t>
  </si>
  <si>
    <t>PG3484 I4318 P68 2016</t>
  </si>
  <si>
    <t>0                      PG 3484000I  4318               P  68          2016</t>
  </si>
  <si>
    <t>Povelitelʹ dozhdi︠a︡ / Olesi︠a︡ Nikolaeva.</t>
  </si>
  <si>
    <t>Voronezh : Izdatelʹstvo Borisova, 2016.</t>
  </si>
  <si>
    <t>3026372497:rus</t>
  </si>
  <si>
    <t>950002526</t>
  </si>
  <si>
    <t>ocn950002526</t>
  </si>
  <si>
    <t>31036594147</t>
  </si>
  <si>
    <t>9785932880135</t>
  </si>
  <si>
    <t>795016487</t>
  </si>
  <si>
    <t>PG3484 I496 G67 2011</t>
  </si>
  <si>
    <t>0                      PG 3484000I  496                G  67          2011</t>
  </si>
  <si>
    <t>Gospodi, sdelaĭ tak-- : roman / Naum Nim.</t>
  </si>
  <si>
    <t>Nim, Naum.</t>
  </si>
  <si>
    <t>Moskva : Astrelʹ : CORPUS, 2011.</t>
  </si>
  <si>
    <t>2012-09-25</t>
  </si>
  <si>
    <t>1040109795:rus</t>
  </si>
  <si>
    <t>759476063</t>
  </si>
  <si>
    <t>ocn759476063</t>
  </si>
  <si>
    <t>3103440032V</t>
  </si>
  <si>
    <t>9785271376641</t>
  </si>
  <si>
    <t>794897407</t>
  </si>
  <si>
    <t>PG3484 O747 F73 2012</t>
  </si>
  <si>
    <t>0                      PG 3484000O  747                F  73          2012</t>
  </si>
  <si>
    <t>Fransuaza, ili, Putʹ k ledniku : roman / Sergeĭ Nosov.</t>
  </si>
  <si>
    <t>Nosov, Sergeĭ.</t>
  </si>
  <si>
    <t>1261437994:rus</t>
  </si>
  <si>
    <t>785512732</t>
  </si>
  <si>
    <t>ocn785512732</t>
  </si>
  <si>
    <t>3103440031V</t>
  </si>
  <si>
    <t>9785271392627</t>
  </si>
  <si>
    <t>794914952</t>
  </si>
  <si>
    <t>PG3484 O81715 G65 2017</t>
  </si>
  <si>
    <t>0                      PG 3484000O  81715              G  65          2017</t>
  </si>
  <si>
    <t>Golomi︠a︡noe plami︠a︡ : roman / Dmitriĭ Novikov.</t>
  </si>
  <si>
    <t>Novikov, Dmitriĭ, author.</t>
  </si>
  <si>
    <t>Moskva : AST : Redakt︠s︡ii︠a︡ Eleny Shubinoĭ, [2017]</t>
  </si>
  <si>
    <t>4428280999:rus</t>
  </si>
  <si>
    <t>971615231</t>
  </si>
  <si>
    <t>ocn971615231</t>
  </si>
  <si>
    <t>3103759811R</t>
  </si>
  <si>
    <t>9785171010096</t>
  </si>
  <si>
    <t>795028350</t>
  </si>
  <si>
    <t>PG3485 A454 K33 2012</t>
  </si>
  <si>
    <t>0                      PG 3485000A  454                K  33          2012</t>
  </si>
  <si>
    <t>Kabirii︠a︡ s Obvodnogo kanala : povesti i rasskazy / Marina Paleĭ.</t>
  </si>
  <si>
    <t>Paleĭ, Marina.</t>
  </si>
  <si>
    <t>Prin︠t︡sessa stil︠i︡a</t>
  </si>
  <si>
    <t>10076633605:rus</t>
  </si>
  <si>
    <t>779625219</t>
  </si>
  <si>
    <t>ocn779625219</t>
  </si>
  <si>
    <t>3103478959R</t>
  </si>
  <si>
    <t>9785699533336</t>
  </si>
  <si>
    <t>794911167</t>
  </si>
  <si>
    <t>PG3485 A8686 A75 2011</t>
  </si>
  <si>
    <t>0                      PG 3485000A  8686               A  75          2011</t>
  </si>
  <si>
    <t>Asistolii︠a︡ : roman / Oleg Pavlov.</t>
  </si>
  <si>
    <t>Pavlov, Oleg, 1970-</t>
  </si>
  <si>
    <t>10141935359:rus</t>
  </si>
  <si>
    <t>739837835</t>
  </si>
  <si>
    <t>ocn739837835</t>
  </si>
  <si>
    <t>31033938627</t>
  </si>
  <si>
    <t>9785969106833</t>
  </si>
  <si>
    <t>794883056</t>
  </si>
  <si>
    <t>PG3485 A8686 D45 2013</t>
  </si>
  <si>
    <t>0                      PG 3485000A  8686               D  45          2013</t>
  </si>
  <si>
    <t>Delo Mati︠u︡shina : roman / Oleg Pavlov.</t>
  </si>
  <si>
    <t>Proza Olega Pavlova</t>
  </si>
  <si>
    <t>2016-03-11</t>
  </si>
  <si>
    <t>4440858551:rus</t>
  </si>
  <si>
    <t>830311252</t>
  </si>
  <si>
    <t>ocn830311252</t>
  </si>
  <si>
    <t>3103527075$</t>
  </si>
  <si>
    <t>9785969107984</t>
  </si>
  <si>
    <t>794943251</t>
  </si>
  <si>
    <t>PG3485 A8686 K37 2013</t>
  </si>
  <si>
    <t>0                      PG 3485000A  8686               K  37          2013</t>
  </si>
  <si>
    <t>Karagandinskie devi︠a︡tiny, ili Povestʹ poslednikh dneĭ : roman / Oleg Pavlov, Laureat premii Aleksandra Solzhenit︠s︡yna.</t>
  </si>
  <si>
    <t>Pavlov, Oleg, 1970- author.</t>
  </si>
  <si>
    <t>1313684680:rus</t>
  </si>
  <si>
    <t>842908809</t>
  </si>
  <si>
    <t>ocn842908809</t>
  </si>
  <si>
    <t>3103557240L</t>
  </si>
  <si>
    <t>9785969108387</t>
  </si>
  <si>
    <t>794947728</t>
  </si>
  <si>
    <t>PG3485 E38 A23 1997</t>
  </si>
  <si>
    <t>0                      PG 3485000E  38                 A  23          1997</t>
  </si>
  <si>
    <t>The blue lantern and other stories / by Victor Pelevin ; translated from the Russian by Andrew Bromfield.</t>
  </si>
  <si>
    <t>Pelevin, Viktor.</t>
  </si>
  <si>
    <t>London : Harbord Pub., 1997.</t>
  </si>
  <si>
    <t>199892714:eng</t>
  </si>
  <si>
    <t>39173077</t>
  </si>
  <si>
    <t>ocm39173077</t>
  </si>
  <si>
    <t>3102948196Z</t>
  </si>
  <si>
    <t>9781899414307</t>
  </si>
  <si>
    <t>793539783</t>
  </si>
  <si>
    <t>PG3485 E38 A3 1999</t>
  </si>
  <si>
    <t>0                      PG 3485000E  38                 A  3           1999</t>
  </si>
  <si>
    <t>Un monde de cristal : nouvelles / Viktor Pelevine ; traduites du russe par Galia Ackerman et Pierre Lorrain.</t>
  </si>
  <si>
    <t>Paris : Éditions du Seuil, ©1999.</t>
  </si>
  <si>
    <t>479067548:fre</t>
  </si>
  <si>
    <t>41858596</t>
  </si>
  <si>
    <t>ocm41858596</t>
  </si>
  <si>
    <t>31028206208</t>
  </si>
  <si>
    <t>9782020358644</t>
  </si>
  <si>
    <t>793597734</t>
  </si>
  <si>
    <t>PG3485 E38 A6 2005</t>
  </si>
  <si>
    <t>0                      PG 3485000E  38                 A  6           2005</t>
  </si>
  <si>
    <t>Vse rasskazy / Viktor Pelevin.</t>
  </si>
  <si>
    <t>Moskva : ĖKSMO, 2005.</t>
  </si>
  <si>
    <t>3860007305:rus</t>
  </si>
  <si>
    <t>63516880</t>
  </si>
  <si>
    <t>ocm63516880</t>
  </si>
  <si>
    <t>3102558084M</t>
  </si>
  <si>
    <t>9785699137367</t>
  </si>
  <si>
    <t>794121586</t>
  </si>
  <si>
    <t>PG3485 E38 A6 2005b</t>
  </si>
  <si>
    <t>0                      PG 3485000E  38                 A  6           2005b</t>
  </si>
  <si>
    <t>Vse povesti i ėsse / Viktor Pelevin.</t>
  </si>
  <si>
    <t>3858278386:rus</t>
  </si>
  <si>
    <t>63516853</t>
  </si>
  <si>
    <t>ocm63516853</t>
  </si>
  <si>
    <t>31026575679</t>
  </si>
  <si>
    <t>9785699137350</t>
  </si>
  <si>
    <t>794121585</t>
  </si>
  <si>
    <t>PG3485 E38 A63 2011</t>
  </si>
  <si>
    <t>0                      PG 3485000E  38                 A  63          2011</t>
  </si>
  <si>
    <t>Ananasnai︠a︡ voda dli︠a︡ prekrasnoĭ damy : voĭn@ i mīr / Viktor Pelevin.</t>
  </si>
  <si>
    <t>2018-06-05</t>
  </si>
  <si>
    <t>769093210:rus</t>
  </si>
  <si>
    <t>706966568</t>
  </si>
  <si>
    <t>ocn706966568</t>
  </si>
  <si>
    <t>3103394644D</t>
  </si>
  <si>
    <t>9785699462919</t>
  </si>
  <si>
    <t>794867322</t>
  </si>
  <si>
    <t>PG3485 E38 C45 1996</t>
  </si>
  <si>
    <t>0                      PG 3485000E  38                 C  45          1996</t>
  </si>
  <si>
    <t>Chapaev i Pustota : roman / Viktor Pelevin ; predislovie Urgana Dzhambona Tulku VII.</t>
  </si>
  <si>
    <t>Moskva : Vagrius, 1996.</t>
  </si>
  <si>
    <t>10141867178:rus</t>
  </si>
  <si>
    <t>36125159</t>
  </si>
  <si>
    <t>ocm36125159</t>
  </si>
  <si>
    <t>31017046845</t>
  </si>
  <si>
    <t>9785702703442</t>
  </si>
  <si>
    <t>793466905</t>
  </si>
  <si>
    <t>PG3485 E38 C4813 1999</t>
  </si>
  <si>
    <t>0                      PG 3485000E  38                 C  4813        1999</t>
  </si>
  <si>
    <t>The clay machine-gun / Victor Pelevin ; translated by Andrew Bromfield.</t>
  </si>
  <si>
    <t>London : Faber and Faber : Harbord Pub., 1999.</t>
  </si>
  <si>
    <t>8909688822:eng</t>
  </si>
  <si>
    <t>42039775</t>
  </si>
  <si>
    <t>ocm42039775</t>
  </si>
  <si>
    <t>31030133588</t>
  </si>
  <si>
    <t>9780571194063</t>
  </si>
  <si>
    <t>793601794</t>
  </si>
  <si>
    <t>PG3485 E38 C55 2006</t>
  </si>
  <si>
    <t>0                      PG 3485000E  38                 C  55          2006</t>
  </si>
  <si>
    <t>Chisla / Viktor Pelevin.</t>
  </si>
  <si>
    <t>Moskva : Ėksmo, 2006.</t>
  </si>
  <si>
    <t>3943584556:rus</t>
  </si>
  <si>
    <t>69498074</t>
  </si>
  <si>
    <t>ocm69498074</t>
  </si>
  <si>
    <t>3102687000L</t>
  </si>
  <si>
    <t>9785699156214</t>
  </si>
  <si>
    <t>794146179</t>
  </si>
  <si>
    <t>PG3485 E38 D5 2003</t>
  </si>
  <si>
    <t>0                      PG 3485000E  38                 D  5           2003</t>
  </si>
  <si>
    <t>Dialektika Perekhodnogo Perioda iz Niotkuda v Nikuda : [izbrannye proizvedenii︠a︡] / Viktor Pelevin.</t>
  </si>
  <si>
    <t>Moskva : ĖKSMO, 2003.</t>
  </si>
  <si>
    <t>2018-04-26</t>
  </si>
  <si>
    <t>8910164783:rus</t>
  </si>
  <si>
    <t>53196952</t>
  </si>
  <si>
    <t>ocm53196952</t>
  </si>
  <si>
    <t>3102404902L</t>
  </si>
  <si>
    <t>9785699034918</t>
  </si>
  <si>
    <t>793823556</t>
  </si>
  <si>
    <t>PG3485 E38 G46 1999</t>
  </si>
  <si>
    <t>0                      PG 3485000E  38                 G  46          1999</t>
  </si>
  <si>
    <t>Generation "P" : roman / Viktor Pelevin.</t>
  </si>
  <si>
    <t>Moskva : Vagrius, 1999.</t>
  </si>
  <si>
    <t>2755254:rus</t>
  </si>
  <si>
    <t>41359180</t>
  </si>
  <si>
    <t>ocm41359180</t>
  </si>
  <si>
    <t>31019860446</t>
  </si>
  <si>
    <t>9785702709499</t>
  </si>
  <si>
    <t>793589821</t>
  </si>
  <si>
    <t>PG3485 E38 G4613 2002</t>
  </si>
  <si>
    <t>0                      PG 3485000E  38                 G  4613        2002</t>
  </si>
  <si>
    <t>Homo zapiens / Victor Pelevin ; translated by Andrew Bromfield.</t>
  </si>
  <si>
    <t>New York : Viking, 2002.</t>
  </si>
  <si>
    <t>2755254:eng</t>
  </si>
  <si>
    <t>48223720</t>
  </si>
  <si>
    <t>ocm48223720</t>
  </si>
  <si>
    <t>3103013347A</t>
  </si>
  <si>
    <t>9780670030668</t>
  </si>
  <si>
    <t>793718260</t>
  </si>
  <si>
    <t>PG3485 E38 I64 2017</t>
  </si>
  <si>
    <t>0                      PG 3485000E  38                 I  64          2017</t>
  </si>
  <si>
    <t>IPhuck 10 / Viktor Pelevin.</t>
  </si>
  <si>
    <t>Pelevin, Viktor, author.</t>
  </si>
  <si>
    <t>Edinstvennyĭ i nepovtorimyĭ. Viktor Pelevin</t>
  </si>
  <si>
    <t>4586848469:rus</t>
  </si>
  <si>
    <t>1006418394</t>
  </si>
  <si>
    <t>on1006418394</t>
  </si>
  <si>
    <t>3103760604Y</t>
  </si>
  <si>
    <t>9785040893942</t>
  </si>
  <si>
    <t>795043000</t>
  </si>
  <si>
    <t>PG3485 E38 L58 2014</t>
  </si>
  <si>
    <t>0                      PG 3485000E  38                 L  58          2014</t>
  </si>
  <si>
    <t>Li︠u︡bovʹ k trem t︠s︡ukerbrinam / Viktor Pelevin.</t>
  </si>
  <si>
    <t>3772119976:rus</t>
  </si>
  <si>
    <t>891376606</t>
  </si>
  <si>
    <t>ocn891376606</t>
  </si>
  <si>
    <t>3103199534A</t>
  </si>
  <si>
    <t>9785699754670</t>
  </si>
  <si>
    <t>794980104</t>
  </si>
  <si>
    <t>PG3485 E38 O513 1994</t>
  </si>
  <si>
    <t>0                      PG 3485000E  38                 O  513         1994</t>
  </si>
  <si>
    <t>Omon Ra : with the novella The Yellow arrow / by Victor Pelevin ; translated from the Russian by Andrew Bromfield.</t>
  </si>
  <si>
    <t>London : Harbord Pub., ©1994.</t>
  </si>
  <si>
    <t>10141377620:eng</t>
  </si>
  <si>
    <t>35723152</t>
  </si>
  <si>
    <t>ocm35723152</t>
  </si>
  <si>
    <t>31029481860</t>
  </si>
  <si>
    <t>9781899414000</t>
  </si>
  <si>
    <t>793455798</t>
  </si>
  <si>
    <t>PG3485 E38 S56 2005</t>
  </si>
  <si>
    <t>0                      PG 3485000E  38                 S  56          2005</t>
  </si>
  <si>
    <t>Shlem uzhasa : kreatiff o Tesee i Minotavre / Viktor Pelevin.</t>
  </si>
  <si>
    <t>Moskva : Otkrytyĭ mir, 2005.</t>
  </si>
  <si>
    <t>Mify</t>
  </si>
  <si>
    <t>8910693796:rus</t>
  </si>
  <si>
    <t>62858171</t>
  </si>
  <si>
    <t>ocm62858171</t>
  </si>
  <si>
    <t>3102687003L</t>
  </si>
  <si>
    <t>9785974300103</t>
  </si>
  <si>
    <t>794113066</t>
  </si>
  <si>
    <t>PG3485 E38 S66 2015</t>
  </si>
  <si>
    <t>0                      PG 3485000E  38                 S  66          2015</t>
  </si>
  <si>
    <t>Smotritelʹ : Kuvyrok mysli / Viktor Pelevin.</t>
  </si>
  <si>
    <t>Edinstvennyĭ i nepovtorimyĭ, Viktor Pelevin</t>
  </si>
  <si>
    <t>9904212209:rus</t>
  </si>
  <si>
    <t>994871407</t>
  </si>
  <si>
    <t>ocn994871407</t>
  </si>
  <si>
    <t>31036594341</t>
  </si>
  <si>
    <t>9785699834174</t>
  </si>
  <si>
    <t>795039301</t>
  </si>
  <si>
    <t>31037283001</t>
  </si>
  <si>
    <t>795039300</t>
  </si>
  <si>
    <t>PG3485 E38 S6813 2015</t>
  </si>
  <si>
    <t>0                      PG 3485000E  38                 S  6813        2015</t>
  </si>
  <si>
    <t>Special newsreel universal feature film : a utøpia / Victor Pelevin ; English translation Andrew Bromfield.</t>
  </si>
  <si>
    <t>London : Gollancz, 2015.</t>
  </si>
  <si>
    <t>2016-02-05</t>
  </si>
  <si>
    <t>2643472513:eng</t>
  </si>
  <si>
    <t>913008855</t>
  </si>
  <si>
    <t>ocn913008855</t>
  </si>
  <si>
    <t>3103609104F</t>
  </si>
  <si>
    <t>9781473213036</t>
  </si>
  <si>
    <t>794999079</t>
  </si>
  <si>
    <t>PG3485 E38 S853 2004</t>
  </si>
  <si>
    <t>0                      PG 3485000E  38                 S  853         2004</t>
  </si>
  <si>
    <t>Svi︠a︡shchennai︠a︡ kniga oborotni︠a︡ / Viktor Pelevin.</t>
  </si>
  <si>
    <t>Moskva : ĖKSMO, 2004.</t>
  </si>
  <si>
    <t>3768869032:rus</t>
  </si>
  <si>
    <t>58046469</t>
  </si>
  <si>
    <t>ocm58046469</t>
  </si>
  <si>
    <t>31024702719</t>
  </si>
  <si>
    <t>9785699084456</t>
  </si>
  <si>
    <t>793919735</t>
  </si>
  <si>
    <t>PG3485 E38 T4 2009</t>
  </si>
  <si>
    <t>0                      PG 3485000E  38                 T  4           2009</t>
  </si>
  <si>
    <t>T / Viktor Pelevin.</t>
  </si>
  <si>
    <t>4957969537:rus</t>
  </si>
  <si>
    <t>472181897</t>
  </si>
  <si>
    <t>ocn472181897</t>
  </si>
  <si>
    <t>3103294586E</t>
  </si>
  <si>
    <t>9785699375158</t>
  </si>
  <si>
    <t>794797310</t>
  </si>
  <si>
    <t>PG3485 E38 Z3313 2011</t>
  </si>
  <si>
    <t>0                      PG 3485000E  38                 Z  3313        2011</t>
  </si>
  <si>
    <t>The hall of singing caryatids / Victor Pelevin ; translated from the Russian by Andrew Bromfield.</t>
  </si>
  <si>
    <t>1st American pbk. ed.</t>
  </si>
  <si>
    <t>A New Directions pearl</t>
  </si>
  <si>
    <t>2595852956:eng</t>
  </si>
  <si>
    <t>711051754</t>
  </si>
  <si>
    <t>ocn711051754</t>
  </si>
  <si>
    <t>31034083488</t>
  </si>
  <si>
    <t>9780811219426</t>
  </si>
  <si>
    <t>794870850</t>
  </si>
  <si>
    <t>PG3485 E38 Z36 1997</t>
  </si>
  <si>
    <t>0                      PG 3485000E  38                 Z  36          1997</t>
  </si>
  <si>
    <t>Zhiznʹ nasekomykh : romany / Viktor Pelevin.</t>
  </si>
  <si>
    <t>Moskva : Vagrius, 1997.</t>
  </si>
  <si>
    <t>8908990155:rus</t>
  </si>
  <si>
    <t>37624402</t>
  </si>
  <si>
    <t>ocm37624402</t>
  </si>
  <si>
    <t>3102948137A</t>
  </si>
  <si>
    <t>9785702704913</t>
  </si>
  <si>
    <t>793503105</t>
  </si>
  <si>
    <t>PG3485 E38 Z3613 1996</t>
  </si>
  <si>
    <t>0                      PG 3485000E  38                 Z  3613        1996</t>
  </si>
  <si>
    <t>The life of insects / by Victor Pelevin ; translated from the Russian by Andrew Bromfield.</t>
  </si>
  <si>
    <t>London : Harbord Pub., ©1996.</t>
  </si>
  <si>
    <t>2017-08-05</t>
  </si>
  <si>
    <t>2643434439:eng</t>
  </si>
  <si>
    <t>37438952</t>
  </si>
  <si>
    <t>ocm37438952</t>
  </si>
  <si>
    <t>3102948201D</t>
  </si>
  <si>
    <t>9781899414208</t>
  </si>
  <si>
    <t>793498712</t>
  </si>
  <si>
    <t>PG3485 E38 Z56 2008</t>
  </si>
  <si>
    <t>0                      PG 3485000E  38                 Z  56          2008</t>
  </si>
  <si>
    <t>Literaturnye strategii Viktora Pelevina / Olʹga Bogdanova, Sergeĭ Kibalʹnik, Li︠u︡dmila Safronova.</t>
  </si>
  <si>
    <t>Bogdanova, O. V. (Olʹga Vladimirovna)</t>
  </si>
  <si>
    <t>Sankt-Peterburg : Petropolis, 2008.</t>
  </si>
  <si>
    <t>Spory o sovremennoĭ slovesnosti = SOS</t>
  </si>
  <si>
    <t>2017-12-12</t>
  </si>
  <si>
    <t>3856633320:rus</t>
  </si>
  <si>
    <t>236403829</t>
  </si>
  <si>
    <t>ocn236403829</t>
  </si>
  <si>
    <t>3103250930B</t>
  </si>
  <si>
    <t>9785967601309</t>
  </si>
  <si>
    <t>794371668</t>
  </si>
  <si>
    <t>PG3485 E38 Z82 2012</t>
  </si>
  <si>
    <t>0                      PG 3485000E  38                 Z  82          2012</t>
  </si>
  <si>
    <t>Pelevin i pokolenie pustoty / Sergeĭ Polotovskiĭ, Roman Kozak.</t>
  </si>
  <si>
    <t>Polotovskiĭ, Sergeĭ, author.</t>
  </si>
  <si>
    <t>Moskva : Izdatelʹstvo Mann, Ivanov i Ferber, 2012.</t>
  </si>
  <si>
    <t>3861352331:rus</t>
  </si>
  <si>
    <t>792944521</t>
  </si>
  <si>
    <t>ocn792944521</t>
  </si>
  <si>
    <t>3103483753B</t>
  </si>
  <si>
    <t>9785916573046</t>
  </si>
  <si>
    <t>794917405</t>
  </si>
  <si>
    <t>PG3485 E46 A6 2018</t>
  </si>
  <si>
    <t>0                      PG 3485000E  46                 A  6           2018</t>
  </si>
  <si>
    <t>Predatelʹ ada : rasskazy / Pavel Peppershteĭn.</t>
  </si>
  <si>
    <t>Peppershteĭn, Pavel, author.</t>
  </si>
  <si>
    <t>Moskva : Novoe literaturnoe obozrenie, 2018.</t>
  </si>
  <si>
    <t>Kh S</t>
  </si>
  <si>
    <t>4729915046:rus</t>
  </si>
  <si>
    <t>1019651453</t>
  </si>
  <si>
    <t>on1019651453</t>
  </si>
  <si>
    <t>31038799797</t>
  </si>
  <si>
    <t>9785444807026</t>
  </si>
  <si>
    <t>795049272</t>
  </si>
  <si>
    <t>PG3485 E46 P73 2011</t>
  </si>
  <si>
    <t>0                      PG 3485000E  46                 P  73          2011</t>
  </si>
  <si>
    <t>Prazhskai︠a︡ nochʹ : [povestʹ] / Pavel Peppershteĭn.</t>
  </si>
  <si>
    <t>Peppershteĭn, Pavel.</t>
  </si>
  <si>
    <t>Sankt-Peterburg : Amfora ; Moskva : Ad Marginem, 2011.</t>
  </si>
  <si>
    <t>9203588526:rus</t>
  </si>
  <si>
    <t>769191182</t>
  </si>
  <si>
    <t>ocn769191182</t>
  </si>
  <si>
    <t>3103440034V</t>
  </si>
  <si>
    <t>9785367020892</t>
  </si>
  <si>
    <t>794903131</t>
  </si>
  <si>
    <t>PG3485 E46 V47 2010</t>
  </si>
  <si>
    <t>0                      PG 3485000E  46                 V  47          2010</t>
  </si>
  <si>
    <t>Vesna : [rasskazy] / Pavel Peppershteĭn.</t>
  </si>
  <si>
    <t>Moskva : Ad Marginem, 2010.</t>
  </si>
  <si>
    <t>665075568:rus</t>
  </si>
  <si>
    <t>670239064</t>
  </si>
  <si>
    <t>ocn670239064</t>
  </si>
  <si>
    <t>3103393530M</t>
  </si>
  <si>
    <t>9785911030728</t>
  </si>
  <si>
    <t>794847506</t>
  </si>
  <si>
    <t>PG3485 E6913 A93 2004</t>
  </si>
  <si>
    <t>0                      PG 3485000E  6913               A  93          2004</t>
  </si>
  <si>
    <t>Azbuchnye istiny : roman / Vladislav Petrov.</t>
  </si>
  <si>
    <t>Petrov, Vladislav, 1956-</t>
  </si>
  <si>
    <t>Moskva : "Tekst", 2004.</t>
  </si>
  <si>
    <t>Serii︠a︡ "Otkrytai︠a︡ kniga"</t>
  </si>
  <si>
    <t>15488708:rus</t>
  </si>
  <si>
    <t>56208396</t>
  </si>
  <si>
    <t>ocm56208396</t>
  </si>
  <si>
    <t>31024178067</t>
  </si>
  <si>
    <t>9785751603625</t>
  </si>
  <si>
    <t>793889229</t>
  </si>
  <si>
    <t>PG3485 E6918 A8 2016</t>
  </si>
  <si>
    <t>0                      PG 3485000E  6918               A  8           2016</t>
  </si>
  <si>
    <t>Appendiks : roman / Aleksandra Petrova.</t>
  </si>
  <si>
    <t>Petrova, Aleksandra, 1964- author.</t>
  </si>
  <si>
    <t>Moskva : Novoe Literaturnoe Obozrenie, 2016.</t>
  </si>
  <si>
    <t>3870088063:rus</t>
  </si>
  <si>
    <t>958391604</t>
  </si>
  <si>
    <t>ocn958391604</t>
  </si>
  <si>
    <t>3103760365Q</t>
  </si>
  <si>
    <t>9785444805671</t>
  </si>
  <si>
    <t>795021770</t>
  </si>
  <si>
    <t>PG3485 E724 N37 2018</t>
  </si>
  <si>
    <t>0                      PG 3485000E  724                N  37          2018</t>
  </si>
  <si>
    <t>Nas ukrali : istorii︠a︡ prestupleniĭ : roman / Li︠u︡dmila Petrushevskai︠a︡.</t>
  </si>
  <si>
    <t>Petrushevskai︠a︡, Li︠u︡dmila, author.</t>
  </si>
  <si>
    <t>Moskva : Ė, 2018.</t>
  </si>
  <si>
    <t>5449698328:rus</t>
  </si>
  <si>
    <t>1053889939</t>
  </si>
  <si>
    <t>on1053889939</t>
  </si>
  <si>
    <t>3103879956J</t>
  </si>
  <si>
    <t>9785040946624</t>
  </si>
  <si>
    <t>795062677</t>
  </si>
  <si>
    <t>PG3485 E724 Z4613 2017</t>
  </si>
  <si>
    <t>0                      PG 3485000E  724                Z  4613        2017</t>
  </si>
  <si>
    <t>The girl from the Metropol Hotel : growing up in communist Russia / Ludmilla Petrushevskaya ; translated with an introduction by Anna Summers.</t>
  </si>
  <si>
    <t>New York, New York : Penguin Books, [2017]</t>
  </si>
  <si>
    <t>3753866411:eng</t>
  </si>
  <si>
    <t>950444041</t>
  </si>
  <si>
    <t>ocn950444041</t>
  </si>
  <si>
    <t>31036711425</t>
  </si>
  <si>
    <t>9780143129974</t>
  </si>
  <si>
    <t>795016599</t>
  </si>
  <si>
    <t>PG3485 E724 Z48 2012</t>
  </si>
  <si>
    <t>0                      PG 3485000E  724                Z  48          2012</t>
  </si>
  <si>
    <t>Ot pervogo lit︠s︡a : razgovory o proshlom i tepereshnem / Li︠u︡dmila Petrushevskai︠a︡.</t>
  </si>
  <si>
    <t>Moskva : "Astrelʹ", ©2012.</t>
  </si>
  <si>
    <t>4445971410:rus</t>
  </si>
  <si>
    <t>820172425</t>
  </si>
  <si>
    <t>ocn820172425</t>
  </si>
  <si>
    <t>3103198287D</t>
  </si>
  <si>
    <t>9785271443169</t>
  </si>
  <si>
    <t>794935177</t>
  </si>
  <si>
    <t>PG3485.E724 Z785 2012</t>
  </si>
  <si>
    <t>0                      PG 3485000E  724                Z  785         2012</t>
  </si>
  <si>
    <t>Folʹklorizm sovremennoi russkoĭ prozy : (na materiale "Nastoi︠a︡shchikh skazok" L.S. Petrushevskoĭ) / Ekaterina Plotnikova, Tatʹi︠a︡na Zolotova.</t>
  </si>
  <si>
    <t>Plotnikova, Ekaterina, author.</t>
  </si>
  <si>
    <t>Saarbrücken, Germany : LAP Lambert Academic Publishing, [2012]</t>
  </si>
  <si>
    <t>8930586822:rus</t>
  </si>
  <si>
    <t>1086267735</t>
  </si>
  <si>
    <t>on1086267735</t>
  </si>
  <si>
    <t>3103879954N</t>
  </si>
  <si>
    <t>9783847373599</t>
  </si>
  <si>
    <t>795078836</t>
  </si>
  <si>
    <t>PG3485 E726 N613 2011</t>
  </si>
  <si>
    <t>0                      PG 3485000E  726                N  613         2011</t>
  </si>
  <si>
    <t>The new Moscow philosophy / Vyacheslav Pyetsukh ; translated from the Russian by Krystyna Anna Steiger.</t>
  </si>
  <si>
    <t>Pʹet︠s︡ukh, Vi︠a︡cheslav, author.</t>
  </si>
  <si>
    <t>Prague : Twisted Spoon Press, 2011.</t>
  </si>
  <si>
    <t>3857274082:eng</t>
  </si>
  <si>
    <t>765525769</t>
  </si>
  <si>
    <t>ocn765525769</t>
  </si>
  <si>
    <t>3103340662D</t>
  </si>
  <si>
    <t>9788086264363</t>
  </si>
  <si>
    <t>794900684</t>
  </si>
  <si>
    <t>PG3485 E858 A2 2009</t>
  </si>
  <si>
    <t>0                      PG 3485000E  858                A  2           2009</t>
  </si>
  <si>
    <t>There once lived a woman who tried to kill her neighbor's baby : scary fairy tales / by Ludmilla Petrushevskaya ; selected and translated with an introduction by Keith Gessen and Anna Summers.</t>
  </si>
  <si>
    <t>New York, NY : Penguin Books, 2009.</t>
  </si>
  <si>
    <t>1059153602:eng</t>
  </si>
  <si>
    <t>318411330</t>
  </si>
  <si>
    <t>ocn318411330</t>
  </si>
  <si>
    <t>31033786721</t>
  </si>
  <si>
    <t>9780143114666</t>
  </si>
  <si>
    <t>794481604</t>
  </si>
  <si>
    <t>PG3485 E858 A6 1996</t>
  </si>
  <si>
    <t>0                      PG 3485000E  858                A  6           1996</t>
  </si>
  <si>
    <t>Sobranie sochineniĭ v pi︠a︡ti tomakh / Li︠u︡dmila Petrushevskai︠a︡.</t>
  </si>
  <si>
    <t>252693242:rus</t>
  </si>
  <si>
    <t>36257304</t>
  </si>
  <si>
    <t>ocm36257304</t>
  </si>
  <si>
    <t>31017005533</t>
  </si>
  <si>
    <t>9785715003140</t>
  </si>
  <si>
    <t>793470617</t>
  </si>
  <si>
    <t>3101700541A</t>
  </si>
  <si>
    <t>793470614</t>
  </si>
  <si>
    <t>31017005452</t>
  </si>
  <si>
    <t>793470615</t>
  </si>
  <si>
    <t>3101700549V</t>
  </si>
  <si>
    <t>793470616</t>
  </si>
  <si>
    <t>31017005371</t>
  </si>
  <si>
    <t>793470613</t>
  </si>
  <si>
    <t>PG3485 E858 C44 2001</t>
  </si>
  <si>
    <t>0                      PG 3485000E  858                C  44          2001</t>
  </si>
  <si>
    <t>Chemodan chepukhi : skazki i stikhi / Li︠u︡dmila Petrushevskai︠a︡.</t>
  </si>
  <si>
    <t>Moskva : Vagrius, 2001.</t>
  </si>
  <si>
    <t>3901842821:rus</t>
  </si>
  <si>
    <t>49655261</t>
  </si>
  <si>
    <t>ocm49655261</t>
  </si>
  <si>
    <t>3102400258B</t>
  </si>
  <si>
    <t>9785264006777</t>
  </si>
  <si>
    <t>793744968</t>
  </si>
  <si>
    <t>PG3485 E858 D3 2011</t>
  </si>
  <si>
    <t>0                      PG 3485000E  858                D  3           2011</t>
  </si>
  <si>
    <t>Detskiĭ prazdnik : istorii iz zhizni deteĭ i ikh roditeleĭ / Li︠u︡dmila Petrushevskai︠a︡.</t>
  </si>
  <si>
    <t>Moskva : AST : Astrelʹ, [2011]</t>
  </si>
  <si>
    <t>5231523633:rus</t>
  </si>
  <si>
    <t>755813869</t>
  </si>
  <si>
    <t>ocn755813869</t>
  </si>
  <si>
    <t>3103578216D</t>
  </si>
  <si>
    <t>9785271367564</t>
  </si>
  <si>
    <t>794893996</t>
  </si>
  <si>
    <t>PG3485 E858 I66 1995</t>
  </si>
  <si>
    <t>0                      PG 3485000E  858                I  66          1995</t>
  </si>
  <si>
    <t>Immortal love / Ludmilla Petrushevskaya ; translated from the Russian by Sally Laird.</t>
  </si>
  <si>
    <t>London : Virago, 1995.</t>
  </si>
  <si>
    <t>34501235:eng</t>
  </si>
  <si>
    <t>32090469</t>
  </si>
  <si>
    <t>ocm32090469</t>
  </si>
  <si>
    <t>3101419415M</t>
  </si>
  <si>
    <t>9781853815751</t>
  </si>
  <si>
    <t>793375486</t>
  </si>
  <si>
    <t>PG3485 E858 I96 2005</t>
  </si>
  <si>
    <t>0                      PG 3485000E  858                I  96          2005</t>
  </si>
  <si>
    <t>Izmenennoe vremi︠a︡ : rasskazy i pʹesy / Li︠u︡dmila Petrushevskai︠a︡.</t>
  </si>
  <si>
    <t>Sankt-Peterburg : Amfora, 2005.</t>
  </si>
  <si>
    <t>905863958:rus</t>
  </si>
  <si>
    <t>62400964</t>
  </si>
  <si>
    <t>ocm62400964</t>
  </si>
  <si>
    <t>3102558079O</t>
  </si>
  <si>
    <t>9785942789190</t>
  </si>
  <si>
    <t>794106579</t>
  </si>
  <si>
    <t>PG3485 E858 K35 2002</t>
  </si>
  <si>
    <t>0                      PG 3485000E  858                K  35          2002</t>
  </si>
  <si>
    <t>--kak t︠s︡vetok na zare : rasskazy / Li︠u︡dmila Petrushevskai︠a︡.</t>
  </si>
  <si>
    <t>Moskva : Vagrius, 2002.</t>
  </si>
  <si>
    <t>4435595534:rus</t>
  </si>
  <si>
    <t>50618927</t>
  </si>
  <si>
    <t>ocm50618927</t>
  </si>
  <si>
    <t>3102506303P</t>
  </si>
  <si>
    <t>9785264007446</t>
  </si>
  <si>
    <t>793768995</t>
  </si>
  <si>
    <t>PG3485 E858 K35 2014</t>
  </si>
  <si>
    <t>0                      PG 3485000E  858                K  35          2014</t>
  </si>
  <si>
    <t>Kak mnogo znai︠u︡t zhenshchiny : povesti, rasskazy, skazki, pʹesy / Li︠u︡dmila Petrushevskai︠a︡.</t>
  </si>
  <si>
    <t>Moskva : AST : Astrelʹ, 2014.</t>
  </si>
  <si>
    <t>1412662011:rus</t>
  </si>
  <si>
    <t>879571277</t>
  </si>
  <si>
    <t>ocn879571277</t>
  </si>
  <si>
    <t>3103198411L</t>
  </si>
  <si>
    <t>9785170799527</t>
  </si>
  <si>
    <t>794972276</t>
  </si>
  <si>
    <t>PG3485 E858 N3 2011</t>
  </si>
  <si>
    <t>0                      PG 3485000E  858                N  3           2011</t>
  </si>
  <si>
    <t>Ne sadisʹ v mashinu, gde dvoe : istorii i razgovory / Liudmila Petrushevskai︠a︡.</t>
  </si>
  <si>
    <t>Moskva : AST : Astrelʹ-SPb, ©2011.</t>
  </si>
  <si>
    <t>1. izd.</t>
  </si>
  <si>
    <t>3771267375:rus</t>
  </si>
  <si>
    <t>761288156</t>
  </si>
  <si>
    <t>ocn761288156</t>
  </si>
  <si>
    <t>31035882188</t>
  </si>
  <si>
    <t>9785170726653</t>
  </si>
  <si>
    <t>794899132</t>
  </si>
  <si>
    <t>PG3485 E858 N37 1997</t>
  </si>
  <si>
    <t>0                      PG 3485000E  858                N  37          1997</t>
  </si>
  <si>
    <t>Nastoi︠a︡shchie skazki / Li︠u︡dmila Petrushevskai︠a︡.</t>
  </si>
  <si>
    <t>35307663:rus</t>
  </si>
  <si>
    <t>38134680</t>
  </si>
  <si>
    <t>ocm38134680</t>
  </si>
  <si>
    <t>3101850209I</t>
  </si>
  <si>
    <t>9785702704821</t>
  </si>
  <si>
    <t>793516611</t>
  </si>
  <si>
    <t>PG3485 E858 N66 2004</t>
  </si>
  <si>
    <t>0                      PG 3485000E  858                N  66          2004</t>
  </si>
  <si>
    <t>Nomer Odin, ili, V sadakh drugikh vozmozhnosteĭ : roman / Li︠u︡dmila Petrushevskai︠a︡.</t>
  </si>
  <si>
    <t>Novai︠a︡ Petrushevskai︠a︡</t>
  </si>
  <si>
    <t>1007355820:rus</t>
  </si>
  <si>
    <t>55620410</t>
  </si>
  <si>
    <t>ocm55620410</t>
  </si>
  <si>
    <t>3102417872U</t>
  </si>
  <si>
    <t>9785699059935</t>
  </si>
  <si>
    <t>793879579</t>
  </si>
  <si>
    <t>PG3485 E858 P88 2009</t>
  </si>
  <si>
    <t>0                      PG 3485000E  858                P  88          2009</t>
  </si>
  <si>
    <t>Puteshestvii︠a︡ v raznye storony : [rasskazy, ėsse, felʹetony] / Li︠u︡dmila Petrushevskai︠a︡.</t>
  </si>
  <si>
    <t>3770175821:rus</t>
  </si>
  <si>
    <t>472181763</t>
  </si>
  <si>
    <t>ocn472181763</t>
  </si>
  <si>
    <t>3103578201F</t>
  </si>
  <si>
    <t>9785367011470</t>
  </si>
  <si>
    <t>794797309</t>
  </si>
  <si>
    <t>PG3485 E858 R459 2001</t>
  </si>
  <si>
    <t>0                      PG 3485000E  858                R  459         2001</t>
  </si>
  <si>
    <t>Rekviemy / Li︠u︡dmila Petrushevskai︠a︡.</t>
  </si>
  <si>
    <t>10032570115:rus</t>
  </si>
  <si>
    <t>48543745</t>
  </si>
  <si>
    <t>ocm48543745</t>
  </si>
  <si>
    <t>3102395490C</t>
  </si>
  <si>
    <t>9785264006623</t>
  </si>
  <si>
    <t>793723522</t>
  </si>
  <si>
    <t>PG3485 E858 V713 2001</t>
  </si>
  <si>
    <t>0                      PG 3485000E  858                V  713         2001</t>
  </si>
  <si>
    <t>Vremi︠a︡ nochʹ : povestʹ / Li︠u︡dmila Petrushevskai︠a︡.</t>
  </si>
  <si>
    <t>32024154:rus</t>
  </si>
  <si>
    <t>48963443</t>
  </si>
  <si>
    <t>ocm48963443</t>
  </si>
  <si>
    <t>3102360335P</t>
  </si>
  <si>
    <t>9785264006807</t>
  </si>
  <si>
    <t>793731712</t>
  </si>
  <si>
    <t>PG3485 E858 Z46 2006</t>
  </si>
  <si>
    <t>0                      PG 3485000E  858                Z  46          2006</t>
  </si>
  <si>
    <t>Malenʹkai︠a︡ devochka iz "Metropoli︠a︡" : povesti, rasskazy, ėsse / Li︠u︡dmila Petrushevskai︠a︡ ; [illi︠u︡strat︠s︡ii avtora].</t>
  </si>
  <si>
    <t>Sankt-Peterburg : Amfora, 2006.</t>
  </si>
  <si>
    <t>3902334056:rus</t>
  </si>
  <si>
    <t>70282569</t>
  </si>
  <si>
    <t>ocm70282569</t>
  </si>
  <si>
    <t>3102687027H</t>
  </si>
  <si>
    <t>9785942789954</t>
  </si>
  <si>
    <t>794152461</t>
  </si>
  <si>
    <t>PG3485 E858 Z46 2009</t>
  </si>
  <si>
    <t>0                      PG 3485000E  858                Z  46          2009</t>
  </si>
  <si>
    <t>Istorii iz moeĭ sobstvennoĭ zhizni : [avtobiograficheskiĭ roman] / Li︠u︡dmila Petrushevskai︠a︡.</t>
  </si>
  <si>
    <t>Sankt-Peterburg : Amfora, 2009.</t>
  </si>
  <si>
    <t>423369741:rus</t>
  </si>
  <si>
    <t>457011261</t>
  </si>
  <si>
    <t>ocn457011261</t>
  </si>
  <si>
    <t>3103578211D</t>
  </si>
  <si>
    <t>9785367010169</t>
  </si>
  <si>
    <t>794789541</t>
  </si>
  <si>
    <t>PG3485 E858 Z63 2000</t>
  </si>
  <si>
    <t>0                      PG 3485000E  858                Z  63          2000</t>
  </si>
  <si>
    <t>Voices from the void : the genres of Liudmila Petrushevskaia / Sally Dalton-Brown.</t>
  </si>
  <si>
    <t>Dalton-Brown, S. (Sally)</t>
  </si>
  <si>
    <t>Studies in Slavic literature, culture, and society ; v. 7</t>
  </si>
  <si>
    <t>347017358:eng</t>
  </si>
  <si>
    <t>45230433</t>
  </si>
  <si>
    <t>ocm45230433</t>
  </si>
  <si>
    <t>31021370364</t>
  </si>
  <si>
    <t>9781571819970</t>
  </si>
  <si>
    <t>793667411</t>
  </si>
  <si>
    <t>PG3485.2 D577 K67 2014</t>
  </si>
  <si>
    <t>0                      PG 3485200D  577                K  67          2014</t>
  </si>
  <si>
    <t>Koshachʹi︠a︡ istorii︠a︡ / Nalʹ Podolʹskiĭ.</t>
  </si>
  <si>
    <t>Podolʹskiĭ, Nalʹ, author.</t>
  </si>
  <si>
    <t>Sankt-Peterburg : Limbus Press : Izdatelʹstvo K. Tublina, 2014.</t>
  </si>
  <si>
    <t>2266648992:rus</t>
  </si>
  <si>
    <t>900162170</t>
  </si>
  <si>
    <t>ocn900162170</t>
  </si>
  <si>
    <t>31036211313</t>
  </si>
  <si>
    <t>9785837006791</t>
  </si>
  <si>
    <t>794987210</t>
  </si>
  <si>
    <t>PG3485.2 L44 A6 1997</t>
  </si>
  <si>
    <t>0                      PG 3485200L  44                 A  6           1997</t>
  </si>
  <si>
    <t>Sochinenii︠a︡ v trekh tomakh / I︠U︡riĭ Poli︠a︡kov.</t>
  </si>
  <si>
    <t>Poli︠a︡kov, I︠U︡riĭ.</t>
  </si>
  <si>
    <t>Moskva : "OLMA-PRESS", 1997.</t>
  </si>
  <si>
    <t>2017-05-25</t>
  </si>
  <si>
    <t>477215519:rus</t>
  </si>
  <si>
    <t>38481169</t>
  </si>
  <si>
    <t>ocm38481169</t>
  </si>
  <si>
    <t>31018465748</t>
  </si>
  <si>
    <t>9785873226283</t>
  </si>
  <si>
    <t>793524714</t>
  </si>
  <si>
    <t>31018465780</t>
  </si>
  <si>
    <t>793524713</t>
  </si>
  <si>
    <t>3101846570G</t>
  </si>
  <si>
    <t>793524715</t>
  </si>
  <si>
    <t>PG3485.2 L44 G75 2006</t>
  </si>
  <si>
    <t>0                      PG 3485200L  44                 G  75          2006</t>
  </si>
  <si>
    <t>Gribnoĭ t︠s︡arʹ : roman / I︠U︡riĭ Poli︠a︡kov.</t>
  </si>
  <si>
    <t>Moskva : Rosmėn, 2005.</t>
  </si>
  <si>
    <t>46372669:rus</t>
  </si>
  <si>
    <t>61851379</t>
  </si>
  <si>
    <t>ocm61851379</t>
  </si>
  <si>
    <t>3102674340L</t>
  </si>
  <si>
    <t>9785353021056</t>
  </si>
  <si>
    <t>794098596</t>
  </si>
  <si>
    <t>PG3485.2 L44 K6 1996</t>
  </si>
  <si>
    <t>0                      PG 3485200L  44                 K  6           1996</t>
  </si>
  <si>
    <t>Kozlenok v moloke / I︠U︡riĭ Poli︠a︡kov.</t>
  </si>
  <si>
    <t>Moskva : KOVCHEG : OLMA Press, 1996.</t>
  </si>
  <si>
    <t>34957014:rus</t>
  </si>
  <si>
    <t>35566707</t>
  </si>
  <si>
    <t>ocm35566707</t>
  </si>
  <si>
    <t>3102929892K</t>
  </si>
  <si>
    <t>9785876390363</t>
  </si>
  <si>
    <t>793452310</t>
  </si>
  <si>
    <t>PG3485.2 L44 L48 2001</t>
  </si>
  <si>
    <t>0                      PG 3485200L  44                 L  48          2001</t>
  </si>
  <si>
    <t>Levai︠a︡ grudʹ Afrodity : povesti, pʹesy, rasskaz / I︠U︡riĭ Poli︠a︡kov.</t>
  </si>
  <si>
    <t>Moskva : Molodai︠a︡ gvardii︠a︡, 2001.</t>
  </si>
  <si>
    <t>Biblioteka sovremennoĭ prozy "Literaturnyĭ pasʹi︠a︡ns"</t>
  </si>
  <si>
    <t>3901913909:rus</t>
  </si>
  <si>
    <t>48562328</t>
  </si>
  <si>
    <t>ocm48562328</t>
  </si>
  <si>
    <t>3102388086J</t>
  </si>
  <si>
    <t>9785235024601</t>
  </si>
  <si>
    <t>793723934</t>
  </si>
  <si>
    <t>PG3485.2 L44 Z44 2009</t>
  </si>
  <si>
    <t>0                      PG 3485200L  44                 Z  44          2009</t>
  </si>
  <si>
    <t>Zhenshchiny bez granit︠s︡ / I︠U︡riĭ Poli︠a︡kov.</t>
  </si>
  <si>
    <t>Moskva : AST : Astrelʹ, 2009.</t>
  </si>
  <si>
    <t>Geometrii︠a︡ li︠u︡bvi</t>
  </si>
  <si>
    <t>2017-10-23</t>
  </si>
  <si>
    <t>4435595119:rus</t>
  </si>
  <si>
    <t>437972024</t>
  </si>
  <si>
    <t>ocn437972024</t>
  </si>
  <si>
    <t>3103728363E</t>
  </si>
  <si>
    <t>9785170590766</t>
  </si>
  <si>
    <t>794785974</t>
  </si>
  <si>
    <t>PG3485.2 P557 A75 2012</t>
  </si>
  <si>
    <t>0                      PG 3485200P  557                A  75          2012</t>
  </si>
  <si>
    <t>Arbaĭt.shirokoe polotno : internet-roman / [Evgeniĭ Popov].</t>
  </si>
  <si>
    <t>Popov, Evgeniĭ.</t>
  </si>
  <si>
    <t>2014-01-20</t>
  </si>
  <si>
    <t>1170012969:rus</t>
  </si>
  <si>
    <t>811566712</t>
  </si>
  <si>
    <t>ocn811566712</t>
  </si>
  <si>
    <t>3103512095K</t>
  </si>
  <si>
    <t>9785271415890</t>
  </si>
  <si>
    <t>794930162</t>
  </si>
  <si>
    <t>PG3485.2 P557 Z78 2013</t>
  </si>
  <si>
    <t>0                      PG 3485200P  557                Z  78          2013</t>
  </si>
  <si>
    <t>Mastering chaos : the metafictional worlds of Evgeny Popov / Jeremy Morris.</t>
  </si>
  <si>
    <t>Morris, Jeremy, 1974-</t>
  </si>
  <si>
    <t>Oxford ; New York : Peter Lang, 2013.</t>
  </si>
  <si>
    <t>1440915586:eng</t>
  </si>
  <si>
    <t>846551503</t>
  </si>
  <si>
    <t>ocn846551503</t>
  </si>
  <si>
    <t>3103528723L</t>
  </si>
  <si>
    <t>9783039105465</t>
  </si>
  <si>
    <t>794949214</t>
  </si>
  <si>
    <t>PG3485.2 P575 A6 2018</t>
  </si>
  <si>
    <t>0                      PG 3485200P  575                A  6           2018</t>
  </si>
  <si>
    <t>Za gribami v London : sbornik / Valeriĭ Popov.</t>
  </si>
  <si>
    <t>Popov, Valeriĭ, 1939- author.</t>
  </si>
  <si>
    <t>Moskva : OOO Izdatelʹstvo "Ė", 2018.</t>
  </si>
  <si>
    <t>Bolʹshai︠a︡ literatura. Valeriĭ Popov</t>
  </si>
  <si>
    <t>5354808815:rus</t>
  </si>
  <si>
    <t>1035784204</t>
  </si>
  <si>
    <t>on1035784204</t>
  </si>
  <si>
    <t>31038629029</t>
  </si>
  <si>
    <t>9785040907939</t>
  </si>
  <si>
    <t>795057824</t>
  </si>
  <si>
    <t>PG3485.2 P575 O83 2017</t>
  </si>
  <si>
    <t>0                      PG 3485200P  575                O  83          2017</t>
  </si>
  <si>
    <t>Osenʹ, perekhodi︠a︡shchai︠a︡ v leto / Valeriĭ Popov.</t>
  </si>
  <si>
    <t>Moskva : OOO Izdatelʹstvo "Ė", 2017.</t>
  </si>
  <si>
    <t>4203523289:rus</t>
  </si>
  <si>
    <t>986241003</t>
  </si>
  <si>
    <t>ocn986241003</t>
  </si>
  <si>
    <t>3103760633R</t>
  </si>
  <si>
    <t>9785699946754</t>
  </si>
  <si>
    <t>795035572</t>
  </si>
  <si>
    <t>PG3485.2 P575 P53 2012</t>
  </si>
  <si>
    <t>0                      PG 3485200P  575                P  53          2012</t>
  </si>
  <si>
    <t>Pli︠a︡satʹ do smerti : roman / Valeriĭ Popov.</t>
  </si>
  <si>
    <t>Popov, Valeriĭ, 1939-</t>
  </si>
  <si>
    <t>1124582732:rus</t>
  </si>
  <si>
    <t>798995833</t>
  </si>
  <si>
    <t>ocn798995833</t>
  </si>
  <si>
    <t>3103440033V</t>
  </si>
  <si>
    <t>9785271415760</t>
  </si>
  <si>
    <t>794924185</t>
  </si>
  <si>
    <t>PG3485.2 V64 P24 2012</t>
  </si>
  <si>
    <t>0                      PG 3485200V  64                 P  24          2012</t>
  </si>
  <si>
    <t>Pumpernikelʹ i drugie : povesti i rasskazy / Irina Povolot︠s︡kai︠a︡.</t>
  </si>
  <si>
    <t>Povolot︠s︡kai︠a︡, Irina.</t>
  </si>
  <si>
    <t>Moskva : B.S.G.-Press, 2012.</t>
  </si>
  <si>
    <t>5618611667:rus</t>
  </si>
  <si>
    <t>793419740</t>
  </si>
  <si>
    <t>ocn793419740</t>
  </si>
  <si>
    <t>3103447620O</t>
  </si>
  <si>
    <t>9785933813064</t>
  </si>
  <si>
    <t>794918177</t>
  </si>
  <si>
    <t>PG3485.3 R46 Z76 2014</t>
  </si>
  <si>
    <t>0                      PG 3485300R  46                 Z  76          2014</t>
  </si>
  <si>
    <t>Prigov i kont︠s︡eptualizm : sbornik stateĭ / Sostavitelʹ: Zh. Galieva.</t>
  </si>
  <si>
    <t>Novoe literaturnoe obozrenie. Nauchnoe prilozhenie ; vyp. CXXXIII</t>
  </si>
  <si>
    <t>2278724745:rus</t>
  </si>
  <si>
    <t>901171837</t>
  </si>
  <si>
    <t>ocn901171837</t>
  </si>
  <si>
    <t>31036389144</t>
  </si>
  <si>
    <t>9785444802175</t>
  </si>
  <si>
    <t>794988082</t>
  </si>
  <si>
    <t>PG3485.3 R46 Z87 2018</t>
  </si>
  <si>
    <t>0                      PG 3485300R  46                 Z  87          2018</t>
  </si>
  <si>
    <t>Staging the image : Dmitry Prigov as artist and writer / edited by Gerald Janecek.</t>
  </si>
  <si>
    <t>Bloomington, Indiana : Slavica, 2018.</t>
  </si>
  <si>
    <t>4145089549:eng</t>
  </si>
  <si>
    <t>979994339</t>
  </si>
  <si>
    <t>ocn979994339</t>
  </si>
  <si>
    <t>3103703960X</t>
  </si>
  <si>
    <t>9780893574628</t>
  </si>
  <si>
    <t>795033579</t>
  </si>
  <si>
    <t>PG3485.5 A3 1998</t>
  </si>
  <si>
    <t>0                      PG 3485500A  3           1998</t>
  </si>
  <si>
    <t>Nikolaĭ II : zhiznʹ i smertʹ / Ėdvard Radzinskiĭ.</t>
  </si>
  <si>
    <t>Radzinskiĭ, Ėdvard.</t>
  </si>
  <si>
    <t>Moskva : Vagrius, 1998.</t>
  </si>
  <si>
    <t>Sochinenii︠a︡ v semi tomakh / Ėdvard Radzinskiĭ ; t. 1</t>
  </si>
  <si>
    <t>2011-12-20</t>
  </si>
  <si>
    <t>3768763073:rus</t>
  </si>
  <si>
    <t>38899667</t>
  </si>
  <si>
    <t>ocm38899667</t>
  </si>
  <si>
    <t>3102168399J</t>
  </si>
  <si>
    <t>9785702705477</t>
  </si>
  <si>
    <t>793532688</t>
  </si>
  <si>
    <t>3101905958C</t>
  </si>
  <si>
    <t>793532690</t>
  </si>
  <si>
    <t>2011-11-15</t>
  </si>
  <si>
    <t>3101905946J</t>
  </si>
  <si>
    <t>793532691</t>
  </si>
  <si>
    <t>31018752658</t>
  </si>
  <si>
    <t>793532692</t>
  </si>
  <si>
    <t>t.4;ch.1</t>
  </si>
  <si>
    <t>3101938236H</t>
  </si>
  <si>
    <t>793532689</t>
  </si>
  <si>
    <t>PG3485.5 A85 Z73 2012</t>
  </si>
  <si>
    <t>0                      PG 3485500A  85                 Z  73          2012</t>
  </si>
  <si>
    <t>"Vremi︠a︡ i bremi︠a︡ trevog" : Publit︠s︡istika Valentina Rasputina / P.P. Kaminskiĭ.</t>
  </si>
  <si>
    <t>Kaminskiĭ, P. P. (Petr Petrovich)</t>
  </si>
  <si>
    <t>Moskva : Izdatelʹstvo "Flinta" : Izdatelʹstvo "Nauka", 2012.</t>
  </si>
  <si>
    <t>9350126522:rus</t>
  </si>
  <si>
    <t>794819826</t>
  </si>
  <si>
    <t>ocn794819826</t>
  </si>
  <si>
    <t>3103486750$</t>
  </si>
  <si>
    <t>9785976513372</t>
  </si>
  <si>
    <t>794920549</t>
  </si>
  <si>
    <t>PG3485.5 A875 A25 1986</t>
  </si>
  <si>
    <t>0                      PG 3485500A  875                A  25          1986</t>
  </si>
  <si>
    <t>No, I'm not afraid / Irina Ratushinskaya ; translated by David McDuff ; introduction by Joseph Brodsky.</t>
  </si>
  <si>
    <t>Ratushinskai︠a︡, Irina.</t>
  </si>
  <si>
    <t>Newcastle upon Tyne : Bloodaxe Books, 1986.</t>
  </si>
  <si>
    <t>2016-02-29</t>
  </si>
  <si>
    <t>8412183:eng</t>
  </si>
  <si>
    <t>14220171</t>
  </si>
  <si>
    <t>ocm14220171</t>
  </si>
  <si>
    <t>3000473123A</t>
  </si>
  <si>
    <t>9780906427958</t>
  </si>
  <si>
    <t>792882498</t>
  </si>
  <si>
    <t>PG3485.5 I17 T84 2014</t>
  </si>
  <si>
    <t>0                      PG 3485500I  17                 T  84          2014</t>
  </si>
  <si>
    <t>Tverdʹ nebesnai︠a︡ / I︠U︡riĭ Ri︠a︡binin.</t>
  </si>
  <si>
    <t>Ri︠a︡binin, I︠U︡riĭ, author.</t>
  </si>
  <si>
    <t>Moskva : Ripol klassik, 2014.</t>
  </si>
  <si>
    <t>Masterskai︠a︡ rossiĭskogo bestsellera</t>
  </si>
  <si>
    <t>1926349054:rus</t>
  </si>
  <si>
    <t>883189414</t>
  </si>
  <si>
    <t>ocn883189414</t>
  </si>
  <si>
    <t>3103687508R</t>
  </si>
  <si>
    <t>9785386073930</t>
  </si>
  <si>
    <t>794975381</t>
  </si>
  <si>
    <t>PG3485.6 L58 D6 2017</t>
  </si>
  <si>
    <t>0                      PG 3485600L  58                 D  6           2017</t>
  </si>
  <si>
    <t>Dolgoe molchanie / Masha Rolʹnikaĭte ; khudozhnik Liza Bukhalova.</t>
  </si>
  <si>
    <t>Rolniḳayṭe, M. (Mashe), author.</t>
  </si>
  <si>
    <t>Sankt-Peterburg ; Moskva : Rechʹ, 2017.</t>
  </si>
  <si>
    <t>Serii︠a︡ "Vot kak ėto bylo"</t>
  </si>
  <si>
    <t>428058976:rus</t>
  </si>
  <si>
    <t>1006511831</t>
  </si>
  <si>
    <t>on1006511831</t>
  </si>
  <si>
    <t>3103759977U</t>
  </si>
  <si>
    <t>795043097</t>
  </si>
  <si>
    <t>PG3485.7 U225 B45 2011</t>
  </si>
  <si>
    <t>0                      PG 3485700U  225                B  45          2011</t>
  </si>
  <si>
    <t>Belai︠a︡ golubka Kordovy : roman / Dina Rubina.</t>
  </si>
  <si>
    <t>Rubina, Dina, author.</t>
  </si>
  <si>
    <t>890372978:rus</t>
  </si>
  <si>
    <t>746621255</t>
  </si>
  <si>
    <t>ocn746621255</t>
  </si>
  <si>
    <t>3103393531M</t>
  </si>
  <si>
    <t>9785699373437</t>
  </si>
  <si>
    <t>794887355</t>
  </si>
  <si>
    <t>PG3485.7 U225 D86 2008</t>
  </si>
  <si>
    <t>0                      PG 3485700U  225                D  86          2008</t>
  </si>
  <si>
    <t>Dvoĭnai︠a︡ familii︠a︡ : rasskazy / Dina Rubina.</t>
  </si>
  <si>
    <t>Rubina, Dina.</t>
  </si>
  <si>
    <t>32661139:rus</t>
  </si>
  <si>
    <t>261198803</t>
  </si>
  <si>
    <t>ocn261198803</t>
  </si>
  <si>
    <t>3103063420N</t>
  </si>
  <si>
    <t>9785699294343</t>
  </si>
  <si>
    <t>794401047</t>
  </si>
  <si>
    <t>PG3485.7 U225 N295 2006</t>
  </si>
  <si>
    <t>0                      PG 3485700U  225                N  295         2006</t>
  </si>
  <si>
    <t>Na solnechnoĭ storone ulit︠s︡y : roman / Dina Rubina.</t>
  </si>
  <si>
    <t>4241347269:rus</t>
  </si>
  <si>
    <t>69498058</t>
  </si>
  <si>
    <t>ocm69498058</t>
  </si>
  <si>
    <t>3102674337N</t>
  </si>
  <si>
    <t>9785699161577</t>
  </si>
  <si>
    <t>794146178</t>
  </si>
  <si>
    <t>PG3485.7 U225 O3 2000</t>
  </si>
  <si>
    <t>0                      PG 3485700U  225                O  3           2000</t>
  </si>
  <si>
    <t>Odin intelligent uselsi︠a︡ na doroge : [povesti, rasskazy] / Dina Rubina.</t>
  </si>
  <si>
    <t>Sankt-Peterburg : Simpozium, 2000.</t>
  </si>
  <si>
    <t>4241231892:rus</t>
  </si>
  <si>
    <t>44680881</t>
  </si>
  <si>
    <t>ocm44680881</t>
  </si>
  <si>
    <t>3102809566E</t>
  </si>
  <si>
    <t>9785890911209</t>
  </si>
  <si>
    <t>793655736</t>
  </si>
  <si>
    <t>PG3485.7 U225 T79 2008</t>
  </si>
  <si>
    <t>0                      PG 3485700U  225                T  79          2008</t>
  </si>
  <si>
    <t>T︠S︡yganka : rasskazy / Dina Rubina.</t>
  </si>
  <si>
    <t>203281507:rus</t>
  </si>
  <si>
    <t>234093784</t>
  </si>
  <si>
    <t>ocn234093784</t>
  </si>
  <si>
    <t>31030270036</t>
  </si>
  <si>
    <t>9785699232970</t>
  </si>
  <si>
    <t>794368460</t>
  </si>
  <si>
    <t>PG3485.7.U225 Z89 2012</t>
  </si>
  <si>
    <t>0                      PG 3485700U  225                Z  89          2012</t>
  </si>
  <si>
    <t>Sindrom golubki : mifopoėtika prozy Diny Rubinoĭ / Ėleonora Shafranskai︠a︡.</t>
  </si>
  <si>
    <t>Shafranskai︠a︡, Ė. F. (Ėleonora Fedorovna)</t>
  </si>
  <si>
    <t>Sankt-Peterburg : Svoe izd-vo, 2012.</t>
  </si>
  <si>
    <t>8912029192:rus</t>
  </si>
  <si>
    <t>821931512</t>
  </si>
  <si>
    <t>ocn821931512</t>
  </si>
  <si>
    <t>B001577744</t>
  </si>
  <si>
    <t>9785438600466</t>
  </si>
  <si>
    <t>794936278</t>
  </si>
  <si>
    <t>PG3485.7 U23 Z39 2012</t>
  </si>
  <si>
    <t>0                      PG 3485700U  23                 Z  39          2012</t>
  </si>
  <si>
    <t>Znaki vnimanii︠a︡ / Lev Rubinshteĭn.</t>
  </si>
  <si>
    <t>Rubinshteĭn, Lev.</t>
  </si>
  <si>
    <t>2014-07-15</t>
  </si>
  <si>
    <t>1184044014:rus</t>
  </si>
  <si>
    <t>819591219</t>
  </si>
  <si>
    <t>ocn819591219</t>
  </si>
  <si>
    <t>3103484161N</t>
  </si>
  <si>
    <t>9785271434648</t>
  </si>
  <si>
    <t>794934705</t>
  </si>
  <si>
    <t>PG3485.7 U24 Z68 2010</t>
  </si>
  <si>
    <t>0                      PG 3485700U  24                 Z  68          2010</t>
  </si>
  <si>
    <t>Gibelʹ Nikolai︠a︡ Rubt︠s︡ova : "I︠A︡ umru v kreshchenskie morozy" / Nikolaĭ Koni︠a︡ev.</t>
  </si>
  <si>
    <t>Koni︠a︡ev, Nikolaĭ, 1949-</t>
  </si>
  <si>
    <t>Moskva : I︠A︡uza : ĖKSMO, 2010.</t>
  </si>
  <si>
    <t>Taĭny i tragedii velikikh poėtov</t>
  </si>
  <si>
    <t>3770417153:rus</t>
  </si>
  <si>
    <t>608212054</t>
  </si>
  <si>
    <t>ocn608212054</t>
  </si>
  <si>
    <t>3103302287X</t>
  </si>
  <si>
    <t>9785699398065</t>
  </si>
  <si>
    <t>794819028</t>
  </si>
  <si>
    <t>PG3485.7 Y138 G64 2011</t>
  </si>
  <si>
    <t>0                      PG 3485700Y  138                G  64          2011</t>
  </si>
  <si>
    <t>Gnedich : roman / Marii︠a︡ Rybakova.</t>
  </si>
  <si>
    <t>Rybakova, Marii︠a︡, 1973-</t>
  </si>
  <si>
    <t>923775481:rus</t>
  </si>
  <si>
    <t>739837831</t>
  </si>
  <si>
    <t>ocn739837831</t>
  </si>
  <si>
    <t>3103393527O</t>
  </si>
  <si>
    <t>9785969106598</t>
  </si>
  <si>
    <t>794883055</t>
  </si>
  <si>
    <t>PG3485.7 Y138 O88 2016</t>
  </si>
  <si>
    <t>0                      PG 3485700Y  138                O  88          2016</t>
  </si>
  <si>
    <t>Ostryĭ nozh dli︠a︡ mi︠a︡gkogo serdt︠s︡a : roman / Marii︠a︡ Rybakova.</t>
  </si>
  <si>
    <t>Rybakova, Marii︠a︡, 1973- author.</t>
  </si>
  <si>
    <t>Nat︠s︡ional'nai︠a︡ literaturnai︠a︡ premii︠a︡ "Bol'shai︠a︡ kniga"</t>
  </si>
  <si>
    <t>4440973603:rus</t>
  </si>
  <si>
    <t>962415699</t>
  </si>
  <si>
    <t>ocn962415699</t>
  </si>
  <si>
    <t>3103687509P</t>
  </si>
  <si>
    <t>9785386089160</t>
  </si>
  <si>
    <t>795024483</t>
  </si>
  <si>
    <t>PG3485.7 Y948 A17 2003</t>
  </si>
  <si>
    <t>0                      PG 3485700Y  948                A  17          2003</t>
  </si>
  <si>
    <t>Stikhi 1993-2001 / Boris Ryzhiĭ ; [izdanie sostavil i podgotovil G.F. Komarov].</t>
  </si>
  <si>
    <t>Ryzhiĭ, Boris.</t>
  </si>
  <si>
    <t>S. Peterburg : Pushkinskiĭ fond, 2003.</t>
  </si>
  <si>
    <t>476592658:rus</t>
  </si>
  <si>
    <t>54102180</t>
  </si>
  <si>
    <t>ocm54102180</t>
  </si>
  <si>
    <t>3102511186U</t>
  </si>
  <si>
    <t>9785898031107</t>
  </si>
  <si>
    <t>793857465</t>
  </si>
  <si>
    <t>PG3485.8 D77 W58 2014</t>
  </si>
  <si>
    <t>0                      PG 3485800D  77                 W  58          2014</t>
  </si>
  <si>
    <t>The witching hour and other plays / Nina Sadur ; edited by Nadya L. Peterson.</t>
  </si>
  <si>
    <t>Sadur, Nina, 1950- author.</t>
  </si>
  <si>
    <t>Boston : Academic Studies Press, 2014.</t>
  </si>
  <si>
    <t>2075439592:eng</t>
  </si>
  <si>
    <t>896986235</t>
  </si>
  <si>
    <t>ocn896986235</t>
  </si>
  <si>
    <t>3103581469K</t>
  </si>
  <si>
    <t>9781618113986</t>
  </si>
  <si>
    <t>794984718</t>
  </si>
  <si>
    <t>PG3485.8 D87 C4 2000</t>
  </si>
  <si>
    <t>0                      PG 3485800D  87                 C  4           2000</t>
  </si>
  <si>
    <t>Chudesnye znaki : romany, povestʹ, rasskazy / Nina Sadur.</t>
  </si>
  <si>
    <t>Sadur, Nina, 1950-</t>
  </si>
  <si>
    <t>Zhenskiĭ pocherk</t>
  </si>
  <si>
    <t>5613232007:rus</t>
  </si>
  <si>
    <t>44901881</t>
  </si>
  <si>
    <t>ocm44901881</t>
  </si>
  <si>
    <t>3102359297M</t>
  </si>
  <si>
    <t>9785264002526</t>
  </si>
  <si>
    <t>793660120</t>
  </si>
  <si>
    <t>PG3485.8 K5 N45 2009</t>
  </si>
  <si>
    <t>0                      PG 3485800K  5                  N  45          2009</t>
  </si>
  <si>
    <t>Nelegalʹnyĭ rasskaz o li︠u︡bvi / Igorʹ Sakhnovskiĭ.</t>
  </si>
  <si>
    <t>Sakhnovskiĭ, Igorʹ, 1958-</t>
  </si>
  <si>
    <t>2017-01-25</t>
  </si>
  <si>
    <t>321958771:rus</t>
  </si>
  <si>
    <t>435714530</t>
  </si>
  <si>
    <t>ocn435714530</t>
  </si>
  <si>
    <t>3103151426U</t>
  </si>
  <si>
    <t>9785170545384</t>
  </si>
  <si>
    <t>794783692</t>
  </si>
  <si>
    <t>PG3485.8 K5 S86 2016</t>
  </si>
  <si>
    <t>0                      PG 3485800K  5                  S  86          2016</t>
  </si>
  <si>
    <t>Svoboda po umolchanii︠u︡ : romany / Igorʹ Sakhnovskiĭ.</t>
  </si>
  <si>
    <t>Sakhnovskiĭ, Igorʹ, 1958- author.</t>
  </si>
  <si>
    <t>Moskva : AST : Redakt︠s︡ii︠a︡ Eleny Shubinoĭ, 2016.</t>
  </si>
  <si>
    <t>3786908365:rus</t>
  </si>
  <si>
    <t>956584552</t>
  </si>
  <si>
    <t>ocn956584552</t>
  </si>
  <si>
    <t>3103687513Y</t>
  </si>
  <si>
    <t>9785170962655</t>
  </si>
  <si>
    <t>795020280</t>
  </si>
  <si>
    <t>PG3485.8 M57 M5 2000</t>
  </si>
  <si>
    <t>0                      PG 3485800M  57                 M  5           2000</t>
  </si>
  <si>
    <t>"Mne vypalo vsë--" / David Samoĭlov ; [sost., A.D. Davydov].</t>
  </si>
  <si>
    <t>Samoĭlov, D. (David)</t>
  </si>
  <si>
    <t>Moskva : Vremi︠a︡, 2000.</t>
  </si>
  <si>
    <t>35082900:rus</t>
  </si>
  <si>
    <t>45602823</t>
  </si>
  <si>
    <t>ocm45602823</t>
  </si>
  <si>
    <t>31025185164</t>
  </si>
  <si>
    <t>9785941170036</t>
  </si>
  <si>
    <t>793674530</t>
  </si>
  <si>
    <t>PG3485.8 V374 Z26 2015</t>
  </si>
  <si>
    <t>0                      PG 3485800V  374                Z  26          2015</t>
  </si>
  <si>
    <t>Zevs : roman / Igorʹ Savelʹev.</t>
  </si>
  <si>
    <t>Savelʹev, Igorʹ, 1983- author.</t>
  </si>
  <si>
    <t>Proza otchai︠a︡nnogo pokolenii︠a︡</t>
  </si>
  <si>
    <t>2835263653:rus</t>
  </si>
  <si>
    <t>932128586</t>
  </si>
  <si>
    <t>ocn932128586</t>
  </si>
  <si>
    <t>3103632496Q</t>
  </si>
  <si>
    <t>9785699756421</t>
  </si>
  <si>
    <t>795008437</t>
  </si>
  <si>
    <t>PG3486 E45 I8 1980</t>
  </si>
  <si>
    <t>0                      PG 3486000E  45                 I  8           1980</t>
  </si>
  <si>
    <t>Ispanskiĭ variant : 1938. Semnadt︠s︡atʹ mgnoveniĭ vesny : 1945. Bomba dli︠a︡ predsedateli︠a︡ : 1967 / I︠U︡lian Semenov.</t>
  </si>
  <si>
    <t>Semenov, I︠U︡lian, 1931-1993.</t>
  </si>
  <si>
    <t>Kishinev : Izd-vo Karti︠a︡ Moldoveni︠a︡skė, 1980.</t>
  </si>
  <si>
    <t>10032875298:rus</t>
  </si>
  <si>
    <t>9252161</t>
  </si>
  <si>
    <t>ocm09252161</t>
  </si>
  <si>
    <t>3103484625G</t>
  </si>
  <si>
    <t>792666156</t>
  </si>
  <si>
    <t>PG3486 E45 S413 1988</t>
  </si>
  <si>
    <t>0                      PG 3486000E  45                 S  413         1988</t>
  </si>
  <si>
    <t>Seventeen moments of spring : a novel / by Julian Semyonov ; translated by Katherine Judelson.</t>
  </si>
  <si>
    <t>London : John Calder ; New York : Riverrun Press, 1988.</t>
  </si>
  <si>
    <t>2019-08-09</t>
  </si>
  <si>
    <t>340905444:eng</t>
  </si>
  <si>
    <t>17727316</t>
  </si>
  <si>
    <t>ocm17727316</t>
  </si>
  <si>
    <t>30006397071</t>
  </si>
  <si>
    <t>9780714541402</t>
  </si>
  <si>
    <t>793001292</t>
  </si>
  <si>
    <t>PG3486 E6843 O66 2013</t>
  </si>
  <si>
    <t>0                      PG 3486000E  6843               O  66          2013</t>
  </si>
  <si>
    <t>Omnibus : Roman, rasskazy, vospominanii︠a︡, stikhi / Andreĭ Sergeev.</t>
  </si>
  <si>
    <t>Sergeev, A. (Andreĭ), author.</t>
  </si>
  <si>
    <t>3945220746:rus</t>
  </si>
  <si>
    <t>855048450</t>
  </si>
  <si>
    <t>ocn855048450</t>
  </si>
  <si>
    <t>9785444801000</t>
  </si>
  <si>
    <t>794953083</t>
  </si>
  <si>
    <t>PG3486 E6843 S713 2002</t>
  </si>
  <si>
    <t>0                      PG 3486000E  6843               S  713         2002</t>
  </si>
  <si>
    <t>Stamp album : a collection of people, things, relationships, and words / Andrei Sergeev ; translated by Joanne Turnbull.</t>
  </si>
  <si>
    <t>Sergeev, A. (Andreĭ)</t>
  </si>
  <si>
    <t>Moscow : Glas Publishers, 2002.</t>
  </si>
  <si>
    <t>Glas new Russian writing ; v. 28</t>
  </si>
  <si>
    <t>1076224:eng</t>
  </si>
  <si>
    <t>50655425</t>
  </si>
  <si>
    <t>ocm50655425</t>
  </si>
  <si>
    <t>3102240003J</t>
  </si>
  <si>
    <t>9785717200592</t>
  </si>
  <si>
    <t>793769821</t>
  </si>
  <si>
    <t>PG3487 A592 K6413 1980</t>
  </si>
  <si>
    <t>0                      PG 3487000A  592                K  6413        1980</t>
  </si>
  <si>
    <t>Kolyma Tales / by Varlam Shalamov ; translated from the Russian by John Glad.</t>
  </si>
  <si>
    <t>Shalamov, Varlam.</t>
  </si>
  <si>
    <t>New York : W.W. Norton, ©1980.</t>
  </si>
  <si>
    <t>2018-10-10</t>
  </si>
  <si>
    <t>2795361505:eng</t>
  </si>
  <si>
    <t>5353660</t>
  </si>
  <si>
    <t>ocm05353660</t>
  </si>
  <si>
    <t>3103023757S</t>
  </si>
  <si>
    <t>9780393013245</t>
  </si>
  <si>
    <t>792427558</t>
  </si>
  <si>
    <t>PG3487 A592 K6413 2018</t>
  </si>
  <si>
    <t>0                      PG 3487000A  592                K  6413        2018</t>
  </si>
  <si>
    <t>Kolyma stories / Varlam Shalamov ; translated from the Russian and with an introduction by Donald Rayfield.</t>
  </si>
  <si>
    <t>Shalamov, Varlam, author.</t>
  </si>
  <si>
    <t>New York : New York Review Books, 2018-2020.</t>
  </si>
  <si>
    <t>8914166414:eng</t>
  </si>
  <si>
    <t>994410583</t>
  </si>
  <si>
    <t>ocn994410583</t>
  </si>
  <si>
    <t>3103704599H</t>
  </si>
  <si>
    <t>9781681372143</t>
  </si>
  <si>
    <t>795039043</t>
  </si>
  <si>
    <t>PG3487 A592 K64213 1981</t>
  </si>
  <si>
    <t>0                      PG 3487000A  592                K  64213       1981</t>
  </si>
  <si>
    <t>Graphite / by Varlam Shalamov ; translated from the Russian by John Glad.</t>
  </si>
  <si>
    <t>Shalamov, Varlam Tikhonovich.</t>
  </si>
  <si>
    <t>New York : Norton, ©1981.</t>
  </si>
  <si>
    <t>7462240</t>
  </si>
  <si>
    <t>ocm07462240</t>
  </si>
  <si>
    <t>3103023738W</t>
  </si>
  <si>
    <t>9780393014761</t>
  </si>
  <si>
    <t>792559925</t>
  </si>
  <si>
    <t>PG3487 A592 Z92 2013</t>
  </si>
  <si>
    <t>0                      PG 3487000A  592                Z  92          2013</t>
  </si>
  <si>
    <t>Varlam Shalamov v kontekste mirovoĭ literatury i sovetskoĭ istorii : sbornik trudov mezhdunarodnoĭ nauchnoĭ konferent︠s︡ii, Moskva--Vologda, 16-19 ii︠u︡ni︠a︡ 2011 goda / Sost. i red.: S.M. Solovʹev.</t>
  </si>
  <si>
    <t>Mezhdunarodnai︠a︡ nauchnai︠a︡ konferent︠s︡ii︠a︡ "Sudʹba i tvorchestvo Varlama Shalamova v kontekste mirovoĭ literatury i sovetskoĭ istorii" (2011 : Moscow, Russia; Vologda, Russia)</t>
  </si>
  <si>
    <t>Moskva : Litera, 2013.</t>
  </si>
  <si>
    <t>4435609864:rus</t>
  </si>
  <si>
    <t>864427373</t>
  </si>
  <si>
    <t>ocn864427373</t>
  </si>
  <si>
    <t>31035549894</t>
  </si>
  <si>
    <t>9785904729738</t>
  </si>
  <si>
    <t>794961976</t>
  </si>
  <si>
    <t>PG3487 A75 D613 2014</t>
  </si>
  <si>
    <t>0                      PG 3487000A  75                 D  613         2014</t>
  </si>
  <si>
    <t>Before &amp; during / Vladimir Sharov ; translated by Oliver Ready.</t>
  </si>
  <si>
    <t>Sharov, Vladimir, 1952- author.</t>
  </si>
  <si>
    <t>Sawtry : Dedalus Ltd, 2014.</t>
  </si>
  <si>
    <t>3862894368:eng</t>
  </si>
  <si>
    <t>869775116</t>
  </si>
  <si>
    <t>ocn869775116</t>
  </si>
  <si>
    <t>3103714368U</t>
  </si>
  <si>
    <t>9781907650710</t>
  </si>
  <si>
    <t>794965807</t>
  </si>
  <si>
    <t>PG3487 A75 R4713 2018</t>
  </si>
  <si>
    <t>0                      PG 3487000A  75                 R  4713        2018</t>
  </si>
  <si>
    <t>The rehearsals / Vladimir Sharov ; translated by Oliver Ready.</t>
  </si>
  <si>
    <t>Sawtry, Cambs, UK : Dedalus Limited, 2018.</t>
  </si>
  <si>
    <t>10379549:eng</t>
  </si>
  <si>
    <t>980487722</t>
  </si>
  <si>
    <t>ocn980487722</t>
  </si>
  <si>
    <t>3103704746U</t>
  </si>
  <si>
    <t>9781910213148</t>
  </si>
  <si>
    <t>795033737</t>
  </si>
  <si>
    <t>PG3487 E58 S28 2017</t>
  </si>
  <si>
    <t>0                      PG 3487000E  58                 S  28          2017</t>
  </si>
  <si>
    <t>Savelʹev : povesti i rasskazy / Shenderovich, Viktor.</t>
  </si>
  <si>
    <t>Shenderovich, Viktor, author.</t>
  </si>
  <si>
    <t>4586888579:rus</t>
  </si>
  <si>
    <t>1005355158</t>
  </si>
  <si>
    <t>on1005355158</t>
  </si>
  <si>
    <t>3103759991$</t>
  </si>
  <si>
    <t>9785969116108</t>
  </si>
  <si>
    <t>795042577</t>
  </si>
  <si>
    <t>PG3487 I7525 C35 2015</t>
  </si>
  <si>
    <t>0                      PG 3487000I  7525               C  35          2015</t>
  </si>
  <si>
    <t>Calligraphy lesson : the collected stories / Mikhail Shishkin ; translated from the Russian by Marian Schwartz, Leo Shtutin, Sylvia Maizell, and Mariya Bashkatova.</t>
  </si>
  <si>
    <t>Shishkin, Mikhail, author.</t>
  </si>
  <si>
    <t>Dallas, Texas : Deep Vellum Publishing, 2015.</t>
  </si>
  <si>
    <t>4799638090:eng</t>
  </si>
  <si>
    <t>910501902</t>
  </si>
  <si>
    <t>ocn910501902</t>
  </si>
  <si>
    <t>3103811965K</t>
  </si>
  <si>
    <t>9781941920039</t>
  </si>
  <si>
    <t>794996192</t>
  </si>
  <si>
    <t>PG3487 I7525 P5713 2013</t>
  </si>
  <si>
    <t>0                      PG 3487000I  7525               P  5713        2013</t>
  </si>
  <si>
    <t>The light and the dark / Mikhail Shishkin ; translated from the Russian by Andrew Bromfield.</t>
  </si>
  <si>
    <t>Shishkin, Mikhail.</t>
  </si>
  <si>
    <t>London : Quercus, 2013.</t>
  </si>
  <si>
    <t>1924688849:eng</t>
  </si>
  <si>
    <t>816166213</t>
  </si>
  <si>
    <t>ocn816166213</t>
  </si>
  <si>
    <t>3103500198U</t>
  </si>
  <si>
    <t>9781780871059</t>
  </si>
  <si>
    <t>794933010</t>
  </si>
  <si>
    <t>PG3487 I7525 V4613 2012</t>
  </si>
  <si>
    <t>0                      PG 3487000I  7525               V  4613        2012</t>
  </si>
  <si>
    <t>Maidenhair / Mikhail Shishkin ; translated from the Russian by Marian Schwartz.</t>
  </si>
  <si>
    <t>Rochester, NY : Open Letter, 2012.</t>
  </si>
  <si>
    <t>139694551:eng</t>
  </si>
  <si>
    <t>795020558</t>
  </si>
  <si>
    <t>ocn795020558</t>
  </si>
  <si>
    <t>31034974069</t>
  </si>
  <si>
    <t>9781934824368</t>
  </si>
  <si>
    <t>794920828</t>
  </si>
  <si>
    <t>PG3487 K54 T63 2015</t>
  </si>
  <si>
    <t>0                      PG 3487000K  54                 T  63          2015</t>
  </si>
  <si>
    <t>Tochka Omega / Evgeniĭ Shklovskiĭ.</t>
  </si>
  <si>
    <t>Shklovskiĭ, E. A. (Evgeniĭ Aleksandrovich), author.</t>
  </si>
  <si>
    <t>Moskva : Novoe literaturnoe obozrenie, 2015.</t>
  </si>
  <si>
    <t>3945448330:rus</t>
  </si>
  <si>
    <t>897835207</t>
  </si>
  <si>
    <t>ocn897835207</t>
  </si>
  <si>
    <t>B001587248</t>
  </si>
  <si>
    <t>9785444802144</t>
  </si>
  <si>
    <t>794985473</t>
  </si>
  <si>
    <t>PG3487 N57 Z465 2013</t>
  </si>
  <si>
    <t>0                      PG 3487000N  57                 Z  465         2013</t>
  </si>
  <si>
    <t>Schastlivai︠a︡ devochka rastet / Nina Shnirman.</t>
  </si>
  <si>
    <t>Shnirman, Nina, author.</t>
  </si>
  <si>
    <t>Moskva : AST : Corpus, 2013.</t>
  </si>
  <si>
    <t>1408188352:rus</t>
  </si>
  <si>
    <t>842911352</t>
  </si>
  <si>
    <t>ocn842911352</t>
  </si>
  <si>
    <t>3103527255Y</t>
  </si>
  <si>
    <t>9785170772681</t>
  </si>
  <si>
    <t>794947729</t>
  </si>
  <si>
    <t>PG3487 P475 P47 2016</t>
  </si>
  <si>
    <t>0                      PG 3487000P  475                P  47          2016</t>
  </si>
  <si>
    <t>Pesni kitov : roman / Vladimir Shpakov.</t>
  </si>
  <si>
    <t>Shpakov, Vladimir, author.</t>
  </si>
  <si>
    <t>Moskva : RIPOL Klassik, 2016.</t>
  </si>
  <si>
    <t>Nat︠s︡ionalʹnai︠a︡ literaturnai︠a︡ premii︠a︡ "Bolʹshai︠a︡ kniga"</t>
  </si>
  <si>
    <t>3218756713:rus</t>
  </si>
  <si>
    <t>951977180</t>
  </si>
  <si>
    <t>ocn951977180</t>
  </si>
  <si>
    <t>3103699126P</t>
  </si>
  <si>
    <t>9785386091521</t>
  </si>
  <si>
    <t>795017900</t>
  </si>
  <si>
    <t>PG3487 U5 A25 1973</t>
  </si>
  <si>
    <t>0                      PG 3487000U  5                  A  25          1973</t>
  </si>
  <si>
    <t>I want to live; short stories [by] Vasily Shukshin. [Translated from the Russian by Robert Daglish].</t>
  </si>
  <si>
    <t>Shukshin, Vasiliĭ, 1929-1974.</t>
  </si>
  <si>
    <t>Moscow, Progress Publishers [1973]</t>
  </si>
  <si>
    <t>Soviet short stories series</t>
  </si>
  <si>
    <t>2025550:eng</t>
  </si>
  <si>
    <t>1047212</t>
  </si>
  <si>
    <t>ocm01047212</t>
  </si>
  <si>
    <t>3101802509Q</t>
  </si>
  <si>
    <t>791533199</t>
  </si>
  <si>
    <t>PG3487 U5 A27 1985</t>
  </si>
  <si>
    <t>0                      PG 3487000U  5                  A  27          1985</t>
  </si>
  <si>
    <t>Roubles in words, kopeks in figures, and other stories / Vasily Shukshin ; translated from the Russian by Natasha Ward and David Iliffe ; introduction by Yevgeny Yevtushenko.</t>
  </si>
  <si>
    <t>London ; New York : Marion Boyars, 1985.</t>
  </si>
  <si>
    <t>227433287:eng</t>
  </si>
  <si>
    <t>10913319</t>
  </si>
  <si>
    <t>ocm10913319</t>
  </si>
  <si>
    <t>3000374719G</t>
  </si>
  <si>
    <t>9780714528137</t>
  </si>
  <si>
    <t>792749202</t>
  </si>
  <si>
    <t>PG3487 U5 L58 1990</t>
  </si>
  <si>
    <t>0                      PG 3487000U  5                  L  58          1990</t>
  </si>
  <si>
    <t>Li︠u︡baviny : roman / Vasiliĭ Shukshin.</t>
  </si>
  <si>
    <t>3855556027:rus</t>
  </si>
  <si>
    <t>22914091</t>
  </si>
  <si>
    <t>ocm22914091</t>
  </si>
  <si>
    <t>3101106635D</t>
  </si>
  <si>
    <t>9785265006592</t>
  </si>
  <si>
    <t>793157086</t>
  </si>
  <si>
    <t>PG3487 U5 S66</t>
  </si>
  <si>
    <t>0                      PG 3487000U  5                  S  66</t>
  </si>
  <si>
    <t>Snowball berry red &amp; other stories / Vasily Shukshin ; edited by Donald M. Fiene ; with translations by Donald M. Fiene, Boris Peskin, Geoffrey A. Hosking, George Gutsche, George Kolodziej, and James Nelson ; with a chronology of the life and works of Shukshin, and with a filmography of Shukshkin, a bibliography of Shukshin, and with three critical articles on Shukshin's works.</t>
  </si>
  <si>
    <t>Shukshin, Vasiliĭ, 1929-1974, author.</t>
  </si>
  <si>
    <t>Ann Arbor, Michigan : Ardis, [1979]</t>
  </si>
  <si>
    <t>8960477625:eng</t>
  </si>
  <si>
    <t>4907408</t>
  </si>
  <si>
    <t>ocm04907408</t>
  </si>
  <si>
    <t>3000442273E</t>
  </si>
  <si>
    <t>9780882332833</t>
  </si>
  <si>
    <t>792392815</t>
  </si>
  <si>
    <t>PG3488 I635 M37 2007</t>
  </si>
  <si>
    <t>0                      PG 3488000I  635                M  37          2007</t>
  </si>
  <si>
    <t>Marsianskai︠a︡ roza : povesti i rasskazy / Sergeĭ Sini︠a︡kin.</t>
  </si>
  <si>
    <t>Sini︠a︡kin, Sergeĭ.</t>
  </si>
  <si>
    <t>Volgograd : Izdatelʹ, 2007.</t>
  </si>
  <si>
    <t>277976067:rus</t>
  </si>
  <si>
    <t>392210171</t>
  </si>
  <si>
    <t>ocn392210171</t>
  </si>
  <si>
    <t>31031511096</t>
  </si>
  <si>
    <t>9785923306200</t>
  </si>
  <si>
    <t>794495853</t>
  </si>
  <si>
    <t>PG3488 L29 K47 2014</t>
  </si>
  <si>
    <t>0                      PG 3488000L  29                 K  47          2014</t>
  </si>
  <si>
    <t>Khronika no. 13 : Rasskazy, st︠s︡enariĭ, pʹesy, ėsse, khronika obshchikh i lichnykh sobytiĭ / Alekseĭ Slapovskiĭ.</t>
  </si>
  <si>
    <t>Slapovskiĭ, Alekseĭ, author.</t>
  </si>
  <si>
    <t>5622803112:rus</t>
  </si>
  <si>
    <t>884883426</t>
  </si>
  <si>
    <t>ocn884883426</t>
  </si>
  <si>
    <t>3103632450D</t>
  </si>
  <si>
    <t>9785969112056</t>
  </si>
  <si>
    <t>794976841</t>
  </si>
  <si>
    <t>PG3488 L29 P65 2010</t>
  </si>
  <si>
    <t>0                      PG 3488000L  29                 P  65          2010</t>
  </si>
  <si>
    <t>Pokhod na Kremlʹ : poėma bunta / Alekseĭ Slapovskiĭ.</t>
  </si>
  <si>
    <t>Slapovskiĭ, Alekseĭ.</t>
  </si>
  <si>
    <t>3860462411:rus</t>
  </si>
  <si>
    <t>646576326</t>
  </si>
  <si>
    <t>ocn646576326</t>
  </si>
  <si>
    <t>3103393426R</t>
  </si>
  <si>
    <t>9785170664009</t>
  </si>
  <si>
    <t>794830518</t>
  </si>
  <si>
    <t>PG3488 L35 B47 2004</t>
  </si>
  <si>
    <t>0                      PG 3488000L  35                 B  47          2004</t>
  </si>
  <si>
    <t>Bessmertnyĭ / Olʹga Slavnikova.</t>
  </si>
  <si>
    <t>Slavnikova, Olʹga.</t>
  </si>
  <si>
    <t>Moskva : Vagrius, 2004.</t>
  </si>
  <si>
    <t>10141445369:rus</t>
  </si>
  <si>
    <t>58425169</t>
  </si>
  <si>
    <t>ocm58425169</t>
  </si>
  <si>
    <t>3102470230H</t>
  </si>
  <si>
    <t>9785475000694</t>
  </si>
  <si>
    <t>793920734</t>
  </si>
  <si>
    <t>PG3488 L35 D84 2006</t>
  </si>
  <si>
    <t>0                      PG 3488000L  35                 D  84          2006</t>
  </si>
  <si>
    <t>2017 : roman / Olʹga Slavnikova.</t>
  </si>
  <si>
    <t>Slavnikova, Olʹga, author.</t>
  </si>
  <si>
    <t>Moskva : Vagrius, 2006.</t>
  </si>
  <si>
    <t>53749991:rus</t>
  </si>
  <si>
    <t>69499878</t>
  </si>
  <si>
    <t>ocm69499878</t>
  </si>
  <si>
    <t>3102686816$</t>
  </si>
  <si>
    <t>9785969701779</t>
  </si>
  <si>
    <t>794146184</t>
  </si>
  <si>
    <t>PG3488 O4 A2 2006</t>
  </si>
  <si>
    <t>0                      PG 3488000O  4                  A  2           2006</t>
  </si>
  <si>
    <t>The Solzhenitsyn reader : new and essential writings, 1947-2005 / edited by Edward E. Ericson, Jr., and Daniel J. Mahoney.</t>
  </si>
  <si>
    <t>Solzhenit︠s︡yn, Aleksandr Isaevich, 1918-2008.</t>
  </si>
  <si>
    <t>Wilmington, DE : ISI Books, 2006.</t>
  </si>
  <si>
    <t>2018-05-23</t>
  </si>
  <si>
    <t>1059238598:eng</t>
  </si>
  <si>
    <t>76717221</t>
  </si>
  <si>
    <t>ocm76717221</t>
  </si>
  <si>
    <t>3102635910P</t>
  </si>
  <si>
    <t>9781933859002</t>
  </si>
  <si>
    <t>794176460</t>
  </si>
  <si>
    <t>PG3488 O4 A2 2015</t>
  </si>
  <si>
    <t>0                      PG 3488000O  4                  A  2           2015</t>
  </si>
  <si>
    <t>Stories and prose poems / Alexander Solzhenitsyn ; translated by Michael Glenny.</t>
  </si>
  <si>
    <t>Solzhenit︠s︡yn, Aleksandr Isaevich, 1918-2008, author.</t>
  </si>
  <si>
    <t>New York : Farrar, Straus and Giroux, 2015.</t>
  </si>
  <si>
    <t>Paperback edition.</t>
  </si>
  <si>
    <t>140970593:eng</t>
  </si>
  <si>
    <t>892061585</t>
  </si>
  <si>
    <t>ocn892061585</t>
  </si>
  <si>
    <t>3103610835F</t>
  </si>
  <si>
    <t>9780374534721</t>
  </si>
  <si>
    <t>794980621</t>
  </si>
  <si>
    <t>PG3488 O4 A613 2011</t>
  </si>
  <si>
    <t>0                      PG 3488000O  4                  A  613         2011</t>
  </si>
  <si>
    <t>Apricot jam, and other stories / Aleksandr Solzhenitsyn.</t>
  </si>
  <si>
    <t>Berkeley : Counterpoint, ©2011.</t>
  </si>
  <si>
    <t>2013-05-18</t>
  </si>
  <si>
    <t>1059158960:eng</t>
  </si>
  <si>
    <t>701810661</t>
  </si>
  <si>
    <t>ocn701810661</t>
  </si>
  <si>
    <t>3103362932T</t>
  </si>
  <si>
    <t>9781619020085</t>
  </si>
  <si>
    <t>794863540</t>
  </si>
  <si>
    <t>PG3488 O4 A943 1989</t>
  </si>
  <si>
    <t>0                      PG 3488000O  4                  A  943         1989</t>
  </si>
  <si>
    <t>August 1914 / Aleksandr Solzhenitsyn ; translated by H.T. Willetts.</t>
  </si>
  <si>
    <t>New York : Farrar, Straus and Giroux, ©1989.</t>
  </si>
  <si>
    <t>The red wheel / Aleksandr Solzhenitsyn ; knot 1</t>
  </si>
  <si>
    <t>140970576:eng</t>
  </si>
  <si>
    <t>18587852</t>
  </si>
  <si>
    <t>ocm18587852</t>
  </si>
  <si>
    <t>3102824883B</t>
  </si>
  <si>
    <t>9780374106836</t>
  </si>
  <si>
    <t>793029855</t>
  </si>
  <si>
    <t>PG3488 O4 D583x 1964</t>
  </si>
  <si>
    <t>0                      PG 3488000O  4                  D  583x        1964</t>
  </si>
  <si>
    <t>For the good of the cause / by Alexander Solzhenitsyn ; translated by David Floyd and Max Hayward. Introd. by David Floyd.</t>
  </si>
  <si>
    <t>New York : F.A. Praeger, 1964.</t>
  </si>
  <si>
    <t>140970598:eng</t>
  </si>
  <si>
    <t>245435</t>
  </si>
  <si>
    <t>ocm00245435</t>
  </si>
  <si>
    <t>3000521520X</t>
  </si>
  <si>
    <t>791307509</t>
  </si>
  <si>
    <t>2017-03-17</t>
  </si>
  <si>
    <t>30002442040</t>
  </si>
  <si>
    <t>791307511</t>
  </si>
  <si>
    <t>3000993938T</t>
  </si>
  <si>
    <t>791307512</t>
  </si>
  <si>
    <t>30002442032</t>
  </si>
  <si>
    <t>791307510</t>
  </si>
  <si>
    <t>PG3488 O4 K67613 2017</t>
  </si>
  <si>
    <t>0                      PG 3488000O  4                  K  67613       2017</t>
  </si>
  <si>
    <t>March 1917 : the Red Wheel, node III (8 March-31 March), book 1 / Aleksandr Solzhenitsyn ; translated by Marian Schwartz.</t>
  </si>
  <si>
    <t>Notre Dame, Indiana : University of Notre Dame Press, [2017]</t>
  </si>
  <si>
    <t>The Center for Ethics and Culture Solzhenitsyn Series</t>
  </si>
  <si>
    <t>4516081891:eng</t>
  </si>
  <si>
    <t>983824129</t>
  </si>
  <si>
    <t>ocn983824129</t>
  </si>
  <si>
    <t>3103739011Y</t>
  </si>
  <si>
    <t>9780268102654</t>
  </si>
  <si>
    <t>795034891</t>
  </si>
  <si>
    <t>PG3488 O4 N6 1972</t>
  </si>
  <si>
    <t>0                      PG 3488000O  4                  N  6           1972</t>
  </si>
  <si>
    <t>"One word of truth ..." : the Nobel speech on literature, 1970 / Alexander Solzhenitsyn ; [translated from the Russian by the members of the BBC Russian Service].</t>
  </si>
  <si>
    <t>London : Bodley Head, 1972.</t>
  </si>
  <si>
    <t>140970586:eng</t>
  </si>
  <si>
    <t>811442</t>
  </si>
  <si>
    <t>ocm00811442</t>
  </si>
  <si>
    <t>3000177390P</t>
  </si>
  <si>
    <t>9780370104911</t>
  </si>
  <si>
    <t>791476015</t>
  </si>
  <si>
    <t>PG3488 O4 O3 1963</t>
  </si>
  <si>
    <t>0                      PG 3488000O  4                  O  3           1963</t>
  </si>
  <si>
    <t>Odin denʹ Ivana Denisovicha : povestʹ / A. Solzhenit︠s︡yn.</t>
  </si>
  <si>
    <t>Moskva : Sovetskiĭ pisatelʹ, 1963.</t>
  </si>
  <si>
    <t>9593570013:rus</t>
  </si>
  <si>
    <t>10154098</t>
  </si>
  <si>
    <t>ocm10154098</t>
  </si>
  <si>
    <t>31033380870</t>
  </si>
  <si>
    <t>792711766</t>
  </si>
  <si>
    <t>PG3488 O4 O3213 1963</t>
  </si>
  <si>
    <t>0                      PG 3488000O  4                  O  3213        1963</t>
  </si>
  <si>
    <t>One day in the life of Ivan Denisovich / Alexander Solzhenitsyn ; [translated from the Russian by Ralph Parker] ; with an introduction by Marvin L. Kalb ; foreword by Alexander Tvardovsky.</t>
  </si>
  <si>
    <t>New York : Dutton &amp; Co. Inc., 1963.</t>
  </si>
  <si>
    <t>365070598:eng</t>
  </si>
  <si>
    <t>1036029</t>
  </si>
  <si>
    <t>ocm01036029</t>
  </si>
  <si>
    <t>3100658025A</t>
  </si>
  <si>
    <t>791530572</t>
  </si>
  <si>
    <t>PG3488 O4 O3313 1991</t>
  </si>
  <si>
    <t>0                      PG 3488000O  4                  O  3313        1991</t>
  </si>
  <si>
    <t>One day in the life of Ivan Denisovich / Aleksandr Solzhenit︠s︡yn ; translated by H.T. Willetts.</t>
  </si>
  <si>
    <t>New York : Noonday Press, 1991.</t>
  </si>
  <si>
    <t>2017-07-17</t>
  </si>
  <si>
    <t>427897269</t>
  </si>
  <si>
    <t>ocn427897269</t>
  </si>
  <si>
    <t>3103601843H</t>
  </si>
  <si>
    <t>9780374226435</t>
  </si>
  <si>
    <t>794707137</t>
  </si>
  <si>
    <t>PG3488 O4 O3313 2005</t>
  </si>
  <si>
    <t>0                      PG 3488000O  4                  O  3313        2005</t>
  </si>
  <si>
    <t>One day in the life of Ivan Denisovich / Alexander Solzhenitsyn ; translated by Max Hayward and Ronald Hingley ; introduction by Max Hayward and Leopold Labedz.</t>
  </si>
  <si>
    <t>New York : Bantam Classic, 2005.</t>
  </si>
  <si>
    <t>Bantam mass market ed.</t>
  </si>
  <si>
    <t>138350313</t>
  </si>
  <si>
    <t>ocn138350313</t>
  </si>
  <si>
    <t>31025090886</t>
  </si>
  <si>
    <t>794234348</t>
  </si>
  <si>
    <t>31025090738</t>
  </si>
  <si>
    <t>794234347</t>
  </si>
  <si>
    <t>PG3488 O4 O34 1976</t>
  </si>
  <si>
    <t>0                      PG 3488000O  4                  O  34          1976</t>
  </si>
  <si>
    <t>Une journee d'Ivan Denissovitch : (texte integral) / Alexandre Soljenitsyne ; roman traduit du russe par Lucia et Jean Cathala ; preface de Jean Cathala.</t>
  </si>
  <si>
    <t>Paris : Julliard, 1976.</t>
  </si>
  <si>
    <t>9937043166:fre</t>
  </si>
  <si>
    <t>270573673</t>
  </si>
  <si>
    <t>ocn270573673</t>
  </si>
  <si>
    <t>3103149017H</t>
  </si>
  <si>
    <t>794410580</t>
  </si>
  <si>
    <t>PG3488 O4 O3435 1997</t>
  </si>
  <si>
    <t>0                      PG 3488000O  4                  O  3435        1997</t>
  </si>
  <si>
    <t>Solzhenitsyn's One day in the life of Ivan Denisovich / Robert Porter.</t>
  </si>
  <si>
    <t>45365621:eng</t>
  </si>
  <si>
    <t>37858297</t>
  </si>
  <si>
    <t>ocm37858297</t>
  </si>
  <si>
    <t>3101866130W</t>
  </si>
  <si>
    <t>9781853994708</t>
  </si>
  <si>
    <t>793508563</t>
  </si>
  <si>
    <t>PG3488 O4 O3488</t>
  </si>
  <si>
    <t>0                      PG 3488000O  4                  O  3488</t>
  </si>
  <si>
    <t>Une journée d'Ivan Denissovitch : Soljenitsyne : analyse critique / par Jean-Yves Guérin.</t>
  </si>
  <si>
    <t>Guérin, Jeanyves.</t>
  </si>
  <si>
    <t>Paris : Hatier, ©1981.</t>
  </si>
  <si>
    <t>Profil d'une œuvre ; 73</t>
  </si>
  <si>
    <t>4494983763:fre</t>
  </si>
  <si>
    <t>9393715</t>
  </si>
  <si>
    <t>ocm09393715</t>
  </si>
  <si>
    <t>3102794967K</t>
  </si>
  <si>
    <t>9782218056512</t>
  </si>
  <si>
    <t>792673885</t>
  </si>
  <si>
    <t>PG3488 O4 O366 1997</t>
  </si>
  <si>
    <t>0                      PG 3488000O  4                  O  366         1997</t>
  </si>
  <si>
    <t>One day in the life of Ivan Denisovich : a critical companion / edited by Alexis Klimoff.</t>
  </si>
  <si>
    <t>4757675893:eng</t>
  </si>
  <si>
    <t>36942583</t>
  </si>
  <si>
    <t>ocm36942583</t>
  </si>
  <si>
    <t>3101913676Q</t>
  </si>
  <si>
    <t>9780810112148</t>
  </si>
  <si>
    <t>793488125</t>
  </si>
  <si>
    <t>PG3488 O4 R313 2015</t>
  </si>
  <si>
    <t>0                      PG 3488000O  4                  R  313         2015</t>
  </si>
  <si>
    <t>Cancer ward / Aleksandr Solzhenitsyn ; translated from the Russian by Nicholas Bethell and David Burg.</t>
  </si>
  <si>
    <t>2015 paperback edition.</t>
  </si>
  <si>
    <t>140985181:eng</t>
  </si>
  <si>
    <t>892886138</t>
  </si>
  <si>
    <t>ocn892886138</t>
  </si>
  <si>
    <t>3103610825I</t>
  </si>
  <si>
    <t>9780374534714</t>
  </si>
  <si>
    <t>794981234</t>
  </si>
  <si>
    <t>PG3488 O4 R314 1980</t>
  </si>
  <si>
    <t>0                      PG 3488000O  4                  R  314         1980</t>
  </si>
  <si>
    <t>Le pavillon des cancéreux / Alexandre Soljénitsyne.</t>
  </si>
  <si>
    <t>Soljenitsyne, Aleksandr Isaevitch, 1918-</t>
  </si>
  <si>
    <t>Paris : Presses Pocket, 1980.</t>
  </si>
  <si>
    <t>5231477565:fre</t>
  </si>
  <si>
    <t>78897335</t>
  </si>
  <si>
    <t>ocm78897335</t>
  </si>
  <si>
    <t>3101840891Q</t>
  </si>
  <si>
    <t>9782266023313</t>
  </si>
  <si>
    <t>794196435</t>
  </si>
  <si>
    <t>PG3488 O4 R33</t>
  </si>
  <si>
    <t>0                      PG 3488000O  4                  R  33</t>
  </si>
  <si>
    <t>The cancer ward / Aleksandr I. Solzhenitsyn ; translated from the Russian by Rebecca Frank.</t>
  </si>
  <si>
    <t>New York : Dial Press, 1968.</t>
  </si>
  <si>
    <t>2016-10-05</t>
  </si>
  <si>
    <t>321122</t>
  </si>
  <si>
    <t>ocm00321122</t>
  </si>
  <si>
    <t>30002442008</t>
  </si>
  <si>
    <t>9780374511999</t>
  </si>
  <si>
    <t>791336131</t>
  </si>
  <si>
    <t>PG3488 O4 R33 1969b</t>
  </si>
  <si>
    <t>0                      PG 3488000O  4                  R  33          1969b</t>
  </si>
  <si>
    <t>Cancer ward / Alexander Solzhenitsyn ; translated from the Russian by Nicholas Bethell and David Burg.</t>
  </si>
  <si>
    <t>Toronto ; New York : Bantam Books, 1969.</t>
  </si>
  <si>
    <t>2008-06-29</t>
  </si>
  <si>
    <t>2017-07-25</t>
  </si>
  <si>
    <t>1058241</t>
  </si>
  <si>
    <t>ocm01058241</t>
  </si>
  <si>
    <t>3102948279$</t>
  </si>
  <si>
    <t>791535793</t>
  </si>
  <si>
    <t>3000177582G</t>
  </si>
  <si>
    <t>791535795</t>
  </si>
  <si>
    <t>PG3488 O4 Z4613 2018</t>
  </si>
  <si>
    <t>0                      PG 3488000O  4                  Z  4613        2018</t>
  </si>
  <si>
    <t>Between two millstones. Book 1, Sketches of exile 1974-1978 / Aleksandr Solzhenitsyn ; translated from the Russian by Peter Constantine.</t>
  </si>
  <si>
    <t>Notre Dame, Indiana : University of Notre Dame Press, [2018]</t>
  </si>
  <si>
    <t>English language edition.</t>
  </si>
  <si>
    <t>The Center for Ethics and Culture Solzhenitsyn series</t>
  </si>
  <si>
    <t>5518996914:eng</t>
  </si>
  <si>
    <t>1050455463</t>
  </si>
  <si>
    <t>on1050455463</t>
  </si>
  <si>
    <t>3103809859M</t>
  </si>
  <si>
    <t>9780268105013</t>
  </si>
  <si>
    <t>795061537</t>
  </si>
  <si>
    <t>PG3488 O4 Z49513 1980</t>
  </si>
  <si>
    <t>0                      PG 3488000O  4                  Z  49513       1980</t>
  </si>
  <si>
    <t>The oak and the calf : sketches of literary life in the Soviet Union / Aleksandr I. Solzhenitsyn ; translated from the Russian by Harry Willetts.</t>
  </si>
  <si>
    <t>1st Harper &amp; Row ed.</t>
  </si>
  <si>
    <t>140983893:eng</t>
  </si>
  <si>
    <t>5829936</t>
  </si>
  <si>
    <t>ocm05829936</t>
  </si>
  <si>
    <t>3102863972V</t>
  </si>
  <si>
    <t>9780060140144</t>
  </si>
  <si>
    <t>792457122</t>
  </si>
  <si>
    <t>3102228867Z</t>
  </si>
  <si>
    <t>792457121</t>
  </si>
  <si>
    <t>PG3488 O4 Z575 2014</t>
  </si>
  <si>
    <t>0                      PG 3488000O  4                  Z  575         2014</t>
  </si>
  <si>
    <t>Alexander Solzhenitsyn : cold war icon, gulag author, Russian nationalist? : a study of the Western reception of his literary writings, historical interpretations, and political ideas / Elisa Kriza ; with a foreword by Andrei Rogatchevski.</t>
  </si>
  <si>
    <t>Kriza, Elisa, author.</t>
  </si>
  <si>
    <t>Stuttgart : Ibidem-Verlag, [2014]</t>
  </si>
  <si>
    <t>Soviet and post-Soviet politics and society (SPPS), 1614-3515 ; vol. 131</t>
  </si>
  <si>
    <t>1894793587:eng</t>
  </si>
  <si>
    <t>880566041</t>
  </si>
  <si>
    <t>ocn880566041</t>
  </si>
  <si>
    <t>3103581644I</t>
  </si>
  <si>
    <t>9783838206899</t>
  </si>
  <si>
    <t>794973209</t>
  </si>
  <si>
    <t>PG3488 O4 Z5924 2010</t>
  </si>
  <si>
    <t>0                      PG 3488000O  4                  Z  5924        2010</t>
  </si>
  <si>
    <t>Neizvestnyĭ Solzhenit︠s︡yn : geniĭ pervogo plevka / Vladimir Bushin.</t>
  </si>
  <si>
    <t>Bushin, Vladimir.</t>
  </si>
  <si>
    <t>Moskva : ĖKSMO : Algoritm, 2010.</t>
  </si>
  <si>
    <t>Genii i zlodei</t>
  </si>
  <si>
    <t>2012-11-09</t>
  </si>
  <si>
    <t>149379558:rus</t>
  </si>
  <si>
    <t>639036109</t>
  </si>
  <si>
    <t>ocn639036109</t>
  </si>
  <si>
    <t>3103355870H</t>
  </si>
  <si>
    <t>9785699406364</t>
  </si>
  <si>
    <t>794826491</t>
  </si>
  <si>
    <t>PG3488 O4 Z64 1975</t>
  </si>
  <si>
    <t>0                      PG 3488000O  4                  Z  64          1975</t>
  </si>
  <si>
    <t>Aleksandr Solzhenitsyn : critical essays and documentary materials / edited by John B. Dunlop, Richard Haugh, and Alexis Klimoff.</t>
  </si>
  <si>
    <t>Dunlop, John B., compiler.</t>
  </si>
  <si>
    <t>New York : Collier Books, [1975]</t>
  </si>
  <si>
    <t>2009-05-30</t>
  </si>
  <si>
    <t>9592838645:eng</t>
  </si>
  <si>
    <t>1176760</t>
  </si>
  <si>
    <t>ocm01176760</t>
  </si>
  <si>
    <t>3101406554T</t>
  </si>
  <si>
    <t>9780020505501</t>
  </si>
  <si>
    <t>791565794</t>
  </si>
  <si>
    <t>3000185725O</t>
  </si>
  <si>
    <t>791565793</t>
  </si>
  <si>
    <t>PG3488 O4 Z838 2004</t>
  </si>
  <si>
    <t>0                      PG 3488000O  4                  Z  838         2004</t>
  </si>
  <si>
    <t>Solzhenit︠s︡yn : proshchanie s mifom / Aleksandr Ostrovskiĭ.</t>
  </si>
  <si>
    <t>Ostrovskiĭ, A. V. (Aleksandr Vladimirovich)</t>
  </si>
  <si>
    <t>Moskva : I︠A︡uza : Presskom, 2004.</t>
  </si>
  <si>
    <t>Taĭny Rossii</t>
  </si>
  <si>
    <t>864560:rus</t>
  </si>
  <si>
    <t>57232824</t>
  </si>
  <si>
    <t>ocm57232824</t>
  </si>
  <si>
    <t>31025111049</t>
  </si>
  <si>
    <t>9785980830236</t>
  </si>
  <si>
    <t>793909462</t>
  </si>
  <si>
    <t>PG3488 O4 Z886</t>
  </si>
  <si>
    <t>0                      PG 3488000O  4                  Z  886</t>
  </si>
  <si>
    <t>Solzhenitsyn : a collection of critical essays / edited by Kathryn Feuer.</t>
  </si>
  <si>
    <t>Englewood Cliffs, N.J. : Prentice-Hall, ©1976.</t>
  </si>
  <si>
    <t>2017-02-27</t>
  </si>
  <si>
    <t>907224782:eng</t>
  </si>
  <si>
    <t>2046968</t>
  </si>
  <si>
    <t>ocm02046968</t>
  </si>
  <si>
    <t>3000372912W</t>
  </si>
  <si>
    <t>9780138226275</t>
  </si>
  <si>
    <t>792034487</t>
  </si>
  <si>
    <t>PG3488 O4 Z8883 2008</t>
  </si>
  <si>
    <t>0                      PG 3488000O  4                  Z  8883        2008</t>
  </si>
  <si>
    <t>The soul and barbed wire : an introduction to Solzhenitsyn / Edward E. Ericson, Jr., Alexis Klimoff.</t>
  </si>
  <si>
    <t>Wilmington, Del. : ISI Books, ©2008.</t>
  </si>
  <si>
    <t>2017-10-20</t>
  </si>
  <si>
    <t>119075844:eng</t>
  </si>
  <si>
    <t>707725676</t>
  </si>
  <si>
    <t>ocn707725676</t>
  </si>
  <si>
    <t>3102974543Y</t>
  </si>
  <si>
    <t>9781933859583</t>
  </si>
  <si>
    <t>794868015</t>
  </si>
  <si>
    <t>PG3488 O4 Z89x</t>
  </si>
  <si>
    <t>0                      PG 3488000O  4                  Z  89x</t>
  </si>
  <si>
    <t>Soljénitsyne / communications [par] Michel Aucouturier [and others] ; interventions [par] S. Allemand [and others].</t>
  </si>
  <si>
    <t>Paris : Union générale d'éditions, 1974.</t>
  </si>
  <si>
    <t>Collection 10/18 = Dix/dix-huit ; 858</t>
  </si>
  <si>
    <t>4663487619:fre</t>
  </si>
  <si>
    <t>1730455</t>
  </si>
  <si>
    <t>ocm01730455</t>
  </si>
  <si>
    <t>30006256869</t>
  </si>
  <si>
    <t>791855958</t>
  </si>
  <si>
    <t>PG3488 O4 1999</t>
  </si>
  <si>
    <t>0                      PG 3488000O  4           1999</t>
  </si>
  <si>
    <t>Sobranie sochineniĭ v devi︠a︡ti tomakh / Aleksandr Solzhenit︠s︡yn.</t>
  </si>
  <si>
    <t>Moskva : "Terra", 1999-</t>
  </si>
  <si>
    <t>2005-06-09</t>
  </si>
  <si>
    <t>4021179494:rus</t>
  </si>
  <si>
    <t>42778218</t>
  </si>
  <si>
    <t>ocm42778218</t>
  </si>
  <si>
    <t>3102040877V</t>
  </si>
  <si>
    <t>9785300027537</t>
  </si>
  <si>
    <t>793614112</t>
  </si>
  <si>
    <t>3102617532Z</t>
  </si>
  <si>
    <t>793614107</t>
  </si>
  <si>
    <t>2004-08-23</t>
  </si>
  <si>
    <t>3102173382I</t>
  </si>
  <si>
    <t>793614108</t>
  </si>
  <si>
    <t>2010-10-24</t>
  </si>
  <si>
    <t>31020408716</t>
  </si>
  <si>
    <t>793614113</t>
  </si>
  <si>
    <t>3102009747N</t>
  </si>
  <si>
    <t>793614114</t>
  </si>
  <si>
    <t>31020408732</t>
  </si>
  <si>
    <t>793614111</t>
  </si>
  <si>
    <t>31026175270</t>
  </si>
  <si>
    <t>793614106</t>
  </si>
  <si>
    <t>2006-12-19</t>
  </si>
  <si>
    <t>3102104329M</t>
  </si>
  <si>
    <t>793614109</t>
  </si>
  <si>
    <t>2006-12-05</t>
  </si>
  <si>
    <t>3102104324W</t>
  </si>
  <si>
    <t>793614110</t>
  </si>
  <si>
    <t>PG3488 O66 A2 2011</t>
  </si>
  <si>
    <t>0                      PG 3488000O  66                 A  2           2011</t>
  </si>
  <si>
    <t>Ice trilogy / Vladimir Sorokin ; translated by Jamey Gambrell.</t>
  </si>
  <si>
    <t>Sorokin, Vladimir, 1955-</t>
  </si>
  <si>
    <t>New York : New York Review Books, ©2011.</t>
  </si>
  <si>
    <t>2015-10-15</t>
  </si>
  <si>
    <t>31571:eng</t>
  </si>
  <si>
    <t>639163152</t>
  </si>
  <si>
    <t>ocn639163152</t>
  </si>
  <si>
    <t>3103322054Z</t>
  </si>
  <si>
    <t>9781590173862</t>
  </si>
  <si>
    <t>794826612</t>
  </si>
  <si>
    <t>PG3488 O66 A6 2006</t>
  </si>
  <si>
    <t>0                      PG 3488000O  66                 A  6           2006</t>
  </si>
  <si>
    <t>Trilogii︠a︡ / Vladimir Sorokin.</t>
  </si>
  <si>
    <t>Sorokin, Vladimir, 1955- author.</t>
  </si>
  <si>
    <t>Moskva : Zakharov, 2006.</t>
  </si>
  <si>
    <t>9988791151:rus</t>
  </si>
  <si>
    <t>63825753</t>
  </si>
  <si>
    <t>ocm63825753</t>
  </si>
  <si>
    <t>3102690994$</t>
  </si>
  <si>
    <t>9785815905672</t>
  </si>
  <si>
    <t>794123282</t>
  </si>
  <si>
    <t>PG3488 O66 A6 2018</t>
  </si>
  <si>
    <t>0                      PG 3488000O  66                 A  6           2018</t>
  </si>
  <si>
    <t>Belyĭ kvadrat : sbornik korotkoĭ prozy / Vladimir Sorokin.</t>
  </si>
  <si>
    <t>Moskva : CORPUS : Izdatelʹstvo AST, 2018.</t>
  </si>
  <si>
    <t>8862531186:rus</t>
  </si>
  <si>
    <t>1056251822</t>
  </si>
  <si>
    <t>on1056251822</t>
  </si>
  <si>
    <t>3103859390I</t>
  </si>
  <si>
    <t>9785171091446</t>
  </si>
  <si>
    <t>795063614</t>
  </si>
  <si>
    <t>PG3488 O66 D4613 2011</t>
  </si>
  <si>
    <t>0                      PG 3488000O  66                 D  4613        2011</t>
  </si>
  <si>
    <t>Day of the oprichnik / Vladimir Sorokin ; translated from the Russian by Jamey Gambrell.</t>
  </si>
  <si>
    <t>New York : Farrar, Straus and Giroux, 2011.</t>
  </si>
  <si>
    <t>2019-01-18</t>
  </si>
  <si>
    <t>9593677174:eng</t>
  </si>
  <si>
    <t>650212504</t>
  </si>
  <si>
    <t>ocn650212504</t>
  </si>
  <si>
    <t>31034318534</t>
  </si>
  <si>
    <t>9780374134754</t>
  </si>
  <si>
    <t>794832313</t>
  </si>
  <si>
    <t>PG3488 O66 M48 2010</t>
  </si>
  <si>
    <t>0                      PG 3488000O  66                 M  48          2010</t>
  </si>
  <si>
    <t>Metelʹ / Vladimir Sorokin.</t>
  </si>
  <si>
    <t>10141933235:rus</t>
  </si>
  <si>
    <t>631741050</t>
  </si>
  <si>
    <t>ocn631741050</t>
  </si>
  <si>
    <t>3103393428R</t>
  </si>
  <si>
    <t>9785170658251</t>
  </si>
  <si>
    <t>794824937</t>
  </si>
  <si>
    <t>PG3488 O66 M4813 2015</t>
  </si>
  <si>
    <t>0                      PG 3488000O  66                 M  4813        2015</t>
  </si>
  <si>
    <t>The blizzard : a novel / Vladimir Sorokin ; translated from the Russian by Jamey Gambrell.</t>
  </si>
  <si>
    <t>First American edition.</t>
  </si>
  <si>
    <t>3770976474:eng</t>
  </si>
  <si>
    <t>907585939</t>
  </si>
  <si>
    <t>ocn907585939</t>
  </si>
  <si>
    <t>31036089655</t>
  </si>
  <si>
    <t>9780374114374</t>
  </si>
  <si>
    <t>794993581</t>
  </si>
  <si>
    <t>PG3488 O66 T45 2013</t>
  </si>
  <si>
    <t>0                      PG 3488000O  66                 T  45          2013</t>
  </si>
  <si>
    <t>Tellurii︠a︡ : roman / Vladimir Sorokin.</t>
  </si>
  <si>
    <t>Moskva : Izdatelʹstvo AST : Corpus, [2013]</t>
  </si>
  <si>
    <t>1416614064:rus</t>
  </si>
  <si>
    <t>867177563</t>
  </si>
  <si>
    <t>ocn867177563</t>
  </si>
  <si>
    <t>3103568066E</t>
  </si>
  <si>
    <t>9785170804665</t>
  </si>
  <si>
    <t>794963873</t>
  </si>
  <si>
    <t>PG3488 O66 1998</t>
  </si>
  <si>
    <t>0                      PG 3488000O  66          1998</t>
  </si>
  <si>
    <t>Sobranie sochineniĭ v dvukh tomakh / Vladimir Sorokin.</t>
  </si>
  <si>
    <t>Moskva : Ad Marginem, 1998.</t>
  </si>
  <si>
    <t>2008-01-09</t>
  </si>
  <si>
    <t>233863309:rus</t>
  </si>
  <si>
    <t>40306615</t>
  </si>
  <si>
    <t>ocm40306615</t>
  </si>
  <si>
    <t>31019418689</t>
  </si>
  <si>
    <t>9785880590414</t>
  </si>
  <si>
    <t>793563817</t>
  </si>
  <si>
    <t>3101941872I</t>
  </si>
  <si>
    <t>793563818</t>
  </si>
  <si>
    <t>PG3488 O845 U49 2016</t>
  </si>
  <si>
    <t>0                      PG 3488000O  845                U  49          2016</t>
  </si>
  <si>
    <t>Ulybka Ėmmy : roman / Vladimir Sotnikov.</t>
  </si>
  <si>
    <t>Sotnikov, Vladimir, author.</t>
  </si>
  <si>
    <t>Mastera sovremennoĭ rossiĭskoĭ prozy</t>
  </si>
  <si>
    <t>3941925012:rus</t>
  </si>
  <si>
    <t>962417531</t>
  </si>
  <si>
    <t>ocn962417531</t>
  </si>
  <si>
    <t>31036875022</t>
  </si>
  <si>
    <t>9785699910083</t>
  </si>
  <si>
    <t>795024487</t>
  </si>
  <si>
    <t>PG3488 T262 R4814 2013</t>
  </si>
  <si>
    <t>0                      PG 3488000T  262                R  4814        2013</t>
  </si>
  <si>
    <t>Le retoucheur : confession d'un tueur de sang-froid / Dmitri Stakhov ; roman traduit du russe par Paul Lequesne.</t>
  </si>
  <si>
    <t>Stakhov, Dmitriĭ, author.</t>
  </si>
  <si>
    <t>Arles : Actes Sud ; [Montréal, Québec] : Leméac, [2013]</t>
  </si>
  <si>
    <t>1re édition.</t>
  </si>
  <si>
    <t>Babel noir ; 91</t>
  </si>
  <si>
    <t>1102938673:fre</t>
  </si>
  <si>
    <t>883787768</t>
  </si>
  <si>
    <t>ocn883787768</t>
  </si>
  <si>
    <t>31034945598</t>
  </si>
  <si>
    <t>9782330022891</t>
  </si>
  <si>
    <t>794975909</t>
  </si>
  <si>
    <t>PG3488 T4755 O35 2014</t>
  </si>
  <si>
    <t>0                      PG 3488000T  4755               O  35          2014</t>
  </si>
  <si>
    <t>Odin, ne odin, ne i︠a︡ : sbornik ėsse / Marii︠a︡ Stepanova.</t>
  </si>
  <si>
    <t>Stepanova, Marii︠a︡, author.</t>
  </si>
  <si>
    <t>Moskva : Novoe izdatelʹstvo, 2014.</t>
  </si>
  <si>
    <t>2054738389:rus</t>
  </si>
  <si>
    <t>887919776</t>
  </si>
  <si>
    <t>ocn887919776</t>
  </si>
  <si>
    <t>31036389128</t>
  </si>
  <si>
    <t>9785983791824</t>
  </si>
  <si>
    <t>794977912</t>
  </si>
  <si>
    <t>PG3489 A67 A2 2014</t>
  </si>
  <si>
    <t>0                      PG 3489000A  67                 A  2           2014</t>
  </si>
  <si>
    <t>Poems : artistic kinship between Arsenii and Andrei Tarkovsky / Arseniĭ Tarkovskiĭ ; translated by Kitty Hunter Blair.</t>
  </si>
  <si>
    <t>Tarkovskiĭ, Arseniĭ, 1907-1989, author.</t>
  </si>
  <si>
    <t>London : Tate Publishing, 2014.</t>
  </si>
  <si>
    <t>1928464814:eng</t>
  </si>
  <si>
    <t>883426554</t>
  </si>
  <si>
    <t>ocn883426554</t>
  </si>
  <si>
    <t>3103580394L</t>
  </si>
  <si>
    <t>9781849762496</t>
  </si>
  <si>
    <t>794975577</t>
  </si>
  <si>
    <t>PG3489 A67 1991</t>
  </si>
  <si>
    <t>0                      PG 3489000A  67          1991</t>
  </si>
  <si>
    <t>Sobranie sochineniĭ v trekh tomakh / Arseniĭ Tarkovskiĭ.</t>
  </si>
  <si>
    <t>Tarkovskiĭ, Arseniĭ, 1907-1989.</t>
  </si>
  <si>
    <t>Moskva : "Khudozhestvennai︠a︡ literatura", 1991-</t>
  </si>
  <si>
    <t>2008-11-19</t>
  </si>
  <si>
    <t>4451842154:rus</t>
  </si>
  <si>
    <t>28220198</t>
  </si>
  <si>
    <t>ocm28220198</t>
  </si>
  <si>
    <t>3101354121A</t>
  </si>
  <si>
    <t>9785280023246</t>
  </si>
  <si>
    <t>793283065</t>
  </si>
  <si>
    <t>31013541228</t>
  </si>
  <si>
    <t>793283066</t>
  </si>
  <si>
    <t>31013541325</t>
  </si>
  <si>
    <t>793283064</t>
  </si>
  <si>
    <t>PG3489 E673 1997</t>
  </si>
  <si>
    <t>0                      PG 3489000E  673         1997</t>
  </si>
  <si>
    <t>Izbrannoe / Aleksandr Terekhov.</t>
  </si>
  <si>
    <t>Terekhov, Aleksandr.</t>
  </si>
  <si>
    <t>Moskva : Terra, 1997.</t>
  </si>
  <si>
    <t>Literatura</t>
  </si>
  <si>
    <t>10032553687:rus</t>
  </si>
  <si>
    <t>37160507</t>
  </si>
  <si>
    <t>ocm37160507</t>
  </si>
  <si>
    <t>3101810798Y</t>
  </si>
  <si>
    <t>9785300008321</t>
  </si>
  <si>
    <t>793492033</t>
  </si>
  <si>
    <t>PG3489 I4975 N44 2006</t>
  </si>
  <si>
    <t>0                      PG 3489000I  4975               N  44          2006</t>
  </si>
  <si>
    <t>Negativ : portret khudozhnika v traurnoĭ ramke : roman / Lev Timofeev.</t>
  </si>
  <si>
    <t>Timofeev, Lev, 1936-</t>
  </si>
  <si>
    <t>Moskva : Kolibri, 2006.</t>
  </si>
  <si>
    <t>890677595:rus</t>
  </si>
  <si>
    <t>70329630</t>
  </si>
  <si>
    <t>ocm70329630</t>
  </si>
  <si>
    <t>3102716350Z</t>
  </si>
  <si>
    <t>9785987200278</t>
  </si>
  <si>
    <t>794153556</t>
  </si>
  <si>
    <t>PG3489 O414 A6 2018</t>
  </si>
  <si>
    <t>0                      PG 3489000O  414                A  6           2018</t>
  </si>
  <si>
    <t>Dom za poselkom : rasskazy i ocherk / Viktorii︠a︡ Tokareva.</t>
  </si>
  <si>
    <t>Tokareva, Viktorii︠a︡, author.</t>
  </si>
  <si>
    <t>Sankt-Peterburg : Azbuka : Azbuka-Attikus, 2018.</t>
  </si>
  <si>
    <t>7333581596:rus</t>
  </si>
  <si>
    <t>1079896418</t>
  </si>
  <si>
    <t>on1079896418</t>
  </si>
  <si>
    <t>3103879953P</t>
  </si>
  <si>
    <t>9785389156319</t>
  </si>
  <si>
    <t>795068377</t>
  </si>
  <si>
    <t>PG3489 O43 O22 1996</t>
  </si>
  <si>
    <t>0                      PG 3489000O  43                 O  22          1996</t>
  </si>
  <si>
    <t>O tom, chego ne bylo : rasskazy / Viktorii︠a︡ Tokareva.</t>
  </si>
  <si>
    <t>Tokareva, Viktorii︠a︡.</t>
  </si>
  <si>
    <t>Moskva : Ėksmo, 1996.</t>
  </si>
  <si>
    <t>478760534:rus</t>
  </si>
  <si>
    <t>36660620</t>
  </si>
  <si>
    <t>ocm36660620</t>
  </si>
  <si>
    <t>3102710707K</t>
  </si>
  <si>
    <t>9785855857177</t>
  </si>
  <si>
    <t>793480738</t>
  </si>
  <si>
    <t>PG3489 O476 A2 2007</t>
  </si>
  <si>
    <t>0                      PG 3489000O  476                A  2           2007</t>
  </si>
  <si>
    <t>White walls : collected stories / Tatyana Tolstaya ; translated by Antonina W. Bouis, Jamey Gambrell.</t>
  </si>
  <si>
    <t>New York : New York Review Books, ©2007.</t>
  </si>
  <si>
    <t>3922819831:eng</t>
  </si>
  <si>
    <t>82473736</t>
  </si>
  <si>
    <t>ocm82473736</t>
  </si>
  <si>
    <t>31026389487</t>
  </si>
  <si>
    <t>9781590171974</t>
  </si>
  <si>
    <t>794206082</t>
  </si>
  <si>
    <t>PG3489 O476 A2 2018</t>
  </si>
  <si>
    <t>0                      PG 3489000O  476                A  2           2018</t>
  </si>
  <si>
    <t>Aetherial worlds : stories / Tatyana Tolstaya ; translated from the Russian by Anya Migdal.</t>
  </si>
  <si>
    <t>New York : Alfred A. Knopf, 2018.</t>
  </si>
  <si>
    <t>4402090728:eng</t>
  </si>
  <si>
    <t>992221742</t>
  </si>
  <si>
    <t>ocn992221742</t>
  </si>
  <si>
    <t>3103670276Q</t>
  </si>
  <si>
    <t>9781524732776</t>
  </si>
  <si>
    <t>795038195</t>
  </si>
  <si>
    <t>PG3489.O476 A2 2018</t>
  </si>
  <si>
    <t>3103880156G</t>
  </si>
  <si>
    <t>795038194</t>
  </si>
  <si>
    <t>PG3489 O476 L44 2015</t>
  </si>
  <si>
    <t>0                      PG 3489000O  476                L  44          2015</t>
  </si>
  <si>
    <t>Legkie miry / Tatʹi︠a︡na Tolstai︠a︡.</t>
  </si>
  <si>
    <t>Moskva : Redakt︠s︡ii︠a︡ Eleny Shubinoĭ : AST, 2015.</t>
  </si>
  <si>
    <t>Proza Tatʹi︠a︡ny Tolstoĭ</t>
  </si>
  <si>
    <t>2028438130:rus</t>
  </si>
  <si>
    <t>902634316</t>
  </si>
  <si>
    <t>ocn902634316</t>
  </si>
  <si>
    <t>3103641396T</t>
  </si>
  <si>
    <t>9785170850884</t>
  </si>
  <si>
    <t>794988285</t>
  </si>
  <si>
    <t>PG3489 O476 Z464 2015</t>
  </si>
  <si>
    <t>0                      PG 3489000O  476                Z  464         2015</t>
  </si>
  <si>
    <t>Devushka v t︠s︡vetu / Tatʹi︠a︡na Tolstai︠a︡.</t>
  </si>
  <si>
    <t>4495176931:rus</t>
  </si>
  <si>
    <t>911270410</t>
  </si>
  <si>
    <t>ocn911270410</t>
  </si>
  <si>
    <t>3103638917Z</t>
  </si>
  <si>
    <t>9785170867110</t>
  </si>
  <si>
    <t>794998297</t>
  </si>
  <si>
    <t>PG3489 R5 D613 1985</t>
  </si>
  <si>
    <t>0                      PG 3489000R  5                  D  613         1985</t>
  </si>
  <si>
    <t>The house on the embankment / Yuri Trifonov ; translated from the Russian by Michael Glenny.</t>
  </si>
  <si>
    <t>Trifonov, I︠U︡riĭ, 1925-1981.</t>
  </si>
  <si>
    <t>London : Abacus, 1985, ©1983.</t>
  </si>
  <si>
    <t>3855433806:eng</t>
  </si>
  <si>
    <t>13413973</t>
  </si>
  <si>
    <t>ocm13413973</t>
  </si>
  <si>
    <t>3000471209A</t>
  </si>
  <si>
    <t>9780349133980</t>
  </si>
  <si>
    <t>792852473</t>
  </si>
  <si>
    <t>PG3489 R5 D713 1999</t>
  </si>
  <si>
    <t>0                      PG 3489000R  5                  D  713         1999</t>
  </si>
  <si>
    <t>Another life ; and, the House on the embankment / Yuri Trifonov ; translated from the Russian by Michael Glenny ; with a foreword by John Updike.</t>
  </si>
  <si>
    <t>2019-02-26</t>
  </si>
  <si>
    <t>3900993010:eng</t>
  </si>
  <si>
    <t>42022359</t>
  </si>
  <si>
    <t>ocm42022359</t>
  </si>
  <si>
    <t>3101998112$</t>
  </si>
  <si>
    <t>9780810115705</t>
  </si>
  <si>
    <t>793601451</t>
  </si>
  <si>
    <t>PG3489 R5 O67 1999</t>
  </si>
  <si>
    <t>0                      PG 3489000R  5                  O  67          1999</t>
  </si>
  <si>
    <t>Oprokinutyĭ dom / I︠U︡riĭ Trifonov.</t>
  </si>
  <si>
    <t>Moskva : Panorama, 1999.</t>
  </si>
  <si>
    <t>Russkai︠a︡ literatura. XX vek</t>
  </si>
  <si>
    <t>497148647:rus</t>
  </si>
  <si>
    <t>43867813</t>
  </si>
  <si>
    <t>ocm43867813</t>
  </si>
  <si>
    <t>3102388048R</t>
  </si>
  <si>
    <t>9785852205728</t>
  </si>
  <si>
    <t>793637360</t>
  </si>
  <si>
    <t>PG3489 R5 O82 1988</t>
  </si>
  <si>
    <t>0                      PG 3489000R  5                  O  82          1988</t>
  </si>
  <si>
    <t>Otblesk kostra : dokumentalʹnai︠a︡ povestʹ ; Ischeznovenie : roman / I︠U︡riĭ Trifonov.</t>
  </si>
  <si>
    <t>5609966938:rus</t>
  </si>
  <si>
    <t>19335161</t>
  </si>
  <si>
    <t>ocm19335161</t>
  </si>
  <si>
    <t>3100175741M</t>
  </si>
  <si>
    <t>9785265001597</t>
  </si>
  <si>
    <t>793054670</t>
  </si>
  <si>
    <t>PG3489 R5 U8 1979</t>
  </si>
  <si>
    <t>0                      PG 3489000R  5                  U  8           1979</t>
  </si>
  <si>
    <t>Utolenie zhazhdy : roman i rasskazy / I︠U︡riĭ Trifonov.</t>
  </si>
  <si>
    <t>Moskva : Profizdat, 1979.</t>
  </si>
  <si>
    <t>Biblioteka rabochego romana</t>
  </si>
  <si>
    <t>8909658437:rus</t>
  </si>
  <si>
    <t>6027099</t>
  </si>
  <si>
    <t>ocm06027099</t>
  </si>
  <si>
    <t>3000359977I</t>
  </si>
  <si>
    <t>792470777</t>
  </si>
  <si>
    <t>PG3489 S976 L4813 2001</t>
  </si>
  <si>
    <t>0                      PG 3489000S  976                L  4813        2001</t>
  </si>
  <si>
    <t>Summer in Baden-Baden : a novel / Leonid Tsypkin ; translated from the Russian by Roger and Angela Keys ; introduction by Susan Sontag.</t>
  </si>
  <si>
    <t>T︠S︡ypkin, Leonid, 1926-1982.</t>
  </si>
  <si>
    <t>New York : New Directions, 2001.</t>
  </si>
  <si>
    <t>1781765447:eng</t>
  </si>
  <si>
    <t>46872324</t>
  </si>
  <si>
    <t>ocm46872324</t>
  </si>
  <si>
    <t>3103017702R</t>
  </si>
  <si>
    <t>9780811214841</t>
  </si>
  <si>
    <t>793693492</t>
  </si>
  <si>
    <t>PG3489 U63 S84 2017</t>
  </si>
  <si>
    <t>0                      PG 3489000U  63                 S  84          2017</t>
  </si>
  <si>
    <t>Sudʹba : stikhotvorenii︠a︡, zapiski / Nika Turbina.</t>
  </si>
  <si>
    <t>Turbina, Nika, 1974-2002, author.</t>
  </si>
  <si>
    <t>Moskva : Zebra E, [2017]</t>
  </si>
  <si>
    <t>4522956869:rus</t>
  </si>
  <si>
    <t>1004965925</t>
  </si>
  <si>
    <t>on1004965925</t>
  </si>
  <si>
    <t>3103759814L</t>
  </si>
  <si>
    <t>9785946632843</t>
  </si>
  <si>
    <t>795042287</t>
  </si>
  <si>
    <t>PG3489 U8 A62 2008</t>
  </si>
  <si>
    <t>0                      PG 3489000U  8                  A  62          2008</t>
  </si>
  <si>
    <t>A znaeshʹ, vse eshche budet / Veronika Tushnova ; [sostavitelʹ, L. Mezinov].</t>
  </si>
  <si>
    <t>Tushnova, Veronika.</t>
  </si>
  <si>
    <t>Stikhi i sudʹby</t>
  </si>
  <si>
    <t>1391727484:rus</t>
  </si>
  <si>
    <t>728222616</t>
  </si>
  <si>
    <t>ocn728222616</t>
  </si>
  <si>
    <t>3103340513Q</t>
  </si>
  <si>
    <t>9785699283262</t>
  </si>
  <si>
    <t>794878834</t>
  </si>
  <si>
    <t>PG3489.2 L58 A28 2005</t>
  </si>
  <si>
    <t>0                      PG 3489200L  58                 A  28          2005</t>
  </si>
  <si>
    <t>Sonechka : a novella and stories / Ludmila Ulitskaya ; translated from the Russian by Arch Tait.</t>
  </si>
  <si>
    <t>Ulit︠s︡kai︠a︡, Li︠u︡dmila.</t>
  </si>
  <si>
    <t>New York : Schocken Books, 2005.</t>
  </si>
  <si>
    <t>1059222798:eng</t>
  </si>
  <si>
    <t>56876578</t>
  </si>
  <si>
    <t>ocm56876578</t>
  </si>
  <si>
    <t>31025066566</t>
  </si>
  <si>
    <t>9780805241952</t>
  </si>
  <si>
    <t>793903125</t>
  </si>
  <si>
    <t>PG3489.2 L58 C44 2016</t>
  </si>
  <si>
    <t>0                      PG 3489200L  58                 C  44          2016</t>
  </si>
  <si>
    <t>Chelovek so svi︠a︡zi︠a︡mi : povesti, rasskazy, ėsse / Li︠u︡dmila Ulit︠s︡kai︠a︡.</t>
  </si>
  <si>
    <t>Ulit︠s︡kai︠a︡, Li︠u︡dmila, author.</t>
  </si>
  <si>
    <t>Moskva : Redakt︠s︡ii︠a︡ Eleny Shubinoĭ : Izdatelʹstvo AST, [2016]</t>
  </si>
  <si>
    <t>[Novai︠a︡ Ulit︠s︡kai︠a︡]</t>
  </si>
  <si>
    <t>2017-04-21</t>
  </si>
  <si>
    <t>3535254835:rus</t>
  </si>
  <si>
    <t>953697598</t>
  </si>
  <si>
    <t>ocn953697598</t>
  </si>
  <si>
    <t>31036421672</t>
  </si>
  <si>
    <t>9785170963072</t>
  </si>
  <si>
    <t>795019023</t>
  </si>
  <si>
    <t>PG3489.2 L58 D3613 2011</t>
  </si>
  <si>
    <t>0                      PG 3489200L  58                 D  3613        2011</t>
  </si>
  <si>
    <t>Daniel Stein, interpreter : a novel in documents / Ludmila Ulitskaya ; translated from the Russian by Arch Tait.</t>
  </si>
  <si>
    <t>New York, NY : Overlook Press, 2011.</t>
  </si>
  <si>
    <t>62584971:eng</t>
  </si>
  <si>
    <t>644664990</t>
  </si>
  <si>
    <t>ocn644664990</t>
  </si>
  <si>
    <t>3103736136T</t>
  </si>
  <si>
    <t>9781590203200</t>
  </si>
  <si>
    <t>794829302</t>
  </si>
  <si>
    <t>PG3489.2 L58 K3913 2016</t>
  </si>
  <si>
    <t>0                      PG 3489200L  58                 K  3913        2016</t>
  </si>
  <si>
    <t>The Kukotsky enigma : a novel / Ludmila Ulitskaya ; translated from the Russian by Diane Nemec Ignashev.</t>
  </si>
  <si>
    <t>Evanston, Illinois : Northwestern University Press, [2016]</t>
  </si>
  <si>
    <t>10141956634:eng</t>
  </si>
  <si>
    <t>922729072</t>
  </si>
  <si>
    <t>ocn922729072</t>
  </si>
  <si>
    <t>31036573476</t>
  </si>
  <si>
    <t>9780810133488</t>
  </si>
  <si>
    <t>795004107</t>
  </si>
  <si>
    <t>PG3489.2 L58 M413 2002</t>
  </si>
  <si>
    <t>0                      PG 3489200L  58                 M  413         2002</t>
  </si>
  <si>
    <t>Medea and her children / Ludmila Ulitskaya ; translated from the Russian by Arch Tait.</t>
  </si>
  <si>
    <t>New York : Schocken Books, 2002.</t>
  </si>
  <si>
    <t>3855585122:eng</t>
  </si>
  <si>
    <t>49821380</t>
  </si>
  <si>
    <t>ocm49821380</t>
  </si>
  <si>
    <t>3102231743S</t>
  </si>
  <si>
    <t>9780805241969</t>
  </si>
  <si>
    <t>793748514</t>
  </si>
  <si>
    <t>PG3489.2 L58 S95 2012</t>
  </si>
  <si>
    <t>0                      PG 3489200L  58                 S  95          2012</t>
  </si>
  <si>
    <t>Svi︠a︡shchennyĭ musor : [rasskazy, ėsse] / Li︠u︡dmila Ulit︠s︡kai︠a︡.</t>
  </si>
  <si>
    <t>1184023715:rus</t>
  </si>
  <si>
    <t>819592954</t>
  </si>
  <si>
    <t>ocn819592954</t>
  </si>
  <si>
    <t>3103478969P</t>
  </si>
  <si>
    <t>9785271455551</t>
  </si>
  <si>
    <t>794934706</t>
  </si>
  <si>
    <t>PG3489.2 L58 S95 2014</t>
  </si>
  <si>
    <t>0                      PG 3489200L  58                 S  95          2014</t>
  </si>
  <si>
    <t>Svi︠a︡shchennyĭ musor / Li︠u︡dmila Ulit︠s︡kai︠a︡.</t>
  </si>
  <si>
    <t>Moskva : Astrelʹ, 2014.</t>
  </si>
  <si>
    <t>873559082</t>
  </si>
  <si>
    <t>ocn873559082</t>
  </si>
  <si>
    <t>31031993778</t>
  </si>
  <si>
    <t>9785170816804</t>
  </si>
  <si>
    <t>794968468</t>
  </si>
  <si>
    <t>PG3489.2 L58 V4713 2002</t>
  </si>
  <si>
    <t>0                      PG 3489200L  58                 V  4713        2002</t>
  </si>
  <si>
    <t>The funeral party / Ludmila Ulitskaya ; translated from the Russian by Cathy Porter ; translation edited by Arch Tait.</t>
  </si>
  <si>
    <t>First American paperback edition.</t>
  </si>
  <si>
    <t>1150388532:eng</t>
  </si>
  <si>
    <t>57226755</t>
  </si>
  <si>
    <t>ocm57226755</t>
  </si>
  <si>
    <t>3103581296K</t>
  </si>
  <si>
    <t>9780805211320</t>
  </si>
  <si>
    <t>793909378</t>
  </si>
  <si>
    <t>PG3489.2 L58 Z4513 2015</t>
  </si>
  <si>
    <t>0                      PG 3489200L  58                 Z  4513        2015</t>
  </si>
  <si>
    <t>The big green tent / Ludmila Ulitskaya ; translated from the Russian by Polly Gannon.</t>
  </si>
  <si>
    <t>3375077347:eng</t>
  </si>
  <si>
    <t>869263715</t>
  </si>
  <si>
    <t>ocn869263715</t>
  </si>
  <si>
    <t>3103652933I</t>
  </si>
  <si>
    <t>9780374166670</t>
  </si>
  <si>
    <t>794965253</t>
  </si>
  <si>
    <t>PG3489.2 T537 K74 2010</t>
  </si>
  <si>
    <t>0                      PG 3489200T  537                K  74          2010</t>
  </si>
  <si>
    <t>Krepostʹ somnenii︠a︡ : roman / Anton Utkin.</t>
  </si>
  <si>
    <t>Utkin, Anton.</t>
  </si>
  <si>
    <t>Moskva : Astrelʹ : AST : Poligrafizdat, 2010.</t>
  </si>
  <si>
    <t>2012-05-25</t>
  </si>
  <si>
    <t>793904829:rus</t>
  </si>
  <si>
    <t>593265386</t>
  </si>
  <si>
    <t>ocn593265386</t>
  </si>
  <si>
    <t>31033012556</t>
  </si>
  <si>
    <t>9785170632329</t>
  </si>
  <si>
    <t>794814896</t>
  </si>
  <si>
    <t>PG3489.3 A45 A6 1999</t>
  </si>
  <si>
    <t>0                      PG 3489300A  45                 A  6           1999</t>
  </si>
  <si>
    <t>Izbrannoe / Aleksandr Vampilov ; [sostavlenie O.M. Vampilovoĭ ; predislovie V.G. Rasputina].</t>
  </si>
  <si>
    <t>Vampilov, Aleksandr, 1937-1972.</t>
  </si>
  <si>
    <t>Moskva : "Soglasie", 1999.</t>
  </si>
  <si>
    <t>228755036:rus</t>
  </si>
  <si>
    <t>41913792</t>
  </si>
  <si>
    <t>ocm41913792</t>
  </si>
  <si>
    <t>3101983521D</t>
  </si>
  <si>
    <t>9785868840203</t>
  </si>
  <si>
    <t>793598845</t>
  </si>
  <si>
    <t>PG3489.3 A638 M97 2015</t>
  </si>
  <si>
    <t>0                      PG 3489300A  638                M  97          2015</t>
  </si>
  <si>
    <t>Myslennyĭ volk : Roman / Alekseĭ Varlamov.</t>
  </si>
  <si>
    <t>Varlamov, Alekseĭ, author.</t>
  </si>
  <si>
    <t>3772082138:rus</t>
  </si>
  <si>
    <t>928929651</t>
  </si>
  <si>
    <t>ocn928929651</t>
  </si>
  <si>
    <t>31036413297</t>
  </si>
  <si>
    <t>9785170924813</t>
  </si>
  <si>
    <t>795006419</t>
  </si>
  <si>
    <t>PG3489.3 A638 V84 2011</t>
  </si>
  <si>
    <t>0                      PG 3489300A  638                V  84          2011</t>
  </si>
  <si>
    <t>Vse li︠u︡di umei︠u︡t plavatʹ / Alekseĭ Varlamov.</t>
  </si>
  <si>
    <t>Varlamov, Alekseĭ.</t>
  </si>
  <si>
    <t>Glotok svezhego vozdukha</t>
  </si>
  <si>
    <t>2013-07-08</t>
  </si>
  <si>
    <t>1088601931:rus</t>
  </si>
  <si>
    <t>739837680</t>
  </si>
  <si>
    <t>ocn739837680</t>
  </si>
  <si>
    <t>3103393562G</t>
  </si>
  <si>
    <t>9785170733194</t>
  </si>
  <si>
    <t>794883053</t>
  </si>
  <si>
    <t>PG3489.3 A8247 Z65 2015</t>
  </si>
  <si>
    <t>0                      PG 3489300A  8247               Z  65          2015</t>
  </si>
  <si>
    <t>Larisa Vasilʹeva : zhenshchina svoego vremeni : sbornik stateĭ / sostavitelʹ: Evdokimova Z.A.</t>
  </si>
  <si>
    <t>Moskva : "Literaturnai︠a︡ gazeta" : U Nikitskikh vorot, 2015.</t>
  </si>
  <si>
    <t>3294575808:rus</t>
  </si>
  <si>
    <t>945897298</t>
  </si>
  <si>
    <t>ocn945897298</t>
  </si>
  <si>
    <t>3103699117Q</t>
  </si>
  <si>
    <t>9785000950678</t>
  </si>
  <si>
    <t>795014005</t>
  </si>
  <si>
    <t>PG3489.4 I53 A6 2016</t>
  </si>
  <si>
    <t>0                      PG 3489400I  53                 A  6           2016</t>
  </si>
  <si>
    <t>Malinovyĭ pelikan / Voĭnovich.</t>
  </si>
  <si>
    <t>Voĭnovich, Vladimir, 1932-2018, author.</t>
  </si>
  <si>
    <t>Klassicheskai︠a︡ proza Vladimira Voĭnovicha</t>
  </si>
  <si>
    <t>3772361318:rus</t>
  </si>
  <si>
    <t>951223792</t>
  </si>
  <si>
    <t>ocn951223792</t>
  </si>
  <si>
    <t>3103659375S</t>
  </si>
  <si>
    <t>9785699883219</t>
  </si>
  <si>
    <t>795017280</t>
  </si>
  <si>
    <t>PG3489.4 I53 F35 2017</t>
  </si>
  <si>
    <t>0                      PG 3489400I  53                 F  35          2017</t>
  </si>
  <si>
    <t>Faktor Murzika / Voĭnovich.</t>
  </si>
  <si>
    <t>Moskva : Izdatelʹstvo Ė, 2017.</t>
  </si>
  <si>
    <t>4568436209:rus</t>
  </si>
  <si>
    <t>1008995973</t>
  </si>
  <si>
    <t>on1008995973</t>
  </si>
  <si>
    <t>3103760603$</t>
  </si>
  <si>
    <t>9785040896509</t>
  </si>
  <si>
    <t>795044910</t>
  </si>
  <si>
    <t>PG3489.4 I53 P413 2012</t>
  </si>
  <si>
    <t>0                      PG 3489400I  53                 P  413         2012</t>
  </si>
  <si>
    <t>A displaced person : the later life and extraordinary adventures of Private Ivan Chonkin / Vladimir Voinovich ; translated from the Russian by Andrew Bromfield.</t>
  </si>
  <si>
    <t>Voĭnovich, Vladimir, 1932-2018.</t>
  </si>
  <si>
    <t>1218399408:eng</t>
  </si>
  <si>
    <t>761853068</t>
  </si>
  <si>
    <t>ocn761853068</t>
  </si>
  <si>
    <t>31034981514</t>
  </si>
  <si>
    <t>9780810126626</t>
  </si>
  <si>
    <t>794899683</t>
  </si>
  <si>
    <t>PG3489.4 I53 Z26 2010</t>
  </si>
  <si>
    <t>0                      PG 3489400I  53                 Z  26          2010</t>
  </si>
  <si>
    <t>Avtoportret : roman moeĭ zhizni / Vladimir Voĭnovich.</t>
  </si>
  <si>
    <t>2012-08-12</t>
  </si>
  <si>
    <t>401526048:rus</t>
  </si>
  <si>
    <t>529438442</t>
  </si>
  <si>
    <t>ocn529438442</t>
  </si>
  <si>
    <t>3103393436P</t>
  </si>
  <si>
    <t>9785699390021</t>
  </si>
  <si>
    <t>794809767</t>
  </si>
  <si>
    <t>PG3489.4 I53 Z53</t>
  </si>
  <si>
    <t>0                      PG 3489400I  53                 Z  53</t>
  </si>
  <si>
    <t>The life and extraordinary adventures of Private Ivan Chonkin / Vladimir Voinovich ; translated by Richard Lourie.</t>
  </si>
  <si>
    <t>New York : Farrar, Straus and Giroux, 1977.</t>
  </si>
  <si>
    <t>2016-03-25</t>
  </si>
  <si>
    <t>10033622616:eng</t>
  </si>
  <si>
    <t>2523479</t>
  </si>
  <si>
    <t>ocm02523479</t>
  </si>
  <si>
    <t>3000286465C</t>
  </si>
  <si>
    <t>9780374186210</t>
  </si>
  <si>
    <t>792138949</t>
  </si>
  <si>
    <t>PG3489.4 L65 A2 2001</t>
  </si>
  <si>
    <t>0                      PG 3489400L  65                 A  2           2001</t>
  </si>
  <si>
    <t>Hurramabad / Andrei Volos ; translated by Arch Tait.</t>
  </si>
  <si>
    <t>Volos, Andreĭ.</t>
  </si>
  <si>
    <t>Moscow, Russia : GLAS Publishers, ©2001.</t>
  </si>
  <si>
    <t>Glas new Russian writing ; v. 26</t>
  </si>
  <si>
    <t>2018-03-20</t>
  </si>
  <si>
    <t>34089983:eng</t>
  </si>
  <si>
    <t>47789250</t>
  </si>
  <si>
    <t>ocm47789250</t>
  </si>
  <si>
    <t>3103252364F</t>
  </si>
  <si>
    <t>9785717200561</t>
  </si>
  <si>
    <t>793708038</t>
  </si>
  <si>
    <t>PG3489.4 L65 I9 2014</t>
  </si>
  <si>
    <t>0                      PG 3489400L  65                 I  9           2014</t>
  </si>
  <si>
    <t>Iz zhizni odnoglavogo : roman s popugaem / Andreĭ Volos.</t>
  </si>
  <si>
    <t>Volos, Andreĭ, author.</t>
  </si>
  <si>
    <t>Moskva : O.G.I., [2014]</t>
  </si>
  <si>
    <t>2544013411:rus</t>
  </si>
  <si>
    <t>879571828</t>
  </si>
  <si>
    <t>ocn879571828</t>
  </si>
  <si>
    <t>3103199363A</t>
  </si>
  <si>
    <t>9785942827281</t>
  </si>
  <si>
    <t>794972278</t>
  </si>
  <si>
    <t>PG3489.4 Z59 Z813 1987</t>
  </si>
  <si>
    <t>0                      PG 3489400Z  59                 Z  813         1987</t>
  </si>
  <si>
    <t>The star Chernobyl / Julia Voznesenskaya ; translated from the Russian by Alan Myers.</t>
  </si>
  <si>
    <t>Voznesenskai︠a︡, I︠U︡lii︠a︡.</t>
  </si>
  <si>
    <t>London : Quartet Books, 1987.</t>
  </si>
  <si>
    <t>11756926:eng</t>
  </si>
  <si>
    <t>20593590</t>
  </si>
  <si>
    <t>ocm20593590</t>
  </si>
  <si>
    <t>30005285012</t>
  </si>
  <si>
    <t>9780704326316</t>
  </si>
  <si>
    <t>793092134</t>
  </si>
  <si>
    <t>PG3489.5 Y86 A6 2010</t>
  </si>
  <si>
    <t>0                      PG 3489500Y  86                 A  6           2010</t>
  </si>
  <si>
    <t>Roman o devochkakh : [sbornik] / Vladimir Vysot︠s︡kiĭ.</t>
  </si>
  <si>
    <t>Vysotsky, Vladimir, 1938-1980.</t>
  </si>
  <si>
    <t>Krasnai︠a︡ kniga russkoĭ prozy</t>
  </si>
  <si>
    <t>197648863:rus</t>
  </si>
  <si>
    <t>670280719</t>
  </si>
  <si>
    <t>ocn670280719</t>
  </si>
  <si>
    <t>31033012458</t>
  </si>
  <si>
    <t>9785699432998</t>
  </si>
  <si>
    <t>794847576</t>
  </si>
  <si>
    <t>PG3489.9 L56 A6 2016</t>
  </si>
  <si>
    <t>0                      PG 3489900L  56                 A  6           2016</t>
  </si>
  <si>
    <t>Otet︠s︡ moĭ shakhter : izbrannoe / Valeriĭ Zalotukha.</t>
  </si>
  <si>
    <t>Zolotukha, Valeriĭ, author.</t>
  </si>
  <si>
    <t>Serii︠a︡ "Samoe vremi︠a︡"</t>
  </si>
  <si>
    <t>4429718098:rus</t>
  </si>
  <si>
    <t>959295092</t>
  </si>
  <si>
    <t>ocn959295092</t>
  </si>
  <si>
    <t>3103760385K</t>
  </si>
  <si>
    <t>9785969114654</t>
  </si>
  <si>
    <t>795022355</t>
  </si>
  <si>
    <t>PG3489.9 L56 S87 2015</t>
  </si>
  <si>
    <t>0                      PG 3489900L  56                 S  87          2015</t>
  </si>
  <si>
    <t>Svechka / Valeriĭ Zalotukha.</t>
  </si>
  <si>
    <t>Zalotukha, Valeriĭ, author.</t>
  </si>
  <si>
    <t>4471999598:rus</t>
  </si>
  <si>
    <t>904804422</t>
  </si>
  <si>
    <t>ocn904804422</t>
  </si>
  <si>
    <t>31036414390</t>
  </si>
  <si>
    <t>9785969112797</t>
  </si>
  <si>
    <t>794990833</t>
  </si>
  <si>
    <t>31036414382</t>
  </si>
  <si>
    <t>794990832</t>
  </si>
  <si>
    <t>PG3490 E7 Z33</t>
  </si>
  <si>
    <t>0                      PG 3490000E  7                  Z  33</t>
  </si>
  <si>
    <t>Zhenskie rasskazy / Rufʹ Zernova.</t>
  </si>
  <si>
    <t>Zernova, Rufʹ, 1919-2004.</t>
  </si>
  <si>
    <t>Ann Arbor, Mich. : Ėrmitazh, 1981.</t>
  </si>
  <si>
    <t>28684537:rus</t>
  </si>
  <si>
    <t>7614280</t>
  </si>
  <si>
    <t>ocm07614280</t>
  </si>
  <si>
    <t>3000334685V</t>
  </si>
  <si>
    <t>9780938920045</t>
  </si>
  <si>
    <t>792569639</t>
  </si>
  <si>
    <t>PG3490 I496 N47 2009</t>
  </si>
  <si>
    <t>0                      PG 3490000I  496                N  47          2009</t>
  </si>
  <si>
    <t>Nesostoi︠a︡vshiĭsi︠a︡ proekt : Rasputʹe ; Russkai︠a︡ tragedii︠a︡ / Aleksandr Zinovʹev.</t>
  </si>
  <si>
    <t>Zinoviev, Aleksandr, 1922-2006.</t>
  </si>
  <si>
    <t>Moskva : AST : AST Moskva, 2009.</t>
  </si>
  <si>
    <t>2016-08-16</t>
  </si>
  <si>
    <t>3859561525:rus</t>
  </si>
  <si>
    <t>569385431</t>
  </si>
  <si>
    <t>ocn569385431</t>
  </si>
  <si>
    <t>31032861062</t>
  </si>
  <si>
    <t>9785170572007</t>
  </si>
  <si>
    <t>794813736</t>
  </si>
  <si>
    <t>PG3490 I546 G65 1982</t>
  </si>
  <si>
    <t>0                      PG 3490000I  546                G  65          1982</t>
  </si>
  <si>
    <t>Gomo sovetikus / Aleksandr Zinovʹev.</t>
  </si>
  <si>
    <t>Lausanne : L'Age d'Homme, [1982].</t>
  </si>
  <si>
    <t>4919271314:rus</t>
  </si>
  <si>
    <t>9022241</t>
  </si>
  <si>
    <t>ocm09022241</t>
  </si>
  <si>
    <t>30003710111</t>
  </si>
  <si>
    <t>792653399</t>
  </si>
  <si>
    <t>PG3490 I546 G6513 1985</t>
  </si>
  <si>
    <t>0                      PG 3490000I  546                G  6513        1985</t>
  </si>
  <si>
    <t>Homo Sovieticus / Alexander Zinoviev ; translated by Charles Janson.</t>
  </si>
  <si>
    <t>London : V. Gollancz, 1985.</t>
  </si>
  <si>
    <t>4919271314:eng</t>
  </si>
  <si>
    <t>12475261</t>
  </si>
  <si>
    <t>ocm12475261</t>
  </si>
  <si>
    <t>3103008432V</t>
  </si>
  <si>
    <t>9780575035485</t>
  </si>
  <si>
    <t>792816373</t>
  </si>
  <si>
    <t>PG3490 I546 K3713 1992</t>
  </si>
  <si>
    <t>0                      PG 3490000I  546                K  3713        1992</t>
  </si>
  <si>
    <t>Perestroika in Partygrad / Alexander Zinoviev ; translated from the Russian by Charles Janson.</t>
  </si>
  <si>
    <t>London : Peter Owen, 1992.</t>
  </si>
  <si>
    <t>3901595079:eng</t>
  </si>
  <si>
    <t>27935092</t>
  </si>
  <si>
    <t>ocm27935092</t>
  </si>
  <si>
    <t>3102790191H</t>
  </si>
  <si>
    <t>9780720608472</t>
  </si>
  <si>
    <t>793275629</t>
  </si>
  <si>
    <t>PG3490 I546 S913</t>
  </si>
  <si>
    <t>0                      PG 3490000I  546                S  913</t>
  </si>
  <si>
    <t>The radiant future / Alexander Zinoviev ; translated from the Russian by Gordon Clough.</t>
  </si>
  <si>
    <t>Zinoviev, Aleksandr, 1922-2006, author.</t>
  </si>
  <si>
    <t>New York : Random House, [1980]</t>
  </si>
  <si>
    <t>First trade edition.</t>
  </si>
  <si>
    <t>3856563995:eng</t>
  </si>
  <si>
    <t>6420622</t>
  </si>
  <si>
    <t>ocm06420622</t>
  </si>
  <si>
    <t>3000152148W</t>
  </si>
  <si>
    <t>9780394512570</t>
  </si>
  <si>
    <t>792497725</t>
  </si>
  <si>
    <t>PG3490 I546 Z52 1988</t>
  </si>
  <si>
    <t>0                      PG 3490000I  546                Z  52          1988</t>
  </si>
  <si>
    <t>Alexander Zinoviev as writer and thinker : an assessment / edited by Philip Hanson and Michael Kirkwood.</t>
  </si>
  <si>
    <t>836618780:eng</t>
  </si>
  <si>
    <t>15593669</t>
  </si>
  <si>
    <t>ocm15593669</t>
  </si>
  <si>
    <t>3000641126I</t>
  </si>
  <si>
    <t>9780333432181</t>
  </si>
  <si>
    <t>792936446</t>
  </si>
  <si>
    <t>PG3490 I546 Z67 1993</t>
  </si>
  <si>
    <t>0                      PG 3490000I  546                Z  67          1993</t>
  </si>
  <si>
    <t>Alexander Zinoviev : an introduction to his work / Michael Kirkwood.</t>
  </si>
  <si>
    <t>Kirkwood, Michael.</t>
  </si>
  <si>
    <t>Basingstoke : Macmillan, 1993.</t>
  </si>
  <si>
    <t>836768128:eng</t>
  </si>
  <si>
    <t>28182968</t>
  </si>
  <si>
    <t>ocm28182968</t>
  </si>
  <si>
    <t>3101316625X</t>
  </si>
  <si>
    <t>9780333556214</t>
  </si>
  <si>
    <t>793281953</t>
  </si>
  <si>
    <t>PG3490 L673 B69 2014</t>
  </si>
  <si>
    <t>0                      PG 3490000L  673                B  69          2014</t>
  </si>
  <si>
    <t>Bozhʹi dela : sbornik / Semen Zlotnikov.</t>
  </si>
  <si>
    <t>Zlotnikov, Semen, author.</t>
  </si>
  <si>
    <t>2078481818:rus</t>
  </si>
  <si>
    <t>891088765</t>
  </si>
  <si>
    <t>ocn891088765</t>
  </si>
  <si>
    <t>31031993788</t>
  </si>
  <si>
    <t>9785699710614</t>
  </si>
  <si>
    <t>794979831</t>
  </si>
  <si>
    <t>PG3490 O56 P4 1989</t>
  </si>
  <si>
    <t>0                      PG 3490000O  56                 P  4           1989</t>
  </si>
  <si>
    <t>Pechalʹ i smekh moikh krylechek : povesti i rasskazy / Valeriĭ Zolotukhin.</t>
  </si>
  <si>
    <t>Zolotukhin, Valeriĭ.</t>
  </si>
  <si>
    <t>Moskva : Sovremennik, 1989.</t>
  </si>
  <si>
    <t>Novinki "Sovremennika"</t>
  </si>
  <si>
    <t>4853458:rus</t>
  </si>
  <si>
    <t>23805907</t>
  </si>
  <si>
    <t>ocm23805907</t>
  </si>
  <si>
    <t>3100750058S</t>
  </si>
  <si>
    <t>793182669</t>
  </si>
  <si>
    <t>PG3490 O69 A6 2015</t>
  </si>
  <si>
    <t>0                      PG 3490000O  69                 A  6           2015</t>
  </si>
  <si>
    <t>Zachem zhitʹ, esli zavtra umiratʹ / Ivan Zorin.</t>
  </si>
  <si>
    <t>Zorin, Ivan, author.</t>
  </si>
  <si>
    <t>Moskva : Ripol klassik, 2015.</t>
  </si>
  <si>
    <t>3945915837:rus</t>
  </si>
  <si>
    <t>962417512</t>
  </si>
  <si>
    <t>ocn962417512</t>
  </si>
  <si>
    <t>31036875030</t>
  </si>
  <si>
    <t>9785386086800</t>
  </si>
  <si>
    <t>795024486</t>
  </si>
  <si>
    <t>PG3491.3 B48 L58 2014</t>
  </si>
  <si>
    <t>0                      PG 3491300B  48                 L  58          2014</t>
  </si>
  <si>
    <t>Li︠u︡di, kotorye vsegda so mnoĭ / Narinė Abgari︠a︡n.</t>
  </si>
  <si>
    <t>Abgari︠a︡n, Narinė, author.</t>
  </si>
  <si>
    <t>3754060381:rus</t>
  </si>
  <si>
    <t>876296811</t>
  </si>
  <si>
    <t>ocn876296811</t>
  </si>
  <si>
    <t>3103199402J</t>
  </si>
  <si>
    <t>9785170831500</t>
  </si>
  <si>
    <t>794969938</t>
  </si>
  <si>
    <t>PG3491.3 B48 P66 2011</t>
  </si>
  <si>
    <t>0                      PG 3491300B  48                 P  66          2011</t>
  </si>
  <si>
    <t>Ponaekhavshai︠a︡ / Narinė Abgari︠a︡n.</t>
  </si>
  <si>
    <t>Abgari︠a︡n, Narinė.</t>
  </si>
  <si>
    <t>Moskva : AST : AST, ©2014.</t>
  </si>
  <si>
    <t>1060841015:rus</t>
  </si>
  <si>
    <t>768248084</t>
  </si>
  <si>
    <t>ocn768248084</t>
  </si>
  <si>
    <t>3103478874Q</t>
  </si>
  <si>
    <t>9785170747788</t>
  </si>
  <si>
    <t>794902163</t>
  </si>
  <si>
    <t>PG3491.3 B48 Z85 2016</t>
  </si>
  <si>
    <t>0                      PG 3491300B  48                 Z  85          2016</t>
  </si>
  <si>
    <t>Zulali / Narinė Abgari︠a︡n.</t>
  </si>
  <si>
    <t>Moskva : Izdatelʹstvo AST, 2016.</t>
  </si>
  <si>
    <t>4022322570:rus</t>
  </si>
  <si>
    <t>956451716</t>
  </si>
  <si>
    <t>ocn956451716</t>
  </si>
  <si>
    <t>3103699160P</t>
  </si>
  <si>
    <t>9785170943609</t>
  </si>
  <si>
    <t>795020135</t>
  </si>
  <si>
    <t>PG3491.3 G87 D54 2012</t>
  </si>
  <si>
    <t>0                      PG 3491300G  87                 D  54          2012</t>
  </si>
  <si>
    <t>Dli︠a︡ polnogo schastʹi︠a︡ : povestʹ i rasskazy / Olʹga Agurbash.</t>
  </si>
  <si>
    <t>Agurbash, Olʹga, author.</t>
  </si>
  <si>
    <t>Moskva : IPO "U Nikitskikh vorot", 2012.</t>
  </si>
  <si>
    <t>1172889238:rus</t>
  </si>
  <si>
    <t>813222667</t>
  </si>
  <si>
    <t>ocn813222667</t>
  </si>
  <si>
    <t>3103483751B</t>
  </si>
  <si>
    <t>9785913664389</t>
  </si>
  <si>
    <t>794931453</t>
  </si>
  <si>
    <t>PG3491.3 K4764 K35 2019</t>
  </si>
  <si>
    <t>0                      PG 3491300K  4764               K  35          2019</t>
  </si>
  <si>
    <t>Kamenʹ Devushka Voda: roman / Marina Akhmedova.</t>
  </si>
  <si>
    <t>Akhmedova, Marina (Marina Nebievna), author.</t>
  </si>
  <si>
    <t>Moskva [Moscow, Russia] : Izdatelʹstvo AST, 2019.</t>
  </si>
  <si>
    <t>8899948142:rus</t>
  </si>
  <si>
    <t>1084655533</t>
  </si>
  <si>
    <t>on1084655533</t>
  </si>
  <si>
    <t>3103879949G</t>
  </si>
  <si>
    <t>9785171107215</t>
  </si>
  <si>
    <t>795078564</t>
  </si>
  <si>
    <t>PG3491.3 K87 B74 2016</t>
  </si>
  <si>
    <t>0                      PG 3491300K  87                 B  74          2016</t>
  </si>
  <si>
    <t>Bretër : roman / Andreĭ Akt︠s︡ynov.</t>
  </si>
  <si>
    <t>Akt︠s︡ynov, Andreĭ, 1987- author.</t>
  </si>
  <si>
    <t>Moskva : T︠S︡entrpoligraf, 2016.</t>
  </si>
  <si>
    <t>3087918996:rus</t>
  </si>
  <si>
    <t>950969727</t>
  </si>
  <si>
    <t>ocn950969727</t>
  </si>
  <si>
    <t>3103728315P</t>
  </si>
  <si>
    <t>9785227057976</t>
  </si>
  <si>
    <t>795017012</t>
  </si>
  <si>
    <t>PG3491.3 L45525 M3413 2013</t>
  </si>
  <si>
    <t>0                      PG 3491300L  45525              M  3413        2013</t>
  </si>
  <si>
    <t>The little man : a novel / Liza Alexandrova-Zorina ; translated by Melanie Moore.</t>
  </si>
  <si>
    <t>Aleksandrova-Zorina, Elizaveta, author.</t>
  </si>
  <si>
    <t>Moscow : Glas, [2013]</t>
  </si>
  <si>
    <t>Glas new Russian writing, contemporary Russian literature in English translation ; volume 60</t>
  </si>
  <si>
    <t>1791980095:eng</t>
  </si>
  <si>
    <t>870971666</t>
  </si>
  <si>
    <t>ocn870971666</t>
  </si>
  <si>
    <t>3103566500J</t>
  </si>
  <si>
    <t>9785717201247</t>
  </si>
  <si>
    <t>794967078</t>
  </si>
  <si>
    <t>PG3491.3 N345 R87 2012</t>
  </si>
  <si>
    <t>0                      PG 3491300N  345                R  87          2012</t>
  </si>
  <si>
    <t>Rusalka bez khvosta : roman / I︠A︡na Anders.</t>
  </si>
  <si>
    <t>Anders, I︠A︡na.</t>
  </si>
  <si>
    <t>Moskva : Probel, 2012.</t>
  </si>
  <si>
    <t>1205030860:rus</t>
  </si>
  <si>
    <t>826031657</t>
  </si>
  <si>
    <t>ocn826031657</t>
  </si>
  <si>
    <t>3103483736F</t>
  </si>
  <si>
    <t>9785986043289</t>
  </si>
  <si>
    <t>794938916</t>
  </si>
  <si>
    <t>PG3491.3 N72 A13 2013</t>
  </si>
  <si>
    <t>0                      PG 3491300N  72                 A  13          2013</t>
  </si>
  <si>
    <t>33 rasskaza o kitaĭskom polit︠s︡eĭskom poruchike Sorokine : roman / Evgeniĭ Antashkevich.</t>
  </si>
  <si>
    <t>Antashkevich, Evgeniĭ Mikhaĭlovich, author.</t>
  </si>
  <si>
    <t>Moskva : T︠S︡entrpoligraf, 2013.</t>
  </si>
  <si>
    <t>3874181903:rus</t>
  </si>
  <si>
    <t>847141245</t>
  </si>
  <si>
    <t>ocn847141245</t>
  </si>
  <si>
    <t>31035272301</t>
  </si>
  <si>
    <t>9785227041654</t>
  </si>
  <si>
    <t>794949400</t>
  </si>
  <si>
    <t>PG3491.3 N84 K37 2015</t>
  </si>
  <si>
    <t>0                      PG 3491300N  84                 K  37          2015</t>
  </si>
  <si>
    <t>Karniz / Marii︠a︡ Anufrieva.</t>
  </si>
  <si>
    <t>Anufrieva, Marii︠a︡, 1977- author.</t>
  </si>
  <si>
    <t>2902352563:rus</t>
  </si>
  <si>
    <t>931094686</t>
  </si>
  <si>
    <t>ocn931094686</t>
  </si>
  <si>
    <t>3103632483Z</t>
  </si>
  <si>
    <t>9785699828135</t>
  </si>
  <si>
    <t>795007426</t>
  </si>
  <si>
    <t>PG3491.3 R56 K66 2016</t>
  </si>
  <si>
    <t>0                      PG 3491300R  56                 K  66          2016</t>
  </si>
  <si>
    <t>Konʹi︠a︡k "Shirvan" : kniga prozy / Aleksandr Arkhangelʹskiĭ.</t>
  </si>
  <si>
    <t>Arkhangelʹskiĭ, Aleksandr, 1962- author.</t>
  </si>
  <si>
    <t>2902284017:rus</t>
  </si>
  <si>
    <t>936376543</t>
  </si>
  <si>
    <t>ocn936376543</t>
  </si>
  <si>
    <t>31036413726</t>
  </si>
  <si>
    <t>9785969114432</t>
  </si>
  <si>
    <t>795010748</t>
  </si>
  <si>
    <t>PG3491.3 R66 Z48 2011</t>
  </si>
  <si>
    <t>0                      PG 3491300R  66                 Z  48          2011</t>
  </si>
  <si>
    <t>Zhena dekabrista / Marina Aromshtam.</t>
  </si>
  <si>
    <t>Aromshtam, Marina, author.</t>
  </si>
  <si>
    <t>Moskva : Izdatelʹskiĭ dom KompasGid, [2011]</t>
  </si>
  <si>
    <t>1162686098:rus</t>
  </si>
  <si>
    <t>807216184</t>
  </si>
  <si>
    <t>ocn807216184</t>
  </si>
  <si>
    <t>3103483712J</t>
  </si>
  <si>
    <t>9785904561406</t>
  </si>
  <si>
    <t>794927237</t>
  </si>
  <si>
    <t>PG3491.3 R88 Z17 2015</t>
  </si>
  <si>
    <t>0                      PG 3491300R  88                 Z  17          2015</t>
  </si>
  <si>
    <t>Zapakh napalma po utram : [sbornik] / Sergeĭ Aruti︠u︡nov.</t>
  </si>
  <si>
    <t>Aruti︠u︡nov, Sergeĭ, author.</t>
  </si>
  <si>
    <t>Moskva : Izdatelʹstvo ĖKSMO, 2015.</t>
  </si>
  <si>
    <t>IL index librorum</t>
  </si>
  <si>
    <t>2528361736:rus</t>
  </si>
  <si>
    <t>909811283</t>
  </si>
  <si>
    <t>ocn909811283</t>
  </si>
  <si>
    <t>31036874976</t>
  </si>
  <si>
    <t>9785699781904</t>
  </si>
  <si>
    <t>794995622</t>
  </si>
  <si>
    <t>PG3491.3 S78 O84 2015</t>
  </si>
  <si>
    <t>0                      PG 3491300S  78                 O  84          2015</t>
  </si>
  <si>
    <t>Osenʹ v karmanakh : roman v rasskazakh / Andreĭ Astvat︠s︡aturov.</t>
  </si>
  <si>
    <t>Astvat︠s︡aturov, A. A. (Andreĭ Alekseevich), author.</t>
  </si>
  <si>
    <t>Moskva : AST : Redakt︠s︡ii︠a︡ Eleny Shubinoĭ 2015.</t>
  </si>
  <si>
    <t>Proza Andrei︠a︡ Astvat︠s︡aturova</t>
  </si>
  <si>
    <t>3975920908:rus</t>
  </si>
  <si>
    <t>922008301</t>
  </si>
  <si>
    <t>ocn922008301</t>
  </si>
  <si>
    <t>31036414358</t>
  </si>
  <si>
    <t>9785170914524</t>
  </si>
  <si>
    <t>795003603</t>
  </si>
  <si>
    <t>PG3491.42 B53 B4 2013</t>
  </si>
  <si>
    <t>0                      PG 3491420B  53                 B  4           2013</t>
  </si>
  <si>
    <t>Before I croak : a novel / Anna Babiashkina ; translated by Muireann Maguire.</t>
  </si>
  <si>
    <t>Babi︠a︡shkina, Anna, author.</t>
  </si>
  <si>
    <t>Glas new Russian writing, contemporary Russian literature in English translation ; volume 58</t>
  </si>
  <si>
    <t>1374124744:eng</t>
  </si>
  <si>
    <t>812258554</t>
  </si>
  <si>
    <t>ocn812258554</t>
  </si>
  <si>
    <t>3103499691E</t>
  </si>
  <si>
    <t>9785717200981</t>
  </si>
  <si>
    <t>794930886</t>
  </si>
  <si>
    <t>PG3491.42 B53 P73 2016</t>
  </si>
  <si>
    <t>0                      PG 3491420B  53                 P  73          2016</t>
  </si>
  <si>
    <t>Prezhde chem sdokhnutʹ / Anna Babi︠a︡shkina.</t>
  </si>
  <si>
    <t>Moskva : Izdatelʹstvo "Ripol klassik", 2016.</t>
  </si>
  <si>
    <t>Serii︠a︡ "Redaktor Kachalkina"</t>
  </si>
  <si>
    <t>1374124744:rus</t>
  </si>
  <si>
    <t>962069098</t>
  </si>
  <si>
    <t>ocn962069098</t>
  </si>
  <si>
    <t>31036993657</t>
  </si>
  <si>
    <t>9785386092641</t>
  </si>
  <si>
    <t>795024145</t>
  </si>
  <si>
    <t>PG3491.42 S578 B375 2015</t>
  </si>
  <si>
    <t>0                      PG 3491420S  578                B  375         2015</t>
  </si>
  <si>
    <t>Lev v teni Lʹva : istorii︠a︡ li︠u︡bvi i nenavisti / Pavel Basinskiĭ.</t>
  </si>
  <si>
    <t>Literaturnye biografii Pavla Basinskogo</t>
  </si>
  <si>
    <t>2481866233:rus</t>
  </si>
  <si>
    <t>905853065</t>
  </si>
  <si>
    <t>ocn905853065</t>
  </si>
  <si>
    <t>3103638857R</t>
  </si>
  <si>
    <t>9785170890361</t>
  </si>
  <si>
    <t>794991947</t>
  </si>
  <si>
    <t>PG3491.42 S578 R88 2008</t>
  </si>
  <si>
    <t>0                      PG 3491420S  578                R  88          2008</t>
  </si>
  <si>
    <t>Russkiĭ roman, ili, Zhiznʹ i prikli︠u︡chenii︠a︡ Dzhona Polovinkina / Pavel Basinskiĭ.</t>
  </si>
  <si>
    <t>Moskva : Vagrius, 2008.</t>
  </si>
  <si>
    <t>142266621:rus</t>
  </si>
  <si>
    <t>244441090</t>
  </si>
  <si>
    <t>ocn244441090</t>
  </si>
  <si>
    <t>3103723294W</t>
  </si>
  <si>
    <t>9785969706279</t>
  </si>
  <si>
    <t>794381581</t>
  </si>
  <si>
    <t>PG3491.44 L455 R93 2013</t>
  </si>
  <si>
    <t>0                      PG 3491440L  455                R  93          2013</t>
  </si>
  <si>
    <t>Ryby molchat po-ispanski : Roman / Nadezhda Belenʹkai︠a︡.</t>
  </si>
  <si>
    <t>Belenʹkai︠a︡, Nadezhda, author.</t>
  </si>
  <si>
    <t>3012360610:rus</t>
  </si>
  <si>
    <t>852786355</t>
  </si>
  <si>
    <t>ocn852786355</t>
  </si>
  <si>
    <t>3103621261R</t>
  </si>
  <si>
    <t>9785969108738</t>
  </si>
  <si>
    <t>794951579</t>
  </si>
  <si>
    <t>PG3491.44 N45 C24 2013</t>
  </si>
  <si>
    <t>0                      PG 3491440N  45                 C  24          2013</t>
  </si>
  <si>
    <t>Chakra Frolova / Vsevolod Benigsen.</t>
  </si>
  <si>
    <t>Benigsen, Vsevolod, author.</t>
  </si>
  <si>
    <t>1860969961:rus</t>
  </si>
  <si>
    <t>871205215</t>
  </si>
  <si>
    <t>ocn871205215</t>
  </si>
  <si>
    <t>31031993738</t>
  </si>
  <si>
    <t>9785699665037</t>
  </si>
  <si>
    <t>794967363</t>
  </si>
  <si>
    <t>PG3491.44 N45 R35 2010</t>
  </si>
  <si>
    <t>0                      PG 3491440N  45                 R  35          2010</t>
  </si>
  <si>
    <t>Rai︠a︡d : roman / Vsevolod Benigsen.</t>
  </si>
  <si>
    <t>Benigsen, Vsevolod.</t>
  </si>
  <si>
    <t>642789484:rus</t>
  </si>
  <si>
    <t>663975241</t>
  </si>
  <si>
    <t>ocn663975241</t>
  </si>
  <si>
    <t>3103410170Z</t>
  </si>
  <si>
    <t>9785969105591</t>
  </si>
  <si>
    <t>794843095</t>
  </si>
  <si>
    <t>PG3491.44 N45 V58 2011</t>
  </si>
  <si>
    <t>0                      PG 3491440N  45                 V  58          2011</t>
  </si>
  <si>
    <t>VITCh : roman / Vsevolod Benigsen.</t>
  </si>
  <si>
    <t>3861293276:rus</t>
  </si>
  <si>
    <t>746464004</t>
  </si>
  <si>
    <t>ocn746464004</t>
  </si>
  <si>
    <t>3103393563G</t>
  </si>
  <si>
    <t>9785170732265</t>
  </si>
  <si>
    <t>794887174</t>
  </si>
  <si>
    <t>PG3491.44 R56 I57 2016</t>
  </si>
  <si>
    <t>0                      PG 3491440R  56                 I  57          2016</t>
  </si>
  <si>
    <t>Instrumenty : roman / Mark Berkolaĭko.</t>
  </si>
  <si>
    <t>Berkolaĭko, Mark, author.</t>
  </si>
  <si>
    <t>3968317851:rus</t>
  </si>
  <si>
    <t>964571109</t>
  </si>
  <si>
    <t>ocn964571109</t>
  </si>
  <si>
    <t>3103699400V</t>
  </si>
  <si>
    <t>9785969115279</t>
  </si>
  <si>
    <t>795025318</t>
  </si>
  <si>
    <t>PG3491.46 I54 T55 2014</t>
  </si>
  <si>
    <t>0                      PG 3491460I  54                 T  55          2014</t>
  </si>
  <si>
    <t>Tikhiĭ soldat / Andreĭ Binev.</t>
  </si>
  <si>
    <t>Binev, Andreĭ, author.</t>
  </si>
  <si>
    <t>Pretendent na Bukerovskui︠u︡ premii︠u︡</t>
  </si>
  <si>
    <t>1858624768:rus</t>
  </si>
  <si>
    <t>876052665</t>
  </si>
  <si>
    <t>ocn876052665</t>
  </si>
  <si>
    <t>3103199505G</t>
  </si>
  <si>
    <t>9785699674084</t>
  </si>
  <si>
    <t>794969842</t>
  </si>
  <si>
    <t>PG3491.46 I73 K35 2015</t>
  </si>
  <si>
    <t>0                      PG 3491460I  73                 K  35          2015</t>
  </si>
  <si>
    <t>Kak khochetsi︠a︡ vernutʹsi︠a︡ : povestʹ v ėpizodakh / Galina Birchanskai︠a︡.</t>
  </si>
  <si>
    <t>Birchanskai︠a︡, Galina, author.</t>
  </si>
  <si>
    <t>Dokumentalʹnyĭ roman</t>
  </si>
  <si>
    <t>2758070665:rus</t>
  </si>
  <si>
    <t>923747218</t>
  </si>
  <si>
    <t>ocn923747218</t>
  </si>
  <si>
    <t>31036324456</t>
  </si>
  <si>
    <t>9785969113916</t>
  </si>
  <si>
    <t>795004633</t>
  </si>
  <si>
    <t>PG3491.46 O34238 T68 2011</t>
  </si>
  <si>
    <t>0                      PG 3491460O  34238              T  68          2011</t>
  </si>
  <si>
    <t>Tovarishch Anna : povesti, rasskazy / Irina Bogatyrëva.</t>
  </si>
  <si>
    <t>Bogatyreva, Irina, 1982-</t>
  </si>
  <si>
    <t>2911409761:rus</t>
  </si>
  <si>
    <t>783148718</t>
  </si>
  <si>
    <t>ocn783148718</t>
  </si>
  <si>
    <t>3103526637U</t>
  </si>
  <si>
    <t>9785170751143</t>
  </si>
  <si>
    <t>794913902</t>
  </si>
  <si>
    <t>PG3491.46 O86 A6 2016</t>
  </si>
  <si>
    <t>0                      PG 3491460O  86                 A  6           2016</t>
  </si>
  <si>
    <t>Barabannye palochki / Alla Bossart.</t>
  </si>
  <si>
    <t>Bossart, Alla, author.</t>
  </si>
  <si>
    <t>5623203533:rus</t>
  </si>
  <si>
    <t>950002825</t>
  </si>
  <si>
    <t>ocn950002825</t>
  </si>
  <si>
    <t>3103760001R</t>
  </si>
  <si>
    <t>9785969114821</t>
  </si>
  <si>
    <t>795016488</t>
  </si>
  <si>
    <t>PG3491.46 U43 Z18 2014</t>
  </si>
  <si>
    <t>0                      PG 3491460U  43                 Z  18          2014</t>
  </si>
  <si>
    <t>Zavod "Svoboda" / Ksenii︠a︡ Buksha ; [illi︠u︡strat︠s︡ii avtora].</t>
  </si>
  <si>
    <t>Buksha, Ksenii︠a︡, 1983- author.</t>
  </si>
  <si>
    <t>Moskva : OGI, [2014]</t>
  </si>
  <si>
    <t>3862752506:rus</t>
  </si>
  <si>
    <t>871003078</t>
  </si>
  <si>
    <t>ocn871003078</t>
  </si>
  <si>
    <t>9785942827205</t>
  </si>
  <si>
    <t>794967156</t>
  </si>
  <si>
    <t>PG3491.5 H4497 P47 2012</t>
  </si>
  <si>
    <t>0                      PG 3491500H  4497               P  47          2012</t>
  </si>
  <si>
    <t>Pered Evropoĭ : poėma / Alekseĭ Chepelov.</t>
  </si>
  <si>
    <t>Chepelov, Alekseĭ, author.</t>
  </si>
  <si>
    <t>Sankt-Peterburg : Aleteĭi︠a︡, 2012.</t>
  </si>
  <si>
    <t>1178682469:rus</t>
  </si>
  <si>
    <t>816554631</t>
  </si>
  <si>
    <t>ocn816554631</t>
  </si>
  <si>
    <t>31034789040</t>
  </si>
  <si>
    <t>9785914195912</t>
  </si>
  <si>
    <t>794933212</t>
  </si>
  <si>
    <t>PG3491.5 H595 P53 2014</t>
  </si>
  <si>
    <t>0                      PG 3491500H  595                P  53          2014</t>
  </si>
  <si>
    <t>Planeta gribov : roman / Elena Chizhova.</t>
  </si>
  <si>
    <t>Chizhova, Elena, author.</t>
  </si>
  <si>
    <t>Proza Eleny Chizhovoĭ</t>
  </si>
  <si>
    <t>8913658727:rus</t>
  </si>
  <si>
    <t>889407256</t>
  </si>
  <si>
    <t>ocn889407256</t>
  </si>
  <si>
    <t>3103198794X</t>
  </si>
  <si>
    <t>9785170844401</t>
  </si>
  <si>
    <t>794978373</t>
  </si>
  <si>
    <t>PG3491.5 H595 T477 2012</t>
  </si>
  <si>
    <t>0                      PG 3491500H  595                T  477         2012</t>
  </si>
  <si>
    <t>Terrakotovai︠a︡ starukha : Roman / Elena Chizhova.</t>
  </si>
  <si>
    <t>Moskva : AST, [2012]</t>
  </si>
  <si>
    <t>2927641273:rus</t>
  </si>
  <si>
    <t>805364512</t>
  </si>
  <si>
    <t>ocn805364512</t>
  </si>
  <si>
    <t>3103484158P</t>
  </si>
  <si>
    <t>9785170747160</t>
  </si>
  <si>
    <t>794926254</t>
  </si>
  <si>
    <t>PG3491.5 H595 V74 2010</t>
  </si>
  <si>
    <t>0                      PG 3491500H  595                V  74          2010</t>
  </si>
  <si>
    <t>Vremi︠a︡ zhenshchin : romany / Elena Chizhova.</t>
  </si>
  <si>
    <t>Chizhova, Elena.</t>
  </si>
  <si>
    <t>4162007242:rus</t>
  </si>
  <si>
    <t>639620750</t>
  </si>
  <si>
    <t>ocn639620750</t>
  </si>
  <si>
    <t>3103285696A</t>
  </si>
  <si>
    <t>9785170656974</t>
  </si>
  <si>
    <t>794826954</t>
  </si>
  <si>
    <t>PG3491.6 A53 G67 20101</t>
  </si>
  <si>
    <t>0                      PG 3491600A  53                 G  67                                20101</t>
  </si>
  <si>
    <t>Gorizontalʹnoe polozhenie / Dmitriĭ Danilov.</t>
  </si>
  <si>
    <t>Danilov, Dmitriĭ.</t>
  </si>
  <si>
    <t>3860557102:rus</t>
  </si>
  <si>
    <t>673636559</t>
  </si>
  <si>
    <t>ocn673636559</t>
  </si>
  <si>
    <t>3103393535M</t>
  </si>
  <si>
    <t>9785699424078</t>
  </si>
  <si>
    <t>794849571</t>
  </si>
  <si>
    <t>PG3491.6 A53 O65 2012</t>
  </si>
  <si>
    <t>0                      PG 3491600A  53                 O  65          2012</t>
  </si>
  <si>
    <t>Opisanie goroda : roman / Dmitriiĭ Danilov.</t>
  </si>
  <si>
    <t>9381853407:rus</t>
  </si>
  <si>
    <t>817893223</t>
  </si>
  <si>
    <t>ocn817893223</t>
  </si>
  <si>
    <t>3103478968P</t>
  </si>
  <si>
    <t>9785271449680</t>
  </si>
  <si>
    <t>794933653</t>
  </si>
  <si>
    <t>PG3491.6 O8 O35 2013</t>
  </si>
  <si>
    <t>0                      PG 3491600O  8                  O  35          2013</t>
  </si>
  <si>
    <t>Ofisnyĭ teatr : roman / Tatʹi︠a︡na Dosuzheva.</t>
  </si>
  <si>
    <t>Dosuzheva, Tatʹi︠a︡na, author.</t>
  </si>
  <si>
    <t>Moskva : IPO "U Nikitskikh vorot", 2013.</t>
  </si>
  <si>
    <t>8913143135:rus</t>
  </si>
  <si>
    <t>873561106</t>
  </si>
  <si>
    <t>ocn873561106</t>
  </si>
  <si>
    <t>3103557148O</t>
  </si>
  <si>
    <t>9785913667731</t>
  </si>
  <si>
    <t>794968471</t>
  </si>
  <si>
    <t>PG3491.6 R39 M35 2016</t>
  </si>
  <si>
    <t>0                      PG 3491600R  39                 M  35          2016</t>
  </si>
  <si>
    <t>Malʹchik, di︠a︡denʹka i i︠a︡ : kniga zloĭ li︠u︡bvi i blagodarnoĭ zavisti / Denis Dragunskiĭ.</t>
  </si>
  <si>
    <t>Dragunskiĭ, Denis, author.</t>
  </si>
  <si>
    <t>Moskva : Izdatelʹstvo AST : Redakt︠s︡ii︠a︡ Eleny Shubinoĭ, [2015]</t>
  </si>
  <si>
    <t>Proza Denisa Dragunskogo</t>
  </si>
  <si>
    <t>3001738645:rus</t>
  </si>
  <si>
    <t>945572189</t>
  </si>
  <si>
    <t>ocn945572189</t>
  </si>
  <si>
    <t>3103659356W</t>
  </si>
  <si>
    <t>9785170944118</t>
  </si>
  <si>
    <t>795013653</t>
  </si>
  <si>
    <t>PG3491.6 R39 P56 2010</t>
  </si>
  <si>
    <t>0                      PG 3491600R  39                 P  56          2010</t>
  </si>
  <si>
    <t>Plokhoĭ malʹchik : rasskazy, 1-173 / Denis Dragunskiĭ.</t>
  </si>
  <si>
    <t>Dragunskiĭ, Denis.</t>
  </si>
  <si>
    <t>Moskva : RIPOL klassik, 2010.</t>
  </si>
  <si>
    <t>Net takogo slova</t>
  </si>
  <si>
    <t>762076221:rus</t>
  </si>
  <si>
    <t>688607856</t>
  </si>
  <si>
    <t>ocn688607856</t>
  </si>
  <si>
    <t>3103393430P</t>
  </si>
  <si>
    <t>9785386019822</t>
  </si>
  <si>
    <t>794854504</t>
  </si>
  <si>
    <t>PG3491.6 U25 V84 2012</t>
  </si>
  <si>
    <t>0                      PG 3491600U  25                 V  84          2012</t>
  </si>
  <si>
    <t>V teni staroĭ shelkovit︠s︡y / Marii︠a︡ Dubnova.</t>
  </si>
  <si>
    <t>Dubnova, Marii︠a︡.</t>
  </si>
  <si>
    <t>1178504432:rus</t>
  </si>
  <si>
    <t>816498337</t>
  </si>
  <si>
    <t>ocn816498337</t>
  </si>
  <si>
    <t>3103554951A</t>
  </si>
  <si>
    <t>9785969107601</t>
  </si>
  <si>
    <t>794933107</t>
  </si>
  <si>
    <t>PG3491.7 L8 D78 2011</t>
  </si>
  <si>
    <t>0                      PG 3491700L  8                  D  78          2011</t>
  </si>
  <si>
    <t>Drugie barabany / Lena Ėltang.</t>
  </si>
  <si>
    <t>Ėltang, Lena.</t>
  </si>
  <si>
    <t>Moskva : Ėksmo, 2011.</t>
  </si>
  <si>
    <t>1044313858:rus</t>
  </si>
  <si>
    <t>761046290</t>
  </si>
  <si>
    <t>ocn761046290</t>
  </si>
  <si>
    <t>3103484166N</t>
  </si>
  <si>
    <t>9785699498864</t>
  </si>
  <si>
    <t>794899015</t>
  </si>
  <si>
    <t>PG3491.7 L8 K36 2015</t>
  </si>
  <si>
    <t>0                      PG 3491700L  8                  K  36          2015</t>
  </si>
  <si>
    <t>Kamchatka polnochʹ / Lena Ėltang.</t>
  </si>
  <si>
    <t>Ėltang, Lena, author.</t>
  </si>
  <si>
    <t>Novai︠a︡ klassika--Novum classic. Poetry</t>
  </si>
  <si>
    <t>2813295333:rus</t>
  </si>
  <si>
    <t>930488353</t>
  </si>
  <si>
    <t>ocn930488353</t>
  </si>
  <si>
    <t>3103699121Z</t>
  </si>
  <si>
    <t>9785386087340</t>
  </si>
  <si>
    <t>795007098</t>
  </si>
  <si>
    <t>PG3491.7 L8 K37 2015</t>
  </si>
  <si>
    <t>0                      PG 3491700L  8                  K  37          2015</t>
  </si>
  <si>
    <t>Kartakhena / Lena Ėltang.</t>
  </si>
  <si>
    <t>Novai︠a︡ klassika--Novum classic</t>
  </si>
  <si>
    <t>2016-07-20</t>
  </si>
  <si>
    <t>2757034568:rus</t>
  </si>
  <si>
    <t>904050690</t>
  </si>
  <si>
    <t>ocn904050690</t>
  </si>
  <si>
    <t>3103641431G</t>
  </si>
  <si>
    <t>9785386079482</t>
  </si>
  <si>
    <t>794990005</t>
  </si>
  <si>
    <t>PG3491.7 L8 T7 2018</t>
  </si>
  <si>
    <t>0                      PG 3491700L  8                  T  7           2018</t>
  </si>
  <si>
    <t>T︠S︡arʹ velel tebi︠a︡ povesitʹ : roman / Lena Ėltang.</t>
  </si>
  <si>
    <t>Moskva : Corpus : Izdatelʹstvo AST, [2018]</t>
  </si>
  <si>
    <t>Corpus ; 460</t>
  </si>
  <si>
    <t>8906947442:rus</t>
  </si>
  <si>
    <t>1019611907</t>
  </si>
  <si>
    <t>on1019611907</t>
  </si>
  <si>
    <t>3103879945O</t>
  </si>
  <si>
    <t>9785179826873</t>
  </si>
  <si>
    <t>795049239</t>
  </si>
  <si>
    <t>PG3491.8 E366 R37 2011</t>
  </si>
  <si>
    <t>0                      PG 3491800E  366                R  37          2011</t>
  </si>
  <si>
    <t>Rasskazy i povesti / A.P. Fedorovskiĭ.</t>
  </si>
  <si>
    <t>Fedorovskiĭ, A. P. (Aleksandr Petrovich), author.</t>
  </si>
  <si>
    <t>2018-08-02</t>
  </si>
  <si>
    <t>987135526:rus</t>
  </si>
  <si>
    <t>746464097</t>
  </si>
  <si>
    <t>ocn746464097</t>
  </si>
  <si>
    <t>3103512101Z</t>
  </si>
  <si>
    <t>9785981877568</t>
  </si>
  <si>
    <t>794887176</t>
  </si>
  <si>
    <t>PG3491.8 I4827 K72 2017</t>
  </si>
  <si>
    <t>0                      PG 3491800I  4827               K  72          2017</t>
  </si>
  <si>
    <t>Krasnyĭ krest : roman / Sasha Filipenko.</t>
  </si>
  <si>
    <t>Filipenko, Sasha, 1984- author.</t>
  </si>
  <si>
    <t>4390864592:rus</t>
  </si>
  <si>
    <t>990791929</t>
  </si>
  <si>
    <t>ocn990791929</t>
  </si>
  <si>
    <t>3103759995S</t>
  </si>
  <si>
    <t>9785969116078</t>
  </si>
  <si>
    <t>795037902</t>
  </si>
  <si>
    <t>PG3491.8 I4827 T738 2017</t>
  </si>
  <si>
    <t>0                      PG 3491800I  4827               T  738         2017</t>
  </si>
  <si>
    <t>Travli︠a︡ : roman / Sasha Filipenko.</t>
  </si>
  <si>
    <t>3076946389:rus</t>
  </si>
  <si>
    <t>990145309</t>
  </si>
  <si>
    <t>ocn990145309</t>
  </si>
  <si>
    <t>3103760380U</t>
  </si>
  <si>
    <t>9785969115484</t>
  </si>
  <si>
    <t>795037553</t>
  </si>
  <si>
    <t>PG3491.8 I4827 Z2 2015</t>
  </si>
  <si>
    <t>0                      PG 3491800I  4827               Z  2           2015</t>
  </si>
  <si>
    <t>Zamysly : Roman / Sasha Filipenko.</t>
  </si>
  <si>
    <t>4038832845:rus</t>
  </si>
  <si>
    <t>906052385</t>
  </si>
  <si>
    <t>ocn906052385</t>
  </si>
  <si>
    <t>3103632500O</t>
  </si>
  <si>
    <t>9785969113428</t>
  </si>
  <si>
    <t>794992208</t>
  </si>
  <si>
    <t>PG3491.8 R635 G53 2011</t>
  </si>
  <si>
    <t>0                      PG 3491800R  635                G  53          2011</t>
  </si>
  <si>
    <t>Gibelʹ idealistov : Dokumentalʹnai︠a︡ povestʹ / Evgenii︠a︡ Frolova.</t>
  </si>
  <si>
    <t>Frolova, Evgenii︠a︡, author.</t>
  </si>
  <si>
    <t>2261669057:rus</t>
  </si>
  <si>
    <t>746464095</t>
  </si>
  <si>
    <t>ocn746464095</t>
  </si>
  <si>
    <t>31034846922</t>
  </si>
  <si>
    <t>9785981877506</t>
  </si>
  <si>
    <t>794887175</t>
  </si>
  <si>
    <t>PG3491.94 A432 A6 2016</t>
  </si>
  <si>
    <t>0                      PG 3491940A  432                A  6           2016</t>
  </si>
  <si>
    <t>Transit / Anna Galʹbershtadt.</t>
  </si>
  <si>
    <t>Galʹbershtadt, Anna, author.</t>
  </si>
  <si>
    <t>Moskva : Vest-Konsalting, 2016.</t>
  </si>
  <si>
    <t>3870087080:rus</t>
  </si>
  <si>
    <t>958391243</t>
  </si>
  <si>
    <t>ocn958391243</t>
  </si>
  <si>
    <t>3103699148F</t>
  </si>
  <si>
    <t>9785918653999</t>
  </si>
  <si>
    <t>795021768</t>
  </si>
  <si>
    <t>PG3491.94 A46 O74 2014</t>
  </si>
  <si>
    <t>0                      PG 3491940A  46                 O  74          2014</t>
  </si>
  <si>
    <t>Osen' v Dekadanse : roman, povestʹ, rasskaz / Ul'i︠a︡na Gamai︠u︡n.</t>
  </si>
  <si>
    <t>Gamai︠u︡n, Ulʹi︠a︡na, author.</t>
  </si>
  <si>
    <t>Moskva : OGI, 2014.</t>
  </si>
  <si>
    <t>2210282718:rus</t>
  </si>
  <si>
    <t>890858648</t>
  </si>
  <si>
    <t>ocn890858648</t>
  </si>
  <si>
    <t>31036389136</t>
  </si>
  <si>
    <t>9785942827403</t>
  </si>
  <si>
    <t>794979693</t>
  </si>
  <si>
    <t>PG3491.94 A554 O85 2018</t>
  </si>
  <si>
    <t>0                      PG 3491940A  554                O  85          2018</t>
  </si>
  <si>
    <t>Oskorblennye chuvstva : roman / Alisa Ganieva.</t>
  </si>
  <si>
    <t>Ganieva, Alisa, 1985- author.</t>
  </si>
  <si>
    <t>Moskva : Izdatelʹstvo ACT : Redakt︠s︡ii︠a︡ Eleny Shubinoĭ, [2018]</t>
  </si>
  <si>
    <t>Roman pokolenii︠a︡</t>
  </si>
  <si>
    <t>5537975872:rus</t>
  </si>
  <si>
    <t>1062364001</t>
  </si>
  <si>
    <t>on1062364001</t>
  </si>
  <si>
    <t>31038593958</t>
  </si>
  <si>
    <t>9785171100421</t>
  </si>
  <si>
    <t>795065144</t>
  </si>
  <si>
    <t>PG3491.94 A554 P733 2012</t>
  </si>
  <si>
    <t>0                      PG 3491940A  554                P  733         2012</t>
  </si>
  <si>
    <t>Prazdnichnai︠a︡ gora : roman / Alisa Ganieva.</t>
  </si>
  <si>
    <t>Ganieva, Alisa, 1985-</t>
  </si>
  <si>
    <t>Moskva : "Astrelʹ", [2012]</t>
  </si>
  <si>
    <t>2532715696:rus</t>
  </si>
  <si>
    <t>821049129</t>
  </si>
  <si>
    <t>ocn821049129</t>
  </si>
  <si>
    <t>3103482826I</t>
  </si>
  <si>
    <t>9785271445156</t>
  </si>
  <si>
    <t>794935968</t>
  </si>
  <si>
    <t>PG3491.94 A554 S25 2010</t>
  </si>
  <si>
    <t>0                      PG 3491940A  554                S  25          2010</t>
  </si>
  <si>
    <t>Salam tebe, Dalgat! / Alisa Ganieva.</t>
  </si>
  <si>
    <t>2012-04-17</t>
  </si>
  <si>
    <t>10178061128:rus</t>
  </si>
  <si>
    <t>716076542</t>
  </si>
  <si>
    <t>ocn716076542</t>
  </si>
  <si>
    <t>31033787670</t>
  </si>
  <si>
    <t>9785170691074</t>
  </si>
  <si>
    <t>794874008</t>
  </si>
  <si>
    <t>PG3491.94 A554 Z35 2015</t>
  </si>
  <si>
    <t>0                      PG 3491940A  554                Z  35          2015</t>
  </si>
  <si>
    <t>Zhenikh i nevesta : roman / Alisa Ganieva.</t>
  </si>
  <si>
    <t>Proza--zhenskiĭ rod</t>
  </si>
  <si>
    <t>4743663957:rus</t>
  </si>
  <si>
    <t>910319683</t>
  </si>
  <si>
    <t>ocn910319683</t>
  </si>
  <si>
    <t>3103641406F</t>
  </si>
  <si>
    <t>9785170902873</t>
  </si>
  <si>
    <t>794996078</t>
  </si>
  <si>
    <t>PG3491.94 E43 A6 2015</t>
  </si>
  <si>
    <t>0                      PG 3491940E  43                 A  6           2015</t>
  </si>
  <si>
    <t>Ty mozheshʹ / Andreĭ Gelasimov.</t>
  </si>
  <si>
    <t>Gelasimov, Andreĭ, author.</t>
  </si>
  <si>
    <t>Moskva : Ė, 2015.</t>
  </si>
  <si>
    <t>Sekrety russkoĭ dushi. Proza Andrei︠a︡ Gelasimova</t>
  </si>
  <si>
    <t>2779320188:rus</t>
  </si>
  <si>
    <t>927114762</t>
  </si>
  <si>
    <t>ocn927114762</t>
  </si>
  <si>
    <t>3103632486T</t>
  </si>
  <si>
    <t>9785699824182</t>
  </si>
  <si>
    <t>795005670</t>
  </si>
  <si>
    <t>PG3491.94 E43 S74 2010</t>
  </si>
  <si>
    <t>0                      PG 3491940E  43                 S  74          2010</t>
  </si>
  <si>
    <t>Stepnye bogi / Andreĭ Gelasimov.</t>
  </si>
  <si>
    <t>Gelasimov, Andreĭ.</t>
  </si>
  <si>
    <t>Moskva : Ėksmo, 2010.</t>
  </si>
  <si>
    <t>2011-04-21</t>
  </si>
  <si>
    <t>159950700:rus</t>
  </si>
  <si>
    <t>635864801</t>
  </si>
  <si>
    <t>ocn635864801</t>
  </si>
  <si>
    <t>3103301113H</t>
  </si>
  <si>
    <t>9785699387182</t>
  </si>
  <si>
    <t>794825828</t>
  </si>
  <si>
    <t>PG3491.94 E433 M89 2018</t>
  </si>
  <si>
    <t>0                      PG 3491940E  433                M  89          2018</t>
  </si>
  <si>
    <t>Muzeĭnai︠a︡ krysa : roman / Igorʹ Gelʹbakh.</t>
  </si>
  <si>
    <t>Gelʹbakh, I. (Igorʹ), author.</t>
  </si>
  <si>
    <t>5495158478:rus</t>
  </si>
  <si>
    <t>1057443192</t>
  </si>
  <si>
    <t>on1057443192</t>
  </si>
  <si>
    <t>3103863149A</t>
  </si>
  <si>
    <t>9785969116771</t>
  </si>
  <si>
    <t>795063955</t>
  </si>
  <si>
    <t>PG3491.96 L824 S55 2014</t>
  </si>
  <si>
    <t>0                      PG 3491960L  824                S  55          2014</t>
  </si>
  <si>
    <t>Skit s okeanom vnutri / Viktor Golubev.</t>
  </si>
  <si>
    <t>Golubev, Viktor, 1961- author.</t>
  </si>
  <si>
    <t>Moskva : Zakharov, 2014.</t>
  </si>
  <si>
    <t>8913643929:rus</t>
  </si>
  <si>
    <t>898186425</t>
  </si>
  <si>
    <t>ocn898186425</t>
  </si>
  <si>
    <t>31036324812</t>
  </si>
  <si>
    <t>9785815912915</t>
  </si>
  <si>
    <t>794986056</t>
  </si>
  <si>
    <t>PG3491.96 R3686 A6 2016</t>
  </si>
  <si>
    <t>0                      PG 3491960R  3686               A  6           2016</t>
  </si>
  <si>
    <t>Poka dogoraet azbuka / Alla Gorbunova.</t>
  </si>
  <si>
    <t>Gorbunova, Alla, 1985- author.</t>
  </si>
  <si>
    <t>NVP Novai︠a︡ poėzii︠a︡</t>
  </si>
  <si>
    <t>3792761167:rus</t>
  </si>
  <si>
    <t>956644525</t>
  </si>
  <si>
    <t>ocn956644525</t>
  </si>
  <si>
    <t>3103699131W</t>
  </si>
  <si>
    <t>9785444805374</t>
  </si>
  <si>
    <t>795020348</t>
  </si>
  <si>
    <t>PG3491.97 I365 M42 2011</t>
  </si>
  <si>
    <t>0                      PG 3491970I  365                M  42          2011</t>
  </si>
  <si>
    <t>Mėbėt : istorii︠a︡ cheloveka taĭgi : roman / Aleksandr Grigorenko.</t>
  </si>
  <si>
    <t>Grigorenko, Aleksandr.</t>
  </si>
  <si>
    <t>Moskva : ArsisBooks, 2011.</t>
  </si>
  <si>
    <t>1090964779:rus</t>
  </si>
  <si>
    <t>772585499</t>
  </si>
  <si>
    <t>ocn772585499</t>
  </si>
  <si>
    <t>3103484157P</t>
  </si>
  <si>
    <t>9785904155247</t>
  </si>
  <si>
    <t>794904701</t>
  </si>
  <si>
    <t>PG3492.34 A36 Z45 2015</t>
  </si>
  <si>
    <t>0                      PG 3492340A  36                 Z  45          2015</t>
  </si>
  <si>
    <t>Zuleĭkha otkryvaet glaza / Guzelʹ I︠A︡khina.</t>
  </si>
  <si>
    <t>I︠A︡khina, Guzelʹ, author.</t>
  </si>
  <si>
    <t>3965141863:rus</t>
  </si>
  <si>
    <t>910951362</t>
  </si>
  <si>
    <t>ocn910951362</t>
  </si>
  <si>
    <t>3103641360D</t>
  </si>
  <si>
    <t>9785170904365</t>
  </si>
  <si>
    <t>794996797</t>
  </si>
  <si>
    <t>PG3492.34 O56 A6 2018</t>
  </si>
  <si>
    <t>0                      PG 3492340O  56                 A  6           2018</t>
  </si>
  <si>
    <t>My otryvaemsi︠a︡ ot zemli / Marianna Ionova.</t>
  </si>
  <si>
    <t>Ionova, Marianna, 1986- author.</t>
  </si>
  <si>
    <t>5343361250:rus</t>
  </si>
  <si>
    <t>1044748564</t>
  </si>
  <si>
    <t>on1044748564</t>
  </si>
  <si>
    <t>3103879983G</t>
  </si>
  <si>
    <t>9785386106706</t>
  </si>
  <si>
    <t>795060054</t>
  </si>
  <si>
    <t>PG3492.37 O934 B58 2014</t>
  </si>
  <si>
    <t>0                      PG 3492370O  934                B  58          2014</t>
  </si>
  <si>
    <t>Bluda i Mudo : roman / Alekseĭ Ivanov.</t>
  </si>
  <si>
    <t>Ivanov, Alekseĭ, 1969-</t>
  </si>
  <si>
    <t>Moskva : ACT, [2014]</t>
  </si>
  <si>
    <t>111304840:rus</t>
  </si>
  <si>
    <t>897142944</t>
  </si>
  <si>
    <t>ocn897142944</t>
  </si>
  <si>
    <t>31031993836</t>
  </si>
  <si>
    <t>9785170803828</t>
  </si>
  <si>
    <t>794984989</t>
  </si>
  <si>
    <t>PG3492.37 O935 B38 2018</t>
  </si>
  <si>
    <t>0                      PG 3492370O  935                B  38          2018</t>
  </si>
  <si>
    <t>Batiskaf / Andreĭ Ivanov.</t>
  </si>
  <si>
    <t>Ivanov, Andreĭ, 1971- author.</t>
  </si>
  <si>
    <t>Moskva : "Ė", 2018.</t>
  </si>
  <si>
    <t>Bolʹshai︠a︡ proza</t>
  </si>
  <si>
    <t>5295503081:rus</t>
  </si>
  <si>
    <t>1042341188</t>
  </si>
  <si>
    <t>on1042341188</t>
  </si>
  <si>
    <t>31038799789</t>
  </si>
  <si>
    <t>9785040924677</t>
  </si>
  <si>
    <t>795059499</t>
  </si>
  <si>
    <t>PG3492.37 O935 I87 2015</t>
  </si>
  <si>
    <t>0                      PG 3492370O  935                I  87          2015</t>
  </si>
  <si>
    <t>Ispovedʹ lunatika : roman / Andreĭ Ivanov.</t>
  </si>
  <si>
    <t>4536058119:rus</t>
  </si>
  <si>
    <t>913346169</t>
  </si>
  <si>
    <t>ocn913346169</t>
  </si>
  <si>
    <t>3103638881U</t>
  </si>
  <si>
    <t>9785170885947</t>
  </si>
  <si>
    <t>794999308</t>
  </si>
  <si>
    <t>PG3492.37 O935 K53 2014</t>
  </si>
  <si>
    <t>0                      PG 3492370O  935                K  53          2014</t>
  </si>
  <si>
    <t>Kharbinskie motylʹki : roman / Andreĭ Ivanov.</t>
  </si>
  <si>
    <t>3771668425:rus</t>
  </si>
  <si>
    <t>879579881</t>
  </si>
  <si>
    <t>ocn879579881</t>
  </si>
  <si>
    <t>31035530652</t>
  </si>
  <si>
    <t>9785170840519</t>
  </si>
  <si>
    <t>794972331</t>
  </si>
  <si>
    <t>PG3492.52 C45 I88 2015</t>
  </si>
  <si>
    <t>0                      PG 3492520C  45                 I  88          2015</t>
  </si>
  <si>
    <t>Istochnik solnt︠s︡a / I︠U︡lii︠a︡ Kachalkina.</t>
  </si>
  <si>
    <t>Kachalkina, I︠U︡lii︠a︡, author.</t>
  </si>
  <si>
    <t>2944152806:rus</t>
  </si>
  <si>
    <t>943019501</t>
  </si>
  <si>
    <t>ocn943019501</t>
  </si>
  <si>
    <t>3103699350K</t>
  </si>
  <si>
    <t>9785386086008</t>
  </si>
  <si>
    <t>795012524</t>
  </si>
  <si>
    <t>PG3492.52 M68 C48 2017</t>
  </si>
  <si>
    <t>0                      PG 3492520M  68                 C  48          2017</t>
  </si>
  <si>
    <t>Chto nam stoit : [rasskazy] / O. Kamov ; redaktor Irina Kovaleva.</t>
  </si>
  <si>
    <t>Kamov, O., author.</t>
  </si>
  <si>
    <t>4142152944:rus</t>
  </si>
  <si>
    <t>979550124</t>
  </si>
  <si>
    <t>ocn979550124</t>
  </si>
  <si>
    <t>3103759789V</t>
  </si>
  <si>
    <t>9785969115507</t>
  </si>
  <si>
    <t>795033491</t>
  </si>
  <si>
    <t>PG3492.52 T35 P87 2010</t>
  </si>
  <si>
    <t>0                      PG 3492520T  35                 P  87          2010</t>
  </si>
  <si>
    <t>Pushkin : revnostʹ / Tamara Kataeva.</t>
  </si>
  <si>
    <t>Kataeva, Tamara.</t>
  </si>
  <si>
    <t>Moskva : Izd-vo "AST" : "Astrelʹ" : "Poligrafizdat", ©2010.</t>
  </si>
  <si>
    <t>2012-02-28</t>
  </si>
  <si>
    <t>784287565:rus</t>
  </si>
  <si>
    <t>701316594</t>
  </si>
  <si>
    <t>ocn701316594</t>
  </si>
  <si>
    <t>3103393719K</t>
  </si>
  <si>
    <t>9785170663880</t>
  </si>
  <si>
    <t>794862819</t>
  </si>
  <si>
    <t>3103446767H</t>
  </si>
  <si>
    <t>794862820</t>
  </si>
  <si>
    <t>PG3492.54 H37 C55 2018</t>
  </si>
  <si>
    <t>0                      PG 3492540H  37                 C  55          2018</t>
  </si>
  <si>
    <t>Chaĭ so slonikami : povesti, rasskazy / Vi︠a︡cheslav Kharchenko.</t>
  </si>
  <si>
    <t>Kharchenko, Slava, author.</t>
  </si>
  <si>
    <t>4721381608:rus</t>
  </si>
  <si>
    <t>1019585925</t>
  </si>
  <si>
    <t>on1019585925</t>
  </si>
  <si>
    <t>3103862928S</t>
  </si>
  <si>
    <t>9785969116719</t>
  </si>
  <si>
    <t>795049226</t>
  </si>
  <si>
    <t>PG3492.54 H377 O886 2015</t>
  </si>
  <si>
    <t>0                      PG 3492540H  377                O  886         2015</t>
  </si>
  <si>
    <t>Otvoevyvatʹ prostranstvo : sbornik ėsse / Arslan Khasavov.</t>
  </si>
  <si>
    <t>Khasavov, Arslan, 1988- author.</t>
  </si>
  <si>
    <t>Moskva : Literaturnai︠a︡ Rossii︠a︡, 2015.</t>
  </si>
  <si>
    <t>2821906639:rus</t>
  </si>
  <si>
    <t>930846378</t>
  </si>
  <si>
    <t>ocn930846378</t>
  </si>
  <si>
    <t>31036414269</t>
  </si>
  <si>
    <t>9785780902065</t>
  </si>
  <si>
    <t>795007353</t>
  </si>
  <si>
    <t>PG3492.54 I76 P67 2011</t>
  </si>
  <si>
    <t>0                      PG 3492540I  76                 P  67          2011</t>
  </si>
  <si>
    <t>Posledniĭ iz minnezingerov : povesti i rasskazy / Aleksandr Kirov.</t>
  </si>
  <si>
    <t>Kirov, Aleksandr, author.</t>
  </si>
  <si>
    <t>3861347474:rus</t>
  </si>
  <si>
    <t>739837830</t>
  </si>
  <si>
    <t>ocn739837830</t>
  </si>
  <si>
    <t>3103410182X</t>
  </si>
  <si>
    <t>9785969106680</t>
  </si>
  <si>
    <t>794883054</t>
  </si>
  <si>
    <t>PG3492.54 L578 D47 2010</t>
  </si>
  <si>
    <t>0                      PG 3492540L  578                D  47          2010</t>
  </si>
  <si>
    <t>Derevni︠a︡ durakov / Natalʹi︠a︡ Kli︠u︡charëva.</t>
  </si>
  <si>
    <t>Kli︠u︡charëva, Natalʹi︠a︡.</t>
  </si>
  <si>
    <t>2012-03-16</t>
  </si>
  <si>
    <t>632873498:rus</t>
  </si>
  <si>
    <t>663741605</t>
  </si>
  <si>
    <t>ocn663741605</t>
  </si>
  <si>
    <t>31033012732</t>
  </si>
  <si>
    <t>9785170676712</t>
  </si>
  <si>
    <t>794842676</t>
  </si>
  <si>
    <t>PG3492.54 L578 S3 2016</t>
  </si>
  <si>
    <t>0                      PG 3492540L  578                S  3           2016</t>
  </si>
  <si>
    <t>Schastʹe / Natalʹi︠a︡ Kli︠u︡chareva.</t>
  </si>
  <si>
    <t>Kli︠u︡charëva, Natalʹi︠a︡, author.</t>
  </si>
  <si>
    <t>4183891096:rus</t>
  </si>
  <si>
    <t>984129983</t>
  </si>
  <si>
    <t>ocn984129983</t>
  </si>
  <si>
    <t>3103863155F</t>
  </si>
  <si>
    <t>9785386095932</t>
  </si>
  <si>
    <t>795034940</t>
  </si>
  <si>
    <t>PG3492.56 C445 N43 2015</t>
  </si>
  <si>
    <t>0                      PG 3492560C  445                N  43          2015</t>
  </si>
  <si>
    <t>Nedostavlennoe pisʹmo / Natalʹi︠a︡ Kochegarova.</t>
  </si>
  <si>
    <t>Kochegarova, Natalʹi︠a︡, author.</t>
  </si>
  <si>
    <t>5623178827:rus</t>
  </si>
  <si>
    <t>904800404</t>
  </si>
  <si>
    <t>ocn904800404</t>
  </si>
  <si>
    <t>3103632476W</t>
  </si>
  <si>
    <t>9785969113367</t>
  </si>
  <si>
    <t>794990794</t>
  </si>
  <si>
    <t>PG3492.56 C47 I34 2018</t>
  </si>
  <si>
    <t>0                      PG 3492560C  47                 I  34          2018</t>
  </si>
  <si>
    <t>Ich li︠u︡bė dich / Ilʹi︠a︡ Kochergin.</t>
  </si>
  <si>
    <t>Kochergin, Ilʹi︠a︡, 1970- author.</t>
  </si>
  <si>
    <t>Moskva : Ripol Klassik, 2018.</t>
  </si>
  <si>
    <t>8876172441:rus</t>
  </si>
  <si>
    <t>1076547452</t>
  </si>
  <si>
    <t>on1076547452</t>
  </si>
  <si>
    <t>3103879948I</t>
  </si>
  <si>
    <t>9785386100179</t>
  </si>
  <si>
    <t>795067542</t>
  </si>
  <si>
    <t>PG3492.56 L53 T79 2011</t>
  </si>
  <si>
    <t>0                      PG 3492560L  53                 T  79          2011</t>
  </si>
  <si>
    <t>T︠S︡vetochnyĭ krest : roman-nebylit︠s︡a / Elena Koli︠a︡dina.</t>
  </si>
  <si>
    <t>Koli︠a︡dina, Elena.</t>
  </si>
  <si>
    <t>791676345:rus</t>
  </si>
  <si>
    <t>703435143</t>
  </si>
  <si>
    <t>ocn703435143</t>
  </si>
  <si>
    <t>3103393424R</t>
  </si>
  <si>
    <t>9785170715329</t>
  </si>
  <si>
    <t>794864906</t>
  </si>
  <si>
    <t>PG3492.56 L56 B43 2010</t>
  </si>
  <si>
    <t>0                      PG 3492560L  56                 B  43          2010</t>
  </si>
  <si>
    <t>Bednye bogatye devochki / Elena Kolina.</t>
  </si>
  <si>
    <t>Kolina, Elena.</t>
  </si>
  <si>
    <t>Moskva : AST : Astrelʹ ; Vladimir : VKT, 2010.</t>
  </si>
  <si>
    <t>364324140:rus</t>
  </si>
  <si>
    <t>847217983</t>
  </si>
  <si>
    <t>ocn847217983</t>
  </si>
  <si>
    <t>3103767519R</t>
  </si>
  <si>
    <t>9785170674145</t>
  </si>
  <si>
    <t>794949416</t>
  </si>
  <si>
    <t>PG3492.56 L56 D96 2017</t>
  </si>
  <si>
    <t>0                      PG 3492560L  56                 D  96          2017</t>
  </si>
  <si>
    <t>Dvoĭnai︠a︡ zhiznʹ Alisy / Elena Kolina.</t>
  </si>
  <si>
    <t>Kolina, Elena, author.</t>
  </si>
  <si>
    <t>Moskva : Izdatelʹstvo AST, [2017]</t>
  </si>
  <si>
    <t>Malʹchiki da devochki. Proza Eleny Kolinoĭ</t>
  </si>
  <si>
    <t>4552721605:rus</t>
  </si>
  <si>
    <t>1007161117</t>
  </si>
  <si>
    <t>on1007161117</t>
  </si>
  <si>
    <t>3103760643O</t>
  </si>
  <si>
    <t>9785171055479</t>
  </si>
  <si>
    <t>795043806</t>
  </si>
  <si>
    <t>PG3492.56 L56 T74 2016</t>
  </si>
  <si>
    <t>0                      PG 3492560L  56                 T  74          2016</t>
  </si>
  <si>
    <t>Trebui︠u︡sʹ I︠A︡! / Elena Kolina.</t>
  </si>
  <si>
    <t>Nezhnosti i metafizika. Proza Eleny Kolinoĭ</t>
  </si>
  <si>
    <t>3931005708:rus</t>
  </si>
  <si>
    <t>962030035</t>
  </si>
  <si>
    <t>ocn962030035</t>
  </si>
  <si>
    <t>3103687507T</t>
  </si>
  <si>
    <t>9785170995387</t>
  </si>
  <si>
    <t>795024115</t>
  </si>
  <si>
    <t>PG3492.56 R583 B85 2013</t>
  </si>
  <si>
    <t>0                      PG 3492560R  583                B  85          2013</t>
  </si>
  <si>
    <t>Bukhta Providenii︠a︡ : povestʹ i rasskazy / Boris Kornev.</t>
  </si>
  <si>
    <t>Kornev, Boris, author.</t>
  </si>
  <si>
    <t>Sankt-Peterburg : "Istoricheskai︠a︡ illi︠u︡strat︠s︡ii︠a︡", 2013.</t>
  </si>
  <si>
    <t>1872728824:rus</t>
  </si>
  <si>
    <t>878039113</t>
  </si>
  <si>
    <t>ocn878039113</t>
  </si>
  <si>
    <t>3103557300Q</t>
  </si>
  <si>
    <t>9785895661352</t>
  </si>
  <si>
    <t>794971203</t>
  </si>
  <si>
    <t>PG3492.56 R63 I88 2013</t>
  </si>
  <si>
    <t>0                      PG 3492560R  63                 I  88          2013</t>
  </si>
  <si>
    <t>Itu-Taĭ ; Temnyĭ Veter s zelenykh kholmov / Andreĭ Korobeĭshchikov.</t>
  </si>
  <si>
    <t>Korobeĭshchikov, Andreĭ, author.</t>
  </si>
  <si>
    <t>Sankt-Peterburg : Petropolis, 2013.</t>
  </si>
  <si>
    <t>1872729959:rus</t>
  </si>
  <si>
    <t>878040035</t>
  </si>
  <si>
    <t>ocn878040035</t>
  </si>
  <si>
    <t>3103557301Q</t>
  </si>
  <si>
    <t>9785967605659</t>
  </si>
  <si>
    <t>794971208</t>
  </si>
  <si>
    <t>PG3492.56 Z665 F15 2017</t>
  </si>
  <si>
    <t>0                      PG 3492560Z  665                F  15          2017</t>
  </si>
  <si>
    <t>F20 / Anna Kozlova.</t>
  </si>
  <si>
    <t>Kozlova, Anna, author.</t>
  </si>
  <si>
    <t>Moskva : Ripol klassik, 2017.</t>
  </si>
  <si>
    <t>4452974819:rus</t>
  </si>
  <si>
    <t>1000155710</t>
  </si>
  <si>
    <t>on1000155710</t>
  </si>
  <si>
    <t>3103765903$</t>
  </si>
  <si>
    <t>9785386100117</t>
  </si>
  <si>
    <t>795040112</t>
  </si>
  <si>
    <t>PG3492.58 R275 V74 2019</t>
  </si>
  <si>
    <t>0                      PG 3492580R  275                V  74          2019</t>
  </si>
  <si>
    <t>Vsë slozhno / I︠U︡lii︠a︡ Krakovskai︠a︡</t>
  </si>
  <si>
    <t>Krakovskai︠a︡, I︠U︡lii︠a︡, author.</t>
  </si>
  <si>
    <t>Moskva : Izdatelʹskiĭ dom Fli︠u︡id FreeFly, 2019</t>
  </si>
  <si>
    <t>Knizhnai︠a︡ polka Vadima Leventali︠a︡</t>
  </si>
  <si>
    <t>9113664116:rus</t>
  </si>
  <si>
    <t>1101425497</t>
  </si>
  <si>
    <t>on1101425497</t>
  </si>
  <si>
    <t>3103880274A</t>
  </si>
  <si>
    <t>9785906827074</t>
  </si>
  <si>
    <t>795082175</t>
  </si>
  <si>
    <t>PG3492.58 R579 R87 2014</t>
  </si>
  <si>
    <t>0                      PG 3492580R  579                R  87          2014</t>
  </si>
  <si>
    <t>Russkiĭ Parizh : roman / Elena Kri︠u︡kova.</t>
  </si>
  <si>
    <t>Kri︠u︡kova, Elena, 1956- author.</t>
  </si>
  <si>
    <t>1789557634:rus</t>
  </si>
  <si>
    <t>870973403</t>
  </si>
  <si>
    <t>ocn870973403</t>
  </si>
  <si>
    <t>3103638844$</t>
  </si>
  <si>
    <t>9785969111615</t>
  </si>
  <si>
    <t>794967085</t>
  </si>
  <si>
    <t>PG3492.58 R584 D65 2016</t>
  </si>
  <si>
    <t>0                      PG 3492580R  584                D  65          2016</t>
  </si>
  <si>
    <t>Doktor : roman v pi︠a︡ti chasti︠a︡kh, dvadt︠s︡ati dvukh glavakh / Natalii︠a︡ Barabash.</t>
  </si>
  <si>
    <t>Krivit︠︠s︡kai︠a︡-Barabash, Natalii︠a︡, author.</t>
  </si>
  <si>
    <t>Moskva : Akademika, 2016.</t>
  </si>
  <si>
    <t>3893762960:rus</t>
  </si>
  <si>
    <t>959834172</t>
  </si>
  <si>
    <t>ocn959834172</t>
  </si>
  <si>
    <t>31036991103</t>
  </si>
  <si>
    <t>9785422500949</t>
  </si>
  <si>
    <t>795022681</t>
  </si>
  <si>
    <t>PG3492.58 U34 A6 2017</t>
  </si>
  <si>
    <t>0                      PG 3492580U  34                 A  6           2017</t>
  </si>
  <si>
    <t>Ty byla sovsem drugoĭ : odinnadt︠s︡atʹ gorodskikh istoriĭ / Maĭi︠a︡ Kucherskai︠a︡.</t>
  </si>
  <si>
    <t>Kucherskai︠a︡, Maĭi︠a︡, author.</t>
  </si>
  <si>
    <t>Moskva : AST : Redakt︠s︡ii︠a︡ Eleny Shubinoĭ, 2017.</t>
  </si>
  <si>
    <t>4435644823:rus</t>
  </si>
  <si>
    <t>995630663</t>
  </si>
  <si>
    <t>ocn995630663</t>
  </si>
  <si>
    <t>31037597917</t>
  </si>
  <si>
    <t>9785170988877</t>
  </si>
  <si>
    <t>795039678</t>
  </si>
  <si>
    <t>PG3492.58 U34 S55 2016</t>
  </si>
  <si>
    <t>0                      PG 3492580U  34                 S  55          2016</t>
  </si>
  <si>
    <t>"Sglotnula ryba ikh ..." : besedy o schastʹe / Maĭi︠a︡ Kucherskai︠a︡, Tatʹi︠a︡na Oĭzerskai︠a︡.</t>
  </si>
  <si>
    <t>[Kucherskai︠a︡, nastoi︠a︡shchie istorii]</t>
  </si>
  <si>
    <t>2970732640:rus</t>
  </si>
  <si>
    <t>945897176</t>
  </si>
  <si>
    <t>ocn945897176</t>
  </si>
  <si>
    <t>31036421729</t>
  </si>
  <si>
    <t>9785170960811</t>
  </si>
  <si>
    <t>795014004</t>
  </si>
  <si>
    <t>PG3492.58 U34 T48 2013</t>
  </si>
  <si>
    <t>0                      PG 3492580U  34                 T  48          2013</t>
  </si>
  <si>
    <t>Tëti︠a︡ Moti︠a︡ : Roman / Maĭi︠a︡ Kucherskai︠a︡.</t>
  </si>
  <si>
    <t>1352252874:rus</t>
  </si>
  <si>
    <t>845290317</t>
  </si>
  <si>
    <t>ocn845290317</t>
  </si>
  <si>
    <t>3103536093V</t>
  </si>
  <si>
    <t>9785170809561</t>
  </si>
  <si>
    <t>794948959</t>
  </si>
  <si>
    <t>PG3492.58 U54 O75 2012</t>
  </si>
  <si>
    <t>0                      PG 3492580U  54                 O  75          2012</t>
  </si>
  <si>
    <t>Orina doma i v Potustoronʹe : Roman / Veronika Kungurt︠s︡eva.</t>
  </si>
  <si>
    <t>Kungurt︠s︡eva, Veronika, author.</t>
  </si>
  <si>
    <t>2542578822:rus</t>
  </si>
  <si>
    <t>795128969</t>
  </si>
  <si>
    <t>ocn795128969</t>
  </si>
  <si>
    <t>31035271374</t>
  </si>
  <si>
    <t>9785969107137</t>
  </si>
  <si>
    <t>794920852</t>
  </si>
  <si>
    <t>PG3492.58 U64 T35 2015</t>
  </si>
  <si>
    <t>0                      PG 3492580U  64                 T  35          2015</t>
  </si>
  <si>
    <t>Taĭmeri : taezhnai︠a︡ povestʹ / Aleksandr Kuper.</t>
  </si>
  <si>
    <t>Kuper, Aleksandr, author.</t>
  </si>
  <si>
    <t>2746476075:rus</t>
  </si>
  <si>
    <t>922082307</t>
  </si>
  <si>
    <t>ocn922082307</t>
  </si>
  <si>
    <t>3103641324H</t>
  </si>
  <si>
    <t>9785969114029</t>
  </si>
  <si>
    <t>795003682</t>
  </si>
  <si>
    <t>PG3492.58 U865 S83 2016</t>
  </si>
  <si>
    <t>0                      PG 3492580U  865                S  83          2016</t>
  </si>
  <si>
    <t>Svad'ba : sbornik rasskazov / Nikolaĭ Kut︠s︡enko.</t>
  </si>
  <si>
    <t>Kut︠s︡enko, Nikolaĭ, author.</t>
  </si>
  <si>
    <t>Moskva : izdatel'skiĭ dom Fli︠u︡id FreeFly, 2016.</t>
  </si>
  <si>
    <t>3001685486:rus</t>
  </si>
  <si>
    <t>944349239</t>
  </si>
  <si>
    <t>ocn944349239</t>
  </si>
  <si>
    <t>31036414196</t>
  </si>
  <si>
    <t>9785906827142</t>
  </si>
  <si>
    <t>795012908</t>
  </si>
  <si>
    <t>PG3492.58.U865 S83 2016</t>
  </si>
  <si>
    <t>B001612362</t>
  </si>
  <si>
    <t>795012909</t>
  </si>
  <si>
    <t>PG3492.58 U93 K35 2016</t>
  </si>
  <si>
    <t>0                      PG 3492580U  93                 K  35          2016</t>
  </si>
  <si>
    <t>Kaleĭdoskop : raskhodnye materialy (1885-2013) : roman / Sergeĭ Kuznet︠s︡ov.</t>
  </si>
  <si>
    <t>Kuznet︠s︡ov, Sergeĭ (Sergeĭ I︠U︡rʹevich), author.</t>
  </si>
  <si>
    <t>3779137363:rus</t>
  </si>
  <si>
    <t>950002446</t>
  </si>
  <si>
    <t>ocn950002446</t>
  </si>
  <si>
    <t>3103642213L</t>
  </si>
  <si>
    <t>9785170927098</t>
  </si>
  <si>
    <t>795016485</t>
  </si>
  <si>
    <t>PG3492.58 U93 Z45 2011</t>
  </si>
  <si>
    <t>0                      PG 3492580U  93                 Z  45          2011</t>
  </si>
  <si>
    <t>Zhivye i vzroslye : roman / Sergeĭ I︠U︡. Kuznet︠s︡ov.</t>
  </si>
  <si>
    <t>4445966782:rus</t>
  </si>
  <si>
    <t>779583070</t>
  </si>
  <si>
    <t>ocn779583070</t>
  </si>
  <si>
    <t>3103478985L</t>
  </si>
  <si>
    <t>9785170751273</t>
  </si>
  <si>
    <t>794911082</t>
  </si>
  <si>
    <t>PG3492.6 A87 Y32 2014</t>
  </si>
  <si>
    <t>0                      PG 3492600A  87                 Y  32          2014</t>
  </si>
  <si>
    <t>Yaroslavl stories / Anna Lavrinenko ; translated by Christopher Tauchen and Amanda Love Darragh.</t>
  </si>
  <si>
    <t>Lavrinenko, Anna, 1984- author.</t>
  </si>
  <si>
    <t>Glas new Russian writing ; volume 62</t>
  </si>
  <si>
    <t>9415318995:eng</t>
  </si>
  <si>
    <t>858603316</t>
  </si>
  <si>
    <t>ocn858603316</t>
  </si>
  <si>
    <t>31035315567</t>
  </si>
  <si>
    <t>9785717201261</t>
  </si>
  <si>
    <t>794956323</t>
  </si>
  <si>
    <t>PG3492.6 E24 P7 2012</t>
  </si>
  <si>
    <t>0                      PG 3492600E  24                 P  7           2012</t>
  </si>
  <si>
    <t>Predel zabvenii︠a︡ : [roman] / Sergeĭ Lebedev.</t>
  </si>
  <si>
    <t>Lebedev, Sergeĭ, 1981-</t>
  </si>
  <si>
    <t>Moskva : Ėksmo, 2012.</t>
  </si>
  <si>
    <t>Otkrytie : sovremennai︠a︡ rossiĭskai︠a︡ literatura</t>
  </si>
  <si>
    <t>2936755643:rus</t>
  </si>
  <si>
    <t>796208632</t>
  </si>
  <si>
    <t>ocn796208632</t>
  </si>
  <si>
    <t>3103440036V</t>
  </si>
  <si>
    <t>9785699544417</t>
  </si>
  <si>
    <t>794922049</t>
  </si>
  <si>
    <t>PG3492.6 E243 G6313 2017</t>
  </si>
  <si>
    <t>0                      PG 3492600E  243                G  6313        2017</t>
  </si>
  <si>
    <t>The year of the comet / Sergei Lebedev ; translated by Antonina W. Bouis.</t>
  </si>
  <si>
    <t>Lebedev, Sergeĭ, 1981- author.</t>
  </si>
  <si>
    <t>New York : New Vessel Press, [2017]</t>
  </si>
  <si>
    <t>2501967344:eng</t>
  </si>
  <si>
    <t>945949040</t>
  </si>
  <si>
    <t>ocn945949040</t>
  </si>
  <si>
    <t>3103809692W</t>
  </si>
  <si>
    <t>9781939931412</t>
  </si>
  <si>
    <t>795014061</t>
  </si>
  <si>
    <t>PG3492.6 E243 G8713 2019</t>
  </si>
  <si>
    <t>0                      PG 3492600E  243                G  8713        2019</t>
  </si>
  <si>
    <t>The goose Fritz / Sergei Lebedev ; translated by Antonina W. Bouis.</t>
  </si>
  <si>
    <t>New York, New Vessel Press, [2019]</t>
  </si>
  <si>
    <t>4936495875:eng</t>
  </si>
  <si>
    <t>1030910468</t>
  </si>
  <si>
    <t>on1030910468</t>
  </si>
  <si>
    <t>3103808461J</t>
  </si>
  <si>
    <t>9781939931641</t>
  </si>
  <si>
    <t>795054920</t>
  </si>
  <si>
    <t>PG3492.6 E243 P7413 2016</t>
  </si>
  <si>
    <t>0                      PG 3492600E  243                P  7413        2016</t>
  </si>
  <si>
    <t>Oblivion / Sergei Lebedev ; translated by Antonina W. Bouis.</t>
  </si>
  <si>
    <t>New York : New Vessel Press , [2016]</t>
  </si>
  <si>
    <t>2892365227:eng</t>
  </si>
  <si>
    <t>929450410</t>
  </si>
  <si>
    <t>ocn929450410</t>
  </si>
  <si>
    <t>3103670058$</t>
  </si>
  <si>
    <t>9781939931252</t>
  </si>
  <si>
    <t>795006542</t>
  </si>
  <si>
    <t>PG3492.6 E5565 O33 2011</t>
  </si>
  <si>
    <t>0                      PG 3492600E  5565               O  33          2011</t>
  </si>
  <si>
    <t>Odarennye natury / Anna Leo.</t>
  </si>
  <si>
    <t>Leo, Anna.</t>
  </si>
  <si>
    <t>Moskva : U Nikitskikh vorot, 2011.</t>
  </si>
  <si>
    <t>2013-02-08</t>
  </si>
  <si>
    <t>1108613201:rus</t>
  </si>
  <si>
    <t>793690719</t>
  </si>
  <si>
    <t>ocn793690719</t>
  </si>
  <si>
    <t>31034867353</t>
  </si>
  <si>
    <t>9785913662620</t>
  </si>
  <si>
    <t>794918614</t>
  </si>
  <si>
    <t>PG3492.6 O215 S87 2019</t>
  </si>
  <si>
    <t>0                      PG 3492600O  215                S  87          2019</t>
  </si>
  <si>
    <t>Strakhi Ivolgina : roman / Elena Lobachëva.</t>
  </si>
  <si>
    <t>Lobacheva, E. N. (Elena Nikolaevna), author.</t>
  </si>
  <si>
    <t>Moskva : Vremi︠a︡, 2019.</t>
  </si>
  <si>
    <t>Serii︠a︡ "Vremi︠a︡ chitatʹ!"</t>
  </si>
  <si>
    <t>9576258403:rus</t>
  </si>
  <si>
    <t>1122927564</t>
  </si>
  <si>
    <t>on1122927564</t>
  </si>
  <si>
    <t>31038802790</t>
  </si>
  <si>
    <t>9785969118430</t>
  </si>
  <si>
    <t>795085400</t>
  </si>
  <si>
    <t>PG3492.6 O73 G35 2010</t>
  </si>
  <si>
    <t>0                      PG 3492600O  73                 G  35          2010</t>
  </si>
  <si>
    <t>Galatei︠a︡, ili Posledniĭ roman dli︠a︡ devstvennikov / Vladimir Lorchenkov.</t>
  </si>
  <si>
    <t>Lorchenkov, Vladimir.</t>
  </si>
  <si>
    <t>2011-03-08</t>
  </si>
  <si>
    <t>632873454:rus</t>
  </si>
  <si>
    <t>663741543</t>
  </si>
  <si>
    <t>ocn663741543</t>
  </si>
  <si>
    <t>31033012506</t>
  </si>
  <si>
    <t>9785699424047</t>
  </si>
  <si>
    <t>794842675</t>
  </si>
  <si>
    <t>PG3492.6 O73 N63 2018</t>
  </si>
  <si>
    <t>0                      PG 3492600O  73                 N  63          2018</t>
  </si>
  <si>
    <t>Nochʹ v Kerbe : Roman / Lorchenkov Vladimir.</t>
  </si>
  <si>
    <t>Lorchenkov, Vladimir, author.</t>
  </si>
  <si>
    <t>Moskva : Izdatelʹstvo Ė, 2018.</t>
  </si>
  <si>
    <t>5418029818:rus</t>
  </si>
  <si>
    <t>1050921389</t>
  </si>
  <si>
    <t>on1050921389</t>
  </si>
  <si>
    <t>3103863143M</t>
  </si>
  <si>
    <t>9785040931811</t>
  </si>
  <si>
    <t>795061627</t>
  </si>
  <si>
    <t>PG3492.6 U355 E45 2011</t>
  </si>
  <si>
    <t>0                      PG 3492600U  355                E  45          2011</t>
  </si>
  <si>
    <t>Ėliksir kni︠a︡zi︠a︡ Sobakina / Olʹga Lukas, Andreĭ Stepanov.</t>
  </si>
  <si>
    <t>Lukas, Olʹga, author.</t>
  </si>
  <si>
    <t>1082148463:rus</t>
  </si>
  <si>
    <t>778213177</t>
  </si>
  <si>
    <t>ocn778213177</t>
  </si>
  <si>
    <t>3103478984L</t>
  </si>
  <si>
    <t>9785170747122</t>
  </si>
  <si>
    <t>794909459</t>
  </si>
  <si>
    <t>PG3492.6 U43 2016</t>
  </si>
  <si>
    <t>0                      PG 3492600U  43          2016</t>
  </si>
  <si>
    <t>Uleti na nebo / Vladimir Lidskiĭ.</t>
  </si>
  <si>
    <t>Lidskiĭ, Vladimir, 1957- author.</t>
  </si>
  <si>
    <t>Redaktor Kachalkina</t>
  </si>
  <si>
    <t>3805450773:rus</t>
  </si>
  <si>
    <t>957063762</t>
  </si>
  <si>
    <t>ocn957063762</t>
  </si>
  <si>
    <t>31036993754</t>
  </si>
  <si>
    <t>9785386092900</t>
  </si>
  <si>
    <t>795020668</t>
  </si>
  <si>
    <t>PG3492.72 R7875 P47 2016</t>
  </si>
  <si>
    <t>0                      PG 3492720R  7875               P  47          2016</t>
  </si>
  <si>
    <t>Perekrestki sudʹby / Irina Martova.</t>
  </si>
  <si>
    <t>Martova, Irina, author.</t>
  </si>
  <si>
    <t>Moskva : Khudozhestvennai︠a︡ literatura, 2016.</t>
  </si>
  <si>
    <t>Dobrye knigi Iriny Martovoĭ</t>
  </si>
  <si>
    <t>3999902411:rus</t>
  </si>
  <si>
    <t>966639080</t>
  </si>
  <si>
    <t>ocn966639080</t>
  </si>
  <si>
    <t>3103859404X</t>
  </si>
  <si>
    <t>9785280036925</t>
  </si>
  <si>
    <t>795026288</t>
  </si>
  <si>
    <t>PG3492.72 R7895 O9 2016</t>
  </si>
  <si>
    <t>0                      PG 3492720R  7895               O  9           2016</t>
  </si>
  <si>
    <t>Ozero Radosti : roman / Viktor Martinovich.</t>
  </si>
  <si>
    <t>Martsinovich, Viktar, 1977- author.</t>
  </si>
  <si>
    <t>3942550803:rus</t>
  </si>
  <si>
    <t>967229902</t>
  </si>
  <si>
    <t>ocn967229902</t>
  </si>
  <si>
    <t>3103862933Z</t>
  </si>
  <si>
    <t>9785969115194</t>
  </si>
  <si>
    <t>795026491</t>
  </si>
  <si>
    <t>PG3492.76 I385 P57 2011</t>
  </si>
  <si>
    <t>0                      PG 3492760I  385                P  57          2011</t>
  </si>
  <si>
    <t>Pisʹma iz nedaleka : ocherki i rasskazy / Igorʹ Mikhaĭlov.</t>
  </si>
  <si>
    <t>Mikhaĭlov, Igorʹ (Igorʹ Mikhaĭlovich), author.</t>
  </si>
  <si>
    <t>Moskva : Khudozhestvennai︠a︡ literatura, 2011.</t>
  </si>
  <si>
    <t>1182882916:rus</t>
  </si>
  <si>
    <t>818862047</t>
  </si>
  <si>
    <t>ocn818862047</t>
  </si>
  <si>
    <t>3103473803N</t>
  </si>
  <si>
    <t>9785280035041</t>
  </si>
  <si>
    <t>794934221</t>
  </si>
  <si>
    <t>PG3492.76 I53 K68 2018</t>
  </si>
  <si>
    <t>0                      PG 3492760I  53                 K  68          2018</t>
  </si>
  <si>
    <t>Kovboĭ Malʹboro, ili Devushki 80-kh : roman v rasskazakh / Boris Minaev.</t>
  </si>
  <si>
    <t>Minaev, Boris, author.</t>
  </si>
  <si>
    <t>5217212495:rus</t>
  </si>
  <si>
    <t>1039667584</t>
  </si>
  <si>
    <t>on1039667584</t>
  </si>
  <si>
    <t>3103862917X</t>
  </si>
  <si>
    <t>9785969117044</t>
  </si>
  <si>
    <t>795058873</t>
  </si>
  <si>
    <t>PG3492.76 I5485 A6 2016</t>
  </si>
  <si>
    <t>0                      PG 3492760I  5485               A  6           2016</t>
  </si>
  <si>
    <t>Tam, gde techet moloko i med : roman i povesti / Elena Minkina-Taĭcher.</t>
  </si>
  <si>
    <t>Minkina-Taĭcher, E. M. (Elena Mikhaĭlovna), author.</t>
  </si>
  <si>
    <t>9559899636:rus</t>
  </si>
  <si>
    <t>949855716</t>
  </si>
  <si>
    <t>ocn949855716</t>
  </si>
  <si>
    <t>3103699370E</t>
  </si>
  <si>
    <t>9785969114753</t>
  </si>
  <si>
    <t>795016221</t>
  </si>
  <si>
    <t>PG3492.76 I5485 Z2 2017</t>
  </si>
  <si>
    <t>0                      PG 3492760I  5485               Z  2           2017</t>
  </si>
  <si>
    <t>Zhenshchina na zadannui︠u︡ temu : povesti / Elena Minkina-Taĭcher.</t>
  </si>
  <si>
    <t>8906895795:rus</t>
  </si>
  <si>
    <t>1003151592</t>
  </si>
  <si>
    <t>on1003151592</t>
  </si>
  <si>
    <t>3103765936L</t>
  </si>
  <si>
    <t>9785969115729</t>
  </si>
  <si>
    <t>795041369</t>
  </si>
  <si>
    <t>PG3492.76 I55 E344 2014</t>
  </si>
  <si>
    <t>0                      PG 3492760I  55                 E  344         2014</t>
  </si>
  <si>
    <t>Ėffekt Rebindera : roman / Elena Minkina-Taĭcher.</t>
  </si>
  <si>
    <t>3001686750:rus</t>
  </si>
  <si>
    <t>873559214</t>
  </si>
  <si>
    <t>ocn873559214</t>
  </si>
  <si>
    <t>3103585962Q</t>
  </si>
  <si>
    <t>9785969111868</t>
  </si>
  <si>
    <t>794968469</t>
  </si>
  <si>
    <t>PG3492.76 I76 I14 2001</t>
  </si>
  <si>
    <t>0                      PG 3492760I  76                 I  14          2001</t>
  </si>
  <si>
    <t>I︠A︡ byl na ėtoĭ voĭne : Chechni︠a︡, god 1995 / Vi︠a︡cheslav Mironov.</t>
  </si>
  <si>
    <t>Mironov, Vi︠a︡cheslav.</t>
  </si>
  <si>
    <t>Moskva : Biblion, 2001.</t>
  </si>
  <si>
    <t>3768596121:rus</t>
  </si>
  <si>
    <t>50655616</t>
  </si>
  <si>
    <t>ocm50655616</t>
  </si>
  <si>
    <t>3102404662I</t>
  </si>
  <si>
    <t>9785902005018</t>
  </si>
  <si>
    <t>793769823</t>
  </si>
  <si>
    <t>PG3492.76 U76 V47 2009</t>
  </si>
  <si>
    <t>0                      PG 3492760U  76                 V  47          2009</t>
  </si>
  <si>
    <t>Veri︠u︡ vremeni : novye stikhi / Marii︠a︡ Muromt︠s︡eva.</t>
  </si>
  <si>
    <t>Muromt︠s︡eva, Marii︠a︡ Alekseevna.</t>
  </si>
  <si>
    <t>Moskva : Globus, 2009.</t>
  </si>
  <si>
    <t>195759135:rus</t>
  </si>
  <si>
    <t>318665216</t>
  </si>
  <si>
    <t>ocn318665216</t>
  </si>
  <si>
    <t>3103151411W</t>
  </si>
  <si>
    <t>9785815502147</t>
  </si>
  <si>
    <t>794482299</t>
  </si>
  <si>
    <t>PG3492.84 E49 R38 2018</t>
  </si>
  <si>
    <t>0                      PG 3492840E  49                 R  38          2018</t>
  </si>
  <si>
    <t>Raund : opticheskiĭ roman / Anna Nemzer.</t>
  </si>
  <si>
    <t>Nemzer, Anna, author.</t>
  </si>
  <si>
    <t>Moskva : AST : Redakt︠s︡ii︠a︡ Eleny Shubinoĭ, 2018.</t>
  </si>
  <si>
    <t>5404675251:rus</t>
  </si>
  <si>
    <t>1050144575</t>
  </si>
  <si>
    <t>on1050144575</t>
  </si>
  <si>
    <t>31038631597</t>
  </si>
  <si>
    <t>9785171091606</t>
  </si>
  <si>
    <t>795061363</t>
  </si>
  <si>
    <t>PG3492.84 I3734 M33 2012</t>
  </si>
  <si>
    <t>0                      PG 3492840I  3734               M  33          2012</t>
  </si>
  <si>
    <t>Madzhong : roman / Alekseĭ Nikitin.</t>
  </si>
  <si>
    <t>Nikitin, Alekseĭ, 1967-</t>
  </si>
  <si>
    <t>Moskva : AdMarginem, ©2012.</t>
  </si>
  <si>
    <t>1090964776:rus</t>
  </si>
  <si>
    <t>781684058</t>
  </si>
  <si>
    <t>ocn781684058</t>
  </si>
  <si>
    <t>3103536094V</t>
  </si>
  <si>
    <t>9785911030971</t>
  </si>
  <si>
    <t>794913163</t>
  </si>
  <si>
    <t>PG3492.84 I3734 V53 2014</t>
  </si>
  <si>
    <t>0                      PG 3492840I  3734               V  53          2014</t>
  </si>
  <si>
    <t>Victory Park : roman / Alekseĭ Nikitin.</t>
  </si>
  <si>
    <t>Nikitin, Alekseĭ, 1967- author.</t>
  </si>
  <si>
    <t>Moskva : Ad Marginem Press, 2014.</t>
  </si>
  <si>
    <t>10032875691:rus</t>
  </si>
  <si>
    <t>894077350</t>
  </si>
  <si>
    <t>ocn894077350</t>
  </si>
  <si>
    <t>31031993728</t>
  </si>
  <si>
    <t>9785911031893</t>
  </si>
  <si>
    <t>794982303</t>
  </si>
  <si>
    <t>PG3492.84 I82 M65 2015</t>
  </si>
  <si>
    <t>0                      PG 3492840I  82                 M  65          2015</t>
  </si>
  <si>
    <t>Moi li︠u︡bimye chudovishcha : kniga teplykh veshcheĭ / Mikhail Nisenbaum.</t>
  </si>
  <si>
    <t>Nisenbaum, Mikhail, 1962- author.</t>
  </si>
  <si>
    <t>8913764637:rus</t>
  </si>
  <si>
    <t>900162622</t>
  </si>
  <si>
    <t>ocn900162622</t>
  </si>
  <si>
    <t>3103621275G</t>
  </si>
  <si>
    <t>9785969113329</t>
  </si>
  <si>
    <t>794987211</t>
  </si>
  <si>
    <t>PG3492.84 I82 V65 2018</t>
  </si>
  <si>
    <t>0                      PG 3492840I  82                 V  65          2018</t>
  </si>
  <si>
    <t>Volchok : roman / Mikhail Nisenbaum.</t>
  </si>
  <si>
    <t>8906978816:rus</t>
  </si>
  <si>
    <t>1039624799</t>
  </si>
  <si>
    <t>on1039624799</t>
  </si>
  <si>
    <t>31038629231</t>
  </si>
  <si>
    <t>9785969117037</t>
  </si>
  <si>
    <t>795058863</t>
  </si>
  <si>
    <t>PG3492.84 N43 S64 2014</t>
  </si>
  <si>
    <t>0                      PG 3492840N  43                 S  64          2014</t>
  </si>
  <si>
    <t>Smei︠a︡tʹsi︠a︡ i svistetʹ / I︠U︡riĭ Nechiporenko.</t>
  </si>
  <si>
    <t>Nechiporenko, I︠U︡riĭ, author.</t>
  </si>
  <si>
    <t>Tula : I︠A︡snai︠a︡ Poli︠a︡na, 2014.</t>
  </si>
  <si>
    <t>1371774297:rus</t>
  </si>
  <si>
    <t>897834854</t>
  </si>
  <si>
    <t>ocn897834854</t>
  </si>
  <si>
    <t>31035862960</t>
  </si>
  <si>
    <t>9785933220954</t>
  </si>
  <si>
    <t>794985471</t>
  </si>
  <si>
    <t>PG3492.87 D44 T56 2014</t>
  </si>
  <si>
    <t>0                      PG 3492870D  44                 T  56          2014</t>
  </si>
  <si>
    <t>Timur i ego leto : Rasskazy i povestʹ / Ilʹi︠a︡ Odegov.</t>
  </si>
  <si>
    <t>Odegov, Ilʹi︠a︡, 1981- author.</t>
  </si>
  <si>
    <t>Moskva : "Tekst", 2014.</t>
  </si>
  <si>
    <t>2245167024:rus</t>
  </si>
  <si>
    <t>897950583</t>
  </si>
  <si>
    <t>ocn897950583</t>
  </si>
  <si>
    <t>3103621126X</t>
  </si>
  <si>
    <t>9785751612610</t>
  </si>
  <si>
    <t>794985561</t>
  </si>
  <si>
    <t>PG3492.87 K855 K36 2015</t>
  </si>
  <si>
    <t>0                      PG 3492870K  855                K  36          2015</t>
  </si>
  <si>
    <t>Kamov i Kaminka / Sasha Okunʹ.</t>
  </si>
  <si>
    <t>Okun, Sasha, 1949- author.</t>
  </si>
  <si>
    <t>2997532947:rus</t>
  </si>
  <si>
    <t>948740370</t>
  </si>
  <si>
    <t>ocn948740370</t>
  </si>
  <si>
    <t>3103687474I</t>
  </si>
  <si>
    <t>9785386087197</t>
  </si>
  <si>
    <t>795015711</t>
  </si>
  <si>
    <t>PG3492.87 S553 G74 2010</t>
  </si>
  <si>
    <t>0                      PG 3492870S  553                G  74          2010</t>
  </si>
  <si>
    <t>Grekh zhalovatʹsi︠a︡ : [prosa] / Maksim Osipov.</t>
  </si>
  <si>
    <t>Osipov, Maksim.</t>
  </si>
  <si>
    <t>Moskva : CORPUS : Astrelʹ : AST, 2010.</t>
  </si>
  <si>
    <t>500171161:rus</t>
  </si>
  <si>
    <t>741938593</t>
  </si>
  <si>
    <t>ocn741938593</t>
  </si>
  <si>
    <t>3103393528O</t>
  </si>
  <si>
    <t>9785170609567</t>
  </si>
  <si>
    <t>794884531</t>
  </si>
  <si>
    <t>PG3492.87 S57 U7 2011</t>
  </si>
  <si>
    <t>0                      PG 3492870S  57                 U  7           2011</t>
  </si>
  <si>
    <t>U samogo sinego mori︠a︡ : ital'i︠a︡nskiĭ dnevnik / Natal'i︠a︡ Osis.</t>
  </si>
  <si>
    <t>Osis, Natalʹi︠a︡.</t>
  </si>
  <si>
    <t>Moskva : KoLibri, ©2011.</t>
  </si>
  <si>
    <t>8911161454:rus</t>
  </si>
  <si>
    <t>725151417</t>
  </si>
  <si>
    <t>ocn725151417</t>
  </si>
  <si>
    <t>3103484626G</t>
  </si>
  <si>
    <t>9785389017009</t>
  </si>
  <si>
    <t>794876771</t>
  </si>
  <si>
    <t>PG3492.94 A545 A1213 2011</t>
  </si>
  <si>
    <t>0                      PG 3492940A  545                A  1213        2011</t>
  </si>
  <si>
    <t>12 who don't agree / Valery Panyushkin ; translated from the Russian by Marian Schwartz.</t>
  </si>
  <si>
    <t>Pani︠u︡shkin, Valeriĭ, author.</t>
  </si>
  <si>
    <t>New York, N.Y. : Europa Editions, 2011.</t>
  </si>
  <si>
    <t>4757848677:eng</t>
  </si>
  <si>
    <t>669752281</t>
  </si>
  <si>
    <t>ocn669752281</t>
  </si>
  <si>
    <t>31033634147</t>
  </si>
  <si>
    <t>9781609450106</t>
  </si>
  <si>
    <t>794847061</t>
  </si>
  <si>
    <t>PG3492.96 K73 P66 2017</t>
  </si>
  <si>
    <t>0                      PG 3492960K  73                 P  66          2017</t>
  </si>
  <si>
    <t>Polt︠s︡arstva : Roman / O.A. Pokrovskai︠a︡.</t>
  </si>
  <si>
    <t>Pokrovskai︠a︡, Olʹga, author.</t>
  </si>
  <si>
    <t>Moskva : Grifon, 2017.</t>
  </si>
  <si>
    <t>4246079307:rus</t>
  </si>
  <si>
    <t>989874913</t>
  </si>
  <si>
    <t>ocn989874913</t>
  </si>
  <si>
    <t>3103859365H</t>
  </si>
  <si>
    <t>9785988623304</t>
  </si>
  <si>
    <t>795037298</t>
  </si>
  <si>
    <t>PG3492.96 N59 P75 2017</t>
  </si>
  <si>
    <t>0                      PG 3492960N  59                 P  75          2017</t>
  </si>
  <si>
    <t>Print︠s︡ inkognito : roman / Anton Ponizovskiĭ.</t>
  </si>
  <si>
    <t>Ponizovskiĭ, Anton, author.</t>
  </si>
  <si>
    <t>Moskva : Redakt︠s︡ii︠a︡ Eleny Shubinoĭ : AST, [2017]</t>
  </si>
  <si>
    <t>4569350911:rus</t>
  </si>
  <si>
    <t>1009082604</t>
  </si>
  <si>
    <t>on1009082604</t>
  </si>
  <si>
    <t>31038629223</t>
  </si>
  <si>
    <t>9785179828563</t>
  </si>
  <si>
    <t>795045080</t>
  </si>
  <si>
    <t>PG3492.96 T26 T35 2012</t>
  </si>
  <si>
    <t>0                      PG 3492960T  26                 T  35          2012</t>
  </si>
  <si>
    <t>Tak vot i zhivem : raznye istorii / Nikolaĭ Potapov.</t>
  </si>
  <si>
    <t>Potapov, Nikolaĭ (Nikolaĭ Ivanovich), author.</t>
  </si>
  <si>
    <t>Moskva : Skazochnai︠a︡ doroga, 2012.</t>
  </si>
  <si>
    <t>1367663994:rus</t>
  </si>
  <si>
    <t>852785992</t>
  </si>
  <si>
    <t>ocn852785992</t>
  </si>
  <si>
    <t>3103526626W</t>
  </si>
  <si>
    <t>9785432900302</t>
  </si>
  <si>
    <t>794951574</t>
  </si>
  <si>
    <t>PG3492.96 T26 Z55 2012</t>
  </si>
  <si>
    <t>0                      PG 3492960T  26                 Z  55          2012</t>
  </si>
  <si>
    <t>Zhiznʹ bez li︠u︡bvi nevozmozhna : komediĭnye st︠s︡eny / Nikolaĭ Potapov.</t>
  </si>
  <si>
    <t>2013-08-30</t>
  </si>
  <si>
    <t>1367663995:rus</t>
  </si>
  <si>
    <t>852785993</t>
  </si>
  <si>
    <t>ocn852785993</t>
  </si>
  <si>
    <t>3103526625W</t>
  </si>
  <si>
    <t>9785432900159</t>
  </si>
  <si>
    <t>794951575</t>
  </si>
  <si>
    <t>PG3492.98 R554 C44 2011</t>
  </si>
  <si>
    <t>0                      PG 3492980R  554                C  44          2011</t>
  </si>
  <si>
    <t>Chernai︠a︡ obezʹi︠a︡na : roman / Zakhar Prilepin.</t>
  </si>
  <si>
    <t>Prilepin, Zakhar.</t>
  </si>
  <si>
    <t>2014-08-10</t>
  </si>
  <si>
    <t>1126504145:rus</t>
  </si>
  <si>
    <t>732597935</t>
  </si>
  <si>
    <t>ocn732597935</t>
  </si>
  <si>
    <t>3103393753C</t>
  </si>
  <si>
    <t>9785170732463</t>
  </si>
  <si>
    <t>794881306</t>
  </si>
  <si>
    <t>PG3492.98 R554 G74 2007</t>
  </si>
  <si>
    <t>0                      PG 3492980R  554                G  74          2007</t>
  </si>
  <si>
    <t>Grekh : roman v rasskazakh / Zakhar Prilepin.</t>
  </si>
  <si>
    <t>Moskva : Vagrius, 2007.</t>
  </si>
  <si>
    <t>1104481153:rus</t>
  </si>
  <si>
    <t>190797060</t>
  </si>
  <si>
    <t>ocn190797060</t>
  </si>
  <si>
    <t>3102861575E</t>
  </si>
  <si>
    <t>9785969704220</t>
  </si>
  <si>
    <t>794295748</t>
  </si>
  <si>
    <t>PG3492.98 R554 I185 2009</t>
  </si>
  <si>
    <t>0                      PG 3492980R  554                I  185         2009</t>
  </si>
  <si>
    <t>I︠A︡ prishel iz Rossii : ėsse / Zakhar Prilepin.</t>
  </si>
  <si>
    <t>Sankt-Peterburg ; Moskva : Limbus Press, ©2009.</t>
  </si>
  <si>
    <t>2015-11-03</t>
  </si>
  <si>
    <t>197371652:rus</t>
  </si>
  <si>
    <t>320302728</t>
  </si>
  <si>
    <t>ocn320302728</t>
  </si>
  <si>
    <t>3103101413K</t>
  </si>
  <si>
    <t>9785837005657</t>
  </si>
  <si>
    <t>794485956</t>
  </si>
  <si>
    <t>PG3492.98 R554 O258 2014</t>
  </si>
  <si>
    <t>0                      PG 3492980R  554                O  258         2014</t>
  </si>
  <si>
    <t>Obitelʹ : roman / Zakhar Prilepin.</t>
  </si>
  <si>
    <t>Prilepin, Zakhar, author.</t>
  </si>
  <si>
    <t>Moskva : Izdatelʹstvo AST : Redakt︠s︡ii︠a︡ Eleny Shubinoĭ, 2014.</t>
  </si>
  <si>
    <t>Proza Zakhara Prilepina</t>
  </si>
  <si>
    <t>2233205138:rus</t>
  </si>
  <si>
    <t>879571285</t>
  </si>
  <si>
    <t>ocn879571285</t>
  </si>
  <si>
    <t>31031987790</t>
  </si>
  <si>
    <t>9785170844838</t>
  </si>
  <si>
    <t>794972277</t>
  </si>
  <si>
    <t>PG3493.34 A348 N48 2014</t>
  </si>
  <si>
    <t>0                      PG 3493340A  348                N  48          2014</t>
  </si>
  <si>
    <t>Net imeni tebe ... : roman / Elena Radet︠s︡kai︠a︡.</t>
  </si>
  <si>
    <t>Radet︠s︡kai︠a︡, Elena.</t>
  </si>
  <si>
    <t>1845760605:rus</t>
  </si>
  <si>
    <t>873947133</t>
  </si>
  <si>
    <t>ocn873947133</t>
  </si>
  <si>
    <t>3103641399N</t>
  </si>
  <si>
    <t>9785170823970</t>
  </si>
  <si>
    <t>794968632</t>
  </si>
  <si>
    <t>PG3493.34 E465 V64 2014</t>
  </si>
  <si>
    <t>0                      PG 3493340E  465                V  64          2014</t>
  </si>
  <si>
    <t>Voli︠a︡ volʹnai︠a︡ : roman / Viktor Remizov.</t>
  </si>
  <si>
    <t>Remizov, Viktor (Viktor Vladimirovich), author.</t>
  </si>
  <si>
    <t>Moskva : AST : Redakt︠s︡ii︠a︡ Eleny Shubinoĭ, [2014]</t>
  </si>
  <si>
    <t>Proza Viktora Remizova</t>
  </si>
  <si>
    <t>2266788443:rus</t>
  </si>
  <si>
    <t>900162757</t>
  </si>
  <si>
    <t>ocn900162757</t>
  </si>
  <si>
    <t>3103621251U</t>
  </si>
  <si>
    <t>9785170873036</t>
  </si>
  <si>
    <t>794987214</t>
  </si>
  <si>
    <t>PG3493.36 N56 T75 2012</t>
  </si>
  <si>
    <t>0                      PG 3493360N  56                 T  75          2012</t>
  </si>
  <si>
    <t>Tri zhenshchiny / Elena Ronina.</t>
  </si>
  <si>
    <t>Ronina, Elena.</t>
  </si>
  <si>
    <t>Këlʹn : TIM ferlag, 2012.</t>
  </si>
  <si>
    <t>4958005537:rus</t>
  </si>
  <si>
    <t>813057024</t>
  </si>
  <si>
    <t>ocn813057024</t>
  </si>
  <si>
    <t>3103440434J</t>
  </si>
  <si>
    <t>9785917630991</t>
  </si>
  <si>
    <t>794931396</t>
  </si>
  <si>
    <t>PG3493.36 S425 V69 2015</t>
  </si>
  <si>
    <t>0                      PG 3493360S  425                V  69          2015</t>
  </si>
  <si>
    <t>Vozvrashchaĭsi︠a︡ po pervomu snegu : povesti / Ekaterina Roshchina.</t>
  </si>
  <si>
    <t>Roshchina, Ekaterina (Ekaterina Borisovna), author.</t>
  </si>
  <si>
    <t>Vremi︠a︡ chitatʹ!</t>
  </si>
  <si>
    <t>2485428015:rus</t>
  </si>
  <si>
    <t>906151454</t>
  </si>
  <si>
    <t>ocn906151454</t>
  </si>
  <si>
    <t>3103632442C</t>
  </si>
  <si>
    <t>9785969113565</t>
  </si>
  <si>
    <t>794992277</t>
  </si>
  <si>
    <t>PG3493.38 U246 F56 2019</t>
  </si>
  <si>
    <t>0                      PG 3493380U  246                F  56          2019</t>
  </si>
  <si>
    <t>Finist -- i︠a︡snyĭ sokol : roman / Andreĭ Rubanov.</t>
  </si>
  <si>
    <t>Rubanov, Andreĭ, author.</t>
  </si>
  <si>
    <t>Moskva : Redakt︠s︡ii︠a︡ Eleny Shubinoĭ : Izdatelʹstvo AST, 2019.</t>
  </si>
  <si>
    <t>9071666663:rus</t>
  </si>
  <si>
    <t>1099180535</t>
  </si>
  <si>
    <t>on1099180535</t>
  </si>
  <si>
    <t>31038802871</t>
  </si>
  <si>
    <t>9785171131517</t>
  </si>
  <si>
    <t>795081026</t>
  </si>
  <si>
    <t>PG3493.38 U246 P38 2017</t>
  </si>
  <si>
    <t>0                      PG 3493380U  246                P  38          2017</t>
  </si>
  <si>
    <t>Patriot : roman / Andreĭ Rubanov.</t>
  </si>
  <si>
    <t>Moskva : Izdatelʹstvo AST : Redakt︠s︡ii︠a︡ Eleny Shubinoĭ, 2017.</t>
  </si>
  <si>
    <t>4477536941:rus</t>
  </si>
  <si>
    <t>988945485</t>
  </si>
  <si>
    <t>ocn988945485</t>
  </si>
  <si>
    <t>3103859414U</t>
  </si>
  <si>
    <t>9785171018115</t>
  </si>
  <si>
    <t>795037005</t>
  </si>
  <si>
    <t>PG3493.38 U246 P78 2011</t>
  </si>
  <si>
    <t>0                      PG 3493380U  246                P  78          2011</t>
  </si>
  <si>
    <t>Psikhodel : roman / Andreĭ Rubanov.</t>
  </si>
  <si>
    <t>Rubanov, Andreĭ.</t>
  </si>
  <si>
    <t>3771159804:rus</t>
  </si>
  <si>
    <t>732326047</t>
  </si>
  <si>
    <t>ocn732326047</t>
  </si>
  <si>
    <t>31035280009</t>
  </si>
  <si>
    <t>9785170703913</t>
  </si>
  <si>
    <t>794881259</t>
  </si>
  <si>
    <t>PG3493.38 U246 S29 2012</t>
  </si>
  <si>
    <t>0                      PG 3493380U  246                S  29          2012</t>
  </si>
  <si>
    <t>Sazhaĭte, i vyrastet : roman / Andreĭ Rubanov.</t>
  </si>
  <si>
    <t>Moskva : Astrelʹ, [2012]</t>
  </si>
  <si>
    <t>234639430:rus</t>
  </si>
  <si>
    <t>812481949</t>
  </si>
  <si>
    <t>ocn812481949</t>
  </si>
  <si>
    <t>3103512127V</t>
  </si>
  <si>
    <t>9785271440267</t>
  </si>
  <si>
    <t>794930977</t>
  </si>
  <si>
    <t>PG3493.38 U246 S794 2012</t>
  </si>
  <si>
    <t>0                      PG 3493380U  246                S  794         2012</t>
  </si>
  <si>
    <t>Stydnye podvigi : [rasskazy] / Andreĭ Rubanov.</t>
  </si>
  <si>
    <t>Moskva : "Astrelʹ", 2012.</t>
  </si>
  <si>
    <t>3861457857:rus</t>
  </si>
  <si>
    <t>795998947</t>
  </si>
  <si>
    <t>ocn795998947</t>
  </si>
  <si>
    <t>3103482600S</t>
  </si>
  <si>
    <t>9785271415739</t>
  </si>
  <si>
    <t>794921936</t>
  </si>
  <si>
    <t>PG3493.38 U246 Z55 2010</t>
  </si>
  <si>
    <t>0                      PG 3493380U  246                Z  55          2010</t>
  </si>
  <si>
    <t>Zhiznʹ udalasʹ : roman / Andreĭ Rubanov.</t>
  </si>
  <si>
    <t>4494894226:rus</t>
  </si>
  <si>
    <t>703356812</t>
  </si>
  <si>
    <t>ocn703356812</t>
  </si>
  <si>
    <t>3103512142R</t>
  </si>
  <si>
    <t>9785170691142</t>
  </si>
  <si>
    <t>794864823</t>
  </si>
  <si>
    <t>PG3493.42 D85 B53 2010</t>
  </si>
  <si>
    <t>0                      PG 3493420D  85                 B  53          2010</t>
  </si>
  <si>
    <t>Bich Bozhiĭ : partizanskie rasskazy / German Sadulaev.</t>
  </si>
  <si>
    <t>Sadulaev, German.</t>
  </si>
  <si>
    <t>3860894794:rus</t>
  </si>
  <si>
    <t>664360046</t>
  </si>
  <si>
    <t>ocn664360046</t>
  </si>
  <si>
    <t>3103393177Q</t>
  </si>
  <si>
    <t>9785911030704</t>
  </si>
  <si>
    <t>794843468</t>
  </si>
  <si>
    <t>PG3493.42 D85 I18513 2011</t>
  </si>
  <si>
    <t>0                      PG 3493420D  85                 I  18513       2011</t>
  </si>
  <si>
    <t>I am a Chechen / German Sadulaev ; translated from the Russian by Anna Gunin.</t>
  </si>
  <si>
    <t>London : Vintage Books, 2011.</t>
  </si>
  <si>
    <t>2261377843:eng</t>
  </si>
  <si>
    <t>824534623</t>
  </si>
  <si>
    <t>ocn824534623</t>
  </si>
  <si>
    <t>3103530642A</t>
  </si>
  <si>
    <t>9780099532354</t>
  </si>
  <si>
    <t>794937905</t>
  </si>
  <si>
    <t>PG3493.42 D85 S53 2010</t>
  </si>
  <si>
    <t>0                      PG 3493420D  85                 S  53          2010</t>
  </si>
  <si>
    <t>Shalinskiĭ reĭd : roman / German Sadulaev.</t>
  </si>
  <si>
    <t>891627849:rus</t>
  </si>
  <si>
    <t>697778599</t>
  </si>
  <si>
    <t>ocn697778599</t>
  </si>
  <si>
    <t>3103393241T</t>
  </si>
  <si>
    <t>9785911031046</t>
  </si>
  <si>
    <t>794860321</t>
  </si>
  <si>
    <t>PG3493.42 D85 T3313 2013</t>
  </si>
  <si>
    <t>0                      PG 3493420D  85                 T  3313        2013</t>
  </si>
  <si>
    <t>The Maya pill / German Sadulaev ; Translated and with an afterword by Carol Apollonio.</t>
  </si>
  <si>
    <t>Sadulaev, German, author.</t>
  </si>
  <si>
    <t>Champaign : Dalkey Archive Press, 2013.</t>
  </si>
  <si>
    <t>1436829485:eng</t>
  </si>
  <si>
    <t>857664267</t>
  </si>
  <si>
    <t>ocn857664267</t>
  </si>
  <si>
    <t>31035289803</t>
  </si>
  <si>
    <t>9781564789068</t>
  </si>
  <si>
    <t>794955233</t>
  </si>
  <si>
    <t>PG3493.42 D85 Z47 2013</t>
  </si>
  <si>
    <t>0                      PG 3493420D  85                 Z  47          2013</t>
  </si>
  <si>
    <t>Zerkalo atmy : sbornik / German Sadulaev.</t>
  </si>
  <si>
    <t>Moskva : Sovremennai︠a︡ literatura, 2013.</t>
  </si>
  <si>
    <t>Novai︠a︡ malai︠a︡ proza</t>
  </si>
  <si>
    <t>3854689818:rus</t>
  </si>
  <si>
    <t>913581532</t>
  </si>
  <si>
    <t>ocn913581532</t>
  </si>
  <si>
    <t>3103638886K</t>
  </si>
  <si>
    <t>9785906665010</t>
  </si>
  <si>
    <t>794999496</t>
  </si>
  <si>
    <t>PG3493.42 I26 A6 2017b</t>
  </si>
  <si>
    <t>0                      PG 3493420I  26                 A  6           2017b</t>
  </si>
  <si>
    <t>Mnogolikai︠a︡ li︠u︡bovʹ ili indikator schasti︠a︡ : stikhotvorenii︠a︡ / Nadezhda Sai︠a︡pina.</t>
  </si>
  <si>
    <t>Sai︠a︡pina, Nadezhda, author.</t>
  </si>
  <si>
    <t>4524764531:rus</t>
  </si>
  <si>
    <t>1005078856</t>
  </si>
  <si>
    <t>on1005078856</t>
  </si>
  <si>
    <t>3103759796Y</t>
  </si>
  <si>
    <t>9785990993433</t>
  </si>
  <si>
    <t>795042342</t>
  </si>
  <si>
    <t>PG3493.42 L65 O66 2019</t>
  </si>
  <si>
    <t>0                      PG 3493420L  65                 O  66          2019</t>
  </si>
  <si>
    <t>Oposredovanno : roman / Alekseĭ Salʹnikov.</t>
  </si>
  <si>
    <t>Salʹnikov, Alekseĭ, 1978- author.</t>
  </si>
  <si>
    <t>Moskva : Redakt︠s︡ii︠a︡ Eleny Shubinoĭ : Izdatelʹstvo AST, [2019]</t>
  </si>
  <si>
    <t>Klassnoe chtenie</t>
  </si>
  <si>
    <t>9120411261:rus</t>
  </si>
  <si>
    <t>1098239249</t>
  </si>
  <si>
    <t>on1098239249</t>
  </si>
  <si>
    <t>3103880280F</t>
  </si>
  <si>
    <t>9785171133993</t>
  </si>
  <si>
    <t>795080996</t>
  </si>
  <si>
    <t>PG3493.42 M784 Z44 2015</t>
  </si>
  <si>
    <t>0                      PG 3493420M  784                Z  44          2015</t>
  </si>
  <si>
    <t>Zheleznai︠a︡ kostʹ / Sergeĭ Samsonov.</t>
  </si>
  <si>
    <t>Samsonov, Sergeĭ, author.</t>
  </si>
  <si>
    <t>2465823804:rus</t>
  </si>
  <si>
    <t>904799947</t>
  </si>
  <si>
    <t>ocn904799947</t>
  </si>
  <si>
    <t>3103699132U</t>
  </si>
  <si>
    <t>9785386080136</t>
  </si>
  <si>
    <t>794990793</t>
  </si>
  <si>
    <t>PG3493.42 V45 T4713 2013</t>
  </si>
  <si>
    <t>0                      PG 3493420V  45                 T  4713        2013</t>
  </si>
  <si>
    <t>Mission to Mars : a novel / Igor Savelyev ; translated by Amanda Love Darragh.</t>
  </si>
  <si>
    <t>[Moscow] : Glas, 2013.</t>
  </si>
  <si>
    <t>Glas new Russian writing ; volume 59</t>
  </si>
  <si>
    <t>1182029284:eng</t>
  </si>
  <si>
    <t>828483937</t>
  </si>
  <si>
    <t>ocn828483937</t>
  </si>
  <si>
    <t>3103505158I</t>
  </si>
  <si>
    <t>9785717201216</t>
  </si>
  <si>
    <t>794941267</t>
  </si>
  <si>
    <t>PG3493.44 E63 A27 2010</t>
  </si>
  <si>
    <t>0                      PG 3493440E  63                 A  27          2010</t>
  </si>
  <si>
    <t>Absoli︠u︡tnoe solo / Roman Senchin.</t>
  </si>
  <si>
    <t>Senchin, Roman, 1971-</t>
  </si>
  <si>
    <t>687544725:rus</t>
  </si>
  <si>
    <t>671644043</t>
  </si>
  <si>
    <t>ocn671644043</t>
  </si>
  <si>
    <t>3103473417X</t>
  </si>
  <si>
    <t>9785699443697</t>
  </si>
  <si>
    <t>794848906</t>
  </si>
  <si>
    <t>PG3493.44 E63 A6 2017b</t>
  </si>
  <si>
    <t>0                      PG 3493440E  63                 A  6           2017b</t>
  </si>
  <si>
    <t>Sryv : proza zhizni / Roman Senchin.</t>
  </si>
  <si>
    <t>Senchin, Roman, 1971- author.</t>
  </si>
  <si>
    <t>4477521190:rus</t>
  </si>
  <si>
    <t>1003132501</t>
  </si>
  <si>
    <t>on1003132501</t>
  </si>
  <si>
    <t>3103759801U</t>
  </si>
  <si>
    <t>9785171004422</t>
  </si>
  <si>
    <t>795041349</t>
  </si>
  <si>
    <t>PG3493.44 E63 C44 2013</t>
  </si>
  <si>
    <t>0                      PG 3493440E  63                 C  44          2013</t>
  </si>
  <si>
    <t>Chego vy khotite? : povesti / Roman Senchin.</t>
  </si>
  <si>
    <t>Sovremennyĭ raznochinet︠s︡. Proza Romana Senchina</t>
  </si>
  <si>
    <t>1417302686:rus</t>
  </si>
  <si>
    <t>863171312</t>
  </si>
  <si>
    <t>ocn863171312</t>
  </si>
  <si>
    <t>3103759984X</t>
  </si>
  <si>
    <t>9785699628605</t>
  </si>
  <si>
    <t>794960987</t>
  </si>
  <si>
    <t>3103199529C</t>
  </si>
  <si>
    <t>794960986</t>
  </si>
  <si>
    <t>PG3493.44 E63 D68 2018</t>
  </si>
  <si>
    <t>0                      PG 3493440E  63                 D  68          2018</t>
  </si>
  <si>
    <t>Dozhdʹ v Parizhe : roman / Roman Senchin.</t>
  </si>
  <si>
    <t>Moskva : Izdatelʹstvo AST : Redakt︠s︡ii︠a︡ Eleny Shubinoĭ, 2018.</t>
  </si>
  <si>
    <t>5367688146:rus</t>
  </si>
  <si>
    <t>1043760769</t>
  </si>
  <si>
    <t>on1043760769</t>
  </si>
  <si>
    <t>3103859409N</t>
  </si>
  <si>
    <t>9785171076085</t>
  </si>
  <si>
    <t>795059778</t>
  </si>
  <si>
    <t>PG3493.44 E63 E48 2010</t>
  </si>
  <si>
    <t>0                      PG 3493440E  63                 E  48          2010</t>
  </si>
  <si>
    <t>Eltyshevy / Roman Senchin.</t>
  </si>
  <si>
    <t>(rec'd 2010 ed.)</t>
  </si>
  <si>
    <t>Proza zhizni. Luchshie sovremennye avtory</t>
  </si>
  <si>
    <t>2012-01-13</t>
  </si>
  <si>
    <t>774015088:rus</t>
  </si>
  <si>
    <t>469762099</t>
  </si>
  <si>
    <t>ocn469762099</t>
  </si>
  <si>
    <t>3103294913G</t>
  </si>
  <si>
    <t>9785699357383</t>
  </si>
  <si>
    <t>794796002</t>
  </si>
  <si>
    <t>PG3493.44 E63 I39 2010</t>
  </si>
  <si>
    <t>0                      PG 3493440E  63                 I  39          2010</t>
  </si>
  <si>
    <t>Idzhim / Roman Senchin.</t>
  </si>
  <si>
    <t>2013-04-05</t>
  </si>
  <si>
    <t>1036204604:rus</t>
  </si>
  <si>
    <t>641957643</t>
  </si>
  <si>
    <t>ocn641957643</t>
  </si>
  <si>
    <t>3103473419X</t>
  </si>
  <si>
    <t>9785699417605</t>
  </si>
  <si>
    <t>794827813</t>
  </si>
  <si>
    <t>PG3493.44 E63 I54 2011</t>
  </si>
  <si>
    <t>0                      PG 3493440E  63                 I  54          2011</t>
  </si>
  <si>
    <t>Informat︠s︡ii︠a︡ / Roman Senchin.</t>
  </si>
  <si>
    <t>4020892387:rus</t>
  </si>
  <si>
    <t>773879707</t>
  </si>
  <si>
    <t>ocn773879707</t>
  </si>
  <si>
    <t>3103473487J</t>
  </si>
  <si>
    <t>9785699532056</t>
  </si>
  <si>
    <t>794906059</t>
  </si>
  <si>
    <t>PG3493.44 E63 I96 2010</t>
  </si>
  <si>
    <t>0                      PG 3493440E  63                 I  96          2010</t>
  </si>
  <si>
    <t>Izobilie / Roman Senchin.</t>
  </si>
  <si>
    <t>Sankt-Peterburg : KoLibri, 2010.</t>
  </si>
  <si>
    <t>793026997:rus</t>
  </si>
  <si>
    <t>704058244</t>
  </si>
  <si>
    <t>ocn704058244</t>
  </si>
  <si>
    <t>3103473515U</t>
  </si>
  <si>
    <t>9785389013704</t>
  </si>
  <si>
    <t>794865239</t>
  </si>
  <si>
    <t>PG3493.44 E63 L43 2010</t>
  </si>
  <si>
    <t>0                      PG 3493440E  63                 L  43          2010</t>
  </si>
  <si>
    <t>Led pod nogami : dnevnik odnogo provint︠s︡iala / Roman Senchin.</t>
  </si>
  <si>
    <t>Moskva : Olimp : Astrelʹ, 2010.</t>
  </si>
  <si>
    <t>2012-07-31</t>
  </si>
  <si>
    <t>3860894800:rus</t>
  </si>
  <si>
    <t>664367111</t>
  </si>
  <si>
    <t>ocn664367111</t>
  </si>
  <si>
    <t>3103425339C</t>
  </si>
  <si>
    <t>9785271203091</t>
  </si>
  <si>
    <t>794843476</t>
  </si>
  <si>
    <t>PG3493.44 E63 M56 2011</t>
  </si>
  <si>
    <t>0                      PG 3493440E  63                 M  56          2011</t>
  </si>
  <si>
    <t>Minus : povesti / Roman Senchin.</t>
  </si>
  <si>
    <t>10141545783:rus</t>
  </si>
  <si>
    <t>746463945</t>
  </si>
  <si>
    <t>ocn746463945</t>
  </si>
  <si>
    <t>3103473420V</t>
  </si>
  <si>
    <t>9785170737284</t>
  </si>
  <si>
    <t>794887173</t>
  </si>
  <si>
    <t>PG3493.44 E63 N33 2011</t>
  </si>
  <si>
    <t>0                      PG 3493440E  63                 N  33          2011</t>
  </si>
  <si>
    <t>Na chernoĭ lestnit︠s︡e : rasskazy / Roman Senchin.</t>
  </si>
  <si>
    <t>3861411140:rus</t>
  </si>
  <si>
    <t>759522920</t>
  </si>
  <si>
    <t>ocn759522920</t>
  </si>
  <si>
    <t>3103473482J</t>
  </si>
  <si>
    <t>9785170751501</t>
  </si>
  <si>
    <t>794897472</t>
  </si>
  <si>
    <t>PG3493.44 E63 N36 2016</t>
  </si>
  <si>
    <t>0                      PG 3493440E  63                 N  36          2016</t>
  </si>
  <si>
    <t>Napri︠a︡mik : sbornik rasskazov / Roman Senchin.</t>
  </si>
  <si>
    <t>Znak kachestva</t>
  </si>
  <si>
    <t>2994429193:rus</t>
  </si>
  <si>
    <t>948427739</t>
  </si>
  <si>
    <t>ocn948427739</t>
  </si>
  <si>
    <t>3103699146J</t>
  </si>
  <si>
    <t>9785699871421</t>
  </si>
  <si>
    <t>795015494</t>
  </si>
  <si>
    <t>PG3493.44 E63 V62 2014</t>
  </si>
  <si>
    <t>0                      PG 3493440E  63                 V  62          2014</t>
  </si>
  <si>
    <t>V obratnui︠u︡ storonu / Roman Senchin.</t>
  </si>
  <si>
    <t>Sovremennyĭ raznochinet︠s︡, proza Romana Senchina</t>
  </si>
  <si>
    <t>1872730180:rus</t>
  </si>
  <si>
    <t>878039888</t>
  </si>
  <si>
    <t>ocn878039888</t>
  </si>
  <si>
    <t>3103557147O</t>
  </si>
  <si>
    <t>9785699703401</t>
  </si>
  <si>
    <t>794971207</t>
  </si>
  <si>
    <t>PG3493.44 E63 Z66 2015</t>
  </si>
  <si>
    <t>0                      PG 3493440E  63                 Z  66          2015</t>
  </si>
  <si>
    <t>Zona zatoplenii︠a︡ : Roman / Roman Senchin.</t>
  </si>
  <si>
    <t>Proza Romana Senchina</t>
  </si>
  <si>
    <t>9415388423:rus</t>
  </si>
  <si>
    <t>911140824</t>
  </si>
  <si>
    <t>ocn911140824</t>
  </si>
  <si>
    <t>3103632488P</t>
  </si>
  <si>
    <t>9785170894826</t>
  </si>
  <si>
    <t>794998105</t>
  </si>
  <si>
    <t>PG3493.44 E76 Z39 2017</t>
  </si>
  <si>
    <t>0                      PG 3493440E  76                 Z  39          2017</t>
  </si>
  <si>
    <t>Zhiznʹ ne tak korotka / Alekseĭ Serov.</t>
  </si>
  <si>
    <t>Serov, Alekseĭ (Alekseĭ Anatolʹevich), author.</t>
  </si>
  <si>
    <t>Moskva : Ė, 2017.</t>
  </si>
  <si>
    <t>Chestnai︠a︡ proza</t>
  </si>
  <si>
    <t>4705788033:rus</t>
  </si>
  <si>
    <t>1017738130</t>
  </si>
  <si>
    <t>on1017738130</t>
  </si>
  <si>
    <t>3103766112P</t>
  </si>
  <si>
    <t>9785699990078</t>
  </si>
  <si>
    <t>795048749</t>
  </si>
  <si>
    <t>PG3493.46 C484 T75 2011</t>
  </si>
  <si>
    <t>0                      PG 3493460C  484                T  75          2011</t>
  </si>
  <si>
    <t>Tri zhelanii︠a︡ / Galina Shcherbova.</t>
  </si>
  <si>
    <t>Shcherbova, Galina.</t>
  </si>
  <si>
    <t>Moskva : Krugʺ, 2011.</t>
  </si>
  <si>
    <t>116523068:rus</t>
  </si>
  <si>
    <t>714294814</t>
  </si>
  <si>
    <t>ocn714294814</t>
  </si>
  <si>
    <t>31034797042</t>
  </si>
  <si>
    <t>9785739601889</t>
  </si>
  <si>
    <t>794873368</t>
  </si>
  <si>
    <t>PG3493.46 E75 P63 2012</t>
  </si>
  <si>
    <t>0                      PG 3493460E  75                 P  63          2012</t>
  </si>
  <si>
    <t>Podzemnyĭ korablʹ : roman / Ekaterina Sherga.</t>
  </si>
  <si>
    <t>Sherga, Ekaterina.</t>
  </si>
  <si>
    <t>Moskva : Kli︠u︡ch-S, 2012.</t>
  </si>
  <si>
    <t>1101556324:rus</t>
  </si>
  <si>
    <t>785986514</t>
  </si>
  <si>
    <t>ocn785986514</t>
  </si>
  <si>
    <t>3103536092V</t>
  </si>
  <si>
    <t>9785931361697</t>
  </si>
  <si>
    <t>794915731</t>
  </si>
  <si>
    <t>PG3493.46 O86 G37 2019</t>
  </si>
  <si>
    <t>0                      PG 3493460O  86                 G  37          2019</t>
  </si>
  <si>
    <t>Garazh / Irina Shostakovskai︠a︡.</t>
  </si>
  <si>
    <t>Shostakovskai︠a︡, Irina, author.</t>
  </si>
  <si>
    <t>Moskva : Novoe literaturnoe obozrenie, 2019.</t>
  </si>
  <si>
    <t>NVP. Novai︠a︡ poėzii︠a︡</t>
  </si>
  <si>
    <t>9977619044:rus</t>
  </si>
  <si>
    <t>1119143153</t>
  </si>
  <si>
    <t>on1119143153</t>
  </si>
  <si>
    <t>31038802839</t>
  </si>
  <si>
    <t>9785444811153</t>
  </si>
  <si>
    <t>795084846</t>
  </si>
  <si>
    <t>PG3493.46 U45 M89 2013</t>
  </si>
  <si>
    <t>0                      PG 3493460U  45                 M  89          2013</t>
  </si>
  <si>
    <t>Muzeĭ imeni Dante / Gleb Shulʹpi︠a︡kov.</t>
  </si>
  <si>
    <t>Shulʹpi︠a︡kov, Gleb, author.</t>
  </si>
  <si>
    <t>1409111042:rus</t>
  </si>
  <si>
    <t>861013229</t>
  </si>
  <si>
    <t>ocn861013229</t>
  </si>
  <si>
    <t>3103557239N</t>
  </si>
  <si>
    <t>9785699659814</t>
  </si>
  <si>
    <t>794958679</t>
  </si>
  <si>
    <t>PG3493.48 N45 K35 2015</t>
  </si>
  <si>
    <t>0                      PG 3493480N  45                 K  35          2015</t>
  </si>
  <si>
    <t>Kak zhe eë zvali?. / Aleksandr Snegirëv.</t>
  </si>
  <si>
    <t>Snegirev, Aleksandr, author.</t>
  </si>
  <si>
    <t>Aleksandr Snegirev: proza o li︠u︡bvi i boli</t>
  </si>
  <si>
    <t>2902300305:rus</t>
  </si>
  <si>
    <t>935547079</t>
  </si>
  <si>
    <t>ocn935547079</t>
  </si>
  <si>
    <t>3103641569O</t>
  </si>
  <si>
    <t>9785699841103</t>
  </si>
  <si>
    <t>795010099</t>
  </si>
  <si>
    <t>PG3493.48 N45 N4413 2012</t>
  </si>
  <si>
    <t>0                      PG 3493480N  45                 N  4413        2012</t>
  </si>
  <si>
    <t>Petroleum Venus : a novel / Alexander Snegirev ; translated by Arch Tait.</t>
  </si>
  <si>
    <t>Glas new Russian writing, contemporary Russian literature in English translation ; v. 56</t>
  </si>
  <si>
    <t>1098219124:eng</t>
  </si>
  <si>
    <t>783153131</t>
  </si>
  <si>
    <t>ocn783153131</t>
  </si>
  <si>
    <t>31034553161</t>
  </si>
  <si>
    <t>9785717200967</t>
  </si>
  <si>
    <t>794913957</t>
  </si>
  <si>
    <t>PG3493.48 P574 N54 2009</t>
  </si>
  <si>
    <t>0                      PG 3493480P  574                N  54          2009</t>
  </si>
  <si>
    <t>Nichego serʹeznogo / Spirina I︠U︡lii︠a︡.</t>
  </si>
  <si>
    <t>Spirina, I︠U︡lii︠a︡.</t>
  </si>
  <si>
    <t>Moskva : Maska, 2009.</t>
  </si>
  <si>
    <t>315132410:rus</t>
  </si>
  <si>
    <t>427679468</t>
  </si>
  <si>
    <t>ocn427679468</t>
  </si>
  <si>
    <t>31032519465</t>
  </si>
  <si>
    <t>9785911463038</t>
  </si>
  <si>
    <t>794696600</t>
  </si>
  <si>
    <t>PG3493.48 T369 Z4513 2012</t>
  </si>
  <si>
    <t>0                      PG 3493480T  369                Z  4513        2012</t>
  </si>
  <si>
    <t>The living / Anna Starobinets ; translated by James Rann.</t>
  </si>
  <si>
    <t>Starobinets, Anna.</t>
  </si>
  <si>
    <t>London : Hesperus, 2012.</t>
  </si>
  <si>
    <t>1112015057:eng</t>
  </si>
  <si>
    <t>823688969</t>
  </si>
  <si>
    <t>ocn823688969</t>
  </si>
  <si>
    <t>3103723934M</t>
  </si>
  <si>
    <t>9781843913771</t>
  </si>
  <si>
    <t>794937293</t>
  </si>
  <si>
    <t>PG3493.48 T45 Z54 2014</t>
  </si>
  <si>
    <t>0                      PG 3493480T  45                 Z  54          2014</t>
  </si>
  <si>
    <t>Zhenshchina v sosedneĭ komnate : ochenʹ korotkie rasskazy / Evgeniĭ Stepanov.</t>
  </si>
  <si>
    <t>Stepanov, Evgeniĭ, 1964- author.</t>
  </si>
  <si>
    <t>Moskva : "Vest-Konsalting", 2014.</t>
  </si>
  <si>
    <t>8912581272:rus</t>
  </si>
  <si>
    <t>879381086</t>
  </si>
  <si>
    <t>ocn879381086</t>
  </si>
  <si>
    <t>3103568071C</t>
  </si>
  <si>
    <t>9785918652756</t>
  </si>
  <si>
    <t>794972042</t>
  </si>
  <si>
    <t>PG3493.48 T495 B34 2014</t>
  </si>
  <si>
    <t>0                      PG 3493480T  495                B  34          2014</t>
  </si>
  <si>
    <t>Bezbozhnyĭ pereulok : roman / Marina Stepnova.</t>
  </si>
  <si>
    <t>Stepnova, M. (Marina), author.</t>
  </si>
  <si>
    <t>Proza Mariny Stepnovoĭ</t>
  </si>
  <si>
    <t>3772086819:rus</t>
  </si>
  <si>
    <t>889407205</t>
  </si>
  <si>
    <t>ocn889407205</t>
  </si>
  <si>
    <t>31035856580</t>
  </si>
  <si>
    <t>9785170869589</t>
  </si>
  <si>
    <t>794978372</t>
  </si>
  <si>
    <t>PG3493.48 T495 Z24 2012</t>
  </si>
  <si>
    <t>0                      PG 3493480T  495                Z  24          2012</t>
  </si>
  <si>
    <t>Zhenshchiny Lazari︠a︡ : roman / Marina Stepnova.</t>
  </si>
  <si>
    <t>Stepnova, M. (Marina)</t>
  </si>
  <si>
    <t>Moskva : AST : Astrelʹ, ©2012.</t>
  </si>
  <si>
    <t>1112910191:rus</t>
  </si>
  <si>
    <t>812411735</t>
  </si>
  <si>
    <t>ocn812411735</t>
  </si>
  <si>
    <t>31034872678</t>
  </si>
  <si>
    <t>9785170747153</t>
  </si>
  <si>
    <t>794930953</t>
  </si>
  <si>
    <t>PG3493.48 U443 A6 2017</t>
  </si>
  <si>
    <t>0                      PG 3493480U  443                A  6           2017</t>
  </si>
  <si>
    <t>Dvoǐnai︠a︡ sploshnai︠a︡ : stikhi / Olʹga Sukhanova.</t>
  </si>
  <si>
    <t>Sukhanova, Olʹga, author.</t>
  </si>
  <si>
    <t>Moskva : Izdatelʹstvo Rossiǐskogo soi︠u︡za pisateleĭ, 2017.</t>
  </si>
  <si>
    <t>Laureaty nat︠s︡ionalʹnoĭ literaturnoĭ premii "Poėt goda"</t>
  </si>
  <si>
    <t>4526803506:rus</t>
  </si>
  <si>
    <t>1005141632</t>
  </si>
  <si>
    <t>on1005141632</t>
  </si>
  <si>
    <t>3103759809E</t>
  </si>
  <si>
    <t>9785906826367</t>
  </si>
  <si>
    <t>795042468</t>
  </si>
  <si>
    <t>PG3493.48 U483 N43 2017</t>
  </si>
  <si>
    <t>0                      PG 3493480U  483                N  43          2017</t>
  </si>
  <si>
    <t>Nebesnyĭ post : rasskazy / Marina Sultanova ; Alëna Kuznet︠s︡ova, illi︠u︡strat︠s︡ii.</t>
  </si>
  <si>
    <t>Sultanova, Marina, author.</t>
  </si>
  <si>
    <t>Moskva : IPO "U Nikitskikh vorot", 2017.</t>
  </si>
  <si>
    <t>Zhenskai︠a︡ proza XXI veka</t>
  </si>
  <si>
    <t>4666877121:rus</t>
  </si>
  <si>
    <t>1015211052</t>
  </si>
  <si>
    <t>on1015211052</t>
  </si>
  <si>
    <t>3103760614V</t>
  </si>
  <si>
    <t>9785000953815</t>
  </si>
  <si>
    <t>795047801</t>
  </si>
  <si>
    <t>PG3493.5 A37 D78 2014</t>
  </si>
  <si>
    <t>0                      PG 3493500A  37                 D  78          2014</t>
  </si>
  <si>
    <t>Drug best︠s︡ennyĭ : Chetyre istorii o li︠u︡bvi / Elena Takho-Godi.</t>
  </si>
  <si>
    <t>Takho-Godi, E. A., author.</t>
  </si>
  <si>
    <t>Moskva : Vodoleĭ, 2014.</t>
  </si>
  <si>
    <t>2015-03-12</t>
  </si>
  <si>
    <t>2079378845:rus</t>
  </si>
  <si>
    <t>891146055</t>
  </si>
  <si>
    <t>ocn891146055</t>
  </si>
  <si>
    <t>3103200236K</t>
  </si>
  <si>
    <t>9785917632032</t>
  </si>
  <si>
    <t>794979951</t>
  </si>
  <si>
    <t>PG3493.5 O84 A44 2010</t>
  </si>
  <si>
    <t>0                      PG 3493500O  84                 A  44          2010</t>
  </si>
  <si>
    <t>Amerikanskai︠a︡ istorii︠a︡ / Anatoliĭ Toss.</t>
  </si>
  <si>
    <t>Toss, Anatoliĭ.</t>
  </si>
  <si>
    <t>10424901:rus</t>
  </si>
  <si>
    <t>316324628</t>
  </si>
  <si>
    <t>ocn316324628</t>
  </si>
  <si>
    <t>3103473480J</t>
  </si>
  <si>
    <t>9785170512966</t>
  </si>
  <si>
    <t>794448519</t>
  </si>
  <si>
    <t>PG3493.74 A3 S6413 2013</t>
  </si>
  <si>
    <t>0                      PG 3493740A  3                  S  6413        2013</t>
  </si>
  <si>
    <t>Snow Germans / Dmitry Vachedin ; translated by Arch Tait.</t>
  </si>
  <si>
    <t>Vachedin, Dmitriĭ, author.</t>
  </si>
  <si>
    <t>Moscow : Glas, 2013.</t>
  </si>
  <si>
    <t>Glas new Russian writing, contemporary Russian literature in English translation ; v. 57</t>
  </si>
  <si>
    <t>1256253270:eng</t>
  </si>
  <si>
    <t>812258552</t>
  </si>
  <si>
    <t>ocn812258552</t>
  </si>
  <si>
    <t>3103497493S</t>
  </si>
  <si>
    <t>9785717200974</t>
  </si>
  <si>
    <t>794930885</t>
  </si>
  <si>
    <t>PG3493.74 A36 K76 2018</t>
  </si>
  <si>
    <t>0                      PG 3493740A  36                 K  76          2018</t>
  </si>
  <si>
    <t>Kto ne spri︠a︡talsi︠a︡ : istorii︠a︡ odnoĭ kompanii / I︠A︡na Vagner.</t>
  </si>
  <si>
    <t>Vagner, I︠A︡na, author.</t>
  </si>
  <si>
    <t>Moskva : Izdatelʹstvo AST : Redakt︠s︡ii︠a︡ Eleny Shubinoĭ, [2018]</t>
  </si>
  <si>
    <t>5311704843:rus</t>
  </si>
  <si>
    <t>1019631354</t>
  </si>
  <si>
    <t>on1019631354</t>
  </si>
  <si>
    <t>3103879974H</t>
  </si>
  <si>
    <t>9785179826811</t>
  </si>
  <si>
    <t>795049249</t>
  </si>
  <si>
    <t>PG3493.74 I57 A6 2016</t>
  </si>
  <si>
    <t>0                      PG 3493740I  57                 A  6           2016</t>
  </si>
  <si>
    <t>Sneg v Gefsimanskom sadu : povesti i malenʹkai︠a︡ pʹeska / I︠U︡lii︠a︡ Viner.</t>
  </si>
  <si>
    <t>Viner, I︠U︡lii︠a︡, author.</t>
  </si>
  <si>
    <t>KhS</t>
  </si>
  <si>
    <t>4429660119:rus</t>
  </si>
  <si>
    <t>960263629</t>
  </si>
  <si>
    <t>ocn960263629</t>
  </si>
  <si>
    <t>3103760370X</t>
  </si>
  <si>
    <t>9785444805459</t>
  </si>
  <si>
    <t>795023070</t>
  </si>
  <si>
    <t>PG3493.74 I855 T75 2017</t>
  </si>
  <si>
    <t>0                      PG 3493740I  855                T  75          2017</t>
  </si>
  <si>
    <t>Tri knigi pro li︠u︡bovʹ : povesti i rasskazy / Irina Vitkovskai︠a︡.</t>
  </si>
  <si>
    <t>Vitkovskai︠a︡, Irina, author.</t>
  </si>
  <si>
    <t>Serii︠a︡ "Vremi︠a︡" chitatʹ!</t>
  </si>
  <si>
    <t>4656682978:rus</t>
  </si>
  <si>
    <t>1015964978</t>
  </si>
  <si>
    <t>on1015964978</t>
  </si>
  <si>
    <t>3103765941S</t>
  </si>
  <si>
    <t>9785969116542</t>
  </si>
  <si>
    <t>795048245</t>
  </si>
  <si>
    <t>PG3493.74 I856 A6 2017</t>
  </si>
  <si>
    <t>0                      PG 3493740I  856                A  6           2017</t>
  </si>
  <si>
    <t>Odin ryzhiĭ, odin zelënyĭ : povesti i rasskazy / I. V. Vitkovskai︠a︡.</t>
  </si>
  <si>
    <t>Vitkovskai︠a︡, Irina, 1959- author.</t>
  </si>
  <si>
    <t>4724795279:rus</t>
  </si>
  <si>
    <t>1019847140</t>
  </si>
  <si>
    <t>on1019847140</t>
  </si>
  <si>
    <t>3103879981K</t>
  </si>
  <si>
    <t>9785969115262</t>
  </si>
  <si>
    <t>795049960</t>
  </si>
  <si>
    <t>PG3493.76 D65 A95 2016</t>
  </si>
  <si>
    <t>0                      PG 3493760D  65                 A  95          2016</t>
  </si>
  <si>
    <t>Aviator : roman / Evgeniĭ Vodolazkin.</t>
  </si>
  <si>
    <t>Vodolazkin, E. G., author.</t>
  </si>
  <si>
    <t>3875671990:rus</t>
  </si>
  <si>
    <t>950003433</t>
  </si>
  <si>
    <t>ocn950003433</t>
  </si>
  <si>
    <t>31036593701</t>
  </si>
  <si>
    <t>9785170966554</t>
  </si>
  <si>
    <t>795016492</t>
  </si>
  <si>
    <t>PG3493.76 D65 L38 2012</t>
  </si>
  <si>
    <t>0                      PG 3493760D  65                 L  38          2012</t>
  </si>
  <si>
    <t>Lavr : roman / Evgeniĭ Vodolazkin.</t>
  </si>
  <si>
    <t>Vodolazkin, E. G.</t>
  </si>
  <si>
    <t>Redakt︠s︡ii︠a︡ Eleny Shubinoĭ</t>
  </si>
  <si>
    <t>1748649820:rus</t>
  </si>
  <si>
    <t>823894812</t>
  </si>
  <si>
    <t>ocn823894812</t>
  </si>
  <si>
    <t>31035270563</t>
  </si>
  <si>
    <t>9785271453854</t>
  </si>
  <si>
    <t>794937465</t>
  </si>
  <si>
    <t>PG3493.76 D65 L3813 2015</t>
  </si>
  <si>
    <t>0                      PG 3493760D  65                 L  3813        2015</t>
  </si>
  <si>
    <t>Laurus / Eugene Vodolazkin ; translated from the Russian by Lisa C. Hayden.</t>
  </si>
  <si>
    <t>London, England : Oneworld, 2015.</t>
  </si>
  <si>
    <t>1748649820:eng</t>
  </si>
  <si>
    <t>902657542</t>
  </si>
  <si>
    <t>ocn902657542</t>
  </si>
  <si>
    <t>31036533144</t>
  </si>
  <si>
    <t>9781780747552</t>
  </si>
  <si>
    <t>794988346</t>
  </si>
  <si>
    <t>PG3493.76 D65 S68 2014</t>
  </si>
  <si>
    <t>0                      PG 3493760D  65                 S  68          2014</t>
  </si>
  <si>
    <t>Sovsem drugoe vremi︠a︡ : roman, povestʹ, rasskazy / Evgeniĭ Vodolazkin.</t>
  </si>
  <si>
    <t>Proza Evgenii︠a︡ Vodolazkina</t>
  </si>
  <si>
    <t>1821777343:rus</t>
  </si>
  <si>
    <t>874769509</t>
  </si>
  <si>
    <t>ocn874769509</t>
  </si>
  <si>
    <t>31031993826</t>
  </si>
  <si>
    <t>9785170818600</t>
  </si>
  <si>
    <t>794969015</t>
  </si>
  <si>
    <t>PG3493.76 L6494 O28 2015</t>
  </si>
  <si>
    <t>0                      PG 3493760L  6494               O  28          2015</t>
  </si>
  <si>
    <t>O vozli︠u︡blenii blizhnikh i dalʹnikh / Natalʹi︠a︡ Volnistai︠a︡ ; oformlenie oblozhki i illi︠u︡strat︠s︡ii, I︠U︡lii︠a︡ Mezhova.</t>
  </si>
  <si>
    <t>Volnistai︠a︡, Natalʹi︠a︡, author.</t>
  </si>
  <si>
    <t>Serii︠a︡ "Odobreno Runetom"</t>
  </si>
  <si>
    <t>2996902058:rus</t>
  </si>
  <si>
    <t>948685251</t>
  </si>
  <si>
    <t>ocn948685251</t>
  </si>
  <si>
    <t>3103659355Y</t>
  </si>
  <si>
    <t>9785170931200</t>
  </si>
  <si>
    <t>795015699</t>
  </si>
  <si>
    <t>PG3493.76 S763 V3 2015</t>
  </si>
  <si>
    <t>0                      PG 3493760S  763                V  3           2015</t>
  </si>
  <si>
    <t>V poiskakh utrachennogo budushchego : povestʹ o tom, kak russkiĭ, brazilet︠s︡ i anglichanin na tot svet sobralisʹ / Dmitriĭ Voskoboĭnikov.</t>
  </si>
  <si>
    <t>Voskoboĭnikov, Dmitriĭ Borisovich, author.</t>
  </si>
  <si>
    <t>4435510738:rus</t>
  </si>
  <si>
    <t>923747317</t>
  </si>
  <si>
    <t>ocn923747317</t>
  </si>
  <si>
    <t>3103641350G</t>
  </si>
  <si>
    <t>9785969114012</t>
  </si>
  <si>
    <t>795004634</t>
  </si>
  <si>
    <t>PG3493.76 T75 L64 2012</t>
  </si>
  <si>
    <t>0                      PG 3493760T  75                 L  64          2012</t>
  </si>
  <si>
    <t>Logoped : Roman / Valeriĭ Votrin.</t>
  </si>
  <si>
    <t>Votrin, Valeriĭ, 1974- author.</t>
  </si>
  <si>
    <t>1194512477:rus</t>
  </si>
  <si>
    <t>823894935</t>
  </si>
  <si>
    <t>ocn823894935</t>
  </si>
  <si>
    <t>3103554944C</t>
  </si>
  <si>
    <t>9785444800287</t>
  </si>
  <si>
    <t>794937467</t>
  </si>
  <si>
    <t>PG3493.92 I56 T56 2016</t>
  </si>
  <si>
    <t>0                      PG 3493920I  56                 T  56          2016</t>
  </si>
  <si>
    <t>Timoshina proza / Oleg Zaĭonchkovskiĭ.</t>
  </si>
  <si>
    <t>Zaĭonchkovskiĭ, Oleg, author.</t>
  </si>
  <si>
    <t>3802577627:rus</t>
  </si>
  <si>
    <t>956371730</t>
  </si>
  <si>
    <t>ocn956371730</t>
  </si>
  <si>
    <t>3103642169Z</t>
  </si>
  <si>
    <t>9785170970520</t>
  </si>
  <si>
    <t>795020064</t>
  </si>
  <si>
    <t>PG3493.92 I56 Z34 2011</t>
  </si>
  <si>
    <t>0                      PG 3493920I  56                 Z  34          2011</t>
  </si>
  <si>
    <t>Zagul : roman / Oleg Zaĭonchkovskiĭ.</t>
  </si>
  <si>
    <t>Zaĭonchkovskiĭ, Oleg.</t>
  </si>
  <si>
    <t>4429815549:rus</t>
  </si>
  <si>
    <t>713496127</t>
  </si>
  <si>
    <t>ocn713496127</t>
  </si>
  <si>
    <t>3103473425V</t>
  </si>
  <si>
    <t>9785170710348</t>
  </si>
  <si>
    <t>794872948</t>
  </si>
  <si>
    <t>PG3493.96 H47 O75 2017</t>
  </si>
  <si>
    <t>0                      PG 3493960H  47                 O  75          2017</t>
  </si>
  <si>
    <t>Oslinai︠a︡ poroda : povestʹ v rasskazakh / Polina Zherebt︠s︡ova.</t>
  </si>
  <si>
    <t>Zherebt︠s︡ova, Polina, 1985- author.</t>
  </si>
  <si>
    <t>4047364759:rus</t>
  </si>
  <si>
    <t>970665253</t>
  </si>
  <si>
    <t>ocn970665253</t>
  </si>
  <si>
    <t>31037599626</t>
  </si>
  <si>
    <t>9785969115361</t>
  </si>
  <si>
    <t>795027789</t>
  </si>
  <si>
    <t>PG3493.96 H876 S67 2008</t>
  </si>
  <si>
    <t>0                      PG 3493960H  876                S  67          2008</t>
  </si>
  <si>
    <t>Soska : sinopticheskiĭ detektiv / Oleg Zhuravlev.</t>
  </si>
  <si>
    <t>Zhuravlev, Oleg, author.</t>
  </si>
  <si>
    <t>Moskva : OGI, 2008.</t>
  </si>
  <si>
    <t>OGI-proza</t>
  </si>
  <si>
    <t>4440859509:rus</t>
  </si>
  <si>
    <t>318633662</t>
  </si>
  <si>
    <t>ocn318633662</t>
  </si>
  <si>
    <t>3103285438S</t>
  </si>
  <si>
    <t>9785942824853</t>
  </si>
  <si>
    <t>794482186</t>
  </si>
  <si>
    <t>PG3493.96 U23 K73 2017</t>
  </si>
  <si>
    <t>0                      PG 3493960U  23                 K  73          2017</t>
  </si>
  <si>
    <t>Krasnye vinogradniki : stikhi / Larisa Zubakova.</t>
  </si>
  <si>
    <t>Zubakova, Larisa, 1947- author.</t>
  </si>
  <si>
    <t>4721409056:rus</t>
  </si>
  <si>
    <t>1019601674</t>
  </si>
  <si>
    <t>on1019601674</t>
  </si>
  <si>
    <t>3103765908Q</t>
  </si>
  <si>
    <t>9785906829306</t>
  </si>
  <si>
    <t>795049234</t>
  </si>
  <si>
    <t>PG3501 U4 G57 2012</t>
  </si>
  <si>
    <t>0                      PG 3501000U  4                  G  57          2012</t>
  </si>
  <si>
    <t>Jews and Ukrainians in Russia's literary borderlands : from the shtetl fair to the Petersburg bookshop / Amelia M. Glaser.</t>
  </si>
  <si>
    <t>Glaser, Amelia, author.</t>
  </si>
  <si>
    <t>Evanston, Illinois : Northwestern University Press, 2012.</t>
  </si>
  <si>
    <t>867063817:eng</t>
  </si>
  <si>
    <t>713181650</t>
  </si>
  <si>
    <t>ocn713181650</t>
  </si>
  <si>
    <t>3103433151H</t>
  </si>
  <si>
    <t>9780810127968</t>
  </si>
  <si>
    <t>794872597</t>
  </si>
  <si>
    <t>PG3505 L4 B57 2006</t>
  </si>
  <si>
    <t>0                      PG 3505000L  4                  B  57          2006</t>
  </si>
  <si>
    <t>Literary St. Petersburg : a guide to the city and its writers / Elaine Blair.</t>
  </si>
  <si>
    <t>Blair, Elaine.</t>
  </si>
  <si>
    <t>New York : Little Bookroom : Distributed by Random House, ©2006.</t>
  </si>
  <si>
    <t>221475463:eng</t>
  </si>
  <si>
    <t>70831016</t>
  </si>
  <si>
    <t>ocm70831016</t>
  </si>
  <si>
    <t>3102650103O</t>
  </si>
  <si>
    <t>9781892145376</t>
  </si>
  <si>
    <t>794159734</t>
  </si>
  <si>
    <t>PG3515 T262 2014</t>
  </si>
  <si>
    <t>0                      PG 3515000T  262         2014</t>
  </si>
  <si>
    <t>Tamizdat : 100 izbrannykh knig / sostavitelʹ Mikhail Seslavinskiĭ ; avtory stateĭ Anton Bakunt︠s︡ev [and twenty three others].</t>
  </si>
  <si>
    <t>Moskva : OLMA Media Grupp, 2014.</t>
  </si>
  <si>
    <t>3771458252:rus</t>
  </si>
  <si>
    <t>910940222</t>
  </si>
  <si>
    <t>ocn910940222</t>
  </si>
  <si>
    <t>3103638147L</t>
  </si>
  <si>
    <t>9785373060714</t>
  </si>
  <si>
    <t>794996772</t>
  </si>
  <si>
    <t>PG3520 F7 L58 2003</t>
  </si>
  <si>
    <t>0                      PG 3520000F  7                  L  58          2003</t>
  </si>
  <si>
    <t>How it was done in Paris : Russian émigré literature and French modernism / Leonid Livak.</t>
  </si>
  <si>
    <t>796779023:eng</t>
  </si>
  <si>
    <t>51003975</t>
  </si>
  <si>
    <t>ocm51003975</t>
  </si>
  <si>
    <t>3102284013I</t>
  </si>
  <si>
    <t>9780299185107</t>
  </si>
  <si>
    <t>793776715</t>
  </si>
  <si>
    <t>PG3520 F7 L59 2014</t>
  </si>
  <si>
    <t>0                      PG 3520000F  7                  L  59          2014</t>
  </si>
  <si>
    <t>Literaturnyĭ avangard russkogo Parizha : istorii︠a︡, khronologii︠a︡, antologii︠a︡, dokumenty / Leonid Livak, Andreĭ Ustinov.</t>
  </si>
  <si>
    <t>Livak, Leonid, author.</t>
  </si>
  <si>
    <t>8913662853:rus</t>
  </si>
  <si>
    <t>904904655</t>
  </si>
  <si>
    <t>ocn904904655</t>
  </si>
  <si>
    <t>3103621270Q</t>
  </si>
  <si>
    <t>9785942826956</t>
  </si>
  <si>
    <t>794990881</t>
  </si>
  <si>
    <t>PG3520 F7 S78 2005</t>
  </si>
  <si>
    <t>0                      PG 3520000F  7                  S  78          2005</t>
  </si>
  <si>
    <t>Le Studio franco-russe, 1929-1931 / textes réunis et présentés par Leonid Livak ; sous la rédaction de Gervaise Tassis.</t>
  </si>
  <si>
    <t>Toronto : Toronto Slavic quarterly, ©2005.</t>
  </si>
  <si>
    <t>Toronto Slavic library ; v. 1</t>
  </si>
  <si>
    <t>367861397:fre</t>
  </si>
  <si>
    <t>62786212</t>
  </si>
  <si>
    <t>ocm62786212</t>
  </si>
  <si>
    <t>3102744688D</t>
  </si>
  <si>
    <t>9780772780515</t>
  </si>
  <si>
    <t>794112691</t>
  </si>
  <si>
    <t>PG3549 B5753 O26 2017</t>
  </si>
  <si>
    <t>0                      PG 3549000B  5753               O  26          2017</t>
  </si>
  <si>
    <t>Obnazhennai︠a︡ natura : roman / Valeriĭ Bochkov.</t>
  </si>
  <si>
    <t>Bochkov, Valeriĭ, author.</t>
  </si>
  <si>
    <t>Riskovannye igry</t>
  </si>
  <si>
    <t>4215418769:rus</t>
  </si>
  <si>
    <t>987448654</t>
  </si>
  <si>
    <t>ocn987448654</t>
  </si>
  <si>
    <t>3103760638H</t>
  </si>
  <si>
    <t>9785699956272</t>
  </si>
  <si>
    <t>795036118</t>
  </si>
  <si>
    <t>PG3549 D54 S66 2013</t>
  </si>
  <si>
    <t>0                      PG 3549000D  54                 S  66          2013</t>
  </si>
  <si>
    <t>Slova na vode : sbornik izbrannykh stikhotvoreniĭ i prozy, 1998-2013 / Svetlana Dion.</t>
  </si>
  <si>
    <t>Dion, Svetlana, author.</t>
  </si>
  <si>
    <t>Moskva : Izdatelʹstvo "Vest-Konsalting", 2013.</t>
  </si>
  <si>
    <t>Biblioteka Vsemirnogo kluba peterburzht︠s︡ev</t>
  </si>
  <si>
    <t>1781972368:rus</t>
  </si>
  <si>
    <t>869722110</t>
  </si>
  <si>
    <t>ocn869722110</t>
  </si>
  <si>
    <t>3103556124W</t>
  </si>
  <si>
    <t>9785918652428</t>
  </si>
  <si>
    <t>794965674</t>
  </si>
  <si>
    <t>PG3549 K33 P675 2011</t>
  </si>
  <si>
    <t>0                      PG 3549000K  33                 P  675         2011</t>
  </si>
  <si>
    <t>Pori︠a︡dok slov / Elena Katishonok.</t>
  </si>
  <si>
    <t>Katishonok, Elena, author.</t>
  </si>
  <si>
    <t>Moskva : Izdatelʹstvo "Vremi︠a︡", 2011.</t>
  </si>
  <si>
    <t>895017411:rus</t>
  </si>
  <si>
    <t>719860380</t>
  </si>
  <si>
    <t>ocn719860380</t>
  </si>
  <si>
    <t>3103478980L</t>
  </si>
  <si>
    <t>9785969106635</t>
  </si>
  <si>
    <t>794874778</t>
  </si>
  <si>
    <t>PG3549 K54 K5 1970</t>
  </si>
  <si>
    <t>0                      PG 3549000K  54                 K  5           1970</t>
  </si>
  <si>
    <t>Kni︠a︡zʹ mira sego : roman / Grigoriĭ Klimov.</t>
  </si>
  <si>
    <t>Klimov, Grigoriĭ Petrovich.</t>
  </si>
  <si>
    <t>New York : Izd-vo "Rossii︠a︡", 1970.</t>
  </si>
  <si>
    <t>3769210523:rus</t>
  </si>
  <si>
    <t>7257370</t>
  </si>
  <si>
    <t>ocm07257370</t>
  </si>
  <si>
    <t>3100998012B</t>
  </si>
  <si>
    <t>792549377</t>
  </si>
  <si>
    <t>PG3549 L58 Z46 2010</t>
  </si>
  <si>
    <t>0                      PG 3549000L  58                 Z  46          2010</t>
  </si>
  <si>
    <t>Meandr : memuarnai︠a︡ proza / Lev Losev ; [sostaviteli, Sergeĭ Gandlevskiĭ, Andreĭ Kurilkin].</t>
  </si>
  <si>
    <t>Moskva : Novoe izd-vo, ©2010.</t>
  </si>
  <si>
    <t>4495250038:rus</t>
  </si>
  <si>
    <t>671508768</t>
  </si>
  <si>
    <t>ocn671508768</t>
  </si>
  <si>
    <t>31033025043</t>
  </si>
  <si>
    <t>9785983791312</t>
  </si>
  <si>
    <t>794848711</t>
  </si>
  <si>
    <t>PG3549 M44 V54 2014</t>
  </si>
  <si>
    <t>0                      PG 3549000M  44                 V  54          2014</t>
  </si>
  <si>
    <t>Vmeste so vsemi / Margarita Meklina.</t>
  </si>
  <si>
    <t>Meklina, Margarita, 1972- author.</t>
  </si>
  <si>
    <t>3772025770:rus</t>
  </si>
  <si>
    <t>877822372</t>
  </si>
  <si>
    <t>ocn877822372</t>
  </si>
  <si>
    <t>31036324472</t>
  </si>
  <si>
    <t>9785699700165</t>
  </si>
  <si>
    <t>794971030</t>
  </si>
  <si>
    <t>PG3549 S64 A2 2012</t>
  </si>
  <si>
    <t>0                      PG 3549000S  64                 A  2           2012</t>
  </si>
  <si>
    <t>In the house of the hanged : essays and vers libres / Sasha Sokolov : translated from the Russian and annotated by Alexander Boguslawski.</t>
  </si>
  <si>
    <t>Sokolov, Sasha, 1943-</t>
  </si>
  <si>
    <t>Toronto ; Buffalo : University of Toronto Press, ©2012.</t>
  </si>
  <si>
    <t>1070252059:eng</t>
  </si>
  <si>
    <t>770617965</t>
  </si>
  <si>
    <t>ocn770617965</t>
  </si>
  <si>
    <t>31033270967</t>
  </si>
  <si>
    <t>9781442643307</t>
  </si>
  <si>
    <t>794903959</t>
  </si>
  <si>
    <t>PG3549 S64 P3 1985</t>
  </si>
  <si>
    <t>0                      PG 3549000S  64                 P  3           1985</t>
  </si>
  <si>
    <t>Palisandrii︠a︡ / Sasha Sokolov.</t>
  </si>
  <si>
    <t>2010-06-08</t>
  </si>
  <si>
    <t>3848627:rus</t>
  </si>
  <si>
    <t>11159328</t>
  </si>
  <si>
    <t>ocm11159328</t>
  </si>
  <si>
    <t>3101942647K</t>
  </si>
  <si>
    <t>9780882338361</t>
  </si>
  <si>
    <t>792761047</t>
  </si>
  <si>
    <t>3000371250K</t>
  </si>
  <si>
    <t>792761046</t>
  </si>
  <si>
    <t>PG3549 S64 S5513 1987</t>
  </si>
  <si>
    <t>0                      PG 3549000S  64                 S  5513        1987</t>
  </si>
  <si>
    <t>A school for fools / Sasha Sokolov ; translated by Carl R. Proffer ; introduction by D. Barton Johnson.</t>
  </si>
  <si>
    <t>New York : Four Walls Eight Windows, 1988, ©1977.</t>
  </si>
  <si>
    <t>1st Four Walls Eight Windows ed.</t>
  </si>
  <si>
    <t>5090468262:eng</t>
  </si>
  <si>
    <t>17263047</t>
  </si>
  <si>
    <t>ocm17263047</t>
  </si>
  <si>
    <t>3103004998K</t>
  </si>
  <si>
    <t>9780941423076</t>
  </si>
  <si>
    <t>792985895</t>
  </si>
  <si>
    <t>PG3549 S64 S5513 2015</t>
  </si>
  <si>
    <t>0                      PG 3549000S  64                 S  5513        2015</t>
  </si>
  <si>
    <t>A school for fools / Sasha Sokolov ; Translated from the Russian by Alexander Boguslawski.</t>
  </si>
  <si>
    <t>Sokolov, Sasha, 1943- author.</t>
  </si>
  <si>
    <t>New York : New York Review Books, 2015.</t>
  </si>
  <si>
    <t>883645388</t>
  </si>
  <si>
    <t>ocn883645388</t>
  </si>
  <si>
    <t>3103653008B</t>
  </si>
  <si>
    <t>9781590178461</t>
  </si>
  <si>
    <t>794975720</t>
  </si>
  <si>
    <t>PG3802 D67 1954</t>
  </si>
  <si>
    <t>0                      PG 3802000D  67          1954</t>
  </si>
  <si>
    <t>Doslidz︠h︡enni︠a︡ z movy ta literatury / [redakt︠s︡iĭna kolehii︠a︡, I.P. Krypʹi︠a︡kovych, vidpovidalʹnyĭ redaktor and others].</t>
  </si>
  <si>
    <t>Kyïv : Vyd-vo Akademiï nauk Ukraïnsʹkoï RSR, 1954.</t>
  </si>
  <si>
    <t>ukr</t>
  </si>
  <si>
    <t>Naukovi zapysky / Lʹvivsʹkyĭ filial Akademiï nauk Ukraïnsʹkoï RSR, Instytut suspilʹnykh nauk ; t. 3</t>
  </si>
  <si>
    <t>2016-02-26</t>
  </si>
  <si>
    <t>40208993:ukr</t>
  </si>
  <si>
    <t>61623536</t>
  </si>
  <si>
    <t>ocm61623536</t>
  </si>
  <si>
    <t>3103678525S</t>
  </si>
  <si>
    <t>794061469</t>
  </si>
  <si>
    <t>PG3814 W4</t>
  </si>
  <si>
    <t>0                      PG 3814000W  4</t>
  </si>
  <si>
    <t>Purism and language: a study in modern Ukrainian and Belorussian nationalism (1840-1967) [by] Paul N. Wexler.</t>
  </si>
  <si>
    <t>Bloomington, Indiana University [1974]</t>
  </si>
  <si>
    <t>Language science monographs, v. 11</t>
  </si>
  <si>
    <t>290690760:eng</t>
  </si>
  <si>
    <t>935034</t>
  </si>
  <si>
    <t>ocm00935034</t>
  </si>
  <si>
    <t>30004320163</t>
  </si>
  <si>
    <t>9780877501756</t>
  </si>
  <si>
    <t>791506178</t>
  </si>
  <si>
    <t>PG3823 H8</t>
  </si>
  <si>
    <t>0                      PG 3823000H  8</t>
  </si>
  <si>
    <t>Modern Ukrainian / Assya Humesky.</t>
  </si>
  <si>
    <t>Humesky, Assya.</t>
  </si>
  <si>
    <t>Edmonton : Canadian Institute of Ukrainian Studies, 1980.</t>
  </si>
  <si>
    <t>The Canadian library in Ukrainian studies</t>
  </si>
  <si>
    <t>2018-09-17</t>
  </si>
  <si>
    <t>9539902:eng</t>
  </si>
  <si>
    <t>7192406</t>
  </si>
  <si>
    <t>ocm07192406</t>
  </si>
  <si>
    <t>31028476541</t>
  </si>
  <si>
    <t>9780920862049</t>
  </si>
  <si>
    <t>792545174</t>
  </si>
  <si>
    <t>PG3823 M27</t>
  </si>
  <si>
    <t>0                      PG 3823000M  27</t>
  </si>
  <si>
    <t>Learn Ukrainian : an elementary practical course in conversational Ukrainian / Halina I. Makarova, Larrissa M. Palamar, Nataliya K. Prisyazhnyuk.</t>
  </si>
  <si>
    <t>Makarova, Halyna Isaïvna.</t>
  </si>
  <si>
    <t>Kiev : Vyshcha shkola, 1975.</t>
  </si>
  <si>
    <t>6047012:ukr</t>
  </si>
  <si>
    <t>2806614</t>
  </si>
  <si>
    <t>ocm02806614</t>
  </si>
  <si>
    <t>31028476493</t>
  </si>
  <si>
    <t>792179096</t>
  </si>
  <si>
    <t>PG3823 M38 1963</t>
  </si>
  <si>
    <t>0                      PG 3823000M  38          1963</t>
  </si>
  <si>
    <t>Ukrainian grammar, [by] A. Medushevsky and R. Zyatkovska.</t>
  </si>
  <si>
    <t>Medushevsʹkyĭ, A. P. (Andriĭ Petrovych)</t>
  </si>
  <si>
    <t>Kiev, Rad. shkola, 1963.</t>
  </si>
  <si>
    <t>28743852:eng</t>
  </si>
  <si>
    <t>33775</t>
  </si>
  <si>
    <t>ocm00033775</t>
  </si>
  <si>
    <t>3102675223O</t>
  </si>
  <si>
    <t>791234977</t>
  </si>
  <si>
    <t>PG3823 N43 2010</t>
  </si>
  <si>
    <t>0                      PG 3823000N  43          2010</t>
  </si>
  <si>
    <t>Ukrainian through its living culture : advanced level language textbook / Alla Nedashkivska.</t>
  </si>
  <si>
    <t>Nedashkivska, Alla.</t>
  </si>
  <si>
    <t>Edmonton : University of Alberta Press, 2010.</t>
  </si>
  <si>
    <t>1780668052:ukr</t>
  </si>
  <si>
    <t>401145730</t>
  </si>
  <si>
    <t>ocn401145730</t>
  </si>
  <si>
    <t>31030728544</t>
  </si>
  <si>
    <t>9780888645173</t>
  </si>
  <si>
    <t>794498467</t>
  </si>
  <si>
    <t>PG3891 A7 1957</t>
  </si>
  <si>
    <t>0                      PG 3891000A  7           1957</t>
  </si>
  <si>
    <t>Ukraïnsʹko-anhliĭsʹkyĭ slovnyk = Ukrainian-English dictionary / compiled by C.H. Andrusyshen and J.N. Krett ; assisted by Helen Virginia Andrusyshen.</t>
  </si>
  <si>
    <t>Andrusyshen, C. H., compiler.</t>
  </si>
  <si>
    <t>Toronto : Published for the University of Saskatchewan by University of Toronto, 1957.</t>
  </si>
  <si>
    <t>2015-04-17</t>
  </si>
  <si>
    <t>11074074:ukr</t>
  </si>
  <si>
    <t>13235873</t>
  </si>
  <si>
    <t>ocm13235873</t>
  </si>
  <si>
    <t>30009602101</t>
  </si>
  <si>
    <t>9780802064219</t>
  </si>
  <si>
    <t>792845956</t>
  </si>
  <si>
    <t>PG3891 A74</t>
  </si>
  <si>
    <t>0                      PG 3891000A  74</t>
  </si>
  <si>
    <t>Anglo-ukräınsʹkyĭ slovnyk : blyzʹko 20000 sliv / za red. I︠U︡. O. Z︠H︡luktenka.</t>
  </si>
  <si>
    <t>Kÿıv : Rad. shkola, 1978.</t>
  </si>
  <si>
    <t>3769095975:ukr</t>
  </si>
  <si>
    <t>61536794</t>
  </si>
  <si>
    <t>ocm61536794</t>
  </si>
  <si>
    <t>3000320776H</t>
  </si>
  <si>
    <t>793968073</t>
  </si>
  <si>
    <t>PG3891 L4 1947</t>
  </si>
  <si>
    <t>0                      PG 3891000L  4           1947</t>
  </si>
  <si>
    <t>An English-Ukrainian and Ukrainian-English dictionary, by Wasylj Lew and Iwan Werbianyj.</t>
  </si>
  <si>
    <t>Lev, Vasyl'.</t>
  </si>
  <si>
    <t>Nuremberg, Newspaper Czas [1947]</t>
  </si>
  <si>
    <t>9289394:eng</t>
  </si>
  <si>
    <t>14648676</t>
  </si>
  <si>
    <t>ocm14648676</t>
  </si>
  <si>
    <t>3100484539W</t>
  </si>
  <si>
    <t>792897243</t>
  </si>
  <si>
    <t>PG3891 P6 1954</t>
  </si>
  <si>
    <t>0                      PG 3891000P  6           1954</t>
  </si>
  <si>
    <t>Anhlo-ukraïnsʹkyi slovnyk = English-Ukrainian dictionary / sklav M.L. Podvezʹko.</t>
  </si>
  <si>
    <t>Podvezʹko, M. L. (Mykhaĭlo Leontiĭovych), 1901-1978.</t>
  </si>
  <si>
    <t>Nʹi︠u︡ Ĭork : [publisher not identified], 1954.</t>
  </si>
  <si>
    <t>4929262955:ukr</t>
  </si>
  <si>
    <t>427896903</t>
  </si>
  <si>
    <t>ocn427896903</t>
  </si>
  <si>
    <t>3101273631O</t>
  </si>
  <si>
    <t>794707013</t>
  </si>
  <si>
    <t>PG3906 F87 I45 1997</t>
  </si>
  <si>
    <t>0                      PG 3906000F  87                 I  45          1997</t>
  </si>
  <si>
    <t>Ukrainian futurism : 1914-1930 : a historical and critical study / Oleh S. Ilnytzkyj.</t>
  </si>
  <si>
    <t>Ilnytzkyj, Oleh S. (Oleh Stepan)</t>
  </si>
  <si>
    <t>Cambridge, Mass. : Distributed by Harvard University Press for the Ukrainian Research Institute, Harvard University, ©1997.</t>
  </si>
  <si>
    <t>Harvard series in Ukrainian studies</t>
  </si>
  <si>
    <t>235144334:eng</t>
  </si>
  <si>
    <t>38253286</t>
  </si>
  <si>
    <t>ocm38253286</t>
  </si>
  <si>
    <t>3101919125X</t>
  </si>
  <si>
    <t>9780916458560</t>
  </si>
  <si>
    <t>793520271</t>
  </si>
  <si>
    <t>PG3906 J49 S55 2009</t>
  </si>
  <si>
    <t>0                      PG 3906000J  49                 S  55          2009</t>
  </si>
  <si>
    <t>Jews in Ukrainian literature : representation and identity / Myroslav Shkandrij.</t>
  </si>
  <si>
    <t>Shkandrij, Myroslav, 1950-</t>
  </si>
  <si>
    <t>New Haven : Yale University Press, ©2009.</t>
  </si>
  <si>
    <t>2016-09-30</t>
  </si>
  <si>
    <t>191006164:eng</t>
  </si>
  <si>
    <t>312096523</t>
  </si>
  <si>
    <t>ocn312096523</t>
  </si>
  <si>
    <t>31031346988</t>
  </si>
  <si>
    <t>9780300125887</t>
  </si>
  <si>
    <t>794436658</t>
  </si>
  <si>
    <t>PG3907 D6 2012</t>
  </si>
  <si>
    <t>0                      PG 3907000D  6           2012</t>
  </si>
  <si>
    <t>Do osnov : zbirnyk stateĭ u shistdesi︠a︡tlitti︠a︡ Ukraïnsʹkoï vilʹnoï akademiï nauk u Kanadi, 1949-2009 = To the source : essays on the sixtieth anniversary of the Ukrainian Academy of Arts and Sciences in Canada, 1949-2009 / redaktory I︠U︡riĭ Knysh, vidpovidalʹnyĭ, I︠A︡roslav Rozumnyĭ, ukraïnomovnyĭ, Orest T︠S︡ap, anhlomovnyĭ.</t>
  </si>
  <si>
    <t>Vinnipeg : Ukraïnsʹka vilʹna akademii︠a︡ nauk u Kanadi, 2012.</t>
  </si>
  <si>
    <t>1212719690:ukr</t>
  </si>
  <si>
    <t>829793942</t>
  </si>
  <si>
    <t>ocn829793942</t>
  </si>
  <si>
    <t>3103562354V</t>
  </si>
  <si>
    <t>9780973281408</t>
  </si>
  <si>
    <t>794942767</t>
  </si>
  <si>
    <t>PG3916.2 L8 1990</t>
  </si>
  <si>
    <t>0                      PG 3916200L  8           1990</t>
  </si>
  <si>
    <t>Literary politics in the Soviet Ukraine, 1917-1934 / George S.N. Luckyj.</t>
  </si>
  <si>
    <t>Luckyj, George S. N., 1919-2001.</t>
  </si>
  <si>
    <t>Rev. and updated ed.</t>
  </si>
  <si>
    <t>56229701:eng</t>
  </si>
  <si>
    <t>21563246</t>
  </si>
  <si>
    <t>ocm21563246</t>
  </si>
  <si>
    <t>31005744526</t>
  </si>
  <si>
    <t>9780822310815</t>
  </si>
  <si>
    <t>793122884</t>
  </si>
  <si>
    <t>PG3916.2 L83 1992</t>
  </si>
  <si>
    <t>0                      PG 3916200L  83          1992</t>
  </si>
  <si>
    <t>Ukrainian literature in the twentieth century : a reader's guide / George S.N. Luckyj.</t>
  </si>
  <si>
    <t>Toronto ; Buffalo : University of Toronto Press, ©1992.</t>
  </si>
  <si>
    <t>197406784:eng</t>
  </si>
  <si>
    <t>26674220</t>
  </si>
  <si>
    <t>ocm26674220</t>
  </si>
  <si>
    <t>3101208101X</t>
  </si>
  <si>
    <t>9780802050199</t>
  </si>
  <si>
    <t>793249286</t>
  </si>
  <si>
    <t>PG3916.2 S55 1992</t>
  </si>
  <si>
    <t>0                      PG 3916200S  55          1992</t>
  </si>
  <si>
    <t>Modernists, Marxists and the nation : the Ukrainian literary discussion of the 1920s / Myroslav Shkandrij.</t>
  </si>
  <si>
    <t>Edmonton : Canadian Institute of Ukrainian Studies, 1992.</t>
  </si>
  <si>
    <t>141709737:eng</t>
  </si>
  <si>
    <t>26804826</t>
  </si>
  <si>
    <t>ocm26804826</t>
  </si>
  <si>
    <t>3101232827$</t>
  </si>
  <si>
    <t>9780920862865</t>
  </si>
  <si>
    <t>793252019</t>
  </si>
  <si>
    <t>PG3924 F5 A54 2012</t>
  </si>
  <si>
    <t>0                      PG 3924000F  5                  A  54          2012</t>
  </si>
  <si>
    <t>The intellectual as hero in 1990s Ukrainian fiction / Mark Andryczyk.</t>
  </si>
  <si>
    <t>Andryczyk, Mark, 1969-</t>
  </si>
  <si>
    <t>1117994534:eng</t>
  </si>
  <si>
    <t>727326115</t>
  </si>
  <si>
    <t>ocn727326115</t>
  </si>
  <si>
    <t>3103327018N</t>
  </si>
  <si>
    <t>9781442643321</t>
  </si>
  <si>
    <t>794877932</t>
  </si>
  <si>
    <t>PG3948 D6 L53 2002</t>
  </si>
  <si>
    <t>0                      PG 3948000D  6                  L  53          2002</t>
  </si>
  <si>
    <t>Alexander Dovzhenko : a life in Soviet film / George O. Liber.</t>
  </si>
  <si>
    <t>Liber, George.</t>
  </si>
  <si>
    <t>London : BFI Pub., 2002.</t>
  </si>
  <si>
    <t>366633268:eng</t>
  </si>
  <si>
    <t>49834431</t>
  </si>
  <si>
    <t>ocm49834431</t>
  </si>
  <si>
    <t>3102259730P</t>
  </si>
  <si>
    <t>9780851709277</t>
  </si>
  <si>
    <t>793748844</t>
  </si>
  <si>
    <t>PG3948 F7 M6 1968</t>
  </si>
  <si>
    <t>0                      PG 3948000F  7                  M  6           1968</t>
  </si>
  <si>
    <t>Moǐseǐ.</t>
  </si>
  <si>
    <t>Franko, Ivan, 1856-1916.</t>
  </si>
  <si>
    <t>6082696:ukr</t>
  </si>
  <si>
    <t>427516657</t>
  </si>
  <si>
    <t>ocn427516657</t>
  </si>
  <si>
    <t>3102996259N</t>
  </si>
  <si>
    <t>794673284</t>
  </si>
  <si>
    <t>PG3948 H63 A57 1973</t>
  </si>
  <si>
    <t>0                      PG 3948000H  63                 A  57          1973</t>
  </si>
  <si>
    <t>Sobranie sochineniĭ / Olesʹ Gonchar ; per. s ukr. L. Shapiro ; [vstupit. statʹi︠a︡ I︠U︡. Barabasha]</t>
  </si>
  <si>
    <t>Honchar, Olesʹ, 1918-1995.</t>
  </si>
  <si>
    <t>Moskva : Khudozh. lit., 1973-1975.</t>
  </si>
  <si>
    <t>3373626361:rus</t>
  </si>
  <si>
    <t>4263472</t>
  </si>
  <si>
    <t>ocm04263472</t>
  </si>
  <si>
    <t>3100807869G</t>
  </si>
  <si>
    <t>792336340</t>
  </si>
  <si>
    <t>3100807879D</t>
  </si>
  <si>
    <t>792336339</t>
  </si>
  <si>
    <t>3100807877H</t>
  </si>
  <si>
    <t>792336337</t>
  </si>
  <si>
    <t>3000618423W</t>
  </si>
  <si>
    <t>792336341</t>
  </si>
  <si>
    <t>3100807878F</t>
  </si>
  <si>
    <t>792336338</t>
  </si>
  <si>
    <t>PG3948 H699 F713 1998</t>
  </si>
  <si>
    <t>0                      PG 3948000H  699                F  713         1998</t>
  </si>
  <si>
    <t>From heart to heart : selected prose fiction / by Hrytsko Hryhorenko and Lesya Ukrainka ; translated by Roma Franko ; edited by Sonia Morris.</t>
  </si>
  <si>
    <t>Hryhorenko, Hryt︠s︡ʹko, 1867-1924.</t>
  </si>
  <si>
    <t>Saskatoon : Language Lanterns Publications, 1999.</t>
  </si>
  <si>
    <t>Women's voices in Ukrainian literature ; v. 4</t>
  </si>
  <si>
    <t>2016-02-28</t>
  </si>
  <si>
    <t>44807597:eng</t>
  </si>
  <si>
    <t>43610770</t>
  </si>
  <si>
    <t>ocm43610770</t>
  </si>
  <si>
    <t>3102356906V</t>
  </si>
  <si>
    <t>9780968389935</t>
  </si>
  <si>
    <t>793630757</t>
  </si>
  <si>
    <t>PG3948 L4 K517</t>
  </si>
  <si>
    <t>0                      PG 3948000L  4                  K  517</t>
  </si>
  <si>
    <t>Khmelʹnit︠s︡kiĭ. Roman. [Trilogii︠a︡]. Avtoriz. per. s ukr. K. Trofimova. [Vstupit. statii︠a︡ M. Sirotyuka].</t>
  </si>
  <si>
    <t>Le, Ivan, 1895-1978.</t>
  </si>
  <si>
    <t>Moskva, "Khudozh. lit., " 1971.</t>
  </si>
  <si>
    <t>Biblioteka istoricheskogo romana</t>
  </si>
  <si>
    <t>1152890263:rus</t>
  </si>
  <si>
    <t>26558556</t>
  </si>
  <si>
    <t>ocm26558556</t>
  </si>
  <si>
    <t>3100807946O</t>
  </si>
  <si>
    <t>793247026</t>
  </si>
  <si>
    <t>30006505334</t>
  </si>
  <si>
    <t>793247027</t>
  </si>
  <si>
    <t>PG3948 S5 A17 1977</t>
  </si>
  <si>
    <t>0                      PG 3948000S  5                  A  17          1977</t>
  </si>
  <si>
    <t>Selected poetry / Taras Shevchenko ; illustrated with reproductions of drawings, sketches, outlines, etchings, and paintings by Taras Shevchenko.</t>
  </si>
  <si>
    <t>Shevchenko, Taras, 1814-1861.</t>
  </si>
  <si>
    <t>Kiev : Dnipro Publishers, 1977.</t>
  </si>
  <si>
    <t>2015-03-06</t>
  </si>
  <si>
    <t>3856338090:eng</t>
  </si>
  <si>
    <t>4667202</t>
  </si>
  <si>
    <t>ocm04667202</t>
  </si>
  <si>
    <t>30003178413</t>
  </si>
  <si>
    <t>792373160</t>
  </si>
  <si>
    <t>PG3948 S5 1959a</t>
  </si>
  <si>
    <t>0                      PG 3948000S  5           1959a</t>
  </si>
  <si>
    <t>Povne vydannia tvoriv.</t>
  </si>
  <si>
    <t>Chikago M. Denysiuk [1962]</t>
  </si>
  <si>
    <t>2., dop. vyd.</t>
  </si>
  <si>
    <t>2865271445:ukr</t>
  </si>
  <si>
    <t>427512394</t>
  </si>
  <si>
    <t>ocn427512394</t>
  </si>
  <si>
    <t>3100807933X</t>
  </si>
  <si>
    <t>794672154</t>
  </si>
  <si>
    <t>3100807936R</t>
  </si>
  <si>
    <t>794672151</t>
  </si>
  <si>
    <t>3100807935T</t>
  </si>
  <si>
    <t>794672152</t>
  </si>
  <si>
    <t>3100807932Z</t>
  </si>
  <si>
    <t>794672155</t>
  </si>
  <si>
    <t>3100807934V</t>
  </si>
  <si>
    <t>794672153</t>
  </si>
  <si>
    <t>3100807937P</t>
  </si>
  <si>
    <t>794672150</t>
  </si>
  <si>
    <t>31008079302</t>
  </si>
  <si>
    <t>794672157</t>
  </si>
  <si>
    <t>3100807938N</t>
  </si>
  <si>
    <t>794672149</t>
  </si>
  <si>
    <t>3100807939L</t>
  </si>
  <si>
    <t>794672148</t>
  </si>
  <si>
    <t>31008079310</t>
  </si>
  <si>
    <t>794672156</t>
  </si>
  <si>
    <t>31008079205</t>
  </si>
  <si>
    <t>794672159</t>
  </si>
  <si>
    <t>3100807923$</t>
  </si>
  <si>
    <t>794672158</t>
  </si>
  <si>
    <t>3000618426Q</t>
  </si>
  <si>
    <t>794672161</t>
  </si>
  <si>
    <t>31008079213</t>
  </si>
  <si>
    <t>794672160</t>
  </si>
  <si>
    <t>PG3948 S51 A6 2014</t>
  </si>
  <si>
    <t>0                      PG 3948000S  51                 A  6           2014</t>
  </si>
  <si>
    <t>Kobzar : poetry of Taras Shevchenko in Ukrainian, English and French / introduction by Andrew Gregorovich.</t>
  </si>
  <si>
    <t>Shevchenko, Taras, 1814-1861, author.</t>
  </si>
  <si>
    <t>Toronto : Taras Shevchenko Museum, 2014.</t>
  </si>
  <si>
    <t>2028886110:ukr</t>
  </si>
  <si>
    <t>883866248</t>
  </si>
  <si>
    <t>ocn883866248</t>
  </si>
  <si>
    <t>31035180328</t>
  </si>
  <si>
    <t>9780921537946</t>
  </si>
  <si>
    <t>794975985</t>
  </si>
  <si>
    <t>PG3948 S78 A6 1962</t>
  </si>
  <si>
    <t>0                      PG 3948000S  78                 A  6           1962</t>
  </si>
  <si>
    <t>Vybrani tvory / Vasylʹ Stefanyk.</t>
  </si>
  <si>
    <t>Stefanyk, Vasylʹ Semenovych, 1871-1936.</t>
  </si>
  <si>
    <t>Kyïv : Derzhavne vyd-vo khudoz. lit-ry, 1962.</t>
  </si>
  <si>
    <t>2019-03-14</t>
  </si>
  <si>
    <t>13102071:ukr</t>
  </si>
  <si>
    <t>9150298</t>
  </si>
  <si>
    <t>ocm09150298</t>
  </si>
  <si>
    <t>3100999148I</t>
  </si>
  <si>
    <t>792659697</t>
  </si>
  <si>
    <t>PG3948 V88 Z87 2012</t>
  </si>
  <si>
    <t>0                      PG 3948000V  88                 Z  87          2012</t>
  </si>
  <si>
    <t>Faces of displacement : the writings of Volodymyr Vynnychenko / Mykola Soroka.</t>
  </si>
  <si>
    <t>Soroka, Mykola.</t>
  </si>
  <si>
    <t>Montreal ; Ithaca : McGill-Queen's University Press, ©2012.</t>
  </si>
  <si>
    <t>1107203763:eng</t>
  </si>
  <si>
    <t>793221979</t>
  </si>
  <si>
    <t>ocn793221979</t>
  </si>
  <si>
    <t>3103403168U</t>
  </si>
  <si>
    <t>9780773540378</t>
  </si>
  <si>
    <t>794917850</t>
  </si>
  <si>
    <t>PG3949.22 Y74 A17 1999</t>
  </si>
  <si>
    <t>0                      PG 3949220Y  74                 A  17          1999</t>
  </si>
  <si>
    <t>The selected poems of Oleh Lysheha / translated by the author and James Brasfield.</t>
  </si>
  <si>
    <t>Lysheha, Oleh, 1949-2014, author, translator.</t>
  </si>
  <si>
    <t>Cambridge, Mass. : Distributed by Harvard University Press for the Ukrainian Research Institute, Harvard University, ©1999.</t>
  </si>
  <si>
    <t>Harvard papers in Ukrainian studies</t>
  </si>
  <si>
    <t>1059155986:eng</t>
  </si>
  <si>
    <t>43471736</t>
  </si>
  <si>
    <t>ocm43471736</t>
  </si>
  <si>
    <t>31020192713</t>
  </si>
  <si>
    <t>9780916458904</t>
  </si>
  <si>
    <t>793627589</t>
  </si>
  <si>
    <t>PG3949.25 S3 Z513</t>
  </si>
  <si>
    <t>0                      PG 3949250S  3                  Z  513</t>
  </si>
  <si>
    <t>Cataract / Mykhaylo Osadchy ; translated from the Ukrainian, edited, and annotated by Marco Carynnyk.</t>
  </si>
  <si>
    <t>Osadchyĭ, Mykhaĭlo Hryhorovych, 1936-1994.</t>
  </si>
  <si>
    <t>New York : Harcourt Brace Jovanovich, ©1976.</t>
  </si>
  <si>
    <t>1152046246:eng</t>
  </si>
  <si>
    <t>1859745</t>
  </si>
  <si>
    <t>ocm01859745</t>
  </si>
  <si>
    <t>3000403166Y</t>
  </si>
  <si>
    <t>9780151161157</t>
  </si>
  <si>
    <t>792001115</t>
  </si>
  <si>
    <t>PG3986 E8 B44 1986</t>
  </si>
  <si>
    <t>0                      PG 3986000E  8                  B  44          1986</t>
  </si>
  <si>
    <t>Before the storm : Soviet Ukrainian fiction of the 1920s / edited by George Luckyj ; translated by Yuri Tkacz.</t>
  </si>
  <si>
    <t>4671747:eng</t>
  </si>
  <si>
    <t>12078810</t>
  </si>
  <si>
    <t>ocm12078810</t>
  </si>
  <si>
    <t>3000486386V</t>
  </si>
  <si>
    <t>9780882335216</t>
  </si>
  <si>
    <t>792799930</t>
  </si>
  <si>
    <t>PG4099 T6 1981</t>
  </si>
  <si>
    <t>0                      PG 4099000T  6           1981</t>
  </si>
  <si>
    <t>Czech through Russian / Charles E. Townsend.</t>
  </si>
  <si>
    <t>Columbus, Ohio : Slavica, ©1981.</t>
  </si>
  <si>
    <t>550233:eng</t>
  </si>
  <si>
    <t>8235858</t>
  </si>
  <si>
    <t>ocm08235858</t>
  </si>
  <si>
    <t>31013465673</t>
  </si>
  <si>
    <t>9780893570897</t>
  </si>
  <si>
    <t>792607261</t>
  </si>
  <si>
    <t>PG4105 D8</t>
  </si>
  <si>
    <t>0                      PG 4105000D  8</t>
  </si>
  <si>
    <t>Langue tchèque : histoire et norme actuelle.</t>
  </si>
  <si>
    <t>Ducháček, Otto.</t>
  </si>
  <si>
    <t>Louvaine : Vander, [1971]</t>
  </si>
  <si>
    <t>Cahiers de l'Institut des langues vivantes ; 19</t>
  </si>
  <si>
    <t>2015-01-23</t>
  </si>
  <si>
    <t>366101805:fre</t>
  </si>
  <si>
    <t>7148190</t>
  </si>
  <si>
    <t>ocm07148190</t>
  </si>
  <si>
    <t>3000614972J</t>
  </si>
  <si>
    <t>792542258</t>
  </si>
  <si>
    <t>PG4121 M64</t>
  </si>
  <si>
    <t>0                      PG 4121000M  64</t>
  </si>
  <si>
    <t>Cheshskiĭ i︠a︡zyk : uchebnoe posobie po razvitii︠u︡ rechi / V.M. Mokienko.</t>
  </si>
  <si>
    <t>Mokienko, V. M. (Valeriĭ Mikhaĭlovich), author.</t>
  </si>
  <si>
    <t>Leningrad : Izdatelʹstvo Leningradskogo universiteta, 1978.</t>
  </si>
  <si>
    <t>17812132:rus</t>
  </si>
  <si>
    <t>5334336</t>
  </si>
  <si>
    <t>ocm05334336</t>
  </si>
  <si>
    <t>3000320843S</t>
  </si>
  <si>
    <t>792426004</t>
  </si>
  <si>
    <t>PG4141 B47 2007</t>
  </si>
  <si>
    <t>0                      PG 4141000B  47          2007</t>
  </si>
  <si>
    <t>Linguistic authority, language ideology, and metaphor : the Czech orthography wars / by Neil Bermel.</t>
  </si>
  <si>
    <t>Bermel, Neil.</t>
  </si>
  <si>
    <t>Berlin ; New York : Mouton de Gruyter, ©2007.</t>
  </si>
  <si>
    <t>Language, power and social process ; 17</t>
  </si>
  <si>
    <t>801888069:eng</t>
  </si>
  <si>
    <t>71275536</t>
  </si>
  <si>
    <t>ocm71275536</t>
  </si>
  <si>
    <t>31029727135</t>
  </si>
  <si>
    <t>9783110185966</t>
  </si>
  <si>
    <t>794164690</t>
  </si>
  <si>
    <t>PG4409 A6 G914 1962</t>
  </si>
  <si>
    <t>0                      PG 4409000A  6                  G  914         1962</t>
  </si>
  <si>
    <t>Dante, visionnaire de l'éternité / Romano Guardini ; traduit de l'allemand par Jeanne Ancelet-Hustache.</t>
  </si>
  <si>
    <t>Guardini, Romano, 1885-1968.</t>
  </si>
  <si>
    <t>Paris : Éditions du Seuil, 1962.</t>
  </si>
  <si>
    <t>2018-04-29</t>
  </si>
  <si>
    <t>2908800000:fre</t>
  </si>
  <si>
    <t>3220625</t>
  </si>
  <si>
    <t>ocm03220625</t>
  </si>
  <si>
    <t>3000779350M</t>
  </si>
  <si>
    <t>792231535</t>
  </si>
  <si>
    <t>PG4640 A484</t>
  </si>
  <si>
    <t>0                      PG 4640000A  484</t>
  </si>
  <si>
    <t>Anglicko-čestý-anglický slovník / Autor : kol., vyd. Ivanem Poldaufem.</t>
  </si>
  <si>
    <t>Praha : SPN, 1971.</t>
  </si>
  <si>
    <t>1. vyd.</t>
  </si>
  <si>
    <t>cze</t>
  </si>
  <si>
    <t>Edice Střední slovníky oboustranné</t>
  </si>
  <si>
    <t>314744941:cze</t>
  </si>
  <si>
    <t>427144248</t>
  </si>
  <si>
    <t>ocn427144248</t>
  </si>
  <si>
    <t>3103387225M</t>
  </si>
  <si>
    <t>794522211</t>
  </si>
  <si>
    <t>PG4640 K7 1949</t>
  </si>
  <si>
    <t>0                      PG 4640000K  7           1949</t>
  </si>
  <si>
    <t>English-Czech dictionary, by F. Krupička and H. Procházka.</t>
  </si>
  <si>
    <t>Krupička, František, 1876-</t>
  </si>
  <si>
    <t>London, G. Allen &amp; Unwin [1949]</t>
  </si>
  <si>
    <t>[13th ed.].</t>
  </si>
  <si>
    <t>2019-12-17</t>
  </si>
  <si>
    <t>3856144606:eng</t>
  </si>
  <si>
    <t>6846163</t>
  </si>
  <si>
    <t>ocm06846163</t>
  </si>
  <si>
    <t>3000749727J</t>
  </si>
  <si>
    <t>792526138</t>
  </si>
  <si>
    <t>PG5001 N6313</t>
  </si>
  <si>
    <t>0                      PG 5001000N  6313</t>
  </si>
  <si>
    <t>Czech literature / Arne Novák ; translated from the Czech by Peter Kussi ; edited with a suppl. by William E. Harkins.</t>
  </si>
  <si>
    <t>Novák, Arne, 1880-1939.</t>
  </si>
  <si>
    <t>Ann Arbor : Michigan Slavic Publications, 1976.</t>
  </si>
  <si>
    <t>The Joint Committee on Eastern Europe publication series ; no. 4</t>
  </si>
  <si>
    <t>8907915284:eng</t>
  </si>
  <si>
    <t>2508100</t>
  </si>
  <si>
    <t>ocm02508100</t>
  </si>
  <si>
    <t>3000463534W</t>
  </si>
  <si>
    <t>792137029</t>
  </si>
  <si>
    <t>PG5003.2 N36 P95 1994</t>
  </si>
  <si>
    <t>0                      PG 5003200N  36                 P  95          1994</t>
  </si>
  <si>
    <t>Questions of identity : Czech and Slovak ideas of nationality and personality / Robert B. Pynsent.</t>
  </si>
  <si>
    <t>Pynsent, Robert B.</t>
  </si>
  <si>
    <t>Budapest ; New York : Central European University Press, ©1994.</t>
  </si>
  <si>
    <t>2016-11-07</t>
  </si>
  <si>
    <t>32161501:eng</t>
  </si>
  <si>
    <t>30362981</t>
  </si>
  <si>
    <t>ocm30362981</t>
  </si>
  <si>
    <t>3101304791W</t>
  </si>
  <si>
    <t>9781858660059</t>
  </si>
  <si>
    <t>793333763</t>
  </si>
  <si>
    <t>PG5007 H66 1990</t>
  </si>
  <si>
    <t>0                      PG 5007000H  66          1990</t>
  </si>
  <si>
    <t>Daydreams and nightmares : Czech Communist and ex-Communist literature 1917-1987 / Peter Hruby.</t>
  </si>
  <si>
    <t>Hruby, Peter.</t>
  </si>
  <si>
    <t>[Boulder, Colo.?] : East European Monographs ; New York : Distributed by Columbia University Press, 1990.</t>
  </si>
  <si>
    <t>East European monographs ; no. 290</t>
  </si>
  <si>
    <t>347379850:eng</t>
  </si>
  <si>
    <t>22234103</t>
  </si>
  <si>
    <t>ocm22234103</t>
  </si>
  <si>
    <t>3101009016X</t>
  </si>
  <si>
    <t>793138016</t>
  </si>
  <si>
    <t>PG5008 F7</t>
  </si>
  <si>
    <t>0                      PG 5008000F  7</t>
  </si>
  <si>
    <t>The poets of Prague : Czech poetry between the wars / Alfred French.</t>
  </si>
  <si>
    <t>French, A. (Alfred), 1916-1997, author.</t>
  </si>
  <si>
    <t>London ; New York : Oxford University Press, 1969.</t>
  </si>
  <si>
    <t>288918903:eng</t>
  </si>
  <si>
    <t>67835</t>
  </si>
  <si>
    <t>ocm00067835</t>
  </si>
  <si>
    <t>3103678428Q</t>
  </si>
  <si>
    <t>9780192112866</t>
  </si>
  <si>
    <t>791245087</t>
  </si>
  <si>
    <t>PG5009 G6</t>
  </si>
  <si>
    <t>0                      PG 5009000G  6</t>
  </si>
  <si>
    <t>The silenced theatre : Czech playwrights without a stage / Marketa Goetz-Stankiewicz.</t>
  </si>
  <si>
    <t>Goetz-Stankiewicz, Marketa.</t>
  </si>
  <si>
    <t>Toronto ; Buffalo : University of Toronto Press, ©1979.</t>
  </si>
  <si>
    <t>2017-07-04</t>
  </si>
  <si>
    <t>15138605:eng</t>
  </si>
  <si>
    <t>4956770</t>
  </si>
  <si>
    <t>ocm04956770</t>
  </si>
  <si>
    <t>3000441312Z</t>
  </si>
  <si>
    <t>9780802054265</t>
  </si>
  <si>
    <t>792396770</t>
  </si>
  <si>
    <t>PG5027 D722 1985</t>
  </si>
  <si>
    <t>0                      PG 5027000D  722         1985</t>
  </si>
  <si>
    <t>DramaContemporary. Czechoslovakia : plays / by Milan Kundera [and others] ; edited with an introduction by Marketa Goetz-Stankiewicz.</t>
  </si>
  <si>
    <t>New York : Performing Arts Journal Publications, ©1985.</t>
  </si>
  <si>
    <t>DramaContemporary</t>
  </si>
  <si>
    <t>9566410982:eng</t>
  </si>
  <si>
    <t>36197071</t>
  </si>
  <si>
    <t>ocm36197071</t>
  </si>
  <si>
    <t>3000366716I</t>
  </si>
  <si>
    <t>9780933826762</t>
  </si>
  <si>
    <t>793468965</t>
  </si>
  <si>
    <t>PG5038 C3 A23 2002</t>
  </si>
  <si>
    <t>0                      PG 5038000C  3                  A  23          2002</t>
  </si>
  <si>
    <t>Cross roads / by Karel Capek ; translated from the Czech and introduction by Norma Comrada ; illustrated by Paul Hoffman.</t>
  </si>
  <si>
    <t>Čapek, Karel, 1890-1938.</t>
  </si>
  <si>
    <t>North Haven, CT : Catbird Press, ©2002.</t>
  </si>
  <si>
    <t>1st English-language ed.</t>
  </si>
  <si>
    <t>2019-10-09</t>
  </si>
  <si>
    <t>2908914931:eng</t>
  </si>
  <si>
    <t>48892660</t>
  </si>
  <si>
    <t>ocm48892660</t>
  </si>
  <si>
    <t>3102217176Q</t>
  </si>
  <si>
    <t>9780945774549</t>
  </si>
  <si>
    <t>793729837</t>
  </si>
  <si>
    <t>PG5038 C3 A25 1990</t>
  </si>
  <si>
    <t>0                      PG 5038000C  3                  A  25          1990</t>
  </si>
  <si>
    <t>Toward the radical center : a Karel Čapek reader / edited and with an introduction by Peter Kussi ; foreword by Arthur Miller ; translated by Norma Comrada [and others].</t>
  </si>
  <si>
    <t>Highland Park, NJ : Catbird Press, ©1990.</t>
  </si>
  <si>
    <t>375103240:eng</t>
  </si>
  <si>
    <t>20354307</t>
  </si>
  <si>
    <t>ocm20354307</t>
  </si>
  <si>
    <t>3103678642O</t>
  </si>
  <si>
    <t>9780945774068</t>
  </si>
  <si>
    <t>793085370</t>
  </si>
  <si>
    <t>PG5038 C3 D4</t>
  </si>
  <si>
    <t>0                      PG 5038000C  3                  D  4</t>
  </si>
  <si>
    <t>Fairy tales, with one extra as a makeweight by Joseph Čapek. Illustrated by Joseph Čapek.</t>
  </si>
  <si>
    <t>Holt [1933]</t>
  </si>
  <si>
    <t>2843344152:eng</t>
  </si>
  <si>
    <t>7455257</t>
  </si>
  <si>
    <t>ocm07455257</t>
  </si>
  <si>
    <t>3000774836L</t>
  </si>
  <si>
    <t>792559222</t>
  </si>
  <si>
    <t>PG5038 C3 I2 1940</t>
  </si>
  <si>
    <t>0                      PG 5038000C  3                  I  2           1940</t>
  </si>
  <si>
    <t>I had a dog and a cat; pictures drawn by Josef &amp; Karel Čapek; translated by M. &amp; R. Weatherall.</t>
  </si>
  <si>
    <t>London, G. Allen &amp; Unwin Ltd. [1940]</t>
  </si>
  <si>
    <t>6536411:eng</t>
  </si>
  <si>
    <t>2865405</t>
  </si>
  <si>
    <t>ocm02865405</t>
  </si>
  <si>
    <t>3000796036V</t>
  </si>
  <si>
    <t>792186731</t>
  </si>
  <si>
    <t>PG5038 C3 K613 1997</t>
  </si>
  <si>
    <t>0                      PG 5038000C  3                  K  613         1997</t>
  </si>
  <si>
    <t>Apocryphal tales : with a selection of fables and would-be tales / by Karel Čapek ; translated from the Czech and with an introduction by Norma Comrada.</t>
  </si>
  <si>
    <t>North Haven, CT : Catbird Press ; [Chicago, Ill.] : Distributed by Independent Publishers Group, ©1997.</t>
  </si>
  <si>
    <t>412721:eng</t>
  </si>
  <si>
    <t>36138444</t>
  </si>
  <si>
    <t>ocm36138444</t>
  </si>
  <si>
    <t>3101740751C</t>
  </si>
  <si>
    <t>9780945774341</t>
  </si>
  <si>
    <t>793467448</t>
  </si>
  <si>
    <t>PG5038 C3 K713</t>
  </si>
  <si>
    <t>0                      PG 5038000C  3                  K  713</t>
  </si>
  <si>
    <t>Krakatit / by Karel Čapek ; translated by Lawrence Hyde.</t>
  </si>
  <si>
    <t>Čapek, Karel, 1890-1938, author.</t>
  </si>
  <si>
    <t>New York : The Macmillan Company, 1925.</t>
  </si>
  <si>
    <t>1575203:eng</t>
  </si>
  <si>
    <t>544304</t>
  </si>
  <si>
    <t>ocm00544304</t>
  </si>
  <si>
    <t>30007961977</t>
  </si>
  <si>
    <t>791409532</t>
  </si>
  <si>
    <t>PG5038 C3 R213 2004</t>
  </si>
  <si>
    <t>0                      PG 5038000C  3                  R  213         2004</t>
  </si>
  <si>
    <t>R.U.R. (Rossum's universal robots) / Karel Čapek ; translated by Claudia Novack ; introduction by Ivan Klíma.</t>
  </si>
  <si>
    <t>23230570:eng</t>
  </si>
  <si>
    <t>52895643</t>
  </si>
  <si>
    <t>ocm52895643</t>
  </si>
  <si>
    <t>3103007018E</t>
  </si>
  <si>
    <t>9780141182087</t>
  </si>
  <si>
    <t>793816755</t>
  </si>
  <si>
    <t>PG5038 C3 R6 1961</t>
  </si>
  <si>
    <t>0                      PG 5038000C  3                  R  6           1961</t>
  </si>
  <si>
    <t>R.U.R. : and the insect play / by the Brothers Čapek ; [translated from the Czech by P. Selver].</t>
  </si>
  <si>
    <t>London : Oxford University Press, 1961.</t>
  </si>
  <si>
    <t>2017-10-29</t>
  </si>
  <si>
    <t>3520682:eng</t>
  </si>
  <si>
    <t>3891189</t>
  </si>
  <si>
    <t>ocm03891189</t>
  </si>
  <si>
    <t>30006179619</t>
  </si>
  <si>
    <t>9780192810106</t>
  </si>
  <si>
    <t>792302195</t>
  </si>
  <si>
    <t>PG5038 C3 T3</t>
  </si>
  <si>
    <t>0                      PG 5038000C  3                  T  3</t>
  </si>
  <si>
    <t>Tales from two pockets, by Karel Čapek ; translated from the Czech by Paul Selver.</t>
  </si>
  <si>
    <t>London : Faber &amp; Faber, Limited [1932]</t>
  </si>
  <si>
    <t>4494924128:eng</t>
  </si>
  <si>
    <t>8297092</t>
  </si>
  <si>
    <t>ocm08297092</t>
  </si>
  <si>
    <t>30007962031</t>
  </si>
  <si>
    <t>792610705</t>
  </si>
  <si>
    <t>PG5038 C3 V33 1967</t>
  </si>
  <si>
    <t>0                      PG 5038000C  3                  V  33          1967</t>
  </si>
  <si>
    <t>War with the newts / Karel Čapek ; translated by M. &amp; R. Weatherall.</t>
  </si>
  <si>
    <t>New York : Berkley Pub. Corp., 1967, ©1965.</t>
  </si>
  <si>
    <t>Berkley medallion ed.</t>
  </si>
  <si>
    <t>Berkley medallion ; S1404</t>
  </si>
  <si>
    <t>2016-01-28</t>
  </si>
  <si>
    <t>475306:eng</t>
  </si>
  <si>
    <t>761113</t>
  </si>
  <si>
    <t>ocm00761113</t>
  </si>
  <si>
    <t>3000613378$</t>
  </si>
  <si>
    <t>791463886</t>
  </si>
  <si>
    <t>PG5038 C3 V33 1975</t>
  </si>
  <si>
    <t>0                      PG 5038000C  3                  V  33          1975</t>
  </si>
  <si>
    <t>War with the newts / Karel Čapek ; with a new introd. by Darko Suvin.</t>
  </si>
  <si>
    <t>Boston : Gregg Press, 1975.</t>
  </si>
  <si>
    <t>The Gregg Press science fiction series</t>
  </si>
  <si>
    <t>2018-04-04</t>
  </si>
  <si>
    <t>1487359</t>
  </si>
  <si>
    <t>ocm01487359</t>
  </si>
  <si>
    <t>30002128125</t>
  </si>
  <si>
    <t>9780839823018</t>
  </si>
  <si>
    <t>791672854</t>
  </si>
  <si>
    <t>PG5038 C3 V33 1990</t>
  </si>
  <si>
    <t>0                      PG 5038000C  3                  V  33          1990</t>
  </si>
  <si>
    <t>War with the newts / by Karel Čapek ; a new translation from the Czech by Ewald Osers.</t>
  </si>
  <si>
    <t>Highland Park, N.J. : Catbird Press, [1990]</t>
  </si>
  <si>
    <t>2019-07-27</t>
  </si>
  <si>
    <t>20631270</t>
  </si>
  <si>
    <t>ocm20631270</t>
  </si>
  <si>
    <t>3102784945T</t>
  </si>
  <si>
    <t>9780945774105</t>
  </si>
  <si>
    <t>793093424</t>
  </si>
  <si>
    <t>PG5038 C3 Z53 1975</t>
  </si>
  <si>
    <t>0                      PG 5038000C  3                  Z  53          1975</t>
  </si>
  <si>
    <t>Anglickě listy Karla Čapka / Otakar Vočadlo.</t>
  </si>
  <si>
    <t>Praha : Academia, 1975.</t>
  </si>
  <si>
    <t>Prámeny k dějinám české literatury ; sv. 8</t>
  </si>
  <si>
    <t>3901144839:cze</t>
  </si>
  <si>
    <t>2620782</t>
  </si>
  <si>
    <t>ocm02620782</t>
  </si>
  <si>
    <t>3000434040X</t>
  </si>
  <si>
    <t>792153958</t>
  </si>
  <si>
    <t>PG5038 C3 Z67</t>
  </si>
  <si>
    <t>0                      PG 5038000C  3                  Z  67</t>
  </si>
  <si>
    <t>Karel Čapek.</t>
  </si>
  <si>
    <t>Harkins, William Edward.</t>
  </si>
  <si>
    <t>New York, Columbia University Press, 1962.</t>
  </si>
  <si>
    <t>2017-01-23</t>
  </si>
  <si>
    <t>3855295362:eng</t>
  </si>
  <si>
    <t>1021177</t>
  </si>
  <si>
    <t>ocm01021177</t>
  </si>
  <si>
    <t>3000796034Z</t>
  </si>
  <si>
    <t>791526678</t>
  </si>
  <si>
    <t>PG5038 C3 Z752413 2002</t>
  </si>
  <si>
    <t>0                      PG 5038000C  3                  Z  752413      2002</t>
  </si>
  <si>
    <t>Karel Čapek : life and work / by Ivan Klíma ; translated from the Czech by Norma Comrada.</t>
  </si>
  <si>
    <t>Klíma, Ivan.</t>
  </si>
  <si>
    <t>38106923:eng</t>
  </si>
  <si>
    <t>48920194</t>
  </si>
  <si>
    <t>ocm48920194</t>
  </si>
  <si>
    <t>3102200212V</t>
  </si>
  <si>
    <t>9780945774532</t>
  </si>
  <si>
    <t>793730430</t>
  </si>
  <si>
    <t>PG5038 C43 V29 1942</t>
  </si>
  <si>
    <t>0                      PG 5038000C  43                 V  29          1942</t>
  </si>
  <si>
    <t>V zemi ceské / Jan Čarek.</t>
  </si>
  <si>
    <t>Čarek, Jan, 1898-1966.</t>
  </si>
  <si>
    <t>Praha : Novina, 1942.</t>
  </si>
  <si>
    <t>Studnice ; sv. 14</t>
  </si>
  <si>
    <t>377231481:cze</t>
  </si>
  <si>
    <t>19541788</t>
  </si>
  <si>
    <t>ocm19541788</t>
  </si>
  <si>
    <t>3103337472V</t>
  </si>
  <si>
    <t>793061517</t>
  </si>
  <si>
    <t>PG5038 D2 D86 1990</t>
  </si>
  <si>
    <t>0                      PG 5038000D  2                  D  86          1990</t>
  </si>
  <si>
    <t>Dvorní šašci / Viktor Fischl.</t>
  </si>
  <si>
    <t>Fischl, Viktor, 1912-2006.</t>
  </si>
  <si>
    <t>Praha : Art-Servis, 1990.</t>
  </si>
  <si>
    <t>Vyd. 1.</t>
  </si>
  <si>
    <t>4535623710:cze</t>
  </si>
  <si>
    <t>23159285</t>
  </si>
  <si>
    <t>ocm23159285</t>
  </si>
  <si>
    <t>3100947084L</t>
  </si>
  <si>
    <t>9788071160014</t>
  </si>
  <si>
    <t>793163195</t>
  </si>
  <si>
    <t>PG5038 H28 O84 1983</t>
  </si>
  <si>
    <t>0                      PG 5038000H  28                 O  84          1983</t>
  </si>
  <si>
    <t>Jaroslav Hašek and the good soldier Schweik / Radko Pytlík.</t>
  </si>
  <si>
    <t>Pytlík, Radko.</t>
  </si>
  <si>
    <t>Prague : Panorama Pub., 1983.</t>
  </si>
  <si>
    <t>3650104:eng</t>
  </si>
  <si>
    <t>11664675</t>
  </si>
  <si>
    <t>ocm11664675</t>
  </si>
  <si>
    <t>31033005443</t>
  </si>
  <si>
    <t>792782694</t>
  </si>
  <si>
    <t>PG5038 H28 O8813</t>
  </si>
  <si>
    <t>0                      PG 5038000H  28                 O  8813</t>
  </si>
  <si>
    <t>The good soldier Švejk and his fortunes in the World War / Jaroslav Hašek ; a new and unabridged translation from the Czech by Cecil Parrott ; with the original illustrations by Josef Lada.</t>
  </si>
  <si>
    <t>Hašek, Jaroslav, 1883-1923, author.</t>
  </si>
  <si>
    <t>London : William Heinemann, 1973.</t>
  </si>
  <si>
    <t>2018-04-15</t>
  </si>
  <si>
    <t>2487898938:eng</t>
  </si>
  <si>
    <t>837611</t>
  </si>
  <si>
    <t>ocm00837611</t>
  </si>
  <si>
    <t>3102640096E</t>
  </si>
  <si>
    <t>9780434313754</t>
  </si>
  <si>
    <t>791483285</t>
  </si>
  <si>
    <t>PG5038 H62 A25x 1971</t>
  </si>
  <si>
    <t>0                      PG 5038000H  62                 A  25x         1971</t>
  </si>
  <si>
    <t>Selected poems; translated by Jarmila and Ian Milner; with an introduction by Ian Milner.</t>
  </si>
  <si>
    <t>Holan, Vladimír.</t>
  </si>
  <si>
    <t>Penguin modern European poets</t>
  </si>
  <si>
    <t>2016-07-19</t>
  </si>
  <si>
    <t>2763489538:eng</t>
  </si>
  <si>
    <t>667804</t>
  </si>
  <si>
    <t>ocm00667804</t>
  </si>
  <si>
    <t>30006170820</t>
  </si>
  <si>
    <t>9780140421347</t>
  </si>
  <si>
    <t>791441643</t>
  </si>
  <si>
    <t>PG5038 H64 A25 1967</t>
  </si>
  <si>
    <t>0                      PG 5038000H  64                 A  25          1967</t>
  </si>
  <si>
    <t>Selected poems; translated by Ian Milner and George Theiner, with an introduction by A. Alvarez.</t>
  </si>
  <si>
    <t>Holub, Miroslav, 1923-1998, author.</t>
  </si>
  <si>
    <t>Harmondsworth, Penguin, 1967.</t>
  </si>
  <si>
    <t>293145791:eng</t>
  </si>
  <si>
    <t>954899</t>
  </si>
  <si>
    <t>ocm00954899</t>
  </si>
  <si>
    <t>30005214980</t>
  </si>
  <si>
    <t>791510867</t>
  </si>
  <si>
    <t>PG5038 H67 H5 1945</t>
  </si>
  <si>
    <t>0                      PG 5038000H  67                 H  5           1945</t>
  </si>
  <si>
    <t>The hideout, by Egon Hostovsky, translated from the Czech by Fern Long.</t>
  </si>
  <si>
    <t>Hostovský, Egon, 1908-1973.</t>
  </si>
  <si>
    <t>[Place of publication not identified] : [publisher not identified], [©1945]</t>
  </si>
  <si>
    <t>149533856:eng</t>
  </si>
  <si>
    <t>427250176</t>
  </si>
  <si>
    <t>ocn427250176</t>
  </si>
  <si>
    <t>30007962112</t>
  </si>
  <si>
    <t>794553038</t>
  </si>
  <si>
    <t>PG5038 K573 U8713 2000</t>
  </si>
  <si>
    <t>0                      PG 5038000K  573                U  8713        2000</t>
  </si>
  <si>
    <t>The sufferings of Prince Sternenhoch : a grotesque romanetto / Ladislav Klíma ; translated from the Czech by Carleton Bulkin ; illustrations by Michal Vavrečka.</t>
  </si>
  <si>
    <t>Klíma, Ladislav, 1878-1928.</t>
  </si>
  <si>
    <t>Prague : Twisted Spoon Press ; Gardena, CA : Distributed in North America by SCB Distributors, 2000.</t>
  </si>
  <si>
    <t>1151309341:eng</t>
  </si>
  <si>
    <t>45623497</t>
  </si>
  <si>
    <t>ocm45623497</t>
  </si>
  <si>
    <t>3102127293R</t>
  </si>
  <si>
    <t>9788086264103</t>
  </si>
  <si>
    <t>793675069</t>
  </si>
  <si>
    <t>PG5038 K64 U213</t>
  </si>
  <si>
    <t>0                      PG 5038000K  64                 U  213</t>
  </si>
  <si>
    <t>Poor murderer : a play / by Pavel Kohout ; translated by Herbert Berghof and Laurence Luckinbill.</t>
  </si>
  <si>
    <t>Kohout, Pavel, 1928-</t>
  </si>
  <si>
    <t>New York : Viking Press, 1977.</t>
  </si>
  <si>
    <t>5900126:eng</t>
  </si>
  <si>
    <t>2644326</t>
  </si>
  <si>
    <t>ocm02644326</t>
  </si>
  <si>
    <t>3000452314K</t>
  </si>
  <si>
    <t>9780670564453</t>
  </si>
  <si>
    <t>792157048</t>
  </si>
  <si>
    <t>PG5038 L85 A2 1988</t>
  </si>
  <si>
    <t>0                      PG 5038000L  85                 A  2           1988</t>
  </si>
  <si>
    <t>Indecent dreams / Arnošt Lustig.</t>
  </si>
  <si>
    <t>Lustig, Arnošt, author.</t>
  </si>
  <si>
    <t>230935800:eng</t>
  </si>
  <si>
    <t>17546761</t>
  </si>
  <si>
    <t>ocm17546761</t>
  </si>
  <si>
    <t>3000536229X</t>
  </si>
  <si>
    <t>9780810107731</t>
  </si>
  <si>
    <t>792994805</t>
  </si>
  <si>
    <t>PG5038 L85 A2 2001</t>
  </si>
  <si>
    <t>0                      PG 5038000L  85                 A  2           2001</t>
  </si>
  <si>
    <t>The bitter smell of almonds : selected fiction / Arnošt Lustig.</t>
  </si>
  <si>
    <t>Lustig, Arnošt.</t>
  </si>
  <si>
    <t>Jewish lives</t>
  </si>
  <si>
    <t>1059211405:eng</t>
  </si>
  <si>
    <t>46969933</t>
  </si>
  <si>
    <t>ocm46969933</t>
  </si>
  <si>
    <t>3102136158W</t>
  </si>
  <si>
    <t>9780810119024</t>
  </si>
  <si>
    <t>793695664</t>
  </si>
  <si>
    <t>PG5038 L85 D37 1985</t>
  </si>
  <si>
    <t>0                      PG 5038000L  85                 D  37          1985</t>
  </si>
  <si>
    <t>Darkness casts no shadow / Arnošt Lustig ; translated from the Czech by Jeanne Němcová.</t>
  </si>
  <si>
    <t>Evanston, Illinois : Northwestern University Press, 1985.</t>
  </si>
  <si>
    <t>2017-12-22</t>
  </si>
  <si>
    <t>1807922827:eng</t>
  </si>
  <si>
    <t>12558492</t>
  </si>
  <si>
    <t>ocm12558492</t>
  </si>
  <si>
    <t>3000472828E</t>
  </si>
  <si>
    <t>9780810107045</t>
  </si>
  <si>
    <t>792819234</t>
  </si>
  <si>
    <t>PG5038 L85 N48 1985</t>
  </si>
  <si>
    <t>0                      PG 5038000L  85                 N  48          1985</t>
  </si>
  <si>
    <t>Night and hope / Arnošt Lustig ; translated from the Czech by George Theiner.</t>
  </si>
  <si>
    <t>14009313:eng</t>
  </si>
  <si>
    <t>12558489</t>
  </si>
  <si>
    <t>ocm12558489</t>
  </si>
  <si>
    <t>3000472917F</t>
  </si>
  <si>
    <t>9780810107021</t>
  </si>
  <si>
    <t>792819231</t>
  </si>
  <si>
    <t>PG5038 M28 M34</t>
  </si>
  <si>
    <t>0                      PG 5038000M  28                 M  34</t>
  </si>
  <si>
    <t>May / Karel Hynek Mácha ; rendered in English verse by Hugh Hamilton McGoverne, M.A. (oxon).</t>
  </si>
  <si>
    <t>Mácha, Karel Hynek, 1810-1836, author.</t>
  </si>
  <si>
    <t>Prague : Orbis, 1949.</t>
  </si>
  <si>
    <t>3723169:eng</t>
  </si>
  <si>
    <t>2829961</t>
  </si>
  <si>
    <t>ocm02829961</t>
  </si>
  <si>
    <t>3100387839C</t>
  </si>
  <si>
    <t>792182048</t>
  </si>
  <si>
    <t>PG5038 M28 S6x</t>
  </si>
  <si>
    <t>0                      PG 5038000M  28                 S  6x</t>
  </si>
  <si>
    <t>The Czech romantics.</t>
  </si>
  <si>
    <t>Součková, Milada, 1899-1983.</t>
  </si>
  <si>
    <t>Slavistic printings and reprintings, 17</t>
  </si>
  <si>
    <t>1352979:eng</t>
  </si>
  <si>
    <t>230553</t>
  </si>
  <si>
    <t>ocm00230553</t>
  </si>
  <si>
    <t>3103706882C</t>
  </si>
  <si>
    <t>791301795</t>
  </si>
  <si>
    <t>PG5038 M28 Z57</t>
  </si>
  <si>
    <t>0                      PG 5038000M  28                 Z  57</t>
  </si>
  <si>
    <t>Karel Hynek Mácha : studie literárni a povahopisná / J. Arbes ; [upravili a poznámkami doprovodili Karel Janský a Karel Polák].</t>
  </si>
  <si>
    <t>Arbes, Jakub, 1840-1914.</t>
  </si>
  <si>
    <t>[V Praze] : Melantrich, [1941]</t>
  </si>
  <si>
    <t>Dílo Jakuba Arbesa ; sv. 10</t>
  </si>
  <si>
    <t>3856845943:cze</t>
  </si>
  <si>
    <t>7349402</t>
  </si>
  <si>
    <t>ocm07349402</t>
  </si>
  <si>
    <t>3103706853J</t>
  </si>
  <si>
    <t>792554769</t>
  </si>
  <si>
    <t>PG5038 M28 Z67</t>
  </si>
  <si>
    <t>0                      PG 5038000M  28                 Z  67</t>
  </si>
  <si>
    <t>Mácha et la renaissance nationale en Bohême.</t>
  </si>
  <si>
    <t>Granjard, Henri.</t>
  </si>
  <si>
    <t>Paris, Institut d'études slaves de l'Université de Paris, 1957.</t>
  </si>
  <si>
    <t>Travaux publiés par l'Institut d'études slaves, 26</t>
  </si>
  <si>
    <t>23248636:fre</t>
  </si>
  <si>
    <t>6683566</t>
  </si>
  <si>
    <t>ocm06683566</t>
  </si>
  <si>
    <t>3000469397N</t>
  </si>
  <si>
    <t>792516423</t>
  </si>
  <si>
    <t>PG5038 M375 B3 1938</t>
  </si>
  <si>
    <t>0                      PG 5038000M  375                B  3           1938</t>
  </si>
  <si>
    <t>Barbar Vok.</t>
  </si>
  <si>
    <t>Mařánek, Jiři, 1891-1959.</t>
  </si>
  <si>
    <t>Praha, Družstevni Práce, 1938.</t>
  </si>
  <si>
    <t>11749541:cze</t>
  </si>
  <si>
    <t>7617877</t>
  </si>
  <si>
    <t>ocm07617877</t>
  </si>
  <si>
    <t>31013547297</t>
  </si>
  <si>
    <t>792569884</t>
  </si>
  <si>
    <t>PG5038 N4 B333 1982</t>
  </si>
  <si>
    <t>0                      PG 5038000N  4                  B  333         1982</t>
  </si>
  <si>
    <t>Knížka o Babičce a její autorce / Václav Černý.</t>
  </si>
  <si>
    <t>Černý, Václav, 1905-1987.</t>
  </si>
  <si>
    <t>Toronto, Ont., Canada : Sixty-Eight Publishers, 1982.</t>
  </si>
  <si>
    <t>2., doplněné a opravené vyd.</t>
  </si>
  <si>
    <t>2017-06-02</t>
  </si>
  <si>
    <t>28107284:cze</t>
  </si>
  <si>
    <t>9194827</t>
  </si>
  <si>
    <t>ocm09194827</t>
  </si>
  <si>
    <t>3000355079X</t>
  </si>
  <si>
    <t>9780887811029</t>
  </si>
  <si>
    <t>792663019</t>
  </si>
  <si>
    <t>PG5038 N45 A6 1921</t>
  </si>
  <si>
    <t>0                      PG 5038000N  45                 A  6           1921</t>
  </si>
  <si>
    <t>Vybrané spisy Jana Nerudy : v čtyrech dílech / uspořádal Arne Novák.</t>
  </si>
  <si>
    <t>Dil.2</t>
  </si>
  <si>
    <t>Neruda, Jan, 1834-1891.</t>
  </si>
  <si>
    <t>V Praze : F. Topič, 1921.</t>
  </si>
  <si>
    <t>2018-03-13</t>
  </si>
  <si>
    <t>315342897:cze</t>
  </si>
  <si>
    <t>427917559</t>
  </si>
  <si>
    <t>ocn427917559</t>
  </si>
  <si>
    <t>3101348315K</t>
  </si>
  <si>
    <t>794712036</t>
  </si>
  <si>
    <t>Dil.4</t>
  </si>
  <si>
    <t>3101348314M</t>
  </si>
  <si>
    <t>794712034</t>
  </si>
  <si>
    <t>Dil.3</t>
  </si>
  <si>
    <t>3101348316I</t>
  </si>
  <si>
    <t>794712035</t>
  </si>
  <si>
    <t>Dil.1</t>
  </si>
  <si>
    <t>3101348318E</t>
  </si>
  <si>
    <t>794712037</t>
  </si>
  <si>
    <t>PG5038 N45 P613 1996</t>
  </si>
  <si>
    <t>0                      PG 5038000N  45                 P  613         1996</t>
  </si>
  <si>
    <t>Prague tales / Jan Neruda ; translated by Michael Henry Heim ; introduction by Ivan Klíma.</t>
  </si>
  <si>
    <t>Budapest ; New York : Central European University Press, 1996.</t>
  </si>
  <si>
    <t>Central European classics</t>
  </si>
  <si>
    <t>4820341064:eng</t>
  </si>
  <si>
    <t>34496403</t>
  </si>
  <si>
    <t>ocm34496403</t>
  </si>
  <si>
    <t>3101536798D</t>
  </si>
  <si>
    <t>9781858660585</t>
  </si>
  <si>
    <t>793428034</t>
  </si>
  <si>
    <t>PG5038 N45 1907</t>
  </si>
  <si>
    <t>0                      PG 5038000N  45          1907</t>
  </si>
  <si>
    <t>Sebrané spisy. Řada 1. [Spisy belletristické].</t>
  </si>
  <si>
    <t>Dil.11</t>
  </si>
  <si>
    <t>V Praze, F. Topič, 1907-1915.</t>
  </si>
  <si>
    <t>1907</t>
  </si>
  <si>
    <t>3373430829:cze</t>
  </si>
  <si>
    <t>7160526</t>
  </si>
  <si>
    <t>ocm07160526</t>
  </si>
  <si>
    <t>3101348013$</t>
  </si>
  <si>
    <t>792542886</t>
  </si>
  <si>
    <t>Dil.10</t>
  </si>
  <si>
    <t>31013480121</t>
  </si>
  <si>
    <t>792542887</t>
  </si>
  <si>
    <t>Dil.5;c.5;sv.4</t>
  </si>
  <si>
    <t>3101348014Y</t>
  </si>
  <si>
    <t>792542888</t>
  </si>
  <si>
    <t>PG5038 N453 V93 1970</t>
  </si>
  <si>
    <t>0                      PG 5038000N  453                V  93          1970</t>
  </si>
  <si>
    <t>In the footsteps of the abominable snowman: stories of science and fantasy; translated from the Czech by Iris Urwin.</t>
  </si>
  <si>
    <t>Nesvadba, Josef.</t>
  </si>
  <si>
    <t>London, Gollancz, 1970.</t>
  </si>
  <si>
    <t>1781459945:eng</t>
  </si>
  <si>
    <t>103266</t>
  </si>
  <si>
    <t>ocm00103266</t>
  </si>
  <si>
    <t>3000647076E</t>
  </si>
  <si>
    <t>9780575004276</t>
  </si>
  <si>
    <t>791257897</t>
  </si>
  <si>
    <t>PG5038 N47 A26 2004</t>
  </si>
  <si>
    <t>0                      PG 5038000N  47                 A  26          2004</t>
  </si>
  <si>
    <t>Edition 69 : Vítĕzslav Nezval, Jindr̆ich S̆tyrský / illustrated by Jindr̆ich S̆tyrský ; translated from the Czech by Jed Slast.</t>
  </si>
  <si>
    <t>Nezval, Vítězslav, 1900-1958.</t>
  </si>
  <si>
    <t>Prague : Twisted Spoon Press ; Gardena, CA : Distributed in North America by SCB Distributors, 2004.</t>
  </si>
  <si>
    <t>1076250:eng</t>
  </si>
  <si>
    <t>57470869</t>
  </si>
  <si>
    <t>ocm57470869</t>
  </si>
  <si>
    <t>3102506455C</t>
  </si>
  <si>
    <t>9788086264097</t>
  </si>
  <si>
    <t>793913584</t>
  </si>
  <si>
    <t>PG5038 N47 A713 2001</t>
  </si>
  <si>
    <t>0                      PG 5038000N  47                 A  713         2001</t>
  </si>
  <si>
    <t>Antilyrik &amp; other poems / Vitezslav Nezval ; translated from the Czech by Jerome Rothenberg &amp; Milos Sovak.</t>
  </si>
  <si>
    <t>Green Integer ; 73</t>
  </si>
  <si>
    <t>877493:eng</t>
  </si>
  <si>
    <t>47885863</t>
  </si>
  <si>
    <t>ocm47885863</t>
  </si>
  <si>
    <t>31021250012</t>
  </si>
  <si>
    <t>9781892295750</t>
  </si>
  <si>
    <t>793710101</t>
  </si>
  <si>
    <t>PG5038 N47 M36 1972</t>
  </si>
  <si>
    <t>0                      PG 5038000N  47                 M  36          1972</t>
  </si>
  <si>
    <t>Manon Lescaut : hra o sedmi obrazech / Vitezslav Nezval ; ilustroval Vladimir Sychra.</t>
  </si>
  <si>
    <t>Praha : Československý spisovatel, 1972.</t>
  </si>
  <si>
    <t>2260840182:cze</t>
  </si>
  <si>
    <t>427515367</t>
  </si>
  <si>
    <t>ocn427515367</t>
  </si>
  <si>
    <t>3100950593T</t>
  </si>
  <si>
    <t>9788020200334</t>
  </si>
  <si>
    <t>794672833</t>
  </si>
  <si>
    <t>PG5038 N47 Z9 1976</t>
  </si>
  <si>
    <t>0                      PG 5038000N  47                 Z  9           1976</t>
  </si>
  <si>
    <t>Vítězslav Nezval : literární studie / Jiří Taufer ; [fot. kol.].</t>
  </si>
  <si>
    <t>Taufer, Jiří.</t>
  </si>
  <si>
    <t>Praha : Práce, 1976.</t>
  </si>
  <si>
    <t>2., dopln. vyd.</t>
  </si>
  <si>
    <t>2018-07-05</t>
  </si>
  <si>
    <t>3901458885:cze</t>
  </si>
  <si>
    <t>3038197</t>
  </si>
  <si>
    <t>ocm03038197</t>
  </si>
  <si>
    <t>30004324863</t>
  </si>
  <si>
    <t>792209522</t>
  </si>
  <si>
    <t>PG5038 S45 A23 1997</t>
  </si>
  <si>
    <t>0                      PG 5038000S  45                 A  23          1997</t>
  </si>
  <si>
    <t>The early poetry of Jaroslav Seifert / translated by Dana Loewy.</t>
  </si>
  <si>
    <t>Seifert, Jaroslav, 1901-1986.</t>
  </si>
  <si>
    <t>Evanston, Ill. : Hydra Books : Northwestern University Press, 1997.</t>
  </si>
  <si>
    <t>20607933:eng</t>
  </si>
  <si>
    <t>36597751</t>
  </si>
  <si>
    <t>ocm36597751</t>
  </si>
  <si>
    <t>3101828265N</t>
  </si>
  <si>
    <t>9780810113831</t>
  </si>
  <si>
    <t>793479366</t>
  </si>
  <si>
    <t>PG5038 S45 A25 1998</t>
  </si>
  <si>
    <t>0                      PG 5038000S  45                 A  25          1998</t>
  </si>
  <si>
    <t>The poetry of Jaroslav Seifert / translated from the Czech by Ewald Osers ; edited and with prose translations by George Gibian.</t>
  </si>
  <si>
    <t>North Haven, CT : Catbird Press, ©1998.</t>
  </si>
  <si>
    <t>196931393:eng</t>
  </si>
  <si>
    <t>37712970</t>
  </si>
  <si>
    <t>ocm37712970</t>
  </si>
  <si>
    <t>31018927164</t>
  </si>
  <si>
    <t>9780945774396</t>
  </si>
  <si>
    <t>793505325</t>
  </si>
  <si>
    <t>PG5038 S45 A6 1986</t>
  </si>
  <si>
    <t>0                      PG 5038000S  45                 A  6           1986</t>
  </si>
  <si>
    <t>The selected poetry of Jaroslav Seifert / translated from the Czech by Ewald Osers ; edited and with additional translations by George Gibian.</t>
  </si>
  <si>
    <t>New York : Macmillan Pub. Co., [©1986]</t>
  </si>
  <si>
    <t>196931353:eng</t>
  </si>
  <si>
    <t>12978793</t>
  </si>
  <si>
    <t>ocm12978793</t>
  </si>
  <si>
    <t>3000473532U</t>
  </si>
  <si>
    <t>9780026091503</t>
  </si>
  <si>
    <t>792835773</t>
  </si>
  <si>
    <t>PG5038 S527 P7213 1993</t>
  </si>
  <si>
    <t>0                      PG 5038000S  527                P  7213        1993</t>
  </si>
  <si>
    <t>The engineer of human souls : an entertainment on the old themes of life, women, fate, dreams, the working class, secret agents, love and death / Josef Skvorecky ; translated from the Czech by Paul Wilson.</t>
  </si>
  <si>
    <t>Toronto : Lester &amp; Orpen Dennys, [1993], c1984.</t>
  </si>
  <si>
    <t>3372192077:eng</t>
  </si>
  <si>
    <t>28670264</t>
  </si>
  <si>
    <t>ocm28670264</t>
  </si>
  <si>
    <t>31012575823</t>
  </si>
  <si>
    <t>9781550135343</t>
  </si>
  <si>
    <t>793293262</t>
  </si>
  <si>
    <t>PG5038 S527 Z47813 2000</t>
  </si>
  <si>
    <t>0                      PG 5038000S  527                Z  47813       2000</t>
  </si>
  <si>
    <t>When Eve was naked : a journey through life / Josef Skvorecky.</t>
  </si>
  <si>
    <t>Škvorecký, Josef, 1924-2012.</t>
  </si>
  <si>
    <t>Toronto : Key Porter, ©2000.</t>
  </si>
  <si>
    <t>1059135338:eng</t>
  </si>
  <si>
    <t>44545856</t>
  </si>
  <si>
    <t>ocm44545856</t>
  </si>
  <si>
    <t>3102059858L</t>
  </si>
  <si>
    <t>9781552631690</t>
  </si>
  <si>
    <t>793652818</t>
  </si>
  <si>
    <t>PG5038 S527 Z53 1994</t>
  </si>
  <si>
    <t>0                      PG 5038000S  527                Z  53          1994</t>
  </si>
  <si>
    <t>The Achievement of Josef Škvorecký / edited by Sam Solecki.</t>
  </si>
  <si>
    <t>Toronto ; Buffalo : University of Toronto Press, 1994.</t>
  </si>
  <si>
    <t>2011-05-01</t>
  </si>
  <si>
    <t>2018-03-19</t>
  </si>
  <si>
    <t>55801149:eng</t>
  </si>
  <si>
    <t>29910656</t>
  </si>
  <si>
    <t>ocm29910656</t>
  </si>
  <si>
    <t>31013390122</t>
  </si>
  <si>
    <t>9780802059178</t>
  </si>
  <si>
    <t>793323637</t>
  </si>
  <si>
    <t>31013390114</t>
  </si>
  <si>
    <t>793323636</t>
  </si>
  <si>
    <t>PG5038 W4 Z313 1989</t>
  </si>
  <si>
    <t>0                      PG 5038000W  4                  Z  313         1989</t>
  </si>
  <si>
    <t>Life with a star / Jiří Weil ; with a preface by Philip Roth ; translated from the Czech by Ruzena Kovarikova with Roslyn Schloss.</t>
  </si>
  <si>
    <t>Weil, Jiří.</t>
  </si>
  <si>
    <t>New York : Farrar, Straus &amp; Giroux, ©1989.</t>
  </si>
  <si>
    <t>Kapka ; sv. 67</t>
  </si>
  <si>
    <t>2829764554:eng</t>
  </si>
  <si>
    <t>18291742</t>
  </si>
  <si>
    <t>ocm18291742</t>
  </si>
  <si>
    <t>3103679608J</t>
  </si>
  <si>
    <t>9780374187378</t>
  </si>
  <si>
    <t>793020036</t>
  </si>
  <si>
    <t>PG5039.17 R87 D613 1982</t>
  </si>
  <si>
    <t>0                      PG 5039170R  87                 D  613         1982</t>
  </si>
  <si>
    <t>The questionnaire, or, Prayer for a town &amp; a friend / Jiří Gruša ; translated from the Czech by Peter Kussi.</t>
  </si>
  <si>
    <t>Gruša, Jiří, author.</t>
  </si>
  <si>
    <t>New York, N.Y. : Farrar, Straus &amp; Giroux, ©1982.</t>
  </si>
  <si>
    <t>2016-04-18</t>
  </si>
  <si>
    <t>3901619736:eng</t>
  </si>
  <si>
    <t>8347273</t>
  </si>
  <si>
    <t>ocm08347273</t>
  </si>
  <si>
    <t>3000342262Q</t>
  </si>
  <si>
    <t>9780374240103</t>
  </si>
  <si>
    <t>792614530</t>
  </si>
  <si>
    <t>PG5039.18 A9 A2 1994</t>
  </si>
  <si>
    <t>0                      PG 5039180A  9                  A  2           1994</t>
  </si>
  <si>
    <t>Selected plays, 1984-87 / Václav Havel.</t>
  </si>
  <si>
    <t>Havel, Václav.</t>
  </si>
  <si>
    <t>London ; Boston : Faber and Faber, 1994.</t>
  </si>
  <si>
    <t>224506184:eng</t>
  </si>
  <si>
    <t>34966657</t>
  </si>
  <si>
    <t>ocm34966657</t>
  </si>
  <si>
    <t>31014889063</t>
  </si>
  <si>
    <t>9780571172115</t>
  </si>
  <si>
    <t>793440014</t>
  </si>
  <si>
    <t>PG5039.18 A9 A25 1992</t>
  </si>
  <si>
    <t>0                      PG 5039180A  9                  A  25          1992</t>
  </si>
  <si>
    <t>Selected plays, 1963-83 / Václav Havel.</t>
  </si>
  <si>
    <t>London : Faber Paperbacks, 1992.</t>
  </si>
  <si>
    <t>224506119:eng</t>
  </si>
  <si>
    <t>427960789</t>
  </si>
  <si>
    <t>ocn427960789</t>
  </si>
  <si>
    <t>3101218305B</t>
  </si>
  <si>
    <t>9780571160600</t>
  </si>
  <si>
    <t>794722637</t>
  </si>
  <si>
    <t>PG5039.18 A9 L3713 1987</t>
  </si>
  <si>
    <t>0                      PG 5039180A  9                  L  3713        1987</t>
  </si>
  <si>
    <t>Largo desolato : a play in seven scenes / Vaclav Havel ; English version by Tom Stoppard.</t>
  </si>
  <si>
    <t>London : Faber, 1987.</t>
  </si>
  <si>
    <t>10141277347:eng</t>
  </si>
  <si>
    <t>12500565</t>
  </si>
  <si>
    <t>ocm12500565</t>
  </si>
  <si>
    <t>3000527093X</t>
  </si>
  <si>
    <t>9780571137770</t>
  </si>
  <si>
    <t>792816952</t>
  </si>
  <si>
    <t>PG5039.18 A9 V913 1981</t>
  </si>
  <si>
    <t>0                      PG 5039180A  9                  V  913         1981</t>
  </si>
  <si>
    <t>The memorandum / Václav Havel ; translated from the Czech by Vera Blackwell ; introd. by Tom Stoppard.</t>
  </si>
  <si>
    <t>London : Eyre Methuen, 1981.</t>
  </si>
  <si>
    <t>A Methuen modern play</t>
  </si>
  <si>
    <t>1482109:eng</t>
  </si>
  <si>
    <t>7525046</t>
  </si>
  <si>
    <t>ocm07525046</t>
  </si>
  <si>
    <t>3000319017M</t>
  </si>
  <si>
    <t>9780413483102</t>
  </si>
  <si>
    <t>792563403</t>
  </si>
  <si>
    <t>PG5039.18 A9 Z313 2001</t>
  </si>
  <si>
    <t>0                      PG 5039180A  9                  Z  313         2001</t>
  </si>
  <si>
    <t>The beggar's opera / Vaclav Havel ; translated from the Czech by Paul Wilson ; introduction by Peter Steiner.</t>
  </si>
  <si>
    <t>Ithaca : Cornell University Press, ©2001.</t>
  </si>
  <si>
    <t>4820493443:eng</t>
  </si>
  <si>
    <t>45123233</t>
  </si>
  <si>
    <t>ocm45123233</t>
  </si>
  <si>
    <t>3102109100T</t>
  </si>
  <si>
    <t>9780801438332</t>
  </si>
  <si>
    <t>793665028</t>
  </si>
  <si>
    <t>PG5039.18 A9 Z453</t>
  </si>
  <si>
    <t>0                      PG 5039180A  9                  Z  453</t>
  </si>
  <si>
    <t>The increased difficulty of concentration; translated from the Czech by Vera Blackwell.</t>
  </si>
  <si>
    <t>London, Cape, 1972.</t>
  </si>
  <si>
    <t>Cape editions ; 49</t>
  </si>
  <si>
    <t>9657984309:eng</t>
  </si>
  <si>
    <t>495978</t>
  </si>
  <si>
    <t>ocm00495978</t>
  </si>
  <si>
    <t>30006176687</t>
  </si>
  <si>
    <t>9780224618601</t>
  </si>
  <si>
    <t>791393889</t>
  </si>
  <si>
    <t>PG5039.18 A9 Z474 1991</t>
  </si>
  <si>
    <t>0                      PG 5039180A  9                  Z  474         1991</t>
  </si>
  <si>
    <t>Open letters : selected prose, 1964-1990 / Vaclav Havel ; selected and edited by Paul Wilson.</t>
  </si>
  <si>
    <t>London ; Boston : Faber &amp; Faber, 1991.</t>
  </si>
  <si>
    <t>24787254:eng</t>
  </si>
  <si>
    <t>61655885</t>
  </si>
  <si>
    <t>ocm61655885</t>
  </si>
  <si>
    <t>31009508118</t>
  </si>
  <si>
    <t>9780571143702</t>
  </si>
  <si>
    <t>794089678</t>
  </si>
  <si>
    <t>PG5039.18 A9 Z48413 1988</t>
  </si>
  <si>
    <t>0                      PG 5039180A  9                  Z  48413       1988</t>
  </si>
  <si>
    <t>Letters to Olga : June 1979-September 1982 / Václav Havel ; translated from the Czech with an introduction by Paul Wilson.</t>
  </si>
  <si>
    <t>Havel, Václav, author.</t>
  </si>
  <si>
    <t>New York : Alfred A. Knopf, 1988.</t>
  </si>
  <si>
    <t>8907052802:eng</t>
  </si>
  <si>
    <t>16005605</t>
  </si>
  <si>
    <t>ocm16005605</t>
  </si>
  <si>
    <t>3102247970O</t>
  </si>
  <si>
    <t>9780394547954</t>
  </si>
  <si>
    <t>792950959</t>
  </si>
  <si>
    <t>PG5039.18 A9 Z64 2015</t>
  </si>
  <si>
    <t>0                      PG 5039180A  9                  Z  64          2015</t>
  </si>
  <si>
    <t>Reading Václav Havel / David S. Danaher.</t>
  </si>
  <si>
    <t>Danaher, David S, author.</t>
  </si>
  <si>
    <t>Toronto ; Buffalo ; London : University of Toronto Press, [2015]</t>
  </si>
  <si>
    <t>2017-03-19</t>
  </si>
  <si>
    <t>2520163718:eng</t>
  </si>
  <si>
    <t>898089310</t>
  </si>
  <si>
    <t>ocn898089310</t>
  </si>
  <si>
    <t>3103496302G</t>
  </si>
  <si>
    <t>9781442649927</t>
  </si>
  <si>
    <t>794985778</t>
  </si>
  <si>
    <t>PG5039.18 A9 Z86 2012</t>
  </si>
  <si>
    <t>0                      PG 5039180A  9                  Z  86          2012</t>
  </si>
  <si>
    <t>Political action in Václav Havel's thought : the responsibility of resistance / Delia Popescu.</t>
  </si>
  <si>
    <t>Popescu, Delia, 1978-</t>
  </si>
  <si>
    <t>Lanham, Md. : Lexington Books, ©2012.</t>
  </si>
  <si>
    <t>2017-01-26</t>
  </si>
  <si>
    <t>1077214696:eng</t>
  </si>
  <si>
    <t>748331448</t>
  </si>
  <si>
    <t>ocn748331448</t>
  </si>
  <si>
    <t>3103469834Z</t>
  </si>
  <si>
    <t>9780739149577</t>
  </si>
  <si>
    <t>794889139</t>
  </si>
  <si>
    <t>PG5039.18 A9 Z87 2005</t>
  </si>
  <si>
    <t>0                      PG 5039180A  9                  Z  87          2005</t>
  </si>
  <si>
    <t>Acts of courage : Vaclav Havel's life in the theater / Carol Rocamora.</t>
  </si>
  <si>
    <t>Rocamora, Carol.</t>
  </si>
  <si>
    <t>Hanover, NH : Smith and Kraus, 2005.</t>
  </si>
  <si>
    <t>196682521:eng</t>
  </si>
  <si>
    <t>53000554</t>
  </si>
  <si>
    <t>ocm53000554</t>
  </si>
  <si>
    <t>3102486198G</t>
  </si>
  <si>
    <t>9781575253442</t>
  </si>
  <si>
    <t>793818860</t>
  </si>
  <si>
    <t>PG5039.18 A9 Z93 1987</t>
  </si>
  <si>
    <t>0                      PG 5039180A  9                  Z  93          1987</t>
  </si>
  <si>
    <t>Václav Havel, or, Living in truth : twenty-two essays published on the occasion of the award of the Erasmus Prize to Václav Havel / edited by Jan Vladislav.</t>
  </si>
  <si>
    <t>London : Faber and Faber, 1987.</t>
  </si>
  <si>
    <t>793063497:eng</t>
  </si>
  <si>
    <t>14718006</t>
  </si>
  <si>
    <t>ocm14718006</t>
  </si>
  <si>
    <t>3103706901Y</t>
  </si>
  <si>
    <t>9780571148745</t>
  </si>
  <si>
    <t>792900070</t>
  </si>
  <si>
    <t>PG5039.18 R2 A2 2018</t>
  </si>
  <si>
    <t>0                      PG 5039180R  2                  A  2           2018</t>
  </si>
  <si>
    <t>Murder ballads and other legends / by Bohumil Hrabal ; translated by Timothy West.</t>
  </si>
  <si>
    <t>Hrabal, Bohumil, 1914-1997, author.</t>
  </si>
  <si>
    <t>Bloomington, Indiana : Three String Books, 2018.</t>
  </si>
  <si>
    <t>2019-05-17</t>
  </si>
  <si>
    <t>9955131256:eng</t>
  </si>
  <si>
    <t>1028612282</t>
  </si>
  <si>
    <t>on1028612282</t>
  </si>
  <si>
    <t>3103812782N</t>
  </si>
  <si>
    <t>9780893574802</t>
  </si>
  <si>
    <t>795053272</t>
  </si>
  <si>
    <t>PG5039.18 R2 A93x</t>
  </si>
  <si>
    <t>0                      PG 5039180R  2                  A  93x</t>
  </si>
  <si>
    <t>The death of Mr. Baltisberger / by Bohumil Hrabal ; translated from the Czech by Michael Heim ; introd. translated from the Czech by Kaca Polackova.</t>
  </si>
  <si>
    <t>Garden City, N.Y. : Doubleday, 1975.</t>
  </si>
  <si>
    <t>54099315:eng</t>
  </si>
  <si>
    <t>902794</t>
  </si>
  <si>
    <t>ocm00902794</t>
  </si>
  <si>
    <t>3102506446E</t>
  </si>
  <si>
    <t>9780385006927</t>
  </si>
  <si>
    <t>791498504</t>
  </si>
  <si>
    <t>PG5039.18 R2 O2713 1989</t>
  </si>
  <si>
    <t>0                      PG 5039180R  2                  O  2713        1989</t>
  </si>
  <si>
    <t>I served the King of England / Bohumil Hrabal.</t>
  </si>
  <si>
    <t>Hrabal, Bohumil, 1914-1997.</t>
  </si>
  <si>
    <t>San Diego : Harcourt Brace Jovanovich, ©1989.</t>
  </si>
  <si>
    <t>2908573784:eng</t>
  </si>
  <si>
    <t>18014559</t>
  </si>
  <si>
    <t>ocm18014559</t>
  </si>
  <si>
    <t>3102795473T</t>
  </si>
  <si>
    <t>9780151457458</t>
  </si>
  <si>
    <t>793010524</t>
  </si>
  <si>
    <t>PG5039.18 R2 O83x 1968</t>
  </si>
  <si>
    <t>0                      PG 5039180R  2                  O  83x         1968</t>
  </si>
  <si>
    <t>Closely watched trains. Translated from the Czech by Edith Pargeter.</t>
  </si>
  <si>
    <t>New York, Grove Press [1968]</t>
  </si>
  <si>
    <t>An Evergreen black cat book</t>
  </si>
  <si>
    <t>2908528232:eng</t>
  </si>
  <si>
    <t>1298954</t>
  </si>
  <si>
    <t>ocm01298954</t>
  </si>
  <si>
    <t>3102799564C</t>
  </si>
  <si>
    <t>791594201</t>
  </si>
  <si>
    <t>PG5039.18 R2 P713 1990</t>
  </si>
  <si>
    <t>0                      PG 5039180R  2                  P  713         1990</t>
  </si>
  <si>
    <t>Too loud a solitude / Bohumil Hrabal ; translated from the Czech by Michael Henry Heim.</t>
  </si>
  <si>
    <t>San Diego : Harcourt Brace Jovanovich, ©1990.</t>
  </si>
  <si>
    <t>2017-07-22</t>
  </si>
  <si>
    <t>1807073609:eng</t>
  </si>
  <si>
    <t>21295027</t>
  </si>
  <si>
    <t>ocm21295027</t>
  </si>
  <si>
    <t>3100486069X</t>
  </si>
  <si>
    <t>9780151904914</t>
  </si>
  <si>
    <t>793114459</t>
  </si>
  <si>
    <t>31026695410</t>
  </si>
  <si>
    <t>793114458</t>
  </si>
  <si>
    <t>PG5039.18 R2 T313 1995</t>
  </si>
  <si>
    <t>0                      PG 5039180R  2                  T  313         1995</t>
  </si>
  <si>
    <t>Dancing lessons for the advanced in age / Bohumil Hrabal ; translated from the Czech by Michael Henry Heim.</t>
  </si>
  <si>
    <t>New York : Harcourt Brace, ©1995.</t>
  </si>
  <si>
    <t>Harvest book</t>
  </si>
  <si>
    <t>27690334:eng</t>
  </si>
  <si>
    <t>32242437</t>
  </si>
  <si>
    <t>ocm32242437</t>
  </si>
  <si>
    <t>3102799806F</t>
  </si>
  <si>
    <t>9780151238101</t>
  </si>
  <si>
    <t>793379199</t>
  </si>
  <si>
    <t>3101968698Z</t>
  </si>
  <si>
    <t>793379200</t>
  </si>
  <si>
    <t>PG5039.21 A5 P713 1987</t>
  </si>
  <si>
    <t>0                      PG 5039210A  5                  P  713         1987</t>
  </si>
  <si>
    <t>My companions in the bleak house / Eva Kantůrková.</t>
  </si>
  <si>
    <t>Kantůrková, Eva, 1930- author.</t>
  </si>
  <si>
    <t>Woodstock, New York : The Overlook Press, 1987.</t>
  </si>
  <si>
    <t>10103267:eng</t>
  </si>
  <si>
    <t>15316465</t>
  </si>
  <si>
    <t>ocm15316465</t>
  </si>
  <si>
    <t>31002273529</t>
  </si>
  <si>
    <t>9780879512897</t>
  </si>
  <si>
    <t>792927838</t>
  </si>
  <si>
    <t>PG5039.21 L5 A285 1994</t>
  </si>
  <si>
    <t>0                      PG 5039210L  5                  A  285         1994</t>
  </si>
  <si>
    <t>The spirit of Prague and other essays / Ivan Klíma ; translated from the Czech by Paul Wilson.</t>
  </si>
  <si>
    <t>Klíma, Ivan, 1931-</t>
  </si>
  <si>
    <t>London : Granta in association with Penguin Books, ©1994.</t>
  </si>
  <si>
    <t>198049041:eng</t>
  </si>
  <si>
    <t>59937439</t>
  </si>
  <si>
    <t>ocm59937439</t>
  </si>
  <si>
    <t>3101447303P</t>
  </si>
  <si>
    <t>9780140140682</t>
  </si>
  <si>
    <t>793932883</t>
  </si>
  <si>
    <t>PG5039.21 L5 L163</t>
  </si>
  <si>
    <t>0                      PG 5039210L  5                  L  163</t>
  </si>
  <si>
    <t>A ship named Hope : two novels / by Ivan Klíma ; translated from the Czech by Edith Pargeter.</t>
  </si>
  <si>
    <t>London : Victor Gollancz, Ltd., 1970.</t>
  </si>
  <si>
    <t>1276862:eng</t>
  </si>
  <si>
    <t>163862</t>
  </si>
  <si>
    <t>ocm00163862</t>
  </si>
  <si>
    <t>3103592348C</t>
  </si>
  <si>
    <t>9780575004474</t>
  </si>
  <si>
    <t>791277301</t>
  </si>
  <si>
    <t>PG5039.21 L5 M613 1986</t>
  </si>
  <si>
    <t>0                      PG 5039210L  5                  M  613         1986</t>
  </si>
  <si>
    <t>My first loves / Ivan Klíma ; translated from the Czech by Ewald Osers.</t>
  </si>
  <si>
    <t>London : Chatto &amp; Windus, 1986.</t>
  </si>
  <si>
    <t>2018-01-15</t>
  </si>
  <si>
    <t>4995493:eng</t>
  </si>
  <si>
    <t>18019637</t>
  </si>
  <si>
    <t>ocm18019637</t>
  </si>
  <si>
    <t>3000474219T</t>
  </si>
  <si>
    <t>9780701130145</t>
  </si>
  <si>
    <t>793011029</t>
  </si>
  <si>
    <t>PG5039.21 L5 S6813 1993</t>
  </si>
  <si>
    <t>0                      PG 5039210L  5                  S  6813        1993</t>
  </si>
  <si>
    <t>Judge on trial / Ivan Klíma ; translated from the Czech by A.G. Brain.</t>
  </si>
  <si>
    <t>848128:eng</t>
  </si>
  <si>
    <t>26552778</t>
  </si>
  <si>
    <t>ocm26552778</t>
  </si>
  <si>
    <t>31012344194</t>
  </si>
  <si>
    <t>9780394589770</t>
  </si>
  <si>
    <t>793246875</t>
  </si>
  <si>
    <t>PG5039.21 L5 Z9 2013</t>
  </si>
  <si>
    <t>0                      PG 5039210L  5                  Z  9           2013</t>
  </si>
  <si>
    <t>My crazy century / Ivan Klíma ; translated from the Czech by Craig Cravens.</t>
  </si>
  <si>
    <t>Klíma, Ivan, author.</t>
  </si>
  <si>
    <t>New York : Grove Press, [2013]</t>
  </si>
  <si>
    <t>2014-04-28</t>
  </si>
  <si>
    <t>4757694152:eng</t>
  </si>
  <si>
    <t>837956382</t>
  </si>
  <si>
    <t>ocn837956382</t>
  </si>
  <si>
    <t>3103528824I</t>
  </si>
  <si>
    <t>9780802121707</t>
  </si>
  <si>
    <t>794945245</t>
  </si>
  <si>
    <t>PG5039.21 U6 I3413 1998</t>
  </si>
  <si>
    <t>0                      PG 5039210U  6                  I  3413        1998</t>
  </si>
  <si>
    <t>Identity / Milan Kundera ; translated from the French by Linda Asher.</t>
  </si>
  <si>
    <t>Kundera, Milan.</t>
  </si>
  <si>
    <t>New York : HarperFlamingo, ©1998.</t>
  </si>
  <si>
    <t>1216229451:eng</t>
  </si>
  <si>
    <t>37688257</t>
  </si>
  <si>
    <t>ocm37688257</t>
  </si>
  <si>
    <t>31018744728</t>
  </si>
  <si>
    <t>9780060175641</t>
  </si>
  <si>
    <t>793504634</t>
  </si>
  <si>
    <t>2014-05-01</t>
  </si>
  <si>
    <t>3102799511M</t>
  </si>
  <si>
    <t>793504635</t>
  </si>
  <si>
    <t>PG5039.21 U6 I36 2005</t>
  </si>
  <si>
    <t>0                      PG 5039210U  6                  I  36          2005</t>
  </si>
  <si>
    <t>L'ignorance / Milan Kundera ; postface de François Ricard.</t>
  </si>
  <si>
    <t>[Paris] : Gallimard, ©2005.</t>
  </si>
  <si>
    <t>Folio ; 4155</t>
  </si>
  <si>
    <t>4916762514:fre</t>
  </si>
  <si>
    <t>57765937</t>
  </si>
  <si>
    <t>ocm57765937</t>
  </si>
  <si>
    <t>3103213662M</t>
  </si>
  <si>
    <t>9782070306107</t>
  </si>
  <si>
    <t>793919104</t>
  </si>
  <si>
    <t>PG5039.21 U6 I3613 2002</t>
  </si>
  <si>
    <t>0                      PG 5039210U  6                  I  3613        2002</t>
  </si>
  <si>
    <t>Ignorance / Milan Kundera ; translated from the French by Linda Asher.</t>
  </si>
  <si>
    <t>Kundera, Milan, author.</t>
  </si>
  <si>
    <t>New York, NY : HarperCollins Publishers</t>
  </si>
  <si>
    <t>1st edition.</t>
  </si>
  <si>
    <t>2013-07-14</t>
  </si>
  <si>
    <t>4916762514:eng</t>
  </si>
  <si>
    <t>50492937</t>
  </si>
  <si>
    <t>ocm50492937</t>
  </si>
  <si>
    <t>3102739880T</t>
  </si>
  <si>
    <t>9780060002091</t>
  </si>
  <si>
    <t>793766042</t>
  </si>
  <si>
    <t>3102233755I</t>
  </si>
  <si>
    <t>793766041</t>
  </si>
  <si>
    <t>3102829131M</t>
  </si>
  <si>
    <t>793766043</t>
  </si>
  <si>
    <t>PG5039.21 U6 J3 1981</t>
  </si>
  <si>
    <t>0                      PG 5039210U  6                  J  3           1981</t>
  </si>
  <si>
    <t>Jacques et son maître : hommage à Denis Diderot en trois actes ; précédé de, Introduction à une variation / Milan Kundera.</t>
  </si>
  <si>
    <t>[Paris] : Gallimard, ©1981.</t>
  </si>
  <si>
    <t>Le Manteau d'Arlequin</t>
  </si>
  <si>
    <t>5611369611:fre</t>
  </si>
  <si>
    <t>263706355</t>
  </si>
  <si>
    <t>ocn263706355</t>
  </si>
  <si>
    <t>3100235071L</t>
  </si>
  <si>
    <t>794404163</t>
  </si>
  <si>
    <t>PG5039.21 U6 K513 1996</t>
  </si>
  <si>
    <t>0                      PG 5039210U  6                  K  513         1996</t>
  </si>
  <si>
    <t>The book of laughter and forgetting / Milan Kundera ; translated from the French by Aaron Asher.</t>
  </si>
  <si>
    <t>New York, NY : HarperPerennial, 1996.</t>
  </si>
  <si>
    <t>477681021:eng</t>
  </si>
  <si>
    <t>34357201</t>
  </si>
  <si>
    <t>ocm34357201</t>
  </si>
  <si>
    <t>3101559063X</t>
  </si>
  <si>
    <t>9780060926083</t>
  </si>
  <si>
    <t>793425170</t>
  </si>
  <si>
    <t>3102930299W</t>
  </si>
  <si>
    <t>793425171</t>
  </si>
  <si>
    <t>PG5039.21 U6 K54</t>
  </si>
  <si>
    <t>0                      PG 5039210U  6                  K  54</t>
  </si>
  <si>
    <t>Le livre du rire et de l'oubli / Milan Kundera ; traduit du tchèque par Françoise Kérel.</t>
  </si>
  <si>
    <t>[Paris] : Gallimard, 1979.</t>
  </si>
  <si>
    <t>477681021:fre</t>
  </si>
  <si>
    <t>5901197</t>
  </si>
  <si>
    <t>ocm05901197</t>
  </si>
  <si>
    <t>30004177208</t>
  </si>
  <si>
    <t>792462449</t>
  </si>
  <si>
    <t>PG5039.21 U6 L45 1998</t>
  </si>
  <si>
    <t>0                      PG 5039210U  6                  L  45          1998</t>
  </si>
  <si>
    <t>La lenteur / Milan Kundera ; postface de François Ricard.</t>
  </si>
  <si>
    <t>[Paris] : Gallimard, [1998]</t>
  </si>
  <si>
    <t>Collection Folio ; 2981</t>
  </si>
  <si>
    <t>4929410037:fre</t>
  </si>
  <si>
    <t>44156157</t>
  </si>
  <si>
    <t>ocm44156157</t>
  </si>
  <si>
    <t>3103222867F</t>
  </si>
  <si>
    <t>9782070402731</t>
  </si>
  <si>
    <t>793643575</t>
  </si>
  <si>
    <t>PG5039.21 U6 L4513 1996</t>
  </si>
  <si>
    <t>0                      PG 5039210U  6                  L  4513        1996</t>
  </si>
  <si>
    <t>Slowness / Milan Kundera ; translated from the French by Linda Asher.</t>
  </si>
  <si>
    <t>London : Faber and Faber, 1996.</t>
  </si>
  <si>
    <t>4929410037:eng</t>
  </si>
  <si>
    <t>34777481</t>
  </si>
  <si>
    <t>ocm34777481</t>
  </si>
  <si>
    <t>3102129890$</t>
  </si>
  <si>
    <t>9780571178179</t>
  </si>
  <si>
    <t>793435787</t>
  </si>
  <si>
    <t>PG5039.21 U6 L4513 1997</t>
  </si>
  <si>
    <t>0                      PG 5039210U  6                  L  4513        1997</t>
  </si>
  <si>
    <t>New York : HarperPerennial, 1997, ©1996.</t>
  </si>
  <si>
    <t>1st HarperPerennial ed.</t>
  </si>
  <si>
    <t>2019-03-23</t>
  </si>
  <si>
    <t>36959797</t>
  </si>
  <si>
    <t>ocm36959797</t>
  </si>
  <si>
    <t>3102784488$</t>
  </si>
  <si>
    <t>9780060928414</t>
  </si>
  <si>
    <t>793488473</t>
  </si>
  <si>
    <t>PG5039.21 U6 N3413 1991</t>
  </si>
  <si>
    <t>0                      PG 5039210U  6                  N  3413        1991</t>
  </si>
  <si>
    <t>Immortality / Milan Kundera ; translated from the Czech by Peter Kussi.</t>
  </si>
  <si>
    <t>New York : Grove Weidenfeld, 1991.</t>
  </si>
  <si>
    <t>1402677155:eng</t>
  </si>
  <si>
    <t>22983257</t>
  </si>
  <si>
    <t>ocm22983257</t>
  </si>
  <si>
    <t>3101017348C</t>
  </si>
  <si>
    <t>9780802111111</t>
  </si>
  <si>
    <t>793158656</t>
  </si>
  <si>
    <t>PG5039.21 U6 N3413 1999</t>
  </si>
  <si>
    <t>0                      PG 5039210U  6                  N  3413        1999</t>
  </si>
  <si>
    <t>New York : HarperPerennial, 1999.</t>
  </si>
  <si>
    <t>1st Perennial Classics ed.</t>
  </si>
  <si>
    <t>2014-10-21</t>
  </si>
  <si>
    <t>42995989</t>
  </si>
  <si>
    <t>ocm42995989</t>
  </si>
  <si>
    <t>3102815262Y</t>
  </si>
  <si>
    <t>9780060932381</t>
  </si>
  <si>
    <t>793618718</t>
  </si>
  <si>
    <t>31027684177</t>
  </si>
  <si>
    <t>793618719</t>
  </si>
  <si>
    <t>PG5039.21 U6 N3414 1990</t>
  </si>
  <si>
    <t>0                      PG 5039210U  6                  N  3414        1990</t>
  </si>
  <si>
    <t>L'immortalité : roman / Milan Kundera ; traduit du tchèque par Eva Bloch.</t>
  </si>
  <si>
    <t>[Paris] : Gallimard, ©1990.</t>
  </si>
  <si>
    <t>1402677155:fre</t>
  </si>
  <si>
    <t>22355245</t>
  </si>
  <si>
    <t>ocm22355245</t>
  </si>
  <si>
    <t>3103049643$</t>
  </si>
  <si>
    <t>9782070718399</t>
  </si>
  <si>
    <t>793141963</t>
  </si>
  <si>
    <t>PG5039.21 U6 N413 1984</t>
  </si>
  <si>
    <t>0                      PG 5039210U  6                  N  413         1984</t>
  </si>
  <si>
    <t>The unbearable lightness of being / Milan Kundera ; translated from the Czech by Michael Henry Heim.</t>
  </si>
  <si>
    <t>New York : Harper &amp; Row, Publishers, [1984]</t>
  </si>
  <si>
    <t>1151542696:eng</t>
  </si>
  <si>
    <t>10072333</t>
  </si>
  <si>
    <t>ocm10072333</t>
  </si>
  <si>
    <t>3102789683A</t>
  </si>
  <si>
    <t>9780060152581</t>
  </si>
  <si>
    <t>792707545</t>
  </si>
  <si>
    <t>PG5039.21 U6 N413 2004</t>
  </si>
  <si>
    <t>0                      PG 5039210U  6                  N  413         2004</t>
  </si>
  <si>
    <t>New York : HarperCollins, 2004.</t>
  </si>
  <si>
    <t>55128287</t>
  </si>
  <si>
    <t>ocm55128287</t>
  </si>
  <si>
    <t>3103425862S</t>
  </si>
  <si>
    <t>9780060597184</t>
  </si>
  <si>
    <t>793874914</t>
  </si>
  <si>
    <t>3102912303C</t>
  </si>
  <si>
    <t>793874917</t>
  </si>
  <si>
    <t>2019-05-04</t>
  </si>
  <si>
    <t>3103442148I</t>
  </si>
  <si>
    <t>793874913</t>
  </si>
  <si>
    <t>3103592306S</t>
  </si>
  <si>
    <t>793874916</t>
  </si>
  <si>
    <t>3102921386W</t>
  </si>
  <si>
    <t>793874915</t>
  </si>
  <si>
    <t>PG5039.21 U6 N414 1989</t>
  </si>
  <si>
    <t>0                      PG 5039210U  6                  N  414         1989</t>
  </si>
  <si>
    <t>L'insoutenable légèreté de l'être / Milan Kundera ; traduit du tchèque par François Kérel ; postface de Franc̜ois Ricard.</t>
  </si>
  <si>
    <t>[Paris] : Gallimard, [1989]</t>
  </si>
  <si>
    <t>Nouvelle Édition / revue par l'auteur.</t>
  </si>
  <si>
    <t>Collection Folio ; 2077</t>
  </si>
  <si>
    <t>1151542696:fre</t>
  </si>
  <si>
    <t>31945594</t>
  </si>
  <si>
    <t>ocm31945594</t>
  </si>
  <si>
    <t>31032224120</t>
  </si>
  <si>
    <t>9782070381654</t>
  </si>
  <si>
    <t>793371920</t>
  </si>
  <si>
    <t>PG5039.21 U6 O3413 1999</t>
  </si>
  <si>
    <t>0                      PG 5039210U  6                  O  3413        1999</t>
  </si>
  <si>
    <t>41626081</t>
  </si>
  <si>
    <t>ocm41626081</t>
  </si>
  <si>
    <t>3102741239A</t>
  </si>
  <si>
    <t>9780060930318</t>
  </si>
  <si>
    <t>793595519</t>
  </si>
  <si>
    <t>PG5039.21 U6 V314 2009</t>
  </si>
  <si>
    <t>0                      PG 5039210U  6                  V  314         2009</t>
  </si>
  <si>
    <t>La valse aux adieux / Milan Kundera ; traduit du tchèque par François Kérel ; postface inédite de François Ricard.</t>
  </si>
  <si>
    <t>Kundera, Milan (1929-....).</t>
  </si>
  <si>
    <t>[Paris] : Gallimard, impr. 2000, cop. 1999.</t>
  </si>
  <si>
    <t>Nouvelle édition revue par l'auteur.</t>
  </si>
  <si>
    <t>Collection Folio, 0768-0732 ; 1043</t>
  </si>
  <si>
    <t>2999274499:fre</t>
  </si>
  <si>
    <t>494711902</t>
  </si>
  <si>
    <t>ocn494711902</t>
  </si>
  <si>
    <t>3103222518Y</t>
  </si>
  <si>
    <t>9782070370436</t>
  </si>
  <si>
    <t>794801523</t>
  </si>
  <si>
    <t>PG5039.21 U6 Z3313 1983</t>
  </si>
  <si>
    <t>0                      PG 5039210U  6                  Z  3313        1983</t>
  </si>
  <si>
    <t>The joke / Milan Kundera ; translated from the Czech by Michael Henry Heim.</t>
  </si>
  <si>
    <t>New York, N.Y. : Penguin Books, 1983, ©1982.</t>
  </si>
  <si>
    <t>Writers from the other Europe</t>
  </si>
  <si>
    <t>1090965343:eng</t>
  </si>
  <si>
    <t>9575166</t>
  </si>
  <si>
    <t>ocm09575166</t>
  </si>
  <si>
    <t>3000361316M</t>
  </si>
  <si>
    <t>9780140068160</t>
  </si>
  <si>
    <t>792682643</t>
  </si>
  <si>
    <t>PG5039.21 U6 Z3313 1992b</t>
  </si>
  <si>
    <t>0                      PG 5039210U  6                  Z  3313        1992b</t>
  </si>
  <si>
    <t>The joke / Milan Kundera.</t>
  </si>
  <si>
    <t>Kundera, Milan, 1929-</t>
  </si>
  <si>
    <t>London : Faber and Faber, 1992.</t>
  </si>
  <si>
    <t>[New ed.].</t>
  </si>
  <si>
    <t>59977449</t>
  </si>
  <si>
    <t>ocm59977449</t>
  </si>
  <si>
    <t>31027999670</t>
  </si>
  <si>
    <t>9780571166930</t>
  </si>
  <si>
    <t>793933029</t>
  </si>
  <si>
    <t>PG5039.21 U6 Z3313 1993</t>
  </si>
  <si>
    <t>0                      PG 5039210U  6                  Z  3313        1993</t>
  </si>
  <si>
    <t>The joke : definitive version / fully revised by the author, Milan Kundera.</t>
  </si>
  <si>
    <t>New York, NY : HarperPerennial, 1993, ©1992.</t>
  </si>
  <si>
    <t>28124158</t>
  </si>
  <si>
    <t>ocm28124158</t>
  </si>
  <si>
    <t>3103602159P</t>
  </si>
  <si>
    <t>9780060995058</t>
  </si>
  <si>
    <t>793280389</t>
  </si>
  <si>
    <t>PG5039.21 U6 Z3314 2004</t>
  </si>
  <si>
    <t>0                      PG 5039210U  6                  Z  3314        2004</t>
  </si>
  <si>
    <t>La Plaisanterie / Milan Kundera ; traduction du tchèque par Marcel Aymonin ; postface de François Ricard.</t>
  </si>
  <si>
    <t>[Paris] : Editions Gallimard, [2004]</t>
  </si>
  <si>
    <t>Entièrement révisée / par Claude Courtot et l'auteur, version définitive.</t>
  </si>
  <si>
    <t>Folio ; 638</t>
  </si>
  <si>
    <t>1090965343:fre</t>
  </si>
  <si>
    <t>64395928</t>
  </si>
  <si>
    <t>ocm64395928</t>
  </si>
  <si>
    <t>31032224072</t>
  </si>
  <si>
    <t>9782070366385</t>
  </si>
  <si>
    <t>794128884</t>
  </si>
  <si>
    <t>PG5039.21 U6 Z3513 1974</t>
  </si>
  <si>
    <t>0                      PG 5039210U  6                  Z  3513        1974</t>
  </si>
  <si>
    <t>Life is elsewhere / Milan Kundera ; translated from the Czech by Peter Kussi.</t>
  </si>
  <si>
    <t>New York : Alfred A. Knopf, 1974.</t>
  </si>
  <si>
    <t>2019-06-14</t>
  </si>
  <si>
    <t>1409155158:eng</t>
  </si>
  <si>
    <t>841348</t>
  </si>
  <si>
    <t>ocm00841348</t>
  </si>
  <si>
    <t>3102024534G</t>
  </si>
  <si>
    <t>9780394480107</t>
  </si>
  <si>
    <t>791484083</t>
  </si>
  <si>
    <t>PG5039.21 U6 Z3514 1987</t>
  </si>
  <si>
    <t>0                      PG 5039210U  6                  Z  3514        1987</t>
  </si>
  <si>
    <t>La vie est ailleurs / Milan Kundera ; traduit du tchèque par François Kérel ; postface de François Ricard.</t>
  </si>
  <si>
    <t>[Paris?] : Gallimard, 1987.</t>
  </si>
  <si>
    <t>Nouvelle éd., revue par l'auteur.</t>
  </si>
  <si>
    <t>Collection Folio ; 834</t>
  </si>
  <si>
    <t>1409155158:fre</t>
  </si>
  <si>
    <t>22170819</t>
  </si>
  <si>
    <t>ocm22170819</t>
  </si>
  <si>
    <t>31032224170</t>
  </si>
  <si>
    <t>9782070368341</t>
  </si>
  <si>
    <t>793136023</t>
  </si>
  <si>
    <t>La vie est ailleurs : roman / Milan Kundera ; traduit du tchèque par François Kérel ; revu par l'auteur.</t>
  </si>
  <si>
    <t>[Paris] : Gallimard, ©1987.</t>
  </si>
  <si>
    <t>2015-10-19</t>
  </si>
  <si>
    <t>317445395</t>
  </si>
  <si>
    <t>ocn317445395</t>
  </si>
  <si>
    <t>3103222839L</t>
  </si>
  <si>
    <t>9782070123902</t>
  </si>
  <si>
    <t>794453510</t>
  </si>
  <si>
    <t>PG5039.21 U6 Z54 1990</t>
  </si>
  <si>
    <t>0                      PG 5039210U  6                  Z  54          1990</t>
  </si>
  <si>
    <t>Terminal paradox : the novels of Milan Kundera / Maria Němcová Banerjee.</t>
  </si>
  <si>
    <t>New York : Grove Weidenfeld, 1990.</t>
  </si>
  <si>
    <t>30552799:eng</t>
  </si>
  <si>
    <t>20827754</t>
  </si>
  <si>
    <t>ocm20827754</t>
  </si>
  <si>
    <t>3103006642V</t>
  </si>
  <si>
    <t>9780802111272</t>
  </si>
  <si>
    <t>793100710</t>
  </si>
  <si>
    <t>PG5039.21 U6 Z7786 2013</t>
  </si>
  <si>
    <t>0                      PG 5039210U  6                  Z  7786        2013</t>
  </si>
  <si>
    <t>The book of imitation and desire : reading Milan Kundera with René Girard / Trevor Cribben Merrill.</t>
  </si>
  <si>
    <t>Merrill, Trevor Cribben, author.</t>
  </si>
  <si>
    <t>New York : Bloomsbury, 2013.</t>
  </si>
  <si>
    <t>2013-05-27</t>
  </si>
  <si>
    <t>1169922142:eng</t>
  </si>
  <si>
    <t>811426950</t>
  </si>
  <si>
    <t>ocn811426950</t>
  </si>
  <si>
    <t>3103454440X</t>
  </si>
  <si>
    <t>9781441118653</t>
  </si>
  <si>
    <t>794930107</t>
  </si>
  <si>
    <t>PG5039.21 U6 Z78 1992</t>
  </si>
  <si>
    <t>0                      PG 5039210U  6                  Z  78          1992</t>
  </si>
  <si>
    <t>Milan Kundera and the art of fiction : critical essays / edited by Aron Aji.</t>
  </si>
  <si>
    <t>New York : Garland, 1992.</t>
  </si>
  <si>
    <t>Garland reference library of the humanities ; vol. 1156</t>
  </si>
  <si>
    <t>2018-08-07</t>
  </si>
  <si>
    <t>836879102:eng</t>
  </si>
  <si>
    <t>25412672</t>
  </si>
  <si>
    <t>ocm25412672</t>
  </si>
  <si>
    <t>3102739947Y</t>
  </si>
  <si>
    <t>9780815300380</t>
  </si>
  <si>
    <t>793220285</t>
  </si>
  <si>
    <t>31037604126</t>
  </si>
  <si>
    <t>793220286</t>
  </si>
  <si>
    <t>PG5039.21 U6 Z8 1993</t>
  </si>
  <si>
    <t>0                      PG 5039210U  6                  Z  8           1993</t>
  </si>
  <si>
    <t>Understanding Milan Kundera : public events, private affairs / Fred Misurella.</t>
  </si>
  <si>
    <t>Misurella, Fred, 1940-</t>
  </si>
  <si>
    <t>Columbia, S.C. : University of South Carolina Press, ©1993.</t>
  </si>
  <si>
    <t>152304606:eng</t>
  </si>
  <si>
    <t>26306564</t>
  </si>
  <si>
    <t>ocm26306564</t>
  </si>
  <si>
    <t>31037371974</t>
  </si>
  <si>
    <t>9780872498532</t>
  </si>
  <si>
    <t>793242170</t>
  </si>
  <si>
    <t>PG5039.21 U6 Z84 1995</t>
  </si>
  <si>
    <t>0                      PG 5039210U  6                  Z  84          1995</t>
  </si>
  <si>
    <t>Milan Kundera &amp; feminism : dangerous intersections / John O'Brien.</t>
  </si>
  <si>
    <t>O'Brien, John (John Joseph)</t>
  </si>
  <si>
    <t>New York : St. Martin's Press, 1995.</t>
  </si>
  <si>
    <t>375256472:eng</t>
  </si>
  <si>
    <t>31708372</t>
  </si>
  <si>
    <t>ocm31708372</t>
  </si>
  <si>
    <t>31014670653</t>
  </si>
  <si>
    <t>9780312122065</t>
  </si>
  <si>
    <t>793366133</t>
  </si>
  <si>
    <t>PG5039.21 U6 Z94 2016</t>
  </si>
  <si>
    <t>0                      PG 5039210U  6                  Z  94          2016</t>
  </si>
  <si>
    <t>Commiserating with devastated things : Milan Kundera and the entitlements of thinking / Jason M. Wirth.</t>
  </si>
  <si>
    <t>Wirth, Jason M., 1963- author.</t>
  </si>
  <si>
    <t>New York : Fordham University Press, 2016.</t>
  </si>
  <si>
    <t>Perspectives in Continental philosophy</t>
  </si>
  <si>
    <t>2595494982:eng</t>
  </si>
  <si>
    <t>918148703</t>
  </si>
  <si>
    <t>ocn918148703</t>
  </si>
  <si>
    <t>3103670558G</t>
  </si>
  <si>
    <t>9780823268207</t>
  </si>
  <si>
    <t>795001023</t>
  </si>
  <si>
    <t>PG5039.23 U77 S6913 1999</t>
  </si>
  <si>
    <t>0                      PG 5039230U  77                 S  6913        1999</t>
  </si>
  <si>
    <t>Dreams at the end of the night / Ewald Murrer ; [translated by Howard Sidenberg].</t>
  </si>
  <si>
    <t>Murrer, Ewald.</t>
  </si>
  <si>
    <t>Prague : Twisted Spoon Press, 1999.</t>
  </si>
  <si>
    <t>27658563:eng</t>
  </si>
  <si>
    <t>42758204</t>
  </si>
  <si>
    <t>ocm42758204</t>
  </si>
  <si>
    <t>3101996964W</t>
  </si>
  <si>
    <t>9788090125797</t>
  </si>
  <si>
    <t>793613645</t>
  </si>
  <si>
    <t>PG5039.3 O648 S4713 2000</t>
  </si>
  <si>
    <t>0                      PG 5039300O  648                S  4713        2000</t>
  </si>
  <si>
    <t>City, sister, silver / by Jáchym Topol ; translated from the Czech by Alex Zucker.</t>
  </si>
  <si>
    <t>Topol, Jáchym, 1962-</t>
  </si>
  <si>
    <t>North Haven, CT : Catbird Press, 2000.</t>
  </si>
  <si>
    <t>11086813:eng</t>
  </si>
  <si>
    <t>41531570</t>
  </si>
  <si>
    <t>ocm41531570</t>
  </si>
  <si>
    <t>3102029949$</t>
  </si>
  <si>
    <t>9780945774457</t>
  </si>
  <si>
    <t>793593555</t>
  </si>
  <si>
    <t>PG5039.32 A2 S43</t>
  </si>
  <si>
    <t>0                      PG 5039320A  2                  S  43</t>
  </si>
  <si>
    <t>The axe / Ludvík Vaculík ; translated from the Czech by Marian Sling.</t>
  </si>
  <si>
    <t>Vaculík, Ludvík, author.</t>
  </si>
  <si>
    <t>London : Andre Deutsch, [1973]</t>
  </si>
  <si>
    <t>2017-01-31</t>
  </si>
  <si>
    <t>3943457475:eng</t>
  </si>
  <si>
    <t>731650</t>
  </si>
  <si>
    <t>ocm00731650</t>
  </si>
  <si>
    <t>3000385250V</t>
  </si>
  <si>
    <t>9780233964553</t>
  </si>
  <si>
    <t>791457178</t>
  </si>
  <si>
    <t>PG5039.32 A2 Z4684 1987</t>
  </si>
  <si>
    <t>0                      PG 5039320A  2                  Z  4684        1987</t>
  </si>
  <si>
    <t>A cup of coffee with my interrogator : the Prague chronicles of Ludvík Vaculík / introduction by Václav Havel ; translated [from the Czech] by George Theiner.</t>
  </si>
  <si>
    <t>Vaculík, Ludvík.</t>
  </si>
  <si>
    <t>London : Readers International, ©1987.</t>
  </si>
  <si>
    <t>2017-03-05</t>
  </si>
  <si>
    <t>14004893:eng</t>
  </si>
  <si>
    <t>16794170</t>
  </si>
  <si>
    <t>ocm16794170</t>
  </si>
  <si>
    <t>3103033557T</t>
  </si>
  <si>
    <t>9780930523343</t>
  </si>
  <si>
    <t>792972581</t>
  </si>
  <si>
    <t>PG5083 N453 V93 1971</t>
  </si>
  <si>
    <t>0                      PG 5083000N  453                V  93          1971</t>
  </si>
  <si>
    <t>The lost face: best science fiction from Czechoslovakia.</t>
  </si>
  <si>
    <t>New York, Taplinger Pub. Co. [1971, ©1970]</t>
  </si>
  <si>
    <t>128724</t>
  </si>
  <si>
    <t>ocm00128724</t>
  </si>
  <si>
    <t>3103679613Q</t>
  </si>
  <si>
    <t>9780800850203</t>
  </si>
  <si>
    <t>791265755</t>
  </si>
  <si>
    <t>PG5145 E3 T5</t>
  </si>
  <si>
    <t>0                      PG 5145000E  3                  T  5</t>
  </si>
  <si>
    <t>Three Czech poets: Vitězslau Nezval [translated by Ewald Osers] Antonín Bartušek [translated by Ewald Osers and George Theiner] Josef Hanzlík [translated by Ewald Osers; with an introduction by Graham Martin.</t>
  </si>
  <si>
    <t>Harmondsworth, Penguin, 1971]</t>
  </si>
  <si>
    <t>2102020:eng</t>
  </si>
  <si>
    <t>1165025</t>
  </si>
  <si>
    <t>ocm01165025</t>
  </si>
  <si>
    <t>3102739885T</t>
  </si>
  <si>
    <t>9780140421309</t>
  </si>
  <si>
    <t>791561883</t>
  </si>
  <si>
    <t>PG5145 E5 V35 1987</t>
  </si>
  <si>
    <t>0                      PG 5145000E  5                  V  35          1987</t>
  </si>
  <si>
    <t>The Vaněk plays : four authors, one character / edited by Marketa Goetz-Stankiewicz.</t>
  </si>
  <si>
    <t>Vancouver : University of British Columbia Press, 1987.</t>
  </si>
  <si>
    <t>19004066:eng</t>
  </si>
  <si>
    <t>18835530</t>
  </si>
  <si>
    <t>ocm18835530</t>
  </si>
  <si>
    <t>3000534553Y</t>
  </si>
  <si>
    <t>9780774802673</t>
  </si>
  <si>
    <t>793038819</t>
  </si>
  <si>
    <t>PG5145 E8 C95 1983</t>
  </si>
  <si>
    <t>0                      PG 5145000E  8                  C  95          1983</t>
  </si>
  <si>
    <t>Czech prose, an anthology / translated and edited by William E. Harkins.</t>
  </si>
  <si>
    <t>Ann Arbor : Michigan Slavic Publications, Dept. of Slavic Languages and Literatures, University of Michigan, ©1983.</t>
  </si>
  <si>
    <t>Michigan Slavic translations ; 6</t>
  </si>
  <si>
    <t>3306502:eng</t>
  </si>
  <si>
    <t>10274929</t>
  </si>
  <si>
    <t>ocm10274929</t>
  </si>
  <si>
    <t>3000356311D</t>
  </si>
  <si>
    <t>9780930042516</t>
  </si>
  <si>
    <t>792717466</t>
  </si>
  <si>
    <t>PG5145 E8 D39 1997</t>
  </si>
  <si>
    <t>0                      PG 5145000E  8                  D  39          1997</t>
  </si>
  <si>
    <t>Daylight in nightclub inferno : Czech fiction from the post-Kundera generation / selections chosen by Elena Lappin.</t>
  </si>
  <si>
    <t>North Haven, Conn. : Catbird Press, ©1997.</t>
  </si>
  <si>
    <t>837012074:eng</t>
  </si>
  <si>
    <t>35450560</t>
  </si>
  <si>
    <t>ocm35450560</t>
  </si>
  <si>
    <t>31017139355</t>
  </si>
  <si>
    <t>9780945774334</t>
  </si>
  <si>
    <t>793451080</t>
  </si>
  <si>
    <t>PG5235 M57 1989</t>
  </si>
  <si>
    <t>0                      PG 5235000M  57          1989</t>
  </si>
  <si>
    <t>Basic Slovak / Jozef Mistrík.</t>
  </si>
  <si>
    <t>Mistrík, Jozef, 1921-</t>
  </si>
  <si>
    <t>Bratislava : Slovenské pedagogické nakl., 1989, ©1980.</t>
  </si>
  <si>
    <t>3. vyd.</t>
  </si>
  <si>
    <t>5088800:eng</t>
  </si>
  <si>
    <t>19946579</t>
  </si>
  <si>
    <t>ocm19946579</t>
  </si>
  <si>
    <t>3101199057W</t>
  </si>
  <si>
    <t>793072978</t>
  </si>
  <si>
    <t>PG5259 M68</t>
  </si>
  <si>
    <t>0                      PG 5259000M  68</t>
  </si>
  <si>
    <t>Morfológia slovenského jazyka. [Autori: Ladislav Dvonč et al. Vedecký redaktor: Jozef Ružička.</t>
  </si>
  <si>
    <t>Bratislava, Vydavatel'stvo Slovenskej akadémie vied, 1966.</t>
  </si>
  <si>
    <t>1. vyd.].</t>
  </si>
  <si>
    <t>slo</t>
  </si>
  <si>
    <t>617275448:slo</t>
  </si>
  <si>
    <t>3656077</t>
  </si>
  <si>
    <t>ocm03656077</t>
  </si>
  <si>
    <t>3000617670K</t>
  </si>
  <si>
    <t>792277561</t>
  </si>
  <si>
    <t>PG5401 P48 1995</t>
  </si>
  <si>
    <t>0                      PG 5401000P  48          1995</t>
  </si>
  <si>
    <t>A history of Slovak literature / Peter Petro.</t>
  </si>
  <si>
    <t>Petro, Peter.</t>
  </si>
  <si>
    <t>Montréal ; Buffalo : McGill-Queen's University Press, ©1995.</t>
  </si>
  <si>
    <t>596684:eng</t>
  </si>
  <si>
    <t>32547086</t>
  </si>
  <si>
    <t>ocm32547086</t>
  </si>
  <si>
    <t>3101485706Q</t>
  </si>
  <si>
    <t>9780773513112</t>
  </si>
  <si>
    <t>793387084</t>
  </si>
  <si>
    <t>PG5439.29 I37 Z313 1993</t>
  </si>
  <si>
    <t>0                      PG 5439290I  37                 Z  313         1993</t>
  </si>
  <si>
    <t>The year of the frog : a novel / by Martin M. Šimečka ; translated by Peter Petro ; foreword by Václav Havel.</t>
  </si>
  <si>
    <t>Šimečka, Martin M., 1957-</t>
  </si>
  <si>
    <t>Baton Rouge : Louisiana State University Press, 1993.</t>
  </si>
  <si>
    <t>Pegasus Prize for Literature</t>
  </si>
  <si>
    <t>2999344108:eng</t>
  </si>
  <si>
    <t>27976051</t>
  </si>
  <si>
    <t>ocm27976051</t>
  </si>
  <si>
    <t>3101257864U</t>
  </si>
  <si>
    <t>9780807118696</t>
  </si>
  <si>
    <t>793276732</t>
  </si>
  <si>
    <t>PG5659.2 S38 1996</t>
  </si>
  <si>
    <t>0                      PG 5659200S  38          1996</t>
  </si>
  <si>
    <t>Grammar of the Upper Sorbian language : phonology and morphology / H. Schuster-Šewc ; Gary H. Toops, trans.</t>
  </si>
  <si>
    <t>Schuster-Šewc, H. (Heinz)</t>
  </si>
  <si>
    <t>München ; Newcastle : LINCOM Europa, 1996.</t>
  </si>
  <si>
    <t>LINCOM studies in Slavic linguistics ; 03</t>
  </si>
  <si>
    <t>4061401782:eng</t>
  </si>
  <si>
    <t>36583043</t>
  </si>
  <si>
    <t>ocm36583043</t>
  </si>
  <si>
    <t>3102283228E</t>
  </si>
  <si>
    <t>9783895860591</t>
  </si>
  <si>
    <t>793479085</t>
  </si>
  <si>
    <t>PG6099 F5</t>
  </si>
  <si>
    <t>0                      PG 6099000F  5</t>
  </si>
  <si>
    <t>An introductory English-Polish contrastive grammar / Jacek Fisiak, Maria Lipińska-Grzegorek, Tadeusz Zabrocki.</t>
  </si>
  <si>
    <t>Fisiak, Jacek.</t>
  </si>
  <si>
    <t>Warszawa : Państ. Wydaw. Naukowe, 1978.</t>
  </si>
  <si>
    <t>14710515:eng</t>
  </si>
  <si>
    <t>5288838</t>
  </si>
  <si>
    <t>ocm05288838</t>
  </si>
  <si>
    <t>3000302242J</t>
  </si>
  <si>
    <t>9788301082970</t>
  </si>
  <si>
    <t>792422442</t>
  </si>
  <si>
    <t>PG6105 S83</t>
  </si>
  <si>
    <t>0                      PG 6105000S  83</t>
  </si>
  <si>
    <t>A concise grammar of Polish / Oscar Swan.</t>
  </si>
  <si>
    <t>Swan, Oscar E.</t>
  </si>
  <si>
    <t>Washington : University Press of America, ©1978.</t>
  </si>
  <si>
    <t>2016-07-12</t>
  </si>
  <si>
    <t>14579636:eng</t>
  </si>
  <si>
    <t>4183975</t>
  </si>
  <si>
    <t>ocm04183975</t>
  </si>
  <si>
    <t>30001467337</t>
  </si>
  <si>
    <t>9780819103192</t>
  </si>
  <si>
    <t>792328853</t>
  </si>
  <si>
    <t>PG6112 R8 1977</t>
  </si>
  <si>
    <t>0                      PG 6112000R  8           1977</t>
  </si>
  <si>
    <t>Wśród Polaków : podręcznik języka polskiego dla cudzoziemców / Brygida Rudzka, Zofia Goczołowa.</t>
  </si>
  <si>
    <t>cz.1appx</t>
  </si>
  <si>
    <t>Rudzka-Ostyn, Brygida.</t>
  </si>
  <si>
    <t>Lublin : Katolicki Uniwersytet Lubelski, 1977-&lt;1988&gt;</t>
  </si>
  <si>
    <t>Wyd. 1.</t>
  </si>
  <si>
    <t>pol</t>
  </si>
  <si>
    <t>2830260938:pol</t>
  </si>
  <si>
    <t>5124633</t>
  </si>
  <si>
    <t>ocm05124633</t>
  </si>
  <si>
    <t>3100414935T</t>
  </si>
  <si>
    <t>792409669</t>
  </si>
  <si>
    <t>cz.1</t>
  </si>
  <si>
    <t>3100215437H</t>
  </si>
  <si>
    <t>792409670</t>
  </si>
  <si>
    <t>PG6112 S9 1983</t>
  </si>
  <si>
    <t>0                      PG 6112000S  9           1983</t>
  </si>
  <si>
    <t>First year Polish / Oscar E. Swan.</t>
  </si>
  <si>
    <t>Columbus, Ohio : Slavica Publishers, ©1983.</t>
  </si>
  <si>
    <t>3184306:eng</t>
  </si>
  <si>
    <t>10019241</t>
  </si>
  <si>
    <t>ocm10019241</t>
  </si>
  <si>
    <t>31013465681</t>
  </si>
  <si>
    <t>9780893571085</t>
  </si>
  <si>
    <t>792704950</t>
  </si>
  <si>
    <t>PG6131 C97 2014</t>
  </si>
  <si>
    <t>0                      PG 6131000C  97          2014</t>
  </si>
  <si>
    <t>Between phonology and phonetics : Polish voicing / Eugeniusz Cyran.</t>
  </si>
  <si>
    <t>Cyran, Eugeniusz, author.</t>
  </si>
  <si>
    <t>Boston ; Berlin : De Gruyter Mouton, [2014]</t>
  </si>
  <si>
    <t>Studies in generative grammar ; volume 118</t>
  </si>
  <si>
    <t>2016-01-26</t>
  </si>
  <si>
    <t>1880909530:eng</t>
  </si>
  <si>
    <t>879386910</t>
  </si>
  <si>
    <t>ocn879386910</t>
  </si>
  <si>
    <t>31036127537</t>
  </si>
  <si>
    <t>9781614517146</t>
  </si>
  <si>
    <t>794972049</t>
  </si>
  <si>
    <t>PG6131 G87 2007</t>
  </si>
  <si>
    <t>0                      PG 6131000G  87          2007</t>
  </si>
  <si>
    <t>The phonology of Polish / Edmund Gussmann.</t>
  </si>
  <si>
    <t>Gussmann, Edmund.</t>
  </si>
  <si>
    <t>[Oxford linguistics]</t>
  </si>
  <si>
    <t>102962425:eng</t>
  </si>
  <si>
    <t>134991332</t>
  </si>
  <si>
    <t>ocn134991332</t>
  </si>
  <si>
    <t>31025731028</t>
  </si>
  <si>
    <t>9780199267477</t>
  </si>
  <si>
    <t>794232526</t>
  </si>
  <si>
    <t>PG6135 B48 1992</t>
  </si>
  <si>
    <t>0                      PG 6135000B  48          1992</t>
  </si>
  <si>
    <t>Polish Syllables : the Role of Prosody in Phonology and Morphology / Christina Y. Bethin.</t>
  </si>
  <si>
    <t>Bethin, Christina Y. (Christina Yurkiw)</t>
  </si>
  <si>
    <t>Columbus, Ohio : Slavica Publishers, 1992.</t>
  </si>
  <si>
    <t>2016-05-28</t>
  </si>
  <si>
    <t>329970204:eng</t>
  </si>
  <si>
    <t>26778732</t>
  </si>
  <si>
    <t>ocm26778732</t>
  </si>
  <si>
    <t>31013465665</t>
  </si>
  <si>
    <t>9780893572341</t>
  </si>
  <si>
    <t>793251505</t>
  </si>
  <si>
    <t>PG6505 G5</t>
  </si>
  <si>
    <t>0                      PG 6505000G  5</t>
  </si>
  <si>
    <t>Introduction to Polish versification.</t>
  </si>
  <si>
    <t>Giergielewicz, Mieczysław.</t>
  </si>
  <si>
    <t>Philadelphia, University of Pennsylvania Press [1970]</t>
  </si>
  <si>
    <t>2016-06-03</t>
  </si>
  <si>
    <t>1223947:eng</t>
  </si>
  <si>
    <t>61910</t>
  </si>
  <si>
    <t>ocm00061910</t>
  </si>
  <si>
    <t>3000505964Q</t>
  </si>
  <si>
    <t>791243166</t>
  </si>
  <si>
    <t>PG6640 S84 1964</t>
  </si>
  <si>
    <t>0                      PG 6640000S  84          1964</t>
  </si>
  <si>
    <t>Wielki słownik angielsko-polski. Redaktor Wiktor Jassem.</t>
  </si>
  <si>
    <t>Stanisławski, Jan.</t>
  </si>
  <si>
    <t>Warszawa, Wiedza Powszechna, 1964.</t>
  </si>
  <si>
    <t>[Wyd. 1.].</t>
  </si>
  <si>
    <t>5377678025:pol</t>
  </si>
  <si>
    <t>406997</t>
  </si>
  <si>
    <t>ocm00406997</t>
  </si>
  <si>
    <t>3101221040D</t>
  </si>
  <si>
    <t>791368700</t>
  </si>
  <si>
    <t>PG7012 M48 1983</t>
  </si>
  <si>
    <t>0                      PG 7012000M  48          1983</t>
  </si>
  <si>
    <t>The history of Polish literature / by Czesław Miłosz.</t>
  </si>
  <si>
    <t>Miłosz, Czesław.</t>
  </si>
  <si>
    <t>Berkeley : University of California Press, 1983.</t>
  </si>
  <si>
    <t>885163:eng</t>
  </si>
  <si>
    <t>8928503</t>
  </si>
  <si>
    <t>ocm08928503</t>
  </si>
  <si>
    <t>30003490166</t>
  </si>
  <si>
    <t>9780520044654</t>
  </si>
  <si>
    <t>792648484</t>
  </si>
  <si>
    <t>PG7015 W55 2005</t>
  </si>
  <si>
    <t>0                      PG 7015000W  55          2005</t>
  </si>
  <si>
    <t>(Mis)translation and (mis)interpretation : Polish literature in the context of cross-cultural communication / Piotr Wilczek.</t>
  </si>
  <si>
    <t>Wilczek, Piotr.</t>
  </si>
  <si>
    <t>Frankfurt am Main ; New York : P. Lang, 2006.</t>
  </si>
  <si>
    <t>Literary and cultural theory ; v. 22</t>
  </si>
  <si>
    <t>287500710:eng</t>
  </si>
  <si>
    <t>62593805</t>
  </si>
  <si>
    <t>ocm62593805</t>
  </si>
  <si>
    <t>3102587501C</t>
  </si>
  <si>
    <t>9783631546284</t>
  </si>
  <si>
    <t>794110142</t>
  </si>
  <si>
    <t>PG7020 A8 K35 2004</t>
  </si>
  <si>
    <t>0                      PG 7020000A  8                  K  35          2004</t>
  </si>
  <si>
    <t>Between East and West : Polish and Russian nineteenth-century travel to the Orient / Izabela Kalinowska.</t>
  </si>
  <si>
    <t>Kalinowska, Izabela, 1964-</t>
  </si>
  <si>
    <t>Rochester, N.Y. : University of Rochester Press, 2004.</t>
  </si>
  <si>
    <t>Rochester studies in Central Europe, 1528-4808</t>
  </si>
  <si>
    <t>2015-05-21</t>
  </si>
  <si>
    <t>131920801:eng</t>
  </si>
  <si>
    <t>56051023</t>
  </si>
  <si>
    <t>ocm56051023</t>
  </si>
  <si>
    <t>31028106557</t>
  </si>
  <si>
    <t>9781580461726</t>
  </si>
  <si>
    <t>793886525</t>
  </si>
  <si>
    <t>PG7034 M37 2010</t>
  </si>
  <si>
    <t>0                      PG 7034000M  37          2010</t>
  </si>
  <si>
    <t>Mapping experience in Polish and Russian women's writing / edited by Marja Rytkönen [and others].</t>
  </si>
  <si>
    <t>Newcastle upon Tyne : Cambridge Scholars, 2010.</t>
  </si>
  <si>
    <t>8911021536:eng</t>
  </si>
  <si>
    <t>666223907</t>
  </si>
  <si>
    <t>ocn666223907</t>
  </si>
  <si>
    <t>3103234886Z</t>
  </si>
  <si>
    <t>9781443824934</t>
  </si>
  <si>
    <t>794844854</t>
  </si>
  <si>
    <t>PG7035 J48 P7613 2003</t>
  </si>
  <si>
    <t>0                      PG 7035000J  48                 P  7613        2003</t>
  </si>
  <si>
    <t>Polish-Jewish literature in the interwar years / Eugenia Prokop-Janiec ; translated from the Polish by Abe Shenitzer.</t>
  </si>
  <si>
    <t>Prokop-Janiec, Eugenia.</t>
  </si>
  <si>
    <t>Syracuse, N.Y. : Syracuse University Press, 2003.</t>
  </si>
  <si>
    <t>Judaic traditions in literature, music, and art</t>
  </si>
  <si>
    <t>7703734:eng</t>
  </si>
  <si>
    <t>51222087</t>
  </si>
  <si>
    <t>ocm51222087</t>
  </si>
  <si>
    <t>3102291923X</t>
  </si>
  <si>
    <t>9780815629849</t>
  </si>
  <si>
    <t>793780707</t>
  </si>
  <si>
    <t>PG7035 J48 S2513 2005</t>
  </si>
  <si>
    <t>0                      PG 7035000J  48                 S  2513        2005</t>
  </si>
  <si>
    <t>On the situation of the Polish writer of Jewish descent in the twentieth century : it is not I who should have written this study-- / Artur Sandauer.</t>
  </si>
  <si>
    <t>Sandauer, Artur.</t>
  </si>
  <si>
    <t>Jerusalem : Hebrew University Magnes Press, 2005.</t>
  </si>
  <si>
    <t>Studies of the Center for Research on the History and Culture of Polish Jews, the Hebrew University of Jerusalem</t>
  </si>
  <si>
    <t>375941674:eng</t>
  </si>
  <si>
    <t>62146248</t>
  </si>
  <si>
    <t>ocm62146248</t>
  </si>
  <si>
    <t>3102619457Q</t>
  </si>
  <si>
    <t>9789654932103</t>
  </si>
  <si>
    <t>794101191</t>
  </si>
  <si>
    <t>PG7035 J48 S53 2011</t>
  </si>
  <si>
    <t>0                      PG 7035000J  48                 S  53          2011</t>
  </si>
  <si>
    <t>The Holocaust object in Polish and Polish-Jewish culture / Bożena Shallcross.</t>
  </si>
  <si>
    <t>Shallcross, Bożena.</t>
  </si>
  <si>
    <t>Bloomington : Indiana University Press, ©2011.</t>
  </si>
  <si>
    <t>398234728:eng</t>
  </si>
  <si>
    <t>657079887</t>
  </si>
  <si>
    <t>ocn657079887</t>
  </si>
  <si>
    <t>3103322299L</t>
  </si>
  <si>
    <t>9780253355645</t>
  </si>
  <si>
    <t>794835241</t>
  </si>
  <si>
    <t>PG7053 A89 P65 2007</t>
  </si>
  <si>
    <t>0                      PG 7053000A  89                 P  65          2007</t>
  </si>
  <si>
    <t>Polish writers on writing / edited by Adam Zagajewski.</t>
  </si>
  <si>
    <t>San Antonio, Texas : Trinity University Press, [2007]</t>
  </si>
  <si>
    <t>The writer's world</t>
  </si>
  <si>
    <t>62064645:eng</t>
  </si>
  <si>
    <t>76167374</t>
  </si>
  <si>
    <t>ocm76167374</t>
  </si>
  <si>
    <t>3102596154D</t>
  </si>
  <si>
    <t>9781595340306</t>
  </si>
  <si>
    <t>794175827</t>
  </si>
  <si>
    <t>PG7098.4 B6713 2001</t>
  </si>
  <si>
    <t>0                      PG 7098400B  6713        2001</t>
  </si>
  <si>
    <t>Alienated women : a study on Polish women's fiction, 1845-1918 / Grażyna Borkowska ; translated by Ursula Phillips.</t>
  </si>
  <si>
    <t>Borkowska, Grażyna.</t>
  </si>
  <si>
    <t>New York : Central European University Press, 2001.</t>
  </si>
  <si>
    <t>2015-05-27</t>
  </si>
  <si>
    <t>35391126:eng</t>
  </si>
  <si>
    <t>46364804</t>
  </si>
  <si>
    <t>ocm46364804</t>
  </si>
  <si>
    <t>3102125155C</t>
  </si>
  <si>
    <t>9789639241039</t>
  </si>
  <si>
    <t>793683377</t>
  </si>
  <si>
    <t>PG7135.5 J48 C66 2001</t>
  </si>
  <si>
    <t>0                      PG 7135500J  48                 C  66          2001</t>
  </si>
  <si>
    <t>Contemporary Jewish writing in Poland : an anthology / edited by Antony Polonsky and Monika Adamczyk-Garbowska.</t>
  </si>
  <si>
    <t>Lincoln : University of Nebraska Press, ©2001.</t>
  </si>
  <si>
    <t>Jewish writing in the contemporary world</t>
  </si>
  <si>
    <t>349911247:eng</t>
  </si>
  <si>
    <t>44701734</t>
  </si>
  <si>
    <t>ocm44701734</t>
  </si>
  <si>
    <t>3102109850N</t>
  </si>
  <si>
    <t>9780803237216</t>
  </si>
  <si>
    <t>793656095</t>
  </si>
  <si>
    <t>PG7157 R3 A2 2015</t>
  </si>
  <si>
    <t>0                      PG 7157000R  3                  A  2           2015</t>
  </si>
  <si>
    <t>Franciszka Urszula Radziwillowa : selected drama and verse / edited by Patrick John Corness and Barbara Judkowiak ; translated by Patrick John Corness ; translation editor, Aldona Zwierzyńska-Coldicott ; introduction by Barbara Judkowiak.</t>
  </si>
  <si>
    <t>Radziwiłłowa, Franciszka Urszula, księżna, 1705-1753, author.</t>
  </si>
  <si>
    <t>Toronto, Ontario : Iter Academic Press ; Tempe, Arizona : Arizona Center for Medieval and Renaissance Studies, 2015.</t>
  </si>
  <si>
    <t>The other voice in early modern Europe. The Toronto series ; 37</t>
  </si>
  <si>
    <t>2266631620:eng</t>
  </si>
  <si>
    <t>900159256</t>
  </si>
  <si>
    <t>ocn900159256</t>
  </si>
  <si>
    <t>3103653435T</t>
  </si>
  <si>
    <t>9780866985321</t>
  </si>
  <si>
    <t>794987201</t>
  </si>
  <si>
    <t>PG7157 S73 T7313 2016</t>
  </si>
  <si>
    <t>0                      PG 7157000S  73                 T  7313        2016</t>
  </si>
  <si>
    <t>Orphan girl : a transaction, or an account of the entire life of an orphan girl by way of plaintful threnodies in the year 1685 : the Aesop episode / verse translation, introduction, and commentary by Barry Keane.</t>
  </si>
  <si>
    <t>Stanisławska, Anna, approximately 1651-1700 or 1701, author.</t>
  </si>
  <si>
    <t>Toronto, Ontario : Iter Academic Press ; Tempe, Arizona : Arizona Center for Medieval and Renaissance Studies, 2016.</t>
  </si>
  <si>
    <t>The Other Voice in Early Modern Europe. The Toronto Series ; 45</t>
  </si>
  <si>
    <t>2016-06-21</t>
  </si>
  <si>
    <t>2869733079:eng</t>
  </si>
  <si>
    <t>933863463</t>
  </si>
  <si>
    <t>ocn933863463</t>
  </si>
  <si>
    <t>3103654040A</t>
  </si>
  <si>
    <t>9780866985475</t>
  </si>
  <si>
    <t>795009447</t>
  </si>
  <si>
    <t>PG7158 B613 T43x 1976</t>
  </si>
  <si>
    <t>0                      PG 7158000B  613                T  43x         1976</t>
  </si>
  <si>
    <t>This way for the gas, ladies and gentlemen / Tadeusz Borowski ; selected and translated by Barbara Vedder ; introduction by Jan Kott ; introduction translated by Michael Kandel.</t>
  </si>
  <si>
    <t>Borowski, Tadeusz, 1922-1951, author.</t>
  </si>
  <si>
    <t>New York : Penguin Books, [1976]</t>
  </si>
  <si>
    <t>197849174:eng</t>
  </si>
  <si>
    <t>2458688</t>
  </si>
  <si>
    <t>ocm02458688</t>
  </si>
  <si>
    <t>31028660799</t>
  </si>
  <si>
    <t>9780140186246</t>
  </si>
  <si>
    <t>792130425</t>
  </si>
  <si>
    <t>31028660789</t>
  </si>
  <si>
    <t>792130424</t>
  </si>
  <si>
    <t>PG7158 B632 A3513 1983</t>
  </si>
  <si>
    <t>0                      PG 7158000B  632                A  3513        1983</t>
  </si>
  <si>
    <t>A Warsaw diary : 1978-1981 / Kazimierz Brandys ; translated from the Polish by Richard Lourie.</t>
  </si>
  <si>
    <t>Brandys, Kazimierz.</t>
  </si>
  <si>
    <t>New York : Random House, ©1983.</t>
  </si>
  <si>
    <t>3354605:eng</t>
  </si>
  <si>
    <t>9576638</t>
  </si>
  <si>
    <t>ocm09576638</t>
  </si>
  <si>
    <t>3103446789D</t>
  </si>
  <si>
    <t>9780394528564</t>
  </si>
  <si>
    <t>792682960</t>
  </si>
  <si>
    <t>PG7158 B75 A6 1964</t>
  </si>
  <si>
    <t>0                      PG 7158000B  75                 A  6           1964</t>
  </si>
  <si>
    <t>Władysław Broniewski / opracował i przedmową opatrzył Grzegorz Lasota ; opracowanie graficzne Wojciech Zamecznik.</t>
  </si>
  <si>
    <t>Broniewski, Władysław, 1897-1962.</t>
  </si>
  <si>
    <t>Warszawa : Wydawn. Artystyczno-Graficzne, 1964.</t>
  </si>
  <si>
    <t>7702559:pol</t>
  </si>
  <si>
    <t>14086439</t>
  </si>
  <si>
    <t>ocm14086439</t>
  </si>
  <si>
    <t>3101703386I</t>
  </si>
  <si>
    <t>792877070</t>
  </si>
  <si>
    <t>PG7158 G6 L3213 1996</t>
  </si>
  <si>
    <t>0                      PG 7158000G  6                  L  3213        1996</t>
  </si>
  <si>
    <t>The Doll / Bolesław Prus ; translated by David Welsh ; introduction by Stanisław Barańczak.</t>
  </si>
  <si>
    <t>Prus, Bolesław, 1847-1912.</t>
  </si>
  <si>
    <t>2017-02-23</t>
  </si>
  <si>
    <t>1392751200:eng</t>
  </si>
  <si>
    <t>36286934</t>
  </si>
  <si>
    <t>ocm36286934</t>
  </si>
  <si>
    <t>31018073277</t>
  </si>
  <si>
    <t>9781858660653</t>
  </si>
  <si>
    <t>793471657</t>
  </si>
  <si>
    <t>PG7158 G669 A313 2012</t>
  </si>
  <si>
    <t>0                      PG 7158000G  669                A  313         2012</t>
  </si>
  <si>
    <t>Diary / Witold Gombrowicz ; translated by Lillian Vallee.</t>
  </si>
  <si>
    <t>Gombrowicz, Witold.</t>
  </si>
  <si>
    <t>New Haven [Conn.] : Yale University Press, ©2012.</t>
  </si>
  <si>
    <t>A Margellos world republic of letters book</t>
  </si>
  <si>
    <t>347450317:eng</t>
  </si>
  <si>
    <t>759174173</t>
  </si>
  <si>
    <t>ocn759174173</t>
  </si>
  <si>
    <t>3103429871A</t>
  </si>
  <si>
    <t>9780300118063</t>
  </si>
  <si>
    <t>794897098</t>
  </si>
  <si>
    <t>PG7158 G669 A33 1996</t>
  </si>
  <si>
    <t>0                      PG 7158000G  669                A  33          1996</t>
  </si>
  <si>
    <t>Moi et mon double / Gombrowicz.</t>
  </si>
  <si>
    <t>Paris : Gallimard, 1996.</t>
  </si>
  <si>
    <t>Quarto (Gallimard (Firm))</t>
  </si>
  <si>
    <t>2017-01-11</t>
  </si>
  <si>
    <t>36607686:fre</t>
  </si>
  <si>
    <t>35100543</t>
  </si>
  <si>
    <t>ocm35100543</t>
  </si>
  <si>
    <t>3102005057V</t>
  </si>
  <si>
    <t>9782070744930</t>
  </si>
  <si>
    <t>793443946</t>
  </si>
  <si>
    <t>PG7158 G669 B313 2004</t>
  </si>
  <si>
    <t>0                      PG 7158000G  669                B  313         2004</t>
  </si>
  <si>
    <t>Bacacay / Witold Gombrowicz ; translated from the Polish by Bill Johnston.</t>
  </si>
  <si>
    <t>Gombrowicz, Witold, author.</t>
  </si>
  <si>
    <t>New York : Archipelago Books, ©2004.</t>
  </si>
  <si>
    <t>1041466:eng</t>
  </si>
  <si>
    <t>55517948</t>
  </si>
  <si>
    <t>ocm55517948</t>
  </si>
  <si>
    <t>3102400921X</t>
  </si>
  <si>
    <t>9780972869294</t>
  </si>
  <si>
    <t>793877830</t>
  </si>
  <si>
    <t>PG7158 G669 K614 1966</t>
  </si>
  <si>
    <t>0                      PG 7158000G  669                K  614         1966</t>
  </si>
  <si>
    <t>Cosmos. Roman traduit du polonais par Georges Sédir.</t>
  </si>
  <si>
    <t>Paris, Denoël, 1966.</t>
  </si>
  <si>
    <t>Les lettres nouvelles</t>
  </si>
  <si>
    <t>2829639542:fre</t>
  </si>
  <si>
    <t>10014178</t>
  </si>
  <si>
    <t>ocm10014178</t>
  </si>
  <si>
    <t>3000350095N</t>
  </si>
  <si>
    <t>9782207235232</t>
  </si>
  <si>
    <t>792704611</t>
  </si>
  <si>
    <t>PG7158 G669 K63 2005</t>
  </si>
  <si>
    <t>0                      PG 7158000G  669                K  63          2005</t>
  </si>
  <si>
    <t>Cosmos / Witold Gombrowicz ; translated from the Polish by Danuta Borchardt.</t>
  </si>
  <si>
    <t>New Haven : Yale University Press, ©2005.</t>
  </si>
  <si>
    <t>2829639542:eng</t>
  </si>
  <si>
    <t>60340967</t>
  </si>
  <si>
    <t>ocm60340967</t>
  </si>
  <si>
    <t>3102585463B</t>
  </si>
  <si>
    <t>9780300108484</t>
  </si>
  <si>
    <t>793935581</t>
  </si>
  <si>
    <t>PG7158 G669 O654 1977</t>
  </si>
  <si>
    <t>0                      PG 7158000G  669                O  654         1977</t>
  </si>
  <si>
    <t>Les envoûtés : roman / Witold Gombrowicz ; traduit du polonais par Albert Mailles et Hélène Wlodarczyk.</t>
  </si>
  <si>
    <t>Paris : Stock, 1977.</t>
  </si>
  <si>
    <t>Le Cabinet cosmopolite</t>
  </si>
  <si>
    <t>4494970997:fre</t>
  </si>
  <si>
    <t>4462335</t>
  </si>
  <si>
    <t>ocm04462335</t>
  </si>
  <si>
    <t>3000435980H</t>
  </si>
  <si>
    <t>9782234006973</t>
  </si>
  <si>
    <t>792351893</t>
  </si>
  <si>
    <t>PG7158 G669 P6 1966</t>
  </si>
  <si>
    <t>0                      PG 7158000G  669                P  6           1966</t>
  </si>
  <si>
    <t>Pornografia: a novel; translated by Alastair Hamilton.</t>
  </si>
  <si>
    <t>London, Calder &amp; Boyars, 1966.</t>
  </si>
  <si>
    <t>1632790:eng</t>
  </si>
  <si>
    <t>954216</t>
  </si>
  <si>
    <t>ocm00954216</t>
  </si>
  <si>
    <t>3102711157O</t>
  </si>
  <si>
    <t>9780714500386</t>
  </si>
  <si>
    <t>791510704</t>
  </si>
  <si>
    <t>PG7158 G669 T74 1976</t>
  </si>
  <si>
    <t>0                      PG 7158000G  669                T  74          1976</t>
  </si>
  <si>
    <t>Trans-Atlantique : roman / Witold Gombrowicz ; traduit du polonais par Constantin Jelenski et Geneviève Serreau.</t>
  </si>
  <si>
    <t>Paris : Denoël, ©1976.</t>
  </si>
  <si>
    <t>975626:fre</t>
  </si>
  <si>
    <t>4569227</t>
  </si>
  <si>
    <t>ocm04569227</t>
  </si>
  <si>
    <t>30004557780</t>
  </si>
  <si>
    <t>792363458</t>
  </si>
  <si>
    <t>PG7158 G669 1969</t>
  </si>
  <si>
    <t>0                      PG 7158000G  669         1969</t>
  </si>
  <si>
    <t>Dzieła zebrane / Witold Gombrowicz.</t>
  </si>
  <si>
    <t>Paryż : Instytut Literacki, 1969-1977.</t>
  </si>
  <si>
    <t>Biblioteka "Kultury" ; t. 181, 186, 189, 191, 204, 205, 211, 213, 218, 239, 283</t>
  </si>
  <si>
    <t>2018-11-16</t>
  </si>
  <si>
    <t>3372511394:pol</t>
  </si>
  <si>
    <t>2094386</t>
  </si>
  <si>
    <t>ocm02094386</t>
  </si>
  <si>
    <t>3100806723C</t>
  </si>
  <si>
    <t>792044898</t>
  </si>
  <si>
    <t>3000485221V</t>
  </si>
  <si>
    <t>792044903</t>
  </si>
  <si>
    <t>3100806720I</t>
  </si>
  <si>
    <t>792044901</t>
  </si>
  <si>
    <t>3100806722E</t>
  </si>
  <si>
    <t>792044899</t>
  </si>
  <si>
    <t>3100806721G</t>
  </si>
  <si>
    <t>792044900</t>
  </si>
  <si>
    <t>31008067193</t>
  </si>
  <si>
    <t>792044902</t>
  </si>
  <si>
    <t>PG7158 G6692 A3414 1976</t>
  </si>
  <si>
    <t>0                      PG 7158000G  6692               A  3414        1976</t>
  </si>
  <si>
    <t>Journal, 1957-1960 / Witold Gombrowicz ; traduit du polonais par Christophe Jezewski et Dominique Autrand.</t>
  </si>
  <si>
    <t>Paris : Denoël, 1976.</t>
  </si>
  <si>
    <t>Dossiers des Lettres nouvelles</t>
  </si>
  <si>
    <t>2017-06-13</t>
  </si>
  <si>
    <t>3901407453:fre</t>
  </si>
  <si>
    <t>2796334</t>
  </si>
  <si>
    <t>ocm02796334</t>
  </si>
  <si>
    <t>3000466869N</t>
  </si>
  <si>
    <t>792177267</t>
  </si>
  <si>
    <t>PG7158 G6692 A38713 2004</t>
  </si>
  <si>
    <t>0                      PG 7158000G  6692               A  38713       2004</t>
  </si>
  <si>
    <t>Polish memories / Witold Gombrowicz ; translated by Bill Johnston.</t>
  </si>
  <si>
    <t>New Haven : Yale University Press, ©2004.</t>
  </si>
  <si>
    <t>2908897206:eng</t>
  </si>
  <si>
    <t>55738148</t>
  </si>
  <si>
    <t>ocm55738148</t>
  </si>
  <si>
    <t>3102409918$</t>
  </si>
  <si>
    <t>9780300104103</t>
  </si>
  <si>
    <t>793881782</t>
  </si>
  <si>
    <t>PG7158 G6692 B48 1998</t>
  </si>
  <si>
    <t>0                      PG 7158000G  6692               B  48          1998</t>
  </si>
  <si>
    <t>Lines of desire : reading Gombrowicz's fiction with Lacan / Hanjo Berressem.</t>
  </si>
  <si>
    <t>Berressem, Hanjo, 1956-</t>
  </si>
  <si>
    <t>Evanston, IL : Northwestern University Press, 1998.</t>
  </si>
  <si>
    <t>Avant-garde &amp; modernism studies</t>
  </si>
  <si>
    <t>2018-08-08</t>
  </si>
  <si>
    <t>617215:eng</t>
  </si>
  <si>
    <t>38144493</t>
  </si>
  <si>
    <t>ocm38144493</t>
  </si>
  <si>
    <t>3101943871A</t>
  </si>
  <si>
    <t>9780810113091</t>
  </si>
  <si>
    <t>793516894</t>
  </si>
  <si>
    <t>PG7158 G6692 F4713 2000</t>
  </si>
  <si>
    <t>0                      PG 7158000G  6692               F  4713        2000</t>
  </si>
  <si>
    <t>Ferdydurke / Witold Gombrowicz ; translated from the Polish by Danuta Borchardt ; foreword by Susan Sontag.</t>
  </si>
  <si>
    <t>New Haven, CT : Yale University Press, ©2000.</t>
  </si>
  <si>
    <t>1344528:eng</t>
  </si>
  <si>
    <t>43114995</t>
  </si>
  <si>
    <t>ocm43114995</t>
  </si>
  <si>
    <t>3102049968K</t>
  </si>
  <si>
    <t>9780300082395</t>
  </si>
  <si>
    <t>793620465</t>
  </si>
  <si>
    <t>PG7158 G6692 G4 1977</t>
  </si>
  <si>
    <t>0                      PG 7158000G  6692               G  4           1977</t>
  </si>
  <si>
    <t>Gombrowicz / Rosine Georgin.</t>
  </si>
  <si>
    <t>Georgin, Rosine.</t>
  </si>
  <si>
    <t>Lausanne : L'Age d'homme, 1977.</t>
  </si>
  <si>
    <t>Cahiers Cistre ; no 2</t>
  </si>
  <si>
    <t>1679664:fre</t>
  </si>
  <si>
    <t>5124666</t>
  </si>
  <si>
    <t>ocm05124666</t>
  </si>
  <si>
    <t>3000413751H</t>
  </si>
  <si>
    <t>792409672</t>
  </si>
  <si>
    <t>PG7158 G6692 G64 1998</t>
  </si>
  <si>
    <t>0                      PG 7158000G  6692               G  64          1998</t>
  </si>
  <si>
    <t>Gombrowicz's grimaces : modernism, gender, nationality / edited by Ewa Płonowska Ziarek.</t>
  </si>
  <si>
    <t>Albany : State University of New York Press, ©1998.</t>
  </si>
  <si>
    <t>364960181:eng</t>
  </si>
  <si>
    <t>36942425</t>
  </si>
  <si>
    <t>ocm36942425</t>
  </si>
  <si>
    <t>3101855285E</t>
  </si>
  <si>
    <t>9780791436431</t>
  </si>
  <si>
    <t>793488074</t>
  </si>
  <si>
    <t>PG7158 G6692 L44 1996</t>
  </si>
  <si>
    <t>0                      PG 7158000G  6692               L  44          1996</t>
  </si>
  <si>
    <t>Modernizm Witolda Gombrowicza : wybrane zagadnienia / Michał Legierski.</t>
  </si>
  <si>
    <t>Legierski, Michał.</t>
  </si>
  <si>
    <t>Stockholm, Sweden : Almqvist &amp; Wiksell, 1996.</t>
  </si>
  <si>
    <t>Acta Universitatis Stockholmiensis. Stockholm Slavic studies, 0585-3575 ; 25</t>
  </si>
  <si>
    <t>5612403151:pol</t>
  </si>
  <si>
    <t>34830473</t>
  </si>
  <si>
    <t>ocm34830473</t>
  </si>
  <si>
    <t>3101596882P</t>
  </si>
  <si>
    <t>9789122017110</t>
  </si>
  <si>
    <t>793436810</t>
  </si>
  <si>
    <t>PG7158 G6692 T48 1979</t>
  </si>
  <si>
    <t>0                      PG 7158000G  6692               T  48          1979</t>
  </si>
  <si>
    <t>Witold Gombrowicz / by Ewa M. Thompson.</t>
  </si>
  <si>
    <t>Boston : Twayne Publishers, ©1979.</t>
  </si>
  <si>
    <t>Twayne's world authors series ; TWAS 510 : Poland</t>
  </si>
  <si>
    <t>4757685430:eng</t>
  </si>
  <si>
    <t>4056437</t>
  </si>
  <si>
    <t>ocm04056437</t>
  </si>
  <si>
    <t>3000454660S</t>
  </si>
  <si>
    <t>9780805763515</t>
  </si>
  <si>
    <t>792317939</t>
  </si>
  <si>
    <t>PG7158 G6692 Z8 1968</t>
  </si>
  <si>
    <t>0                      PG 7158000G  6692               Z  8           1968</t>
  </si>
  <si>
    <t>Entretiens avec Gombrowicz.</t>
  </si>
  <si>
    <t>Roux, Dominique de.</t>
  </si>
  <si>
    <t>Paris, P. Belfond 1968.</t>
  </si>
  <si>
    <t>Collection Entretiens</t>
  </si>
  <si>
    <t>3902436692:fre</t>
  </si>
  <si>
    <t>631115</t>
  </si>
  <si>
    <t>ocm00631115</t>
  </si>
  <si>
    <t>3102399390$</t>
  </si>
  <si>
    <t>791432842</t>
  </si>
  <si>
    <t>PG7158 G77 A3 2017</t>
  </si>
  <si>
    <t>0                      PG 7158000G  77                 A  3           2017</t>
  </si>
  <si>
    <t>The Anna Karenina fix : life lessons from Russian literature / Viv Groskop.</t>
  </si>
  <si>
    <t>Groskop, Viv, author.</t>
  </si>
  <si>
    <t>London : Fig Tree, 2017.</t>
  </si>
  <si>
    <t>4567692197:eng</t>
  </si>
  <si>
    <t>1008922047</t>
  </si>
  <si>
    <t>on1008922047</t>
  </si>
  <si>
    <t>3103669869Y</t>
  </si>
  <si>
    <t>9780241308639</t>
  </si>
  <si>
    <t>795044879</t>
  </si>
  <si>
    <t>PG7158 H446 Z463 1997</t>
  </si>
  <si>
    <t>0                      PG 7158000H  446                Z  463         1997</t>
  </si>
  <si>
    <t>Volcano and miracle : a selection from the journal written at night / Gustaw Herling ; selected and translated by Ronald Strom.</t>
  </si>
  <si>
    <t>Herling-Grudziński, Gustaw, 1919-2000.</t>
  </si>
  <si>
    <t>London : Penguin, 1997, ©1996.</t>
  </si>
  <si>
    <t>2999410763:eng</t>
  </si>
  <si>
    <t>40754011</t>
  </si>
  <si>
    <t>ocm40754011</t>
  </si>
  <si>
    <t>31024901488</t>
  </si>
  <si>
    <t>9780140236156</t>
  </si>
  <si>
    <t>793574941</t>
  </si>
  <si>
    <t>PG7158 H552 A3 2013</t>
  </si>
  <si>
    <t>0                      PG 7158000H  552                A  3           2013</t>
  </si>
  <si>
    <t>Beautiful twentysomethings / by Marek Hłasko ; translated by Ross Ufberg ; foreword by Jarosław Anders.</t>
  </si>
  <si>
    <t>Hłasko, Marek, 1934-1969, author.</t>
  </si>
  <si>
    <t>DeKalb, IL : NIU Press, [2013]</t>
  </si>
  <si>
    <t>4917167037:eng</t>
  </si>
  <si>
    <t>845349692</t>
  </si>
  <si>
    <t>ocn845349692</t>
  </si>
  <si>
    <t>31035287819</t>
  </si>
  <si>
    <t>9780875806976</t>
  </si>
  <si>
    <t>794948983</t>
  </si>
  <si>
    <t>PG7158 K6513 S43</t>
  </si>
  <si>
    <t>0                      PG 7158000K  6513               S  43</t>
  </si>
  <si>
    <t>A dreambook for our time. / translated by David Welsh.</t>
  </si>
  <si>
    <t>Konwicki, Tadeusz.</t>
  </si>
  <si>
    <t>Cambridge, M.A. : M.I.T. Press, ©1969.</t>
  </si>
  <si>
    <t>142715:eng</t>
  </si>
  <si>
    <t>65445</t>
  </si>
  <si>
    <t>ocm00065445</t>
  </si>
  <si>
    <t>30006176849</t>
  </si>
  <si>
    <t>9780262110358</t>
  </si>
  <si>
    <t>791244263</t>
  </si>
  <si>
    <t>PG7158 K6513 W7413 1987</t>
  </si>
  <si>
    <t>0                      PG 7158000K  6513               W  7413        1987</t>
  </si>
  <si>
    <t>Moonrise, moonset / Tadeusz Konwicki ; translated by Richard Lourie.</t>
  </si>
  <si>
    <t>New York : Farrar, Straus, Giroux, 1987.</t>
  </si>
  <si>
    <t>4159892296:eng</t>
  </si>
  <si>
    <t>16676228</t>
  </si>
  <si>
    <t>ocm16676228</t>
  </si>
  <si>
    <t>31037412448</t>
  </si>
  <si>
    <t>9780374212414</t>
  </si>
  <si>
    <t>792968381</t>
  </si>
  <si>
    <t>PG7158 L39 A25 1986</t>
  </si>
  <si>
    <t>0                      PG 7158000L  39                 A  25          1986</t>
  </si>
  <si>
    <t>One human minute / Stanislaw Lem ; translated by Catherine S. Leach.</t>
  </si>
  <si>
    <t>Lem, Stanisław.</t>
  </si>
  <si>
    <t>San Diego [Calif.] : Harcourt Brace Jovanovich, ©1986.</t>
  </si>
  <si>
    <t>First ed.</t>
  </si>
  <si>
    <t>4960698:eng</t>
  </si>
  <si>
    <t>12217009</t>
  </si>
  <si>
    <t>ocm12217009</t>
  </si>
  <si>
    <t>3000482181W</t>
  </si>
  <si>
    <t>9780151695508</t>
  </si>
  <si>
    <t>792806461</t>
  </si>
  <si>
    <t>PG7158 L39 C813 2014</t>
  </si>
  <si>
    <t>0                      PG 7158000L  39                 C  813         2014</t>
  </si>
  <si>
    <t>The cyberiad : fables for the cybernetic age / Stanislaw Lem ; translated by Michael Kandel with illustrations by Daniel Mŕoz.</t>
  </si>
  <si>
    <t>Lem, Stanisław, author.</t>
  </si>
  <si>
    <t>Penguin modern classics</t>
  </si>
  <si>
    <t>8911412370:eng</t>
  </si>
  <si>
    <t>876285360</t>
  </si>
  <si>
    <t>ocn876285360</t>
  </si>
  <si>
    <t>3103611001M</t>
  </si>
  <si>
    <t>9780141394596</t>
  </si>
  <si>
    <t>794969918</t>
  </si>
  <si>
    <t>PG7158 L39 C83</t>
  </si>
  <si>
    <t>0                      PG 7158000L  39                 C  83</t>
  </si>
  <si>
    <t>The cyberiad : fables for the cybernetic age / Stanislaw Lem ; translated from the Polish by Michael Kandel. Illustrated by Daniel Mróz.</t>
  </si>
  <si>
    <t>New York, N.Y. : Seabury Press, 1974.</t>
  </si>
  <si>
    <t>2019-08-12</t>
  </si>
  <si>
    <t>479656:eng</t>
  </si>
  <si>
    <t>704781</t>
  </si>
  <si>
    <t>ocm00704781</t>
  </si>
  <si>
    <t>3000460202Z</t>
  </si>
  <si>
    <t>9780816491643</t>
  </si>
  <si>
    <t>791450627</t>
  </si>
  <si>
    <t>PG7158 L39 D613 1999</t>
  </si>
  <si>
    <t>0                      PG 7158000L  39                 D  613         1999</t>
  </si>
  <si>
    <t>A perfect vacuum / Stanisław Lem ; translated from the Polish by Michael Kandel.</t>
  </si>
  <si>
    <t>2017-02-19</t>
  </si>
  <si>
    <t>349227440:eng</t>
  </si>
  <si>
    <t>42021520</t>
  </si>
  <si>
    <t>ocm42021520</t>
  </si>
  <si>
    <t>31021361276</t>
  </si>
  <si>
    <t>9780810117334</t>
  </si>
  <si>
    <t>793601381</t>
  </si>
  <si>
    <t>PG7158 L39 D63 1979</t>
  </si>
  <si>
    <t>0                      PG 7158000L  39                 D  63          1979</t>
  </si>
  <si>
    <t>New York : Harcourt Brace Jovanovich, 1979.</t>
  </si>
  <si>
    <t>4495952</t>
  </si>
  <si>
    <t>ocm04495952</t>
  </si>
  <si>
    <t>3000443202W</t>
  </si>
  <si>
    <t>9780151716975</t>
  </si>
  <si>
    <t>792355727</t>
  </si>
  <si>
    <t>PG7158 L39 D9213 2000</t>
  </si>
  <si>
    <t>0                      PG 7158000L  39                 D  9213        2000</t>
  </si>
  <si>
    <t>Memoirs of a space traveler : further reminiscences of Ijon Tichy / Stanisław Lem ; drawings by the author ; translated from the Polish by Joel Stern and Maria Swiecicka-Ziemianek.</t>
  </si>
  <si>
    <t>4095555650:eng</t>
  </si>
  <si>
    <t>42861765</t>
  </si>
  <si>
    <t>ocm42861765</t>
  </si>
  <si>
    <t>3102120122F</t>
  </si>
  <si>
    <t>9780810117327</t>
  </si>
  <si>
    <t>793616030</t>
  </si>
  <si>
    <t>PG7158 L39 D93x</t>
  </si>
  <si>
    <t>0                      PG 7158000L  39                 D  93x</t>
  </si>
  <si>
    <t>The star diaries / by Stanisław Lem ; translated from the Polish by Michael Kandel ; with line drawings by Lem.</t>
  </si>
  <si>
    <t>New York : Seabury Press, ©1976.</t>
  </si>
  <si>
    <t>2973911324:eng</t>
  </si>
  <si>
    <t>1976853</t>
  </si>
  <si>
    <t>ocm01976853</t>
  </si>
  <si>
    <t>31030016904</t>
  </si>
  <si>
    <t>9780816492831</t>
  </si>
  <si>
    <t>792021830</t>
  </si>
  <si>
    <t>PG7158 L39 E313 1989</t>
  </si>
  <si>
    <t>0                      PG 7158000L  39                 E  313         1989</t>
  </si>
  <si>
    <t>Eden / Stanislaw Lem ; translated by Marc E. Heine.</t>
  </si>
  <si>
    <t>San Diego : Harcourt Brace Jovanovich, [1989].</t>
  </si>
  <si>
    <t>2017-01-20</t>
  </si>
  <si>
    <t>4832448:eng</t>
  </si>
  <si>
    <t>19324099</t>
  </si>
  <si>
    <t>ocm19324099</t>
  </si>
  <si>
    <t>3102981240D</t>
  </si>
  <si>
    <t>9780151275809</t>
  </si>
  <si>
    <t>793054220</t>
  </si>
  <si>
    <t>PG7158 L39 F5313 1987</t>
  </si>
  <si>
    <t>0                      PG 7158000L  39                 F  5313        1987</t>
  </si>
  <si>
    <t>Fiasco / Stanisław Lem ; translated from the Polish by Michael Kandel.</t>
  </si>
  <si>
    <t>8563431:eng</t>
  </si>
  <si>
    <t>14967355</t>
  </si>
  <si>
    <t>ocm14967355</t>
  </si>
  <si>
    <t>3103643477J</t>
  </si>
  <si>
    <t>9780151306404</t>
  </si>
  <si>
    <t>792915384</t>
  </si>
  <si>
    <t>PG7158 L39 G613 1983</t>
  </si>
  <si>
    <t>0                      PG 7158000L  39                 G  613         1983</t>
  </si>
  <si>
    <t>His master's voice / Stanisław Lem ; translated from the Polish by Michael Kandel.</t>
  </si>
  <si>
    <t>1152774888:eng</t>
  </si>
  <si>
    <t>41981987</t>
  </si>
  <si>
    <t>ocm41981987</t>
  </si>
  <si>
    <t>3102044780Q</t>
  </si>
  <si>
    <t>9780810117310</t>
  </si>
  <si>
    <t>793600529</t>
  </si>
  <si>
    <t>PG7158 L39 K313 2000</t>
  </si>
  <si>
    <t>0                      PG 7158000L  39                 K  313         2000</t>
  </si>
  <si>
    <t>The chain of chance / Stanisław Lem ; [translated from the Polish by Louis Iribarne].</t>
  </si>
  <si>
    <t>2923194:eng</t>
  </si>
  <si>
    <t>42861747</t>
  </si>
  <si>
    <t>ocm42861747</t>
  </si>
  <si>
    <t>31021083454</t>
  </si>
  <si>
    <t>9780810117303</t>
  </si>
  <si>
    <t>793616023</t>
  </si>
  <si>
    <t>PG7158 L39 O63</t>
  </si>
  <si>
    <t>0                      PG 7158000L  39                 O  63</t>
  </si>
  <si>
    <t>Tales of Pirx the pilot / Stanislaw Lem ; translated by Louis Iribarne.</t>
  </si>
  <si>
    <t>New York : Harcourt Brace Jovanovich, ©1979.</t>
  </si>
  <si>
    <t>1817875827:eng</t>
  </si>
  <si>
    <t>5311059</t>
  </si>
  <si>
    <t>ocm05311059</t>
  </si>
  <si>
    <t>3101566474L</t>
  </si>
  <si>
    <t>9780151879786</t>
  </si>
  <si>
    <t>792424245</t>
  </si>
  <si>
    <t>PG7158 L39 O63 1982</t>
  </si>
  <si>
    <t>0                      PG 7158000L  39                 O  63          1982</t>
  </si>
  <si>
    <t>More tales of Pirx the pilot / Stanislaw Lem ; translated by Louis Iribarne ; with the assistance of Magdalena Majcherczyk and by Michael Kandel.</t>
  </si>
  <si>
    <t>San Diego : Harcourt Brace Jovanovich, [1982]</t>
  </si>
  <si>
    <t>8430444</t>
  </si>
  <si>
    <t>ocm08430444</t>
  </si>
  <si>
    <t>3103293511W</t>
  </si>
  <si>
    <t>9780151621385</t>
  </si>
  <si>
    <t>792619146</t>
  </si>
  <si>
    <t>PG7158 L39 P33x</t>
  </si>
  <si>
    <t>0                      PG 7158000L  39                 P  33x</t>
  </si>
  <si>
    <t>Memoirs found in a bathtub. Translated by Michael Kandel and Christine Rose.</t>
  </si>
  <si>
    <t>New York, Seabury Press [1973]</t>
  </si>
  <si>
    <t>2015-11-18</t>
  </si>
  <si>
    <t>2079918671:eng</t>
  </si>
  <si>
    <t>495122</t>
  </si>
  <si>
    <t>ocm00495122</t>
  </si>
  <si>
    <t>3102673295I</t>
  </si>
  <si>
    <t>9780816491285</t>
  </si>
  <si>
    <t>791393590</t>
  </si>
  <si>
    <t>PG7158 L39 P5713 1994</t>
  </si>
  <si>
    <t>0                      PG 7158000L  39                 P  5713        1994</t>
  </si>
  <si>
    <t>Peace on Earth / Stanislaw Lem ; translated from the Polish by Elinor Ford with Michael Kandel.</t>
  </si>
  <si>
    <t>New York : Harcourt Brace, ©1994.</t>
  </si>
  <si>
    <t>First Harvest edition.</t>
  </si>
  <si>
    <t>2242234091:eng</t>
  </si>
  <si>
    <t>25131522</t>
  </si>
  <si>
    <t>ocm25131522</t>
  </si>
  <si>
    <t>3101305826Y</t>
  </si>
  <si>
    <t>9780151715541</t>
  </si>
  <si>
    <t>793212921</t>
  </si>
  <si>
    <t>PG7158 L39 R63 2011</t>
  </si>
  <si>
    <t>0                      PG 7158000L  39                 R  63          2011</t>
  </si>
  <si>
    <t>Robot / writer, Stanisław Lem ; artists, Andrzej Klimowski, Danusia Schejbal.</t>
  </si>
  <si>
    <t>London : SelfMadeHero, 2011.</t>
  </si>
  <si>
    <t>Eye classics</t>
  </si>
  <si>
    <t>2015-03-09</t>
  </si>
  <si>
    <t>4095706629:eng</t>
  </si>
  <si>
    <t>751804568</t>
  </si>
  <si>
    <t>ocn751804568</t>
  </si>
  <si>
    <t>3103457619L</t>
  </si>
  <si>
    <t>9781906838409</t>
  </si>
  <si>
    <t>794891126</t>
  </si>
  <si>
    <t>PG7158 L39 S613 1987</t>
  </si>
  <si>
    <t>0                      PG 7158000L  39                 S  613         1987</t>
  </si>
  <si>
    <t>Solaris / Stanislaw Lem ; translated from the French by Joanna Kilmartin and Steve Cox.</t>
  </si>
  <si>
    <t>San Diego : Harcourt Brace Jovanovich, 1987, ©1970.</t>
  </si>
  <si>
    <t>1st Harvest/HBJ ed.</t>
  </si>
  <si>
    <t>2019-03-05</t>
  </si>
  <si>
    <t>4202555886:eng</t>
  </si>
  <si>
    <t>15014992</t>
  </si>
  <si>
    <t>ocm15014992</t>
  </si>
  <si>
    <t>3103200691X</t>
  </si>
  <si>
    <t>9780156837507</t>
  </si>
  <si>
    <t>792916644</t>
  </si>
  <si>
    <t>PG7158 L39 S617 1988</t>
  </si>
  <si>
    <t>0                      PG 7158000L  39                 S  617         1988</t>
  </si>
  <si>
    <t>Soli︠a︡ris ; Nepobedimyĭ ; Zvëzdnye dnevniki Iĭona Tikhogo / Stanislav Lem ; [perevody s polʹskogo].</t>
  </si>
  <si>
    <t>Moskva : "Pravda", 1988.</t>
  </si>
  <si>
    <t>Mir prikli︠u︡cheniĭ</t>
  </si>
  <si>
    <t>2017-01-22</t>
  </si>
  <si>
    <t>4202555886:rus</t>
  </si>
  <si>
    <t>21400837</t>
  </si>
  <si>
    <t>ocm21400837</t>
  </si>
  <si>
    <t>3101011874L</t>
  </si>
  <si>
    <t>793117747</t>
  </si>
  <si>
    <t>PG7158 L39 S63</t>
  </si>
  <si>
    <t>0                      PG 7158000L  39                 S  63</t>
  </si>
  <si>
    <t>Solaris. Translated from the French by Joanna Kilmartin and Steve Cox. Afterword by Darko Suvin.</t>
  </si>
  <si>
    <t>New York, Walker [1970]</t>
  </si>
  <si>
    <t>105763</t>
  </si>
  <si>
    <t>ocm00105763</t>
  </si>
  <si>
    <t>3102948133A</t>
  </si>
  <si>
    <t>9780802755261</t>
  </si>
  <si>
    <t>791258790</t>
  </si>
  <si>
    <t>PG7158 L39 W513 1984</t>
  </si>
  <si>
    <t>0                      PG 7158000L  39                 W  513         1984</t>
  </si>
  <si>
    <t>Imaginary magnitude / Stanislaw Lem ; translated from the Polish by Marc E. Heine.</t>
  </si>
  <si>
    <t>San Diego : Harcourt Brace Jovanovich, ©1984.</t>
  </si>
  <si>
    <t>4061454858:eng</t>
  </si>
  <si>
    <t>10020357</t>
  </si>
  <si>
    <t>ocm10020357</t>
  </si>
  <si>
    <t>3000358699P</t>
  </si>
  <si>
    <t>9780151441181</t>
  </si>
  <si>
    <t>792705101</t>
  </si>
  <si>
    <t>PG7158 L39 Z64 1990</t>
  </si>
  <si>
    <t>0                      PG 7158000L  39                 Z  64          1990</t>
  </si>
  <si>
    <t>Stanislaw Lem / J. Madison Davis.</t>
  </si>
  <si>
    <t>Davis, J. Madison.</t>
  </si>
  <si>
    <t>Mercer Island, WA : Starmont House, 1990.</t>
  </si>
  <si>
    <t>Starmont reader's guide, 0272-7730 ; 32</t>
  </si>
  <si>
    <t>11495093:eng</t>
  </si>
  <si>
    <t>16129629</t>
  </si>
  <si>
    <t>ocm16129629</t>
  </si>
  <si>
    <t>3101224926U</t>
  </si>
  <si>
    <t>9781557420275</t>
  </si>
  <si>
    <t>792955937</t>
  </si>
  <si>
    <t>PG7158 L392 A35 1997</t>
  </si>
  <si>
    <t>0                      PG 7158000L  392                A  35          1997</t>
  </si>
  <si>
    <t>A Stanislaw Lem reader / Peter Swirski.</t>
  </si>
  <si>
    <t>Rethinking theory</t>
  </si>
  <si>
    <t>356054286:eng</t>
  </si>
  <si>
    <t>37024890</t>
  </si>
  <si>
    <t>ocm37024890</t>
  </si>
  <si>
    <t>3101846904D</t>
  </si>
  <si>
    <t>9780810114944</t>
  </si>
  <si>
    <t>793490196</t>
  </si>
  <si>
    <t>PG7158 L392 A57 2006</t>
  </si>
  <si>
    <t>0                      PG 7158000L  392                A  57          2006</t>
  </si>
  <si>
    <t>The art and science of Stanislaw Lem / edited by Peter Swirski.</t>
  </si>
  <si>
    <t>Montreal : McGill-Queen's University Press, ©2006.</t>
  </si>
  <si>
    <t>766918874:eng</t>
  </si>
  <si>
    <t>65206189</t>
  </si>
  <si>
    <t>ocm65206189</t>
  </si>
  <si>
    <t>31025525500</t>
  </si>
  <si>
    <t>9780773530461</t>
  </si>
  <si>
    <t>794133428</t>
  </si>
  <si>
    <t>PG7158 L392 L34 1973</t>
  </si>
  <si>
    <t>0                      PG 7158000L  392                L  34          1973</t>
  </si>
  <si>
    <t>Lem / Ewa Balcerzak ; translated by Krystyna Ce̜kalska.</t>
  </si>
  <si>
    <t>Balcerzak, Ewa.</t>
  </si>
  <si>
    <t>Warsaw : Author's Agency, 1973.</t>
  </si>
  <si>
    <t>13207068:eng</t>
  </si>
  <si>
    <t>17059056</t>
  </si>
  <si>
    <t>ocm17059056</t>
  </si>
  <si>
    <t>3100998003C</t>
  </si>
  <si>
    <t>792981456</t>
  </si>
  <si>
    <t>PG7158 L392 M347 2018</t>
  </si>
  <si>
    <t>0                      PG 7158000L  392                M  347         2018</t>
  </si>
  <si>
    <t>Between an animal and a machine : Stanislaw Lem's technological Utopia / Paweł Majewski.</t>
  </si>
  <si>
    <t>Majewski, Pawel, 1987- author.</t>
  </si>
  <si>
    <t>Berlin : Peter Lang, [2018]</t>
  </si>
  <si>
    <t>Modernity in question: studies in philosophy and history of ideas ; Vol. 10</t>
  </si>
  <si>
    <t>5512200904:eng</t>
  </si>
  <si>
    <t>1049576686</t>
  </si>
  <si>
    <t>on1049576686</t>
  </si>
  <si>
    <t>3103812415D</t>
  </si>
  <si>
    <t>9783631672631</t>
  </si>
  <si>
    <t>795061172</t>
  </si>
  <si>
    <t>3103892099N</t>
  </si>
  <si>
    <t>795061171</t>
  </si>
  <si>
    <t>PG7158 M5 P3 1979</t>
  </si>
  <si>
    <t>0                      PG 7158000M  5                  P  3           1979</t>
  </si>
  <si>
    <t>Pan Tadeusz : czyli, Ostatni zajazd na Litwie : historia szlachecka z r. 1811 i 1812 we dwunastu księgach wierszem / Adam Mickiewicz.</t>
  </si>
  <si>
    <t>Mickiewicz, Adam, 1798-1855.</t>
  </si>
  <si>
    <t>Warszawa : "Czytelnik", 1978</t>
  </si>
  <si>
    <t>Wyd. 4.</t>
  </si>
  <si>
    <t>Biblioteka lektur szkolnych.</t>
  </si>
  <si>
    <t>5534270260:pol</t>
  </si>
  <si>
    <t>61653333</t>
  </si>
  <si>
    <t>ocm61653333</t>
  </si>
  <si>
    <t>3101205542I</t>
  </si>
  <si>
    <t>794087229</t>
  </si>
  <si>
    <t>PG7158 M553 A2 2001</t>
  </si>
  <si>
    <t>0                      PG 7158000M  553                A  2           2001</t>
  </si>
  <si>
    <t>New and collected poems 1931-2001 / Czeslaw Milosz.</t>
  </si>
  <si>
    <t>New York : Ecco, ©2001.</t>
  </si>
  <si>
    <t>2017-05-01</t>
  </si>
  <si>
    <t>9727027:eng</t>
  </si>
  <si>
    <t>47927756</t>
  </si>
  <si>
    <t>ocm47927756</t>
  </si>
  <si>
    <t>3102158869E</t>
  </si>
  <si>
    <t>9780060196677</t>
  </si>
  <si>
    <t>793711407</t>
  </si>
  <si>
    <t>PG7158 M553 A27</t>
  </si>
  <si>
    <t>0                      PG 7158000M  553                A  27</t>
  </si>
  <si>
    <t>Selected poems; translated by several hands. Introd. by Kenneth Rexroth.</t>
  </si>
  <si>
    <t>5342826293:eng</t>
  </si>
  <si>
    <t>667052</t>
  </si>
  <si>
    <t>ocm00667052</t>
  </si>
  <si>
    <t>31033800965</t>
  </si>
  <si>
    <t>9780816491667</t>
  </si>
  <si>
    <t>791441498</t>
  </si>
  <si>
    <t>PG7158 M553 G6713 2017</t>
  </si>
  <si>
    <t>0                      PG 7158000M  553                G  6713        2017</t>
  </si>
  <si>
    <t>The mountains of Parnassus = Góry Parnasu / Czeslaw Milosz ; translated from the Polish by Stanley Bill.</t>
  </si>
  <si>
    <t>Miłosz, Czesław, author.</t>
  </si>
  <si>
    <t>New Haven, CT : Yale University Press, [2017]</t>
  </si>
  <si>
    <t>1404730421:eng</t>
  </si>
  <si>
    <t>946216602</t>
  </si>
  <si>
    <t>ocn946216602</t>
  </si>
  <si>
    <t>31036968466</t>
  </si>
  <si>
    <t>9780300214253</t>
  </si>
  <si>
    <t>795014378</t>
  </si>
  <si>
    <t>PG7158 M553 L4413 2005</t>
  </si>
  <si>
    <t>0                      PG 7158000M  553                L  4413        2005</t>
  </si>
  <si>
    <t>Legends of modernity : essays and letters from occupied Poland, 1942-43 / Czesław Miłosz ; translated from the Polish by Madeline G. Levine ; introduction by Jaroslaw Anders.</t>
  </si>
  <si>
    <t>New York : Farrar, Straus and Giroux, 2005.</t>
  </si>
  <si>
    <t>2016-08-09</t>
  </si>
  <si>
    <t>4494972524:eng</t>
  </si>
  <si>
    <t>57414688</t>
  </si>
  <si>
    <t>ocm57414688</t>
  </si>
  <si>
    <t>3102576878Z</t>
  </si>
  <si>
    <t>9780374184995</t>
  </si>
  <si>
    <t>793912460</t>
  </si>
  <si>
    <t>PG7158 M553 P5413 1998</t>
  </si>
  <si>
    <t>0                      PG 7158000M  553                P  5413        1998</t>
  </si>
  <si>
    <t>Road-side dog / Czeslaw Milosz ; translated by the author and Robert Hass.</t>
  </si>
  <si>
    <t>New York : Farrar, Straus and Giroux, ©1998.</t>
  </si>
  <si>
    <t>10292810:eng</t>
  </si>
  <si>
    <t>38573677</t>
  </si>
  <si>
    <t>ocm38573677</t>
  </si>
  <si>
    <t>3101919938T</t>
  </si>
  <si>
    <t>9780374251291</t>
  </si>
  <si>
    <t>793527296</t>
  </si>
  <si>
    <t>PG7158 M553 P66 2010</t>
  </si>
  <si>
    <t>0                      PG 7158000M  553                P  66          2010</t>
  </si>
  <si>
    <t>Proud to be a mammal : essays on war, faith and memory / Czesław Miłosz ; translated by Catherine Leach, Bogdana Carpenter and Madeline G. Levine.</t>
  </si>
  <si>
    <t>London ; New York : Penguin, 2010.</t>
  </si>
  <si>
    <t>2011-03-20</t>
  </si>
  <si>
    <t>908800042:eng</t>
  </si>
  <si>
    <t>501394923</t>
  </si>
  <si>
    <t>ocn501394923</t>
  </si>
  <si>
    <t>3103238400A</t>
  </si>
  <si>
    <t>9780141193199</t>
  </si>
  <si>
    <t>794804976</t>
  </si>
  <si>
    <t>PG7158 M553 R613 1968</t>
  </si>
  <si>
    <t>0                      PG 7158000M  553                R  613         1968</t>
  </si>
  <si>
    <t>Native realm: a search for self-definition. Translated from the Polish by Catherine S. Leach.</t>
  </si>
  <si>
    <t>Garden City, N.Y., Doubleday, 1968.</t>
  </si>
  <si>
    <t>2018-07-09</t>
  </si>
  <si>
    <t>502550:eng</t>
  </si>
  <si>
    <t>440155</t>
  </si>
  <si>
    <t>ocm00440155</t>
  </si>
  <si>
    <t>31028660807</t>
  </si>
  <si>
    <t>9780520044746</t>
  </si>
  <si>
    <t>791379131</t>
  </si>
  <si>
    <t>PG7158 M553 Z3513 1985</t>
  </si>
  <si>
    <t>0                      PG 7158000M  553                Z  3513        1985</t>
  </si>
  <si>
    <t>The land of Ulro / Czesław Miłosz ; translated by Louis Iribarne.</t>
  </si>
  <si>
    <t>Manchester : Carcanet, 1985.</t>
  </si>
  <si>
    <t>2904028:eng</t>
  </si>
  <si>
    <t>60051909</t>
  </si>
  <si>
    <t>ocm60051909</t>
  </si>
  <si>
    <t>3000479397H</t>
  </si>
  <si>
    <t>9780856355219</t>
  </si>
  <si>
    <t>793933443</t>
  </si>
  <si>
    <t>PG7158 M5532 A3713 1994</t>
  </si>
  <si>
    <t>0                      PG 7158000M  5532               A  3713        1994</t>
  </si>
  <si>
    <t>A year of the hunter / Czeslaw Milosz ; translated by Madeline G. Levine.</t>
  </si>
  <si>
    <t>New York : Farrar, Straus and Giroux, ©1994.</t>
  </si>
  <si>
    <t>2017-11-02</t>
  </si>
  <si>
    <t>1434070656:eng</t>
  </si>
  <si>
    <t>29598812</t>
  </si>
  <si>
    <t>ocm29598812</t>
  </si>
  <si>
    <t>3101487290L</t>
  </si>
  <si>
    <t>9780374293444</t>
  </si>
  <si>
    <t>793315817</t>
  </si>
  <si>
    <t>PG7158 M5532 A3913 1991</t>
  </si>
  <si>
    <t>0                      PG 7158000M  5532               A  3913        1991</t>
  </si>
  <si>
    <t>Beginning with my streets : essays and recollections / Czesław Miłosz ; translated by Madeline G. Levine.</t>
  </si>
  <si>
    <t>New York : Farrar, Straus, Giroux, ©1991.</t>
  </si>
  <si>
    <t>1406526319:eng</t>
  </si>
  <si>
    <t>24429363</t>
  </si>
  <si>
    <t>ocm24429363</t>
  </si>
  <si>
    <t>3100961735O</t>
  </si>
  <si>
    <t>9780374110109</t>
  </si>
  <si>
    <t>793197992</t>
  </si>
  <si>
    <t>PG7158 M5532 B48 1988</t>
  </si>
  <si>
    <t>0                      PG 7158000M  5532               B  48          1988</t>
  </si>
  <si>
    <t>Between anxiety and hope : the poetry and writing of Czesław Miłosz / edited by Edward Możejko.</t>
  </si>
  <si>
    <t>Edmonton, Alta., Canada : University of Alberta Press, 1988.</t>
  </si>
  <si>
    <t>2015-11-07</t>
  </si>
  <si>
    <t>801097026:eng</t>
  </si>
  <si>
    <t>20131075</t>
  </si>
  <si>
    <t>ocm20131075</t>
  </si>
  <si>
    <t>3103679699R</t>
  </si>
  <si>
    <t>9780888641274</t>
  </si>
  <si>
    <t>793078430</t>
  </si>
  <si>
    <t>PG7158 M5532 C955 2011</t>
  </si>
  <si>
    <t>0                      PG 7158000M  5532               C  955         2011</t>
  </si>
  <si>
    <t>Czesław Miłosz--multiple worlds, game of forms / published under the direction of Stanisław Latek.</t>
  </si>
  <si>
    <t>Czesław Miłosz: Multiple Worlds, Game of Forms (Conference) (2011 : University of Toronto)</t>
  </si>
  <si>
    <t>Montreal : Polish Institute of Arts and Sciences in Canada ; Cracow : Polish Academy of Arts and Sciences, 2011.</t>
  </si>
  <si>
    <t>1310634894:eng</t>
  </si>
  <si>
    <t>842850601</t>
  </si>
  <si>
    <t>ocn842850601</t>
  </si>
  <si>
    <t>3103481169Z</t>
  </si>
  <si>
    <t>9780986885129</t>
  </si>
  <si>
    <t>794947611</t>
  </si>
  <si>
    <t>PG7158 M5532 F7313 2017</t>
  </si>
  <si>
    <t>0                      PG 7158000M  5532               F  7313        2017</t>
  </si>
  <si>
    <t>Milosz : a biography / Andrzej Franaszek ; edited and translated by Aleksandra and Michael Parker.</t>
  </si>
  <si>
    <t>Franaszek, Andrzej, author.</t>
  </si>
  <si>
    <t>Cambridge, Massachusetts : The Belknap Press of Harvard University Press, 2017.</t>
  </si>
  <si>
    <t>3893716115:eng</t>
  </si>
  <si>
    <t>959649749</t>
  </si>
  <si>
    <t>ocn959649749</t>
  </si>
  <si>
    <t>3103671235Z</t>
  </si>
  <si>
    <t>9780674495043</t>
  </si>
  <si>
    <t>795022561</t>
  </si>
  <si>
    <t>PG7158 M5532 I58 2011</t>
  </si>
  <si>
    <t>0                      PG 7158000M  5532               I  58          2011</t>
  </si>
  <si>
    <t>An invisible rope : portraits of Czesław Miłosz / edited by Cynthia L. Haven.</t>
  </si>
  <si>
    <t>Athens : Ohio University Press, ©2011.</t>
  </si>
  <si>
    <t>369779880:eng</t>
  </si>
  <si>
    <t>495780031</t>
  </si>
  <si>
    <t>ocn495780031</t>
  </si>
  <si>
    <t>31036424094</t>
  </si>
  <si>
    <t>9780804011327</t>
  </si>
  <si>
    <t>794801962</t>
  </si>
  <si>
    <t>3103341220T</t>
  </si>
  <si>
    <t>794801961</t>
  </si>
  <si>
    <t>PG7158 N57 A2 2011</t>
  </si>
  <si>
    <t>0                      PG 7158000N  57                 A  2           2011</t>
  </si>
  <si>
    <t>Poems / Cyprian Norwid ; translated from the Polish by Danuta Borchardt in collaboration with Agata Brajerska-Mazur.</t>
  </si>
  <si>
    <t>Norwid, Cyprian, 1821-1883.</t>
  </si>
  <si>
    <t>Brooklyn, NY : Archipelago Books ; [Minneapolis] : Distributed by Consortium Book Sales and Distribution, 2011.</t>
  </si>
  <si>
    <t>1st Archipelago books ed.</t>
  </si>
  <si>
    <t>3855498611:eng</t>
  </si>
  <si>
    <t>669754848</t>
  </si>
  <si>
    <t>ocn669754848</t>
  </si>
  <si>
    <t>3103470724Y</t>
  </si>
  <si>
    <t>9781935744078</t>
  </si>
  <si>
    <t>794847094</t>
  </si>
  <si>
    <t>PG7158 N57 A2 2011b</t>
  </si>
  <si>
    <t>0                      PG 7158000N  57                 A  2           2011b</t>
  </si>
  <si>
    <t>Selected poems / Cyprian Kamil Norwid ; translated by Adam Czerniawski ; with an introduction by Bogdan Czaykowski.</t>
  </si>
  <si>
    <t>London : Anvil Press Poetry, 2011.</t>
  </si>
  <si>
    <t>Second edition.</t>
  </si>
  <si>
    <t>1808020417:eng</t>
  </si>
  <si>
    <t>724308282</t>
  </si>
  <si>
    <t>ocn724308282</t>
  </si>
  <si>
    <t>3103471953I</t>
  </si>
  <si>
    <t>9780856464379</t>
  </si>
  <si>
    <t>794876328</t>
  </si>
  <si>
    <t>PG7158 N57 Z62x</t>
  </si>
  <si>
    <t>0                      PG 7158000N  57                 Z  62x</t>
  </si>
  <si>
    <t>Le symbolisme et l'universalisme de C.K. Norwid : l'homme, le langage et l'art / Théodore F. Domaradzki.</t>
  </si>
  <si>
    <t>Domaradzki, Théodore F.</t>
  </si>
  <si>
    <t>Québec : Presses de l'Université Laval, 1974.</t>
  </si>
  <si>
    <t>Etudes Norwid ; 1</t>
  </si>
  <si>
    <t>503177632:fre</t>
  </si>
  <si>
    <t>299340270</t>
  </si>
  <si>
    <t>ocn299340270</t>
  </si>
  <si>
    <t>3000460227J</t>
  </si>
  <si>
    <t>9780774667371</t>
  </si>
  <si>
    <t>794429057</t>
  </si>
  <si>
    <t>PG7158 N572 N57 1983</t>
  </si>
  <si>
    <t>0                      PG 7158000N  572                N  57          1983</t>
  </si>
  <si>
    <t>Norwid piewca kultury chrześcijańskiej / pod redakcją Teodora F. Domaradzkiego.</t>
  </si>
  <si>
    <t>Montreal : Institute of Comparative Civilizations of Montreal ; London : Veritas Foundation &amp; Publication Center, 1983.</t>
  </si>
  <si>
    <t>Studa o Norwidzie</t>
  </si>
  <si>
    <t>434098920:pol</t>
  </si>
  <si>
    <t>12523337</t>
  </si>
  <si>
    <t>ocm12523337</t>
  </si>
  <si>
    <t>31012006228</t>
  </si>
  <si>
    <t>792817398</t>
  </si>
  <si>
    <t>PG7158 N572 1988</t>
  </si>
  <si>
    <t>0                      PG 7158000N  572         1988</t>
  </si>
  <si>
    <t>Cyprian Norwid, 1821-1883 : poet, thinker, craftsman : a centennial conference / edited by Bolesław Mazur and George Gömöri.</t>
  </si>
  <si>
    <t>London : Published for School of Slavonic and East European Studies, University of London by Orbis Books, ©1988.</t>
  </si>
  <si>
    <t>836917628:eng</t>
  </si>
  <si>
    <t>27387874</t>
  </si>
  <si>
    <t>ocm27387874</t>
  </si>
  <si>
    <t>3100881682E</t>
  </si>
  <si>
    <t>9780901149305</t>
  </si>
  <si>
    <t>793265447</t>
  </si>
  <si>
    <t>PG7158 P64 A28 1989</t>
  </si>
  <si>
    <t>0                      PG 7158000P  64                 A  28          1989</t>
  </si>
  <si>
    <t>The Danton case ; Thermidor : two plays / Stanisława Przybyszewska ; translated by Bolesław Taborski ; with an introduction by Daniel Gerould.</t>
  </si>
  <si>
    <t>Przybyszewska, Stanisława, 1901-1935.</t>
  </si>
  <si>
    <t>8907532794:eng</t>
  </si>
  <si>
    <t>19125867</t>
  </si>
  <si>
    <t>ocm19125867</t>
  </si>
  <si>
    <t>3100217133R</t>
  </si>
  <si>
    <t>9780810108059</t>
  </si>
  <si>
    <t>793047847</t>
  </si>
  <si>
    <t>PG7158 R63 A238 2011</t>
  </si>
  <si>
    <t>0                      PG 7158000R  63                 A  238         2011</t>
  </si>
  <si>
    <t>They came to see a poet : selected poems / Tadeusz Różewicz ; introduced and translated by Adam Czerniawski.</t>
  </si>
  <si>
    <t>Różewicz, Tadeusz.</t>
  </si>
  <si>
    <t>3rd ed., rev. and enl.</t>
  </si>
  <si>
    <t>2264545768:eng</t>
  </si>
  <si>
    <t>724308277</t>
  </si>
  <si>
    <t>ocn724308277</t>
  </si>
  <si>
    <t>31034720730</t>
  </si>
  <si>
    <t>9780856464362</t>
  </si>
  <si>
    <t>794876327</t>
  </si>
  <si>
    <t>PG7158 S294 A2 2018</t>
  </si>
  <si>
    <t>0                      PG 7158000S  294                A  2           2018</t>
  </si>
  <si>
    <t>Collected stories / Bruno Schulz ; translated from the Polish by Madeline G. Levine ; foreword by Rivka Galchen.</t>
  </si>
  <si>
    <t>Schulz, Bruno, 1892-1942, author.</t>
  </si>
  <si>
    <t>5251049344:eng</t>
  </si>
  <si>
    <t>996417094</t>
  </si>
  <si>
    <t>ocn996417094</t>
  </si>
  <si>
    <t>3103738064I</t>
  </si>
  <si>
    <t>9780810136601</t>
  </si>
  <si>
    <t>795039785</t>
  </si>
  <si>
    <t>PG7158 S294 A28 2008</t>
  </si>
  <si>
    <t>0                      PG 7158000S  294                A  28          2008</t>
  </si>
  <si>
    <t>The street of crocodiles and other stories / Bruno Schulz ; translated by Celina Wieniewska ; foreword by Jonathan Safran Foer ; introduction by David A. Goldfarb.</t>
  </si>
  <si>
    <t>Schulz, Bruno, 1892-1942.</t>
  </si>
  <si>
    <t>New York : Penguin Books, 2008.</t>
  </si>
  <si>
    <t>5342560151:eng</t>
  </si>
  <si>
    <t>166382387</t>
  </si>
  <si>
    <t>ocn166382387</t>
  </si>
  <si>
    <t>3103058312D</t>
  </si>
  <si>
    <t>9780143105145</t>
  </si>
  <si>
    <t>794261028</t>
  </si>
  <si>
    <t>PG7158 S294 A2813 1989</t>
  </si>
  <si>
    <t>0                      PG 7158000S  294                A  2813        1989</t>
  </si>
  <si>
    <t>The complete fiction of Bruno Schulz / with an afterword by Jerzy Ficowski ; translated from the Polish by Celina Wieniewska.</t>
  </si>
  <si>
    <t>New York : Walker and Co., 1989.</t>
  </si>
  <si>
    <t>293158606:eng</t>
  </si>
  <si>
    <t>20012725</t>
  </si>
  <si>
    <t>ocm20012725</t>
  </si>
  <si>
    <t>3103001279K</t>
  </si>
  <si>
    <t>9780802710918</t>
  </si>
  <si>
    <t>793074807</t>
  </si>
  <si>
    <t>PG7158 S294 B36 2000</t>
  </si>
  <si>
    <t>0                      PG 7158000S  294                B  36          2000</t>
  </si>
  <si>
    <t>Holocaust literature : Schulz, Levi, Spiegelman and the memory of the offence / Gillian Banner.</t>
  </si>
  <si>
    <t>Banner, Gillian, 1956-</t>
  </si>
  <si>
    <t>London ; Portland, Or. : Vallentine Mitchell, 2000.</t>
  </si>
  <si>
    <t>Parkes-Wiener series on Jewish studies, 1368-5449</t>
  </si>
  <si>
    <t>2015-07-17</t>
  </si>
  <si>
    <t>837046623:eng</t>
  </si>
  <si>
    <t>42002647</t>
  </si>
  <si>
    <t>ocm42002647</t>
  </si>
  <si>
    <t>3102061587N</t>
  </si>
  <si>
    <t>9780853033646</t>
  </si>
  <si>
    <t>793600910</t>
  </si>
  <si>
    <t>PG7158 S294 I58 2007</t>
  </si>
  <si>
    <t>0                      PG 7158000S  294                I  58          2007</t>
  </si>
  <si>
    <t>Bruno Schulz : new readings, new meanings = Bruno Schulz : nouvelles lectures, nouvelles significations / published under the direction of Stanisław Latek.</t>
  </si>
  <si>
    <t>International Bruno Schulz Symposium (2007 : Montreal, Quebec)</t>
  </si>
  <si>
    <t>Montréal ; Cracow : Polish Institute of Arts and Sciences in Canada : Polish Academy of Arts and Sciences, 2009.</t>
  </si>
  <si>
    <t>2018-08-03</t>
  </si>
  <si>
    <t>761320156:eng</t>
  </si>
  <si>
    <t>698029195</t>
  </si>
  <si>
    <t>ocn698029195</t>
  </si>
  <si>
    <t>31034811590</t>
  </si>
  <si>
    <t>9788376760186</t>
  </si>
  <si>
    <t>794860542</t>
  </si>
  <si>
    <t>PG7158 S294 S34x</t>
  </si>
  <si>
    <t>0                      PG 7158000S  294                S  34x</t>
  </si>
  <si>
    <t>Le sanatorium au croque-mort : nouvelles / Bruno Schlz ; traduites du polonais par Therese Douchy [and others].</t>
  </si>
  <si>
    <t>Shulz, Bruno, 1892-1942</t>
  </si>
  <si>
    <t>Paris : Denoel, 1974.</t>
  </si>
  <si>
    <t>3901004371:fre</t>
  </si>
  <si>
    <t>123148921</t>
  </si>
  <si>
    <t>ocn123148921</t>
  </si>
  <si>
    <t>3103742943E</t>
  </si>
  <si>
    <t>794223797</t>
  </si>
  <si>
    <t>PG7158 S294 S43x</t>
  </si>
  <si>
    <t>0                      PG 7158000S  294                S  43x</t>
  </si>
  <si>
    <t>The Street of Crocodiles / Bruno Schulz ; translated by Celina Wieniewska ; introduction by Jerzy Ficowski ; introduction translated by Michael Kandel.</t>
  </si>
  <si>
    <t>Harmondsworth, Middlesex, England ; New York, New York, U.S.A. : Penguin Books, 1977.</t>
  </si>
  <si>
    <t>2015-10-04</t>
  </si>
  <si>
    <t>14529859:eng</t>
  </si>
  <si>
    <t>2542875</t>
  </si>
  <si>
    <t>ocm02542875</t>
  </si>
  <si>
    <t>3103041647V</t>
  </si>
  <si>
    <t>9780140042276</t>
  </si>
  <si>
    <t>792141508</t>
  </si>
  <si>
    <t>PG7158 S294 S54</t>
  </si>
  <si>
    <t>0                      PG 7158000S  294                S  54</t>
  </si>
  <si>
    <t>Les boutiques de cannelle : nouvelles trad. du polonais.</t>
  </si>
  <si>
    <t>Schulz, Bruno, 1893-1942.</t>
  </si>
  <si>
    <t>Paris : Denoël, 1974.</t>
  </si>
  <si>
    <t>Les Lettres nouvelles</t>
  </si>
  <si>
    <t>2017-06-27</t>
  </si>
  <si>
    <t>5602957925:fre</t>
  </si>
  <si>
    <t>221260494</t>
  </si>
  <si>
    <t>ocn221260494</t>
  </si>
  <si>
    <t>3000460226L</t>
  </si>
  <si>
    <t>794325359</t>
  </si>
  <si>
    <t>PG7158 S294 Z63 1991</t>
  </si>
  <si>
    <t>0                      PG 7158000S  294                Z  63          1991</t>
  </si>
  <si>
    <t>Myths and relatives : seven essays on Bruno Schulz / Russell E. Brown.</t>
  </si>
  <si>
    <t>Brown, Russell E.</t>
  </si>
  <si>
    <t>München : Verlag Otto Sagner, 1991.</t>
  </si>
  <si>
    <t>Slavistische Beiträge ; Bd. 276</t>
  </si>
  <si>
    <t>289458587:eng</t>
  </si>
  <si>
    <t>26013784</t>
  </si>
  <si>
    <t>ocm26013784</t>
  </si>
  <si>
    <t>31009605253</t>
  </si>
  <si>
    <t>9783876904931</t>
  </si>
  <si>
    <t>793235291</t>
  </si>
  <si>
    <t>PG7158 S2942 F513 2003</t>
  </si>
  <si>
    <t>0                      PG 7158000S  2942               F  513         2003</t>
  </si>
  <si>
    <t>Regions of the great heresy : Bruno Schulz, a biographical portrait / Jerzy Ficowski ; translated and edited by Theodosia Robertson.</t>
  </si>
  <si>
    <t>Ficowski, Jerzy.</t>
  </si>
  <si>
    <t>New York : W.W. Norton, ©2003.</t>
  </si>
  <si>
    <t>4663491896:eng</t>
  </si>
  <si>
    <t>50503257</t>
  </si>
  <si>
    <t>ocm50503257</t>
  </si>
  <si>
    <t>3102237069L</t>
  </si>
  <si>
    <t>9780393051476</t>
  </si>
  <si>
    <t>793766326</t>
  </si>
  <si>
    <t>PG7158 S2942 L49 1989</t>
  </si>
  <si>
    <t>0                      PG 7158000S  2942               L  49          1989</t>
  </si>
  <si>
    <t>Bruno Schulz : ou les stratégies messianiques / Henri Lewi.</t>
  </si>
  <si>
    <t>Lewi, Henri, 1942-</t>
  </si>
  <si>
    <t>Paris : La Table ronde, 1989.</t>
  </si>
  <si>
    <t>102020650:fre</t>
  </si>
  <si>
    <t>21554407</t>
  </si>
  <si>
    <t>ocm21554407</t>
  </si>
  <si>
    <t>3102388076L</t>
  </si>
  <si>
    <t>9782710303770</t>
  </si>
  <si>
    <t>793122385</t>
  </si>
  <si>
    <t>PG7158 S2942 U56 2009</t>
  </si>
  <si>
    <t>0                      PG 7158000S  2942               U  56          2009</t>
  </si>
  <si>
    <t>(Un)masking Bruno Schulz : new combinations, further fragmentations, ultimate reintegrations / edited by Dieter De Bruyn and Kris Van Heuckelom.</t>
  </si>
  <si>
    <t>Amsterdam ; New York : Rodopi, 2009.</t>
  </si>
  <si>
    <t>Studies in Slavic literature and poetics, 0169-0175 ; vol. 54</t>
  </si>
  <si>
    <t>793215835:eng</t>
  </si>
  <si>
    <t>455846066</t>
  </si>
  <si>
    <t>ocn455846066</t>
  </si>
  <si>
    <t>31031567201</t>
  </si>
  <si>
    <t>9789042026940</t>
  </si>
  <si>
    <t>794788259</t>
  </si>
  <si>
    <t>PG7158 S33 Z868 1993</t>
  </si>
  <si>
    <t>0                      PG 7158000S  33                 Z  868         1993</t>
  </si>
  <si>
    <t>On the margins of reality : the paradoxes of representation in Bruno Schulz's fiction / Krzysztof Stala.</t>
  </si>
  <si>
    <t>Stala, Krzysztof.</t>
  </si>
  <si>
    <t>Stockholm, Sweden : Almqvist &amp; Wiksell International, 1993.</t>
  </si>
  <si>
    <t>Acta Universitatis Stockholmiensis. Stockholm Slavic studies, 0585-3575 ; 23</t>
  </si>
  <si>
    <t>887364:eng</t>
  </si>
  <si>
    <t>30687481</t>
  </si>
  <si>
    <t>ocm30687481</t>
  </si>
  <si>
    <t>3101339332L</t>
  </si>
  <si>
    <t>9789122015840</t>
  </si>
  <si>
    <t>793342324</t>
  </si>
  <si>
    <t>PG7158 S4 A57 1957</t>
  </si>
  <si>
    <t>0                      PG 7158000S  4                  A  57          1957</t>
  </si>
  <si>
    <t>Povesti i rasskazy. Perevod s polʹskogo [pod red. A.A. Sat︠s︡a i V.S. Ratner. Posleslovie A.I. Sat︠s︡a].</t>
  </si>
  <si>
    <t>Sienkiewicz, Henryk, 1846-1916.</t>
  </si>
  <si>
    <t>9593729259:rus</t>
  </si>
  <si>
    <t>7305336</t>
  </si>
  <si>
    <t>ocm07305336</t>
  </si>
  <si>
    <t>30007816515</t>
  </si>
  <si>
    <t>792552383</t>
  </si>
  <si>
    <t>PG7158 S4 Q43 1955</t>
  </si>
  <si>
    <t>0                      PG 7158000S  4                  Q  43          1955</t>
  </si>
  <si>
    <t>"Quo vadis": a narrative of the time of Nero / by Henry Sienkiewicz ; translated from the Polish by Jeremiah Curtin.</t>
  </si>
  <si>
    <t>New York : Dodd, Mead &amp; Co., [1955]</t>
  </si>
  <si>
    <t>Great illustrated classics</t>
  </si>
  <si>
    <t>324987:eng</t>
  </si>
  <si>
    <t>427227146</t>
  </si>
  <si>
    <t>ocn427227146</t>
  </si>
  <si>
    <t>31035927177</t>
  </si>
  <si>
    <t>794547454</t>
  </si>
  <si>
    <t>PG7158 S4 Q5 1913</t>
  </si>
  <si>
    <t>0                      PG 7158000S  4                  Q  5           1913</t>
  </si>
  <si>
    <t>Quo vadis? Roman du temps des Césars, par Henryk Sienkiewicz. Traduction de Regor des Sennerav.</t>
  </si>
  <si>
    <t>Paris, New York Nelson [1913?]</t>
  </si>
  <si>
    <t>2016-12-01</t>
  </si>
  <si>
    <t>1078358</t>
  </si>
  <si>
    <t>ocm01078358</t>
  </si>
  <si>
    <t>31022276628</t>
  </si>
  <si>
    <t>791540119</t>
  </si>
  <si>
    <t>PG7158 S42 G5</t>
  </si>
  <si>
    <t>0                      PG 7158000S  42                 G  5</t>
  </si>
  <si>
    <t>Henryk Sienkiewicz.</t>
  </si>
  <si>
    <t>New York, Twayne Publishers [1968]</t>
  </si>
  <si>
    <t>Twayne's world authors series. TWAS 45</t>
  </si>
  <si>
    <t>1427596:eng</t>
  </si>
  <si>
    <t>330023</t>
  </si>
  <si>
    <t>ocm00330023</t>
  </si>
  <si>
    <t>30006176857</t>
  </si>
  <si>
    <t>791339395</t>
  </si>
  <si>
    <t>PG7158 T9 A33 2014</t>
  </si>
  <si>
    <t>0                      PG 7158000T  9                  A  33          2014</t>
  </si>
  <si>
    <t>Diary 1954 / Leopold Tyrmand ; translated from the Polish by Anita Shelton and A.J. Wrobel.</t>
  </si>
  <si>
    <t>Tyrmand, Leopold, author.</t>
  </si>
  <si>
    <t>Evanston, Illinois : Northwestern University Press, 2014.</t>
  </si>
  <si>
    <t>4495141847:eng</t>
  </si>
  <si>
    <t>843858236</t>
  </si>
  <si>
    <t>ocn843858236</t>
  </si>
  <si>
    <t>31035325415</t>
  </si>
  <si>
    <t>9780810129511</t>
  </si>
  <si>
    <t>794948227</t>
  </si>
  <si>
    <t>PG7158 W28 A25</t>
  </si>
  <si>
    <t>0                      PG 7158000W  28                 A  25</t>
  </si>
  <si>
    <t>Mediterranean poems / Aleksander Wat ; edited &amp; translated [from the Polish] by Czeslaw Milosz.</t>
  </si>
  <si>
    <t>Wat, Aleksander.</t>
  </si>
  <si>
    <t>Ann Arbor : Ardis, ©1977.</t>
  </si>
  <si>
    <t>Ardis world poets in translation series ; no. 1</t>
  </si>
  <si>
    <t>6336941:eng</t>
  </si>
  <si>
    <t>2749517</t>
  </si>
  <si>
    <t>ocm02749517</t>
  </si>
  <si>
    <t>3000329751P</t>
  </si>
  <si>
    <t>9780882332055</t>
  </si>
  <si>
    <t>792171413</t>
  </si>
  <si>
    <t>PG7158 W28 B413 1990</t>
  </si>
  <si>
    <t>0                      PG 7158000W  28                 B  413         1990</t>
  </si>
  <si>
    <t>Lucifer unemployed / Aleksander Wat ; translated by Lillian Vallee ; with a foreword by Czesław Miłosz.</t>
  </si>
  <si>
    <t>1152296423:eng</t>
  </si>
  <si>
    <t>20671078</t>
  </si>
  <si>
    <t>ocm20671078</t>
  </si>
  <si>
    <t>3101185765V</t>
  </si>
  <si>
    <t>9780810108394</t>
  </si>
  <si>
    <t>793094925</t>
  </si>
  <si>
    <t>PG7158 W282 A3613 1988</t>
  </si>
  <si>
    <t>0                      PG 7158000W  282                A  3613        1988</t>
  </si>
  <si>
    <t>My century : the odyssey of a Polish intellectual / Aleksander Wat ; edited and translated by Richard Lourie ; with a foreword by Czeslaw Milosz.</t>
  </si>
  <si>
    <t>Berkeley : University of California Press, ©1988.</t>
  </si>
  <si>
    <t>2016-09-21</t>
  </si>
  <si>
    <t>1152984942:eng</t>
  </si>
  <si>
    <t>16228233</t>
  </si>
  <si>
    <t>ocm16228233</t>
  </si>
  <si>
    <t>3103309205L</t>
  </si>
  <si>
    <t>9780520044258</t>
  </si>
  <si>
    <t>792958809</t>
  </si>
  <si>
    <t>PG7158 W52 N53x</t>
  </si>
  <si>
    <t>0                      PG 7158000W  52                 N  53x</t>
  </si>
  <si>
    <t>Insatiability : a novel in two parts / by Stanisław Ignacy Witkiewicz ; translated, with an introduction and commentary by Louis Iribarne.</t>
  </si>
  <si>
    <t>Witkiewicz, Stanisław Ignacy, 1885-1939, author.</t>
  </si>
  <si>
    <t>Urbana : University of Illinois Press, [1977]</t>
  </si>
  <si>
    <t>2016-06-11</t>
  </si>
  <si>
    <t>5342630409:eng</t>
  </si>
  <si>
    <t>2137159</t>
  </si>
  <si>
    <t>ocm02137159</t>
  </si>
  <si>
    <t>3103003209Q</t>
  </si>
  <si>
    <t>9780252005725</t>
  </si>
  <si>
    <t>792053767</t>
  </si>
  <si>
    <t>PG7158 W52 S613</t>
  </si>
  <si>
    <t>0                      PG 7158000W  52                 S  613</t>
  </si>
  <si>
    <t>Beelzebub sonata : plays, essays, and documents / Stanisław I. Witkiewicz ; edited and translated by Daniel Gerould and Jadwiga Kosicka.</t>
  </si>
  <si>
    <t>New York : Performing Arts Journal Publications, 1980.</t>
  </si>
  <si>
    <t>Performing arts journal playscript series</t>
  </si>
  <si>
    <t>145666161:eng</t>
  </si>
  <si>
    <t>7198123</t>
  </si>
  <si>
    <t>ocm07198123</t>
  </si>
  <si>
    <t>30003308953</t>
  </si>
  <si>
    <t>9780933826083</t>
  </si>
  <si>
    <t>792545738</t>
  </si>
  <si>
    <t>PG7158 W52 W313 1968</t>
  </si>
  <si>
    <t>0                      PG 7158000W  52                 W  313         1968</t>
  </si>
  <si>
    <t>The madman and the nun, and other plays. Translated &amp; edited by Daniel C. Gerould and C.S. Durer. With a foreword by Jan Kott.</t>
  </si>
  <si>
    <t>Witkiewicz, Stanisław Ignacy, 1885-1939.</t>
  </si>
  <si>
    <t>Seattle, University of Washington Press [1968]</t>
  </si>
  <si>
    <t>20584487:eng</t>
  </si>
  <si>
    <t>436405</t>
  </si>
  <si>
    <t>ocm00436405</t>
  </si>
  <si>
    <t>3102665037X</t>
  </si>
  <si>
    <t>791377831</t>
  </si>
  <si>
    <t>PG7158 W522 G4</t>
  </si>
  <si>
    <t>0                      PG 7158000W  522                G  4</t>
  </si>
  <si>
    <t>Witkacy : Stanisław Ignacy Witkiewicz as an imaginative writer / by Daniel Gerould.</t>
  </si>
  <si>
    <t>Gerould, Daniel C. (Daniel Charles), 1928-2012.</t>
  </si>
  <si>
    <t>Seattle : University of Washington Press, ©1981.</t>
  </si>
  <si>
    <t>433790:eng</t>
  </si>
  <si>
    <t>6915759</t>
  </si>
  <si>
    <t>ocm06915759</t>
  </si>
  <si>
    <t>3000340011O</t>
  </si>
  <si>
    <t>9780295957142</t>
  </si>
  <si>
    <t>792530079</t>
  </si>
  <si>
    <t>PG7158 W8 A65 Video</t>
  </si>
  <si>
    <t>0                      PG 7158000W  8                  A  65                                Video</t>
  </si>
  <si>
    <t>Akropolis / staged and directed by Jerzy Grotowski ; directed by James MacTaggart ; produced by Lewis Freedman.</t>
  </si>
  <si>
    <t>Video*</t>
  </si>
  <si>
    <t>New York, N.Y. : Distributed by Arthur Cantor : Mattapan Films, ©1971.</t>
  </si>
  <si>
    <t>Arthur Cantor film/video collection</t>
  </si>
  <si>
    <t>53760526:pol</t>
  </si>
  <si>
    <t>22605814</t>
  </si>
  <si>
    <t>ocm22605814</t>
  </si>
  <si>
    <t>3102105242T</t>
  </si>
  <si>
    <t>Video_VHS</t>
  </si>
  <si>
    <t>793149044</t>
  </si>
  <si>
    <t>PG7158 Z98 I3 1951</t>
  </si>
  <si>
    <t>0                      PG 7158000Z  98                 I  3           1951</t>
  </si>
  <si>
    <t>I came back.</t>
  </si>
  <si>
    <t>Żywulska, Krystyna, 1914-1992.</t>
  </si>
  <si>
    <t>New York : Roy Publishers, 1951.</t>
  </si>
  <si>
    <t>799047:eng</t>
  </si>
  <si>
    <t>26105724</t>
  </si>
  <si>
    <t>ocm26105724</t>
  </si>
  <si>
    <t>3101199185N</t>
  </si>
  <si>
    <t>793237651</t>
  </si>
  <si>
    <t>PG7161 I319 P7413 2012</t>
  </si>
  <si>
    <t>0                      PG 7161000I  319                P  7413        2012</t>
  </si>
  <si>
    <t>Transparency / Marek Bienczyk ; translated by Benjamin Paloff.</t>
  </si>
  <si>
    <t>Bieńczyk, Marek.</t>
  </si>
  <si>
    <t>Champaign : Dalkey Archive Press, 2012.</t>
  </si>
  <si>
    <t>Polish literature series</t>
  </si>
  <si>
    <t>2015-11-01</t>
  </si>
  <si>
    <t>138604231:eng</t>
  </si>
  <si>
    <t>767564369</t>
  </si>
  <si>
    <t>ocn767564369</t>
  </si>
  <si>
    <t>31034713167</t>
  </si>
  <si>
    <t>9781564787118</t>
  </si>
  <si>
    <t>794901072</t>
  </si>
  <si>
    <t>PG7166 R86 A26 2002</t>
  </si>
  <si>
    <t>0                      PG 7166000R  86                 A  26          2002</t>
  </si>
  <si>
    <t>Drohobycz, Drohobycz and other stories : true tales from the Holocaust and life after / Henryk Grynberg ; translated from the Polish by Alicia Nitecki ; edited by Theodosia Robertson.</t>
  </si>
  <si>
    <t>Grynberg, Henryk.</t>
  </si>
  <si>
    <t>New York : Penguin Books, 2002.</t>
  </si>
  <si>
    <t>2017-09-21</t>
  </si>
  <si>
    <t>34969738:eng</t>
  </si>
  <si>
    <t>50280061</t>
  </si>
  <si>
    <t>ocm50280061</t>
  </si>
  <si>
    <t>3102267977E</t>
  </si>
  <si>
    <t>9780142001653</t>
  </si>
  <si>
    <t>793759748</t>
  </si>
  <si>
    <t>PG7167 E64 A2 2010</t>
  </si>
  <si>
    <t>0                      PG 7167000E  64                 A  2           2010</t>
  </si>
  <si>
    <t>The collected prose, 1948-1998 / Zbigniew Herbert ; edited and with an introduction by Alissa Valles ; preface by Charles Simic ; translated by Michael March [and others].</t>
  </si>
  <si>
    <t>Herbert, Zbigniew.</t>
  </si>
  <si>
    <t>New York : Ecco, ©2010.</t>
  </si>
  <si>
    <t>2012-06-29</t>
  </si>
  <si>
    <t>792135800:eng</t>
  </si>
  <si>
    <t>703607262</t>
  </si>
  <si>
    <t>ocn703607262</t>
  </si>
  <si>
    <t>3103382801S</t>
  </si>
  <si>
    <t>9780060723828</t>
  </si>
  <si>
    <t>794865004</t>
  </si>
  <si>
    <t>PG7167 E64 A23 1999</t>
  </si>
  <si>
    <t>0                      PG 7167000E  64                 A  23          1999</t>
  </si>
  <si>
    <t>Elegy for the departure and other poems / Zbigniew Herbert ; translated from the Polish by John and Bogdana Carpenter.</t>
  </si>
  <si>
    <t>Herbert, Zbigniew, author.</t>
  </si>
  <si>
    <t>Hopewell, NJ : Ecco Press, 1999.</t>
  </si>
  <si>
    <t>2015-01-07</t>
  </si>
  <si>
    <t>222115294:eng</t>
  </si>
  <si>
    <t>38831388</t>
  </si>
  <si>
    <t>ocm38831388</t>
  </si>
  <si>
    <t>3102997629D</t>
  </si>
  <si>
    <t>9780880016193</t>
  </si>
  <si>
    <t>793530827</t>
  </si>
  <si>
    <t>PG7167 E64 A23 1999b</t>
  </si>
  <si>
    <t>0                      PG 7167000E  64                 A  23          1999b</t>
  </si>
  <si>
    <t>The king of the ants : mythological essays / Zbigniew Herbert ; translated from the Polish by John and Bogdana Carpenter.</t>
  </si>
  <si>
    <t>Hopewell, N.J. : Ecco Press, 1999.</t>
  </si>
  <si>
    <t>42103649:eng</t>
  </si>
  <si>
    <t>38832082</t>
  </si>
  <si>
    <t>ocm38832082</t>
  </si>
  <si>
    <t>31019438558</t>
  </si>
  <si>
    <t>9780880016186</t>
  </si>
  <si>
    <t>793530848</t>
  </si>
  <si>
    <t>PG7167 E64 A25</t>
  </si>
  <si>
    <t>0                      PG 7167000E  64                 A  25</t>
  </si>
  <si>
    <t>Selected poems / translated by Czesław Miłosz and Peter Dale Scott, with an introduction by A. Alvarez.</t>
  </si>
  <si>
    <t>Harmondsworth : Penguin, 1968.</t>
  </si>
  <si>
    <t>Penguin modern European poets ; D104</t>
  </si>
  <si>
    <t>2874798378:eng</t>
  </si>
  <si>
    <t>460280</t>
  </si>
  <si>
    <t>ocm00460280</t>
  </si>
  <si>
    <t>3000212827T</t>
  </si>
  <si>
    <t>791384414</t>
  </si>
  <si>
    <t>3000505968I</t>
  </si>
  <si>
    <t>791384416</t>
  </si>
  <si>
    <t>PG7167 E64 R313 1985</t>
  </si>
  <si>
    <t>0                      PG 7167000E  64                 R  313         1985</t>
  </si>
  <si>
    <t>Report from the besieged city &amp; other poems / by Zbigniew Herbert ; translated with an introduction &amp; notes by John Carpenter &amp; Bogdana Carpenter.</t>
  </si>
  <si>
    <t>New York : Ecco Press, 1985.</t>
  </si>
  <si>
    <t>2871855:eng</t>
  </si>
  <si>
    <t>10951423</t>
  </si>
  <si>
    <t>ocm10951423</t>
  </si>
  <si>
    <t>31029976685</t>
  </si>
  <si>
    <t>9780880010719</t>
  </si>
  <si>
    <t>792751121</t>
  </si>
  <si>
    <t>PG7167 U86 O7613 2012</t>
  </si>
  <si>
    <t>0                      PG 7167000U  86                 O  7613        2012</t>
  </si>
  <si>
    <t>Cold sea stories / by Paweł Huelle ; translated by Antonia Lloyd-Jones.</t>
  </si>
  <si>
    <t>Huelle, Paweł, 1957-</t>
  </si>
  <si>
    <t>Manchester : Comma, 2012.</t>
  </si>
  <si>
    <t>1909515339:eng</t>
  </si>
  <si>
    <t>751750475</t>
  </si>
  <si>
    <t>ocn751750475</t>
  </si>
  <si>
    <t>31034973376</t>
  </si>
  <si>
    <t>9781905583393</t>
  </si>
  <si>
    <t>794890876</t>
  </si>
  <si>
    <t>PG7169 O4 A28 1987</t>
  </si>
  <si>
    <t>0                      PG 7169000O  4                  A  28          1987</t>
  </si>
  <si>
    <t>The collected plays and writings on theater / Karol Wojtyła ; translated with introductions by Boleslaw Taborski.</t>
  </si>
  <si>
    <t>John Paul II, Pope, 1920-2005.</t>
  </si>
  <si>
    <t>Berkeley : University of California Press, ©1987.</t>
  </si>
  <si>
    <t>287625633:eng</t>
  </si>
  <si>
    <t>16005936</t>
  </si>
  <si>
    <t>ocm16005936</t>
  </si>
  <si>
    <t>3102357374V</t>
  </si>
  <si>
    <t>9780520052895</t>
  </si>
  <si>
    <t>792950988</t>
  </si>
  <si>
    <t>PG7171 I63 A23 1981</t>
  </si>
  <si>
    <t>0                      PG 7171000I  63                 A  23          1981</t>
  </si>
  <si>
    <t>Such times : selected poems / Ewa Lipska ; translated from the Polish by John Robert Colombo and Wacław Iwaniuk ; with a frontispiece by Krystyna Sadowska.</t>
  </si>
  <si>
    <t>Lipska, Ewa.</t>
  </si>
  <si>
    <t>Toronto : Hounslow Press, 1981.</t>
  </si>
  <si>
    <t>2015-02-22</t>
  </si>
  <si>
    <t>234991780:eng</t>
  </si>
  <si>
    <t>7583318</t>
  </si>
  <si>
    <t>ocm07583318</t>
  </si>
  <si>
    <t>3000375626I</t>
  </si>
  <si>
    <t>9780888820549</t>
  </si>
  <si>
    <t>792568057</t>
  </si>
  <si>
    <t>PG7172 R65 A2 2004</t>
  </si>
  <si>
    <t>0                      PG 7172000R  65                 A  2           2004</t>
  </si>
  <si>
    <t>The Mrożek reader / Sławomir Mrożek ; edited by Daniel Gerould.</t>
  </si>
  <si>
    <t>Mrożek, Sławomir.</t>
  </si>
  <si>
    <t>New York : Grove Press, 2004.</t>
  </si>
  <si>
    <t>1811463217:eng</t>
  </si>
  <si>
    <t>53896729</t>
  </si>
  <si>
    <t>ocm53896729</t>
  </si>
  <si>
    <t>31023811729</t>
  </si>
  <si>
    <t>9780802140661</t>
  </si>
  <si>
    <t>793852419</t>
  </si>
  <si>
    <t>PG7177 O99 C65 2013</t>
  </si>
  <si>
    <t>0                      PG 7177000O  99                 C  65          2013</t>
  </si>
  <si>
    <t>Colonies / Tomasz Różycki ; translated from Polish by Mira Rosenthal.</t>
  </si>
  <si>
    <t>Różycki, Tomasz, 1970- author.</t>
  </si>
  <si>
    <t>Brookline, MA : Zephyr Press, [2013]</t>
  </si>
  <si>
    <t>2014-05-12</t>
  </si>
  <si>
    <t>3861181276:eng</t>
  </si>
  <si>
    <t>756582607</t>
  </si>
  <si>
    <t>ocn756582607</t>
  </si>
  <si>
    <t>3103497042D</t>
  </si>
  <si>
    <t>9780983297031</t>
  </si>
  <si>
    <t>794894659</t>
  </si>
  <si>
    <t>PG7178 T28 D8513 2011</t>
  </si>
  <si>
    <t>0                      PG 7178000T  28                 D  8513        2011</t>
  </si>
  <si>
    <t>Dukla / Andrzej Stasiuk ; translated and with an introduction by Bill Johnston.</t>
  </si>
  <si>
    <t>Stasiuk, Andrzej, 1960-</t>
  </si>
  <si>
    <t>Champaign : Dalkey Archive Press, 2011.</t>
  </si>
  <si>
    <t>41832370:eng</t>
  </si>
  <si>
    <t>711051697</t>
  </si>
  <si>
    <t>ocn711051697</t>
  </si>
  <si>
    <t>3103472026A</t>
  </si>
  <si>
    <t>9781564786876</t>
  </si>
  <si>
    <t>794870843</t>
  </si>
  <si>
    <t>PG7178 T28 O6613 2003</t>
  </si>
  <si>
    <t>0                      PG 7178000T  28                 O  6613        2003</t>
  </si>
  <si>
    <t>Tales of Galicia : [a novel] / Andrezej Stasiuk ; translated from the Polish by Margarita Nafpaktitis.</t>
  </si>
  <si>
    <t>Prague : Twisted Spoon Press ; Gardena, CA : Distributed in North America by SCB Distributors, 2003.</t>
  </si>
  <si>
    <t>1st [Twisted Spoon Press] ed.</t>
  </si>
  <si>
    <t>834885:eng</t>
  </si>
  <si>
    <t>52256482</t>
  </si>
  <si>
    <t>ocm52256482</t>
  </si>
  <si>
    <t>3102294112A</t>
  </si>
  <si>
    <t>9788086264059</t>
  </si>
  <si>
    <t>793801959</t>
  </si>
  <si>
    <t>PG7178 W57 A25 1985</t>
  </si>
  <si>
    <t>0                      PG 7178000W  57                 A  25          1985</t>
  </si>
  <si>
    <t>Happy as a dog's tail / by Anna Swir. ; translated by Czeslaw Milosz, with Leonard Nathan ; introduction by Czeslaw Milosz ; afterword by Czeslaw Milosz and Leonard Nathan.</t>
  </si>
  <si>
    <t>Świrszczyńska, Anna.</t>
  </si>
  <si>
    <t>San Diego : Harcourt Brace Jovanovich, ©1985.</t>
  </si>
  <si>
    <t>2019-08-25</t>
  </si>
  <si>
    <t>5170964:eng</t>
  </si>
  <si>
    <t>12134957</t>
  </si>
  <si>
    <t>ocm12134957</t>
  </si>
  <si>
    <t>31027219271</t>
  </si>
  <si>
    <t>9780151384655</t>
  </si>
  <si>
    <t>792802969</t>
  </si>
  <si>
    <t>PG7178 W57 A25 1996</t>
  </si>
  <si>
    <t>0                      PG 7178000W  57                 A  25          1996</t>
  </si>
  <si>
    <t>Talking to my body / Anna Swir ; translated by Czeslaw Milosz &amp; Leonard Nathan.</t>
  </si>
  <si>
    <t>Port Townsend, Wash. : Copper Canyon Press, ©1996.</t>
  </si>
  <si>
    <t>9513871:eng</t>
  </si>
  <si>
    <t>34517602</t>
  </si>
  <si>
    <t>ocm34517602</t>
  </si>
  <si>
    <t>3101561039R</t>
  </si>
  <si>
    <t>9781556591082</t>
  </si>
  <si>
    <t>793428739</t>
  </si>
  <si>
    <t>PG7178 W57 Z7137 2007</t>
  </si>
  <si>
    <t>0                      PG 7178000W  57                 Z  7137        2007</t>
  </si>
  <si>
    <t>From her point of view : woman's anti-world in the poetry of Anna Świrszczyńska / Renata Ingbrant.</t>
  </si>
  <si>
    <t>Ingbrant, Renata.</t>
  </si>
  <si>
    <t>Stockholm, Sweden : Stockholm University : Distributor, Almqvist &amp; Wiksell International, ©2007.</t>
  </si>
  <si>
    <t>Acta Universitatis Stockholmiensis. Stockholm Slavic studies, 0585-3575 ; 35</t>
  </si>
  <si>
    <t>117822199:eng</t>
  </si>
  <si>
    <t>173640559</t>
  </si>
  <si>
    <t>ocn173640559</t>
  </si>
  <si>
    <t>3102671010B</t>
  </si>
  <si>
    <t>9789185445684</t>
  </si>
  <si>
    <t>794269127</t>
  </si>
  <si>
    <t>PG7178 Z9 A2 2015</t>
  </si>
  <si>
    <t>0                      PG 7178000Z  9                  A  2           2015</t>
  </si>
  <si>
    <t>Map : collected and last poems / Wisława Szymborska ; translated from the Polish by Clare Cavanagh and Stanisław Barańczak ; edited by Clare Cavanagh.</t>
  </si>
  <si>
    <t>Szymborska, Wisława, author.</t>
  </si>
  <si>
    <t>Boston : Mariner Books, [2016]</t>
  </si>
  <si>
    <t>First Mariner Books edition.</t>
  </si>
  <si>
    <t>2042146493:eng</t>
  </si>
  <si>
    <t>905854476</t>
  </si>
  <si>
    <t>ocn905854476</t>
  </si>
  <si>
    <t>3103609649A</t>
  </si>
  <si>
    <t>9780544126022</t>
  </si>
  <si>
    <t>794991956</t>
  </si>
  <si>
    <t>PG7178 Z9 A222 1999</t>
  </si>
  <si>
    <t>0                      PG 7178000Z  9                  A  222         1999</t>
  </si>
  <si>
    <t>Poems, new and collected, 1957-1997 / Wisława Szymborska ; translated from the Polish by Stanisław Barańczak and Clare Cavanagh.</t>
  </si>
  <si>
    <t>Szymborska, Wisława.</t>
  </si>
  <si>
    <t>London : Faber and Faber, 1999, ©1998.</t>
  </si>
  <si>
    <t>2017-07-23</t>
  </si>
  <si>
    <t>196749658:eng</t>
  </si>
  <si>
    <t>41540471</t>
  </si>
  <si>
    <t>ocm41540471</t>
  </si>
  <si>
    <t>3101969085Q</t>
  </si>
  <si>
    <t>9780571196685</t>
  </si>
  <si>
    <t>793593817</t>
  </si>
  <si>
    <t>PG7178 Z9 A222 2002</t>
  </si>
  <si>
    <t>0                      PG 7178000Z  9                  A  222         2002</t>
  </si>
  <si>
    <t>Nonrequired reading : prose pieces / Wisława Szymborska ; translated from the Polish by Clare Cavanagh.</t>
  </si>
  <si>
    <t>New York : Harcourt, Inc., ©2002.</t>
  </si>
  <si>
    <t>2015-08-27</t>
  </si>
  <si>
    <t>4160482980:eng</t>
  </si>
  <si>
    <t>49028479</t>
  </si>
  <si>
    <t>ocm49028479</t>
  </si>
  <si>
    <t>3102238605B</t>
  </si>
  <si>
    <t>9780151006601</t>
  </si>
  <si>
    <t>793732911</t>
  </si>
  <si>
    <t>PG7178 Z9 A222 2010</t>
  </si>
  <si>
    <t>0                      PG 7178000Z  9                  A  222         2010</t>
  </si>
  <si>
    <t>Here / Wisława Szymborska ; translated from the Polish by Clare Cavanagh and Stanisław Barańczak.</t>
  </si>
  <si>
    <t>Boston : Houghton Mifflin Harcourt, 2010.</t>
  </si>
  <si>
    <t>2015-07-16</t>
  </si>
  <si>
    <t>478309094:eng</t>
  </si>
  <si>
    <t>505420754</t>
  </si>
  <si>
    <t>ocn505420754</t>
  </si>
  <si>
    <t>31032362898</t>
  </si>
  <si>
    <t>9780547364612</t>
  </si>
  <si>
    <t>794807112</t>
  </si>
  <si>
    <t>PG7178 Z9 A223 1997</t>
  </si>
  <si>
    <t>0                      PG 7178000Z  9                  A  223         1997</t>
  </si>
  <si>
    <t>Nothing twice : selected poems / Wisława Szymborska ; selected and translated by Stanisław Barańczak and Clare Cavanagh ; afterword by Stanisław Barańczak.</t>
  </si>
  <si>
    <t>Kraków : Wydawn. Literackie, ©1997.</t>
  </si>
  <si>
    <t>Seria Dwujęzyczna</t>
  </si>
  <si>
    <t>4095613551:eng</t>
  </si>
  <si>
    <t>41712930</t>
  </si>
  <si>
    <t>ocm41712930</t>
  </si>
  <si>
    <t>3103009835F</t>
  </si>
  <si>
    <t>9788308026786</t>
  </si>
  <si>
    <t>793597044</t>
  </si>
  <si>
    <t>PG7178 Z9 A225 1990</t>
  </si>
  <si>
    <t>0                      PG 7178000Z  9                  A  225         1990</t>
  </si>
  <si>
    <t>People on a bridge : poems / Wisława Szymborska ; introduced and translated by Adam Czerniawski.</t>
  </si>
  <si>
    <t>London ; Boston : Forest Books, 1990.</t>
  </si>
  <si>
    <t>2016-07-03</t>
  </si>
  <si>
    <t>4160421344:eng</t>
  </si>
  <si>
    <t>24549879</t>
  </si>
  <si>
    <t>ocm24549879</t>
  </si>
  <si>
    <t>3101562826$</t>
  </si>
  <si>
    <t>9780948259708</t>
  </si>
  <si>
    <t>793201090</t>
  </si>
  <si>
    <t>PG7178 Z9 A28 2001</t>
  </si>
  <si>
    <t>0                      PG 7178000Z  9                  A  28          2001</t>
  </si>
  <si>
    <t>Miracle fair : selected poems of Wisława Szymborska / translated by Joanna Trzeciak.</t>
  </si>
  <si>
    <t>New York : Norton, ©2001.</t>
  </si>
  <si>
    <t>1059235117:eng</t>
  </si>
  <si>
    <t>45223597</t>
  </si>
  <si>
    <t>ocm45223597</t>
  </si>
  <si>
    <t>31021250784</t>
  </si>
  <si>
    <t>9780393049398</t>
  </si>
  <si>
    <t>793667171</t>
  </si>
  <si>
    <t>PG7179 O37 B5413 2017</t>
  </si>
  <si>
    <t>0                      PG 7179000O  37                 B  5413        2017</t>
  </si>
  <si>
    <t>Flights / Olga Tokarczuk ; translated by Jennifer Croft.</t>
  </si>
  <si>
    <t>Tokarczuk, Olga, 1962- author.</t>
  </si>
  <si>
    <t>London, United Kingdom : Fitzcarraldo Editions, 2017.</t>
  </si>
  <si>
    <t>116752530:eng</t>
  </si>
  <si>
    <t>983371539</t>
  </si>
  <si>
    <t>ocn983371539</t>
  </si>
  <si>
    <t>31037374922</t>
  </si>
  <si>
    <t>9781910695432</t>
  </si>
  <si>
    <t>795034742</t>
  </si>
  <si>
    <t>PG7179 O37 D6613 2003</t>
  </si>
  <si>
    <t>0                      PG 7179000O  37                 D  6613        2003</t>
  </si>
  <si>
    <t>House of day, house of night / Olga Tokarczuk ; translated from the Polish by Antonia Lloyd-Jones.</t>
  </si>
  <si>
    <t>2016-06-02</t>
  </si>
  <si>
    <t>704407:eng</t>
  </si>
  <si>
    <t>51726750</t>
  </si>
  <si>
    <t>ocm51726750</t>
  </si>
  <si>
    <t>31039038679</t>
  </si>
  <si>
    <t>9780810118690</t>
  </si>
  <si>
    <t>793789709</t>
  </si>
  <si>
    <t>3102302966N</t>
  </si>
  <si>
    <t>793789710</t>
  </si>
  <si>
    <t>PG7179 O37 P7613 2019</t>
  </si>
  <si>
    <t>0                      PG 7179000O  37                 P  7613        2019</t>
  </si>
  <si>
    <t>Drive your plow over the bones of the dead / Olga Tokarczuk ; translated by Antonia Lloyd-Jones.</t>
  </si>
  <si>
    <t>New York : Riverhead Books, 2019.</t>
  </si>
  <si>
    <t>370166572:eng</t>
  </si>
  <si>
    <t>1051776298</t>
  </si>
  <si>
    <t>on1051776298</t>
  </si>
  <si>
    <t>3103903725T</t>
  </si>
  <si>
    <t>9780525541332</t>
  </si>
  <si>
    <t>795062243</t>
  </si>
  <si>
    <t>PG7179 U45 S5813 2004</t>
  </si>
  <si>
    <t>0                      PG 7179000U  45                 S  5813        2004</t>
  </si>
  <si>
    <t>Dreams and stones / Magdalena Tulli ; translated by Bill Johnston.</t>
  </si>
  <si>
    <t>Tulli, Magdalena.</t>
  </si>
  <si>
    <t>751854:eng</t>
  </si>
  <si>
    <t>53021411</t>
  </si>
  <si>
    <t>ocm53021411</t>
  </si>
  <si>
    <t>3102367089X</t>
  </si>
  <si>
    <t>9780972869263</t>
  </si>
  <si>
    <t>793819492</t>
  </si>
  <si>
    <t>PG7179 U45 W3913 2011</t>
  </si>
  <si>
    <t>0                      PG 7179000U  45                 W  3913        2011</t>
  </si>
  <si>
    <t>In red / Magdalena Tulli ; translated from the Polish by Bill Johnston.</t>
  </si>
  <si>
    <t>Brooklyn, NY : Archipelago Books ; [Minneapolis, Minn.] : Distributed by Consortium Books, 2011.</t>
  </si>
  <si>
    <t>2014-06-10</t>
  </si>
  <si>
    <t>25676064:eng</t>
  </si>
  <si>
    <t>669754850</t>
  </si>
  <si>
    <t>ocn669754850</t>
  </si>
  <si>
    <t>3103471958I</t>
  </si>
  <si>
    <t>9781935744085</t>
  </si>
  <si>
    <t>794847096</t>
  </si>
  <si>
    <t>PG7185 A32 A2 2008</t>
  </si>
  <si>
    <t>0                      PG 7185000A  32                 A  2           2008</t>
  </si>
  <si>
    <t>Eternal enemies / Adam Zagajewski ; translated from the Polish by Clare Cavanagh.</t>
  </si>
  <si>
    <t>Zagajewski, Adam, 1945-</t>
  </si>
  <si>
    <t>198139174:eng</t>
  </si>
  <si>
    <t>166378225</t>
  </si>
  <si>
    <t>ocn166378225</t>
  </si>
  <si>
    <t>3102864941X</t>
  </si>
  <si>
    <t>9780374216344</t>
  </si>
  <si>
    <t>794260866</t>
  </si>
  <si>
    <t>PG7185 A32 A233 2002</t>
  </si>
  <si>
    <t>0                      PG 7185000A  32                 A  233         2002</t>
  </si>
  <si>
    <t>Without end : new and selected poems / Adam Zagajewski ; translations by Clare Cavanagh [and others].</t>
  </si>
  <si>
    <t>New York : Farrar, Straus and Giroux, 2002.</t>
  </si>
  <si>
    <t>1059218616:eng</t>
  </si>
  <si>
    <t>47081416</t>
  </si>
  <si>
    <t>ocm47081416</t>
  </si>
  <si>
    <t>3102163196L</t>
  </si>
  <si>
    <t>9780374220969</t>
  </si>
  <si>
    <t>793697949</t>
  </si>
  <si>
    <t>PG7185 A32 A24 1987</t>
  </si>
  <si>
    <t>0                      PG 7185000A  32                 A  24          1987</t>
  </si>
  <si>
    <t>Tremor : selected poems / transl. by Renata Gorczynski</t>
  </si>
  <si>
    <t>Zagajewski, Adam</t>
  </si>
  <si>
    <t>London : Collins Harvill, 1987</t>
  </si>
  <si>
    <t>1059218611:eng</t>
  </si>
  <si>
    <t>469659722</t>
  </si>
  <si>
    <t>ocn469659722</t>
  </si>
  <si>
    <t>3000480475P</t>
  </si>
  <si>
    <t>9780002719100</t>
  </si>
  <si>
    <t>794795866</t>
  </si>
  <si>
    <t>PG7204 E36 S213 2012</t>
  </si>
  <si>
    <t>0                      PG 7204000E  36                 S  213         2012</t>
  </si>
  <si>
    <t>Saturn : black paintings from the lives of the men in the Goya family / Jacek Dehnel ; translated by Antonia Lloyd-Jones.</t>
  </si>
  <si>
    <t>Dehnel, Jacek.</t>
  </si>
  <si>
    <t>Sawtry, Cambs : Dedalus, 2012.</t>
  </si>
  <si>
    <t>Dedalus Europe 2012</t>
  </si>
  <si>
    <t>894680357:eng</t>
  </si>
  <si>
    <t>793214186</t>
  </si>
  <si>
    <t>ocn793214186</t>
  </si>
  <si>
    <t>3103471218A</t>
  </si>
  <si>
    <t>9781907650697</t>
  </si>
  <si>
    <t>794917731</t>
  </si>
  <si>
    <t>PG7207 U86 A2 2012</t>
  </si>
  <si>
    <t>0                      PG 7207000U  86                 A  2           2012</t>
  </si>
  <si>
    <t>The folding star and other poems / by Jacek Gutorow ; translated from the Polish and with an introduction by Piotr Florczyk.</t>
  </si>
  <si>
    <t>Gutorow, Jacek.</t>
  </si>
  <si>
    <t>Rochester, NY : BOA Editions, Ltd., 2012.</t>
  </si>
  <si>
    <t>1008676953:eng</t>
  </si>
  <si>
    <t>751250497</t>
  </si>
  <si>
    <t>ocn751250497</t>
  </si>
  <si>
    <t>3103471986C</t>
  </si>
  <si>
    <t>9781934414880</t>
  </si>
  <si>
    <t>794890355</t>
  </si>
  <si>
    <t>PG7211 U27 D3513 2013</t>
  </si>
  <si>
    <t>0                      PG 7211000U  27                 D  3513        2013</t>
  </si>
  <si>
    <t>Distant lands : an anthology of poets who don't exist / Agnieszka Kuciak ; translated by Karen Kovacik.</t>
  </si>
  <si>
    <t>Kuciak, Agnieszka, 1970-</t>
  </si>
  <si>
    <t>Buffalo, New York : White Pine Press, [2013]</t>
  </si>
  <si>
    <t>1171198172:eng</t>
  </si>
  <si>
    <t>812258840</t>
  </si>
  <si>
    <t>ocn812258840</t>
  </si>
  <si>
    <t>31034980773</t>
  </si>
  <si>
    <t>9781935210450</t>
  </si>
  <si>
    <t>794930907</t>
  </si>
  <si>
    <t>PG7213 A84 W6513 2005</t>
  </si>
  <si>
    <t>0                      PG 7213000A  84                 W  6513        2005</t>
  </si>
  <si>
    <t>Snow White and Russian Red / Dorota Masłowska ; translated from the Polish by Benjamin Paloff ; with illustrations by Krzysztof Ostrowski.</t>
  </si>
  <si>
    <t>Masłowska, Dorota, 1983-</t>
  </si>
  <si>
    <t>New York : Black Cat, ©2005.</t>
  </si>
  <si>
    <t>2015-06-22</t>
  </si>
  <si>
    <t>9675207:eng</t>
  </si>
  <si>
    <t>56490118</t>
  </si>
  <si>
    <t>ocm56490118</t>
  </si>
  <si>
    <t>31024793717</t>
  </si>
  <si>
    <t>9780802170019</t>
  </si>
  <si>
    <t>793894208</t>
  </si>
  <si>
    <t>PG7223 I78 S2617 2011</t>
  </si>
  <si>
    <t>0                      PG 7223000I  78                 S  2617        2011</t>
  </si>
  <si>
    <t>Triptikh, odinochestvo v seti / I︠A︡nush Leon Vishnevskiĭ ; [per. s pol. L. T︠S︡yvʹi︠a︡na, I︠U︡. Chaĭnikova].</t>
  </si>
  <si>
    <t>Wiśniewski, Janusz L., 1954-</t>
  </si>
  <si>
    <t>Sankt-Peterburg : Azbuka-klassika, 2011.</t>
  </si>
  <si>
    <t>The big book</t>
  </si>
  <si>
    <t>2014-04-21</t>
  </si>
  <si>
    <t>4494914646:rus</t>
  </si>
  <si>
    <t>829945104</t>
  </si>
  <si>
    <t>ocn829945104</t>
  </si>
  <si>
    <t>3103452135F</t>
  </si>
  <si>
    <t>9785389022713</t>
  </si>
  <si>
    <t>794942867</t>
  </si>
  <si>
    <t>PG7223 I78 Z4517 2011</t>
  </si>
  <si>
    <t>0                      PG 7223000I  78                 Z  4517        2011</t>
  </si>
  <si>
    <t>Li︠u︡bovnit︠s︡a : [rasskazy] / I︠A︡nush Leon Vishnevskiĭ ; [perevod s polʹskogo Leonida T︠S︡yvʹi︠a︡na, I︠U︡rii︠a︡ Chaĭnikova].</t>
  </si>
  <si>
    <t>Sankt-Peterburg : Azbuka : Azbuka-Attikus, ©2011.</t>
  </si>
  <si>
    <t>2013-08-05</t>
  </si>
  <si>
    <t>10033036429:rus</t>
  </si>
  <si>
    <t>767630437</t>
  </si>
  <si>
    <t>ocn767630437</t>
  </si>
  <si>
    <t>3103483641G</t>
  </si>
  <si>
    <t>9785389024441</t>
  </si>
  <si>
    <t>794901339</t>
  </si>
  <si>
    <t>PG7365 G4 B43 2016</t>
  </si>
  <si>
    <t>0                      PG 7365000G  4                  B  43          2016</t>
  </si>
  <si>
    <t>Danzig/Gdańsk als Erinnerungsort : auf der Suche nach der Identität im Werk von Günter Grass, Stefan Chwin und Paweł Huelle / Joanna Bednarska-Kociołek.</t>
  </si>
  <si>
    <t>Bednarska-Kociolek, Joanna, author.</t>
  </si>
  <si>
    <t>Frankfurt am Main : Peter Lang Edition, [2016]</t>
  </si>
  <si>
    <t>Lodzer Arbeiten zur Literatur- und Kulturwissenschaft, 2195-3406 ; Band 7</t>
  </si>
  <si>
    <t>3897590791:ger</t>
  </si>
  <si>
    <t>961475106</t>
  </si>
  <si>
    <t>ocn961475106</t>
  </si>
  <si>
    <t>3103708256R</t>
  </si>
  <si>
    <t>9783631667590</t>
  </si>
  <si>
    <t>795023904</t>
  </si>
  <si>
    <t>PG7388 L58 2003</t>
  </si>
  <si>
    <t>0                      PG 7388000L  58          2003</t>
  </si>
  <si>
    <t>Living in translation : Polish writers in America / edited by Halina Stephan.</t>
  </si>
  <si>
    <t>Amsterdam ; New York, NY : Rodopi, 2003.</t>
  </si>
  <si>
    <t>Studies in Slavic literature and poetics ; v. 38</t>
  </si>
  <si>
    <t>905388358:eng</t>
  </si>
  <si>
    <t>52645706</t>
  </si>
  <si>
    <t>ocm52645706</t>
  </si>
  <si>
    <t>31023031714</t>
  </si>
  <si>
    <t>9789042010161</t>
  </si>
  <si>
    <t>793811705</t>
  </si>
  <si>
    <t>PG7445 E1 G5</t>
  </si>
  <si>
    <t>0                      PG 7445000E  1                  G  5</t>
  </si>
  <si>
    <t>Introduction to modern Polish literature : an anthology of fiction and poetry / edited by Adam Gillon and Ludwik Krzyzanowski.</t>
  </si>
  <si>
    <t>New York : Twayne Publishers, [1964]</t>
  </si>
  <si>
    <t>4928744387:eng</t>
  </si>
  <si>
    <t>322538</t>
  </si>
  <si>
    <t>ocm00322538</t>
  </si>
  <si>
    <t>3000505971T</t>
  </si>
  <si>
    <t>791336618</t>
  </si>
  <si>
    <t>PG7445 E1 M43 1992</t>
  </si>
  <si>
    <t>0                      PG 7445000E  1                  M  43          1992</t>
  </si>
  <si>
    <t>Medieval literature of Poland : an anthology / translated by Michael J. Mikoś.</t>
  </si>
  <si>
    <t>New York : Garland Pub., 1992.</t>
  </si>
  <si>
    <t>Garland library of medieval literature ; v. 82. Series B</t>
  </si>
  <si>
    <t>836883360:eng</t>
  </si>
  <si>
    <t>24010318</t>
  </si>
  <si>
    <t>ocm24010318</t>
  </si>
  <si>
    <t>31011479820</t>
  </si>
  <si>
    <t>9780815304081</t>
  </si>
  <si>
    <t>793187327</t>
  </si>
  <si>
    <t>PG7445 E1 S77 1996</t>
  </si>
  <si>
    <t>0                      PG 7445000E  1                  S  77          1996</t>
  </si>
  <si>
    <t>Stranger in our midst : images of the Jew in Polish literature / edited with an introduction by Harold B. Segel.</t>
  </si>
  <si>
    <t>837024451:eng</t>
  </si>
  <si>
    <t>33818901</t>
  </si>
  <si>
    <t>ocm33818901</t>
  </si>
  <si>
    <t>3101702321E</t>
  </si>
  <si>
    <t>9780801428654</t>
  </si>
  <si>
    <t>793411805</t>
  </si>
  <si>
    <t>PG7445 E1 W5</t>
  </si>
  <si>
    <t>0                      PG 7445000E  1                  W  5</t>
  </si>
  <si>
    <t>Polish writing today, edited by Celina Wieniewska.</t>
  </si>
  <si>
    <t>Wieniewska, Celina, compiler.</t>
  </si>
  <si>
    <t>[Penguin books. no. 2752.]</t>
  </si>
  <si>
    <t>1535477:eng</t>
  </si>
  <si>
    <t>6923919</t>
  </si>
  <si>
    <t>ocm06923919</t>
  </si>
  <si>
    <t>3000212835U</t>
  </si>
  <si>
    <t>792530790</t>
  </si>
  <si>
    <t>PG7445 E3 B8 1988</t>
  </si>
  <si>
    <t>0                      PG 7445000E  3                  B  8           1988</t>
  </si>
  <si>
    <t>The Burning forest / translated and edited by Adam Czerniawski.</t>
  </si>
  <si>
    <t>Newcastle upon Tyne : Bloodaxe Books ; Chester Springs, PA : U.S. distributor, Dufour Editions, 1988.</t>
  </si>
  <si>
    <t>55101797:eng</t>
  </si>
  <si>
    <t>18020987</t>
  </si>
  <si>
    <t>ocm18020987</t>
  </si>
  <si>
    <t>3000642096X</t>
  </si>
  <si>
    <t>9781852240097</t>
  </si>
  <si>
    <t>793011123</t>
  </si>
  <si>
    <t>PG7445 E3 P67 1983</t>
  </si>
  <si>
    <t>0                      PG 7445000E  3                  P  67          1983</t>
  </si>
  <si>
    <t>Postwar Polish poetry : an anthology / selected and edited by Czesław Miłosz.</t>
  </si>
  <si>
    <t>3rd, expanded ed.</t>
  </si>
  <si>
    <t>2009-06-30</t>
  </si>
  <si>
    <t>836701576:eng</t>
  </si>
  <si>
    <t>8763444</t>
  </si>
  <si>
    <t>ocm08763444</t>
  </si>
  <si>
    <t>31030260296</t>
  </si>
  <si>
    <t>9780520044753</t>
  </si>
  <si>
    <t>792639442</t>
  </si>
  <si>
    <t>PG 7445 E8 D33 1996</t>
  </si>
  <si>
    <t>0                      PG 7445000E  8                  D  33          1996</t>
  </si>
  <si>
    <t>The Dedalus book of Polish fantasy / edited &amp; translated by Wiesiek Powaga.</t>
  </si>
  <si>
    <t>Sawtry, Cambs : Dedalus ; New York : Hippocrene, 1996.</t>
  </si>
  <si>
    <t>40191530:eng</t>
  </si>
  <si>
    <t>34675959</t>
  </si>
  <si>
    <t>ocm34675959</t>
  </si>
  <si>
    <t>3101988441N</t>
  </si>
  <si>
    <t>9781873982907</t>
  </si>
  <si>
    <t>793433042</t>
  </si>
  <si>
    <t>PG8009 S36 S78 2004</t>
  </si>
  <si>
    <t>0                      PG 8009000S  36                 S  78          2004</t>
  </si>
  <si>
    <t>Studies in Baltic and Indo-European linguistics : in honor of William R. Schmalstieg / edited by Philip Baldi, Pietro U. Dini.</t>
  </si>
  <si>
    <t>Amsterdam ; Philadelphia : John Benjamins, ©2004.</t>
  </si>
  <si>
    <t>Amsterdam studies in the theory and history of linguistic science. Series IV, Current issues in linguistic theory, 0304-0763 ; v. 254</t>
  </si>
  <si>
    <t>2016-05-26</t>
  </si>
  <si>
    <t>350891405:eng</t>
  </si>
  <si>
    <t>56128483</t>
  </si>
  <si>
    <t>ocm56128483</t>
  </si>
  <si>
    <t>31024100836</t>
  </si>
  <si>
    <t>9789027247681</t>
  </si>
  <si>
    <t>793888390</t>
  </si>
  <si>
    <t>PG8013 C36 2015</t>
  </si>
  <si>
    <t>0                      PG 8013000C  36          2015</t>
  </si>
  <si>
    <t>Contemporary approaches to Baltic linguistics / edited by Peter Arkadiev, Axel Holvoet, Björn Wiemer.</t>
  </si>
  <si>
    <t>Berlin ; Boston : De Gruyter Mouton, [2015]</t>
  </si>
  <si>
    <t>Trends in linguistics studies and monographs ; volume 276</t>
  </si>
  <si>
    <t>1781679973:eng</t>
  </si>
  <si>
    <t>887857077</t>
  </si>
  <si>
    <t>ocn887857077</t>
  </si>
  <si>
    <t>3103584028S</t>
  </si>
  <si>
    <t>9783110343762</t>
  </si>
  <si>
    <t>794977868</t>
  </si>
  <si>
    <t>PG8523 S4 1966</t>
  </si>
  <si>
    <t>0                      PG 8523000S  4           1966</t>
  </si>
  <si>
    <t>Handbuch der litauischen Sprache / von Alfred Senn. Band 1: Grammatik.</t>
  </si>
  <si>
    <t>Senn, Alfred.</t>
  </si>
  <si>
    <t>Heidelberg: Carl Winter, 1966.</t>
  </si>
  <si>
    <t>Indogermanische Bibliothek</t>
  </si>
  <si>
    <t>4202405079:ger</t>
  </si>
  <si>
    <t>42012215</t>
  </si>
  <si>
    <t>ocm42012215</t>
  </si>
  <si>
    <t>3103592800K</t>
  </si>
  <si>
    <t>793601217</t>
  </si>
  <si>
    <t>PG8531 M39 1996</t>
  </si>
  <si>
    <t>0                      PG 8531000M  39          1996</t>
  </si>
  <si>
    <t>A short grammar of Lithuanian / Terje Mathiassen.</t>
  </si>
  <si>
    <t>Mathiassen, Terje, 1938-</t>
  </si>
  <si>
    <t>Columbus, Ohio : Slavica Publishers, ©1996.</t>
  </si>
  <si>
    <t>649968:eng</t>
  </si>
  <si>
    <t>35767170</t>
  </si>
  <si>
    <t>ocm35767170</t>
  </si>
  <si>
    <t>3101570125X</t>
  </si>
  <si>
    <t>9780893572679</t>
  </si>
  <si>
    <t>793456983</t>
  </si>
  <si>
    <t>PG8722.23 A7 K813 2011</t>
  </si>
  <si>
    <t>0                      PG 8722230A  7                  K  813         2011</t>
  </si>
  <si>
    <t>Ballads of Kukutis / Marcelijus Martinaitis ; translated and introduced by Laima Vincė.</t>
  </si>
  <si>
    <t>Martinaitis, Marcelijus, 1936-2013.</t>
  </si>
  <si>
    <t>Todmorden, UK : Arc Publications, 2011.</t>
  </si>
  <si>
    <t>17031809:eng</t>
  </si>
  <si>
    <t>739839150</t>
  </si>
  <si>
    <t>ocn739839150</t>
  </si>
  <si>
    <t>3103409376Z</t>
  </si>
  <si>
    <t>9781906570262</t>
  </si>
  <si>
    <t>794883060</t>
  </si>
  <si>
    <t>PG8740 S5</t>
  </si>
  <si>
    <t>0                      PG 8740000S  5</t>
  </si>
  <si>
    <t>Perfection of exile: Fourteen contemporary Lithuanian writers, by Rimvydas Šilbajoris.</t>
  </si>
  <si>
    <t>Norman, University of Oklahoma Press [1970]</t>
  </si>
  <si>
    <t>792497231:eng</t>
  </si>
  <si>
    <t>112708</t>
  </si>
  <si>
    <t>ocm00112708</t>
  </si>
  <si>
    <t>30005997621</t>
  </si>
  <si>
    <t>9780806109077</t>
  </si>
  <si>
    <t>791260915</t>
  </si>
  <si>
    <t>PG8771 E8 E17 2003</t>
  </si>
  <si>
    <t>0                      PG 8771000E  8                  E  17          2003</t>
  </si>
  <si>
    <t>The earth remains : an anthology of contemporary Lithuanian prose / translated and edited by Laima Sruoginis.</t>
  </si>
  <si>
    <t>Boulder [Colo.] : East European Monographs ; New York : Distributed by Columbia University Press, 2003.</t>
  </si>
  <si>
    <t>East European monographs ; no. 622 [i.e. no. 627]</t>
  </si>
  <si>
    <t>56897611:eng</t>
  </si>
  <si>
    <t>53897759</t>
  </si>
  <si>
    <t>ocm53897759</t>
  </si>
  <si>
    <t>3102479084E</t>
  </si>
  <si>
    <t>9780880335256</t>
  </si>
  <si>
    <t>793852451</t>
  </si>
  <si>
    <t>PG9521 N49 1957</t>
  </si>
  <si>
    <t>0                      PG 9521000N  49          1957</t>
  </si>
  <si>
    <t>Structural grammar of Albanian.</t>
  </si>
  <si>
    <t>Newmark, Leonard.</t>
  </si>
  <si>
    <t>Indiana University publications. Slavic and East European series, v. 8</t>
  </si>
  <si>
    <t>3768539524:eng</t>
  </si>
  <si>
    <t>1661136</t>
  </si>
  <si>
    <t>ocm01661136</t>
  </si>
  <si>
    <t>3103636201E</t>
  </si>
  <si>
    <t>791825434</t>
  </si>
  <si>
    <t>PG9522 M36 2018</t>
  </si>
  <si>
    <t>0                      PG 9522000M  36          2018</t>
  </si>
  <si>
    <t>The morphosyntax of Albanian and Aromanian varieties : case, agreement, complementation / M. Rita Manzini, Leonardo M. Savoia.</t>
  </si>
  <si>
    <t>Manzini, Maria Rita, author.</t>
  </si>
  <si>
    <t>Berlin ; Boston : Walter de Gruyter GmbH, [2018]</t>
  </si>
  <si>
    <t>Studies in Generative Grammar ; volume 133</t>
  </si>
  <si>
    <t>5516349865:eng</t>
  </si>
  <si>
    <t>1055566198</t>
  </si>
  <si>
    <t>on1055566198</t>
  </si>
  <si>
    <t>3103809754$</t>
  </si>
  <si>
    <t>9781501514326</t>
  </si>
  <si>
    <t>795063425</t>
  </si>
  <si>
    <t>PG9523 N4 1982</t>
  </si>
  <si>
    <t>0                      PG 9523000N  4           1982</t>
  </si>
  <si>
    <t>Standard Albanian : a reference grammar for students / Leonard Newmark, Philip Hubbard, Peter Prifti.</t>
  </si>
  <si>
    <t>Stanford, Calif. : Stanford University Press, 1982.</t>
  </si>
  <si>
    <t>2018-01-08</t>
  </si>
  <si>
    <t>157596989:eng</t>
  </si>
  <si>
    <t>8417661</t>
  </si>
  <si>
    <t>ocm08417661</t>
  </si>
  <si>
    <t>3103237938U</t>
  </si>
  <si>
    <t>9780804711296</t>
  </si>
  <si>
    <t>792618335</t>
  </si>
  <si>
    <t>PG9621 K3 D2913 2013</t>
  </si>
  <si>
    <t>0                      PG 9621000K  3                  D  2913        2013</t>
  </si>
  <si>
    <t>The fall of the stone city / Ismail Kadare ; translated from the Albanian by John Hodgson.</t>
  </si>
  <si>
    <t>Kadare, Ismail.</t>
  </si>
  <si>
    <t>New York : Grove Press ; [Berkeley, Calif.] : Distributed by Publishers Group West, ©2011.</t>
  </si>
  <si>
    <t>2014-01-08</t>
  </si>
  <si>
    <t>1074867057:eng</t>
  </si>
  <si>
    <t>809616615</t>
  </si>
  <si>
    <t>ocn809616615</t>
  </si>
  <si>
    <t>31034971990</t>
  </si>
  <si>
    <t>9780802120687</t>
  </si>
  <si>
    <t>794928637</t>
  </si>
  <si>
    <t>PG9621 K3 E213 2016</t>
  </si>
  <si>
    <t>0                      PG 9621000K  3                  E  213         2016</t>
  </si>
  <si>
    <t>A girl in exile : requiem for Linda B. / Ismail Kadare ; translated from the Albanian by John Hodgson.</t>
  </si>
  <si>
    <t>Kadare, Ismail, author.</t>
  </si>
  <si>
    <t>London : Harvill Secker, [2016]</t>
  </si>
  <si>
    <t>2936105188:eng</t>
  </si>
  <si>
    <t>946534572</t>
  </si>
  <si>
    <t>ocn946534572</t>
  </si>
  <si>
    <t>31036093322</t>
  </si>
  <si>
    <t>9781846558467</t>
  </si>
  <si>
    <t>795014555</t>
  </si>
  <si>
    <t>PG9621 K3 G513 1990</t>
  </si>
  <si>
    <t>0                      PG 9621000K  3                  G  513         1990</t>
  </si>
  <si>
    <t>The general of the dead army / Ismail Kadare ; translated by from the French by Derek Coltman.</t>
  </si>
  <si>
    <t>New York : New Amsterdam, 1991.</t>
  </si>
  <si>
    <t>4915088122:eng</t>
  </si>
  <si>
    <t>21910242</t>
  </si>
  <si>
    <t>ocm21910242</t>
  </si>
  <si>
    <t>31028458503</t>
  </si>
  <si>
    <t>9781561310074</t>
  </si>
  <si>
    <t>793130077</t>
  </si>
  <si>
    <t>PG9621 K3 K3413 2017</t>
  </si>
  <si>
    <t>0                      PG 9621000K  3                  K  3413        2017</t>
  </si>
  <si>
    <t>The traitor's niche / Ismail Kadare ; translated from the Albanian by John Hodgson.</t>
  </si>
  <si>
    <t>London : Harvill Secker, an imprint of Vintage, 2017.</t>
  </si>
  <si>
    <t>9334303050:eng</t>
  </si>
  <si>
    <t>969964527</t>
  </si>
  <si>
    <t>ocn969964527</t>
  </si>
  <si>
    <t>31037031122</t>
  </si>
  <si>
    <t>9781846558450</t>
  </si>
  <si>
    <t>795027560</t>
  </si>
  <si>
    <t>PG9621 K3 L8513 2002</t>
  </si>
  <si>
    <t>0                      PG 9621000K  3                  L  8513        2002</t>
  </si>
  <si>
    <t>Spring flowers, spring frost : a novel / Ismail Kadare ; translated from the French of Jusuf Vrioni by David Bellos.</t>
  </si>
  <si>
    <t>New York : Arcade Pub., 2002.</t>
  </si>
  <si>
    <t>1st North American ed.</t>
  </si>
  <si>
    <t>1048004:eng</t>
  </si>
  <si>
    <t>49225569</t>
  </si>
  <si>
    <t>ocm49225569</t>
  </si>
  <si>
    <t>31029213119</t>
  </si>
  <si>
    <t>9781559706353</t>
  </si>
  <si>
    <t>793735152</t>
  </si>
  <si>
    <t>PG9621 K3 M8913 2014</t>
  </si>
  <si>
    <t>0                      PG 9621000K  3                  M  8913        2014</t>
  </si>
  <si>
    <t>Twilight of the eastern gods / Ismail Kadare ; translated from the French of Jusuf Vrioni by David Bellos ; introduction by David Bellos.</t>
  </si>
  <si>
    <t>New York : Grove Press, [2014]</t>
  </si>
  <si>
    <t>9093510138:eng</t>
  </si>
  <si>
    <t>871211449</t>
  </si>
  <si>
    <t>ocn871211449</t>
  </si>
  <si>
    <t>3103654545H</t>
  </si>
  <si>
    <t>9780802123114</t>
  </si>
  <si>
    <t>794967389</t>
  </si>
  <si>
    <t>PG9621 K3 P313 1993</t>
  </si>
  <si>
    <t>0                      PG 9621000K  3                  P  313         1993</t>
  </si>
  <si>
    <t>The Palace of dreams / Ismaïl Kadaré ; a novel written in Albanian and translated from the French of Jusuf Vrioni, by Barbara Bray.</t>
  </si>
  <si>
    <t>New York, N.Y. : William Morrow and Co., 1993.</t>
  </si>
  <si>
    <t>2019-10-08</t>
  </si>
  <si>
    <t>670072:eng</t>
  </si>
  <si>
    <t>27266461</t>
  </si>
  <si>
    <t>ocm27266461</t>
  </si>
  <si>
    <t>31028915347</t>
  </si>
  <si>
    <t>9780688111830</t>
  </si>
  <si>
    <t>793263281</t>
  </si>
  <si>
    <t>PG9621 K3 P5813 1996</t>
  </si>
  <si>
    <t>0                      PG 9621000K  3                  P  5813        1996</t>
  </si>
  <si>
    <t>The pyramid / Ismail Kadare ; translated by David Bellos from the French version of the Albanian by Jusuf Vrioni.</t>
  </si>
  <si>
    <t>533633:eng</t>
  </si>
  <si>
    <t>34630225</t>
  </si>
  <si>
    <t>ocm34630225</t>
  </si>
  <si>
    <t>31015953792</t>
  </si>
  <si>
    <t>9781860461231</t>
  </si>
  <si>
    <t>793431860</t>
  </si>
  <si>
    <t>PG9621 K3 T7513 2000</t>
  </si>
  <si>
    <t>0                      PG 9621000K  3                  T  7513        2000</t>
  </si>
  <si>
    <t>Elegy for Kosovo / Ismail Kadare ; translated from the Albanian by Peter Constantine.</t>
  </si>
  <si>
    <t>New York : Arcade Pub. : Distributed by Time Warner Trade Publishing, ©2000.</t>
  </si>
  <si>
    <t>25842465:eng</t>
  </si>
  <si>
    <t>43561966</t>
  </si>
  <si>
    <t>ocm43561966</t>
  </si>
  <si>
    <t>31019995507</t>
  </si>
  <si>
    <t>9781559705288</t>
  </si>
  <si>
    <t>793629594</t>
  </si>
  <si>
    <t>PG9621 K3 U713 1997</t>
  </si>
  <si>
    <t>0                      PG 9621000K  3                  U  713         1997</t>
  </si>
  <si>
    <t>The three-arched bridge / Ismail Kadare ; translated from the Albanian by John Hodgson.</t>
  </si>
  <si>
    <t>New York : Arcade Pub., ©1997.</t>
  </si>
  <si>
    <t>533631:eng</t>
  </si>
  <si>
    <t>35450446</t>
  </si>
  <si>
    <t>ocm35450446</t>
  </si>
  <si>
    <t>3101723927Z</t>
  </si>
  <si>
    <t>9781559703680</t>
  </si>
  <si>
    <t>793451043</t>
  </si>
  <si>
    <t>PG9621 K3 1972</t>
  </si>
  <si>
    <t>0                      PG 9621000K  3           1972</t>
  </si>
  <si>
    <t>The general of the dead army; a novel. Translated by Derek Coltman from the French.</t>
  </si>
  <si>
    <t>New York, Grossman, 1972 [©1971]</t>
  </si>
  <si>
    <t>416307</t>
  </si>
  <si>
    <t>ocm00416307</t>
  </si>
  <si>
    <t>3100988713O</t>
  </si>
  <si>
    <t>9780670336302</t>
  </si>
  <si>
    <t>791372238</t>
  </si>
  <si>
    <t>PG9621 L54 A25 2002</t>
  </si>
  <si>
    <t>0                      PG 9621000L  54                 A  25          2002</t>
  </si>
  <si>
    <t>Fresco : selected poetry of Luljeta Lleshanaku / edited with an afterword by Henry Israeli ; introduction by Peter Constantine ; translated, with Henry Israeli and Joanna Goodman, by Ukzenel Buçpapa [and others].</t>
  </si>
  <si>
    <t>Lleshanaku, Luljeta, author.</t>
  </si>
  <si>
    <t>New York : New Directions, 2002.</t>
  </si>
  <si>
    <t>37271941:eng</t>
  </si>
  <si>
    <t>48074247</t>
  </si>
  <si>
    <t>ocm48074247</t>
  </si>
  <si>
    <t>3102165035Z</t>
  </si>
  <si>
    <t>9780811215114</t>
  </si>
  <si>
    <t>793715175</t>
  </si>
  <si>
    <t>folio PG693 L92 1983</t>
  </si>
  <si>
    <t>0folio                 PG 0693000L  92          1983</t>
  </si>
  <si>
    <t>Old Church Slavonic (Old Bulgarian)-middle Greek-modern English dictionary / T.A. Lysaght.</t>
  </si>
  <si>
    <t>Lysaght, T. A.</t>
  </si>
  <si>
    <t>Wien : B. Hollinek, ©1983.</t>
  </si>
  <si>
    <t>12533814:eng</t>
  </si>
  <si>
    <t>9904269</t>
  </si>
  <si>
    <t>ocm09904269</t>
  </si>
  <si>
    <t>3103577875O</t>
  </si>
  <si>
    <t>9783851191981</t>
  </si>
  <si>
    <t>792699114</t>
  </si>
  <si>
    <t>folio PG3327.9 B3713 2016</t>
  </si>
  <si>
    <t>0folio                 PG 3327900B  3713        2016</t>
  </si>
  <si>
    <t>The drawings and calligraphy of Fyodor Dostoevsky : from image to word / Konstantin Barsht ; with an introduction by Stefano Aloe ; translated by Stephen Charles Frauzel.</t>
  </si>
  <si>
    <t>Barsht, K. A., author.</t>
  </si>
  <si>
    <t>Bergamo : Lemma Press, [2016]</t>
  </si>
  <si>
    <t>4494808645:eng</t>
  </si>
  <si>
    <t>1013515850</t>
  </si>
  <si>
    <t>on1013515850</t>
  </si>
  <si>
    <t>3103718172R</t>
  </si>
  <si>
    <t>9788899375119</t>
  </si>
  <si>
    <t>795047118</t>
  </si>
  <si>
    <t>folio PG3458 Z9 S823 2005</t>
  </si>
  <si>
    <t>0folio                 PG 3458000Z  9                  S  823         2005</t>
  </si>
  <si>
    <t>Anton Chekhov at the Moscow Art Theatre : archive illustrations of the original productions / translated and edited by Vera Gottlieb.</t>
  </si>
  <si>
    <t>London ; New York : Routledge, 2005.</t>
  </si>
  <si>
    <t>800935284:eng</t>
  </si>
  <si>
    <t>65195946</t>
  </si>
  <si>
    <t>ocm65195946</t>
  </si>
  <si>
    <t>3102647345O</t>
  </si>
  <si>
    <t>9780415344401</t>
  </si>
  <si>
    <t>794132915</t>
  </si>
  <si>
    <t>- Reserves and A/V Room - A/V Collection - A/V Loan</t>
  </si>
  <si>
    <t>11358</t>
  </si>
  <si>
    <t>811358</t>
  </si>
  <si>
    <t>Mayakovsky / producer, Michael Craig ; written and directed by Michael Craig.</t>
  </si>
  <si>
    <t>[Place of publication not identified] : Copernicus Films, ©2003.</t>
  </si>
  <si>
    <t>131281285:eng</t>
  </si>
  <si>
    <t>213275738</t>
  </si>
  <si>
    <t>ocn213275738</t>
  </si>
  <si>
    <t>3103634019D</t>
  </si>
  <si>
    <t>Video_DVD</t>
  </si>
  <si>
    <t>794307103</t>
  </si>
  <si>
    <t>12042</t>
  </si>
  <si>
    <t>812042</t>
  </si>
  <si>
    <t>War and peace / a Paramount release ; a Ponti-De Laurentiis Production ; produced by Dino De Laurentiis ; directed by King Vidor ; adaptation, Bridget Boland, Robert Westerby, King Vidor, Mario Camerini, Ennio De Concini, Ivo Perilli.</t>
  </si>
  <si>
    <t>War and peace (Motion picture : 1956)</t>
  </si>
  <si>
    <t>Hollywood, California : Paramount, [2002]</t>
  </si>
  <si>
    <t>Widescreen DVD collection</t>
  </si>
  <si>
    <t>3944476079:eng</t>
  </si>
  <si>
    <t>51226025</t>
  </si>
  <si>
    <t>ocm51226025</t>
  </si>
  <si>
    <t>31037233195</t>
  </si>
  <si>
    <t>9780792180487</t>
  </si>
  <si>
    <t>793780912</t>
  </si>
  <si>
    <t>12601</t>
  </si>
  <si>
    <t>812601</t>
  </si>
  <si>
    <t>Malen'kie tragedii = little tragedies / Alexander Pushkin.</t>
  </si>
  <si>
    <t>[Place of publication not identified] : [publisher not identified], 2016.</t>
  </si>
  <si>
    <t>1074884246:rus</t>
  </si>
  <si>
    <t>1041191753</t>
  </si>
  <si>
    <t>on1041191753</t>
  </si>
  <si>
    <t>31038769436</t>
  </si>
  <si>
    <t>795059184</t>
  </si>
  <si>
    <t>1801</t>
  </si>
  <si>
    <t>81801</t>
  </si>
  <si>
    <t>Master i Margarita / Rossii︠a︡ Telekanal, T︠S︡tral partnership predstavli︠a︡i︠u︡t filʹm proizvodstva "Studii 2-B-2 intertėĭnment ; prodi︠u︡ser, Vladimir Bortko ; avtor st︠s︡enarii︠a︡ i rezhisser-postanovshchik, Vladimir Bortko.</t>
  </si>
  <si>
    <t>[Moscow?] : CP Digital ; [2006]</t>
  </si>
  <si>
    <t>3770783430:rus</t>
  </si>
  <si>
    <t>82962591</t>
  </si>
  <si>
    <t>ocm82962591</t>
  </si>
  <si>
    <t>3103433779W</t>
  </si>
  <si>
    <t>794207521</t>
  </si>
  <si>
    <t>2014-08-04</t>
  </si>
  <si>
    <t>3103100060Q</t>
  </si>
  <si>
    <t>794207520</t>
  </si>
  <si>
    <t>2450</t>
  </si>
  <si>
    <t>82450</t>
  </si>
  <si>
    <t>Dialogues avec Soljenitsyne / Studii︠a︡ Nadezhda ; rezhisser, Aleksandr Sokurov ; prodi︠u︡ser, Svetlana Voloshina.</t>
  </si>
  <si>
    <t>Chicago : Facets Video ; [Place of publication not identified] : Ideale Audience International, [2007]</t>
  </si>
  <si>
    <t>4162440528:rus</t>
  </si>
  <si>
    <t>427799253</t>
  </si>
  <si>
    <t>ocn427799253</t>
  </si>
  <si>
    <t>3102851570J</t>
  </si>
  <si>
    <t>9781565806641</t>
  </si>
  <si>
    <t>794698874</t>
  </si>
  <si>
    <t>2451</t>
  </si>
  <si>
    <t>82451</t>
  </si>
  <si>
    <t>Vladimir Nabokov / une émission proposée par par Bernard Pivot ; avec Claude Barma, Gilles Lapouge ; réalisation Roger Kahane ; L'Institut National de L'Audiovisuel ; Antenne 2.</t>
  </si>
  <si>
    <t>[France] : Gallimard : INA, ©2004.</t>
  </si>
  <si>
    <t>Grands entretiens de Bernard Pivot</t>
  </si>
  <si>
    <t>3944433933:fre</t>
  </si>
  <si>
    <t>56316628</t>
  </si>
  <si>
    <t>ocm56316628</t>
  </si>
  <si>
    <t>3102692223Q</t>
  </si>
  <si>
    <t>793890445</t>
  </si>
  <si>
    <t>2453</t>
  </si>
  <si>
    <t>82453</t>
  </si>
  <si>
    <t>Anton Chekhov / a Poseidon Films and Gosteleradio co-production for Channel Four ; producer, Roman Petrovsky ; executive producer, Frixos Constantine ; director, T. Shak-Azizova ; writer, V. Demin.</t>
  </si>
  <si>
    <t>[Moscow] : Gosteleradio ; West Long Branch, NJ : Distributed by Kultur International Films, [2006]</t>
  </si>
  <si>
    <t>Great Russian writers</t>
  </si>
  <si>
    <t>477755256:eng</t>
  </si>
  <si>
    <t>156979915</t>
  </si>
  <si>
    <t>ocn156979915</t>
  </si>
  <si>
    <t>31032767918</t>
  </si>
  <si>
    <t>9780769781747</t>
  </si>
  <si>
    <t>794256238</t>
  </si>
  <si>
    <t>2454</t>
  </si>
  <si>
    <t>82454</t>
  </si>
  <si>
    <t>Brace up! / the Wooster Group ; director, Elizabeth LeCompte.</t>
  </si>
  <si>
    <t>[New York, NY] : The Wooster Group, [2009]</t>
  </si>
  <si>
    <t>1090947230:eng</t>
  </si>
  <si>
    <t>476332094</t>
  </si>
  <si>
    <t>ocn476332094</t>
  </si>
  <si>
    <t>3103214422W</t>
  </si>
  <si>
    <t>794798545</t>
  </si>
  <si>
    <t>3103578392V</t>
  </si>
  <si>
    <t>794798544</t>
  </si>
  <si>
    <t>2456</t>
  </si>
  <si>
    <t>82456</t>
  </si>
  <si>
    <t>Leo Tolstoy / a Poseidon Films and Gosteleradio co-production for Channel Four ; producer, Roman Petrovsky ; executive producer, Frixos Constantine ; director, S. Sivachenko ; writer, D. Sarychev.</t>
  </si>
  <si>
    <t>2016-04-07</t>
  </si>
  <si>
    <t>502944426:eng</t>
  </si>
  <si>
    <t>150449314</t>
  </si>
  <si>
    <t>ocn150449314</t>
  </si>
  <si>
    <t>3103276786A</t>
  </si>
  <si>
    <t>9780769782058</t>
  </si>
  <si>
    <t>794241954</t>
  </si>
  <si>
    <t>2457</t>
  </si>
  <si>
    <t>82457</t>
  </si>
  <si>
    <t>Alexander Pushkin / a Poseidon Films and Gosteleradio co-production for Channel Four ; producer, Roman Petrovsky ; director, L. Nikitina ; writer, N. Sarychev.</t>
  </si>
  <si>
    <t>West Long Branch, NJ : Kultur, [2006?]</t>
  </si>
  <si>
    <t>2019-07-19</t>
  </si>
  <si>
    <t>502556569:eng</t>
  </si>
  <si>
    <t>704439659</t>
  </si>
  <si>
    <t>ocn704439659</t>
  </si>
  <si>
    <t>3103276776C</t>
  </si>
  <si>
    <t>9780769782041</t>
  </si>
  <si>
    <t>794865668</t>
  </si>
  <si>
    <t>2458</t>
  </si>
  <si>
    <t>82458</t>
  </si>
  <si>
    <t>Fyodor Dostoevsky / a Poseidon Films and Gosteleradio co-production for Channel Four ; a Constantine-Petrovsky production ; director, T. Iovleva ; writer S. Lurie.</t>
  </si>
  <si>
    <t>West Long Branch, NJ : Kultur, [2007]</t>
  </si>
  <si>
    <t>432400531:eng</t>
  </si>
  <si>
    <t>156998171</t>
  </si>
  <si>
    <t>ocn156998171</t>
  </si>
  <si>
    <t>3103276771C</t>
  </si>
  <si>
    <t>9780769782003</t>
  </si>
  <si>
    <t>794256379</t>
  </si>
  <si>
    <t>4866</t>
  </si>
  <si>
    <t>84866</t>
  </si>
  <si>
    <t>Anna Karenina / Kinostudii︠a︡ Mosfilʹm ; st︠s︡enariĭ, Vasiliĭ Katani︠a︡n, Aleksandr Zarkhi ; rezhisser, Aleksandr Zarkhi.</t>
  </si>
  <si>
    <t>2 discs + 1 leaflet in 1 container</t>
  </si>
  <si>
    <t>Anna Karenina (Motion picture : 1967)</t>
  </si>
  <si>
    <t>[Russia] : RUSCICO : Distributed exclusively by Image Entertainment, ©2000.</t>
  </si>
  <si>
    <t>Russian Cinema Council collection. Kollekt︠s︡ii︠a︡ "ėkranizat︠s︡ii︠a︡"</t>
  </si>
  <si>
    <t>2019-05-06</t>
  </si>
  <si>
    <t>4159909267:rus</t>
  </si>
  <si>
    <t>51240243</t>
  </si>
  <si>
    <t>ocm51240243</t>
  </si>
  <si>
    <t>31024810932</t>
  </si>
  <si>
    <t>793781161</t>
  </si>
  <si>
    <t>5304</t>
  </si>
  <si>
    <t>85304</t>
  </si>
  <si>
    <t>Daurii︠a︡ / Lenfilʹm ; st︠s︡enariĭ I︠U︡riĭ Klepikov, Viktor Tregubovich ; rezhisser, Viktor Tregubovich.</t>
  </si>
  <si>
    <t>[Moscow] : RUSCICO, [2000]</t>
  </si>
  <si>
    <t>Widescreen (1.85:1).</t>
  </si>
  <si>
    <t>History.</t>
  </si>
  <si>
    <t>4417484276:rus</t>
  </si>
  <si>
    <t>56393584</t>
  </si>
  <si>
    <t>ocm56393584</t>
  </si>
  <si>
    <t>31026610656</t>
  </si>
  <si>
    <t>793892259</t>
  </si>
  <si>
    <t>5418</t>
  </si>
  <si>
    <t>85418</t>
  </si>
  <si>
    <t>Doctor Zhivago / Metro-Goldwyn-Mayer presents ; a Carlo Ponti production ; produced by Carlo Ponti ; screenplay by Robert Bolt ; directed by David Lean.</t>
  </si>
  <si>
    <t>Burbank, CA : Warner Home Video, [2001]</t>
  </si>
  <si>
    <t>Special ed. ; widescreen version.</t>
  </si>
  <si>
    <t>2019-11-22</t>
  </si>
  <si>
    <t>325137903:eng</t>
  </si>
  <si>
    <t>48379860</t>
  </si>
  <si>
    <t>ocm48379860</t>
  </si>
  <si>
    <t>3102679886F</t>
  </si>
  <si>
    <t>9780790761848</t>
  </si>
  <si>
    <t>793719786</t>
  </si>
  <si>
    <t>6011</t>
  </si>
  <si>
    <t>86011</t>
  </si>
  <si>
    <t>Il maestro e Margherita = The Master and Margherite / una produzione Euro International Films, Dunav Film ; un film di Aleksandar Petrović ; adattamento, Romain Weingarten, Aleksandar Petrović ; sceneggiatura, Barbara Alberti, Amedeo Pagani, Aleksandar Petrović.</t>
  </si>
  <si>
    <t>[Los Angeles] : Cinema Libre Distribution, ©2004.</t>
  </si>
  <si>
    <t>477155997:ita</t>
  </si>
  <si>
    <t>61439158</t>
  </si>
  <si>
    <t>ocm61439158</t>
  </si>
  <si>
    <t>3102554378V</t>
  </si>
  <si>
    <t>9781595870070</t>
  </si>
  <si>
    <t>793952689</t>
  </si>
  <si>
    <t>6282</t>
  </si>
  <si>
    <t>86282</t>
  </si>
  <si>
    <t>The good soldier Schweik / [uvádí] Národní filmový archiv ; sénář a režie, Karel Steklý ; vedoucí výroby, Josef Beran.</t>
  </si>
  <si>
    <t>Chicago, Ill : Facets Multi-Media, Inc., [2005]</t>
  </si>
  <si>
    <t>3943664932:cze</t>
  </si>
  <si>
    <t>58835223</t>
  </si>
  <si>
    <t>ocm58835223</t>
  </si>
  <si>
    <t>31025210321</t>
  </si>
  <si>
    <t>9781565804302</t>
  </si>
  <si>
    <t>793925164</t>
  </si>
  <si>
    <t>6382</t>
  </si>
  <si>
    <t>86382</t>
  </si>
  <si>
    <t>Potomok Chingis-Khana / proizvodstvo "Mezhrabpom-filʹm" ; st︠s︡enariĭ, O. Brik ; rezhisser, V. Pudovkin.</t>
  </si>
  <si>
    <t>Chatsworth, Ca : Image Entertainment, [1999]</t>
  </si>
  <si>
    <t>zxx</t>
  </si>
  <si>
    <t>Blackhawk Films collection</t>
  </si>
  <si>
    <t>475461184:zxx</t>
  </si>
  <si>
    <t>47729908</t>
  </si>
  <si>
    <t>ocm47729908</t>
  </si>
  <si>
    <t>3103069972B</t>
  </si>
  <si>
    <t>793706614</t>
  </si>
  <si>
    <t>6386</t>
  </si>
  <si>
    <t>86386</t>
  </si>
  <si>
    <t>Prestuplenie i nakazanie = Crime and punishment / Gorky Film Studio ; script, Nikolai Figurovsky, Lev Kulidzhanov ; director, Lev Kulidzhanov.</t>
  </si>
  <si>
    <t>[Chatsworth, CA] : Distributed by Image Entertainment ; [Moskow] : Ruscico, ©2004.</t>
  </si>
  <si>
    <t>Widescreen presentation.</t>
  </si>
  <si>
    <t>Russian Cinema Council collection. Original story by</t>
  </si>
  <si>
    <t>4408641125:rus</t>
  </si>
  <si>
    <t>84679760</t>
  </si>
  <si>
    <t>ocm84679760</t>
  </si>
  <si>
    <t>3102679466V</t>
  </si>
  <si>
    <t>794211620</t>
  </si>
  <si>
    <t>6548</t>
  </si>
  <si>
    <t>86548</t>
  </si>
  <si>
    <t>The Forty-first = Sorok pervyĭ / Mosfilʹm ; po rasskazu V. Lavreneva ; st︠s︡enariĭ G. Koltunova ; postanovka Grigorii︠a︡ Chukhraĭ.</t>
  </si>
  <si>
    <t>[Place of publication not identified] : Mosfilm Studio, 2005.</t>
  </si>
  <si>
    <t>4737522247:rus</t>
  </si>
  <si>
    <t>63521344</t>
  </si>
  <si>
    <t>ocm63521344</t>
  </si>
  <si>
    <t>31030313506</t>
  </si>
  <si>
    <t>794121622</t>
  </si>
  <si>
    <t>6728</t>
  </si>
  <si>
    <t>86728</t>
  </si>
  <si>
    <t>Destiny of a man / Mosfilʹm ; directed by Sergeĭ Bondarchuk.</t>
  </si>
  <si>
    <t>Sudʹba cheloveka (Motion picture)</t>
  </si>
  <si>
    <t>[Moscow] : RUSCICO : Distributed by Image Entertainment, [2003], ©2000.</t>
  </si>
  <si>
    <t>Russian Cinema Council collection</t>
  </si>
  <si>
    <t>2016-03-07</t>
  </si>
  <si>
    <t>195708292:rus</t>
  </si>
  <si>
    <t>61735665</t>
  </si>
  <si>
    <t>ocm61735665</t>
  </si>
  <si>
    <t>3102450979Z</t>
  </si>
  <si>
    <t>794092608</t>
  </si>
  <si>
    <t>6934</t>
  </si>
  <si>
    <t>86934</t>
  </si>
  <si>
    <t>The cherry orchard / Melanda Film Productions present ; a Michael Cacoyannis film ; screenplay, Michael Cacoyannis ; executive producers, Yannoulla Wakefield, Alexander Metodiev ; produced and directed by Michael Cacoyannis ; a Melanda Films production in association with the Greek Film Centre, Amanda Productions (Cyprus), Films de L'Astre (France).</t>
  </si>
  <si>
    <t>Cherry orchard (Motion picture : 1999)</t>
  </si>
  <si>
    <t>New York : Kino on Video, [2002]</t>
  </si>
  <si>
    <t>5218147128:eng</t>
  </si>
  <si>
    <t>51784127</t>
  </si>
  <si>
    <t>ocm51784127</t>
  </si>
  <si>
    <t>3102422144Z</t>
  </si>
  <si>
    <t>793791035</t>
  </si>
  <si>
    <t>6955</t>
  </si>
  <si>
    <t>86955</t>
  </si>
  <si>
    <t>Voĭna i mir = War and peace / Mosfilʹm ; rezhissër-postanovshchik, Sergeĭ Bondarchuk; Lev Tolstoĭ, avtory ėkranizat︠s︡ii, Sergeĭ Bondarchuk, Vasiliĭ Solovʹëv.</t>
  </si>
  <si>
    <t>disc.1</t>
  </si>
  <si>
    <t>Voĭna i mir (Motion picture)</t>
  </si>
  <si>
    <t>West Long Branch, N.J. : Kultur, [200-?]</t>
  </si>
  <si>
    <t>2019-01-25</t>
  </si>
  <si>
    <t>5611416350:rus</t>
  </si>
  <si>
    <t>51299581</t>
  </si>
  <si>
    <t>ocm51299581</t>
  </si>
  <si>
    <t>3102422322X</t>
  </si>
  <si>
    <t>9780769713397</t>
  </si>
  <si>
    <t>793782569</t>
  </si>
  <si>
    <t>disc.3</t>
  </si>
  <si>
    <t>3102422332V</t>
  </si>
  <si>
    <t>793782567</t>
  </si>
  <si>
    <t>disc.2</t>
  </si>
  <si>
    <t>3102422327X</t>
  </si>
  <si>
    <t>793782568</t>
  </si>
  <si>
    <t>7230</t>
  </si>
  <si>
    <t>87230</t>
  </si>
  <si>
    <t>Chekhovskie motivy = Chekhovian motifs / Kinostudii︠a︡ "Nikola-Filʹm", Odesskai︠a︡ Kinostudii︠a︡ Khudozhestvenni︠a︡kh filʹmov ; [directed by] Kira Muratova.</t>
  </si>
  <si>
    <t>[Moscow] : RUSCICO, ©2003.</t>
  </si>
  <si>
    <t>Russian Cinema Council collection. Kollekt︠s︡ii︠a︡ "Rezhisser"</t>
  </si>
  <si>
    <t>5218612030:rus</t>
  </si>
  <si>
    <t>123128876</t>
  </si>
  <si>
    <t>ocn123128876</t>
  </si>
  <si>
    <t>3102820039O</t>
  </si>
  <si>
    <t>794223292</t>
  </si>
  <si>
    <t>9719</t>
  </si>
  <si>
    <t>89719</t>
  </si>
  <si>
    <t>Jonas Mekas.</t>
  </si>
  <si>
    <t>Disc 1 - The Brig</t>
  </si>
  <si>
    <t>France : Potemkine Films : Agnès b : Re:Voir, 2012.</t>
  </si>
  <si>
    <t>9402336441:eng</t>
  </si>
  <si>
    <t>817970069</t>
  </si>
  <si>
    <t>ocn817970069</t>
  </si>
  <si>
    <t>31034873557</t>
  </si>
  <si>
    <t>794933683</t>
  </si>
  <si>
    <t>Disc 3 - Reminiscences of a Journey to Lithuania</t>
  </si>
  <si>
    <t>31034873597</t>
  </si>
  <si>
    <t>794933682</t>
  </si>
  <si>
    <t>Disc 4 - Lost Lost Lost</t>
  </si>
  <si>
    <t>31034873587</t>
  </si>
  <si>
    <t>794933681</t>
  </si>
  <si>
    <t>Disc 6 - Short Film Works</t>
  </si>
  <si>
    <t>31034873547</t>
  </si>
  <si>
    <t>794933680</t>
  </si>
  <si>
    <t>Disc 2 - Walden</t>
  </si>
  <si>
    <t>2019-07-13</t>
  </si>
  <si>
    <t>31034873577</t>
  </si>
  <si>
    <t>794933679</t>
  </si>
  <si>
    <t>Disc 5a/5b - As I was Moving Ahead I Saw Brief Glimpses of Beauty</t>
  </si>
  <si>
    <t>31034873537</t>
  </si>
  <si>
    <t>794933678</t>
  </si>
  <si>
    <t>3102670981B</t>
  </si>
  <si>
    <t>9781572010734</t>
  </si>
  <si>
    <t>ocn173092197</t>
  </si>
  <si>
    <t>173092197</t>
  </si>
  <si>
    <t>3374210520:eng</t>
  </si>
  <si>
    <t>2007-11-13</t>
  </si>
  <si>
    <t>Stanford Slavic studies ; v. 33-34</t>
  </si>
  <si>
    <t>[Stanford, Calif.] : Stanford University, Dept. of Slavic Languages and Literatures ; Oakland : Berkeley Slavic Specialties, 2007.</t>
  </si>
  <si>
    <t>v.33</t>
  </si>
  <si>
    <t>The real life of Pierre Delalande : studies in Russian and comparative literature to honor Alexander Dolinin / edited by David M. Bethea, Lazar Fleishman, Alexander Ospovat.</t>
  </si>
  <si>
    <t>3100809373Z</t>
  </si>
  <si>
    <t>9780926953017</t>
  </si>
  <si>
    <t>ocm19778393</t>
  </si>
  <si>
    <t>19778393</t>
  </si>
  <si>
    <t>196073335:eng</t>
  </si>
  <si>
    <t>Stanford Slavic studies ; v. 2</t>
  </si>
  <si>
    <t>Stanford : Stanford University, 1989.</t>
  </si>
  <si>
    <t>Vroon, R. (Ronald)</t>
  </si>
  <si>
    <t>Velimir Xlebnikov's Krysa : a commentary / Ronald Vroon.</t>
  </si>
  <si>
    <t>0                      PG 0001000S  73                                                      v.2</t>
  </si>
  <si>
    <t>PG1 S73 v.2</t>
  </si>
  <si>
    <t>- Main Collection - In Library Use</t>
  </si>
  <si>
    <t>31026183252</t>
  </si>
  <si>
    <t>9781572010703</t>
  </si>
  <si>
    <t>ocm62784707</t>
  </si>
  <si>
    <t>62784707</t>
  </si>
  <si>
    <t>4757956281:eng</t>
  </si>
  <si>
    <t>Stanford Slavic studies ; v. 29-30</t>
  </si>
  <si>
    <t>Stanford : Dept. of Slavic Languages and Literatures, Stanford University, 2005.</t>
  </si>
  <si>
    <t>Word, music, history : a festschrift for Caryl Emerson / edited by Lazar Fleishman, Gabriella Safran, Michael Wachtel.</t>
  </si>
  <si>
    <t>0                      PG 0001000S  73                                                      v.29-30</t>
  </si>
  <si>
    <t>PG1 S73 v.29-30</t>
  </si>
  <si>
    <t>31026183300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</si>
</sst>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4625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2.7109375" customWidth="1"/>
    <col min="2" max="3" width="10.7109375" customWidth="1"/>
    <col min="4" max="4" width="12.7109375" hidden="1" customWidth="1"/>
    <col min="5" max="5" width="36.42578125" customWidth="1"/>
    <col min="6" max="6" width="13.7109375" customWidth="1"/>
    <col min="7" max="7" width="10.7109375" hidden="1" customWidth="1"/>
    <col min="8" max="8" width="8.7109375" hidden="1" customWidth="1"/>
    <col min="9" max="9" width="11.7109375" hidden="1" customWidth="1"/>
    <col min="10" max="10" width="9.7109375" hidden="1" customWidth="1"/>
    <col min="11" max="11" width="10.7109375" customWidth="1"/>
    <col min="12" max="13" width="35.7109375" customWidth="1"/>
    <col min="14" max="14" width="13.7109375" customWidth="1"/>
    <col min="15" max="15" width="9.7109375" customWidth="1"/>
    <col min="16" max="16" width="10.7109375" customWidth="1"/>
    <col min="17" max="17" width="35.7109375" customWidth="1"/>
    <col min="18" max="18" width="10.7109375" customWidth="1"/>
    <col min="19" max="29" width="10.7109375" hidden="1" customWidth="1"/>
    <col min="30" max="31" width="12.7109375" hidden="1" customWidth="1"/>
    <col min="32" max="33" width="9.7109375" hidden="1" customWidth="1"/>
    <col min="34" max="35" width="11.7109375" hidden="1" customWidth="1"/>
    <col min="36" max="39" width="9.7109375" hidden="1" customWidth="1"/>
    <col min="40" max="41" width="13.7109375" hidden="1" customWidth="1"/>
    <col min="42" max="43" width="9.7109375" hidden="1" customWidth="1"/>
    <col min="44" max="44" width="11.7109375" hidden="1" customWidth="1"/>
    <col min="45" max="47" width="12.7109375" hidden="1" customWidth="1"/>
    <col min="48" max="48" width="10.7109375" customWidth="1"/>
    <col min="49" max="49" width="10.7109375" hidden="1" customWidth="1"/>
    <col min="50" max="50" width="15.7109375" hidden="1" customWidth="1"/>
    <col min="51" max="54" width="20.7109375" hidden="1" customWidth="1"/>
    <col min="55" max="55" width="15.7109375" customWidth="1"/>
    <col min="56" max="57" width="15.7109375" hidden="1" customWidth="1"/>
    <col min="58" max="58" width="25.7109375" customWidth="1"/>
    <col min="59" max="59" width="10.7109375" hidden="1" customWidth="1"/>
  </cols>
  <sheetData>
    <row r="1" spans="1:59" ht="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</row>
    <row r="2" spans="1:59" ht="90" x14ac:dyDescent="0.25">
      <c r="A2" s="2" t="s">
        <v>59</v>
      </c>
      <c r="B2" s="2" t="s">
        <v>40280</v>
      </c>
      <c r="C2" s="2" t="s">
        <v>40281</v>
      </c>
      <c r="D2" s="2" t="s">
        <v>40282</v>
      </c>
      <c r="E2" s="2" t="s">
        <v>40283</v>
      </c>
      <c r="G2" s="3" t="s">
        <v>63</v>
      </c>
      <c r="I2" s="3" t="s">
        <v>63</v>
      </c>
      <c r="J2" s="3" t="s">
        <v>63</v>
      </c>
      <c r="K2" s="3" t="s">
        <v>64</v>
      </c>
      <c r="M2" s="2" t="s">
        <v>40284</v>
      </c>
      <c r="N2" s="3" t="s">
        <v>1226</v>
      </c>
      <c r="P2" s="3" t="s">
        <v>66</v>
      </c>
      <c r="R2" s="3" t="s">
        <v>67</v>
      </c>
      <c r="S2" s="4">
        <v>2</v>
      </c>
      <c r="T2" s="4">
        <v>2</v>
      </c>
      <c r="U2" s="5" t="s">
        <v>26200</v>
      </c>
      <c r="V2" s="5" t="s">
        <v>26200</v>
      </c>
      <c r="W2" s="5" t="s">
        <v>69</v>
      </c>
      <c r="X2" s="5" t="s">
        <v>69</v>
      </c>
      <c r="Y2" s="4">
        <v>21</v>
      </c>
      <c r="Z2" s="4">
        <v>1</v>
      </c>
      <c r="AA2" s="4">
        <v>1</v>
      </c>
      <c r="AB2" s="4">
        <v>1</v>
      </c>
      <c r="AC2" s="4">
        <v>1</v>
      </c>
      <c r="AD2" s="4">
        <v>6</v>
      </c>
      <c r="AE2" s="4">
        <v>6</v>
      </c>
      <c r="AF2" s="4">
        <v>0</v>
      </c>
      <c r="AG2" s="4">
        <v>0</v>
      </c>
      <c r="AH2" s="4">
        <v>5</v>
      </c>
      <c r="AI2" s="4">
        <v>5</v>
      </c>
      <c r="AJ2" s="4">
        <v>0</v>
      </c>
      <c r="AK2" s="4">
        <v>0</v>
      </c>
      <c r="AL2" s="4">
        <v>3</v>
      </c>
      <c r="AM2" s="4">
        <v>3</v>
      </c>
      <c r="AN2" s="4">
        <v>0</v>
      </c>
      <c r="AO2" s="4">
        <v>0</v>
      </c>
      <c r="AP2" s="4">
        <v>0</v>
      </c>
      <c r="AQ2" s="4">
        <v>0</v>
      </c>
      <c r="AR2" s="3" t="s">
        <v>63</v>
      </c>
      <c r="AS2" s="3" t="s">
        <v>63</v>
      </c>
      <c r="AT2" s="3" t="s">
        <v>63</v>
      </c>
      <c r="AV2" s="6" t="str">
        <f>HYPERLINK("http://mcgill.on.worldcat.org/oclc/213275738","Catalog Record")</f>
        <v>Catalog Record</v>
      </c>
      <c r="AW2" s="6" t="str">
        <f>HYPERLINK("http://www.worldcat.org/oclc/213275738","WorldCat Record")</f>
        <v>WorldCat Record</v>
      </c>
      <c r="AX2" s="3" t="s">
        <v>40285</v>
      </c>
      <c r="AY2" s="3" t="s">
        <v>40286</v>
      </c>
      <c r="AZ2" s="3" t="s">
        <v>40287</v>
      </c>
      <c r="BA2" s="3" t="s">
        <v>40287</v>
      </c>
      <c r="BB2" s="3" t="s">
        <v>40288</v>
      </c>
      <c r="BC2" s="3" t="s">
        <v>40289</v>
      </c>
      <c r="BD2" s="3" t="s">
        <v>70</v>
      </c>
      <c r="BF2" s="3" t="s">
        <v>40288</v>
      </c>
      <c r="BG2" s="3" t="s">
        <v>40290</v>
      </c>
    </row>
    <row r="3" spans="1:59" ht="105" x14ac:dyDescent="0.25">
      <c r="A3" s="2" t="s">
        <v>59</v>
      </c>
      <c r="B3" s="2" t="s">
        <v>40280</v>
      </c>
      <c r="C3" s="2" t="s">
        <v>40291</v>
      </c>
      <c r="D3" s="2" t="s">
        <v>40292</v>
      </c>
      <c r="E3" s="2" t="s">
        <v>40293</v>
      </c>
      <c r="G3" s="3" t="s">
        <v>63</v>
      </c>
      <c r="I3" s="3" t="s">
        <v>63</v>
      </c>
      <c r="J3" s="3" t="s">
        <v>63</v>
      </c>
      <c r="K3" s="3" t="s">
        <v>64</v>
      </c>
      <c r="L3" s="2" t="s">
        <v>40294</v>
      </c>
      <c r="M3" s="2" t="s">
        <v>40295</v>
      </c>
      <c r="N3" s="3" t="s">
        <v>2103</v>
      </c>
      <c r="P3" s="3" t="s">
        <v>66</v>
      </c>
      <c r="Q3" s="2" t="s">
        <v>40296</v>
      </c>
      <c r="R3" s="3" t="s">
        <v>67</v>
      </c>
      <c r="S3" s="4">
        <v>7</v>
      </c>
      <c r="T3" s="4">
        <v>7</v>
      </c>
      <c r="U3" s="5" t="s">
        <v>30474</v>
      </c>
      <c r="V3" s="5" t="s">
        <v>30474</v>
      </c>
      <c r="W3" s="5" t="s">
        <v>69</v>
      </c>
      <c r="X3" s="5" t="s">
        <v>69</v>
      </c>
      <c r="Y3" s="4">
        <v>822</v>
      </c>
      <c r="Z3" s="4">
        <v>23</v>
      </c>
      <c r="AA3" s="4">
        <v>58</v>
      </c>
      <c r="AB3" s="4">
        <v>2</v>
      </c>
      <c r="AC3" s="4">
        <v>6</v>
      </c>
      <c r="AD3" s="4">
        <v>41</v>
      </c>
      <c r="AE3" s="4">
        <v>67</v>
      </c>
      <c r="AF3" s="4">
        <v>0</v>
      </c>
      <c r="AG3" s="4">
        <v>3</v>
      </c>
      <c r="AH3" s="4">
        <v>37</v>
      </c>
      <c r="AI3" s="4">
        <v>53</v>
      </c>
      <c r="AJ3" s="4">
        <v>3</v>
      </c>
      <c r="AK3" s="4">
        <v>12</v>
      </c>
      <c r="AL3" s="4">
        <v>25</v>
      </c>
      <c r="AM3" s="4">
        <v>34</v>
      </c>
      <c r="AN3" s="4">
        <v>0</v>
      </c>
      <c r="AO3" s="4">
        <v>0</v>
      </c>
      <c r="AP3" s="4">
        <v>4</v>
      </c>
      <c r="AQ3" s="4">
        <v>18</v>
      </c>
      <c r="AR3" s="3" t="s">
        <v>63</v>
      </c>
      <c r="AS3" s="3" t="s">
        <v>63</v>
      </c>
      <c r="AT3" s="3" t="s">
        <v>63</v>
      </c>
      <c r="AV3" s="6" t="str">
        <f>HYPERLINK("http://mcgill.on.worldcat.org/oclc/51226025","Catalog Record")</f>
        <v>Catalog Record</v>
      </c>
      <c r="AW3" s="6" t="str">
        <f>HYPERLINK("http://www.worldcat.org/oclc/51226025","WorldCat Record")</f>
        <v>WorldCat Record</v>
      </c>
      <c r="AX3" s="3" t="s">
        <v>40297</v>
      </c>
      <c r="AY3" s="3" t="s">
        <v>40298</v>
      </c>
      <c r="AZ3" s="3" t="s">
        <v>40299</v>
      </c>
      <c r="BA3" s="3" t="s">
        <v>40299</v>
      </c>
      <c r="BB3" s="3" t="s">
        <v>40300</v>
      </c>
      <c r="BC3" s="3" t="s">
        <v>40289</v>
      </c>
      <c r="BD3" s="3" t="s">
        <v>70</v>
      </c>
      <c r="BE3" s="3" t="s">
        <v>40301</v>
      </c>
      <c r="BF3" s="3" t="s">
        <v>40300</v>
      </c>
      <c r="BG3" s="3" t="s">
        <v>40302</v>
      </c>
    </row>
    <row r="4" spans="1:59" ht="90" x14ac:dyDescent="0.25">
      <c r="A4" s="2" t="s">
        <v>59</v>
      </c>
      <c r="B4" s="2" t="s">
        <v>40280</v>
      </c>
      <c r="C4" s="2" t="s">
        <v>40303</v>
      </c>
      <c r="D4" s="2" t="s">
        <v>40304</v>
      </c>
      <c r="E4" s="2" t="s">
        <v>40305</v>
      </c>
      <c r="G4" s="3" t="s">
        <v>63</v>
      </c>
      <c r="I4" s="3" t="s">
        <v>63</v>
      </c>
      <c r="J4" s="3" t="s">
        <v>63</v>
      </c>
      <c r="K4" s="3" t="s">
        <v>64</v>
      </c>
      <c r="M4" s="2" t="s">
        <v>40306</v>
      </c>
      <c r="N4" s="3" t="s">
        <v>106</v>
      </c>
      <c r="P4" s="3" t="s">
        <v>90</v>
      </c>
      <c r="R4" s="3" t="s">
        <v>67</v>
      </c>
      <c r="S4" s="4">
        <v>4</v>
      </c>
      <c r="T4" s="4">
        <v>4</v>
      </c>
      <c r="U4" s="5" t="s">
        <v>21278</v>
      </c>
      <c r="V4" s="5" t="s">
        <v>21278</v>
      </c>
      <c r="W4" s="5" t="s">
        <v>69</v>
      </c>
      <c r="X4" s="5" t="s">
        <v>69</v>
      </c>
      <c r="Y4" s="4">
        <v>1</v>
      </c>
      <c r="Z4" s="4">
        <v>1</v>
      </c>
      <c r="AA4" s="4">
        <v>2</v>
      </c>
      <c r="AB4" s="4">
        <v>1</v>
      </c>
      <c r="AC4" s="4">
        <v>1</v>
      </c>
      <c r="AD4" s="4">
        <v>0</v>
      </c>
      <c r="AE4" s="4">
        <v>8</v>
      </c>
      <c r="AF4" s="4">
        <v>0</v>
      </c>
      <c r="AG4" s="4">
        <v>0</v>
      </c>
      <c r="AH4" s="4">
        <v>0</v>
      </c>
      <c r="AI4" s="4">
        <v>7</v>
      </c>
      <c r="AJ4" s="4">
        <v>0</v>
      </c>
      <c r="AK4" s="4">
        <v>1</v>
      </c>
      <c r="AL4" s="4">
        <v>0</v>
      </c>
      <c r="AM4" s="4">
        <v>5</v>
      </c>
      <c r="AN4" s="4">
        <v>0</v>
      </c>
      <c r="AO4" s="4">
        <v>0</v>
      </c>
      <c r="AP4" s="4">
        <v>0</v>
      </c>
      <c r="AQ4" s="4">
        <v>1</v>
      </c>
      <c r="AR4" s="3" t="s">
        <v>63</v>
      </c>
      <c r="AS4" s="3" t="s">
        <v>63</v>
      </c>
      <c r="AT4" s="3" t="s">
        <v>63</v>
      </c>
      <c r="AV4" s="6" t="str">
        <f>HYPERLINK("http://mcgill.on.worldcat.org/oclc/1041191753","Catalog Record")</f>
        <v>Catalog Record</v>
      </c>
      <c r="AW4" s="6" t="str">
        <f>HYPERLINK("http://www.worldcat.org/oclc/1041191753","WorldCat Record")</f>
        <v>WorldCat Record</v>
      </c>
      <c r="AX4" s="3" t="s">
        <v>40307</v>
      </c>
      <c r="AY4" s="3" t="s">
        <v>40308</v>
      </c>
      <c r="AZ4" s="3" t="s">
        <v>40309</v>
      </c>
      <c r="BA4" s="3" t="s">
        <v>40309</v>
      </c>
      <c r="BB4" s="3" t="s">
        <v>40310</v>
      </c>
      <c r="BC4" s="3" t="s">
        <v>40289</v>
      </c>
      <c r="BD4" s="3" t="s">
        <v>70</v>
      </c>
      <c r="BF4" s="3" t="s">
        <v>40310</v>
      </c>
      <c r="BG4" s="3" t="s">
        <v>40311</v>
      </c>
    </row>
    <row r="5" spans="1:59" ht="90" x14ac:dyDescent="0.25">
      <c r="A5" s="2" t="s">
        <v>59</v>
      </c>
      <c r="B5" s="2" t="s">
        <v>40280</v>
      </c>
      <c r="C5" s="2" t="s">
        <v>40312</v>
      </c>
      <c r="D5" s="2" t="s">
        <v>40313</v>
      </c>
      <c r="E5" s="2" t="s">
        <v>40314</v>
      </c>
      <c r="G5" s="3" t="s">
        <v>62</v>
      </c>
      <c r="I5" s="3" t="s">
        <v>62</v>
      </c>
      <c r="J5" s="3" t="s">
        <v>63</v>
      </c>
      <c r="K5" s="3" t="s">
        <v>64</v>
      </c>
      <c r="M5" s="2" t="s">
        <v>40315</v>
      </c>
      <c r="N5" s="3" t="s">
        <v>234</v>
      </c>
      <c r="P5" s="3" t="s">
        <v>90</v>
      </c>
      <c r="R5" s="3" t="s">
        <v>67</v>
      </c>
      <c r="S5" s="4">
        <v>8</v>
      </c>
      <c r="T5" s="4">
        <v>17</v>
      </c>
      <c r="U5" s="5" t="s">
        <v>10814</v>
      </c>
      <c r="V5" s="5" t="s">
        <v>10814</v>
      </c>
      <c r="W5" s="5" t="s">
        <v>69</v>
      </c>
      <c r="X5" s="5" t="s">
        <v>69</v>
      </c>
      <c r="Y5" s="4">
        <v>109</v>
      </c>
      <c r="Z5" s="4">
        <v>8</v>
      </c>
      <c r="AA5" s="4">
        <v>9</v>
      </c>
      <c r="AB5" s="4">
        <v>2</v>
      </c>
      <c r="AC5" s="4">
        <v>2</v>
      </c>
      <c r="AD5" s="4">
        <v>31</v>
      </c>
      <c r="AE5" s="4">
        <v>39</v>
      </c>
      <c r="AF5" s="4">
        <v>0</v>
      </c>
      <c r="AG5" s="4">
        <v>0</v>
      </c>
      <c r="AH5" s="4">
        <v>29</v>
      </c>
      <c r="AI5" s="4">
        <v>37</v>
      </c>
      <c r="AJ5" s="4">
        <v>2</v>
      </c>
      <c r="AK5" s="4">
        <v>2</v>
      </c>
      <c r="AL5" s="4">
        <v>20</v>
      </c>
      <c r="AM5" s="4">
        <v>26</v>
      </c>
      <c r="AN5" s="4">
        <v>0</v>
      </c>
      <c r="AO5" s="4">
        <v>0</v>
      </c>
      <c r="AP5" s="4">
        <v>3</v>
      </c>
      <c r="AQ5" s="4">
        <v>3</v>
      </c>
      <c r="AR5" s="3" t="s">
        <v>63</v>
      </c>
      <c r="AS5" s="3" t="s">
        <v>63</v>
      </c>
      <c r="AT5" s="3" t="s">
        <v>63</v>
      </c>
      <c r="AV5" s="6" t="str">
        <f>HYPERLINK("http://mcgill.on.worldcat.org/oclc/82962591","Catalog Record")</f>
        <v>Catalog Record</v>
      </c>
      <c r="AW5" s="6" t="str">
        <f>HYPERLINK("http://www.worldcat.org/oclc/82962591","WorldCat Record")</f>
        <v>WorldCat Record</v>
      </c>
      <c r="AX5" s="3" t="s">
        <v>40316</v>
      </c>
      <c r="AY5" s="3" t="s">
        <v>40317</v>
      </c>
      <c r="AZ5" s="3" t="s">
        <v>40318</v>
      </c>
      <c r="BA5" s="3" t="s">
        <v>40318</v>
      </c>
      <c r="BB5" s="3" t="s">
        <v>40319</v>
      </c>
      <c r="BC5" s="3" t="s">
        <v>40289</v>
      </c>
      <c r="BD5" s="3" t="s">
        <v>70</v>
      </c>
      <c r="BF5" s="3" t="s">
        <v>40319</v>
      </c>
      <c r="BG5" s="3" t="s">
        <v>40320</v>
      </c>
    </row>
    <row r="6" spans="1:59" ht="90" x14ac:dyDescent="0.25">
      <c r="A6" s="2" t="s">
        <v>59</v>
      </c>
      <c r="B6" s="2" t="s">
        <v>40280</v>
      </c>
      <c r="C6" s="2" t="s">
        <v>40312</v>
      </c>
      <c r="D6" s="2" t="s">
        <v>40313</v>
      </c>
      <c r="E6" s="2" t="s">
        <v>40314</v>
      </c>
      <c r="G6" s="3" t="s">
        <v>62</v>
      </c>
      <c r="I6" s="3" t="s">
        <v>62</v>
      </c>
      <c r="J6" s="3" t="s">
        <v>63</v>
      </c>
      <c r="K6" s="3" t="s">
        <v>64</v>
      </c>
      <c r="M6" s="2" t="s">
        <v>40315</v>
      </c>
      <c r="N6" s="3" t="s">
        <v>234</v>
      </c>
      <c r="P6" s="3" t="s">
        <v>90</v>
      </c>
      <c r="R6" s="3" t="s">
        <v>67</v>
      </c>
      <c r="S6" s="4">
        <v>9</v>
      </c>
      <c r="T6" s="4">
        <v>17</v>
      </c>
      <c r="U6" s="5" t="s">
        <v>40321</v>
      </c>
      <c r="V6" s="5" t="s">
        <v>10814</v>
      </c>
      <c r="W6" s="5" t="s">
        <v>69</v>
      </c>
      <c r="X6" s="5" t="s">
        <v>69</v>
      </c>
      <c r="Y6" s="4">
        <v>109</v>
      </c>
      <c r="Z6" s="4">
        <v>8</v>
      </c>
      <c r="AA6" s="4">
        <v>9</v>
      </c>
      <c r="AB6" s="4">
        <v>2</v>
      </c>
      <c r="AC6" s="4">
        <v>2</v>
      </c>
      <c r="AD6" s="4">
        <v>31</v>
      </c>
      <c r="AE6" s="4">
        <v>39</v>
      </c>
      <c r="AF6" s="4">
        <v>0</v>
      </c>
      <c r="AG6" s="4">
        <v>0</v>
      </c>
      <c r="AH6" s="4">
        <v>29</v>
      </c>
      <c r="AI6" s="4">
        <v>37</v>
      </c>
      <c r="AJ6" s="4">
        <v>2</v>
      </c>
      <c r="AK6" s="4">
        <v>2</v>
      </c>
      <c r="AL6" s="4">
        <v>20</v>
      </c>
      <c r="AM6" s="4">
        <v>26</v>
      </c>
      <c r="AN6" s="4">
        <v>0</v>
      </c>
      <c r="AO6" s="4">
        <v>0</v>
      </c>
      <c r="AP6" s="4">
        <v>3</v>
      </c>
      <c r="AQ6" s="4">
        <v>3</v>
      </c>
      <c r="AR6" s="3" t="s">
        <v>63</v>
      </c>
      <c r="AS6" s="3" t="s">
        <v>63</v>
      </c>
      <c r="AT6" s="3" t="s">
        <v>63</v>
      </c>
      <c r="AV6" s="6" t="str">
        <f>HYPERLINK("http://mcgill.on.worldcat.org/oclc/82962591","Catalog Record")</f>
        <v>Catalog Record</v>
      </c>
      <c r="AW6" s="6" t="str">
        <f>HYPERLINK("http://www.worldcat.org/oclc/82962591","WorldCat Record")</f>
        <v>WorldCat Record</v>
      </c>
      <c r="AX6" s="3" t="s">
        <v>40316</v>
      </c>
      <c r="AY6" s="3" t="s">
        <v>40317</v>
      </c>
      <c r="AZ6" s="3" t="s">
        <v>40318</v>
      </c>
      <c r="BA6" s="3" t="s">
        <v>40318</v>
      </c>
      <c r="BB6" s="3" t="s">
        <v>40322</v>
      </c>
      <c r="BC6" s="3" t="s">
        <v>40289</v>
      </c>
      <c r="BD6" s="3" t="s">
        <v>70</v>
      </c>
      <c r="BF6" s="3" t="s">
        <v>40322</v>
      </c>
      <c r="BG6" s="3" t="s">
        <v>40323</v>
      </c>
    </row>
    <row r="7" spans="1:59" ht="90" x14ac:dyDescent="0.25">
      <c r="A7" s="2" t="s">
        <v>59</v>
      </c>
      <c r="B7" s="2" t="s">
        <v>40280</v>
      </c>
      <c r="C7" s="2" t="s">
        <v>40324</v>
      </c>
      <c r="D7" s="2" t="s">
        <v>40325</v>
      </c>
      <c r="E7" s="2" t="s">
        <v>40326</v>
      </c>
      <c r="G7" s="3" t="s">
        <v>63</v>
      </c>
      <c r="I7" s="3" t="s">
        <v>63</v>
      </c>
      <c r="J7" s="3" t="s">
        <v>63</v>
      </c>
      <c r="K7" s="3" t="s">
        <v>64</v>
      </c>
      <c r="M7" s="2" t="s">
        <v>40327</v>
      </c>
      <c r="N7" s="3" t="s">
        <v>261</v>
      </c>
      <c r="P7" s="3" t="s">
        <v>90</v>
      </c>
      <c r="R7" s="3" t="s">
        <v>67</v>
      </c>
      <c r="S7" s="4">
        <v>29</v>
      </c>
      <c r="T7" s="4">
        <v>29</v>
      </c>
      <c r="U7" s="5" t="s">
        <v>19145</v>
      </c>
      <c r="V7" s="5" t="s">
        <v>19145</v>
      </c>
      <c r="W7" s="5" t="s">
        <v>69</v>
      </c>
      <c r="X7" s="5" t="s">
        <v>69</v>
      </c>
      <c r="Y7" s="4">
        <v>1</v>
      </c>
      <c r="Z7" s="4">
        <v>1</v>
      </c>
      <c r="AA7" s="4">
        <v>1</v>
      </c>
      <c r="AB7" s="4">
        <v>1</v>
      </c>
      <c r="AC7" s="4">
        <v>1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3" t="s">
        <v>63</v>
      </c>
      <c r="AS7" s="3" t="s">
        <v>63</v>
      </c>
      <c r="AT7" s="3" t="s">
        <v>63</v>
      </c>
      <c r="AV7" s="6" t="str">
        <f>HYPERLINK("http://mcgill.on.worldcat.org/oclc/427799253","Catalog Record")</f>
        <v>Catalog Record</v>
      </c>
      <c r="AW7" s="6" t="str">
        <f>HYPERLINK("http://www.worldcat.org/oclc/427799253","WorldCat Record")</f>
        <v>WorldCat Record</v>
      </c>
      <c r="AX7" s="3" t="s">
        <v>40328</v>
      </c>
      <c r="AY7" s="3" t="s">
        <v>40329</v>
      </c>
      <c r="AZ7" s="3" t="s">
        <v>40330</v>
      </c>
      <c r="BA7" s="3" t="s">
        <v>40330</v>
      </c>
      <c r="BB7" s="3" t="s">
        <v>40331</v>
      </c>
      <c r="BC7" s="3" t="s">
        <v>40289</v>
      </c>
      <c r="BD7" s="3" t="s">
        <v>70</v>
      </c>
      <c r="BE7" s="3" t="s">
        <v>40332</v>
      </c>
      <c r="BF7" s="3" t="s">
        <v>40331</v>
      </c>
      <c r="BG7" s="3" t="s">
        <v>40333</v>
      </c>
    </row>
    <row r="8" spans="1:59" ht="90" x14ac:dyDescent="0.25">
      <c r="A8" s="2" t="s">
        <v>59</v>
      </c>
      <c r="B8" s="2" t="s">
        <v>40280</v>
      </c>
      <c r="C8" s="2" t="s">
        <v>40334</v>
      </c>
      <c r="D8" s="2" t="s">
        <v>40335</v>
      </c>
      <c r="E8" s="2" t="s">
        <v>40336</v>
      </c>
      <c r="G8" s="3" t="s">
        <v>63</v>
      </c>
      <c r="I8" s="3" t="s">
        <v>63</v>
      </c>
      <c r="J8" s="3" t="s">
        <v>63</v>
      </c>
      <c r="K8" s="3" t="s">
        <v>64</v>
      </c>
      <c r="M8" s="2" t="s">
        <v>40337</v>
      </c>
      <c r="N8" s="3" t="s">
        <v>693</v>
      </c>
      <c r="P8" s="3" t="s">
        <v>548</v>
      </c>
      <c r="Q8" s="2" t="s">
        <v>40338</v>
      </c>
      <c r="R8" s="3" t="s">
        <v>67</v>
      </c>
      <c r="S8" s="4">
        <v>16</v>
      </c>
      <c r="T8" s="4">
        <v>16</v>
      </c>
      <c r="U8" s="5" t="s">
        <v>19145</v>
      </c>
      <c r="V8" s="5" t="s">
        <v>19145</v>
      </c>
      <c r="W8" s="5" t="s">
        <v>69</v>
      </c>
      <c r="X8" s="5" t="s">
        <v>69</v>
      </c>
      <c r="Y8" s="4">
        <v>3</v>
      </c>
      <c r="Z8" s="4">
        <v>1</v>
      </c>
      <c r="AA8" s="4">
        <v>1</v>
      </c>
      <c r="AB8" s="4">
        <v>1</v>
      </c>
      <c r="AC8" s="4">
        <v>1</v>
      </c>
      <c r="AD8" s="4">
        <v>1</v>
      </c>
      <c r="AE8" s="4">
        <v>1</v>
      </c>
      <c r="AF8" s="4">
        <v>0</v>
      </c>
      <c r="AG8" s="4">
        <v>0</v>
      </c>
      <c r="AH8" s="4">
        <v>1</v>
      </c>
      <c r="AI8" s="4">
        <v>1</v>
      </c>
      <c r="AJ8" s="4">
        <v>0</v>
      </c>
      <c r="AK8" s="4">
        <v>0</v>
      </c>
      <c r="AL8" s="4">
        <v>1</v>
      </c>
      <c r="AM8" s="4">
        <v>1</v>
      </c>
      <c r="AN8" s="4">
        <v>0</v>
      </c>
      <c r="AO8" s="4">
        <v>0</v>
      </c>
      <c r="AP8" s="4">
        <v>0</v>
      </c>
      <c r="AQ8" s="4">
        <v>0</v>
      </c>
      <c r="AR8" s="3" t="s">
        <v>63</v>
      </c>
      <c r="AS8" s="3" t="s">
        <v>63</v>
      </c>
      <c r="AT8" s="3" t="s">
        <v>63</v>
      </c>
      <c r="AV8" s="6" t="str">
        <f>HYPERLINK("http://mcgill.on.worldcat.org/oclc/56316628","Catalog Record")</f>
        <v>Catalog Record</v>
      </c>
      <c r="AW8" s="6" t="str">
        <f>HYPERLINK("http://www.worldcat.org/oclc/56316628","WorldCat Record")</f>
        <v>WorldCat Record</v>
      </c>
      <c r="AX8" s="3" t="s">
        <v>40339</v>
      </c>
      <c r="AY8" s="3" t="s">
        <v>40340</v>
      </c>
      <c r="AZ8" s="3" t="s">
        <v>40341</v>
      </c>
      <c r="BA8" s="3" t="s">
        <v>40341</v>
      </c>
      <c r="BB8" s="3" t="s">
        <v>40342</v>
      </c>
      <c r="BC8" s="3" t="s">
        <v>40289</v>
      </c>
      <c r="BD8" s="3" t="s">
        <v>70</v>
      </c>
      <c r="BF8" s="3" t="s">
        <v>40342</v>
      </c>
      <c r="BG8" s="3" t="s">
        <v>40343</v>
      </c>
    </row>
    <row r="9" spans="1:59" ht="90" x14ac:dyDescent="0.25">
      <c r="A9" s="2" t="s">
        <v>59</v>
      </c>
      <c r="B9" s="2" t="s">
        <v>40280</v>
      </c>
      <c r="C9" s="2" t="s">
        <v>40344</v>
      </c>
      <c r="D9" s="2" t="s">
        <v>40345</v>
      </c>
      <c r="E9" s="2" t="s">
        <v>40346</v>
      </c>
      <c r="G9" s="3" t="s">
        <v>63</v>
      </c>
      <c r="I9" s="3" t="s">
        <v>63</v>
      </c>
      <c r="J9" s="3" t="s">
        <v>63</v>
      </c>
      <c r="K9" s="3" t="s">
        <v>64</v>
      </c>
      <c r="M9" s="2" t="s">
        <v>40347</v>
      </c>
      <c r="N9" s="3" t="s">
        <v>234</v>
      </c>
      <c r="P9" s="3" t="s">
        <v>66</v>
      </c>
      <c r="Q9" s="2" t="s">
        <v>40348</v>
      </c>
      <c r="R9" s="3" t="s">
        <v>67</v>
      </c>
      <c r="S9" s="4">
        <v>8</v>
      </c>
      <c r="T9" s="4">
        <v>8</v>
      </c>
      <c r="U9" s="5" t="s">
        <v>2875</v>
      </c>
      <c r="V9" s="5" t="s">
        <v>2875</v>
      </c>
      <c r="W9" s="5" t="s">
        <v>69</v>
      </c>
      <c r="X9" s="5" t="s">
        <v>69</v>
      </c>
      <c r="Y9" s="4">
        <v>64</v>
      </c>
      <c r="Z9" s="4">
        <v>3</v>
      </c>
      <c r="AA9" s="4">
        <v>7</v>
      </c>
      <c r="AB9" s="4">
        <v>1</v>
      </c>
      <c r="AC9" s="4">
        <v>2</v>
      </c>
      <c r="AD9" s="4">
        <v>8</v>
      </c>
      <c r="AE9" s="4">
        <v>23</v>
      </c>
      <c r="AF9" s="4">
        <v>0</v>
      </c>
      <c r="AG9" s="4">
        <v>0</v>
      </c>
      <c r="AH9" s="4">
        <v>5</v>
      </c>
      <c r="AI9" s="4">
        <v>20</v>
      </c>
      <c r="AJ9" s="4">
        <v>0</v>
      </c>
      <c r="AK9" s="4">
        <v>1</v>
      </c>
      <c r="AL9" s="4">
        <v>4</v>
      </c>
      <c r="AM9" s="4">
        <v>13</v>
      </c>
      <c r="AN9" s="4">
        <v>0</v>
      </c>
      <c r="AO9" s="4">
        <v>0</v>
      </c>
      <c r="AP9" s="4">
        <v>1</v>
      </c>
      <c r="AQ9" s="4">
        <v>2</v>
      </c>
      <c r="AR9" s="3" t="s">
        <v>63</v>
      </c>
      <c r="AS9" s="3" t="s">
        <v>63</v>
      </c>
      <c r="AT9" s="3" t="s">
        <v>63</v>
      </c>
      <c r="AV9" s="6" t="str">
        <f>HYPERLINK("http://mcgill.on.worldcat.org/oclc/156979915","Catalog Record")</f>
        <v>Catalog Record</v>
      </c>
      <c r="AW9" s="6" t="str">
        <f>HYPERLINK("http://www.worldcat.org/oclc/156979915","WorldCat Record")</f>
        <v>WorldCat Record</v>
      </c>
      <c r="AX9" s="3" t="s">
        <v>40349</v>
      </c>
      <c r="AY9" s="3" t="s">
        <v>40350</v>
      </c>
      <c r="AZ9" s="3" t="s">
        <v>40351</v>
      </c>
      <c r="BA9" s="3" t="s">
        <v>40351</v>
      </c>
      <c r="BB9" s="3" t="s">
        <v>40352</v>
      </c>
      <c r="BC9" s="3" t="s">
        <v>40289</v>
      </c>
      <c r="BD9" s="3" t="s">
        <v>70</v>
      </c>
      <c r="BE9" s="3" t="s">
        <v>40353</v>
      </c>
      <c r="BF9" s="3" t="s">
        <v>40352</v>
      </c>
      <c r="BG9" s="3" t="s">
        <v>40354</v>
      </c>
    </row>
    <row r="10" spans="1:59" ht="90" x14ac:dyDescent="0.25">
      <c r="A10" s="2" t="s">
        <v>59</v>
      </c>
      <c r="B10" s="2" t="s">
        <v>40280</v>
      </c>
      <c r="C10" s="2" t="s">
        <v>40355</v>
      </c>
      <c r="D10" s="2" t="s">
        <v>40356</v>
      </c>
      <c r="E10" s="2" t="s">
        <v>40357</v>
      </c>
      <c r="G10" s="3" t="s">
        <v>63</v>
      </c>
      <c r="I10" s="3" t="s">
        <v>62</v>
      </c>
      <c r="J10" s="3" t="s">
        <v>63</v>
      </c>
      <c r="K10" s="3" t="s">
        <v>64</v>
      </c>
      <c r="M10" s="2" t="s">
        <v>40358</v>
      </c>
      <c r="N10" s="3" t="s">
        <v>326</v>
      </c>
      <c r="P10" s="3" t="s">
        <v>66</v>
      </c>
      <c r="R10" s="3" t="s">
        <v>67</v>
      </c>
      <c r="S10" s="4">
        <v>30</v>
      </c>
      <c r="T10" s="4">
        <v>40</v>
      </c>
      <c r="U10" s="5" t="s">
        <v>10097</v>
      </c>
      <c r="V10" s="5" t="s">
        <v>12298</v>
      </c>
      <c r="W10" s="5" t="s">
        <v>69</v>
      </c>
      <c r="X10" s="5" t="s">
        <v>69</v>
      </c>
      <c r="Y10" s="4">
        <v>114</v>
      </c>
      <c r="Z10" s="4">
        <v>6</v>
      </c>
      <c r="AA10" s="4">
        <v>18</v>
      </c>
      <c r="AB10" s="4">
        <v>4</v>
      </c>
      <c r="AC10" s="4">
        <v>4</v>
      </c>
      <c r="AD10" s="4">
        <v>42</v>
      </c>
      <c r="AE10" s="4">
        <v>53</v>
      </c>
      <c r="AF10" s="4">
        <v>1</v>
      </c>
      <c r="AG10" s="4">
        <v>1</v>
      </c>
      <c r="AH10" s="4">
        <v>39</v>
      </c>
      <c r="AI10" s="4">
        <v>47</v>
      </c>
      <c r="AJ10" s="4">
        <v>3</v>
      </c>
      <c r="AK10" s="4">
        <v>8</v>
      </c>
      <c r="AL10" s="4">
        <v>28</v>
      </c>
      <c r="AM10" s="4">
        <v>32</v>
      </c>
      <c r="AN10" s="4">
        <v>0</v>
      </c>
      <c r="AO10" s="4">
        <v>0</v>
      </c>
      <c r="AP10" s="4">
        <v>3</v>
      </c>
      <c r="AQ10" s="4">
        <v>9</v>
      </c>
      <c r="AR10" s="3" t="s">
        <v>63</v>
      </c>
      <c r="AS10" s="3" t="s">
        <v>63</v>
      </c>
      <c r="AT10" s="3" t="s">
        <v>63</v>
      </c>
      <c r="AV10" s="6" t="str">
        <f>HYPERLINK("http://mcgill.on.worldcat.org/oclc/476332094","Catalog Record")</f>
        <v>Catalog Record</v>
      </c>
      <c r="AW10" s="6" t="str">
        <f>HYPERLINK("http://www.worldcat.org/oclc/476332094","WorldCat Record")</f>
        <v>WorldCat Record</v>
      </c>
      <c r="AX10" s="3" t="s">
        <v>40359</v>
      </c>
      <c r="AY10" s="3" t="s">
        <v>40360</v>
      </c>
      <c r="AZ10" s="3" t="s">
        <v>40361</v>
      </c>
      <c r="BA10" s="3" t="s">
        <v>40361</v>
      </c>
      <c r="BB10" s="3" t="s">
        <v>40362</v>
      </c>
      <c r="BC10" s="3" t="s">
        <v>40289</v>
      </c>
      <c r="BD10" s="3" t="s">
        <v>70</v>
      </c>
      <c r="BF10" s="3" t="s">
        <v>40362</v>
      </c>
      <c r="BG10" s="3" t="s">
        <v>40363</v>
      </c>
    </row>
    <row r="11" spans="1:59" ht="90" x14ac:dyDescent="0.25">
      <c r="A11" s="2" t="s">
        <v>59</v>
      </c>
      <c r="B11" s="2" t="s">
        <v>40280</v>
      </c>
      <c r="C11" s="2" t="s">
        <v>40355</v>
      </c>
      <c r="D11" s="2" t="s">
        <v>40356</v>
      </c>
      <c r="E11" s="2" t="s">
        <v>40357</v>
      </c>
      <c r="G11" s="3" t="s">
        <v>63</v>
      </c>
      <c r="I11" s="3" t="s">
        <v>62</v>
      </c>
      <c r="J11" s="3" t="s">
        <v>63</v>
      </c>
      <c r="K11" s="3" t="s">
        <v>64</v>
      </c>
      <c r="M11" s="2" t="s">
        <v>40358</v>
      </c>
      <c r="N11" s="3" t="s">
        <v>326</v>
      </c>
      <c r="P11" s="3" t="s">
        <v>66</v>
      </c>
      <c r="R11" s="3" t="s">
        <v>67</v>
      </c>
      <c r="S11" s="4">
        <v>10</v>
      </c>
      <c r="T11" s="4">
        <v>40</v>
      </c>
      <c r="U11" s="5" t="s">
        <v>12298</v>
      </c>
      <c r="V11" s="5" t="s">
        <v>12298</v>
      </c>
      <c r="W11" s="5" t="s">
        <v>69</v>
      </c>
      <c r="X11" s="5" t="s">
        <v>69</v>
      </c>
      <c r="Y11" s="4">
        <v>114</v>
      </c>
      <c r="Z11" s="4">
        <v>6</v>
      </c>
      <c r="AA11" s="4">
        <v>18</v>
      </c>
      <c r="AB11" s="4">
        <v>4</v>
      </c>
      <c r="AC11" s="4">
        <v>4</v>
      </c>
      <c r="AD11" s="4">
        <v>42</v>
      </c>
      <c r="AE11" s="4">
        <v>53</v>
      </c>
      <c r="AF11" s="4">
        <v>1</v>
      </c>
      <c r="AG11" s="4">
        <v>1</v>
      </c>
      <c r="AH11" s="4">
        <v>39</v>
      </c>
      <c r="AI11" s="4">
        <v>47</v>
      </c>
      <c r="AJ11" s="4">
        <v>3</v>
      </c>
      <c r="AK11" s="4">
        <v>8</v>
      </c>
      <c r="AL11" s="4">
        <v>28</v>
      </c>
      <c r="AM11" s="4">
        <v>32</v>
      </c>
      <c r="AN11" s="4">
        <v>0</v>
      </c>
      <c r="AO11" s="4">
        <v>0</v>
      </c>
      <c r="AP11" s="4">
        <v>3</v>
      </c>
      <c r="AQ11" s="4">
        <v>9</v>
      </c>
      <c r="AR11" s="3" t="s">
        <v>63</v>
      </c>
      <c r="AS11" s="3" t="s">
        <v>63</v>
      </c>
      <c r="AT11" s="3" t="s">
        <v>63</v>
      </c>
      <c r="AV11" s="6" t="str">
        <f>HYPERLINK("http://mcgill.on.worldcat.org/oclc/476332094","Catalog Record")</f>
        <v>Catalog Record</v>
      </c>
      <c r="AW11" s="6" t="str">
        <f>HYPERLINK("http://www.worldcat.org/oclc/476332094","WorldCat Record")</f>
        <v>WorldCat Record</v>
      </c>
      <c r="AX11" s="3" t="s">
        <v>40359</v>
      </c>
      <c r="AY11" s="3" t="s">
        <v>40360</v>
      </c>
      <c r="AZ11" s="3" t="s">
        <v>40361</v>
      </c>
      <c r="BA11" s="3" t="s">
        <v>40361</v>
      </c>
      <c r="BB11" s="3" t="s">
        <v>40364</v>
      </c>
      <c r="BC11" s="3" t="s">
        <v>40289</v>
      </c>
      <c r="BD11" s="3" t="s">
        <v>70</v>
      </c>
      <c r="BF11" s="3" t="s">
        <v>40364</v>
      </c>
      <c r="BG11" s="3" t="s">
        <v>40365</v>
      </c>
    </row>
    <row r="12" spans="1:59" ht="90" x14ac:dyDescent="0.25">
      <c r="A12" s="2" t="s">
        <v>59</v>
      </c>
      <c r="B12" s="2" t="s">
        <v>40280</v>
      </c>
      <c r="C12" s="2" t="s">
        <v>40366</v>
      </c>
      <c r="D12" s="2" t="s">
        <v>40367</v>
      </c>
      <c r="E12" s="2" t="s">
        <v>40368</v>
      </c>
      <c r="G12" s="3" t="s">
        <v>63</v>
      </c>
      <c r="I12" s="3" t="s">
        <v>63</v>
      </c>
      <c r="J12" s="3" t="s">
        <v>63</v>
      </c>
      <c r="K12" s="3" t="s">
        <v>64</v>
      </c>
      <c r="M12" s="2" t="s">
        <v>40347</v>
      </c>
      <c r="N12" s="3" t="s">
        <v>234</v>
      </c>
      <c r="P12" s="3" t="s">
        <v>66</v>
      </c>
      <c r="Q12" s="2" t="s">
        <v>40348</v>
      </c>
      <c r="R12" s="3" t="s">
        <v>67</v>
      </c>
      <c r="S12" s="4">
        <v>5</v>
      </c>
      <c r="T12" s="4">
        <v>5</v>
      </c>
      <c r="U12" s="5" t="s">
        <v>40369</v>
      </c>
      <c r="V12" s="5" t="s">
        <v>40369</v>
      </c>
      <c r="W12" s="5" t="s">
        <v>69</v>
      </c>
      <c r="X12" s="5" t="s">
        <v>69</v>
      </c>
      <c r="Y12" s="4">
        <v>48</v>
      </c>
      <c r="Z12" s="4">
        <v>2</v>
      </c>
      <c r="AA12" s="4">
        <v>29</v>
      </c>
      <c r="AB12" s="4">
        <v>1</v>
      </c>
      <c r="AC12" s="4">
        <v>2</v>
      </c>
      <c r="AD12" s="4">
        <v>5</v>
      </c>
      <c r="AE12" s="4">
        <v>42</v>
      </c>
      <c r="AF12" s="4">
        <v>0</v>
      </c>
      <c r="AG12" s="4">
        <v>0</v>
      </c>
      <c r="AH12" s="4">
        <v>3</v>
      </c>
      <c r="AI12" s="4">
        <v>35</v>
      </c>
      <c r="AJ12" s="4">
        <v>0</v>
      </c>
      <c r="AK12" s="4">
        <v>5</v>
      </c>
      <c r="AL12" s="4">
        <v>2</v>
      </c>
      <c r="AM12" s="4">
        <v>20</v>
      </c>
      <c r="AN12" s="4">
        <v>0</v>
      </c>
      <c r="AO12" s="4">
        <v>0</v>
      </c>
      <c r="AP12" s="4">
        <v>0</v>
      </c>
      <c r="AQ12" s="4">
        <v>9</v>
      </c>
      <c r="AR12" s="3" t="s">
        <v>63</v>
      </c>
      <c r="AS12" s="3" t="s">
        <v>63</v>
      </c>
      <c r="AT12" s="3" t="s">
        <v>63</v>
      </c>
      <c r="AV12" s="6" t="str">
        <f>HYPERLINK("http://mcgill.on.worldcat.org/oclc/150449314","Catalog Record")</f>
        <v>Catalog Record</v>
      </c>
      <c r="AW12" s="6" t="str">
        <f>HYPERLINK("http://www.worldcat.org/oclc/150449314","WorldCat Record")</f>
        <v>WorldCat Record</v>
      </c>
      <c r="AX12" s="3" t="s">
        <v>40370</v>
      </c>
      <c r="AY12" s="3" t="s">
        <v>40371</v>
      </c>
      <c r="AZ12" s="3" t="s">
        <v>40372</v>
      </c>
      <c r="BA12" s="3" t="s">
        <v>40372</v>
      </c>
      <c r="BB12" s="3" t="s">
        <v>40373</v>
      </c>
      <c r="BC12" s="3" t="s">
        <v>40289</v>
      </c>
      <c r="BD12" s="3" t="s">
        <v>70</v>
      </c>
      <c r="BE12" s="3" t="s">
        <v>40374</v>
      </c>
      <c r="BF12" s="3" t="s">
        <v>40373</v>
      </c>
      <c r="BG12" s="3" t="s">
        <v>40375</v>
      </c>
    </row>
    <row r="13" spans="1:59" ht="90" x14ac:dyDescent="0.25">
      <c r="A13" s="2" t="s">
        <v>59</v>
      </c>
      <c r="B13" s="2" t="s">
        <v>40280</v>
      </c>
      <c r="C13" s="2" t="s">
        <v>40376</v>
      </c>
      <c r="D13" s="2" t="s">
        <v>40377</v>
      </c>
      <c r="E13" s="2" t="s">
        <v>40378</v>
      </c>
      <c r="G13" s="3" t="s">
        <v>63</v>
      </c>
      <c r="I13" s="3" t="s">
        <v>63</v>
      </c>
      <c r="J13" s="3" t="s">
        <v>63</v>
      </c>
      <c r="K13" s="3" t="s">
        <v>64</v>
      </c>
      <c r="M13" s="2" t="s">
        <v>40379</v>
      </c>
      <c r="N13" s="3" t="s">
        <v>234</v>
      </c>
      <c r="P13" s="3" t="s">
        <v>66</v>
      </c>
      <c r="Q13" s="2" t="s">
        <v>40348</v>
      </c>
      <c r="R13" s="3" t="s">
        <v>67</v>
      </c>
      <c r="S13" s="4">
        <v>8</v>
      </c>
      <c r="T13" s="4">
        <v>8</v>
      </c>
      <c r="U13" s="5" t="s">
        <v>40380</v>
      </c>
      <c r="V13" s="5" t="s">
        <v>40380</v>
      </c>
      <c r="W13" s="5" t="s">
        <v>69</v>
      </c>
      <c r="X13" s="5" t="s">
        <v>69</v>
      </c>
      <c r="Y13" s="4">
        <v>2</v>
      </c>
      <c r="Z13" s="4">
        <v>1</v>
      </c>
      <c r="AA13" s="4">
        <v>15</v>
      </c>
      <c r="AB13" s="4">
        <v>1</v>
      </c>
      <c r="AC13" s="4">
        <v>1</v>
      </c>
      <c r="AD13" s="4">
        <v>1</v>
      </c>
      <c r="AE13" s="4">
        <v>41</v>
      </c>
      <c r="AF13" s="4">
        <v>0</v>
      </c>
      <c r="AG13" s="4">
        <v>0</v>
      </c>
      <c r="AH13" s="4">
        <v>1</v>
      </c>
      <c r="AI13" s="4">
        <v>36</v>
      </c>
      <c r="AJ13" s="4">
        <v>0</v>
      </c>
      <c r="AK13" s="4">
        <v>4</v>
      </c>
      <c r="AL13" s="4">
        <v>1</v>
      </c>
      <c r="AM13" s="4">
        <v>22</v>
      </c>
      <c r="AN13" s="4">
        <v>0</v>
      </c>
      <c r="AO13" s="4">
        <v>0</v>
      </c>
      <c r="AP13" s="4">
        <v>0</v>
      </c>
      <c r="AQ13" s="4">
        <v>5</v>
      </c>
      <c r="AR13" s="3" t="s">
        <v>63</v>
      </c>
      <c r="AS13" s="3" t="s">
        <v>63</v>
      </c>
      <c r="AT13" s="3" t="s">
        <v>63</v>
      </c>
      <c r="AV13" s="6" t="str">
        <f>HYPERLINK("http://mcgill.on.worldcat.org/oclc/704439659","Catalog Record")</f>
        <v>Catalog Record</v>
      </c>
      <c r="AW13" s="6" t="str">
        <f>HYPERLINK("http://www.worldcat.org/oclc/704439659","WorldCat Record")</f>
        <v>WorldCat Record</v>
      </c>
      <c r="AX13" s="3" t="s">
        <v>40381</v>
      </c>
      <c r="AY13" s="3" t="s">
        <v>40382</v>
      </c>
      <c r="AZ13" s="3" t="s">
        <v>40383</v>
      </c>
      <c r="BA13" s="3" t="s">
        <v>40383</v>
      </c>
      <c r="BB13" s="3" t="s">
        <v>40384</v>
      </c>
      <c r="BC13" s="3" t="s">
        <v>40289</v>
      </c>
      <c r="BD13" s="3" t="s">
        <v>70</v>
      </c>
      <c r="BE13" s="3" t="s">
        <v>40385</v>
      </c>
      <c r="BF13" s="3" t="s">
        <v>40384</v>
      </c>
      <c r="BG13" s="3" t="s">
        <v>40386</v>
      </c>
    </row>
    <row r="14" spans="1:59" ht="90" x14ac:dyDescent="0.25">
      <c r="A14" s="2" t="s">
        <v>59</v>
      </c>
      <c r="B14" s="2" t="s">
        <v>40280</v>
      </c>
      <c r="C14" s="2" t="s">
        <v>40387</v>
      </c>
      <c r="D14" s="2" t="s">
        <v>40388</v>
      </c>
      <c r="E14" s="2" t="s">
        <v>40389</v>
      </c>
      <c r="G14" s="3" t="s">
        <v>63</v>
      </c>
      <c r="I14" s="3" t="s">
        <v>63</v>
      </c>
      <c r="J14" s="3" t="s">
        <v>63</v>
      </c>
      <c r="K14" s="3" t="s">
        <v>64</v>
      </c>
      <c r="M14" s="2" t="s">
        <v>40390</v>
      </c>
      <c r="N14" s="3" t="s">
        <v>261</v>
      </c>
      <c r="P14" s="3" t="s">
        <v>66</v>
      </c>
      <c r="Q14" s="2" t="s">
        <v>40348</v>
      </c>
      <c r="R14" s="3" t="s">
        <v>67</v>
      </c>
      <c r="S14" s="4">
        <v>6</v>
      </c>
      <c r="T14" s="4">
        <v>6</v>
      </c>
      <c r="U14" s="5" t="s">
        <v>22703</v>
      </c>
      <c r="V14" s="5" t="s">
        <v>22703</v>
      </c>
      <c r="W14" s="5" t="s">
        <v>69</v>
      </c>
      <c r="X14" s="5" t="s">
        <v>69</v>
      </c>
      <c r="Y14" s="4">
        <v>64</v>
      </c>
      <c r="Z14" s="4">
        <v>2</v>
      </c>
      <c r="AA14" s="4">
        <v>36</v>
      </c>
      <c r="AB14" s="4">
        <v>1</v>
      </c>
      <c r="AC14" s="4">
        <v>1</v>
      </c>
      <c r="AD14" s="4">
        <v>7</v>
      </c>
      <c r="AE14" s="4">
        <v>53</v>
      </c>
      <c r="AF14" s="4">
        <v>0</v>
      </c>
      <c r="AG14" s="4">
        <v>0</v>
      </c>
      <c r="AH14" s="4">
        <v>5</v>
      </c>
      <c r="AI14" s="4">
        <v>40</v>
      </c>
      <c r="AJ14" s="4">
        <v>0</v>
      </c>
      <c r="AK14" s="4">
        <v>7</v>
      </c>
      <c r="AL14" s="4">
        <v>4</v>
      </c>
      <c r="AM14" s="4">
        <v>21</v>
      </c>
      <c r="AN14" s="4">
        <v>0</v>
      </c>
      <c r="AO14" s="4">
        <v>0</v>
      </c>
      <c r="AP14" s="4">
        <v>0</v>
      </c>
      <c r="AQ14" s="4">
        <v>16</v>
      </c>
      <c r="AR14" s="3" t="s">
        <v>63</v>
      </c>
      <c r="AS14" s="3" t="s">
        <v>63</v>
      </c>
      <c r="AT14" s="3" t="s">
        <v>63</v>
      </c>
      <c r="AV14" s="6" t="str">
        <f>HYPERLINK("http://mcgill.on.worldcat.org/oclc/156998171","Catalog Record")</f>
        <v>Catalog Record</v>
      </c>
      <c r="AW14" s="6" t="str">
        <f>HYPERLINK("http://www.worldcat.org/oclc/156998171","WorldCat Record")</f>
        <v>WorldCat Record</v>
      </c>
      <c r="AX14" s="3" t="s">
        <v>40391</v>
      </c>
      <c r="AY14" s="3" t="s">
        <v>40392</v>
      </c>
      <c r="AZ14" s="3" t="s">
        <v>40393</v>
      </c>
      <c r="BA14" s="3" t="s">
        <v>40393</v>
      </c>
      <c r="BB14" s="3" t="s">
        <v>40394</v>
      </c>
      <c r="BC14" s="3" t="s">
        <v>40289</v>
      </c>
      <c r="BD14" s="3" t="s">
        <v>70</v>
      </c>
      <c r="BE14" s="3" t="s">
        <v>40395</v>
      </c>
      <c r="BF14" s="3" t="s">
        <v>40394</v>
      </c>
      <c r="BG14" s="3" t="s">
        <v>40396</v>
      </c>
    </row>
    <row r="15" spans="1:59" ht="90" x14ac:dyDescent="0.25">
      <c r="A15" s="2" t="s">
        <v>59</v>
      </c>
      <c r="B15" s="2" t="s">
        <v>40280</v>
      </c>
      <c r="C15" s="2" t="s">
        <v>40397</v>
      </c>
      <c r="D15" s="2" t="s">
        <v>40398</v>
      </c>
      <c r="E15" s="2" t="s">
        <v>40399</v>
      </c>
      <c r="F15" s="3" t="s">
        <v>40400</v>
      </c>
      <c r="G15" s="3" t="s">
        <v>62</v>
      </c>
      <c r="I15" s="3" t="s">
        <v>63</v>
      </c>
      <c r="J15" s="3" t="s">
        <v>63</v>
      </c>
      <c r="K15" s="3" t="s">
        <v>64</v>
      </c>
      <c r="L15" s="2" t="s">
        <v>40401</v>
      </c>
      <c r="M15" s="2" t="s">
        <v>40402</v>
      </c>
      <c r="N15" s="3" t="s">
        <v>1343</v>
      </c>
      <c r="P15" s="3" t="s">
        <v>90</v>
      </c>
      <c r="Q15" s="2" t="s">
        <v>40403</v>
      </c>
      <c r="R15" s="3" t="s">
        <v>67</v>
      </c>
      <c r="S15" s="4">
        <v>100</v>
      </c>
      <c r="T15" s="4">
        <v>100</v>
      </c>
      <c r="U15" s="5" t="s">
        <v>40404</v>
      </c>
      <c r="V15" s="5" t="s">
        <v>40404</v>
      </c>
      <c r="W15" s="5" t="s">
        <v>69</v>
      </c>
      <c r="X15" s="5" t="s">
        <v>69</v>
      </c>
      <c r="Y15" s="4">
        <v>111</v>
      </c>
      <c r="Z15" s="4">
        <v>3</v>
      </c>
      <c r="AA15" s="4">
        <v>10</v>
      </c>
      <c r="AB15" s="4">
        <v>2</v>
      </c>
      <c r="AC15" s="4">
        <v>2</v>
      </c>
      <c r="AD15" s="4">
        <v>23</v>
      </c>
      <c r="AE15" s="4">
        <v>49</v>
      </c>
      <c r="AF15" s="4">
        <v>0</v>
      </c>
      <c r="AG15" s="4">
        <v>0</v>
      </c>
      <c r="AH15" s="4">
        <v>22</v>
      </c>
      <c r="AI15" s="4">
        <v>46</v>
      </c>
      <c r="AJ15" s="4">
        <v>1</v>
      </c>
      <c r="AK15" s="4">
        <v>4</v>
      </c>
      <c r="AL15" s="4">
        <v>15</v>
      </c>
      <c r="AM15" s="4">
        <v>33</v>
      </c>
      <c r="AN15" s="4">
        <v>0</v>
      </c>
      <c r="AO15" s="4">
        <v>0</v>
      </c>
      <c r="AP15" s="4">
        <v>1</v>
      </c>
      <c r="AQ15" s="4">
        <v>4</v>
      </c>
      <c r="AR15" s="3" t="s">
        <v>63</v>
      </c>
      <c r="AS15" s="3" t="s">
        <v>63</v>
      </c>
      <c r="AT15" s="3" t="s">
        <v>63</v>
      </c>
      <c r="AV15" s="6" t="str">
        <f>HYPERLINK("http://mcgill.on.worldcat.org/oclc/51240243","Catalog Record")</f>
        <v>Catalog Record</v>
      </c>
      <c r="AW15" s="6" t="str">
        <f>HYPERLINK("http://www.worldcat.org/oclc/51240243","WorldCat Record")</f>
        <v>WorldCat Record</v>
      </c>
      <c r="AX15" s="3" t="s">
        <v>40405</v>
      </c>
      <c r="AY15" s="3" t="s">
        <v>40406</v>
      </c>
      <c r="AZ15" s="3" t="s">
        <v>40407</v>
      </c>
      <c r="BA15" s="3" t="s">
        <v>40407</v>
      </c>
      <c r="BB15" s="3" t="s">
        <v>40408</v>
      </c>
      <c r="BC15" s="3" t="s">
        <v>40289</v>
      </c>
      <c r="BD15" s="3" t="s">
        <v>70</v>
      </c>
      <c r="BF15" s="3" t="s">
        <v>40408</v>
      </c>
      <c r="BG15" s="3" t="s">
        <v>40409</v>
      </c>
    </row>
    <row r="16" spans="1:59" ht="90" x14ac:dyDescent="0.25">
      <c r="A16" s="2" t="s">
        <v>59</v>
      </c>
      <c r="B16" s="2" t="s">
        <v>40280</v>
      </c>
      <c r="C16" s="2" t="s">
        <v>40410</v>
      </c>
      <c r="D16" s="2" t="s">
        <v>40411</v>
      </c>
      <c r="E16" s="2" t="s">
        <v>40412</v>
      </c>
      <c r="G16" s="3" t="s">
        <v>62</v>
      </c>
      <c r="I16" s="3" t="s">
        <v>63</v>
      </c>
      <c r="J16" s="3" t="s">
        <v>63</v>
      </c>
      <c r="K16" s="3" t="s">
        <v>64</v>
      </c>
      <c r="M16" s="2" t="s">
        <v>40413</v>
      </c>
      <c r="N16" s="3" t="s">
        <v>1343</v>
      </c>
      <c r="O16" s="2" t="s">
        <v>40414</v>
      </c>
      <c r="P16" s="3" t="s">
        <v>90</v>
      </c>
      <c r="Q16" s="2" t="s">
        <v>40415</v>
      </c>
      <c r="R16" s="3" t="s">
        <v>67</v>
      </c>
      <c r="S16" s="4">
        <v>6</v>
      </c>
      <c r="T16" s="4">
        <v>6</v>
      </c>
      <c r="U16" s="5" t="s">
        <v>1420</v>
      </c>
      <c r="V16" s="5" t="s">
        <v>1420</v>
      </c>
      <c r="W16" s="5" t="s">
        <v>69</v>
      </c>
      <c r="X16" s="5" t="s">
        <v>69</v>
      </c>
      <c r="Y16" s="4">
        <v>17</v>
      </c>
      <c r="Z16" s="4">
        <v>2</v>
      </c>
      <c r="AA16" s="4">
        <v>2</v>
      </c>
      <c r="AB16" s="4">
        <v>1</v>
      </c>
      <c r="AC16" s="4">
        <v>1</v>
      </c>
      <c r="AD16" s="4">
        <v>7</v>
      </c>
      <c r="AE16" s="4">
        <v>7</v>
      </c>
      <c r="AF16" s="4">
        <v>0</v>
      </c>
      <c r="AG16" s="4">
        <v>0</v>
      </c>
      <c r="AH16" s="4">
        <v>7</v>
      </c>
      <c r="AI16" s="4">
        <v>7</v>
      </c>
      <c r="AJ16" s="4">
        <v>0</v>
      </c>
      <c r="AK16" s="4">
        <v>0</v>
      </c>
      <c r="AL16" s="4">
        <v>5</v>
      </c>
      <c r="AM16" s="4">
        <v>5</v>
      </c>
      <c r="AN16" s="4">
        <v>0</v>
      </c>
      <c r="AO16" s="4">
        <v>0</v>
      </c>
      <c r="AP16" s="4">
        <v>0</v>
      </c>
      <c r="AQ16" s="4">
        <v>0</v>
      </c>
      <c r="AR16" s="3" t="s">
        <v>63</v>
      </c>
      <c r="AS16" s="3" t="s">
        <v>63</v>
      </c>
      <c r="AT16" s="3" t="s">
        <v>63</v>
      </c>
      <c r="AV16" s="6" t="str">
        <f>HYPERLINK("http://mcgill.on.worldcat.org/oclc/56393584","Catalog Record")</f>
        <v>Catalog Record</v>
      </c>
      <c r="AW16" s="6" t="str">
        <f>HYPERLINK("http://www.worldcat.org/oclc/56393584","WorldCat Record")</f>
        <v>WorldCat Record</v>
      </c>
      <c r="AX16" s="3" t="s">
        <v>40416</v>
      </c>
      <c r="AY16" s="3" t="s">
        <v>40417</v>
      </c>
      <c r="AZ16" s="3" t="s">
        <v>40418</v>
      </c>
      <c r="BA16" s="3" t="s">
        <v>40418</v>
      </c>
      <c r="BB16" s="3" t="s">
        <v>40419</v>
      </c>
      <c r="BC16" s="3" t="s">
        <v>40289</v>
      </c>
      <c r="BD16" s="3" t="s">
        <v>70</v>
      </c>
      <c r="BF16" s="3" t="s">
        <v>40419</v>
      </c>
      <c r="BG16" s="3" t="s">
        <v>40420</v>
      </c>
    </row>
    <row r="17" spans="1:59" ht="90" x14ac:dyDescent="0.25">
      <c r="A17" s="2" t="s">
        <v>59</v>
      </c>
      <c r="B17" s="2" t="s">
        <v>40280</v>
      </c>
      <c r="C17" s="2" t="s">
        <v>40421</v>
      </c>
      <c r="D17" s="2" t="s">
        <v>40422</v>
      </c>
      <c r="E17" s="2" t="s">
        <v>40423</v>
      </c>
      <c r="G17" s="3" t="s">
        <v>62</v>
      </c>
      <c r="I17" s="3" t="s">
        <v>63</v>
      </c>
      <c r="J17" s="3" t="s">
        <v>63</v>
      </c>
      <c r="K17" s="3" t="s">
        <v>64</v>
      </c>
      <c r="M17" s="2" t="s">
        <v>40424</v>
      </c>
      <c r="N17" s="3" t="s">
        <v>362</v>
      </c>
      <c r="O17" s="2" t="s">
        <v>40425</v>
      </c>
      <c r="P17" s="3" t="s">
        <v>66</v>
      </c>
      <c r="R17" s="3" t="s">
        <v>67</v>
      </c>
      <c r="S17" s="4">
        <v>160</v>
      </c>
      <c r="T17" s="4">
        <v>160</v>
      </c>
      <c r="U17" s="5" t="s">
        <v>40426</v>
      </c>
      <c r="V17" s="5" t="s">
        <v>40426</v>
      </c>
      <c r="W17" s="5" t="s">
        <v>69</v>
      </c>
      <c r="X17" s="5" t="s">
        <v>69</v>
      </c>
      <c r="Y17" s="4">
        <v>1207</v>
      </c>
      <c r="Z17" s="4">
        <v>34</v>
      </c>
      <c r="AA17" s="4">
        <v>93</v>
      </c>
      <c r="AB17" s="4">
        <v>2</v>
      </c>
      <c r="AC17" s="4">
        <v>12</v>
      </c>
      <c r="AD17" s="4">
        <v>60</v>
      </c>
      <c r="AE17" s="4">
        <v>109</v>
      </c>
      <c r="AF17" s="4">
        <v>0</v>
      </c>
      <c r="AG17" s="4">
        <v>4</v>
      </c>
      <c r="AH17" s="4">
        <v>53</v>
      </c>
      <c r="AI17" s="4">
        <v>92</v>
      </c>
      <c r="AJ17" s="4">
        <v>3</v>
      </c>
      <c r="AK17" s="4">
        <v>14</v>
      </c>
      <c r="AL17" s="4">
        <v>35</v>
      </c>
      <c r="AM17" s="4">
        <v>51</v>
      </c>
      <c r="AN17" s="4">
        <v>0</v>
      </c>
      <c r="AO17" s="4">
        <v>0</v>
      </c>
      <c r="AP17" s="4">
        <v>7</v>
      </c>
      <c r="AQ17" s="4">
        <v>20</v>
      </c>
      <c r="AR17" s="3" t="s">
        <v>63</v>
      </c>
      <c r="AS17" s="3" t="s">
        <v>63</v>
      </c>
      <c r="AT17" s="3" t="s">
        <v>63</v>
      </c>
      <c r="AV17" s="6" t="str">
        <f>HYPERLINK("http://mcgill.on.worldcat.org/oclc/48379860","Catalog Record")</f>
        <v>Catalog Record</v>
      </c>
      <c r="AW17" s="6" t="str">
        <f>HYPERLINK("http://www.worldcat.org/oclc/48379860","WorldCat Record")</f>
        <v>WorldCat Record</v>
      </c>
      <c r="AX17" s="3" t="s">
        <v>40427</v>
      </c>
      <c r="AY17" s="3" t="s">
        <v>40428</v>
      </c>
      <c r="AZ17" s="3" t="s">
        <v>40429</v>
      </c>
      <c r="BA17" s="3" t="s">
        <v>40429</v>
      </c>
      <c r="BB17" s="3" t="s">
        <v>40430</v>
      </c>
      <c r="BC17" s="3" t="s">
        <v>40289</v>
      </c>
      <c r="BD17" s="3" t="s">
        <v>70</v>
      </c>
      <c r="BE17" s="3" t="s">
        <v>40431</v>
      </c>
      <c r="BF17" s="3" t="s">
        <v>40430</v>
      </c>
      <c r="BG17" s="3" t="s">
        <v>40432</v>
      </c>
    </row>
    <row r="18" spans="1:59" ht="120" x14ac:dyDescent="0.25">
      <c r="A18" s="2" t="s">
        <v>59</v>
      </c>
      <c r="B18" s="2" t="s">
        <v>40280</v>
      </c>
      <c r="C18" s="2" t="s">
        <v>40433</v>
      </c>
      <c r="D18" s="2" t="s">
        <v>40434</v>
      </c>
      <c r="E18" s="2" t="s">
        <v>40435</v>
      </c>
      <c r="G18" s="3" t="s">
        <v>63</v>
      </c>
      <c r="I18" s="3" t="s">
        <v>63</v>
      </c>
      <c r="J18" s="3" t="s">
        <v>63</v>
      </c>
      <c r="K18" s="3" t="s">
        <v>64</v>
      </c>
      <c r="M18" s="2" t="s">
        <v>40436</v>
      </c>
      <c r="N18" s="3" t="s">
        <v>693</v>
      </c>
      <c r="P18" s="3" t="s">
        <v>14737</v>
      </c>
      <c r="R18" s="3" t="s">
        <v>67</v>
      </c>
      <c r="S18" s="4">
        <v>58</v>
      </c>
      <c r="T18" s="4">
        <v>58</v>
      </c>
      <c r="U18" s="5" t="s">
        <v>21469</v>
      </c>
      <c r="V18" s="5" t="s">
        <v>21469</v>
      </c>
      <c r="W18" s="5" t="s">
        <v>69</v>
      </c>
      <c r="X18" s="5" t="s">
        <v>69</v>
      </c>
      <c r="Y18" s="4">
        <v>14</v>
      </c>
      <c r="Z18" s="4">
        <v>1</v>
      </c>
      <c r="AA18" s="4">
        <v>3</v>
      </c>
      <c r="AB18" s="4">
        <v>1</v>
      </c>
      <c r="AC18" s="4">
        <v>1</v>
      </c>
      <c r="AD18" s="4">
        <v>4</v>
      </c>
      <c r="AE18" s="4">
        <v>19</v>
      </c>
      <c r="AF18" s="4">
        <v>0</v>
      </c>
      <c r="AG18" s="4">
        <v>0</v>
      </c>
      <c r="AH18" s="4">
        <v>4</v>
      </c>
      <c r="AI18" s="4">
        <v>19</v>
      </c>
      <c r="AJ18" s="4">
        <v>0</v>
      </c>
      <c r="AK18" s="4">
        <v>1</v>
      </c>
      <c r="AL18" s="4">
        <v>4</v>
      </c>
      <c r="AM18" s="4">
        <v>15</v>
      </c>
      <c r="AN18" s="4">
        <v>0</v>
      </c>
      <c r="AO18" s="4">
        <v>0</v>
      </c>
      <c r="AP18" s="4">
        <v>0</v>
      </c>
      <c r="AQ18" s="4">
        <v>1</v>
      </c>
      <c r="AR18" s="3" t="s">
        <v>63</v>
      </c>
      <c r="AS18" s="3" t="s">
        <v>63</v>
      </c>
      <c r="AT18" s="3" t="s">
        <v>63</v>
      </c>
      <c r="AV18" s="6" t="str">
        <f>HYPERLINK("http://mcgill.on.worldcat.org/oclc/61439158","Catalog Record")</f>
        <v>Catalog Record</v>
      </c>
      <c r="AW18" s="6" t="str">
        <f>HYPERLINK("http://www.worldcat.org/oclc/61439158","WorldCat Record")</f>
        <v>WorldCat Record</v>
      </c>
      <c r="AX18" s="3" t="s">
        <v>40437</v>
      </c>
      <c r="AY18" s="3" t="s">
        <v>40438</v>
      </c>
      <c r="AZ18" s="3" t="s">
        <v>40439</v>
      </c>
      <c r="BA18" s="3" t="s">
        <v>40439</v>
      </c>
      <c r="BB18" s="3" t="s">
        <v>40440</v>
      </c>
      <c r="BC18" s="3" t="s">
        <v>40289</v>
      </c>
      <c r="BD18" s="3" t="s">
        <v>70</v>
      </c>
      <c r="BE18" s="3" t="s">
        <v>40441</v>
      </c>
      <c r="BF18" s="3" t="s">
        <v>40440</v>
      </c>
      <c r="BG18" s="3" t="s">
        <v>40442</v>
      </c>
    </row>
    <row r="19" spans="1:59" ht="90" x14ac:dyDescent="0.25">
      <c r="A19" s="2" t="s">
        <v>59</v>
      </c>
      <c r="B19" s="2" t="s">
        <v>40280</v>
      </c>
      <c r="C19" s="2" t="s">
        <v>40443</v>
      </c>
      <c r="D19" s="2" t="s">
        <v>40444</v>
      </c>
      <c r="E19" s="2" t="s">
        <v>40445</v>
      </c>
      <c r="G19" s="3" t="s">
        <v>63</v>
      </c>
      <c r="I19" s="3" t="s">
        <v>63</v>
      </c>
      <c r="J19" s="3" t="s">
        <v>63</v>
      </c>
      <c r="K19" s="3" t="s">
        <v>64</v>
      </c>
      <c r="M19" s="2" t="s">
        <v>40446</v>
      </c>
      <c r="N19" s="3" t="s">
        <v>190</v>
      </c>
      <c r="P19" s="3" t="s">
        <v>36758</v>
      </c>
      <c r="R19" s="3" t="s">
        <v>67</v>
      </c>
      <c r="S19" s="4">
        <v>49</v>
      </c>
      <c r="T19" s="4">
        <v>49</v>
      </c>
      <c r="U19" s="5" t="s">
        <v>17751</v>
      </c>
      <c r="V19" s="5" t="s">
        <v>17751</v>
      </c>
      <c r="W19" s="5" t="s">
        <v>69</v>
      </c>
      <c r="X19" s="5" t="s">
        <v>69</v>
      </c>
      <c r="Y19" s="4">
        <v>89</v>
      </c>
      <c r="Z19" s="4">
        <v>4</v>
      </c>
      <c r="AA19" s="4">
        <v>7</v>
      </c>
      <c r="AB19" s="4">
        <v>1</v>
      </c>
      <c r="AC19" s="4">
        <v>1</v>
      </c>
      <c r="AD19" s="4">
        <v>14</v>
      </c>
      <c r="AE19" s="4">
        <v>20</v>
      </c>
      <c r="AF19" s="4">
        <v>0</v>
      </c>
      <c r="AG19" s="4">
        <v>0</v>
      </c>
      <c r="AH19" s="4">
        <v>13</v>
      </c>
      <c r="AI19" s="4">
        <v>19</v>
      </c>
      <c r="AJ19" s="4">
        <v>1</v>
      </c>
      <c r="AK19" s="4">
        <v>2</v>
      </c>
      <c r="AL19" s="4">
        <v>10</v>
      </c>
      <c r="AM19" s="4">
        <v>15</v>
      </c>
      <c r="AN19" s="4">
        <v>0</v>
      </c>
      <c r="AO19" s="4">
        <v>0</v>
      </c>
      <c r="AP19" s="4">
        <v>1</v>
      </c>
      <c r="AQ19" s="4">
        <v>2</v>
      </c>
      <c r="AR19" s="3" t="s">
        <v>63</v>
      </c>
      <c r="AS19" s="3" t="s">
        <v>63</v>
      </c>
      <c r="AT19" s="3" t="s">
        <v>63</v>
      </c>
      <c r="AV19" s="6" t="str">
        <f>HYPERLINK("http://mcgill.on.worldcat.org/oclc/58835223","Catalog Record")</f>
        <v>Catalog Record</v>
      </c>
      <c r="AW19" s="6" t="str">
        <f>HYPERLINK("http://www.worldcat.org/oclc/58835223","WorldCat Record")</f>
        <v>WorldCat Record</v>
      </c>
      <c r="AX19" s="3" t="s">
        <v>40447</v>
      </c>
      <c r="AY19" s="3" t="s">
        <v>40448</v>
      </c>
      <c r="AZ19" s="3" t="s">
        <v>40449</v>
      </c>
      <c r="BA19" s="3" t="s">
        <v>40449</v>
      </c>
      <c r="BB19" s="3" t="s">
        <v>40450</v>
      </c>
      <c r="BC19" s="3" t="s">
        <v>40289</v>
      </c>
      <c r="BD19" s="3" t="s">
        <v>70</v>
      </c>
      <c r="BE19" s="3" t="s">
        <v>40451</v>
      </c>
      <c r="BF19" s="3" t="s">
        <v>40450</v>
      </c>
      <c r="BG19" s="3" t="s">
        <v>40452</v>
      </c>
    </row>
    <row r="20" spans="1:59" ht="90" x14ac:dyDescent="0.25">
      <c r="A20" s="2" t="s">
        <v>59</v>
      </c>
      <c r="B20" s="2" t="s">
        <v>40280</v>
      </c>
      <c r="C20" s="2" t="s">
        <v>40453</v>
      </c>
      <c r="D20" s="2" t="s">
        <v>40454</v>
      </c>
      <c r="E20" s="2" t="s">
        <v>40455</v>
      </c>
      <c r="G20" s="3" t="s">
        <v>63</v>
      </c>
      <c r="I20" s="3" t="s">
        <v>63</v>
      </c>
      <c r="J20" s="3" t="s">
        <v>63</v>
      </c>
      <c r="K20" s="3" t="s">
        <v>64</v>
      </c>
      <c r="M20" s="2" t="s">
        <v>40456</v>
      </c>
      <c r="N20" s="3" t="s">
        <v>274</v>
      </c>
      <c r="P20" s="3" t="s">
        <v>40457</v>
      </c>
      <c r="Q20" s="2" t="s">
        <v>40458</v>
      </c>
      <c r="R20" s="3" t="s">
        <v>67</v>
      </c>
      <c r="S20" s="4">
        <v>14</v>
      </c>
      <c r="T20" s="4">
        <v>14</v>
      </c>
      <c r="U20" s="5" t="s">
        <v>2939</v>
      </c>
      <c r="V20" s="5" t="s">
        <v>2939</v>
      </c>
      <c r="W20" s="5" t="s">
        <v>69</v>
      </c>
      <c r="X20" s="5" t="s">
        <v>69</v>
      </c>
      <c r="Y20" s="4">
        <v>119</v>
      </c>
      <c r="Z20" s="4">
        <v>3</v>
      </c>
      <c r="AA20" s="4">
        <v>8</v>
      </c>
      <c r="AB20" s="4">
        <v>1</v>
      </c>
      <c r="AC20" s="4">
        <v>3</v>
      </c>
      <c r="AD20" s="4">
        <v>22</v>
      </c>
      <c r="AE20" s="4">
        <v>40</v>
      </c>
      <c r="AF20" s="4">
        <v>0</v>
      </c>
      <c r="AG20" s="4">
        <v>2</v>
      </c>
      <c r="AH20" s="4">
        <v>21</v>
      </c>
      <c r="AI20" s="4">
        <v>35</v>
      </c>
      <c r="AJ20" s="4">
        <v>0</v>
      </c>
      <c r="AK20" s="4">
        <v>2</v>
      </c>
      <c r="AL20" s="4">
        <v>17</v>
      </c>
      <c r="AM20" s="4">
        <v>27</v>
      </c>
      <c r="AN20" s="4">
        <v>0</v>
      </c>
      <c r="AO20" s="4">
        <v>0</v>
      </c>
      <c r="AP20" s="4">
        <v>0</v>
      </c>
      <c r="AQ20" s="4">
        <v>4</v>
      </c>
      <c r="AR20" s="3" t="s">
        <v>63</v>
      </c>
      <c r="AS20" s="3" t="s">
        <v>63</v>
      </c>
      <c r="AT20" s="3" t="s">
        <v>63</v>
      </c>
      <c r="AV20" s="6" t="str">
        <f>HYPERLINK("http://mcgill.on.worldcat.org/oclc/47729908","Catalog Record")</f>
        <v>Catalog Record</v>
      </c>
      <c r="AW20" s="6" t="str">
        <f>HYPERLINK("http://www.worldcat.org/oclc/47729908","WorldCat Record")</f>
        <v>WorldCat Record</v>
      </c>
      <c r="AX20" s="3" t="s">
        <v>40459</v>
      </c>
      <c r="AY20" s="3" t="s">
        <v>40460</v>
      </c>
      <c r="AZ20" s="3" t="s">
        <v>40461</v>
      </c>
      <c r="BA20" s="3" t="s">
        <v>40461</v>
      </c>
      <c r="BB20" s="3" t="s">
        <v>40462</v>
      </c>
      <c r="BC20" s="3" t="s">
        <v>40289</v>
      </c>
      <c r="BD20" s="3" t="s">
        <v>70</v>
      </c>
      <c r="BF20" s="3" t="s">
        <v>40462</v>
      </c>
      <c r="BG20" s="3" t="s">
        <v>40463</v>
      </c>
    </row>
    <row r="21" spans="1:59" ht="90" x14ac:dyDescent="0.25">
      <c r="A21" s="2" t="s">
        <v>59</v>
      </c>
      <c r="B21" s="2" t="s">
        <v>40280</v>
      </c>
      <c r="C21" s="2" t="s">
        <v>40464</v>
      </c>
      <c r="D21" s="2" t="s">
        <v>40465</v>
      </c>
      <c r="E21" s="2" t="s">
        <v>40466</v>
      </c>
      <c r="G21" s="3" t="s">
        <v>62</v>
      </c>
      <c r="I21" s="3" t="s">
        <v>63</v>
      </c>
      <c r="J21" s="3" t="s">
        <v>63</v>
      </c>
      <c r="K21" s="3" t="s">
        <v>64</v>
      </c>
      <c r="M21" s="2" t="s">
        <v>40467</v>
      </c>
      <c r="N21" s="3" t="s">
        <v>693</v>
      </c>
      <c r="O21" s="2" t="s">
        <v>40468</v>
      </c>
      <c r="P21" s="3" t="s">
        <v>90</v>
      </c>
      <c r="Q21" s="2" t="s">
        <v>40469</v>
      </c>
      <c r="R21" s="3" t="s">
        <v>67</v>
      </c>
      <c r="S21" s="4">
        <v>34</v>
      </c>
      <c r="T21" s="4">
        <v>34</v>
      </c>
      <c r="U21" s="5" t="s">
        <v>40404</v>
      </c>
      <c r="V21" s="5" t="s">
        <v>40404</v>
      </c>
      <c r="W21" s="5" t="s">
        <v>69</v>
      </c>
      <c r="X21" s="5" t="s">
        <v>69</v>
      </c>
      <c r="Y21" s="4">
        <v>5</v>
      </c>
      <c r="Z21" s="4">
        <v>1</v>
      </c>
      <c r="AA21" s="4">
        <v>6</v>
      </c>
      <c r="AB21" s="4">
        <v>1</v>
      </c>
      <c r="AC21" s="4">
        <v>2</v>
      </c>
      <c r="AD21" s="4">
        <v>2</v>
      </c>
      <c r="AE21" s="4">
        <v>41</v>
      </c>
      <c r="AF21" s="4">
        <v>0</v>
      </c>
      <c r="AG21" s="4">
        <v>1</v>
      </c>
      <c r="AH21" s="4">
        <v>2</v>
      </c>
      <c r="AI21" s="4">
        <v>38</v>
      </c>
      <c r="AJ21" s="4">
        <v>0</v>
      </c>
      <c r="AK21" s="4">
        <v>4</v>
      </c>
      <c r="AL21" s="4">
        <v>1</v>
      </c>
      <c r="AM21" s="4">
        <v>22</v>
      </c>
      <c r="AN21" s="4">
        <v>0</v>
      </c>
      <c r="AO21" s="4">
        <v>0</v>
      </c>
      <c r="AP21" s="4">
        <v>0</v>
      </c>
      <c r="AQ21" s="4">
        <v>3</v>
      </c>
      <c r="AR21" s="3" t="s">
        <v>63</v>
      </c>
      <c r="AS21" s="3" t="s">
        <v>63</v>
      </c>
      <c r="AT21" s="3" t="s">
        <v>63</v>
      </c>
      <c r="AV21" s="6" t="str">
        <f>HYPERLINK("http://mcgill.on.worldcat.org/oclc/84679760","Catalog Record")</f>
        <v>Catalog Record</v>
      </c>
      <c r="AW21" s="6" t="str">
        <f>HYPERLINK("http://www.worldcat.org/oclc/84679760","WorldCat Record")</f>
        <v>WorldCat Record</v>
      </c>
      <c r="AX21" s="3" t="s">
        <v>40470</v>
      </c>
      <c r="AY21" s="3" t="s">
        <v>40471</v>
      </c>
      <c r="AZ21" s="3" t="s">
        <v>40472</v>
      </c>
      <c r="BA21" s="3" t="s">
        <v>40472</v>
      </c>
      <c r="BB21" s="3" t="s">
        <v>40473</v>
      </c>
      <c r="BC21" s="3" t="s">
        <v>40289</v>
      </c>
      <c r="BD21" s="3" t="s">
        <v>70</v>
      </c>
      <c r="BF21" s="3" t="s">
        <v>40473</v>
      </c>
      <c r="BG21" s="3" t="s">
        <v>40474</v>
      </c>
    </row>
    <row r="22" spans="1:59" ht="90" x14ac:dyDescent="0.25">
      <c r="A22" s="2" t="s">
        <v>59</v>
      </c>
      <c r="B22" s="2" t="s">
        <v>40280</v>
      </c>
      <c r="C22" s="2" t="s">
        <v>40475</v>
      </c>
      <c r="D22" s="2" t="s">
        <v>40476</v>
      </c>
      <c r="E22" s="2" t="s">
        <v>40477</v>
      </c>
      <c r="G22" s="3" t="s">
        <v>63</v>
      </c>
      <c r="I22" s="3" t="s">
        <v>63</v>
      </c>
      <c r="J22" s="3" t="s">
        <v>63</v>
      </c>
      <c r="K22" s="3" t="s">
        <v>64</v>
      </c>
      <c r="M22" s="2" t="s">
        <v>40478</v>
      </c>
      <c r="N22" s="3" t="s">
        <v>190</v>
      </c>
      <c r="P22" s="3" t="s">
        <v>90</v>
      </c>
      <c r="R22" s="3" t="s">
        <v>67</v>
      </c>
      <c r="S22" s="4">
        <v>8</v>
      </c>
      <c r="T22" s="4">
        <v>8</v>
      </c>
      <c r="U22" s="5" t="s">
        <v>39250</v>
      </c>
      <c r="V22" s="5" t="s">
        <v>39250</v>
      </c>
      <c r="W22" s="5" t="s">
        <v>69</v>
      </c>
      <c r="X22" s="5" t="s">
        <v>69</v>
      </c>
      <c r="Y22" s="4">
        <v>17</v>
      </c>
      <c r="Z22" s="4">
        <v>1</v>
      </c>
      <c r="AA22" s="4">
        <v>2</v>
      </c>
      <c r="AB22" s="4">
        <v>1</v>
      </c>
      <c r="AC22" s="4">
        <v>2</v>
      </c>
      <c r="AD22" s="4">
        <v>3</v>
      </c>
      <c r="AE22" s="4">
        <v>4</v>
      </c>
      <c r="AF22" s="4">
        <v>0</v>
      </c>
      <c r="AG22" s="4">
        <v>1</v>
      </c>
      <c r="AH22" s="4">
        <v>3</v>
      </c>
      <c r="AI22" s="4">
        <v>4</v>
      </c>
      <c r="AJ22" s="4">
        <v>0</v>
      </c>
      <c r="AK22" s="4">
        <v>1</v>
      </c>
      <c r="AL22" s="4">
        <v>2</v>
      </c>
      <c r="AM22" s="4">
        <v>2</v>
      </c>
      <c r="AN22" s="4">
        <v>0</v>
      </c>
      <c r="AO22" s="4">
        <v>0</v>
      </c>
      <c r="AP22" s="4">
        <v>0</v>
      </c>
      <c r="AQ22" s="4">
        <v>1</v>
      </c>
      <c r="AR22" s="3" t="s">
        <v>63</v>
      </c>
      <c r="AS22" s="3" t="s">
        <v>63</v>
      </c>
      <c r="AT22" s="3" t="s">
        <v>63</v>
      </c>
      <c r="AV22" s="6" t="str">
        <f>HYPERLINK("http://mcgill.on.worldcat.org/oclc/63521344","Catalog Record")</f>
        <v>Catalog Record</v>
      </c>
      <c r="AW22" s="6" t="str">
        <f>HYPERLINK("http://www.worldcat.org/oclc/63521344","WorldCat Record")</f>
        <v>WorldCat Record</v>
      </c>
      <c r="AX22" s="3" t="s">
        <v>40479</v>
      </c>
      <c r="AY22" s="3" t="s">
        <v>40480</v>
      </c>
      <c r="AZ22" s="3" t="s">
        <v>40481</v>
      </c>
      <c r="BA22" s="3" t="s">
        <v>40481</v>
      </c>
      <c r="BB22" s="3" t="s">
        <v>40482</v>
      </c>
      <c r="BC22" s="3" t="s">
        <v>40289</v>
      </c>
      <c r="BD22" s="3" t="s">
        <v>70</v>
      </c>
      <c r="BF22" s="3" t="s">
        <v>40482</v>
      </c>
      <c r="BG22" s="3" t="s">
        <v>40483</v>
      </c>
    </row>
    <row r="23" spans="1:59" ht="90" x14ac:dyDescent="0.25">
      <c r="A23" s="2" t="s">
        <v>59</v>
      </c>
      <c r="B23" s="2" t="s">
        <v>40280</v>
      </c>
      <c r="C23" s="2" t="s">
        <v>40484</v>
      </c>
      <c r="D23" s="2" t="s">
        <v>40485</v>
      </c>
      <c r="E23" s="2" t="s">
        <v>40486</v>
      </c>
      <c r="G23" s="3" t="s">
        <v>63</v>
      </c>
      <c r="I23" s="3" t="s">
        <v>63</v>
      </c>
      <c r="J23" s="3" t="s">
        <v>63</v>
      </c>
      <c r="K23" s="3" t="s">
        <v>64</v>
      </c>
      <c r="L23" s="2" t="s">
        <v>40487</v>
      </c>
      <c r="M23" s="2" t="s">
        <v>40488</v>
      </c>
      <c r="N23" s="3" t="s">
        <v>1226</v>
      </c>
      <c r="P23" s="3" t="s">
        <v>90</v>
      </c>
      <c r="Q23" s="2" t="s">
        <v>40489</v>
      </c>
      <c r="R23" s="3" t="s">
        <v>67</v>
      </c>
      <c r="S23" s="4">
        <v>30</v>
      </c>
      <c r="T23" s="4">
        <v>30</v>
      </c>
      <c r="U23" s="5" t="s">
        <v>40490</v>
      </c>
      <c r="V23" s="5" t="s">
        <v>40490</v>
      </c>
      <c r="W23" s="5" t="s">
        <v>69</v>
      </c>
      <c r="X23" s="5" t="s">
        <v>69</v>
      </c>
      <c r="Y23" s="4">
        <v>14</v>
      </c>
      <c r="Z23" s="4">
        <v>1</v>
      </c>
      <c r="AA23" s="4">
        <v>4</v>
      </c>
      <c r="AB23" s="4">
        <v>1</v>
      </c>
      <c r="AC23" s="4">
        <v>4</v>
      </c>
      <c r="AD23" s="4">
        <v>4</v>
      </c>
      <c r="AE23" s="4">
        <v>7</v>
      </c>
      <c r="AF23" s="4">
        <v>0</v>
      </c>
      <c r="AG23" s="4">
        <v>2</v>
      </c>
      <c r="AH23" s="4">
        <v>4</v>
      </c>
      <c r="AI23" s="4">
        <v>5</v>
      </c>
      <c r="AJ23" s="4">
        <v>0</v>
      </c>
      <c r="AK23" s="4">
        <v>2</v>
      </c>
      <c r="AL23" s="4">
        <v>2</v>
      </c>
      <c r="AM23" s="4">
        <v>3</v>
      </c>
      <c r="AN23" s="4">
        <v>0</v>
      </c>
      <c r="AO23" s="4">
        <v>0</v>
      </c>
      <c r="AP23" s="4">
        <v>0</v>
      </c>
      <c r="AQ23" s="4">
        <v>2</v>
      </c>
      <c r="AR23" s="3" t="s">
        <v>63</v>
      </c>
      <c r="AS23" s="3" t="s">
        <v>63</v>
      </c>
      <c r="AT23" s="3" t="s">
        <v>63</v>
      </c>
      <c r="AV23" s="6" t="str">
        <f>HYPERLINK("http://mcgill.on.worldcat.org/oclc/61735665","Catalog Record")</f>
        <v>Catalog Record</v>
      </c>
      <c r="AW23" s="6" t="str">
        <f>HYPERLINK("http://www.worldcat.org/oclc/61735665","WorldCat Record")</f>
        <v>WorldCat Record</v>
      </c>
      <c r="AX23" s="3" t="s">
        <v>40491</v>
      </c>
      <c r="AY23" s="3" t="s">
        <v>40492</v>
      </c>
      <c r="AZ23" s="3" t="s">
        <v>40493</v>
      </c>
      <c r="BA23" s="3" t="s">
        <v>40493</v>
      </c>
      <c r="BB23" s="3" t="s">
        <v>40494</v>
      </c>
      <c r="BC23" s="3" t="s">
        <v>40289</v>
      </c>
      <c r="BD23" s="3" t="s">
        <v>70</v>
      </c>
      <c r="BF23" s="3" t="s">
        <v>40494</v>
      </c>
      <c r="BG23" s="3" t="s">
        <v>40495</v>
      </c>
    </row>
    <row r="24" spans="1:59" ht="165" x14ac:dyDescent="0.25">
      <c r="A24" s="2" t="s">
        <v>59</v>
      </c>
      <c r="B24" s="2" t="s">
        <v>40280</v>
      </c>
      <c r="C24" s="2" t="s">
        <v>40496</v>
      </c>
      <c r="D24" s="2" t="s">
        <v>40497</v>
      </c>
      <c r="E24" s="2" t="s">
        <v>40498</v>
      </c>
      <c r="G24" s="3" t="s">
        <v>63</v>
      </c>
      <c r="I24" s="3" t="s">
        <v>63</v>
      </c>
      <c r="J24" s="3" t="s">
        <v>63</v>
      </c>
      <c r="K24" s="3" t="s">
        <v>64</v>
      </c>
      <c r="L24" s="2" t="s">
        <v>40499</v>
      </c>
      <c r="M24" s="2" t="s">
        <v>40500</v>
      </c>
      <c r="N24" s="3" t="s">
        <v>2103</v>
      </c>
      <c r="P24" s="3" t="s">
        <v>66</v>
      </c>
      <c r="R24" s="3" t="s">
        <v>67</v>
      </c>
      <c r="S24" s="4">
        <v>41</v>
      </c>
      <c r="T24" s="4">
        <v>41</v>
      </c>
      <c r="U24" s="5" t="s">
        <v>5388</v>
      </c>
      <c r="V24" s="5" t="s">
        <v>5388</v>
      </c>
      <c r="W24" s="5" t="s">
        <v>69</v>
      </c>
      <c r="X24" s="5" t="s">
        <v>69</v>
      </c>
      <c r="Y24" s="4">
        <v>452</v>
      </c>
      <c r="Z24" s="4">
        <v>21</v>
      </c>
      <c r="AA24" s="4">
        <v>28</v>
      </c>
      <c r="AB24" s="4">
        <v>1</v>
      </c>
      <c r="AC24" s="4">
        <v>4</v>
      </c>
      <c r="AD24" s="4">
        <v>54</v>
      </c>
      <c r="AE24" s="4">
        <v>67</v>
      </c>
      <c r="AF24" s="4">
        <v>0</v>
      </c>
      <c r="AG24" s="4">
        <v>2</v>
      </c>
      <c r="AH24" s="4">
        <v>43</v>
      </c>
      <c r="AI24" s="4">
        <v>52</v>
      </c>
      <c r="AJ24" s="4">
        <v>7</v>
      </c>
      <c r="AK24" s="4">
        <v>9</v>
      </c>
      <c r="AL24" s="4">
        <v>27</v>
      </c>
      <c r="AM24" s="4">
        <v>31</v>
      </c>
      <c r="AN24" s="4">
        <v>0</v>
      </c>
      <c r="AO24" s="4">
        <v>0</v>
      </c>
      <c r="AP24" s="4">
        <v>13</v>
      </c>
      <c r="AQ24" s="4">
        <v>18</v>
      </c>
      <c r="AR24" s="3" t="s">
        <v>63</v>
      </c>
      <c r="AS24" s="3" t="s">
        <v>63</v>
      </c>
      <c r="AT24" s="3" t="s">
        <v>63</v>
      </c>
      <c r="AV24" s="6" t="str">
        <f>HYPERLINK("http://mcgill.on.worldcat.org/oclc/51784127","Catalog Record")</f>
        <v>Catalog Record</v>
      </c>
      <c r="AW24" s="6" t="str">
        <f>HYPERLINK("http://www.worldcat.org/oclc/51784127","WorldCat Record")</f>
        <v>WorldCat Record</v>
      </c>
      <c r="AX24" s="3" t="s">
        <v>40501</v>
      </c>
      <c r="AY24" s="3" t="s">
        <v>40502</v>
      </c>
      <c r="AZ24" s="3" t="s">
        <v>40503</v>
      </c>
      <c r="BA24" s="3" t="s">
        <v>40503</v>
      </c>
      <c r="BB24" s="3" t="s">
        <v>40504</v>
      </c>
      <c r="BC24" s="3" t="s">
        <v>40289</v>
      </c>
      <c r="BD24" s="3" t="s">
        <v>538</v>
      </c>
      <c r="BF24" s="3" t="s">
        <v>40504</v>
      </c>
      <c r="BG24" s="3" t="s">
        <v>40505</v>
      </c>
    </row>
    <row r="25" spans="1:59" ht="90" x14ac:dyDescent="0.25">
      <c r="A25" s="2" t="s">
        <v>59</v>
      </c>
      <c r="B25" s="2" t="s">
        <v>40280</v>
      </c>
      <c r="C25" s="2" t="s">
        <v>40506</v>
      </c>
      <c r="D25" s="2" t="s">
        <v>40507</v>
      </c>
      <c r="E25" s="2" t="s">
        <v>40508</v>
      </c>
      <c r="F25" s="3" t="s">
        <v>40509</v>
      </c>
      <c r="G25" s="3" t="s">
        <v>62</v>
      </c>
      <c r="I25" s="3" t="s">
        <v>63</v>
      </c>
      <c r="J25" s="3" t="s">
        <v>63</v>
      </c>
      <c r="K25" s="3" t="s">
        <v>64</v>
      </c>
      <c r="L25" s="2" t="s">
        <v>40510</v>
      </c>
      <c r="M25" s="2" t="s">
        <v>40511</v>
      </c>
      <c r="N25" s="3" t="s">
        <v>1343</v>
      </c>
      <c r="P25" s="3" t="s">
        <v>90</v>
      </c>
      <c r="R25" s="3" t="s">
        <v>67</v>
      </c>
      <c r="S25" s="4">
        <v>69</v>
      </c>
      <c r="T25" s="4">
        <v>198</v>
      </c>
      <c r="U25" s="5" t="s">
        <v>40512</v>
      </c>
      <c r="V25" s="5" t="s">
        <v>40512</v>
      </c>
      <c r="W25" s="5" t="s">
        <v>69</v>
      </c>
      <c r="X25" s="5" t="s">
        <v>69</v>
      </c>
      <c r="Y25" s="4">
        <v>474</v>
      </c>
      <c r="Z25" s="4">
        <v>9</v>
      </c>
      <c r="AA25" s="4">
        <v>17</v>
      </c>
      <c r="AB25" s="4">
        <v>1</v>
      </c>
      <c r="AC25" s="4">
        <v>2</v>
      </c>
      <c r="AD25" s="4">
        <v>30</v>
      </c>
      <c r="AE25" s="4">
        <v>64</v>
      </c>
      <c r="AF25" s="4">
        <v>0</v>
      </c>
      <c r="AG25" s="4">
        <v>0</v>
      </c>
      <c r="AH25" s="4">
        <v>28</v>
      </c>
      <c r="AI25" s="4">
        <v>60</v>
      </c>
      <c r="AJ25" s="4">
        <v>0</v>
      </c>
      <c r="AK25" s="4">
        <v>0</v>
      </c>
      <c r="AL25" s="4">
        <v>16</v>
      </c>
      <c r="AM25" s="4">
        <v>42</v>
      </c>
      <c r="AN25" s="4">
        <v>0</v>
      </c>
      <c r="AO25" s="4">
        <v>0</v>
      </c>
      <c r="AP25" s="4">
        <v>0</v>
      </c>
      <c r="AQ25" s="4">
        <v>1</v>
      </c>
      <c r="AR25" s="3" t="s">
        <v>63</v>
      </c>
      <c r="AS25" s="3" t="s">
        <v>63</v>
      </c>
      <c r="AT25" s="3" t="s">
        <v>63</v>
      </c>
      <c r="AV25" s="6" t="str">
        <f>HYPERLINK("http://mcgill.on.worldcat.org/oclc/51299581","Catalog Record")</f>
        <v>Catalog Record</v>
      </c>
      <c r="AW25" s="6" t="str">
        <f>HYPERLINK("http://www.worldcat.org/oclc/51299581","WorldCat Record")</f>
        <v>WorldCat Record</v>
      </c>
      <c r="AX25" s="3" t="s">
        <v>40513</v>
      </c>
      <c r="AY25" s="3" t="s">
        <v>40514</v>
      </c>
      <c r="AZ25" s="3" t="s">
        <v>40515</v>
      </c>
      <c r="BA25" s="3" t="s">
        <v>40515</v>
      </c>
      <c r="BB25" s="3" t="s">
        <v>40516</v>
      </c>
      <c r="BC25" s="3" t="s">
        <v>40289</v>
      </c>
      <c r="BD25" s="3" t="s">
        <v>538</v>
      </c>
      <c r="BE25" s="3" t="s">
        <v>40517</v>
      </c>
      <c r="BF25" s="3" t="s">
        <v>40516</v>
      </c>
      <c r="BG25" s="3" t="s">
        <v>40518</v>
      </c>
    </row>
    <row r="26" spans="1:59" ht="90" x14ac:dyDescent="0.25">
      <c r="A26" s="2" t="s">
        <v>59</v>
      </c>
      <c r="B26" s="2" t="s">
        <v>40280</v>
      </c>
      <c r="C26" s="2" t="s">
        <v>40506</v>
      </c>
      <c r="D26" s="2" t="s">
        <v>40507</v>
      </c>
      <c r="E26" s="2" t="s">
        <v>40508</v>
      </c>
      <c r="F26" s="3" t="s">
        <v>40519</v>
      </c>
      <c r="G26" s="3" t="s">
        <v>62</v>
      </c>
      <c r="I26" s="3" t="s">
        <v>63</v>
      </c>
      <c r="J26" s="3" t="s">
        <v>63</v>
      </c>
      <c r="K26" s="3" t="s">
        <v>64</v>
      </c>
      <c r="L26" s="2" t="s">
        <v>40510</v>
      </c>
      <c r="M26" s="2" t="s">
        <v>40511</v>
      </c>
      <c r="N26" s="3" t="s">
        <v>1343</v>
      </c>
      <c r="P26" s="3" t="s">
        <v>90</v>
      </c>
      <c r="R26" s="3" t="s">
        <v>67</v>
      </c>
      <c r="S26" s="4">
        <v>68</v>
      </c>
      <c r="T26" s="4">
        <v>198</v>
      </c>
      <c r="U26" s="5" t="s">
        <v>40512</v>
      </c>
      <c r="V26" s="5" t="s">
        <v>40512</v>
      </c>
      <c r="W26" s="5" t="s">
        <v>69</v>
      </c>
      <c r="X26" s="5" t="s">
        <v>69</v>
      </c>
      <c r="Y26" s="4">
        <v>474</v>
      </c>
      <c r="Z26" s="4">
        <v>9</v>
      </c>
      <c r="AA26" s="4">
        <v>17</v>
      </c>
      <c r="AB26" s="4">
        <v>1</v>
      </c>
      <c r="AC26" s="4">
        <v>2</v>
      </c>
      <c r="AD26" s="4">
        <v>30</v>
      </c>
      <c r="AE26" s="4">
        <v>64</v>
      </c>
      <c r="AF26" s="4">
        <v>0</v>
      </c>
      <c r="AG26" s="4">
        <v>0</v>
      </c>
      <c r="AH26" s="4">
        <v>28</v>
      </c>
      <c r="AI26" s="4">
        <v>60</v>
      </c>
      <c r="AJ26" s="4">
        <v>0</v>
      </c>
      <c r="AK26" s="4">
        <v>0</v>
      </c>
      <c r="AL26" s="4">
        <v>16</v>
      </c>
      <c r="AM26" s="4">
        <v>42</v>
      </c>
      <c r="AN26" s="4">
        <v>0</v>
      </c>
      <c r="AO26" s="4">
        <v>0</v>
      </c>
      <c r="AP26" s="4">
        <v>0</v>
      </c>
      <c r="AQ26" s="4">
        <v>1</v>
      </c>
      <c r="AR26" s="3" t="s">
        <v>63</v>
      </c>
      <c r="AS26" s="3" t="s">
        <v>63</v>
      </c>
      <c r="AT26" s="3" t="s">
        <v>63</v>
      </c>
      <c r="AV26" s="6" t="str">
        <f>HYPERLINK("http://mcgill.on.worldcat.org/oclc/51299581","Catalog Record")</f>
        <v>Catalog Record</v>
      </c>
      <c r="AW26" s="6" t="str">
        <f>HYPERLINK("http://www.worldcat.org/oclc/51299581","WorldCat Record")</f>
        <v>WorldCat Record</v>
      </c>
      <c r="AX26" s="3" t="s">
        <v>40513</v>
      </c>
      <c r="AY26" s="3" t="s">
        <v>40514</v>
      </c>
      <c r="AZ26" s="3" t="s">
        <v>40515</v>
      </c>
      <c r="BA26" s="3" t="s">
        <v>40515</v>
      </c>
      <c r="BB26" s="3" t="s">
        <v>40520</v>
      </c>
      <c r="BC26" s="3" t="s">
        <v>40289</v>
      </c>
      <c r="BD26" s="3" t="s">
        <v>538</v>
      </c>
      <c r="BE26" s="3" t="s">
        <v>40517</v>
      </c>
      <c r="BF26" s="3" t="s">
        <v>40520</v>
      </c>
      <c r="BG26" s="3" t="s">
        <v>40521</v>
      </c>
    </row>
    <row r="27" spans="1:59" ht="90" x14ac:dyDescent="0.25">
      <c r="A27" s="2" t="s">
        <v>59</v>
      </c>
      <c r="B27" s="2" t="s">
        <v>40280</v>
      </c>
      <c r="C27" s="2" t="s">
        <v>40506</v>
      </c>
      <c r="D27" s="2" t="s">
        <v>40507</v>
      </c>
      <c r="E27" s="2" t="s">
        <v>40508</v>
      </c>
      <c r="F27" s="3" t="s">
        <v>40522</v>
      </c>
      <c r="G27" s="3" t="s">
        <v>62</v>
      </c>
      <c r="I27" s="3" t="s">
        <v>63</v>
      </c>
      <c r="J27" s="3" t="s">
        <v>63</v>
      </c>
      <c r="K27" s="3" t="s">
        <v>64</v>
      </c>
      <c r="L27" s="2" t="s">
        <v>40510</v>
      </c>
      <c r="M27" s="2" t="s">
        <v>40511</v>
      </c>
      <c r="N27" s="3" t="s">
        <v>1343</v>
      </c>
      <c r="P27" s="3" t="s">
        <v>90</v>
      </c>
      <c r="R27" s="3" t="s">
        <v>67</v>
      </c>
      <c r="S27" s="4">
        <v>61</v>
      </c>
      <c r="T27" s="4">
        <v>198</v>
      </c>
      <c r="U27" s="5" t="s">
        <v>40512</v>
      </c>
      <c r="V27" s="5" t="s">
        <v>40512</v>
      </c>
      <c r="W27" s="5" t="s">
        <v>69</v>
      </c>
      <c r="X27" s="5" t="s">
        <v>69</v>
      </c>
      <c r="Y27" s="4">
        <v>474</v>
      </c>
      <c r="Z27" s="4">
        <v>9</v>
      </c>
      <c r="AA27" s="4">
        <v>17</v>
      </c>
      <c r="AB27" s="4">
        <v>1</v>
      </c>
      <c r="AC27" s="4">
        <v>2</v>
      </c>
      <c r="AD27" s="4">
        <v>30</v>
      </c>
      <c r="AE27" s="4">
        <v>64</v>
      </c>
      <c r="AF27" s="4">
        <v>0</v>
      </c>
      <c r="AG27" s="4">
        <v>0</v>
      </c>
      <c r="AH27" s="4">
        <v>28</v>
      </c>
      <c r="AI27" s="4">
        <v>60</v>
      </c>
      <c r="AJ27" s="4">
        <v>0</v>
      </c>
      <c r="AK27" s="4">
        <v>0</v>
      </c>
      <c r="AL27" s="4">
        <v>16</v>
      </c>
      <c r="AM27" s="4">
        <v>42</v>
      </c>
      <c r="AN27" s="4">
        <v>0</v>
      </c>
      <c r="AO27" s="4">
        <v>0</v>
      </c>
      <c r="AP27" s="4">
        <v>0</v>
      </c>
      <c r="AQ27" s="4">
        <v>1</v>
      </c>
      <c r="AR27" s="3" t="s">
        <v>63</v>
      </c>
      <c r="AS27" s="3" t="s">
        <v>63</v>
      </c>
      <c r="AT27" s="3" t="s">
        <v>63</v>
      </c>
      <c r="AV27" s="6" t="str">
        <f>HYPERLINK("http://mcgill.on.worldcat.org/oclc/51299581","Catalog Record")</f>
        <v>Catalog Record</v>
      </c>
      <c r="AW27" s="6" t="str">
        <f>HYPERLINK("http://www.worldcat.org/oclc/51299581","WorldCat Record")</f>
        <v>WorldCat Record</v>
      </c>
      <c r="AX27" s="3" t="s">
        <v>40513</v>
      </c>
      <c r="AY27" s="3" t="s">
        <v>40514</v>
      </c>
      <c r="AZ27" s="3" t="s">
        <v>40515</v>
      </c>
      <c r="BA27" s="3" t="s">
        <v>40515</v>
      </c>
      <c r="BB27" s="3" t="s">
        <v>40523</v>
      </c>
      <c r="BC27" s="3" t="s">
        <v>40289</v>
      </c>
      <c r="BD27" s="3" t="s">
        <v>538</v>
      </c>
      <c r="BE27" s="3" t="s">
        <v>40517</v>
      </c>
      <c r="BF27" s="3" t="s">
        <v>40523</v>
      </c>
      <c r="BG27" s="3" t="s">
        <v>40524</v>
      </c>
    </row>
    <row r="28" spans="1:59" ht="90" x14ac:dyDescent="0.25">
      <c r="A28" s="2" t="s">
        <v>59</v>
      </c>
      <c r="B28" s="2" t="s">
        <v>40280</v>
      </c>
      <c r="C28" s="2" t="s">
        <v>40525</v>
      </c>
      <c r="D28" s="2" t="s">
        <v>40526</v>
      </c>
      <c r="E28" s="2" t="s">
        <v>40527</v>
      </c>
      <c r="G28" s="3" t="s">
        <v>63</v>
      </c>
      <c r="I28" s="3" t="s">
        <v>63</v>
      </c>
      <c r="J28" s="3" t="s">
        <v>63</v>
      </c>
      <c r="K28" s="3" t="s">
        <v>64</v>
      </c>
      <c r="M28" s="2" t="s">
        <v>40528</v>
      </c>
      <c r="N28" s="3" t="s">
        <v>1226</v>
      </c>
      <c r="P28" s="3" t="s">
        <v>90</v>
      </c>
      <c r="Q28" s="2" t="s">
        <v>40529</v>
      </c>
      <c r="R28" s="3" t="s">
        <v>67</v>
      </c>
      <c r="S28" s="4">
        <v>9</v>
      </c>
      <c r="T28" s="4">
        <v>9</v>
      </c>
      <c r="U28" s="5" t="s">
        <v>23962</v>
      </c>
      <c r="V28" s="5" t="s">
        <v>23962</v>
      </c>
      <c r="W28" s="5" t="s">
        <v>69</v>
      </c>
      <c r="X28" s="5" t="s">
        <v>69</v>
      </c>
      <c r="Y28" s="4">
        <v>6</v>
      </c>
      <c r="Z28" s="4">
        <v>1</v>
      </c>
      <c r="AA28" s="4">
        <v>2</v>
      </c>
      <c r="AB28" s="4">
        <v>1</v>
      </c>
      <c r="AC28" s="4">
        <v>1</v>
      </c>
      <c r="AD28" s="4">
        <v>5</v>
      </c>
      <c r="AE28" s="4">
        <v>7</v>
      </c>
      <c r="AF28" s="4">
        <v>0</v>
      </c>
      <c r="AG28" s="4">
        <v>0</v>
      </c>
      <c r="AH28" s="4">
        <v>4</v>
      </c>
      <c r="AI28" s="4">
        <v>6</v>
      </c>
      <c r="AJ28" s="4">
        <v>0</v>
      </c>
      <c r="AK28" s="4">
        <v>0</v>
      </c>
      <c r="AL28" s="4">
        <v>4</v>
      </c>
      <c r="AM28" s="4">
        <v>4</v>
      </c>
      <c r="AN28" s="4">
        <v>0</v>
      </c>
      <c r="AO28" s="4">
        <v>0</v>
      </c>
      <c r="AP28" s="4">
        <v>0</v>
      </c>
      <c r="AQ28" s="4">
        <v>0</v>
      </c>
      <c r="AR28" s="3" t="s">
        <v>63</v>
      </c>
      <c r="AS28" s="3" t="s">
        <v>63</v>
      </c>
      <c r="AT28" s="3" t="s">
        <v>63</v>
      </c>
      <c r="AV28" s="6" t="str">
        <f>HYPERLINK("http://mcgill.on.worldcat.org/oclc/123128876","Catalog Record")</f>
        <v>Catalog Record</v>
      </c>
      <c r="AW28" s="6" t="str">
        <f>HYPERLINK("http://www.worldcat.org/oclc/123128876","WorldCat Record")</f>
        <v>WorldCat Record</v>
      </c>
      <c r="AX28" s="3" t="s">
        <v>40530</v>
      </c>
      <c r="AY28" s="3" t="s">
        <v>40531</v>
      </c>
      <c r="AZ28" s="3" t="s">
        <v>40532</v>
      </c>
      <c r="BA28" s="3" t="s">
        <v>40532</v>
      </c>
      <c r="BB28" s="3" t="s">
        <v>40533</v>
      </c>
      <c r="BC28" s="3" t="s">
        <v>40289</v>
      </c>
      <c r="BD28" s="3" t="s">
        <v>70</v>
      </c>
      <c r="BF28" s="3" t="s">
        <v>40533</v>
      </c>
      <c r="BG28" s="3" t="s">
        <v>40534</v>
      </c>
    </row>
    <row r="29" spans="1:59" ht="90" x14ac:dyDescent="0.25">
      <c r="A29" s="2" t="s">
        <v>59</v>
      </c>
      <c r="B29" s="2" t="s">
        <v>40280</v>
      </c>
      <c r="C29" s="2" t="s">
        <v>40535</v>
      </c>
      <c r="D29" s="2" t="s">
        <v>40536</v>
      </c>
      <c r="E29" s="2" t="s">
        <v>40537</v>
      </c>
      <c r="F29" s="3" t="s">
        <v>40538</v>
      </c>
      <c r="G29" s="3" t="s">
        <v>62</v>
      </c>
      <c r="I29" s="3" t="s">
        <v>63</v>
      </c>
      <c r="J29" s="3" t="s">
        <v>63</v>
      </c>
      <c r="K29" s="3" t="s">
        <v>64</v>
      </c>
      <c r="M29" s="2" t="s">
        <v>40539</v>
      </c>
      <c r="N29" s="3" t="s">
        <v>76</v>
      </c>
      <c r="P29" s="3" t="s">
        <v>66</v>
      </c>
      <c r="R29" s="3" t="s">
        <v>67</v>
      </c>
      <c r="S29" s="4">
        <v>4</v>
      </c>
      <c r="T29" s="4">
        <v>23</v>
      </c>
      <c r="U29" s="5" t="s">
        <v>12298</v>
      </c>
      <c r="V29" s="5" t="s">
        <v>15471</v>
      </c>
      <c r="W29" s="5" t="s">
        <v>69</v>
      </c>
      <c r="X29" s="5" t="s">
        <v>69</v>
      </c>
      <c r="Y29" s="4">
        <v>49</v>
      </c>
      <c r="Z29" s="4">
        <v>4</v>
      </c>
      <c r="AA29" s="4">
        <v>4</v>
      </c>
      <c r="AB29" s="4">
        <v>1</v>
      </c>
      <c r="AC29" s="4">
        <v>1</v>
      </c>
      <c r="AD29" s="4">
        <v>19</v>
      </c>
      <c r="AE29" s="4">
        <v>20</v>
      </c>
      <c r="AF29" s="4">
        <v>0</v>
      </c>
      <c r="AG29" s="4">
        <v>0</v>
      </c>
      <c r="AH29" s="4">
        <v>17</v>
      </c>
      <c r="AI29" s="4">
        <v>18</v>
      </c>
      <c r="AJ29" s="4">
        <v>2</v>
      </c>
      <c r="AK29" s="4">
        <v>2</v>
      </c>
      <c r="AL29" s="4">
        <v>16</v>
      </c>
      <c r="AM29" s="4">
        <v>17</v>
      </c>
      <c r="AN29" s="4">
        <v>0</v>
      </c>
      <c r="AO29" s="4">
        <v>0</v>
      </c>
      <c r="AP29" s="4">
        <v>2</v>
      </c>
      <c r="AQ29" s="4">
        <v>2</v>
      </c>
      <c r="AR29" s="3" t="s">
        <v>63</v>
      </c>
      <c r="AS29" s="3" t="s">
        <v>63</v>
      </c>
      <c r="AT29" s="3" t="s">
        <v>63</v>
      </c>
      <c r="AV29" s="6" t="str">
        <f>HYPERLINK("http://mcgill.on.worldcat.org/oclc/817970069","Catalog Record")</f>
        <v>Catalog Record</v>
      </c>
      <c r="AW29" s="6" t="str">
        <f>HYPERLINK("http://www.worldcat.org/oclc/817970069","WorldCat Record")</f>
        <v>WorldCat Record</v>
      </c>
      <c r="AX29" s="3" t="s">
        <v>40540</v>
      </c>
      <c r="AY29" s="3" t="s">
        <v>40541</v>
      </c>
      <c r="AZ29" s="3" t="s">
        <v>40542</v>
      </c>
      <c r="BA29" s="3" t="s">
        <v>40542</v>
      </c>
      <c r="BB29" s="3" t="s">
        <v>40543</v>
      </c>
      <c r="BC29" s="3" t="s">
        <v>40289</v>
      </c>
      <c r="BD29" s="3" t="s">
        <v>70</v>
      </c>
      <c r="BF29" s="3" t="s">
        <v>40543</v>
      </c>
      <c r="BG29" s="3" t="s">
        <v>40544</v>
      </c>
    </row>
    <row r="30" spans="1:59" ht="90" x14ac:dyDescent="0.25">
      <c r="A30" s="2" t="s">
        <v>59</v>
      </c>
      <c r="B30" s="2" t="s">
        <v>40280</v>
      </c>
      <c r="C30" s="2" t="s">
        <v>40535</v>
      </c>
      <c r="D30" s="2" t="s">
        <v>40536</v>
      </c>
      <c r="E30" s="2" t="s">
        <v>40537</v>
      </c>
      <c r="F30" s="3" t="s">
        <v>40545</v>
      </c>
      <c r="G30" s="3" t="s">
        <v>62</v>
      </c>
      <c r="I30" s="3" t="s">
        <v>63</v>
      </c>
      <c r="J30" s="3" t="s">
        <v>63</v>
      </c>
      <c r="K30" s="3" t="s">
        <v>64</v>
      </c>
      <c r="M30" s="2" t="s">
        <v>40539</v>
      </c>
      <c r="N30" s="3" t="s">
        <v>76</v>
      </c>
      <c r="P30" s="3" t="s">
        <v>66</v>
      </c>
      <c r="R30" s="3" t="s">
        <v>67</v>
      </c>
      <c r="S30" s="4">
        <v>5</v>
      </c>
      <c r="T30" s="4">
        <v>23</v>
      </c>
      <c r="U30" s="5" t="s">
        <v>9601</v>
      </c>
      <c r="V30" s="5" t="s">
        <v>15471</v>
      </c>
      <c r="W30" s="5" t="s">
        <v>69</v>
      </c>
      <c r="X30" s="5" t="s">
        <v>69</v>
      </c>
      <c r="Y30" s="4">
        <v>49</v>
      </c>
      <c r="Z30" s="4">
        <v>4</v>
      </c>
      <c r="AA30" s="4">
        <v>4</v>
      </c>
      <c r="AB30" s="4">
        <v>1</v>
      </c>
      <c r="AC30" s="4">
        <v>1</v>
      </c>
      <c r="AD30" s="4">
        <v>19</v>
      </c>
      <c r="AE30" s="4">
        <v>20</v>
      </c>
      <c r="AF30" s="4">
        <v>0</v>
      </c>
      <c r="AG30" s="4">
        <v>0</v>
      </c>
      <c r="AH30" s="4">
        <v>17</v>
      </c>
      <c r="AI30" s="4">
        <v>18</v>
      </c>
      <c r="AJ30" s="4">
        <v>2</v>
      </c>
      <c r="AK30" s="4">
        <v>2</v>
      </c>
      <c r="AL30" s="4">
        <v>16</v>
      </c>
      <c r="AM30" s="4">
        <v>17</v>
      </c>
      <c r="AN30" s="4">
        <v>0</v>
      </c>
      <c r="AO30" s="4">
        <v>0</v>
      </c>
      <c r="AP30" s="4">
        <v>2</v>
      </c>
      <c r="AQ30" s="4">
        <v>2</v>
      </c>
      <c r="AR30" s="3" t="s">
        <v>63</v>
      </c>
      <c r="AS30" s="3" t="s">
        <v>63</v>
      </c>
      <c r="AT30" s="3" t="s">
        <v>63</v>
      </c>
      <c r="AV30" s="6" t="str">
        <f>HYPERLINK("http://mcgill.on.worldcat.org/oclc/817970069","Catalog Record")</f>
        <v>Catalog Record</v>
      </c>
      <c r="AW30" s="6" t="str">
        <f>HYPERLINK("http://www.worldcat.org/oclc/817970069","WorldCat Record")</f>
        <v>WorldCat Record</v>
      </c>
      <c r="AX30" s="3" t="s">
        <v>40540</v>
      </c>
      <c r="AY30" s="3" t="s">
        <v>40541</v>
      </c>
      <c r="AZ30" s="3" t="s">
        <v>40542</v>
      </c>
      <c r="BA30" s="3" t="s">
        <v>40542</v>
      </c>
      <c r="BB30" s="3" t="s">
        <v>40546</v>
      </c>
      <c r="BC30" s="3" t="s">
        <v>40289</v>
      </c>
      <c r="BD30" s="3" t="s">
        <v>70</v>
      </c>
      <c r="BF30" s="3" t="s">
        <v>40546</v>
      </c>
      <c r="BG30" s="3" t="s">
        <v>40547</v>
      </c>
    </row>
    <row r="31" spans="1:59" ht="90" x14ac:dyDescent="0.25">
      <c r="A31" s="2" t="s">
        <v>59</v>
      </c>
      <c r="B31" s="2" t="s">
        <v>40280</v>
      </c>
      <c r="C31" s="2" t="s">
        <v>40535</v>
      </c>
      <c r="D31" s="2" t="s">
        <v>40536</v>
      </c>
      <c r="E31" s="2" t="s">
        <v>40537</v>
      </c>
      <c r="F31" s="3" t="s">
        <v>40548</v>
      </c>
      <c r="G31" s="3" t="s">
        <v>62</v>
      </c>
      <c r="I31" s="3" t="s">
        <v>63</v>
      </c>
      <c r="J31" s="3" t="s">
        <v>63</v>
      </c>
      <c r="K31" s="3" t="s">
        <v>64</v>
      </c>
      <c r="M31" s="2" t="s">
        <v>40539</v>
      </c>
      <c r="N31" s="3" t="s">
        <v>76</v>
      </c>
      <c r="P31" s="3" t="s">
        <v>66</v>
      </c>
      <c r="R31" s="3" t="s">
        <v>67</v>
      </c>
      <c r="S31" s="4">
        <v>4</v>
      </c>
      <c r="T31" s="4">
        <v>23</v>
      </c>
      <c r="U31" s="5" t="s">
        <v>17885</v>
      </c>
      <c r="V31" s="5" t="s">
        <v>15471</v>
      </c>
      <c r="W31" s="5" t="s">
        <v>69</v>
      </c>
      <c r="X31" s="5" t="s">
        <v>69</v>
      </c>
      <c r="Y31" s="4">
        <v>49</v>
      </c>
      <c r="Z31" s="4">
        <v>4</v>
      </c>
      <c r="AA31" s="4">
        <v>4</v>
      </c>
      <c r="AB31" s="4">
        <v>1</v>
      </c>
      <c r="AC31" s="4">
        <v>1</v>
      </c>
      <c r="AD31" s="4">
        <v>19</v>
      </c>
      <c r="AE31" s="4">
        <v>20</v>
      </c>
      <c r="AF31" s="4">
        <v>0</v>
      </c>
      <c r="AG31" s="4">
        <v>0</v>
      </c>
      <c r="AH31" s="4">
        <v>17</v>
      </c>
      <c r="AI31" s="4">
        <v>18</v>
      </c>
      <c r="AJ31" s="4">
        <v>2</v>
      </c>
      <c r="AK31" s="4">
        <v>2</v>
      </c>
      <c r="AL31" s="4">
        <v>16</v>
      </c>
      <c r="AM31" s="4">
        <v>17</v>
      </c>
      <c r="AN31" s="4">
        <v>0</v>
      </c>
      <c r="AO31" s="4">
        <v>0</v>
      </c>
      <c r="AP31" s="4">
        <v>2</v>
      </c>
      <c r="AQ31" s="4">
        <v>2</v>
      </c>
      <c r="AR31" s="3" t="s">
        <v>63</v>
      </c>
      <c r="AS31" s="3" t="s">
        <v>63</v>
      </c>
      <c r="AT31" s="3" t="s">
        <v>63</v>
      </c>
      <c r="AV31" s="6" t="str">
        <f>HYPERLINK("http://mcgill.on.worldcat.org/oclc/817970069","Catalog Record")</f>
        <v>Catalog Record</v>
      </c>
      <c r="AW31" s="6" t="str">
        <f>HYPERLINK("http://www.worldcat.org/oclc/817970069","WorldCat Record")</f>
        <v>WorldCat Record</v>
      </c>
      <c r="AX31" s="3" t="s">
        <v>40540</v>
      </c>
      <c r="AY31" s="3" t="s">
        <v>40541</v>
      </c>
      <c r="AZ31" s="3" t="s">
        <v>40542</v>
      </c>
      <c r="BA31" s="3" t="s">
        <v>40542</v>
      </c>
      <c r="BB31" s="3" t="s">
        <v>40549</v>
      </c>
      <c r="BC31" s="3" t="s">
        <v>40289</v>
      </c>
      <c r="BD31" s="3" t="s">
        <v>70</v>
      </c>
      <c r="BF31" s="3" t="s">
        <v>40549</v>
      </c>
      <c r="BG31" s="3" t="s">
        <v>40550</v>
      </c>
    </row>
    <row r="32" spans="1:59" ht="90" x14ac:dyDescent="0.25">
      <c r="A32" s="2" t="s">
        <v>59</v>
      </c>
      <c r="B32" s="2" t="s">
        <v>40280</v>
      </c>
      <c r="C32" s="2" t="s">
        <v>40535</v>
      </c>
      <c r="D32" s="2" t="s">
        <v>40536</v>
      </c>
      <c r="E32" s="2" t="s">
        <v>40537</v>
      </c>
      <c r="F32" s="3" t="s">
        <v>40551</v>
      </c>
      <c r="G32" s="3" t="s">
        <v>62</v>
      </c>
      <c r="I32" s="3" t="s">
        <v>63</v>
      </c>
      <c r="J32" s="3" t="s">
        <v>63</v>
      </c>
      <c r="K32" s="3" t="s">
        <v>64</v>
      </c>
      <c r="M32" s="2" t="s">
        <v>40539</v>
      </c>
      <c r="N32" s="3" t="s">
        <v>76</v>
      </c>
      <c r="P32" s="3" t="s">
        <v>66</v>
      </c>
      <c r="R32" s="3" t="s">
        <v>67</v>
      </c>
      <c r="S32" s="4">
        <v>2</v>
      </c>
      <c r="T32" s="4">
        <v>23</v>
      </c>
      <c r="U32" s="5" t="s">
        <v>12599</v>
      </c>
      <c r="V32" s="5" t="s">
        <v>15471</v>
      </c>
      <c r="W32" s="5" t="s">
        <v>69</v>
      </c>
      <c r="X32" s="5" t="s">
        <v>69</v>
      </c>
      <c r="Y32" s="4">
        <v>49</v>
      </c>
      <c r="Z32" s="4">
        <v>4</v>
      </c>
      <c r="AA32" s="4">
        <v>4</v>
      </c>
      <c r="AB32" s="4">
        <v>1</v>
      </c>
      <c r="AC32" s="4">
        <v>1</v>
      </c>
      <c r="AD32" s="4">
        <v>19</v>
      </c>
      <c r="AE32" s="4">
        <v>20</v>
      </c>
      <c r="AF32" s="4">
        <v>0</v>
      </c>
      <c r="AG32" s="4">
        <v>0</v>
      </c>
      <c r="AH32" s="4">
        <v>17</v>
      </c>
      <c r="AI32" s="4">
        <v>18</v>
      </c>
      <c r="AJ32" s="4">
        <v>2</v>
      </c>
      <c r="AK32" s="4">
        <v>2</v>
      </c>
      <c r="AL32" s="4">
        <v>16</v>
      </c>
      <c r="AM32" s="4">
        <v>17</v>
      </c>
      <c r="AN32" s="4">
        <v>0</v>
      </c>
      <c r="AO32" s="4">
        <v>0</v>
      </c>
      <c r="AP32" s="4">
        <v>2</v>
      </c>
      <c r="AQ32" s="4">
        <v>2</v>
      </c>
      <c r="AR32" s="3" t="s">
        <v>63</v>
      </c>
      <c r="AS32" s="3" t="s">
        <v>63</v>
      </c>
      <c r="AT32" s="3" t="s">
        <v>63</v>
      </c>
      <c r="AV32" s="6" t="str">
        <f>HYPERLINK("http://mcgill.on.worldcat.org/oclc/817970069","Catalog Record")</f>
        <v>Catalog Record</v>
      </c>
      <c r="AW32" s="6" t="str">
        <f>HYPERLINK("http://www.worldcat.org/oclc/817970069","WorldCat Record")</f>
        <v>WorldCat Record</v>
      </c>
      <c r="AX32" s="3" t="s">
        <v>40540</v>
      </c>
      <c r="AY32" s="3" t="s">
        <v>40541</v>
      </c>
      <c r="AZ32" s="3" t="s">
        <v>40542</v>
      </c>
      <c r="BA32" s="3" t="s">
        <v>40542</v>
      </c>
      <c r="BB32" s="3" t="s">
        <v>40552</v>
      </c>
      <c r="BC32" s="3" t="s">
        <v>40289</v>
      </c>
      <c r="BD32" s="3" t="s">
        <v>70</v>
      </c>
      <c r="BF32" s="3" t="s">
        <v>40552</v>
      </c>
      <c r="BG32" s="3" t="s">
        <v>40553</v>
      </c>
    </row>
    <row r="33" spans="1:59" ht="90" x14ac:dyDescent="0.25">
      <c r="A33" s="2" t="s">
        <v>59</v>
      </c>
      <c r="B33" s="2" t="s">
        <v>40280</v>
      </c>
      <c r="C33" s="2" t="s">
        <v>40535</v>
      </c>
      <c r="D33" s="2" t="s">
        <v>40536</v>
      </c>
      <c r="E33" s="2" t="s">
        <v>40537</v>
      </c>
      <c r="F33" s="3" t="s">
        <v>40554</v>
      </c>
      <c r="G33" s="3" t="s">
        <v>62</v>
      </c>
      <c r="I33" s="3" t="s">
        <v>63</v>
      </c>
      <c r="J33" s="3" t="s">
        <v>63</v>
      </c>
      <c r="K33" s="3" t="s">
        <v>64</v>
      </c>
      <c r="M33" s="2" t="s">
        <v>40539</v>
      </c>
      <c r="N33" s="3" t="s">
        <v>76</v>
      </c>
      <c r="P33" s="3" t="s">
        <v>66</v>
      </c>
      <c r="R33" s="3" t="s">
        <v>67</v>
      </c>
      <c r="S33" s="4">
        <v>3</v>
      </c>
      <c r="T33" s="4">
        <v>23</v>
      </c>
      <c r="U33" s="5" t="s">
        <v>40555</v>
      </c>
      <c r="V33" s="5" t="s">
        <v>15471</v>
      </c>
      <c r="W33" s="5" t="s">
        <v>69</v>
      </c>
      <c r="X33" s="5" t="s">
        <v>69</v>
      </c>
      <c r="Y33" s="4">
        <v>49</v>
      </c>
      <c r="Z33" s="4">
        <v>4</v>
      </c>
      <c r="AA33" s="4">
        <v>4</v>
      </c>
      <c r="AB33" s="4">
        <v>1</v>
      </c>
      <c r="AC33" s="4">
        <v>1</v>
      </c>
      <c r="AD33" s="4">
        <v>19</v>
      </c>
      <c r="AE33" s="4">
        <v>20</v>
      </c>
      <c r="AF33" s="4">
        <v>0</v>
      </c>
      <c r="AG33" s="4">
        <v>0</v>
      </c>
      <c r="AH33" s="4">
        <v>17</v>
      </c>
      <c r="AI33" s="4">
        <v>18</v>
      </c>
      <c r="AJ33" s="4">
        <v>2</v>
      </c>
      <c r="AK33" s="4">
        <v>2</v>
      </c>
      <c r="AL33" s="4">
        <v>16</v>
      </c>
      <c r="AM33" s="4">
        <v>17</v>
      </c>
      <c r="AN33" s="4">
        <v>0</v>
      </c>
      <c r="AO33" s="4">
        <v>0</v>
      </c>
      <c r="AP33" s="4">
        <v>2</v>
      </c>
      <c r="AQ33" s="4">
        <v>2</v>
      </c>
      <c r="AR33" s="3" t="s">
        <v>63</v>
      </c>
      <c r="AS33" s="3" t="s">
        <v>63</v>
      </c>
      <c r="AT33" s="3" t="s">
        <v>63</v>
      </c>
      <c r="AV33" s="6" t="str">
        <f>HYPERLINK("http://mcgill.on.worldcat.org/oclc/817970069","Catalog Record")</f>
        <v>Catalog Record</v>
      </c>
      <c r="AW33" s="6" t="str">
        <f>HYPERLINK("http://www.worldcat.org/oclc/817970069","WorldCat Record")</f>
        <v>WorldCat Record</v>
      </c>
      <c r="AX33" s="3" t="s">
        <v>40540</v>
      </c>
      <c r="AY33" s="3" t="s">
        <v>40541</v>
      </c>
      <c r="AZ33" s="3" t="s">
        <v>40542</v>
      </c>
      <c r="BA33" s="3" t="s">
        <v>40542</v>
      </c>
      <c r="BB33" s="3" t="s">
        <v>40556</v>
      </c>
      <c r="BC33" s="3" t="s">
        <v>40289</v>
      </c>
      <c r="BD33" s="3" t="s">
        <v>70</v>
      </c>
      <c r="BF33" s="3" t="s">
        <v>40556</v>
      </c>
      <c r="BG33" s="3" t="s">
        <v>40557</v>
      </c>
    </row>
    <row r="34" spans="1:59" ht="90" x14ac:dyDescent="0.25">
      <c r="A34" s="2" t="s">
        <v>59</v>
      </c>
      <c r="B34" s="2" t="s">
        <v>40280</v>
      </c>
      <c r="C34" s="2" t="s">
        <v>40535</v>
      </c>
      <c r="D34" s="2" t="s">
        <v>40536</v>
      </c>
      <c r="E34" s="2" t="s">
        <v>40537</v>
      </c>
      <c r="F34" s="3" t="s">
        <v>40558</v>
      </c>
      <c r="G34" s="3" t="s">
        <v>62</v>
      </c>
      <c r="I34" s="3" t="s">
        <v>63</v>
      </c>
      <c r="J34" s="3" t="s">
        <v>63</v>
      </c>
      <c r="K34" s="3" t="s">
        <v>64</v>
      </c>
      <c r="M34" s="2" t="s">
        <v>40539</v>
      </c>
      <c r="N34" s="3" t="s">
        <v>76</v>
      </c>
      <c r="P34" s="3" t="s">
        <v>66</v>
      </c>
      <c r="R34" s="3" t="s">
        <v>67</v>
      </c>
      <c r="S34" s="4">
        <v>5</v>
      </c>
      <c r="T34" s="4">
        <v>23</v>
      </c>
      <c r="U34" s="5" t="s">
        <v>15471</v>
      </c>
      <c r="V34" s="5" t="s">
        <v>15471</v>
      </c>
      <c r="W34" s="5" t="s">
        <v>69</v>
      </c>
      <c r="X34" s="5" t="s">
        <v>69</v>
      </c>
      <c r="Y34" s="4">
        <v>49</v>
      </c>
      <c r="Z34" s="4">
        <v>4</v>
      </c>
      <c r="AA34" s="4">
        <v>4</v>
      </c>
      <c r="AB34" s="4">
        <v>1</v>
      </c>
      <c r="AC34" s="4">
        <v>1</v>
      </c>
      <c r="AD34" s="4">
        <v>19</v>
      </c>
      <c r="AE34" s="4">
        <v>20</v>
      </c>
      <c r="AF34" s="4">
        <v>0</v>
      </c>
      <c r="AG34" s="4">
        <v>0</v>
      </c>
      <c r="AH34" s="4">
        <v>17</v>
      </c>
      <c r="AI34" s="4">
        <v>18</v>
      </c>
      <c r="AJ34" s="4">
        <v>2</v>
      </c>
      <c r="AK34" s="4">
        <v>2</v>
      </c>
      <c r="AL34" s="4">
        <v>16</v>
      </c>
      <c r="AM34" s="4">
        <v>17</v>
      </c>
      <c r="AN34" s="4">
        <v>0</v>
      </c>
      <c r="AO34" s="4">
        <v>0</v>
      </c>
      <c r="AP34" s="4">
        <v>2</v>
      </c>
      <c r="AQ34" s="4">
        <v>2</v>
      </c>
      <c r="AR34" s="3" t="s">
        <v>63</v>
      </c>
      <c r="AS34" s="3" t="s">
        <v>63</v>
      </c>
      <c r="AT34" s="3" t="s">
        <v>63</v>
      </c>
      <c r="AV34" s="6" t="str">
        <f>HYPERLINK("http://mcgill.on.worldcat.org/oclc/817970069","Catalog Record")</f>
        <v>Catalog Record</v>
      </c>
      <c r="AW34" s="6" t="str">
        <f>HYPERLINK("http://www.worldcat.org/oclc/817970069","WorldCat Record")</f>
        <v>WorldCat Record</v>
      </c>
      <c r="AX34" s="3" t="s">
        <v>40540</v>
      </c>
      <c r="AY34" s="3" t="s">
        <v>40541</v>
      </c>
      <c r="AZ34" s="3" t="s">
        <v>40542</v>
      </c>
      <c r="BA34" s="3" t="s">
        <v>40542</v>
      </c>
      <c r="BB34" s="3" t="s">
        <v>40559</v>
      </c>
      <c r="BC34" s="3" t="s">
        <v>40289</v>
      </c>
      <c r="BD34" s="3" t="s">
        <v>70</v>
      </c>
      <c r="BF34" s="3" t="s">
        <v>40559</v>
      </c>
      <c r="BG34" s="3" t="s">
        <v>40560</v>
      </c>
    </row>
    <row r="35" spans="1:59" ht="75" x14ac:dyDescent="0.25">
      <c r="A35" s="2" t="s">
        <v>59</v>
      </c>
      <c r="B35" s="2" t="s">
        <v>60</v>
      </c>
      <c r="C35" s="2" t="s">
        <v>40259</v>
      </c>
      <c r="D35" s="2" t="s">
        <v>40260</v>
      </c>
      <c r="E35" s="2" t="s">
        <v>40261</v>
      </c>
      <c r="G35" s="3" t="s">
        <v>63</v>
      </c>
      <c r="I35" s="3" t="s">
        <v>63</v>
      </c>
      <c r="J35" s="3" t="s">
        <v>63</v>
      </c>
      <c r="K35" s="3" t="s">
        <v>64</v>
      </c>
      <c r="L35" s="2" t="s">
        <v>40262</v>
      </c>
      <c r="M35" s="2" t="s">
        <v>40263</v>
      </c>
      <c r="N35" s="3" t="s">
        <v>106</v>
      </c>
      <c r="P35" s="3" t="s">
        <v>66</v>
      </c>
      <c r="R35" s="3" t="s">
        <v>67</v>
      </c>
      <c r="S35" s="4">
        <v>0</v>
      </c>
      <c r="T35" s="4">
        <v>0</v>
      </c>
      <c r="W35" s="5" t="s">
        <v>69</v>
      </c>
      <c r="X35" s="5" t="s">
        <v>69</v>
      </c>
      <c r="Y35" s="4">
        <v>7</v>
      </c>
      <c r="Z35" s="4">
        <v>1</v>
      </c>
      <c r="AA35" s="4">
        <v>1</v>
      </c>
      <c r="AB35" s="4">
        <v>1</v>
      </c>
      <c r="AC35" s="4">
        <v>1</v>
      </c>
      <c r="AD35" s="4">
        <v>2</v>
      </c>
      <c r="AE35" s="4">
        <v>2</v>
      </c>
      <c r="AF35" s="4">
        <v>0</v>
      </c>
      <c r="AG35" s="4">
        <v>0</v>
      </c>
      <c r="AH35" s="4">
        <v>2</v>
      </c>
      <c r="AI35" s="4">
        <v>2</v>
      </c>
      <c r="AJ35" s="4">
        <v>0</v>
      </c>
      <c r="AK35" s="4">
        <v>0</v>
      </c>
      <c r="AL35" s="4">
        <v>2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3" t="s">
        <v>63</v>
      </c>
      <c r="AS35" s="3" t="s">
        <v>63</v>
      </c>
      <c r="AT35" s="3" t="s">
        <v>63</v>
      </c>
      <c r="AV35" s="6" t="str">
        <f>HYPERLINK("http://mcgill.on.worldcat.org/oclc/1013515850","Catalog Record")</f>
        <v>Catalog Record</v>
      </c>
      <c r="AW35" s="6" t="str">
        <f>HYPERLINK("http://www.worldcat.org/oclc/1013515850","WorldCat Record")</f>
        <v>WorldCat Record</v>
      </c>
      <c r="AX35" s="3" t="s">
        <v>40264</v>
      </c>
      <c r="AY35" s="3" t="s">
        <v>40265</v>
      </c>
      <c r="AZ35" s="3" t="s">
        <v>40266</v>
      </c>
      <c r="BA35" s="3" t="s">
        <v>40266</v>
      </c>
      <c r="BB35" s="3" t="s">
        <v>40267</v>
      </c>
      <c r="BC35" s="3" t="s">
        <v>82</v>
      </c>
      <c r="BD35" s="3" t="s">
        <v>70</v>
      </c>
      <c r="BE35" s="3" t="s">
        <v>40268</v>
      </c>
      <c r="BF35" s="3" t="s">
        <v>40267</v>
      </c>
      <c r="BG35" s="3" t="s">
        <v>40269</v>
      </c>
    </row>
    <row r="36" spans="1:59" ht="75" x14ac:dyDescent="0.25">
      <c r="A36" s="2" t="s">
        <v>59</v>
      </c>
      <c r="B36" s="2" t="s">
        <v>60</v>
      </c>
      <c r="C36" s="2" t="s">
        <v>40270</v>
      </c>
      <c r="D36" s="2" t="s">
        <v>40271</v>
      </c>
      <c r="E36" s="2" t="s">
        <v>40272</v>
      </c>
      <c r="G36" s="3" t="s">
        <v>63</v>
      </c>
      <c r="I36" s="3" t="s">
        <v>63</v>
      </c>
      <c r="J36" s="3" t="s">
        <v>63</v>
      </c>
      <c r="K36" s="3" t="s">
        <v>64</v>
      </c>
      <c r="M36" s="2" t="s">
        <v>40273</v>
      </c>
      <c r="N36" s="3" t="s">
        <v>190</v>
      </c>
      <c r="P36" s="3" t="s">
        <v>66</v>
      </c>
      <c r="R36" s="3" t="s">
        <v>67</v>
      </c>
      <c r="S36" s="4">
        <v>1</v>
      </c>
      <c r="T36" s="4">
        <v>1</v>
      </c>
      <c r="U36" s="5" t="s">
        <v>22266</v>
      </c>
      <c r="V36" s="5" t="s">
        <v>22266</v>
      </c>
      <c r="W36" s="5" t="s">
        <v>69</v>
      </c>
      <c r="X36" s="5" t="s">
        <v>69</v>
      </c>
      <c r="Y36" s="4">
        <v>75</v>
      </c>
      <c r="Z36" s="4">
        <v>5</v>
      </c>
      <c r="AA36" s="4">
        <v>62</v>
      </c>
      <c r="AB36" s="4">
        <v>2</v>
      </c>
      <c r="AC36" s="4">
        <v>16</v>
      </c>
      <c r="AD36" s="4">
        <v>11</v>
      </c>
      <c r="AE36" s="4">
        <v>117</v>
      </c>
      <c r="AF36" s="4">
        <v>1</v>
      </c>
      <c r="AG36" s="4">
        <v>7</v>
      </c>
      <c r="AH36" s="4">
        <v>7</v>
      </c>
      <c r="AI36" s="4">
        <v>77</v>
      </c>
      <c r="AJ36" s="4">
        <v>4</v>
      </c>
      <c r="AK36" s="4">
        <v>25</v>
      </c>
      <c r="AL36" s="4">
        <v>3</v>
      </c>
      <c r="AM36" s="4">
        <v>44</v>
      </c>
      <c r="AN36" s="4">
        <v>0</v>
      </c>
      <c r="AO36" s="4">
        <v>0</v>
      </c>
      <c r="AP36" s="4">
        <v>4</v>
      </c>
      <c r="AQ36" s="4">
        <v>48</v>
      </c>
      <c r="AR36" s="3" t="s">
        <v>63</v>
      </c>
      <c r="AS36" s="3" t="s">
        <v>63</v>
      </c>
      <c r="AT36" s="3" t="s">
        <v>63</v>
      </c>
      <c r="AV36" s="6" t="str">
        <f>HYPERLINK("http://mcgill.on.worldcat.org/oclc/65195946","Catalog Record")</f>
        <v>Catalog Record</v>
      </c>
      <c r="AW36" s="6" t="str">
        <f>HYPERLINK("http://www.worldcat.org/oclc/65195946","WorldCat Record")</f>
        <v>WorldCat Record</v>
      </c>
      <c r="AX36" s="3" t="s">
        <v>40274</v>
      </c>
      <c r="AY36" s="3" t="s">
        <v>40275</v>
      </c>
      <c r="AZ36" s="3" t="s">
        <v>40276</v>
      </c>
      <c r="BA36" s="3" t="s">
        <v>40276</v>
      </c>
      <c r="BB36" s="3" t="s">
        <v>40277</v>
      </c>
      <c r="BC36" s="3" t="s">
        <v>82</v>
      </c>
      <c r="BD36" s="3" t="s">
        <v>70</v>
      </c>
      <c r="BE36" s="3" t="s">
        <v>40278</v>
      </c>
      <c r="BF36" s="3" t="s">
        <v>40277</v>
      </c>
      <c r="BG36" s="3" t="s">
        <v>40279</v>
      </c>
    </row>
    <row r="37" spans="1:59" ht="60" x14ac:dyDescent="0.25">
      <c r="A37" s="2" t="s">
        <v>59</v>
      </c>
      <c r="B37" s="2" t="s">
        <v>60</v>
      </c>
      <c r="C37" s="2" t="s">
        <v>40248</v>
      </c>
      <c r="D37" s="2" t="s">
        <v>40249</v>
      </c>
      <c r="E37" s="2" t="s">
        <v>40250</v>
      </c>
      <c r="G37" s="3" t="s">
        <v>63</v>
      </c>
      <c r="I37" s="3" t="s">
        <v>63</v>
      </c>
      <c r="J37" s="3" t="s">
        <v>63</v>
      </c>
      <c r="K37" s="3" t="s">
        <v>64</v>
      </c>
      <c r="L37" s="2" t="s">
        <v>40251</v>
      </c>
      <c r="M37" s="2" t="s">
        <v>40252</v>
      </c>
      <c r="N37" s="3" t="s">
        <v>3640</v>
      </c>
      <c r="P37" s="3" t="s">
        <v>66</v>
      </c>
      <c r="R37" s="3" t="s">
        <v>67</v>
      </c>
      <c r="S37" s="4">
        <v>4</v>
      </c>
      <c r="T37" s="4">
        <v>4</v>
      </c>
      <c r="U37" s="5" t="s">
        <v>302</v>
      </c>
      <c r="V37" s="5" t="s">
        <v>302</v>
      </c>
      <c r="W37" s="5" t="s">
        <v>69</v>
      </c>
      <c r="X37" s="5" t="s">
        <v>69</v>
      </c>
      <c r="Y37" s="4">
        <v>84</v>
      </c>
      <c r="Z37" s="4">
        <v>10</v>
      </c>
      <c r="AA37" s="4">
        <v>10</v>
      </c>
      <c r="AB37" s="4">
        <v>1</v>
      </c>
      <c r="AC37" s="4">
        <v>1</v>
      </c>
      <c r="AD37" s="4">
        <v>43</v>
      </c>
      <c r="AE37" s="4">
        <v>45</v>
      </c>
      <c r="AF37" s="4">
        <v>0</v>
      </c>
      <c r="AG37" s="4">
        <v>0</v>
      </c>
      <c r="AH37" s="4">
        <v>39</v>
      </c>
      <c r="AI37" s="4">
        <v>41</v>
      </c>
      <c r="AJ37" s="4">
        <v>7</v>
      </c>
      <c r="AK37" s="4">
        <v>7</v>
      </c>
      <c r="AL37" s="4">
        <v>28</v>
      </c>
      <c r="AM37" s="4">
        <v>30</v>
      </c>
      <c r="AN37" s="4">
        <v>0</v>
      </c>
      <c r="AO37" s="4">
        <v>0</v>
      </c>
      <c r="AP37" s="4">
        <v>7</v>
      </c>
      <c r="AQ37" s="4">
        <v>7</v>
      </c>
      <c r="AR37" s="3" t="s">
        <v>63</v>
      </c>
      <c r="AS37" s="3" t="s">
        <v>63</v>
      </c>
      <c r="AT37" s="3" t="s">
        <v>63</v>
      </c>
      <c r="AV37" s="6" t="str">
        <f>HYPERLINK("http://mcgill.on.worldcat.org/oclc/9904269","Catalog Record")</f>
        <v>Catalog Record</v>
      </c>
      <c r="AW37" s="6" t="str">
        <f>HYPERLINK("http://www.worldcat.org/oclc/9904269","WorldCat Record")</f>
        <v>WorldCat Record</v>
      </c>
      <c r="AX37" s="3" t="s">
        <v>40253</v>
      </c>
      <c r="AY37" s="3" t="s">
        <v>40254</v>
      </c>
      <c r="AZ37" s="3" t="s">
        <v>40255</v>
      </c>
      <c r="BA37" s="3" t="s">
        <v>40255</v>
      </c>
      <c r="BB37" s="3" t="s">
        <v>40256</v>
      </c>
      <c r="BC37" s="3" t="s">
        <v>82</v>
      </c>
      <c r="BD37" s="3" t="s">
        <v>70</v>
      </c>
      <c r="BE37" s="3" t="s">
        <v>40257</v>
      </c>
      <c r="BF37" s="3" t="s">
        <v>40256</v>
      </c>
      <c r="BG37" s="3" t="s">
        <v>40258</v>
      </c>
    </row>
    <row r="38" spans="1:59" ht="60" x14ac:dyDescent="0.25">
      <c r="A38" s="2" t="s">
        <v>59</v>
      </c>
      <c r="B38" s="2" t="s">
        <v>60</v>
      </c>
      <c r="C38" s="2" t="s">
        <v>40004</v>
      </c>
      <c r="D38" s="2" t="s">
        <v>40005</v>
      </c>
      <c r="E38" s="2" t="s">
        <v>40006</v>
      </c>
      <c r="G38" s="3" t="s">
        <v>63</v>
      </c>
      <c r="I38" s="3" t="s">
        <v>62</v>
      </c>
      <c r="J38" s="3" t="s">
        <v>63</v>
      </c>
      <c r="K38" s="3" t="s">
        <v>64</v>
      </c>
      <c r="M38" s="2" t="s">
        <v>40007</v>
      </c>
      <c r="N38" s="3" t="s">
        <v>204</v>
      </c>
      <c r="P38" s="3" t="s">
        <v>66</v>
      </c>
      <c r="R38" s="3" t="s">
        <v>67</v>
      </c>
      <c r="S38" s="4">
        <v>9</v>
      </c>
      <c r="T38" s="4">
        <v>9</v>
      </c>
      <c r="U38" s="5" t="s">
        <v>12898</v>
      </c>
      <c r="V38" s="5" t="s">
        <v>12898</v>
      </c>
      <c r="W38" s="5" t="s">
        <v>69</v>
      </c>
      <c r="X38" s="5" t="s">
        <v>69</v>
      </c>
      <c r="Y38" s="4">
        <v>115</v>
      </c>
      <c r="Z38" s="4">
        <v>9</v>
      </c>
      <c r="AA38" s="4">
        <v>9</v>
      </c>
      <c r="AB38" s="4">
        <v>1</v>
      </c>
      <c r="AC38" s="4">
        <v>1</v>
      </c>
      <c r="AD38" s="4">
        <v>58</v>
      </c>
      <c r="AE38" s="4">
        <v>58</v>
      </c>
      <c r="AF38" s="4">
        <v>0</v>
      </c>
      <c r="AG38" s="4">
        <v>0</v>
      </c>
      <c r="AH38" s="4">
        <v>57</v>
      </c>
      <c r="AI38" s="4">
        <v>57</v>
      </c>
      <c r="AJ38" s="4">
        <v>5</v>
      </c>
      <c r="AK38" s="4">
        <v>5</v>
      </c>
      <c r="AL38" s="4">
        <v>36</v>
      </c>
      <c r="AM38" s="4">
        <v>36</v>
      </c>
      <c r="AN38" s="4">
        <v>0</v>
      </c>
      <c r="AO38" s="4">
        <v>0</v>
      </c>
      <c r="AP38" s="4">
        <v>6</v>
      </c>
      <c r="AQ38" s="4">
        <v>6</v>
      </c>
      <c r="AR38" s="3" t="s">
        <v>63</v>
      </c>
      <c r="AS38" s="3" t="s">
        <v>63</v>
      </c>
      <c r="AT38" s="3" t="s">
        <v>62</v>
      </c>
      <c r="AU38" s="6" t="str">
        <f>HYPERLINK("http://catalog.hathitrust.org/Record/003096520","HathiTrust Record")</f>
        <v>HathiTrust Record</v>
      </c>
      <c r="AV38" s="6" t="str">
        <f>HYPERLINK("http://mcgill.on.worldcat.org/oclc/34675959","Catalog Record")</f>
        <v>Catalog Record</v>
      </c>
      <c r="AW38" s="6" t="str">
        <f>HYPERLINK("http://www.worldcat.org/oclc/34675959","WorldCat Record")</f>
        <v>WorldCat Record</v>
      </c>
      <c r="AX38" s="3" t="s">
        <v>40008</v>
      </c>
      <c r="AY38" s="3" t="s">
        <v>40009</v>
      </c>
      <c r="AZ38" s="3" t="s">
        <v>40010</v>
      </c>
      <c r="BA38" s="3" t="s">
        <v>40010</v>
      </c>
      <c r="BB38" s="3" t="s">
        <v>40011</v>
      </c>
      <c r="BC38" s="3" t="s">
        <v>82</v>
      </c>
      <c r="BD38" s="3" t="s">
        <v>70</v>
      </c>
      <c r="BE38" s="3" t="s">
        <v>40012</v>
      </c>
      <c r="BF38" s="3" t="s">
        <v>40011</v>
      </c>
      <c r="BG38" s="3" t="s">
        <v>40013</v>
      </c>
    </row>
    <row r="39" spans="1:59" ht="75" x14ac:dyDescent="0.25">
      <c r="A39" s="2" t="s">
        <v>59</v>
      </c>
      <c r="B39" s="2" t="s">
        <v>60</v>
      </c>
      <c r="C39" s="2" t="s">
        <v>71</v>
      </c>
      <c r="D39" s="2" t="s">
        <v>72</v>
      </c>
      <c r="E39" s="2" t="s">
        <v>73</v>
      </c>
      <c r="F39" s="3" t="s">
        <v>74</v>
      </c>
      <c r="G39" s="3" t="s">
        <v>62</v>
      </c>
      <c r="I39" s="3" t="s">
        <v>63</v>
      </c>
      <c r="J39" s="3" t="s">
        <v>63</v>
      </c>
      <c r="K39" s="3" t="s">
        <v>64</v>
      </c>
      <c r="M39" s="2" t="s">
        <v>75</v>
      </c>
      <c r="N39" s="3" t="s">
        <v>76</v>
      </c>
      <c r="P39" s="3" t="s">
        <v>66</v>
      </c>
      <c r="Q39" s="2" t="s">
        <v>77</v>
      </c>
      <c r="R39" s="3" t="s">
        <v>67</v>
      </c>
      <c r="S39" s="4">
        <v>0</v>
      </c>
      <c r="T39" s="4">
        <v>0</v>
      </c>
      <c r="W39" s="5" t="s">
        <v>69</v>
      </c>
      <c r="X39" s="5" t="s">
        <v>69</v>
      </c>
      <c r="Y39" s="4">
        <v>33</v>
      </c>
      <c r="Z39" s="4">
        <v>4</v>
      </c>
      <c r="AA39" s="4">
        <v>4</v>
      </c>
      <c r="AB39" s="4">
        <v>1</v>
      </c>
      <c r="AC39" s="4">
        <v>1</v>
      </c>
      <c r="AD39" s="4">
        <v>21</v>
      </c>
      <c r="AE39" s="4">
        <v>21</v>
      </c>
      <c r="AF39" s="4">
        <v>0</v>
      </c>
      <c r="AG39" s="4">
        <v>0</v>
      </c>
      <c r="AH39" s="4">
        <v>20</v>
      </c>
      <c r="AI39" s="4">
        <v>20</v>
      </c>
      <c r="AJ39" s="4">
        <v>2</v>
      </c>
      <c r="AK39" s="4">
        <v>2</v>
      </c>
      <c r="AL39" s="4">
        <v>18</v>
      </c>
      <c r="AM39" s="4">
        <v>18</v>
      </c>
      <c r="AN39" s="4">
        <v>0</v>
      </c>
      <c r="AO39" s="4">
        <v>0</v>
      </c>
      <c r="AP39" s="4">
        <v>2</v>
      </c>
      <c r="AQ39" s="4">
        <v>2</v>
      </c>
      <c r="AR39" s="3" t="s">
        <v>63</v>
      </c>
      <c r="AS39" s="3" t="s">
        <v>63</v>
      </c>
      <c r="AT39" s="3" t="s">
        <v>63</v>
      </c>
      <c r="AV39" s="6" t="str">
        <f>HYPERLINK("http://mcgill.on.worldcat.org/oclc/827003605","Catalog Record")</f>
        <v>Catalog Record</v>
      </c>
      <c r="AW39" s="6" t="str">
        <f>HYPERLINK("http://www.worldcat.org/oclc/827003605","WorldCat Record")</f>
        <v>WorldCat Record</v>
      </c>
      <c r="AX39" s="3" t="s">
        <v>78</v>
      </c>
      <c r="AY39" s="3" t="s">
        <v>79</v>
      </c>
      <c r="AZ39" s="3" t="s">
        <v>80</v>
      </c>
      <c r="BA39" s="3" t="s">
        <v>80</v>
      </c>
      <c r="BB39" s="3" t="s">
        <v>81</v>
      </c>
      <c r="BC39" s="3" t="s">
        <v>82</v>
      </c>
      <c r="BD39" s="3" t="s">
        <v>70</v>
      </c>
      <c r="BE39" s="3" t="s">
        <v>83</v>
      </c>
      <c r="BF39" s="3" t="s">
        <v>81</v>
      </c>
      <c r="BG39" s="3" t="s">
        <v>84</v>
      </c>
    </row>
    <row r="40" spans="1:59" ht="75" x14ac:dyDescent="0.25">
      <c r="A40" s="2" t="s">
        <v>59</v>
      </c>
      <c r="B40" s="2" t="s">
        <v>60</v>
      </c>
      <c r="C40" s="2" t="s">
        <v>71</v>
      </c>
      <c r="D40" s="2" t="s">
        <v>72</v>
      </c>
      <c r="E40" s="2" t="s">
        <v>73</v>
      </c>
      <c r="F40" s="3" t="s">
        <v>85</v>
      </c>
      <c r="G40" s="3" t="s">
        <v>62</v>
      </c>
      <c r="I40" s="3" t="s">
        <v>63</v>
      </c>
      <c r="J40" s="3" t="s">
        <v>63</v>
      </c>
      <c r="K40" s="3" t="s">
        <v>64</v>
      </c>
      <c r="M40" s="2" t="s">
        <v>75</v>
      </c>
      <c r="N40" s="3" t="s">
        <v>76</v>
      </c>
      <c r="P40" s="3" t="s">
        <v>66</v>
      </c>
      <c r="Q40" s="2" t="s">
        <v>77</v>
      </c>
      <c r="R40" s="3" t="s">
        <v>67</v>
      </c>
      <c r="S40" s="4">
        <v>0</v>
      </c>
      <c r="T40" s="4">
        <v>0</v>
      </c>
      <c r="W40" s="5" t="s">
        <v>69</v>
      </c>
      <c r="X40" s="5" t="s">
        <v>69</v>
      </c>
      <c r="Y40" s="4">
        <v>33</v>
      </c>
      <c r="Z40" s="4">
        <v>4</v>
      </c>
      <c r="AA40" s="4">
        <v>4</v>
      </c>
      <c r="AB40" s="4">
        <v>1</v>
      </c>
      <c r="AC40" s="4">
        <v>1</v>
      </c>
      <c r="AD40" s="4">
        <v>21</v>
      </c>
      <c r="AE40" s="4">
        <v>21</v>
      </c>
      <c r="AF40" s="4">
        <v>0</v>
      </c>
      <c r="AG40" s="4">
        <v>0</v>
      </c>
      <c r="AH40" s="4">
        <v>20</v>
      </c>
      <c r="AI40" s="4">
        <v>20</v>
      </c>
      <c r="AJ40" s="4">
        <v>2</v>
      </c>
      <c r="AK40" s="4">
        <v>2</v>
      </c>
      <c r="AL40" s="4">
        <v>18</v>
      </c>
      <c r="AM40" s="4">
        <v>18</v>
      </c>
      <c r="AN40" s="4">
        <v>0</v>
      </c>
      <c r="AO40" s="4">
        <v>0</v>
      </c>
      <c r="AP40" s="4">
        <v>2</v>
      </c>
      <c r="AQ40" s="4">
        <v>2</v>
      </c>
      <c r="AR40" s="3" t="s">
        <v>63</v>
      </c>
      <c r="AS40" s="3" t="s">
        <v>63</v>
      </c>
      <c r="AT40" s="3" t="s">
        <v>63</v>
      </c>
      <c r="AV40" s="6" t="str">
        <f>HYPERLINK("http://mcgill.on.worldcat.org/oclc/827003605","Catalog Record")</f>
        <v>Catalog Record</v>
      </c>
      <c r="AW40" s="6" t="str">
        <f>HYPERLINK("http://www.worldcat.org/oclc/827003605","WorldCat Record")</f>
        <v>WorldCat Record</v>
      </c>
      <c r="AX40" s="3" t="s">
        <v>78</v>
      </c>
      <c r="AY40" s="3" t="s">
        <v>79</v>
      </c>
      <c r="AZ40" s="3" t="s">
        <v>80</v>
      </c>
      <c r="BA40" s="3" t="s">
        <v>80</v>
      </c>
      <c r="BB40" s="3" t="s">
        <v>86</v>
      </c>
      <c r="BC40" s="3" t="s">
        <v>82</v>
      </c>
      <c r="BD40" s="3" t="s">
        <v>70</v>
      </c>
      <c r="BE40" s="3" t="s">
        <v>83</v>
      </c>
      <c r="BF40" s="3" t="s">
        <v>86</v>
      </c>
      <c r="BG40" s="3" t="s">
        <v>87</v>
      </c>
    </row>
    <row r="41" spans="1:59" ht="75" x14ac:dyDescent="0.25">
      <c r="A41" s="2" t="s">
        <v>59</v>
      </c>
      <c r="B41" s="2" t="s">
        <v>60</v>
      </c>
      <c r="C41" s="2" t="s">
        <v>71</v>
      </c>
      <c r="D41" s="2" t="s">
        <v>72</v>
      </c>
      <c r="E41" s="2" t="s">
        <v>88</v>
      </c>
      <c r="F41" s="3" t="s">
        <v>89</v>
      </c>
      <c r="G41" s="3" t="s">
        <v>62</v>
      </c>
      <c r="I41" s="3" t="s">
        <v>63</v>
      </c>
      <c r="J41" s="3" t="s">
        <v>63</v>
      </c>
      <c r="K41" s="3" t="s">
        <v>64</v>
      </c>
      <c r="M41" s="2" t="s">
        <v>75</v>
      </c>
      <c r="N41" s="3" t="s">
        <v>76</v>
      </c>
      <c r="P41" s="3" t="s">
        <v>90</v>
      </c>
      <c r="Q41" s="2" t="s">
        <v>91</v>
      </c>
      <c r="R41" s="3" t="s">
        <v>67</v>
      </c>
      <c r="S41" s="4">
        <v>0</v>
      </c>
      <c r="T41" s="4">
        <v>0</v>
      </c>
      <c r="W41" s="5" t="s">
        <v>69</v>
      </c>
      <c r="X41" s="5" t="s">
        <v>69</v>
      </c>
      <c r="Y41" s="4">
        <v>29</v>
      </c>
      <c r="Z41" s="4">
        <v>3</v>
      </c>
      <c r="AA41" s="4">
        <v>3</v>
      </c>
      <c r="AB41" s="4">
        <v>1</v>
      </c>
      <c r="AC41" s="4">
        <v>1</v>
      </c>
      <c r="AD41" s="4">
        <v>20</v>
      </c>
      <c r="AE41" s="4">
        <v>20</v>
      </c>
      <c r="AF41" s="4">
        <v>0</v>
      </c>
      <c r="AG41" s="4">
        <v>0</v>
      </c>
      <c r="AH41" s="4">
        <v>19</v>
      </c>
      <c r="AI41" s="4">
        <v>19</v>
      </c>
      <c r="AJ41" s="4">
        <v>1</v>
      </c>
      <c r="AK41" s="4">
        <v>1</v>
      </c>
      <c r="AL41" s="4">
        <v>18</v>
      </c>
      <c r="AM41" s="4">
        <v>18</v>
      </c>
      <c r="AN41" s="4">
        <v>0</v>
      </c>
      <c r="AO41" s="4">
        <v>0</v>
      </c>
      <c r="AP41" s="4">
        <v>1</v>
      </c>
      <c r="AQ41" s="4">
        <v>1</v>
      </c>
      <c r="AR41" s="3" t="s">
        <v>63</v>
      </c>
      <c r="AS41" s="3" t="s">
        <v>63</v>
      </c>
      <c r="AT41" s="3" t="s">
        <v>63</v>
      </c>
      <c r="AV41" s="6" t="str">
        <f>HYPERLINK("http://mcgill.on.worldcat.org/oclc/833573732","Catalog Record")</f>
        <v>Catalog Record</v>
      </c>
      <c r="AW41" s="6" t="str">
        <f>HYPERLINK("http://www.worldcat.org/oclc/833573732","WorldCat Record")</f>
        <v>WorldCat Record</v>
      </c>
      <c r="AX41" s="3" t="s">
        <v>92</v>
      </c>
      <c r="AY41" s="3" t="s">
        <v>93</v>
      </c>
      <c r="AZ41" s="3" t="s">
        <v>94</v>
      </c>
      <c r="BA41" s="3" t="s">
        <v>94</v>
      </c>
      <c r="BB41" s="3" t="s">
        <v>95</v>
      </c>
      <c r="BC41" s="3" t="s">
        <v>82</v>
      </c>
      <c r="BD41" s="3" t="s">
        <v>70</v>
      </c>
      <c r="BE41" s="3" t="s">
        <v>96</v>
      </c>
      <c r="BF41" s="3" t="s">
        <v>95</v>
      </c>
      <c r="BG41" s="3" t="s">
        <v>97</v>
      </c>
    </row>
    <row r="42" spans="1:59" ht="75" x14ac:dyDescent="0.25">
      <c r="A42" s="2" t="s">
        <v>59</v>
      </c>
      <c r="B42" s="2" t="s">
        <v>60</v>
      </c>
      <c r="C42" s="2" t="s">
        <v>71</v>
      </c>
      <c r="D42" s="2" t="s">
        <v>72</v>
      </c>
      <c r="E42" s="2" t="s">
        <v>88</v>
      </c>
      <c r="F42" s="3" t="s">
        <v>98</v>
      </c>
      <c r="G42" s="3" t="s">
        <v>62</v>
      </c>
      <c r="I42" s="3" t="s">
        <v>63</v>
      </c>
      <c r="J42" s="3" t="s">
        <v>63</v>
      </c>
      <c r="K42" s="3" t="s">
        <v>64</v>
      </c>
      <c r="M42" s="2" t="s">
        <v>75</v>
      </c>
      <c r="N42" s="3" t="s">
        <v>76</v>
      </c>
      <c r="P42" s="3" t="s">
        <v>90</v>
      </c>
      <c r="Q42" s="2" t="s">
        <v>91</v>
      </c>
      <c r="R42" s="3" t="s">
        <v>67</v>
      </c>
      <c r="S42" s="4">
        <v>0</v>
      </c>
      <c r="T42" s="4">
        <v>0</v>
      </c>
      <c r="W42" s="5" t="s">
        <v>69</v>
      </c>
      <c r="X42" s="5" t="s">
        <v>69</v>
      </c>
      <c r="Y42" s="4">
        <v>29</v>
      </c>
      <c r="Z42" s="4">
        <v>3</v>
      </c>
      <c r="AA42" s="4">
        <v>3</v>
      </c>
      <c r="AB42" s="4">
        <v>1</v>
      </c>
      <c r="AC42" s="4">
        <v>1</v>
      </c>
      <c r="AD42" s="4">
        <v>20</v>
      </c>
      <c r="AE42" s="4">
        <v>20</v>
      </c>
      <c r="AF42" s="4">
        <v>0</v>
      </c>
      <c r="AG42" s="4">
        <v>0</v>
      </c>
      <c r="AH42" s="4">
        <v>19</v>
      </c>
      <c r="AI42" s="4">
        <v>19</v>
      </c>
      <c r="AJ42" s="4">
        <v>1</v>
      </c>
      <c r="AK42" s="4">
        <v>1</v>
      </c>
      <c r="AL42" s="4">
        <v>18</v>
      </c>
      <c r="AM42" s="4">
        <v>18</v>
      </c>
      <c r="AN42" s="4">
        <v>0</v>
      </c>
      <c r="AO42" s="4">
        <v>0</v>
      </c>
      <c r="AP42" s="4">
        <v>1</v>
      </c>
      <c r="AQ42" s="4">
        <v>1</v>
      </c>
      <c r="AR42" s="3" t="s">
        <v>63</v>
      </c>
      <c r="AS42" s="3" t="s">
        <v>63</v>
      </c>
      <c r="AT42" s="3" t="s">
        <v>63</v>
      </c>
      <c r="AV42" s="6" t="str">
        <f>HYPERLINK("http://mcgill.on.worldcat.org/oclc/833573732","Catalog Record")</f>
        <v>Catalog Record</v>
      </c>
      <c r="AW42" s="6" t="str">
        <f>HYPERLINK("http://www.worldcat.org/oclc/833573732","WorldCat Record")</f>
        <v>WorldCat Record</v>
      </c>
      <c r="AX42" s="3" t="s">
        <v>92</v>
      </c>
      <c r="AY42" s="3" t="s">
        <v>93</v>
      </c>
      <c r="AZ42" s="3" t="s">
        <v>94</v>
      </c>
      <c r="BA42" s="3" t="s">
        <v>94</v>
      </c>
      <c r="BB42" s="3" t="s">
        <v>99</v>
      </c>
      <c r="BC42" s="3" t="s">
        <v>82</v>
      </c>
      <c r="BD42" s="3" t="s">
        <v>70</v>
      </c>
      <c r="BE42" s="3" t="s">
        <v>96</v>
      </c>
      <c r="BF42" s="3" t="s">
        <v>99</v>
      </c>
      <c r="BG42" s="3" t="s">
        <v>100</v>
      </c>
    </row>
    <row r="43" spans="1:59" ht="75" x14ac:dyDescent="0.25">
      <c r="A43" s="2" t="s">
        <v>59</v>
      </c>
      <c r="B43" s="2" t="s">
        <v>60</v>
      </c>
      <c r="C43" s="2" t="s">
        <v>71</v>
      </c>
      <c r="D43" s="2" t="s">
        <v>72</v>
      </c>
      <c r="E43" s="2" t="s">
        <v>40570</v>
      </c>
      <c r="F43" s="3" t="s">
        <v>40569</v>
      </c>
      <c r="G43" s="3" t="s">
        <v>62</v>
      </c>
      <c r="I43" s="3" t="s">
        <v>63</v>
      </c>
      <c r="J43" s="3" t="s">
        <v>63</v>
      </c>
      <c r="K43" s="3" t="s">
        <v>64</v>
      </c>
      <c r="M43" s="2" t="s">
        <v>40568</v>
      </c>
      <c r="N43" s="3" t="s">
        <v>261</v>
      </c>
      <c r="P43" s="3" t="s">
        <v>66</v>
      </c>
      <c r="Q43" s="2" t="s">
        <v>40567</v>
      </c>
      <c r="R43" s="3" t="s">
        <v>67</v>
      </c>
      <c r="S43" s="4">
        <v>1</v>
      </c>
      <c r="T43" s="4">
        <v>2</v>
      </c>
      <c r="U43" s="5" t="s">
        <v>40566</v>
      </c>
      <c r="V43" s="5" t="s">
        <v>40566</v>
      </c>
      <c r="W43" s="5" t="s">
        <v>69</v>
      </c>
      <c r="X43" s="5" t="s">
        <v>69</v>
      </c>
      <c r="Y43" s="4">
        <v>51</v>
      </c>
      <c r="Z43" s="4">
        <v>6</v>
      </c>
      <c r="AA43" s="4">
        <v>6</v>
      </c>
      <c r="AB43" s="4">
        <v>1</v>
      </c>
      <c r="AC43" s="4">
        <v>1</v>
      </c>
      <c r="AD43" s="4">
        <v>31</v>
      </c>
      <c r="AE43" s="4">
        <v>31</v>
      </c>
      <c r="AF43" s="4">
        <v>0</v>
      </c>
      <c r="AG43" s="4">
        <v>0</v>
      </c>
      <c r="AH43" s="4">
        <v>30</v>
      </c>
      <c r="AI43" s="4">
        <v>30</v>
      </c>
      <c r="AJ43" s="4">
        <v>4</v>
      </c>
      <c r="AK43" s="4">
        <v>4</v>
      </c>
      <c r="AL43" s="4">
        <v>22</v>
      </c>
      <c r="AM43" s="4">
        <v>22</v>
      </c>
      <c r="AN43" s="4">
        <v>0</v>
      </c>
      <c r="AO43" s="4">
        <v>0</v>
      </c>
      <c r="AP43" s="4">
        <v>4</v>
      </c>
      <c r="AQ43" s="4">
        <v>4</v>
      </c>
      <c r="AR43" s="3" t="s">
        <v>63</v>
      </c>
      <c r="AS43" s="3" t="s">
        <v>63</v>
      </c>
      <c r="AT43" s="3" t="s">
        <v>63</v>
      </c>
      <c r="AV43" s="6" t="str">
        <f>HYPERLINK("http://mcgill.on.worldcat.org/oclc/173092197","Catalog Record")</f>
        <v>Catalog Record</v>
      </c>
      <c r="AW43" s="6" t="str">
        <f>HYPERLINK("http://www.worldcat.org/oclc/173092197","WorldCat Record")</f>
        <v>WorldCat Record</v>
      </c>
      <c r="AX43" s="3" t="s">
        <v>40565</v>
      </c>
      <c r="AY43" s="3" t="s">
        <v>40564</v>
      </c>
      <c r="AZ43" s="3" t="s">
        <v>40563</v>
      </c>
      <c r="BA43" s="3" t="s">
        <v>40563</v>
      </c>
      <c r="BB43" s="3" t="s">
        <v>40561</v>
      </c>
      <c r="BC43" s="3" t="s">
        <v>82</v>
      </c>
      <c r="BD43" s="3" t="s">
        <v>70</v>
      </c>
      <c r="BE43" s="3" t="s">
        <v>40562</v>
      </c>
      <c r="BF43" s="3" t="s">
        <v>40561</v>
      </c>
    </row>
    <row r="44" spans="1:59" ht="75" x14ac:dyDescent="0.25">
      <c r="A44" s="2" t="s">
        <v>59</v>
      </c>
      <c r="B44" s="2" t="s">
        <v>60</v>
      </c>
      <c r="C44" s="2" t="s">
        <v>101</v>
      </c>
      <c r="D44" s="2" t="s">
        <v>102</v>
      </c>
      <c r="E44" s="2" t="s">
        <v>103</v>
      </c>
      <c r="F44" s="3" t="s">
        <v>104</v>
      </c>
      <c r="G44" s="3" t="s">
        <v>63</v>
      </c>
      <c r="I44" s="3" t="s">
        <v>63</v>
      </c>
      <c r="J44" s="3" t="s">
        <v>63</v>
      </c>
      <c r="K44" s="3" t="s">
        <v>64</v>
      </c>
      <c r="M44" s="2" t="s">
        <v>105</v>
      </c>
      <c r="N44" s="3" t="s">
        <v>106</v>
      </c>
      <c r="P44" s="3" t="s">
        <v>90</v>
      </c>
      <c r="Q44" s="2" t="s">
        <v>107</v>
      </c>
      <c r="R44" s="3" t="s">
        <v>67</v>
      </c>
      <c r="S44" s="4">
        <v>0</v>
      </c>
      <c r="T44" s="4">
        <v>0</v>
      </c>
      <c r="W44" s="5" t="s">
        <v>69</v>
      </c>
      <c r="X44" s="5" t="s">
        <v>69</v>
      </c>
      <c r="Y44" s="4">
        <v>31</v>
      </c>
      <c r="Z44" s="4">
        <v>2</v>
      </c>
      <c r="AA44" s="4">
        <v>2</v>
      </c>
      <c r="AB44" s="4">
        <v>1</v>
      </c>
      <c r="AC44" s="4">
        <v>1</v>
      </c>
      <c r="AD44" s="4">
        <v>21</v>
      </c>
      <c r="AE44" s="4">
        <v>21</v>
      </c>
      <c r="AF44" s="4">
        <v>0</v>
      </c>
      <c r="AG44" s="4">
        <v>0</v>
      </c>
      <c r="AH44" s="4">
        <v>20</v>
      </c>
      <c r="AI44" s="4">
        <v>20</v>
      </c>
      <c r="AJ44" s="4">
        <v>1</v>
      </c>
      <c r="AK44" s="4">
        <v>1</v>
      </c>
      <c r="AL44" s="4">
        <v>18</v>
      </c>
      <c r="AM44" s="4">
        <v>18</v>
      </c>
      <c r="AN44" s="4">
        <v>0</v>
      </c>
      <c r="AO44" s="4">
        <v>0</v>
      </c>
      <c r="AP44" s="4">
        <v>1</v>
      </c>
      <c r="AQ44" s="4">
        <v>1</v>
      </c>
      <c r="AR44" s="3" t="s">
        <v>63</v>
      </c>
      <c r="AS44" s="3" t="s">
        <v>63</v>
      </c>
      <c r="AT44" s="3" t="s">
        <v>63</v>
      </c>
      <c r="AV44" s="6" t="str">
        <f>HYPERLINK("http://mcgill.on.worldcat.org/oclc/948846110","Catalog Record")</f>
        <v>Catalog Record</v>
      </c>
      <c r="AW44" s="6" t="str">
        <f>HYPERLINK("http://www.worldcat.org/oclc/948846110","WorldCat Record")</f>
        <v>WorldCat Record</v>
      </c>
      <c r="AX44" s="3" t="s">
        <v>108</v>
      </c>
      <c r="AY44" s="3" t="s">
        <v>109</v>
      </c>
      <c r="AZ44" s="3" t="s">
        <v>110</v>
      </c>
      <c r="BA44" s="3" t="s">
        <v>110</v>
      </c>
      <c r="BB44" s="3" t="s">
        <v>111</v>
      </c>
      <c r="BC44" s="3" t="s">
        <v>82</v>
      </c>
      <c r="BD44" s="3" t="s">
        <v>70</v>
      </c>
      <c r="BE44" s="3" t="s">
        <v>112</v>
      </c>
      <c r="BF44" s="3" t="s">
        <v>111</v>
      </c>
      <c r="BG44" s="3" t="s">
        <v>113</v>
      </c>
    </row>
    <row r="45" spans="1:59" ht="75" x14ac:dyDescent="0.25">
      <c r="A45" s="2" t="s">
        <v>59</v>
      </c>
      <c r="B45" s="2" t="s">
        <v>40582</v>
      </c>
      <c r="C45" s="2" t="s">
        <v>40581</v>
      </c>
      <c r="D45" s="2" t="s">
        <v>40580</v>
      </c>
      <c r="E45" s="2" t="s">
        <v>40579</v>
      </c>
      <c r="F45" s="3" t="s">
        <v>4181</v>
      </c>
      <c r="G45" s="3" t="s">
        <v>63</v>
      </c>
      <c r="I45" s="3" t="s">
        <v>63</v>
      </c>
      <c r="J45" s="3" t="s">
        <v>63</v>
      </c>
      <c r="K45" s="3" t="s">
        <v>64</v>
      </c>
      <c r="L45" s="2" t="s">
        <v>40578</v>
      </c>
      <c r="M45" s="2" t="s">
        <v>40577</v>
      </c>
      <c r="N45" s="3" t="s">
        <v>161</v>
      </c>
      <c r="P45" s="3" t="s">
        <v>66</v>
      </c>
      <c r="Q45" s="2" t="s">
        <v>40576</v>
      </c>
      <c r="R45" s="3" t="s">
        <v>67</v>
      </c>
      <c r="S45" s="4">
        <v>0</v>
      </c>
      <c r="T45" s="4">
        <v>0</v>
      </c>
      <c r="W45" s="5" t="s">
        <v>69</v>
      </c>
      <c r="X45" s="5" t="s">
        <v>69</v>
      </c>
      <c r="Y45" s="4">
        <v>82</v>
      </c>
      <c r="Z45" s="4">
        <v>5</v>
      </c>
      <c r="AA45" s="4">
        <v>5</v>
      </c>
      <c r="AB45" s="4">
        <v>1</v>
      </c>
      <c r="AC45" s="4">
        <v>1</v>
      </c>
      <c r="AD45" s="4">
        <v>43</v>
      </c>
      <c r="AE45" s="4">
        <v>43</v>
      </c>
      <c r="AF45" s="4">
        <v>0</v>
      </c>
      <c r="AG45" s="4">
        <v>0</v>
      </c>
      <c r="AH45" s="4">
        <v>41</v>
      </c>
      <c r="AI45" s="4">
        <v>41</v>
      </c>
      <c r="AJ45" s="4">
        <v>4</v>
      </c>
      <c r="AK45" s="4">
        <v>4</v>
      </c>
      <c r="AL45" s="4">
        <v>33</v>
      </c>
      <c r="AM45" s="4">
        <v>33</v>
      </c>
      <c r="AN45" s="4">
        <v>0</v>
      </c>
      <c r="AO45" s="4">
        <v>0</v>
      </c>
      <c r="AP45" s="4">
        <v>4</v>
      </c>
      <c r="AQ45" s="4">
        <v>4</v>
      </c>
      <c r="AR45" s="3" t="s">
        <v>63</v>
      </c>
      <c r="AS45" s="3" t="s">
        <v>63</v>
      </c>
      <c r="AT45" s="3" t="s">
        <v>63</v>
      </c>
      <c r="AV45" s="6" t="str">
        <f>HYPERLINK("http://mcgill.on.worldcat.org/oclc/19778393","Catalog Record")</f>
        <v>Catalog Record</v>
      </c>
      <c r="AW45" s="6" t="str">
        <f>HYPERLINK("http://www.worldcat.org/oclc/19778393","WorldCat Record")</f>
        <v>WorldCat Record</v>
      </c>
      <c r="AX45" s="3" t="s">
        <v>40575</v>
      </c>
      <c r="AY45" s="3" t="s">
        <v>40574</v>
      </c>
      <c r="AZ45" s="3" t="s">
        <v>40573</v>
      </c>
      <c r="BA45" s="3" t="s">
        <v>40573</v>
      </c>
      <c r="BB45" s="3" t="s">
        <v>40571</v>
      </c>
      <c r="BC45" s="3" t="s">
        <v>82</v>
      </c>
      <c r="BD45" s="3" t="s">
        <v>70</v>
      </c>
      <c r="BE45" s="3" t="s">
        <v>40572</v>
      </c>
      <c r="BF45" s="3" t="s">
        <v>40571</v>
      </c>
    </row>
    <row r="46" spans="1:59" ht="75" x14ac:dyDescent="0.25">
      <c r="A46" s="2" t="s">
        <v>59</v>
      </c>
      <c r="B46" s="2" t="s">
        <v>60</v>
      </c>
      <c r="C46" s="2" t="s">
        <v>40592</v>
      </c>
      <c r="D46" s="2" t="s">
        <v>40591</v>
      </c>
      <c r="E46" s="2" t="s">
        <v>40590</v>
      </c>
      <c r="F46" s="3" t="s">
        <v>141</v>
      </c>
      <c r="G46" s="3" t="s">
        <v>62</v>
      </c>
      <c r="I46" s="3" t="s">
        <v>63</v>
      </c>
      <c r="J46" s="3" t="s">
        <v>63</v>
      </c>
      <c r="K46" s="3" t="s">
        <v>64</v>
      </c>
      <c r="M46" s="2" t="s">
        <v>40589</v>
      </c>
      <c r="N46" s="3" t="s">
        <v>190</v>
      </c>
      <c r="P46" s="3" t="s">
        <v>66</v>
      </c>
      <c r="Q46" s="2" t="s">
        <v>40588</v>
      </c>
      <c r="R46" s="3" t="s">
        <v>67</v>
      </c>
      <c r="S46" s="4">
        <v>0</v>
      </c>
      <c r="T46" s="4">
        <v>0</v>
      </c>
      <c r="W46" s="5" t="s">
        <v>69</v>
      </c>
      <c r="X46" s="5" t="s">
        <v>69</v>
      </c>
      <c r="Y46" s="4">
        <v>57</v>
      </c>
      <c r="Z46" s="4">
        <v>7</v>
      </c>
      <c r="AA46" s="4">
        <v>7</v>
      </c>
      <c r="AB46" s="4">
        <v>1</v>
      </c>
      <c r="AC46" s="4">
        <v>1</v>
      </c>
      <c r="AD46" s="4">
        <v>33</v>
      </c>
      <c r="AE46" s="4">
        <v>33</v>
      </c>
      <c r="AF46" s="4">
        <v>0</v>
      </c>
      <c r="AG46" s="4">
        <v>0</v>
      </c>
      <c r="AH46" s="4">
        <v>31</v>
      </c>
      <c r="AI46" s="4">
        <v>31</v>
      </c>
      <c r="AJ46" s="4">
        <v>5</v>
      </c>
      <c r="AK46" s="4">
        <v>5</v>
      </c>
      <c r="AL46" s="4">
        <v>24</v>
      </c>
      <c r="AM46" s="4">
        <v>24</v>
      </c>
      <c r="AN46" s="4">
        <v>0</v>
      </c>
      <c r="AO46" s="4">
        <v>0</v>
      </c>
      <c r="AP46" s="4">
        <v>5</v>
      </c>
      <c r="AQ46" s="4">
        <v>5</v>
      </c>
      <c r="AR46" s="3" t="s">
        <v>63</v>
      </c>
      <c r="AS46" s="3" t="s">
        <v>63</v>
      </c>
      <c r="AT46" s="3" t="s">
        <v>63</v>
      </c>
      <c r="AV46" s="6" t="str">
        <f>HYPERLINK("http://mcgill.on.worldcat.org/oclc/62784707","Catalog Record")</f>
        <v>Catalog Record</v>
      </c>
      <c r="AW46" s="6" t="str">
        <f>HYPERLINK("http://www.worldcat.org/oclc/62784707","WorldCat Record")</f>
        <v>WorldCat Record</v>
      </c>
      <c r="AX46" s="3" t="s">
        <v>40587</v>
      </c>
      <c r="AY46" s="3" t="s">
        <v>40586</v>
      </c>
      <c r="AZ46" s="3" t="s">
        <v>40585</v>
      </c>
      <c r="BA46" s="3" t="s">
        <v>40585</v>
      </c>
      <c r="BB46" s="3" t="s">
        <v>40583</v>
      </c>
      <c r="BC46" s="3" t="s">
        <v>82</v>
      </c>
      <c r="BD46" s="3" t="s">
        <v>70</v>
      </c>
      <c r="BE46" s="3" t="s">
        <v>40584</v>
      </c>
      <c r="BF46" s="3" t="s">
        <v>40583</v>
      </c>
    </row>
    <row r="47" spans="1:59" ht="75" x14ac:dyDescent="0.25">
      <c r="A47" s="2" t="s">
        <v>59</v>
      </c>
      <c r="B47" s="2" t="s">
        <v>60</v>
      </c>
      <c r="C47" s="2" t="s">
        <v>40592</v>
      </c>
      <c r="D47" s="2" t="s">
        <v>40591</v>
      </c>
      <c r="E47" s="2" t="s">
        <v>40590</v>
      </c>
      <c r="F47" s="3" t="s">
        <v>151</v>
      </c>
      <c r="G47" s="3" t="s">
        <v>62</v>
      </c>
      <c r="I47" s="3" t="s">
        <v>63</v>
      </c>
      <c r="J47" s="3" t="s">
        <v>63</v>
      </c>
      <c r="K47" s="3" t="s">
        <v>64</v>
      </c>
      <c r="M47" s="2" t="s">
        <v>40589</v>
      </c>
      <c r="N47" s="3" t="s">
        <v>190</v>
      </c>
      <c r="P47" s="3" t="s">
        <v>66</v>
      </c>
      <c r="Q47" s="2" t="s">
        <v>40588</v>
      </c>
      <c r="R47" s="3" t="s">
        <v>67</v>
      </c>
      <c r="S47" s="4">
        <v>0</v>
      </c>
      <c r="T47" s="4">
        <v>0</v>
      </c>
      <c r="W47" s="5" t="s">
        <v>69</v>
      </c>
      <c r="X47" s="5" t="s">
        <v>69</v>
      </c>
      <c r="Y47" s="4">
        <v>57</v>
      </c>
      <c r="Z47" s="4">
        <v>7</v>
      </c>
      <c r="AA47" s="4">
        <v>7</v>
      </c>
      <c r="AB47" s="4">
        <v>1</v>
      </c>
      <c r="AC47" s="4">
        <v>1</v>
      </c>
      <c r="AD47" s="4">
        <v>33</v>
      </c>
      <c r="AE47" s="4">
        <v>33</v>
      </c>
      <c r="AF47" s="4">
        <v>0</v>
      </c>
      <c r="AG47" s="4">
        <v>0</v>
      </c>
      <c r="AH47" s="4">
        <v>31</v>
      </c>
      <c r="AI47" s="4">
        <v>31</v>
      </c>
      <c r="AJ47" s="4">
        <v>5</v>
      </c>
      <c r="AK47" s="4">
        <v>5</v>
      </c>
      <c r="AL47" s="4">
        <v>24</v>
      </c>
      <c r="AM47" s="4">
        <v>24</v>
      </c>
      <c r="AN47" s="4">
        <v>0</v>
      </c>
      <c r="AO47" s="4">
        <v>0</v>
      </c>
      <c r="AP47" s="4">
        <v>5</v>
      </c>
      <c r="AQ47" s="4">
        <v>5</v>
      </c>
      <c r="AR47" s="3" t="s">
        <v>63</v>
      </c>
      <c r="AS47" s="3" t="s">
        <v>63</v>
      </c>
      <c r="AT47" s="3" t="s">
        <v>63</v>
      </c>
      <c r="AV47" s="6" t="str">
        <f>HYPERLINK("http://mcgill.on.worldcat.org/oclc/62784707","Catalog Record")</f>
        <v>Catalog Record</v>
      </c>
      <c r="AW47" s="6" t="str">
        <f>HYPERLINK("http://www.worldcat.org/oclc/62784707","WorldCat Record")</f>
        <v>WorldCat Record</v>
      </c>
      <c r="AX47" s="3" t="s">
        <v>40587</v>
      </c>
      <c r="AY47" s="3" t="s">
        <v>40586</v>
      </c>
      <c r="AZ47" s="3" t="s">
        <v>40585</v>
      </c>
      <c r="BA47" s="3" t="s">
        <v>40585</v>
      </c>
      <c r="BB47" s="3" t="s">
        <v>40593</v>
      </c>
      <c r="BC47" s="3" t="s">
        <v>82</v>
      </c>
      <c r="BD47" s="3" t="s">
        <v>70</v>
      </c>
      <c r="BE47" s="3" t="s">
        <v>40584</v>
      </c>
      <c r="BF47" s="3" t="s">
        <v>40593</v>
      </c>
    </row>
    <row r="48" spans="1:59" ht="75" x14ac:dyDescent="0.25">
      <c r="A48" s="2" t="s">
        <v>59</v>
      </c>
      <c r="B48" s="2" t="s">
        <v>60</v>
      </c>
      <c r="C48" s="2" t="s">
        <v>114</v>
      </c>
      <c r="D48" s="2" t="s">
        <v>115</v>
      </c>
      <c r="E48" s="2" t="s">
        <v>116</v>
      </c>
      <c r="F48" s="3" t="s">
        <v>117</v>
      </c>
      <c r="G48" s="3" t="s">
        <v>63</v>
      </c>
      <c r="I48" s="3" t="s">
        <v>63</v>
      </c>
      <c r="J48" s="3" t="s">
        <v>63</v>
      </c>
      <c r="K48" s="3" t="s">
        <v>64</v>
      </c>
      <c r="M48" s="2" t="s">
        <v>75</v>
      </c>
      <c r="N48" s="3" t="s">
        <v>76</v>
      </c>
      <c r="P48" s="3" t="s">
        <v>66</v>
      </c>
      <c r="Q48" s="2" t="s">
        <v>118</v>
      </c>
      <c r="R48" s="3" t="s">
        <v>67</v>
      </c>
      <c r="S48" s="4">
        <v>0</v>
      </c>
      <c r="T48" s="4">
        <v>0</v>
      </c>
      <c r="W48" s="5" t="s">
        <v>69</v>
      </c>
      <c r="X48" s="5" t="s">
        <v>69</v>
      </c>
      <c r="Y48" s="4">
        <v>38</v>
      </c>
      <c r="Z48" s="4">
        <v>6</v>
      </c>
      <c r="AA48" s="4">
        <v>6</v>
      </c>
      <c r="AB48" s="4">
        <v>1</v>
      </c>
      <c r="AC48" s="4">
        <v>1</v>
      </c>
      <c r="AD48" s="4">
        <v>24</v>
      </c>
      <c r="AE48" s="4">
        <v>24</v>
      </c>
      <c r="AF48" s="4">
        <v>0</v>
      </c>
      <c r="AG48" s="4">
        <v>0</v>
      </c>
      <c r="AH48" s="4">
        <v>22</v>
      </c>
      <c r="AI48" s="4">
        <v>22</v>
      </c>
      <c r="AJ48" s="4">
        <v>4</v>
      </c>
      <c r="AK48" s="4">
        <v>4</v>
      </c>
      <c r="AL48" s="4">
        <v>19</v>
      </c>
      <c r="AM48" s="4">
        <v>19</v>
      </c>
      <c r="AN48" s="4">
        <v>0</v>
      </c>
      <c r="AO48" s="4">
        <v>0</v>
      </c>
      <c r="AP48" s="4">
        <v>4</v>
      </c>
      <c r="AQ48" s="4">
        <v>4</v>
      </c>
      <c r="AR48" s="3" t="s">
        <v>63</v>
      </c>
      <c r="AS48" s="3" t="s">
        <v>63</v>
      </c>
      <c r="AT48" s="3" t="s">
        <v>63</v>
      </c>
      <c r="AV48" s="6" t="str">
        <f>HYPERLINK("http://mcgill.on.worldcat.org/oclc/780483686","Catalog Record")</f>
        <v>Catalog Record</v>
      </c>
      <c r="AW48" s="6" t="str">
        <f>HYPERLINK("http://www.worldcat.org/oclc/780483686","WorldCat Record")</f>
        <v>WorldCat Record</v>
      </c>
      <c r="AX48" s="3" t="s">
        <v>119</v>
      </c>
      <c r="AY48" s="3" t="s">
        <v>120</v>
      </c>
      <c r="AZ48" s="3" t="s">
        <v>121</v>
      </c>
      <c r="BA48" s="3" t="s">
        <v>121</v>
      </c>
      <c r="BB48" s="3" t="s">
        <v>122</v>
      </c>
      <c r="BC48" s="3" t="s">
        <v>82</v>
      </c>
      <c r="BD48" s="3" t="s">
        <v>70</v>
      </c>
      <c r="BE48" s="3" t="s">
        <v>123</v>
      </c>
      <c r="BF48" s="3" t="s">
        <v>122</v>
      </c>
      <c r="BG48" s="3" t="s">
        <v>124</v>
      </c>
    </row>
    <row r="49" spans="1:59" ht="120" x14ac:dyDescent="0.25">
      <c r="A49" s="2" t="s">
        <v>59</v>
      </c>
      <c r="B49" s="2" t="s">
        <v>60</v>
      </c>
      <c r="C49" s="2" t="s">
        <v>125</v>
      </c>
      <c r="D49" s="2" t="s">
        <v>126</v>
      </c>
      <c r="E49" s="2" t="s">
        <v>127</v>
      </c>
      <c r="F49" s="3" t="s">
        <v>128</v>
      </c>
      <c r="G49" s="3" t="s">
        <v>63</v>
      </c>
      <c r="I49" s="3" t="s">
        <v>63</v>
      </c>
      <c r="J49" s="3" t="s">
        <v>63</v>
      </c>
      <c r="K49" s="3" t="s">
        <v>64</v>
      </c>
      <c r="M49" s="2" t="s">
        <v>129</v>
      </c>
      <c r="N49" s="3" t="s">
        <v>130</v>
      </c>
      <c r="P49" s="3" t="s">
        <v>90</v>
      </c>
      <c r="Q49" s="2" t="s">
        <v>131</v>
      </c>
      <c r="R49" s="3" t="s">
        <v>67</v>
      </c>
      <c r="S49" s="4">
        <v>0</v>
      </c>
      <c r="T49" s="4">
        <v>0</v>
      </c>
      <c r="W49" s="5" t="s">
        <v>69</v>
      </c>
      <c r="X49" s="5" t="s">
        <v>69</v>
      </c>
      <c r="Y49" s="4">
        <v>26</v>
      </c>
      <c r="Z49" s="4">
        <v>1</v>
      </c>
      <c r="AA49" s="4">
        <v>1</v>
      </c>
      <c r="AB49" s="4">
        <v>1</v>
      </c>
      <c r="AC49" s="4">
        <v>1</v>
      </c>
      <c r="AD49" s="4">
        <v>18</v>
      </c>
      <c r="AE49" s="4">
        <v>18</v>
      </c>
      <c r="AF49" s="4">
        <v>0</v>
      </c>
      <c r="AG49" s="4">
        <v>0</v>
      </c>
      <c r="AH49" s="4">
        <v>17</v>
      </c>
      <c r="AI49" s="4">
        <v>17</v>
      </c>
      <c r="AJ49" s="4">
        <v>0</v>
      </c>
      <c r="AK49" s="4">
        <v>0</v>
      </c>
      <c r="AL49" s="4">
        <v>16</v>
      </c>
      <c r="AM49" s="4">
        <v>16</v>
      </c>
      <c r="AN49" s="4">
        <v>0</v>
      </c>
      <c r="AO49" s="4">
        <v>0</v>
      </c>
      <c r="AP49" s="4">
        <v>0</v>
      </c>
      <c r="AQ49" s="4">
        <v>0</v>
      </c>
      <c r="AR49" s="3" t="s">
        <v>63</v>
      </c>
      <c r="AS49" s="3" t="s">
        <v>63</v>
      </c>
      <c r="AT49" s="3" t="s">
        <v>63</v>
      </c>
      <c r="AV49" s="6" t="str">
        <f>HYPERLINK("http://mcgill.on.worldcat.org/oclc/843089354","Catalog Record")</f>
        <v>Catalog Record</v>
      </c>
      <c r="AW49" s="6" t="str">
        <f>HYPERLINK("http://www.worldcat.org/oclc/843089354","WorldCat Record")</f>
        <v>WorldCat Record</v>
      </c>
      <c r="AX49" s="3" t="s">
        <v>132</v>
      </c>
      <c r="AY49" s="3" t="s">
        <v>133</v>
      </c>
      <c r="AZ49" s="3" t="s">
        <v>134</v>
      </c>
      <c r="BA49" s="3" t="s">
        <v>134</v>
      </c>
      <c r="BB49" s="3" t="s">
        <v>135</v>
      </c>
      <c r="BC49" s="3" t="s">
        <v>82</v>
      </c>
      <c r="BD49" s="3" t="s">
        <v>70</v>
      </c>
      <c r="BE49" s="3" t="s">
        <v>136</v>
      </c>
      <c r="BF49" s="3" t="s">
        <v>135</v>
      </c>
      <c r="BG49" s="3" t="s">
        <v>137</v>
      </c>
    </row>
    <row r="50" spans="1:59" ht="75" x14ac:dyDescent="0.25">
      <c r="A50" s="2" t="s">
        <v>59</v>
      </c>
      <c r="B50" s="2" t="s">
        <v>60</v>
      </c>
      <c r="C50" s="2" t="s">
        <v>138</v>
      </c>
      <c r="D50" s="2" t="s">
        <v>139</v>
      </c>
      <c r="E50" s="2" t="s">
        <v>140</v>
      </c>
      <c r="F50" s="3" t="s">
        <v>141</v>
      </c>
      <c r="G50" s="3" t="s">
        <v>62</v>
      </c>
      <c r="I50" s="3" t="s">
        <v>63</v>
      </c>
      <c r="J50" s="3" t="s">
        <v>63</v>
      </c>
      <c r="K50" s="3" t="s">
        <v>64</v>
      </c>
      <c r="M50" s="2" t="s">
        <v>142</v>
      </c>
      <c r="N50" s="3" t="s">
        <v>143</v>
      </c>
      <c r="P50" s="3" t="s">
        <v>66</v>
      </c>
      <c r="Q50" s="2" t="s">
        <v>144</v>
      </c>
      <c r="R50" s="3" t="s">
        <v>67</v>
      </c>
      <c r="S50" s="4">
        <v>0</v>
      </c>
      <c r="T50" s="4">
        <v>0</v>
      </c>
      <c r="W50" s="5" t="s">
        <v>69</v>
      </c>
      <c r="X50" s="5" t="s">
        <v>69</v>
      </c>
      <c r="Y50" s="4">
        <v>30</v>
      </c>
      <c r="Z50" s="4">
        <v>2</v>
      </c>
      <c r="AA50" s="4">
        <v>2</v>
      </c>
      <c r="AB50" s="4">
        <v>1</v>
      </c>
      <c r="AC50" s="4">
        <v>1</v>
      </c>
      <c r="AD50" s="4">
        <v>21</v>
      </c>
      <c r="AE50" s="4">
        <v>21</v>
      </c>
      <c r="AF50" s="4">
        <v>0</v>
      </c>
      <c r="AG50" s="4">
        <v>0</v>
      </c>
      <c r="AH50" s="4">
        <v>20</v>
      </c>
      <c r="AI50" s="4">
        <v>20</v>
      </c>
      <c r="AJ50" s="4">
        <v>1</v>
      </c>
      <c r="AK50" s="4">
        <v>1</v>
      </c>
      <c r="AL50" s="4">
        <v>18</v>
      </c>
      <c r="AM50" s="4">
        <v>18</v>
      </c>
      <c r="AN50" s="4">
        <v>0</v>
      </c>
      <c r="AO50" s="4">
        <v>0</v>
      </c>
      <c r="AP50" s="4">
        <v>1</v>
      </c>
      <c r="AQ50" s="4">
        <v>1</v>
      </c>
      <c r="AR50" s="3" t="s">
        <v>63</v>
      </c>
      <c r="AS50" s="3" t="s">
        <v>63</v>
      </c>
      <c r="AT50" s="3" t="s">
        <v>63</v>
      </c>
      <c r="AV50" s="6" t="str">
        <f>HYPERLINK("http://mcgill.on.worldcat.org/oclc/892581021","Catalog Record")</f>
        <v>Catalog Record</v>
      </c>
      <c r="AW50" s="6" t="str">
        <f>HYPERLINK("http://www.worldcat.org/oclc/892581021","WorldCat Record")</f>
        <v>WorldCat Record</v>
      </c>
      <c r="AX50" s="3" t="s">
        <v>145</v>
      </c>
      <c r="AY50" s="3" t="s">
        <v>146</v>
      </c>
      <c r="AZ50" s="3" t="s">
        <v>147</v>
      </c>
      <c r="BA50" s="3" t="s">
        <v>147</v>
      </c>
      <c r="BB50" s="3" t="s">
        <v>148</v>
      </c>
      <c r="BC50" s="3" t="s">
        <v>82</v>
      </c>
      <c r="BD50" s="3" t="s">
        <v>70</v>
      </c>
      <c r="BE50" s="3" t="s">
        <v>149</v>
      </c>
      <c r="BF50" s="3" t="s">
        <v>148</v>
      </c>
      <c r="BG50" s="3" t="s">
        <v>150</v>
      </c>
    </row>
    <row r="51" spans="1:59" ht="75" x14ac:dyDescent="0.25">
      <c r="A51" s="2" t="s">
        <v>59</v>
      </c>
      <c r="B51" s="2" t="s">
        <v>60</v>
      </c>
      <c r="C51" s="2" t="s">
        <v>138</v>
      </c>
      <c r="D51" s="2" t="s">
        <v>139</v>
      </c>
      <c r="E51" s="2" t="s">
        <v>140</v>
      </c>
      <c r="F51" s="3" t="s">
        <v>151</v>
      </c>
      <c r="G51" s="3" t="s">
        <v>62</v>
      </c>
      <c r="I51" s="3" t="s">
        <v>63</v>
      </c>
      <c r="J51" s="3" t="s">
        <v>63</v>
      </c>
      <c r="K51" s="3" t="s">
        <v>64</v>
      </c>
      <c r="M51" s="2" t="s">
        <v>142</v>
      </c>
      <c r="N51" s="3" t="s">
        <v>143</v>
      </c>
      <c r="P51" s="3" t="s">
        <v>66</v>
      </c>
      <c r="Q51" s="2" t="s">
        <v>144</v>
      </c>
      <c r="R51" s="3" t="s">
        <v>67</v>
      </c>
      <c r="S51" s="4">
        <v>0</v>
      </c>
      <c r="T51" s="4">
        <v>0</v>
      </c>
      <c r="W51" s="5" t="s">
        <v>69</v>
      </c>
      <c r="X51" s="5" t="s">
        <v>69</v>
      </c>
      <c r="Y51" s="4">
        <v>30</v>
      </c>
      <c r="Z51" s="4">
        <v>2</v>
      </c>
      <c r="AA51" s="4">
        <v>2</v>
      </c>
      <c r="AB51" s="4">
        <v>1</v>
      </c>
      <c r="AC51" s="4">
        <v>1</v>
      </c>
      <c r="AD51" s="4">
        <v>21</v>
      </c>
      <c r="AE51" s="4">
        <v>21</v>
      </c>
      <c r="AF51" s="4">
        <v>0</v>
      </c>
      <c r="AG51" s="4">
        <v>0</v>
      </c>
      <c r="AH51" s="4">
        <v>20</v>
      </c>
      <c r="AI51" s="4">
        <v>20</v>
      </c>
      <c r="AJ51" s="4">
        <v>1</v>
      </c>
      <c r="AK51" s="4">
        <v>1</v>
      </c>
      <c r="AL51" s="4">
        <v>18</v>
      </c>
      <c r="AM51" s="4">
        <v>18</v>
      </c>
      <c r="AN51" s="4">
        <v>0</v>
      </c>
      <c r="AO51" s="4">
        <v>0</v>
      </c>
      <c r="AP51" s="4">
        <v>1</v>
      </c>
      <c r="AQ51" s="4">
        <v>1</v>
      </c>
      <c r="AR51" s="3" t="s">
        <v>63</v>
      </c>
      <c r="AS51" s="3" t="s">
        <v>63</v>
      </c>
      <c r="AT51" s="3" t="s">
        <v>63</v>
      </c>
      <c r="AV51" s="6" t="str">
        <f>HYPERLINK("http://mcgill.on.worldcat.org/oclc/892581021","Catalog Record")</f>
        <v>Catalog Record</v>
      </c>
      <c r="AW51" s="6" t="str">
        <f>HYPERLINK("http://www.worldcat.org/oclc/892581021","WorldCat Record")</f>
        <v>WorldCat Record</v>
      </c>
      <c r="AX51" s="3" t="s">
        <v>145</v>
      </c>
      <c r="AY51" s="3" t="s">
        <v>146</v>
      </c>
      <c r="AZ51" s="3" t="s">
        <v>147</v>
      </c>
      <c r="BA51" s="3" t="s">
        <v>147</v>
      </c>
      <c r="BB51" s="3" t="s">
        <v>152</v>
      </c>
      <c r="BC51" s="3" t="s">
        <v>82</v>
      </c>
      <c r="BD51" s="3" t="s">
        <v>70</v>
      </c>
      <c r="BE51" s="3" t="s">
        <v>149</v>
      </c>
      <c r="BF51" s="3" t="s">
        <v>152</v>
      </c>
      <c r="BG51" s="3" t="s">
        <v>153</v>
      </c>
    </row>
    <row r="52" spans="1:59" ht="75" x14ac:dyDescent="0.25">
      <c r="A52" s="2" t="s">
        <v>59</v>
      </c>
      <c r="B52" s="2" t="s">
        <v>60</v>
      </c>
      <c r="C52" s="2" t="s">
        <v>585</v>
      </c>
      <c r="D52" s="2" t="s">
        <v>586</v>
      </c>
      <c r="E52" s="2" t="s">
        <v>587</v>
      </c>
      <c r="G52" s="3" t="s">
        <v>63</v>
      </c>
      <c r="I52" s="3" t="s">
        <v>63</v>
      </c>
      <c r="J52" s="3" t="s">
        <v>63</v>
      </c>
      <c r="K52" s="3" t="s">
        <v>64</v>
      </c>
      <c r="L52" s="2" t="s">
        <v>588</v>
      </c>
      <c r="M52" s="2" t="s">
        <v>589</v>
      </c>
      <c r="N52" s="3" t="s">
        <v>76</v>
      </c>
      <c r="O52" s="2" t="s">
        <v>590</v>
      </c>
      <c r="P52" s="3" t="s">
        <v>66</v>
      </c>
      <c r="Q52" s="2" t="s">
        <v>591</v>
      </c>
      <c r="R52" s="3" t="s">
        <v>67</v>
      </c>
      <c r="S52" s="4">
        <v>0</v>
      </c>
      <c r="T52" s="4">
        <v>0</v>
      </c>
      <c r="W52" s="5" t="s">
        <v>69</v>
      </c>
      <c r="X52" s="5" t="s">
        <v>69</v>
      </c>
      <c r="Y52" s="4">
        <v>74</v>
      </c>
      <c r="Z52" s="4">
        <v>9</v>
      </c>
      <c r="AA52" s="4">
        <v>10</v>
      </c>
      <c r="AB52" s="4">
        <v>1</v>
      </c>
      <c r="AC52" s="4">
        <v>1</v>
      </c>
      <c r="AD52" s="4">
        <v>39</v>
      </c>
      <c r="AE52" s="4">
        <v>41</v>
      </c>
      <c r="AF52" s="4">
        <v>0</v>
      </c>
      <c r="AG52" s="4">
        <v>0</v>
      </c>
      <c r="AH52" s="4">
        <v>37</v>
      </c>
      <c r="AI52" s="4">
        <v>38</v>
      </c>
      <c r="AJ52" s="4">
        <v>4</v>
      </c>
      <c r="AK52" s="4">
        <v>4</v>
      </c>
      <c r="AL52" s="4">
        <v>26</v>
      </c>
      <c r="AM52" s="4">
        <v>27</v>
      </c>
      <c r="AN52" s="4">
        <v>0</v>
      </c>
      <c r="AO52" s="4">
        <v>0</v>
      </c>
      <c r="AP52" s="4">
        <v>5</v>
      </c>
      <c r="AQ52" s="4">
        <v>5</v>
      </c>
      <c r="AR52" s="3" t="s">
        <v>63</v>
      </c>
      <c r="AS52" s="3" t="s">
        <v>63</v>
      </c>
      <c r="AT52" s="3" t="s">
        <v>63</v>
      </c>
      <c r="AV52" s="6" t="str">
        <f>HYPERLINK("http://mcgill.on.worldcat.org/oclc/783151442","Catalog Record")</f>
        <v>Catalog Record</v>
      </c>
      <c r="AW52" s="6" t="str">
        <f>HYPERLINK("http://www.worldcat.org/oclc/783151442","WorldCat Record")</f>
        <v>WorldCat Record</v>
      </c>
      <c r="AX52" s="3" t="s">
        <v>592</v>
      </c>
      <c r="AY52" s="3" t="s">
        <v>593</v>
      </c>
      <c r="AZ52" s="3" t="s">
        <v>594</v>
      </c>
      <c r="BA52" s="3" t="s">
        <v>594</v>
      </c>
      <c r="BB52" s="3" t="s">
        <v>595</v>
      </c>
      <c r="BC52" s="3" t="s">
        <v>82</v>
      </c>
      <c r="BD52" s="3" t="s">
        <v>70</v>
      </c>
      <c r="BE52" s="3" t="s">
        <v>596</v>
      </c>
      <c r="BF52" s="3" t="s">
        <v>595</v>
      </c>
      <c r="BG52" s="3" t="s">
        <v>597</v>
      </c>
    </row>
    <row r="53" spans="1:59" ht="75" x14ac:dyDescent="0.25">
      <c r="A53" s="2" t="s">
        <v>59</v>
      </c>
      <c r="B53" s="2" t="s">
        <v>60</v>
      </c>
      <c r="C53" s="2" t="s">
        <v>598</v>
      </c>
      <c r="D53" s="2" t="s">
        <v>599</v>
      </c>
      <c r="E53" s="2" t="s">
        <v>600</v>
      </c>
      <c r="G53" s="3" t="s">
        <v>63</v>
      </c>
      <c r="I53" s="3" t="s">
        <v>63</v>
      </c>
      <c r="J53" s="3" t="s">
        <v>63</v>
      </c>
      <c r="K53" s="3" t="s">
        <v>64</v>
      </c>
      <c r="L53" s="2" t="s">
        <v>601</v>
      </c>
      <c r="M53" s="2" t="s">
        <v>602</v>
      </c>
      <c r="N53" s="3" t="s">
        <v>106</v>
      </c>
      <c r="P53" s="3" t="s">
        <v>66</v>
      </c>
      <c r="Q53" s="2" t="s">
        <v>603</v>
      </c>
      <c r="R53" s="3" t="s">
        <v>67</v>
      </c>
      <c r="S53" s="4">
        <v>0</v>
      </c>
      <c r="T53" s="4">
        <v>0</v>
      </c>
      <c r="W53" s="5" t="s">
        <v>69</v>
      </c>
      <c r="X53" s="5" t="s">
        <v>69</v>
      </c>
      <c r="Y53" s="4">
        <v>35</v>
      </c>
      <c r="Z53" s="4">
        <v>4</v>
      </c>
      <c r="AA53" s="4">
        <v>4</v>
      </c>
      <c r="AB53" s="4">
        <v>1</v>
      </c>
      <c r="AC53" s="4">
        <v>1</v>
      </c>
      <c r="AD53" s="4">
        <v>17</v>
      </c>
      <c r="AE53" s="4">
        <v>17</v>
      </c>
      <c r="AF53" s="4">
        <v>0</v>
      </c>
      <c r="AG53" s="4">
        <v>0</v>
      </c>
      <c r="AH53" s="4">
        <v>16</v>
      </c>
      <c r="AI53" s="4">
        <v>16</v>
      </c>
      <c r="AJ53" s="4">
        <v>1</v>
      </c>
      <c r="AK53" s="4">
        <v>1</v>
      </c>
      <c r="AL53" s="4">
        <v>13</v>
      </c>
      <c r="AM53" s="4">
        <v>13</v>
      </c>
      <c r="AN53" s="4">
        <v>0</v>
      </c>
      <c r="AO53" s="4">
        <v>0</v>
      </c>
      <c r="AP53" s="4">
        <v>1</v>
      </c>
      <c r="AQ53" s="4">
        <v>1</v>
      </c>
      <c r="AR53" s="3" t="s">
        <v>63</v>
      </c>
      <c r="AS53" s="3" t="s">
        <v>63</v>
      </c>
      <c r="AT53" s="3" t="s">
        <v>63</v>
      </c>
      <c r="AV53" s="6" t="str">
        <f>HYPERLINK("http://mcgill.on.worldcat.org/oclc/944087671","Catalog Record")</f>
        <v>Catalog Record</v>
      </c>
      <c r="AW53" s="6" t="str">
        <f>HYPERLINK("http://www.worldcat.org/oclc/944087671","WorldCat Record")</f>
        <v>WorldCat Record</v>
      </c>
      <c r="AX53" s="3" t="s">
        <v>604</v>
      </c>
      <c r="AY53" s="3" t="s">
        <v>605</v>
      </c>
      <c r="AZ53" s="3" t="s">
        <v>606</v>
      </c>
      <c r="BA53" s="3" t="s">
        <v>606</v>
      </c>
      <c r="BB53" s="3" t="s">
        <v>607</v>
      </c>
      <c r="BC53" s="3" t="s">
        <v>82</v>
      </c>
      <c r="BD53" s="3" t="s">
        <v>70</v>
      </c>
      <c r="BE53" s="3" t="s">
        <v>608</v>
      </c>
      <c r="BF53" s="3" t="s">
        <v>607</v>
      </c>
      <c r="BG53" s="3" t="s">
        <v>609</v>
      </c>
    </row>
    <row r="54" spans="1:59" ht="60" x14ac:dyDescent="0.25">
      <c r="A54" s="2" t="s">
        <v>59</v>
      </c>
      <c r="B54" s="2" t="s">
        <v>60</v>
      </c>
      <c r="C54" s="2" t="s">
        <v>610</v>
      </c>
      <c r="D54" s="2" t="s">
        <v>611</v>
      </c>
      <c r="E54" s="2" t="s">
        <v>612</v>
      </c>
      <c r="G54" s="3" t="s">
        <v>63</v>
      </c>
      <c r="I54" s="3" t="s">
        <v>63</v>
      </c>
      <c r="J54" s="3" t="s">
        <v>63</v>
      </c>
      <c r="K54" s="3" t="s">
        <v>64</v>
      </c>
      <c r="L54" s="2" t="s">
        <v>613</v>
      </c>
      <c r="M54" s="2" t="s">
        <v>614</v>
      </c>
      <c r="N54" s="3" t="s">
        <v>455</v>
      </c>
      <c r="P54" s="3" t="s">
        <v>66</v>
      </c>
      <c r="Q54" s="2" t="s">
        <v>615</v>
      </c>
      <c r="R54" s="3" t="s">
        <v>67</v>
      </c>
      <c r="S54" s="4">
        <v>4</v>
      </c>
      <c r="T54" s="4">
        <v>4</v>
      </c>
      <c r="U54" s="5" t="s">
        <v>616</v>
      </c>
      <c r="V54" s="5" t="s">
        <v>616</v>
      </c>
      <c r="W54" s="5" t="s">
        <v>69</v>
      </c>
      <c r="X54" s="5" t="s">
        <v>69</v>
      </c>
      <c r="Y54" s="4">
        <v>170</v>
      </c>
      <c r="Z54" s="4">
        <v>12</v>
      </c>
      <c r="AA54" s="4">
        <v>12</v>
      </c>
      <c r="AB54" s="4">
        <v>1</v>
      </c>
      <c r="AC54" s="4">
        <v>1</v>
      </c>
      <c r="AD54" s="4">
        <v>88</v>
      </c>
      <c r="AE54" s="4">
        <v>88</v>
      </c>
      <c r="AF54" s="4">
        <v>0</v>
      </c>
      <c r="AG54" s="4">
        <v>0</v>
      </c>
      <c r="AH54" s="4">
        <v>81</v>
      </c>
      <c r="AI54" s="4">
        <v>81</v>
      </c>
      <c r="AJ54" s="4">
        <v>8</v>
      </c>
      <c r="AK54" s="4">
        <v>8</v>
      </c>
      <c r="AL54" s="4">
        <v>48</v>
      </c>
      <c r="AM54" s="4">
        <v>48</v>
      </c>
      <c r="AN54" s="4">
        <v>0</v>
      </c>
      <c r="AO54" s="4">
        <v>0</v>
      </c>
      <c r="AP54" s="4">
        <v>9</v>
      </c>
      <c r="AQ54" s="4">
        <v>9</v>
      </c>
      <c r="AR54" s="3" t="s">
        <v>63</v>
      </c>
      <c r="AS54" s="3" t="s">
        <v>62</v>
      </c>
      <c r="AT54" s="3" t="s">
        <v>63</v>
      </c>
      <c r="AU54" s="6" t="str">
        <f>HYPERLINK("http://catalog.hathitrust.org/Record/000362061","HathiTrust Record")</f>
        <v>HathiTrust Record</v>
      </c>
      <c r="AV54" s="6" t="str">
        <f>HYPERLINK("http://mcgill.on.worldcat.org/oclc/11603207","Catalog Record")</f>
        <v>Catalog Record</v>
      </c>
      <c r="AW54" s="6" t="str">
        <f>HYPERLINK("http://www.worldcat.org/oclc/11603207","WorldCat Record")</f>
        <v>WorldCat Record</v>
      </c>
      <c r="AX54" s="3" t="s">
        <v>617</v>
      </c>
      <c r="AY54" s="3" t="s">
        <v>618</v>
      </c>
      <c r="AZ54" s="3" t="s">
        <v>619</v>
      </c>
      <c r="BA54" s="3" t="s">
        <v>619</v>
      </c>
      <c r="BB54" s="3" t="s">
        <v>620</v>
      </c>
      <c r="BC54" s="3" t="s">
        <v>82</v>
      </c>
      <c r="BD54" s="3" t="s">
        <v>70</v>
      </c>
      <c r="BE54" s="3" t="s">
        <v>621</v>
      </c>
      <c r="BF54" s="3" t="s">
        <v>620</v>
      </c>
      <c r="BG54" s="3" t="s">
        <v>622</v>
      </c>
    </row>
    <row r="55" spans="1:59" ht="60" x14ac:dyDescent="0.25">
      <c r="A55" s="2" t="s">
        <v>59</v>
      </c>
      <c r="B55" s="2" t="s">
        <v>60</v>
      </c>
      <c r="C55" s="2" t="s">
        <v>623</v>
      </c>
      <c r="D55" s="2" t="s">
        <v>624</v>
      </c>
      <c r="E55" s="2" t="s">
        <v>625</v>
      </c>
      <c r="F55" s="3" t="s">
        <v>626</v>
      </c>
      <c r="G55" s="3" t="s">
        <v>63</v>
      </c>
      <c r="I55" s="3" t="s">
        <v>63</v>
      </c>
      <c r="J55" s="3" t="s">
        <v>63</v>
      </c>
      <c r="K55" s="3" t="s">
        <v>64</v>
      </c>
      <c r="L55" s="2" t="s">
        <v>627</v>
      </c>
      <c r="M55" s="2" t="s">
        <v>628</v>
      </c>
      <c r="N55" s="3" t="s">
        <v>629</v>
      </c>
      <c r="O55" s="2" t="s">
        <v>630</v>
      </c>
      <c r="P55" s="3" t="s">
        <v>631</v>
      </c>
      <c r="R55" s="3" t="s">
        <v>67</v>
      </c>
      <c r="S55" s="4">
        <v>3</v>
      </c>
      <c r="T55" s="4">
        <v>3</v>
      </c>
      <c r="U55" s="5" t="s">
        <v>632</v>
      </c>
      <c r="V55" s="5" t="s">
        <v>632</v>
      </c>
      <c r="W55" s="5" t="s">
        <v>69</v>
      </c>
      <c r="X55" s="5" t="s">
        <v>69</v>
      </c>
      <c r="Y55" s="4">
        <v>27</v>
      </c>
      <c r="Z55" s="4">
        <v>4</v>
      </c>
      <c r="AA55" s="4">
        <v>91</v>
      </c>
      <c r="AB55" s="4">
        <v>1</v>
      </c>
      <c r="AC55" s="4">
        <v>17</v>
      </c>
      <c r="AD55" s="4">
        <v>8</v>
      </c>
      <c r="AE55" s="4">
        <v>91</v>
      </c>
      <c r="AF55" s="4">
        <v>0</v>
      </c>
      <c r="AG55" s="4">
        <v>8</v>
      </c>
      <c r="AH55" s="4">
        <v>8</v>
      </c>
      <c r="AI55" s="4">
        <v>58</v>
      </c>
      <c r="AJ55" s="4">
        <v>1</v>
      </c>
      <c r="AK55" s="4">
        <v>17</v>
      </c>
      <c r="AL55" s="4">
        <v>6</v>
      </c>
      <c r="AM55" s="4">
        <v>30</v>
      </c>
      <c r="AN55" s="4">
        <v>0</v>
      </c>
      <c r="AO55" s="4">
        <v>0</v>
      </c>
      <c r="AP55" s="4">
        <v>1</v>
      </c>
      <c r="AQ55" s="4">
        <v>38</v>
      </c>
      <c r="AR55" s="3" t="s">
        <v>63</v>
      </c>
      <c r="AS55" s="3" t="s">
        <v>63</v>
      </c>
      <c r="AT55" s="3" t="s">
        <v>63</v>
      </c>
      <c r="AV55" s="6" t="str">
        <f>HYPERLINK("http://mcgill.on.worldcat.org/oclc/720899846","Catalog Record")</f>
        <v>Catalog Record</v>
      </c>
      <c r="AW55" s="6" t="str">
        <f>HYPERLINK("http://www.worldcat.org/oclc/720899846","WorldCat Record")</f>
        <v>WorldCat Record</v>
      </c>
      <c r="AX55" s="3" t="s">
        <v>633</v>
      </c>
      <c r="AY55" s="3" t="s">
        <v>634</v>
      </c>
      <c r="AZ55" s="3" t="s">
        <v>635</v>
      </c>
      <c r="BA55" s="3" t="s">
        <v>635</v>
      </c>
      <c r="BB55" s="3" t="s">
        <v>636</v>
      </c>
      <c r="BC55" s="3" t="s">
        <v>82</v>
      </c>
      <c r="BD55" s="3" t="s">
        <v>70</v>
      </c>
      <c r="BE55" s="3" t="s">
        <v>637</v>
      </c>
      <c r="BF55" s="3" t="s">
        <v>636</v>
      </c>
      <c r="BG55" s="3" t="s">
        <v>638</v>
      </c>
    </row>
    <row r="56" spans="1:59" ht="60" x14ac:dyDescent="0.25">
      <c r="A56" s="2" t="s">
        <v>59</v>
      </c>
      <c r="B56" s="2" t="s">
        <v>60</v>
      </c>
      <c r="C56" s="2" t="s">
        <v>639</v>
      </c>
      <c r="D56" s="2" t="s">
        <v>640</v>
      </c>
      <c r="E56" s="2" t="s">
        <v>641</v>
      </c>
      <c r="G56" s="3" t="s">
        <v>63</v>
      </c>
      <c r="I56" s="3" t="s">
        <v>63</v>
      </c>
      <c r="J56" s="3" t="s">
        <v>63</v>
      </c>
      <c r="K56" s="3" t="s">
        <v>64</v>
      </c>
      <c r="L56" s="2" t="s">
        <v>642</v>
      </c>
      <c r="M56" s="2" t="s">
        <v>643</v>
      </c>
      <c r="N56" s="3" t="s">
        <v>76</v>
      </c>
      <c r="P56" s="3" t="s">
        <v>66</v>
      </c>
      <c r="R56" s="3" t="s">
        <v>67</v>
      </c>
      <c r="S56" s="4">
        <v>0</v>
      </c>
      <c r="T56" s="4">
        <v>0</v>
      </c>
      <c r="W56" s="5" t="s">
        <v>69</v>
      </c>
      <c r="X56" s="5" t="s">
        <v>69</v>
      </c>
      <c r="Y56" s="4">
        <v>75</v>
      </c>
      <c r="Z56" s="4">
        <v>8</v>
      </c>
      <c r="AA56" s="4">
        <v>88</v>
      </c>
      <c r="AB56" s="4">
        <v>1</v>
      </c>
      <c r="AC56" s="4">
        <v>16</v>
      </c>
      <c r="AD56" s="4">
        <v>46</v>
      </c>
      <c r="AE56" s="4">
        <v>124</v>
      </c>
      <c r="AF56" s="4">
        <v>0</v>
      </c>
      <c r="AG56" s="4">
        <v>8</v>
      </c>
      <c r="AH56" s="4">
        <v>44</v>
      </c>
      <c r="AI56" s="4">
        <v>88</v>
      </c>
      <c r="AJ56" s="4">
        <v>4</v>
      </c>
      <c r="AK56" s="4">
        <v>19</v>
      </c>
      <c r="AL56" s="4">
        <v>30</v>
      </c>
      <c r="AM56" s="4">
        <v>49</v>
      </c>
      <c r="AN56" s="4">
        <v>0</v>
      </c>
      <c r="AO56" s="4">
        <v>0</v>
      </c>
      <c r="AP56" s="4">
        <v>4</v>
      </c>
      <c r="AQ56" s="4">
        <v>41</v>
      </c>
      <c r="AR56" s="3" t="s">
        <v>63</v>
      </c>
      <c r="AS56" s="3" t="s">
        <v>63</v>
      </c>
      <c r="AT56" s="3" t="s">
        <v>63</v>
      </c>
      <c r="AV56" s="6" t="str">
        <f>HYPERLINK("http://mcgill.on.worldcat.org/oclc/760176454","Catalog Record")</f>
        <v>Catalog Record</v>
      </c>
      <c r="AW56" s="6" t="str">
        <f>HYPERLINK("http://www.worldcat.org/oclc/760176454","WorldCat Record")</f>
        <v>WorldCat Record</v>
      </c>
      <c r="AX56" s="3" t="s">
        <v>644</v>
      </c>
      <c r="AY56" s="3" t="s">
        <v>645</v>
      </c>
      <c r="AZ56" s="3" t="s">
        <v>646</v>
      </c>
      <c r="BA56" s="3" t="s">
        <v>646</v>
      </c>
      <c r="BB56" s="3" t="s">
        <v>647</v>
      </c>
      <c r="BC56" s="3" t="s">
        <v>82</v>
      </c>
      <c r="BD56" s="3" t="s">
        <v>70</v>
      </c>
      <c r="BE56" s="3" t="s">
        <v>648</v>
      </c>
      <c r="BF56" s="3" t="s">
        <v>647</v>
      </c>
      <c r="BG56" s="3" t="s">
        <v>649</v>
      </c>
    </row>
    <row r="57" spans="1:59" ht="60" x14ac:dyDescent="0.25">
      <c r="A57" s="2" t="s">
        <v>59</v>
      </c>
      <c r="B57" s="2" t="s">
        <v>60</v>
      </c>
      <c r="C57" s="2" t="s">
        <v>650</v>
      </c>
      <c r="D57" s="2" t="s">
        <v>651</v>
      </c>
      <c r="E57" s="2" t="s">
        <v>652</v>
      </c>
      <c r="G57" s="3" t="s">
        <v>63</v>
      </c>
      <c r="I57" s="3" t="s">
        <v>63</v>
      </c>
      <c r="J57" s="3" t="s">
        <v>63</v>
      </c>
      <c r="K57" s="3" t="s">
        <v>64</v>
      </c>
      <c r="L57" s="2" t="s">
        <v>653</v>
      </c>
      <c r="M57" s="2" t="s">
        <v>654</v>
      </c>
      <c r="N57" s="3" t="s">
        <v>300</v>
      </c>
      <c r="P57" s="3" t="s">
        <v>655</v>
      </c>
      <c r="Q57" s="2" t="s">
        <v>656</v>
      </c>
      <c r="R57" s="3" t="s">
        <v>67</v>
      </c>
      <c r="S57" s="4">
        <v>1</v>
      </c>
      <c r="T57" s="4">
        <v>1</v>
      </c>
      <c r="U57" s="5" t="s">
        <v>657</v>
      </c>
      <c r="V57" s="5" t="s">
        <v>657</v>
      </c>
      <c r="W57" s="5" t="s">
        <v>69</v>
      </c>
      <c r="X57" s="5" t="s">
        <v>69</v>
      </c>
      <c r="Y57" s="4">
        <v>34</v>
      </c>
      <c r="Z57" s="4">
        <v>6</v>
      </c>
      <c r="AA57" s="4">
        <v>6</v>
      </c>
      <c r="AB57" s="4">
        <v>1</v>
      </c>
      <c r="AC57" s="4">
        <v>1</v>
      </c>
      <c r="AD57" s="4">
        <v>24</v>
      </c>
      <c r="AE57" s="4">
        <v>24</v>
      </c>
      <c r="AF57" s="4">
        <v>0</v>
      </c>
      <c r="AG57" s="4">
        <v>0</v>
      </c>
      <c r="AH57" s="4">
        <v>22</v>
      </c>
      <c r="AI57" s="4">
        <v>22</v>
      </c>
      <c r="AJ57" s="4">
        <v>3</v>
      </c>
      <c r="AK57" s="4">
        <v>3</v>
      </c>
      <c r="AL57" s="4">
        <v>19</v>
      </c>
      <c r="AM57" s="4">
        <v>19</v>
      </c>
      <c r="AN57" s="4">
        <v>0</v>
      </c>
      <c r="AO57" s="4">
        <v>0</v>
      </c>
      <c r="AP57" s="4">
        <v>3</v>
      </c>
      <c r="AQ57" s="4">
        <v>3</v>
      </c>
      <c r="AR57" s="3" t="s">
        <v>63</v>
      </c>
      <c r="AS57" s="3" t="s">
        <v>63</v>
      </c>
      <c r="AT57" s="3" t="s">
        <v>62</v>
      </c>
      <c r="AU57" s="6" t="str">
        <f>HYPERLINK("http://catalog.hathitrust.org/Record/001771328","HathiTrust Record")</f>
        <v>HathiTrust Record</v>
      </c>
      <c r="AV57" s="6" t="str">
        <f>HYPERLINK("http://mcgill.on.worldcat.org/oclc/12881253","Catalog Record")</f>
        <v>Catalog Record</v>
      </c>
      <c r="AW57" s="6" t="str">
        <f>HYPERLINK("http://www.worldcat.org/oclc/12881253","WorldCat Record")</f>
        <v>WorldCat Record</v>
      </c>
      <c r="AX57" s="3" t="s">
        <v>658</v>
      </c>
      <c r="AY57" s="3" t="s">
        <v>659</v>
      </c>
      <c r="AZ57" s="3" t="s">
        <v>660</v>
      </c>
      <c r="BA57" s="3" t="s">
        <v>660</v>
      </c>
      <c r="BB57" s="3" t="s">
        <v>661</v>
      </c>
      <c r="BC57" s="3" t="s">
        <v>82</v>
      </c>
      <c r="BD57" s="3" t="s">
        <v>70</v>
      </c>
      <c r="BF57" s="3" t="s">
        <v>661</v>
      </c>
      <c r="BG57" s="3" t="s">
        <v>662</v>
      </c>
    </row>
    <row r="58" spans="1:59" ht="60" x14ac:dyDescent="0.25">
      <c r="A58" s="2" t="s">
        <v>59</v>
      </c>
      <c r="B58" s="2" t="s">
        <v>60</v>
      </c>
      <c r="C58" s="2" t="s">
        <v>663</v>
      </c>
      <c r="D58" s="2" t="s">
        <v>664</v>
      </c>
      <c r="E58" s="2" t="s">
        <v>665</v>
      </c>
      <c r="G58" s="3" t="s">
        <v>63</v>
      </c>
      <c r="I58" s="3" t="s">
        <v>63</v>
      </c>
      <c r="J58" s="3" t="s">
        <v>63</v>
      </c>
      <c r="K58" s="3" t="s">
        <v>64</v>
      </c>
      <c r="L58" s="2" t="s">
        <v>666</v>
      </c>
      <c r="M58" s="2" t="s">
        <v>667</v>
      </c>
      <c r="N58" s="3" t="s">
        <v>668</v>
      </c>
      <c r="P58" s="3" t="s">
        <v>655</v>
      </c>
      <c r="Q58" s="2" t="s">
        <v>669</v>
      </c>
      <c r="R58" s="3" t="s">
        <v>67</v>
      </c>
      <c r="S58" s="4">
        <v>1</v>
      </c>
      <c r="T58" s="4">
        <v>1</v>
      </c>
      <c r="U58" s="5" t="s">
        <v>657</v>
      </c>
      <c r="V58" s="5" t="s">
        <v>657</v>
      </c>
      <c r="W58" s="5" t="s">
        <v>69</v>
      </c>
      <c r="X58" s="5" t="s">
        <v>69</v>
      </c>
      <c r="Y58" s="4">
        <v>27</v>
      </c>
      <c r="Z58" s="4">
        <v>4</v>
      </c>
      <c r="AA58" s="4">
        <v>4</v>
      </c>
      <c r="AB58" s="4">
        <v>1</v>
      </c>
      <c r="AC58" s="4">
        <v>1</v>
      </c>
      <c r="AD58" s="4">
        <v>13</v>
      </c>
      <c r="AE58" s="4">
        <v>13</v>
      </c>
      <c r="AF58" s="4">
        <v>0</v>
      </c>
      <c r="AG58" s="4">
        <v>0</v>
      </c>
      <c r="AH58" s="4">
        <v>12</v>
      </c>
      <c r="AI58" s="4">
        <v>12</v>
      </c>
      <c r="AJ58" s="4">
        <v>1</v>
      </c>
      <c r="AK58" s="4">
        <v>1</v>
      </c>
      <c r="AL58" s="4">
        <v>11</v>
      </c>
      <c r="AM58" s="4">
        <v>11</v>
      </c>
      <c r="AN58" s="4">
        <v>0</v>
      </c>
      <c r="AO58" s="4">
        <v>0</v>
      </c>
      <c r="AP58" s="4">
        <v>1</v>
      </c>
      <c r="AQ58" s="4">
        <v>1</v>
      </c>
      <c r="AR58" s="3" t="s">
        <v>63</v>
      </c>
      <c r="AS58" s="3" t="s">
        <v>63</v>
      </c>
      <c r="AT58" s="3" t="s">
        <v>63</v>
      </c>
      <c r="AV58" s="6" t="str">
        <f>HYPERLINK("http://mcgill.on.worldcat.org/oclc/24885023","Catalog Record")</f>
        <v>Catalog Record</v>
      </c>
      <c r="AW58" s="6" t="str">
        <f>HYPERLINK("http://www.worldcat.org/oclc/24885023","WorldCat Record")</f>
        <v>WorldCat Record</v>
      </c>
      <c r="AX58" s="3" t="s">
        <v>670</v>
      </c>
      <c r="AY58" s="3" t="s">
        <v>671</v>
      </c>
      <c r="AZ58" s="3" t="s">
        <v>672</v>
      </c>
      <c r="BA58" s="3" t="s">
        <v>672</v>
      </c>
      <c r="BB58" s="3" t="s">
        <v>673</v>
      </c>
      <c r="BC58" s="3" t="s">
        <v>82</v>
      </c>
      <c r="BD58" s="3" t="s">
        <v>70</v>
      </c>
      <c r="BE58" s="3" t="s">
        <v>674</v>
      </c>
      <c r="BF58" s="3" t="s">
        <v>673</v>
      </c>
      <c r="BG58" s="3" t="s">
        <v>675</v>
      </c>
    </row>
    <row r="59" spans="1:59" ht="60" x14ac:dyDescent="0.25">
      <c r="A59" s="2" t="s">
        <v>59</v>
      </c>
      <c r="B59" s="2" t="s">
        <v>60</v>
      </c>
      <c r="C59" s="2" t="s">
        <v>676</v>
      </c>
      <c r="D59" s="2" t="s">
        <v>677</v>
      </c>
      <c r="E59" s="2" t="s">
        <v>678</v>
      </c>
      <c r="G59" s="3" t="s">
        <v>63</v>
      </c>
      <c r="I59" s="3" t="s">
        <v>63</v>
      </c>
      <c r="J59" s="3" t="s">
        <v>63</v>
      </c>
      <c r="K59" s="3" t="s">
        <v>64</v>
      </c>
      <c r="L59" s="2" t="s">
        <v>679</v>
      </c>
      <c r="M59" s="2" t="s">
        <v>680</v>
      </c>
      <c r="N59" s="3" t="s">
        <v>681</v>
      </c>
      <c r="P59" s="3" t="s">
        <v>66</v>
      </c>
      <c r="R59" s="3" t="s">
        <v>67</v>
      </c>
      <c r="S59" s="4">
        <v>6</v>
      </c>
      <c r="T59" s="4">
        <v>6</v>
      </c>
      <c r="U59" s="5" t="s">
        <v>682</v>
      </c>
      <c r="V59" s="5" t="s">
        <v>682</v>
      </c>
      <c r="W59" s="5" t="s">
        <v>69</v>
      </c>
      <c r="X59" s="5" t="s">
        <v>69</v>
      </c>
      <c r="Y59" s="4">
        <v>301</v>
      </c>
      <c r="Z59" s="4">
        <v>25</v>
      </c>
      <c r="AA59" s="4">
        <v>25</v>
      </c>
      <c r="AB59" s="4">
        <v>2</v>
      </c>
      <c r="AC59" s="4">
        <v>2</v>
      </c>
      <c r="AD59" s="4">
        <v>108</v>
      </c>
      <c r="AE59" s="4">
        <v>110</v>
      </c>
      <c r="AF59" s="4">
        <v>1</v>
      </c>
      <c r="AG59" s="4">
        <v>1</v>
      </c>
      <c r="AH59" s="4">
        <v>94</v>
      </c>
      <c r="AI59" s="4">
        <v>96</v>
      </c>
      <c r="AJ59" s="4">
        <v>17</v>
      </c>
      <c r="AK59" s="4">
        <v>17</v>
      </c>
      <c r="AL59" s="4">
        <v>52</v>
      </c>
      <c r="AM59" s="4">
        <v>53</v>
      </c>
      <c r="AN59" s="4">
        <v>0</v>
      </c>
      <c r="AO59" s="4">
        <v>0</v>
      </c>
      <c r="AP59" s="4">
        <v>21</v>
      </c>
      <c r="AQ59" s="4">
        <v>21</v>
      </c>
      <c r="AR59" s="3" t="s">
        <v>63</v>
      </c>
      <c r="AS59" s="3" t="s">
        <v>63</v>
      </c>
      <c r="AT59" s="3" t="s">
        <v>62</v>
      </c>
      <c r="AU59" s="6" t="str">
        <f>HYPERLINK("http://catalog.hathitrust.org/Record/001183849","HathiTrust Record")</f>
        <v>HathiTrust Record</v>
      </c>
      <c r="AV59" s="6" t="str">
        <f>HYPERLINK("http://mcgill.on.worldcat.org/oclc/93330","Catalog Record")</f>
        <v>Catalog Record</v>
      </c>
      <c r="AW59" s="6" t="str">
        <f>HYPERLINK("http://www.worldcat.org/oclc/93330","WorldCat Record")</f>
        <v>WorldCat Record</v>
      </c>
      <c r="AX59" s="3" t="s">
        <v>683</v>
      </c>
      <c r="AY59" s="3" t="s">
        <v>684</v>
      </c>
      <c r="AZ59" s="3" t="s">
        <v>685</v>
      </c>
      <c r="BA59" s="3" t="s">
        <v>685</v>
      </c>
      <c r="BB59" s="3" t="s">
        <v>686</v>
      </c>
      <c r="BC59" s="3" t="s">
        <v>82</v>
      </c>
      <c r="BD59" s="3" t="s">
        <v>70</v>
      </c>
      <c r="BF59" s="3" t="s">
        <v>686</v>
      </c>
      <c r="BG59" s="3" t="s">
        <v>687</v>
      </c>
    </row>
    <row r="60" spans="1:59" ht="60" x14ac:dyDescent="0.25">
      <c r="A60" s="2" t="s">
        <v>59</v>
      </c>
      <c r="B60" s="2" t="s">
        <v>60</v>
      </c>
      <c r="C60" s="2" t="s">
        <v>688</v>
      </c>
      <c r="D60" s="2" t="s">
        <v>689</v>
      </c>
      <c r="E60" s="2" t="s">
        <v>690</v>
      </c>
      <c r="G60" s="3" t="s">
        <v>63</v>
      </c>
      <c r="I60" s="3" t="s">
        <v>63</v>
      </c>
      <c r="J60" s="3" t="s">
        <v>63</v>
      </c>
      <c r="K60" s="3" t="s">
        <v>64</v>
      </c>
      <c r="L60" s="2" t="s">
        <v>691</v>
      </c>
      <c r="M60" s="2" t="s">
        <v>692</v>
      </c>
      <c r="N60" s="3" t="s">
        <v>693</v>
      </c>
      <c r="P60" s="3" t="s">
        <v>66</v>
      </c>
      <c r="R60" s="3" t="s">
        <v>67</v>
      </c>
      <c r="S60" s="4">
        <v>8</v>
      </c>
      <c r="T60" s="4">
        <v>8</v>
      </c>
      <c r="U60" s="5" t="s">
        <v>694</v>
      </c>
      <c r="V60" s="5" t="s">
        <v>694</v>
      </c>
      <c r="W60" s="5" t="s">
        <v>69</v>
      </c>
      <c r="X60" s="5" t="s">
        <v>69</v>
      </c>
      <c r="Y60" s="4">
        <v>232</v>
      </c>
      <c r="Z60" s="4">
        <v>15</v>
      </c>
      <c r="AA60" s="4">
        <v>111</v>
      </c>
      <c r="AB60" s="4">
        <v>2</v>
      </c>
      <c r="AC60" s="4">
        <v>22</v>
      </c>
      <c r="AD60" s="4">
        <v>91</v>
      </c>
      <c r="AE60" s="4">
        <v>150</v>
      </c>
      <c r="AF60" s="4">
        <v>1</v>
      </c>
      <c r="AG60" s="4">
        <v>9</v>
      </c>
      <c r="AH60" s="4">
        <v>82</v>
      </c>
      <c r="AI60" s="4">
        <v>101</v>
      </c>
      <c r="AJ60" s="4">
        <v>12</v>
      </c>
      <c r="AK60" s="4">
        <v>26</v>
      </c>
      <c r="AL60" s="4">
        <v>47</v>
      </c>
      <c r="AM60" s="4">
        <v>55</v>
      </c>
      <c r="AN60" s="4">
        <v>0</v>
      </c>
      <c r="AO60" s="4">
        <v>0</v>
      </c>
      <c r="AP60" s="4">
        <v>14</v>
      </c>
      <c r="AQ60" s="4">
        <v>55</v>
      </c>
      <c r="AR60" s="3" t="s">
        <v>63</v>
      </c>
      <c r="AS60" s="3" t="s">
        <v>63</v>
      </c>
      <c r="AT60" s="3" t="s">
        <v>63</v>
      </c>
      <c r="AV60" s="6" t="str">
        <f>HYPERLINK("http://mcgill.on.worldcat.org/oclc/53156200","Catalog Record")</f>
        <v>Catalog Record</v>
      </c>
      <c r="AW60" s="6" t="str">
        <f>HYPERLINK("http://www.worldcat.org/oclc/53156200","WorldCat Record")</f>
        <v>WorldCat Record</v>
      </c>
      <c r="AX60" s="3" t="s">
        <v>695</v>
      </c>
      <c r="AY60" s="3" t="s">
        <v>696</v>
      </c>
      <c r="AZ60" s="3" t="s">
        <v>697</v>
      </c>
      <c r="BA60" s="3" t="s">
        <v>697</v>
      </c>
      <c r="BB60" s="3" t="s">
        <v>698</v>
      </c>
      <c r="BC60" s="3" t="s">
        <v>82</v>
      </c>
      <c r="BD60" s="3" t="s">
        <v>70</v>
      </c>
      <c r="BE60" s="3" t="s">
        <v>699</v>
      </c>
      <c r="BF60" s="3" t="s">
        <v>698</v>
      </c>
      <c r="BG60" s="3" t="s">
        <v>700</v>
      </c>
    </row>
    <row r="61" spans="1:59" ht="60" x14ac:dyDescent="0.25">
      <c r="A61" s="2" t="s">
        <v>59</v>
      </c>
      <c r="B61" s="2" t="s">
        <v>60</v>
      </c>
      <c r="C61" s="2" t="s">
        <v>701</v>
      </c>
      <c r="D61" s="2" t="s">
        <v>702</v>
      </c>
      <c r="E61" s="2" t="s">
        <v>703</v>
      </c>
      <c r="G61" s="3" t="s">
        <v>63</v>
      </c>
      <c r="I61" s="3" t="s">
        <v>63</v>
      </c>
      <c r="J61" s="3" t="s">
        <v>63</v>
      </c>
      <c r="K61" s="3" t="s">
        <v>64</v>
      </c>
      <c r="L61" s="2" t="s">
        <v>704</v>
      </c>
      <c r="M61" s="2" t="s">
        <v>705</v>
      </c>
      <c r="N61" s="3" t="s">
        <v>706</v>
      </c>
      <c r="P61" s="3" t="s">
        <v>66</v>
      </c>
      <c r="Q61" s="2" t="s">
        <v>707</v>
      </c>
      <c r="R61" s="3" t="s">
        <v>67</v>
      </c>
      <c r="S61" s="4">
        <v>1</v>
      </c>
      <c r="T61" s="4">
        <v>1</v>
      </c>
      <c r="U61" s="5" t="s">
        <v>276</v>
      </c>
      <c r="V61" s="5" t="s">
        <v>276</v>
      </c>
      <c r="W61" s="5" t="s">
        <v>69</v>
      </c>
      <c r="X61" s="5" t="s">
        <v>69</v>
      </c>
      <c r="Y61" s="4">
        <v>22</v>
      </c>
      <c r="Z61" s="4">
        <v>4</v>
      </c>
      <c r="AA61" s="4">
        <v>4</v>
      </c>
      <c r="AB61" s="4">
        <v>1</v>
      </c>
      <c r="AC61" s="4">
        <v>1</v>
      </c>
      <c r="AD61" s="4">
        <v>14</v>
      </c>
      <c r="AE61" s="4">
        <v>14</v>
      </c>
      <c r="AF61" s="4">
        <v>0</v>
      </c>
      <c r="AG61" s="4">
        <v>0</v>
      </c>
      <c r="AH61" s="4">
        <v>14</v>
      </c>
      <c r="AI61" s="4">
        <v>14</v>
      </c>
      <c r="AJ61" s="4">
        <v>2</v>
      </c>
      <c r="AK61" s="4">
        <v>2</v>
      </c>
      <c r="AL61" s="4">
        <v>12</v>
      </c>
      <c r="AM61" s="4">
        <v>12</v>
      </c>
      <c r="AN61" s="4">
        <v>0</v>
      </c>
      <c r="AO61" s="4">
        <v>0</v>
      </c>
      <c r="AP61" s="4">
        <v>2</v>
      </c>
      <c r="AQ61" s="4">
        <v>2</v>
      </c>
      <c r="AR61" s="3" t="s">
        <v>63</v>
      </c>
      <c r="AS61" s="3" t="s">
        <v>63</v>
      </c>
      <c r="AT61" s="3" t="s">
        <v>62</v>
      </c>
      <c r="AU61" s="6" t="str">
        <f>HYPERLINK("http://catalog.hathitrust.org/Record/002434278","HathiTrust Record")</f>
        <v>HathiTrust Record</v>
      </c>
      <c r="AV61" s="6" t="str">
        <f>HYPERLINK("http://mcgill.on.worldcat.org/oclc/14710495","Catalog Record")</f>
        <v>Catalog Record</v>
      </c>
      <c r="AW61" s="6" t="str">
        <f>HYPERLINK("http://www.worldcat.org/oclc/14710495","WorldCat Record")</f>
        <v>WorldCat Record</v>
      </c>
      <c r="AX61" s="3" t="s">
        <v>708</v>
      </c>
      <c r="AY61" s="3" t="s">
        <v>709</v>
      </c>
      <c r="AZ61" s="3" t="s">
        <v>710</v>
      </c>
      <c r="BA61" s="3" t="s">
        <v>710</v>
      </c>
      <c r="BB61" s="3" t="s">
        <v>711</v>
      </c>
      <c r="BC61" s="3" t="s">
        <v>82</v>
      </c>
      <c r="BD61" s="3" t="s">
        <v>70</v>
      </c>
      <c r="BF61" s="3" t="s">
        <v>711</v>
      </c>
      <c r="BG61" s="3" t="s">
        <v>712</v>
      </c>
    </row>
    <row r="62" spans="1:59" ht="60" x14ac:dyDescent="0.25">
      <c r="A62" s="2" t="s">
        <v>59</v>
      </c>
      <c r="B62" s="2" t="s">
        <v>60</v>
      </c>
      <c r="C62" s="2" t="s">
        <v>713</v>
      </c>
      <c r="D62" s="2" t="s">
        <v>714</v>
      </c>
      <c r="E62" s="2" t="s">
        <v>715</v>
      </c>
      <c r="G62" s="3" t="s">
        <v>63</v>
      </c>
      <c r="I62" s="3" t="s">
        <v>63</v>
      </c>
      <c r="J62" s="3" t="s">
        <v>63</v>
      </c>
      <c r="K62" s="3" t="s">
        <v>64</v>
      </c>
      <c r="L62" s="2" t="s">
        <v>716</v>
      </c>
      <c r="M62" s="2" t="s">
        <v>717</v>
      </c>
      <c r="N62" s="3" t="s">
        <v>480</v>
      </c>
      <c r="O62" s="2" t="s">
        <v>718</v>
      </c>
      <c r="P62" s="3" t="s">
        <v>66</v>
      </c>
      <c r="R62" s="3" t="s">
        <v>67</v>
      </c>
      <c r="S62" s="4">
        <v>36</v>
      </c>
      <c r="T62" s="4">
        <v>36</v>
      </c>
      <c r="U62" s="5" t="s">
        <v>719</v>
      </c>
      <c r="V62" s="5" t="s">
        <v>719</v>
      </c>
      <c r="W62" s="5" t="s">
        <v>69</v>
      </c>
      <c r="X62" s="5" t="s">
        <v>69</v>
      </c>
      <c r="Y62" s="4">
        <v>149</v>
      </c>
      <c r="Z62" s="4">
        <v>14</v>
      </c>
      <c r="AA62" s="4">
        <v>21</v>
      </c>
      <c r="AB62" s="4">
        <v>2</v>
      </c>
      <c r="AC62" s="4">
        <v>3</v>
      </c>
      <c r="AD62" s="4">
        <v>53</v>
      </c>
      <c r="AE62" s="4">
        <v>74</v>
      </c>
      <c r="AF62" s="4">
        <v>0</v>
      </c>
      <c r="AG62" s="4">
        <v>1</v>
      </c>
      <c r="AH62" s="4">
        <v>50</v>
      </c>
      <c r="AI62" s="4">
        <v>65</v>
      </c>
      <c r="AJ62" s="4">
        <v>9</v>
      </c>
      <c r="AK62" s="4">
        <v>15</v>
      </c>
      <c r="AL62" s="4">
        <v>31</v>
      </c>
      <c r="AM62" s="4">
        <v>38</v>
      </c>
      <c r="AN62" s="4">
        <v>0</v>
      </c>
      <c r="AO62" s="4">
        <v>0</v>
      </c>
      <c r="AP62" s="4">
        <v>9</v>
      </c>
      <c r="AQ62" s="4">
        <v>15</v>
      </c>
      <c r="AR62" s="3" t="s">
        <v>63</v>
      </c>
      <c r="AS62" s="3" t="s">
        <v>63</v>
      </c>
      <c r="AT62" s="3" t="s">
        <v>62</v>
      </c>
      <c r="AU62" s="6" t="str">
        <f>HYPERLINK("http://catalog.hathitrust.org/Record/003541072","HathiTrust Record")</f>
        <v>HathiTrust Record</v>
      </c>
      <c r="AV62" s="6" t="str">
        <f>HYPERLINK("http://mcgill.on.worldcat.org/oclc/20091787","Catalog Record")</f>
        <v>Catalog Record</v>
      </c>
      <c r="AW62" s="6" t="str">
        <f>HYPERLINK("http://www.worldcat.org/oclc/20091787","WorldCat Record")</f>
        <v>WorldCat Record</v>
      </c>
      <c r="AX62" s="3" t="s">
        <v>720</v>
      </c>
      <c r="AY62" s="3" t="s">
        <v>721</v>
      </c>
      <c r="AZ62" s="3" t="s">
        <v>722</v>
      </c>
      <c r="BA62" s="3" t="s">
        <v>722</v>
      </c>
      <c r="BB62" s="3" t="s">
        <v>723</v>
      </c>
      <c r="BC62" s="3" t="s">
        <v>82</v>
      </c>
      <c r="BD62" s="3" t="s">
        <v>538</v>
      </c>
      <c r="BE62" s="3" t="s">
        <v>724</v>
      </c>
      <c r="BF62" s="3" t="s">
        <v>723</v>
      </c>
      <c r="BG62" s="3" t="s">
        <v>725</v>
      </c>
    </row>
    <row r="63" spans="1:59" ht="75" x14ac:dyDescent="0.25">
      <c r="A63" s="2" t="s">
        <v>59</v>
      </c>
      <c r="B63" s="2" t="s">
        <v>60</v>
      </c>
      <c r="C63" s="2" t="s">
        <v>726</v>
      </c>
      <c r="D63" s="2" t="s">
        <v>727</v>
      </c>
      <c r="E63" s="2" t="s">
        <v>728</v>
      </c>
      <c r="G63" s="3" t="s">
        <v>63</v>
      </c>
      <c r="I63" s="3" t="s">
        <v>63</v>
      </c>
      <c r="J63" s="3" t="s">
        <v>63</v>
      </c>
      <c r="K63" s="3" t="s">
        <v>64</v>
      </c>
      <c r="L63" s="2" t="s">
        <v>729</v>
      </c>
      <c r="M63" s="2" t="s">
        <v>730</v>
      </c>
      <c r="N63" s="3" t="s">
        <v>731</v>
      </c>
      <c r="P63" s="3" t="s">
        <v>66</v>
      </c>
      <c r="R63" s="3" t="s">
        <v>67</v>
      </c>
      <c r="S63" s="4">
        <v>17</v>
      </c>
      <c r="T63" s="4">
        <v>17</v>
      </c>
      <c r="U63" s="5" t="s">
        <v>732</v>
      </c>
      <c r="V63" s="5" t="s">
        <v>732</v>
      </c>
      <c r="W63" s="5" t="s">
        <v>69</v>
      </c>
      <c r="X63" s="5" t="s">
        <v>69</v>
      </c>
      <c r="Y63" s="4">
        <v>17</v>
      </c>
      <c r="Z63" s="4">
        <v>3</v>
      </c>
      <c r="AA63" s="4">
        <v>6</v>
      </c>
      <c r="AB63" s="4">
        <v>1</v>
      </c>
      <c r="AC63" s="4">
        <v>1</v>
      </c>
      <c r="AD63" s="4">
        <v>12</v>
      </c>
      <c r="AE63" s="4">
        <v>14</v>
      </c>
      <c r="AF63" s="4">
        <v>0</v>
      </c>
      <c r="AG63" s="4">
        <v>0</v>
      </c>
      <c r="AH63" s="4">
        <v>12</v>
      </c>
      <c r="AI63" s="4">
        <v>14</v>
      </c>
      <c r="AJ63" s="4">
        <v>1</v>
      </c>
      <c r="AK63" s="4">
        <v>3</v>
      </c>
      <c r="AL63" s="4">
        <v>9</v>
      </c>
      <c r="AM63" s="4">
        <v>10</v>
      </c>
      <c r="AN63" s="4">
        <v>0</v>
      </c>
      <c r="AO63" s="4">
        <v>0</v>
      </c>
      <c r="AP63" s="4">
        <v>1</v>
      </c>
      <c r="AQ63" s="4">
        <v>3</v>
      </c>
      <c r="AR63" s="3" t="s">
        <v>62</v>
      </c>
      <c r="AS63" s="3" t="s">
        <v>63</v>
      </c>
      <c r="AT63" s="3" t="s">
        <v>62</v>
      </c>
      <c r="AU63" s="6" t="str">
        <f>HYPERLINK("http://catalog.hathitrust.org/Record/000203993","HathiTrust Record")</f>
        <v>HathiTrust Record</v>
      </c>
      <c r="AV63" s="6" t="str">
        <f>HYPERLINK("http://mcgill.on.worldcat.org/oclc/2913843","Catalog Record")</f>
        <v>Catalog Record</v>
      </c>
      <c r="AW63" s="6" t="str">
        <f>HYPERLINK("http://www.worldcat.org/oclc/2913843","WorldCat Record")</f>
        <v>WorldCat Record</v>
      </c>
      <c r="AX63" s="3" t="s">
        <v>733</v>
      </c>
      <c r="AY63" s="3" t="s">
        <v>734</v>
      </c>
      <c r="AZ63" s="3" t="s">
        <v>735</v>
      </c>
      <c r="BA63" s="3" t="s">
        <v>735</v>
      </c>
      <c r="BB63" s="3" t="s">
        <v>736</v>
      </c>
      <c r="BC63" s="3" t="s">
        <v>82</v>
      </c>
      <c r="BD63" s="3" t="s">
        <v>70</v>
      </c>
      <c r="BF63" s="3" t="s">
        <v>736</v>
      </c>
      <c r="BG63" s="3" t="s">
        <v>737</v>
      </c>
    </row>
    <row r="64" spans="1:59" ht="60" x14ac:dyDescent="0.25">
      <c r="A64" s="2" t="s">
        <v>59</v>
      </c>
      <c r="B64" s="2" t="s">
        <v>60</v>
      </c>
      <c r="C64" s="2" t="s">
        <v>738</v>
      </c>
      <c r="D64" s="2" t="s">
        <v>739</v>
      </c>
      <c r="E64" s="2" t="s">
        <v>740</v>
      </c>
      <c r="G64" s="3" t="s">
        <v>63</v>
      </c>
      <c r="I64" s="3" t="s">
        <v>63</v>
      </c>
      <c r="J64" s="3" t="s">
        <v>63</v>
      </c>
      <c r="K64" s="3" t="s">
        <v>64</v>
      </c>
      <c r="L64" s="2" t="s">
        <v>741</v>
      </c>
      <c r="M64" s="2" t="s">
        <v>742</v>
      </c>
      <c r="N64" s="3" t="s">
        <v>743</v>
      </c>
      <c r="O64" s="2" t="s">
        <v>744</v>
      </c>
      <c r="P64" s="3" t="s">
        <v>66</v>
      </c>
      <c r="Q64" s="2" t="s">
        <v>745</v>
      </c>
      <c r="R64" s="3" t="s">
        <v>67</v>
      </c>
      <c r="S64" s="4">
        <v>35</v>
      </c>
      <c r="T64" s="4">
        <v>35</v>
      </c>
      <c r="U64" s="5" t="s">
        <v>746</v>
      </c>
      <c r="V64" s="5" t="s">
        <v>746</v>
      </c>
      <c r="W64" s="5" t="s">
        <v>69</v>
      </c>
      <c r="X64" s="5" t="s">
        <v>69</v>
      </c>
      <c r="Y64" s="4">
        <v>2</v>
      </c>
      <c r="Z64" s="4">
        <v>1</v>
      </c>
      <c r="AA64" s="4">
        <v>7</v>
      </c>
      <c r="AB64" s="4">
        <v>1</v>
      </c>
      <c r="AC64" s="4">
        <v>1</v>
      </c>
      <c r="AD64" s="4">
        <v>0</v>
      </c>
      <c r="AE64" s="4">
        <v>34</v>
      </c>
      <c r="AF64" s="4">
        <v>0</v>
      </c>
      <c r="AG64" s="4">
        <v>0</v>
      </c>
      <c r="AH64" s="4">
        <v>0</v>
      </c>
      <c r="AI64" s="4">
        <v>30</v>
      </c>
      <c r="AJ64" s="4">
        <v>0</v>
      </c>
      <c r="AK64" s="4">
        <v>3</v>
      </c>
      <c r="AL64" s="4">
        <v>0</v>
      </c>
      <c r="AM64" s="4">
        <v>21</v>
      </c>
      <c r="AN64" s="4">
        <v>0</v>
      </c>
      <c r="AO64" s="4">
        <v>0</v>
      </c>
      <c r="AP64" s="4">
        <v>0</v>
      </c>
      <c r="AQ64" s="4">
        <v>4</v>
      </c>
      <c r="AR64" s="3" t="s">
        <v>63</v>
      </c>
      <c r="AS64" s="3" t="s">
        <v>63</v>
      </c>
      <c r="AT64" s="3" t="s">
        <v>63</v>
      </c>
      <c r="AV64" s="6" t="str">
        <f>HYPERLINK("http://mcgill.on.worldcat.org/oclc/427908574","Catalog Record")</f>
        <v>Catalog Record</v>
      </c>
      <c r="AW64" s="6" t="str">
        <f>HYPERLINK("http://www.worldcat.org/oclc/427908574","WorldCat Record")</f>
        <v>WorldCat Record</v>
      </c>
      <c r="AX64" s="3" t="s">
        <v>747</v>
      </c>
      <c r="AY64" s="3" t="s">
        <v>748</v>
      </c>
      <c r="AZ64" s="3" t="s">
        <v>749</v>
      </c>
      <c r="BA64" s="3" t="s">
        <v>749</v>
      </c>
      <c r="BB64" s="3" t="s">
        <v>750</v>
      </c>
      <c r="BC64" s="3" t="s">
        <v>82</v>
      </c>
      <c r="BD64" s="3" t="s">
        <v>70</v>
      </c>
      <c r="BE64" s="3" t="s">
        <v>751</v>
      </c>
      <c r="BF64" s="3" t="s">
        <v>750</v>
      </c>
      <c r="BG64" s="3" t="s">
        <v>752</v>
      </c>
    </row>
    <row r="65" spans="1:59" ht="60" x14ac:dyDescent="0.25">
      <c r="A65" s="2" t="s">
        <v>59</v>
      </c>
      <c r="B65" s="2" t="s">
        <v>60</v>
      </c>
      <c r="C65" s="2" t="s">
        <v>753</v>
      </c>
      <c r="D65" s="2" t="s">
        <v>754</v>
      </c>
      <c r="E65" s="2" t="s">
        <v>755</v>
      </c>
      <c r="G65" s="3" t="s">
        <v>63</v>
      </c>
      <c r="I65" s="3" t="s">
        <v>63</v>
      </c>
      <c r="J65" s="3" t="s">
        <v>63</v>
      </c>
      <c r="K65" s="3" t="s">
        <v>64</v>
      </c>
      <c r="L65" s="2" t="s">
        <v>756</v>
      </c>
      <c r="M65" s="2" t="s">
        <v>757</v>
      </c>
      <c r="N65" s="3" t="s">
        <v>758</v>
      </c>
      <c r="P65" s="3" t="s">
        <v>66</v>
      </c>
      <c r="R65" s="3" t="s">
        <v>67</v>
      </c>
      <c r="S65" s="4">
        <v>7</v>
      </c>
      <c r="T65" s="4">
        <v>7</v>
      </c>
      <c r="U65" s="5" t="s">
        <v>759</v>
      </c>
      <c r="V65" s="5" t="s">
        <v>759</v>
      </c>
      <c r="W65" s="5" t="s">
        <v>69</v>
      </c>
      <c r="X65" s="5" t="s">
        <v>69</v>
      </c>
      <c r="Y65" s="4">
        <v>148</v>
      </c>
      <c r="Z65" s="4">
        <v>13</v>
      </c>
      <c r="AA65" s="4">
        <v>13</v>
      </c>
      <c r="AB65" s="4">
        <v>1</v>
      </c>
      <c r="AC65" s="4">
        <v>1</v>
      </c>
      <c r="AD65" s="4">
        <v>74</v>
      </c>
      <c r="AE65" s="4">
        <v>74</v>
      </c>
      <c r="AF65" s="4">
        <v>0</v>
      </c>
      <c r="AG65" s="4">
        <v>0</v>
      </c>
      <c r="AH65" s="4">
        <v>69</v>
      </c>
      <c r="AI65" s="4">
        <v>69</v>
      </c>
      <c r="AJ65" s="4">
        <v>9</v>
      </c>
      <c r="AK65" s="4">
        <v>9</v>
      </c>
      <c r="AL65" s="4">
        <v>42</v>
      </c>
      <c r="AM65" s="4">
        <v>42</v>
      </c>
      <c r="AN65" s="4">
        <v>0</v>
      </c>
      <c r="AO65" s="4">
        <v>0</v>
      </c>
      <c r="AP65" s="4">
        <v>10</v>
      </c>
      <c r="AQ65" s="4">
        <v>10</v>
      </c>
      <c r="AR65" s="3" t="s">
        <v>63</v>
      </c>
      <c r="AS65" s="3" t="s">
        <v>63</v>
      </c>
      <c r="AT65" s="3" t="s">
        <v>62</v>
      </c>
      <c r="AU65" s="6" t="str">
        <f>HYPERLINK("http://catalog.hathitrust.org/Record/001851077","HathiTrust Record")</f>
        <v>HathiTrust Record</v>
      </c>
      <c r="AV65" s="6" t="str">
        <f>HYPERLINK("http://mcgill.on.worldcat.org/oclc/919735","Catalog Record")</f>
        <v>Catalog Record</v>
      </c>
      <c r="AW65" s="6" t="str">
        <f>HYPERLINK("http://www.worldcat.org/oclc/919735","WorldCat Record")</f>
        <v>WorldCat Record</v>
      </c>
      <c r="AX65" s="3" t="s">
        <v>760</v>
      </c>
      <c r="AY65" s="3" t="s">
        <v>761</v>
      </c>
      <c r="AZ65" s="3" t="s">
        <v>762</v>
      </c>
      <c r="BA65" s="3" t="s">
        <v>762</v>
      </c>
      <c r="BB65" s="3" t="s">
        <v>763</v>
      </c>
      <c r="BC65" s="3" t="s">
        <v>82</v>
      </c>
      <c r="BD65" s="3" t="s">
        <v>70</v>
      </c>
      <c r="BF65" s="3" t="s">
        <v>763</v>
      </c>
      <c r="BG65" s="3" t="s">
        <v>764</v>
      </c>
    </row>
    <row r="66" spans="1:59" ht="60" x14ac:dyDescent="0.25">
      <c r="A66" s="2" t="s">
        <v>59</v>
      </c>
      <c r="B66" s="2" t="s">
        <v>60</v>
      </c>
      <c r="C66" s="2" t="s">
        <v>765</v>
      </c>
      <c r="D66" s="2" t="s">
        <v>766</v>
      </c>
      <c r="E66" s="2" t="s">
        <v>767</v>
      </c>
      <c r="G66" s="3" t="s">
        <v>63</v>
      </c>
      <c r="I66" s="3" t="s">
        <v>63</v>
      </c>
      <c r="J66" s="3" t="s">
        <v>63</v>
      </c>
      <c r="K66" s="3" t="s">
        <v>64</v>
      </c>
      <c r="L66" s="2" t="s">
        <v>768</v>
      </c>
      <c r="N66" s="3" t="s">
        <v>213</v>
      </c>
      <c r="P66" s="3" t="s">
        <v>769</v>
      </c>
      <c r="R66" s="3" t="s">
        <v>67</v>
      </c>
      <c r="S66" s="4">
        <v>12</v>
      </c>
      <c r="T66" s="4">
        <v>12</v>
      </c>
      <c r="U66" s="5" t="s">
        <v>746</v>
      </c>
      <c r="V66" s="5" t="s">
        <v>746</v>
      </c>
      <c r="W66" s="5" t="s">
        <v>69</v>
      </c>
      <c r="X66" s="5" t="s">
        <v>69</v>
      </c>
      <c r="Y66" s="4">
        <v>26</v>
      </c>
      <c r="Z66" s="4">
        <v>1</v>
      </c>
      <c r="AA66" s="4">
        <v>6</v>
      </c>
      <c r="AB66" s="4">
        <v>1</v>
      </c>
      <c r="AC66" s="4">
        <v>1</v>
      </c>
      <c r="AD66" s="4">
        <v>11</v>
      </c>
      <c r="AE66" s="4">
        <v>31</v>
      </c>
      <c r="AF66" s="4">
        <v>0</v>
      </c>
      <c r="AG66" s="4">
        <v>0</v>
      </c>
      <c r="AH66" s="4">
        <v>10</v>
      </c>
      <c r="AI66" s="4">
        <v>29</v>
      </c>
      <c r="AJ66" s="4">
        <v>0</v>
      </c>
      <c r="AK66" s="4">
        <v>3</v>
      </c>
      <c r="AL66" s="4">
        <v>8</v>
      </c>
      <c r="AM66" s="4">
        <v>22</v>
      </c>
      <c r="AN66" s="4">
        <v>0</v>
      </c>
      <c r="AO66" s="4">
        <v>0</v>
      </c>
      <c r="AP66" s="4">
        <v>0</v>
      </c>
      <c r="AQ66" s="4">
        <v>3</v>
      </c>
      <c r="AR66" s="3" t="s">
        <v>63</v>
      </c>
      <c r="AS66" s="3" t="s">
        <v>63</v>
      </c>
      <c r="AT66" s="3" t="s">
        <v>62</v>
      </c>
      <c r="AU66" s="6" t="str">
        <f>HYPERLINK("http://catalog.hathitrust.org/Record/006590221","HathiTrust Record")</f>
        <v>HathiTrust Record</v>
      </c>
      <c r="AV66" s="6" t="str">
        <f>HYPERLINK("http://mcgill.on.worldcat.org/oclc/4346812","Catalog Record")</f>
        <v>Catalog Record</v>
      </c>
      <c r="AW66" s="6" t="str">
        <f>HYPERLINK("http://www.worldcat.org/oclc/4346812","WorldCat Record")</f>
        <v>WorldCat Record</v>
      </c>
      <c r="AX66" s="3" t="s">
        <v>770</v>
      </c>
      <c r="AY66" s="3" t="s">
        <v>771</v>
      </c>
      <c r="AZ66" s="3" t="s">
        <v>772</v>
      </c>
      <c r="BA66" s="3" t="s">
        <v>772</v>
      </c>
      <c r="BB66" s="3" t="s">
        <v>773</v>
      </c>
      <c r="BC66" s="3" t="s">
        <v>82</v>
      </c>
      <c r="BD66" s="3" t="s">
        <v>70</v>
      </c>
      <c r="BF66" s="3" t="s">
        <v>773</v>
      </c>
      <c r="BG66" s="3" t="s">
        <v>774</v>
      </c>
    </row>
    <row r="67" spans="1:59" ht="60" x14ac:dyDescent="0.25">
      <c r="A67" s="2" t="s">
        <v>59</v>
      </c>
      <c r="B67" s="2" t="s">
        <v>60</v>
      </c>
      <c r="C67" s="2" t="s">
        <v>775</v>
      </c>
      <c r="D67" s="2" t="s">
        <v>776</v>
      </c>
      <c r="E67" s="2" t="s">
        <v>777</v>
      </c>
      <c r="G67" s="3" t="s">
        <v>63</v>
      </c>
      <c r="I67" s="3" t="s">
        <v>63</v>
      </c>
      <c r="J67" s="3" t="s">
        <v>63</v>
      </c>
      <c r="K67" s="3" t="s">
        <v>64</v>
      </c>
      <c r="L67" s="2" t="s">
        <v>778</v>
      </c>
      <c r="M67" s="2" t="s">
        <v>779</v>
      </c>
      <c r="N67" s="3" t="s">
        <v>706</v>
      </c>
      <c r="P67" s="3" t="s">
        <v>66</v>
      </c>
      <c r="Q67" s="2" t="s">
        <v>780</v>
      </c>
      <c r="R67" s="3" t="s">
        <v>67</v>
      </c>
      <c r="S67" s="4">
        <v>28</v>
      </c>
      <c r="T67" s="4">
        <v>28</v>
      </c>
      <c r="U67" s="5" t="s">
        <v>746</v>
      </c>
      <c r="V67" s="5" t="s">
        <v>746</v>
      </c>
      <c r="W67" s="5" t="s">
        <v>69</v>
      </c>
      <c r="X67" s="5" t="s">
        <v>69</v>
      </c>
      <c r="Y67" s="4">
        <v>132</v>
      </c>
      <c r="Z67" s="4">
        <v>8</v>
      </c>
      <c r="AA67" s="4">
        <v>9</v>
      </c>
      <c r="AB67" s="4">
        <v>1</v>
      </c>
      <c r="AC67" s="4">
        <v>1</v>
      </c>
      <c r="AD67" s="4">
        <v>40</v>
      </c>
      <c r="AE67" s="4">
        <v>46</v>
      </c>
      <c r="AF67" s="4">
        <v>0</v>
      </c>
      <c r="AG67" s="4">
        <v>0</v>
      </c>
      <c r="AH67" s="4">
        <v>38</v>
      </c>
      <c r="AI67" s="4">
        <v>42</v>
      </c>
      <c r="AJ67" s="4">
        <v>6</v>
      </c>
      <c r="AK67" s="4">
        <v>7</v>
      </c>
      <c r="AL67" s="4">
        <v>24</v>
      </c>
      <c r="AM67" s="4">
        <v>28</v>
      </c>
      <c r="AN67" s="4">
        <v>0</v>
      </c>
      <c r="AO67" s="4">
        <v>0</v>
      </c>
      <c r="AP67" s="4">
        <v>6</v>
      </c>
      <c r="AQ67" s="4">
        <v>7</v>
      </c>
      <c r="AR67" s="3" t="s">
        <v>63</v>
      </c>
      <c r="AS67" s="3" t="s">
        <v>63</v>
      </c>
      <c r="AT67" s="3" t="s">
        <v>63</v>
      </c>
      <c r="AV67" s="6" t="str">
        <f>HYPERLINK("http://mcgill.on.worldcat.org/oclc/11970899","Catalog Record")</f>
        <v>Catalog Record</v>
      </c>
      <c r="AW67" s="6" t="str">
        <f>HYPERLINK("http://www.worldcat.org/oclc/11970899","WorldCat Record")</f>
        <v>WorldCat Record</v>
      </c>
      <c r="AX67" s="3" t="s">
        <v>781</v>
      </c>
      <c r="AY67" s="3" t="s">
        <v>782</v>
      </c>
      <c r="AZ67" s="3" t="s">
        <v>783</v>
      </c>
      <c r="BA67" s="3" t="s">
        <v>783</v>
      </c>
      <c r="BB67" s="3" t="s">
        <v>784</v>
      </c>
      <c r="BC67" s="3" t="s">
        <v>82</v>
      </c>
      <c r="BD67" s="3" t="s">
        <v>70</v>
      </c>
      <c r="BE67" s="3" t="s">
        <v>785</v>
      </c>
      <c r="BF67" s="3" t="s">
        <v>784</v>
      </c>
      <c r="BG67" s="3" t="s">
        <v>786</v>
      </c>
    </row>
    <row r="68" spans="1:59" ht="90" x14ac:dyDescent="0.25">
      <c r="A68" s="2" t="s">
        <v>59</v>
      </c>
      <c r="B68" s="2" t="s">
        <v>60</v>
      </c>
      <c r="C68" s="2" t="s">
        <v>156</v>
      </c>
      <c r="D68" s="2" t="s">
        <v>157</v>
      </c>
      <c r="E68" s="2" t="s">
        <v>158</v>
      </c>
      <c r="F68" s="3" t="s">
        <v>159</v>
      </c>
      <c r="G68" s="3" t="s">
        <v>63</v>
      </c>
      <c r="I68" s="3" t="s">
        <v>63</v>
      </c>
      <c r="J68" s="3" t="s">
        <v>63</v>
      </c>
      <c r="K68" s="3" t="s">
        <v>64</v>
      </c>
      <c r="M68" s="2" t="s">
        <v>160</v>
      </c>
      <c r="N68" s="3" t="s">
        <v>161</v>
      </c>
      <c r="P68" s="3" t="s">
        <v>66</v>
      </c>
      <c r="Q68" s="2" t="s">
        <v>162</v>
      </c>
      <c r="R68" s="3" t="s">
        <v>67</v>
      </c>
      <c r="S68" s="4">
        <v>5</v>
      </c>
      <c r="T68" s="4">
        <v>5</v>
      </c>
      <c r="U68" s="5" t="s">
        <v>163</v>
      </c>
      <c r="V68" s="5" t="s">
        <v>163</v>
      </c>
      <c r="W68" s="5" t="s">
        <v>69</v>
      </c>
      <c r="X68" s="5" t="s">
        <v>69</v>
      </c>
      <c r="Y68" s="4">
        <v>164</v>
      </c>
      <c r="Z68" s="4">
        <v>16</v>
      </c>
      <c r="AA68" s="4">
        <v>16</v>
      </c>
      <c r="AB68" s="4">
        <v>1</v>
      </c>
      <c r="AC68" s="4">
        <v>1</v>
      </c>
      <c r="AD68" s="4">
        <v>82</v>
      </c>
      <c r="AE68" s="4">
        <v>82</v>
      </c>
      <c r="AF68" s="4">
        <v>0</v>
      </c>
      <c r="AG68" s="4">
        <v>0</v>
      </c>
      <c r="AH68" s="4">
        <v>77</v>
      </c>
      <c r="AI68" s="4">
        <v>77</v>
      </c>
      <c r="AJ68" s="4">
        <v>13</v>
      </c>
      <c r="AK68" s="4">
        <v>13</v>
      </c>
      <c r="AL68" s="4">
        <v>46</v>
      </c>
      <c r="AM68" s="4">
        <v>46</v>
      </c>
      <c r="AN68" s="4">
        <v>0</v>
      </c>
      <c r="AO68" s="4">
        <v>0</v>
      </c>
      <c r="AP68" s="4">
        <v>13</v>
      </c>
      <c r="AQ68" s="4">
        <v>13</v>
      </c>
      <c r="AR68" s="3" t="s">
        <v>63</v>
      </c>
      <c r="AS68" s="3" t="s">
        <v>63</v>
      </c>
      <c r="AT68" s="3" t="s">
        <v>62</v>
      </c>
      <c r="AU68" s="6" t="str">
        <f>HYPERLINK("http://catalog.hathitrust.org/Record/002554159","HathiTrust Record")</f>
        <v>HathiTrust Record</v>
      </c>
      <c r="AV68" s="6" t="str">
        <f>HYPERLINK("http://mcgill.on.worldcat.org/oclc/20852381","Catalog Record")</f>
        <v>Catalog Record</v>
      </c>
      <c r="AW68" s="6" t="str">
        <f>HYPERLINK("http://www.worldcat.org/oclc/20852381","WorldCat Record")</f>
        <v>WorldCat Record</v>
      </c>
      <c r="AX68" s="3" t="s">
        <v>164</v>
      </c>
      <c r="AY68" s="3" t="s">
        <v>165</v>
      </c>
      <c r="AZ68" s="3" t="s">
        <v>166</v>
      </c>
      <c r="BA68" s="3" t="s">
        <v>166</v>
      </c>
      <c r="BB68" s="3" t="s">
        <v>167</v>
      </c>
      <c r="BC68" s="3" t="s">
        <v>82</v>
      </c>
      <c r="BD68" s="3" t="s">
        <v>70</v>
      </c>
      <c r="BE68" s="3" t="s">
        <v>168</v>
      </c>
      <c r="BF68" s="3" t="s">
        <v>167</v>
      </c>
      <c r="BG68" s="3" t="s">
        <v>169</v>
      </c>
    </row>
    <row r="69" spans="1:59" ht="90" x14ac:dyDescent="0.25">
      <c r="A69" s="2" t="s">
        <v>59</v>
      </c>
      <c r="B69" s="2" t="s">
        <v>60</v>
      </c>
      <c r="C69" s="2" t="s">
        <v>170</v>
      </c>
      <c r="D69" s="2" t="s">
        <v>171</v>
      </c>
      <c r="E69" s="2" t="s">
        <v>172</v>
      </c>
      <c r="F69" s="3" t="s">
        <v>173</v>
      </c>
      <c r="G69" s="3" t="s">
        <v>63</v>
      </c>
      <c r="I69" s="3" t="s">
        <v>63</v>
      </c>
      <c r="J69" s="3" t="s">
        <v>63</v>
      </c>
      <c r="K69" s="3" t="s">
        <v>64</v>
      </c>
      <c r="L69" s="2" t="s">
        <v>174</v>
      </c>
      <c r="M69" s="2" t="s">
        <v>175</v>
      </c>
      <c r="N69" s="3" t="s">
        <v>176</v>
      </c>
      <c r="P69" s="3" t="s">
        <v>66</v>
      </c>
      <c r="Q69" s="2" t="s">
        <v>177</v>
      </c>
      <c r="R69" s="3" t="s">
        <v>67</v>
      </c>
      <c r="S69" s="4">
        <v>7</v>
      </c>
      <c r="T69" s="4">
        <v>7</v>
      </c>
      <c r="U69" s="5" t="s">
        <v>178</v>
      </c>
      <c r="V69" s="5" t="s">
        <v>178</v>
      </c>
      <c r="W69" s="5" t="s">
        <v>69</v>
      </c>
      <c r="X69" s="5" t="s">
        <v>69</v>
      </c>
      <c r="Y69" s="4">
        <v>69</v>
      </c>
      <c r="Z69" s="4">
        <v>3</v>
      </c>
      <c r="AA69" s="4">
        <v>3</v>
      </c>
      <c r="AB69" s="4">
        <v>1</v>
      </c>
      <c r="AC69" s="4">
        <v>1</v>
      </c>
      <c r="AD69" s="4">
        <v>45</v>
      </c>
      <c r="AE69" s="4">
        <v>45</v>
      </c>
      <c r="AF69" s="4">
        <v>0</v>
      </c>
      <c r="AG69" s="4">
        <v>0</v>
      </c>
      <c r="AH69" s="4">
        <v>43</v>
      </c>
      <c r="AI69" s="4">
        <v>43</v>
      </c>
      <c r="AJ69" s="4">
        <v>2</v>
      </c>
      <c r="AK69" s="4">
        <v>2</v>
      </c>
      <c r="AL69" s="4">
        <v>33</v>
      </c>
      <c r="AM69" s="4">
        <v>33</v>
      </c>
      <c r="AN69" s="4">
        <v>0</v>
      </c>
      <c r="AO69" s="4">
        <v>0</v>
      </c>
      <c r="AP69" s="4">
        <v>2</v>
      </c>
      <c r="AQ69" s="4">
        <v>2</v>
      </c>
      <c r="AR69" s="3" t="s">
        <v>63</v>
      </c>
      <c r="AS69" s="3" t="s">
        <v>63</v>
      </c>
      <c r="AT69" s="3" t="s">
        <v>62</v>
      </c>
      <c r="AU69" s="6" t="str">
        <f>HYPERLINK("http://catalog.hathitrust.org/Record/007011341","HathiTrust Record")</f>
        <v>HathiTrust Record</v>
      </c>
      <c r="AV69" s="6" t="str">
        <f>HYPERLINK("http://mcgill.on.worldcat.org/oclc/38580322","Catalog Record")</f>
        <v>Catalog Record</v>
      </c>
      <c r="AW69" s="6" t="str">
        <f>HYPERLINK("http://www.worldcat.org/oclc/38580322","WorldCat Record")</f>
        <v>WorldCat Record</v>
      </c>
      <c r="AX69" s="3" t="s">
        <v>179</v>
      </c>
      <c r="AY69" s="3" t="s">
        <v>180</v>
      </c>
      <c r="AZ69" s="3" t="s">
        <v>181</v>
      </c>
      <c r="BA69" s="3" t="s">
        <v>181</v>
      </c>
      <c r="BB69" s="3" t="s">
        <v>182</v>
      </c>
      <c r="BC69" s="3" t="s">
        <v>82</v>
      </c>
      <c r="BD69" s="3" t="s">
        <v>70</v>
      </c>
      <c r="BE69" s="3" t="s">
        <v>183</v>
      </c>
      <c r="BF69" s="3" t="s">
        <v>182</v>
      </c>
      <c r="BG69" s="3" t="s">
        <v>184</v>
      </c>
    </row>
    <row r="70" spans="1:59" ht="75" x14ac:dyDescent="0.25">
      <c r="A70" s="2" t="s">
        <v>59</v>
      </c>
      <c r="B70" s="2" t="s">
        <v>60</v>
      </c>
      <c r="C70" s="2" t="s">
        <v>185</v>
      </c>
      <c r="D70" s="2" t="s">
        <v>186</v>
      </c>
      <c r="E70" s="2" t="s">
        <v>187</v>
      </c>
      <c r="F70" s="3" t="s">
        <v>188</v>
      </c>
      <c r="G70" s="3" t="s">
        <v>63</v>
      </c>
      <c r="I70" s="3" t="s">
        <v>63</v>
      </c>
      <c r="J70" s="3" t="s">
        <v>63</v>
      </c>
      <c r="K70" s="3" t="s">
        <v>64</v>
      </c>
      <c r="M70" s="2" t="s">
        <v>189</v>
      </c>
      <c r="N70" s="3" t="s">
        <v>190</v>
      </c>
      <c r="P70" s="3" t="s">
        <v>66</v>
      </c>
      <c r="Q70" s="2" t="s">
        <v>191</v>
      </c>
      <c r="R70" s="3" t="s">
        <v>67</v>
      </c>
      <c r="S70" s="4">
        <v>6</v>
      </c>
      <c r="T70" s="4">
        <v>6</v>
      </c>
      <c r="U70" s="5" t="s">
        <v>192</v>
      </c>
      <c r="V70" s="5" t="s">
        <v>192</v>
      </c>
      <c r="W70" s="5" t="s">
        <v>69</v>
      </c>
      <c r="X70" s="5" t="s">
        <v>69</v>
      </c>
      <c r="Y70" s="4">
        <v>33</v>
      </c>
      <c r="Z70" s="4">
        <v>3</v>
      </c>
      <c r="AA70" s="4">
        <v>3</v>
      </c>
      <c r="AB70" s="4">
        <v>1</v>
      </c>
      <c r="AC70" s="4">
        <v>1</v>
      </c>
      <c r="AD70" s="4">
        <v>18</v>
      </c>
      <c r="AE70" s="4">
        <v>19</v>
      </c>
      <c r="AF70" s="4">
        <v>0</v>
      </c>
      <c r="AG70" s="4">
        <v>0</v>
      </c>
      <c r="AH70" s="4">
        <v>17</v>
      </c>
      <c r="AI70" s="4">
        <v>18</v>
      </c>
      <c r="AJ70" s="4">
        <v>1</v>
      </c>
      <c r="AK70" s="4">
        <v>1</v>
      </c>
      <c r="AL70" s="4">
        <v>13</v>
      </c>
      <c r="AM70" s="4">
        <v>14</v>
      </c>
      <c r="AN70" s="4">
        <v>0</v>
      </c>
      <c r="AO70" s="4">
        <v>0</v>
      </c>
      <c r="AP70" s="4">
        <v>2</v>
      </c>
      <c r="AQ70" s="4">
        <v>2</v>
      </c>
      <c r="AR70" s="3" t="s">
        <v>63</v>
      </c>
      <c r="AS70" s="3" t="s">
        <v>63</v>
      </c>
      <c r="AT70" s="3" t="s">
        <v>63</v>
      </c>
      <c r="AV70" s="6" t="str">
        <f>HYPERLINK("http://mcgill.on.worldcat.org/oclc/67613454","Catalog Record")</f>
        <v>Catalog Record</v>
      </c>
      <c r="AW70" s="6" t="str">
        <f>HYPERLINK("http://www.worldcat.org/oclc/67613454","WorldCat Record")</f>
        <v>WorldCat Record</v>
      </c>
      <c r="AX70" s="3" t="s">
        <v>193</v>
      </c>
      <c r="AY70" s="3" t="s">
        <v>194</v>
      </c>
      <c r="AZ70" s="3" t="s">
        <v>195</v>
      </c>
      <c r="BA70" s="3" t="s">
        <v>195</v>
      </c>
      <c r="BB70" s="3" t="s">
        <v>196</v>
      </c>
      <c r="BC70" s="3" t="s">
        <v>82</v>
      </c>
      <c r="BD70" s="3" t="s">
        <v>70</v>
      </c>
      <c r="BE70" s="3" t="s">
        <v>197</v>
      </c>
      <c r="BF70" s="3" t="s">
        <v>196</v>
      </c>
      <c r="BG70" s="3" t="s">
        <v>198</v>
      </c>
    </row>
    <row r="71" spans="1:59" ht="60" x14ac:dyDescent="0.25">
      <c r="A71" s="2" t="s">
        <v>59</v>
      </c>
      <c r="B71" s="2" t="s">
        <v>60</v>
      </c>
      <c r="C71" s="2" t="s">
        <v>787</v>
      </c>
      <c r="D71" s="2" t="s">
        <v>788</v>
      </c>
      <c r="E71" s="2" t="s">
        <v>789</v>
      </c>
      <c r="G71" s="3" t="s">
        <v>63</v>
      </c>
      <c r="I71" s="3" t="s">
        <v>63</v>
      </c>
      <c r="J71" s="3" t="s">
        <v>63</v>
      </c>
      <c r="K71" s="3" t="s">
        <v>64</v>
      </c>
      <c r="L71" s="2" t="s">
        <v>790</v>
      </c>
      <c r="M71" s="2" t="s">
        <v>791</v>
      </c>
      <c r="N71" s="3" t="s">
        <v>706</v>
      </c>
      <c r="P71" s="3" t="s">
        <v>66</v>
      </c>
      <c r="Q71" s="2" t="s">
        <v>792</v>
      </c>
      <c r="R71" s="3" t="s">
        <v>67</v>
      </c>
      <c r="S71" s="4">
        <v>2</v>
      </c>
      <c r="T71" s="4">
        <v>2</v>
      </c>
      <c r="U71" s="5" t="s">
        <v>276</v>
      </c>
      <c r="V71" s="5" t="s">
        <v>276</v>
      </c>
      <c r="W71" s="5" t="s">
        <v>69</v>
      </c>
      <c r="X71" s="5" t="s">
        <v>69</v>
      </c>
      <c r="Y71" s="4">
        <v>6</v>
      </c>
      <c r="Z71" s="4">
        <v>5</v>
      </c>
      <c r="AA71" s="4">
        <v>5</v>
      </c>
      <c r="AB71" s="4">
        <v>1</v>
      </c>
      <c r="AC71" s="4">
        <v>1</v>
      </c>
      <c r="AD71" s="4">
        <v>4</v>
      </c>
      <c r="AE71" s="4">
        <v>17</v>
      </c>
      <c r="AF71" s="4">
        <v>0</v>
      </c>
      <c r="AG71" s="4">
        <v>0</v>
      </c>
      <c r="AH71" s="4">
        <v>3</v>
      </c>
      <c r="AI71" s="4">
        <v>16</v>
      </c>
      <c r="AJ71" s="4">
        <v>3</v>
      </c>
      <c r="AK71" s="4">
        <v>3</v>
      </c>
      <c r="AL71" s="4">
        <v>2</v>
      </c>
      <c r="AM71" s="4">
        <v>14</v>
      </c>
      <c r="AN71" s="4">
        <v>0</v>
      </c>
      <c r="AO71" s="4">
        <v>0</v>
      </c>
      <c r="AP71" s="4">
        <v>3</v>
      </c>
      <c r="AQ71" s="4">
        <v>3</v>
      </c>
      <c r="AR71" s="3" t="s">
        <v>63</v>
      </c>
      <c r="AS71" s="3" t="s">
        <v>63</v>
      </c>
      <c r="AT71" s="3" t="s">
        <v>63</v>
      </c>
      <c r="AV71" s="6" t="str">
        <f>HYPERLINK("http://mcgill.on.worldcat.org/oclc/427344277","Catalog Record")</f>
        <v>Catalog Record</v>
      </c>
      <c r="AW71" s="6" t="str">
        <f>HYPERLINK("http://www.worldcat.org/oclc/427344277","WorldCat Record")</f>
        <v>WorldCat Record</v>
      </c>
      <c r="AX71" s="3" t="s">
        <v>793</v>
      </c>
      <c r="AY71" s="3" t="s">
        <v>794</v>
      </c>
      <c r="AZ71" s="3" t="s">
        <v>795</v>
      </c>
      <c r="BA71" s="3" t="s">
        <v>795</v>
      </c>
      <c r="BB71" s="3" t="s">
        <v>796</v>
      </c>
      <c r="BC71" s="3" t="s">
        <v>82</v>
      </c>
      <c r="BD71" s="3" t="s">
        <v>70</v>
      </c>
      <c r="BF71" s="3" t="s">
        <v>796</v>
      </c>
      <c r="BG71" s="3" t="s">
        <v>797</v>
      </c>
    </row>
    <row r="72" spans="1:59" ht="60" x14ac:dyDescent="0.25">
      <c r="A72" s="2" t="s">
        <v>59</v>
      </c>
      <c r="B72" s="2" t="s">
        <v>60</v>
      </c>
      <c r="C72" s="2" t="s">
        <v>798</v>
      </c>
      <c r="D72" s="2" t="s">
        <v>799</v>
      </c>
      <c r="E72" s="2" t="s">
        <v>800</v>
      </c>
      <c r="G72" s="3" t="s">
        <v>63</v>
      </c>
      <c r="I72" s="3" t="s">
        <v>63</v>
      </c>
      <c r="J72" s="3" t="s">
        <v>63</v>
      </c>
      <c r="K72" s="3" t="s">
        <v>64</v>
      </c>
      <c r="L72" s="2" t="s">
        <v>801</v>
      </c>
      <c r="N72" s="3" t="s">
        <v>401</v>
      </c>
      <c r="P72" s="3" t="s">
        <v>769</v>
      </c>
      <c r="Q72" s="2" t="s">
        <v>802</v>
      </c>
      <c r="R72" s="3" t="s">
        <v>67</v>
      </c>
      <c r="S72" s="4">
        <v>8</v>
      </c>
      <c r="T72" s="4">
        <v>8</v>
      </c>
      <c r="U72" s="5" t="s">
        <v>803</v>
      </c>
      <c r="V72" s="5" t="s">
        <v>803</v>
      </c>
      <c r="W72" s="5" t="s">
        <v>69</v>
      </c>
      <c r="X72" s="5" t="s">
        <v>69</v>
      </c>
      <c r="Y72" s="4">
        <v>61</v>
      </c>
      <c r="Z72" s="4">
        <v>5</v>
      </c>
      <c r="AA72" s="4">
        <v>8</v>
      </c>
      <c r="AB72" s="4">
        <v>1</v>
      </c>
      <c r="AC72" s="4">
        <v>1</v>
      </c>
      <c r="AD72" s="4">
        <v>44</v>
      </c>
      <c r="AE72" s="4">
        <v>50</v>
      </c>
      <c r="AF72" s="4">
        <v>0</v>
      </c>
      <c r="AG72" s="4">
        <v>0</v>
      </c>
      <c r="AH72" s="4">
        <v>41</v>
      </c>
      <c r="AI72" s="4">
        <v>47</v>
      </c>
      <c r="AJ72" s="4">
        <v>4</v>
      </c>
      <c r="AK72" s="4">
        <v>5</v>
      </c>
      <c r="AL72" s="4">
        <v>33</v>
      </c>
      <c r="AM72" s="4">
        <v>36</v>
      </c>
      <c r="AN72" s="4">
        <v>0</v>
      </c>
      <c r="AO72" s="4">
        <v>3</v>
      </c>
      <c r="AP72" s="4">
        <v>4</v>
      </c>
      <c r="AQ72" s="4">
        <v>5</v>
      </c>
      <c r="AR72" s="3" t="s">
        <v>63</v>
      </c>
      <c r="AS72" s="3" t="s">
        <v>63</v>
      </c>
      <c r="AT72" s="3" t="s">
        <v>62</v>
      </c>
      <c r="AU72" s="6" t="str">
        <f>HYPERLINK("http://catalog.hathitrust.org/Record/001183926","HathiTrust Record")</f>
        <v>HathiTrust Record</v>
      </c>
      <c r="AV72" s="6" t="str">
        <f>HYPERLINK("http://mcgill.on.worldcat.org/oclc/7921233","Catalog Record")</f>
        <v>Catalog Record</v>
      </c>
      <c r="AW72" s="6" t="str">
        <f>HYPERLINK("http://www.worldcat.org/oclc/7921233","WorldCat Record")</f>
        <v>WorldCat Record</v>
      </c>
      <c r="AX72" s="3" t="s">
        <v>804</v>
      </c>
      <c r="AY72" s="3" t="s">
        <v>805</v>
      </c>
      <c r="AZ72" s="3" t="s">
        <v>806</v>
      </c>
      <c r="BA72" s="3" t="s">
        <v>806</v>
      </c>
      <c r="BB72" s="3" t="s">
        <v>807</v>
      </c>
      <c r="BC72" s="3" t="s">
        <v>82</v>
      </c>
      <c r="BD72" s="3" t="s">
        <v>70</v>
      </c>
      <c r="BF72" s="3" t="s">
        <v>807</v>
      </c>
      <c r="BG72" s="3" t="s">
        <v>808</v>
      </c>
    </row>
    <row r="73" spans="1:59" ht="60" x14ac:dyDescent="0.25">
      <c r="A73" s="2" t="s">
        <v>59</v>
      </c>
      <c r="B73" s="2" t="s">
        <v>60</v>
      </c>
      <c r="C73" s="2" t="s">
        <v>809</v>
      </c>
      <c r="D73" s="2" t="s">
        <v>810</v>
      </c>
      <c r="E73" s="2" t="s">
        <v>811</v>
      </c>
      <c r="G73" s="3" t="s">
        <v>63</v>
      </c>
      <c r="I73" s="3" t="s">
        <v>62</v>
      </c>
      <c r="J73" s="3" t="s">
        <v>62</v>
      </c>
      <c r="K73" s="3" t="s">
        <v>64</v>
      </c>
      <c r="L73" s="2" t="s">
        <v>812</v>
      </c>
      <c r="M73" s="2" t="s">
        <v>813</v>
      </c>
      <c r="N73" s="3" t="s">
        <v>814</v>
      </c>
      <c r="P73" s="3" t="s">
        <v>66</v>
      </c>
      <c r="R73" s="3" t="s">
        <v>67</v>
      </c>
      <c r="S73" s="4">
        <v>17</v>
      </c>
      <c r="T73" s="4">
        <v>17</v>
      </c>
      <c r="U73" s="5" t="s">
        <v>815</v>
      </c>
      <c r="V73" s="5" t="s">
        <v>815</v>
      </c>
      <c r="W73" s="5" t="s">
        <v>69</v>
      </c>
      <c r="X73" s="5" t="s">
        <v>69</v>
      </c>
      <c r="Y73" s="4">
        <v>297</v>
      </c>
      <c r="Z73" s="4">
        <v>18</v>
      </c>
      <c r="AA73" s="4">
        <v>51</v>
      </c>
      <c r="AB73" s="4">
        <v>2</v>
      </c>
      <c r="AC73" s="4">
        <v>10</v>
      </c>
      <c r="AD73" s="4">
        <v>98</v>
      </c>
      <c r="AE73" s="4">
        <v>134</v>
      </c>
      <c r="AF73" s="4">
        <v>0</v>
      </c>
      <c r="AG73" s="4">
        <v>4</v>
      </c>
      <c r="AH73" s="4">
        <v>92</v>
      </c>
      <c r="AI73" s="4">
        <v>113</v>
      </c>
      <c r="AJ73" s="4">
        <v>10</v>
      </c>
      <c r="AK73" s="4">
        <v>21</v>
      </c>
      <c r="AL73" s="4">
        <v>51</v>
      </c>
      <c r="AM73" s="4">
        <v>59</v>
      </c>
      <c r="AN73" s="4">
        <v>0</v>
      </c>
      <c r="AO73" s="4">
        <v>0</v>
      </c>
      <c r="AP73" s="4">
        <v>12</v>
      </c>
      <c r="AQ73" s="4">
        <v>28</v>
      </c>
      <c r="AR73" s="3" t="s">
        <v>63</v>
      </c>
      <c r="AS73" s="3" t="s">
        <v>63</v>
      </c>
      <c r="AT73" s="3" t="s">
        <v>62</v>
      </c>
      <c r="AU73" s="6" t="str">
        <f>HYPERLINK("http://catalog.hathitrust.org/Record/000255345","HathiTrust Record")</f>
        <v>HathiTrust Record</v>
      </c>
      <c r="AV73" s="6" t="str">
        <f>HYPERLINK("http://mcgill.on.worldcat.org/oclc/4490734","Catalog Record")</f>
        <v>Catalog Record</v>
      </c>
      <c r="AW73" s="6" t="str">
        <f>HYPERLINK("http://www.worldcat.org/oclc/4490734","WorldCat Record")</f>
        <v>WorldCat Record</v>
      </c>
      <c r="AX73" s="3" t="s">
        <v>816</v>
      </c>
      <c r="AY73" s="3" t="s">
        <v>817</v>
      </c>
      <c r="AZ73" s="3" t="s">
        <v>818</v>
      </c>
      <c r="BA73" s="3" t="s">
        <v>818</v>
      </c>
      <c r="BB73" s="3" t="s">
        <v>819</v>
      </c>
      <c r="BC73" s="3" t="s">
        <v>82</v>
      </c>
      <c r="BD73" s="3" t="s">
        <v>538</v>
      </c>
      <c r="BE73" s="3" t="s">
        <v>820</v>
      </c>
      <c r="BF73" s="3" t="s">
        <v>819</v>
      </c>
      <c r="BG73" s="3" t="s">
        <v>821</v>
      </c>
    </row>
    <row r="74" spans="1:59" ht="60" x14ac:dyDescent="0.25">
      <c r="A74" s="2" t="s">
        <v>59</v>
      </c>
      <c r="B74" s="2" t="s">
        <v>60</v>
      </c>
      <c r="C74" s="2" t="s">
        <v>822</v>
      </c>
      <c r="D74" s="2" t="s">
        <v>823</v>
      </c>
      <c r="E74" s="2" t="s">
        <v>824</v>
      </c>
      <c r="G74" s="3" t="s">
        <v>63</v>
      </c>
      <c r="I74" s="3" t="s">
        <v>63</v>
      </c>
      <c r="J74" s="3" t="s">
        <v>62</v>
      </c>
      <c r="K74" s="3" t="s">
        <v>64</v>
      </c>
      <c r="L74" s="2" t="s">
        <v>812</v>
      </c>
      <c r="M74" s="2" t="s">
        <v>825</v>
      </c>
      <c r="N74" s="3" t="s">
        <v>826</v>
      </c>
      <c r="P74" s="3" t="s">
        <v>66</v>
      </c>
      <c r="R74" s="3" t="s">
        <v>67</v>
      </c>
      <c r="S74" s="4">
        <v>29</v>
      </c>
      <c r="T74" s="4">
        <v>29</v>
      </c>
      <c r="U74" s="5" t="s">
        <v>719</v>
      </c>
      <c r="V74" s="5" t="s">
        <v>719</v>
      </c>
      <c r="W74" s="5" t="s">
        <v>69</v>
      </c>
      <c r="X74" s="5" t="s">
        <v>69</v>
      </c>
      <c r="Y74" s="4">
        <v>416</v>
      </c>
      <c r="Z74" s="4">
        <v>24</v>
      </c>
      <c r="AA74" s="4">
        <v>51</v>
      </c>
      <c r="AB74" s="4">
        <v>2</v>
      </c>
      <c r="AC74" s="4">
        <v>10</v>
      </c>
      <c r="AD74" s="4">
        <v>112</v>
      </c>
      <c r="AE74" s="4">
        <v>134</v>
      </c>
      <c r="AF74" s="4">
        <v>0</v>
      </c>
      <c r="AG74" s="4">
        <v>4</v>
      </c>
      <c r="AH74" s="4">
        <v>99</v>
      </c>
      <c r="AI74" s="4">
        <v>113</v>
      </c>
      <c r="AJ74" s="4">
        <v>12</v>
      </c>
      <c r="AK74" s="4">
        <v>21</v>
      </c>
      <c r="AL74" s="4">
        <v>54</v>
      </c>
      <c r="AM74" s="4">
        <v>59</v>
      </c>
      <c r="AN74" s="4">
        <v>0</v>
      </c>
      <c r="AO74" s="4">
        <v>0</v>
      </c>
      <c r="AP74" s="4">
        <v>15</v>
      </c>
      <c r="AQ74" s="4">
        <v>28</v>
      </c>
      <c r="AR74" s="3" t="s">
        <v>63</v>
      </c>
      <c r="AS74" s="3" t="s">
        <v>63</v>
      </c>
      <c r="AT74" s="3" t="s">
        <v>62</v>
      </c>
      <c r="AU74" s="6" t="str">
        <f>HYPERLINK("http://catalog.hathitrust.org/Record/001183936","HathiTrust Record")</f>
        <v>HathiTrust Record</v>
      </c>
      <c r="AV74" s="6" t="str">
        <f>HYPERLINK("http://mcgill.on.worldcat.org/oclc/258533","Catalog Record")</f>
        <v>Catalog Record</v>
      </c>
      <c r="AW74" s="6" t="str">
        <f>HYPERLINK("http://www.worldcat.org/oclc/258533","WorldCat Record")</f>
        <v>WorldCat Record</v>
      </c>
      <c r="AX74" s="3" t="s">
        <v>816</v>
      </c>
      <c r="AY74" s="3" t="s">
        <v>827</v>
      </c>
      <c r="AZ74" s="3" t="s">
        <v>828</v>
      </c>
      <c r="BA74" s="3" t="s">
        <v>828</v>
      </c>
      <c r="BB74" s="3" t="s">
        <v>829</v>
      </c>
      <c r="BC74" s="3" t="s">
        <v>82</v>
      </c>
      <c r="BD74" s="3" t="s">
        <v>70</v>
      </c>
      <c r="BE74" s="3" t="s">
        <v>830</v>
      </c>
      <c r="BF74" s="3" t="s">
        <v>829</v>
      </c>
      <c r="BG74" s="3" t="s">
        <v>831</v>
      </c>
    </row>
    <row r="75" spans="1:59" ht="105" x14ac:dyDescent="0.25">
      <c r="A75" s="2" t="s">
        <v>59</v>
      </c>
      <c r="B75" s="2" t="s">
        <v>60</v>
      </c>
      <c r="C75" s="2" t="s">
        <v>832</v>
      </c>
      <c r="D75" s="2" t="s">
        <v>833</v>
      </c>
      <c r="E75" s="2" t="s">
        <v>834</v>
      </c>
      <c r="G75" s="3" t="s">
        <v>63</v>
      </c>
      <c r="I75" s="3" t="s">
        <v>63</v>
      </c>
      <c r="J75" s="3" t="s">
        <v>63</v>
      </c>
      <c r="K75" s="3" t="s">
        <v>64</v>
      </c>
      <c r="L75" s="2" t="s">
        <v>835</v>
      </c>
      <c r="M75" s="2" t="s">
        <v>836</v>
      </c>
      <c r="N75" s="3" t="s">
        <v>837</v>
      </c>
      <c r="O75" s="2" t="s">
        <v>838</v>
      </c>
      <c r="P75" s="3" t="s">
        <v>66</v>
      </c>
      <c r="R75" s="3" t="s">
        <v>67</v>
      </c>
      <c r="S75" s="4">
        <v>3</v>
      </c>
      <c r="T75" s="4">
        <v>3</v>
      </c>
      <c r="U75" s="5" t="s">
        <v>839</v>
      </c>
      <c r="V75" s="5" t="s">
        <v>839</v>
      </c>
      <c r="W75" s="5" t="s">
        <v>69</v>
      </c>
      <c r="X75" s="5" t="s">
        <v>69</v>
      </c>
      <c r="Y75" s="4">
        <v>1</v>
      </c>
      <c r="Z75" s="4">
        <v>1</v>
      </c>
      <c r="AA75" s="4">
        <v>3</v>
      </c>
      <c r="AB75" s="4">
        <v>1</v>
      </c>
      <c r="AC75" s="4">
        <v>1</v>
      </c>
      <c r="AD75" s="4">
        <v>0</v>
      </c>
      <c r="AE75" s="4">
        <v>6</v>
      </c>
      <c r="AF75" s="4">
        <v>0</v>
      </c>
      <c r="AG75" s="4">
        <v>0</v>
      </c>
      <c r="AH75" s="4">
        <v>0</v>
      </c>
      <c r="AI75" s="4">
        <v>4</v>
      </c>
      <c r="AJ75" s="4">
        <v>0</v>
      </c>
      <c r="AK75" s="4">
        <v>2</v>
      </c>
      <c r="AL75" s="4">
        <v>0</v>
      </c>
      <c r="AM75" s="4">
        <v>3</v>
      </c>
      <c r="AN75" s="4">
        <v>0</v>
      </c>
      <c r="AO75" s="4">
        <v>0</v>
      </c>
      <c r="AP75" s="4">
        <v>0</v>
      </c>
      <c r="AQ75" s="4">
        <v>1</v>
      </c>
      <c r="AR75" s="3" t="s">
        <v>63</v>
      </c>
      <c r="AS75" s="3" t="s">
        <v>63</v>
      </c>
      <c r="AT75" s="3" t="s">
        <v>63</v>
      </c>
      <c r="AV75" s="6" t="str">
        <f>HYPERLINK("http://mcgill.on.worldcat.org/oclc/61603414","Catalog Record")</f>
        <v>Catalog Record</v>
      </c>
      <c r="AW75" s="6" t="str">
        <f>HYPERLINK("http://www.worldcat.org/oclc/61603414","WorldCat Record")</f>
        <v>WorldCat Record</v>
      </c>
      <c r="AX75" s="3" t="s">
        <v>840</v>
      </c>
      <c r="AY75" s="3" t="s">
        <v>841</v>
      </c>
      <c r="AZ75" s="3" t="s">
        <v>842</v>
      </c>
      <c r="BA75" s="3" t="s">
        <v>842</v>
      </c>
      <c r="BB75" s="3" t="s">
        <v>843</v>
      </c>
      <c r="BC75" s="3" t="s">
        <v>82</v>
      </c>
      <c r="BD75" s="3" t="s">
        <v>70</v>
      </c>
      <c r="BF75" s="3" t="s">
        <v>843</v>
      </c>
      <c r="BG75" s="3" t="s">
        <v>844</v>
      </c>
    </row>
    <row r="76" spans="1:59" ht="60" x14ac:dyDescent="0.25">
      <c r="A76" s="2" t="s">
        <v>59</v>
      </c>
      <c r="B76" s="2" t="s">
        <v>60</v>
      </c>
      <c r="C76" s="2" t="s">
        <v>845</v>
      </c>
      <c r="D76" s="2" t="s">
        <v>846</v>
      </c>
      <c r="E76" s="2" t="s">
        <v>847</v>
      </c>
      <c r="G76" s="3" t="s">
        <v>63</v>
      </c>
      <c r="I76" s="3" t="s">
        <v>63</v>
      </c>
      <c r="J76" s="3" t="s">
        <v>63</v>
      </c>
      <c r="K76" s="3" t="s">
        <v>64</v>
      </c>
      <c r="M76" s="2" t="s">
        <v>848</v>
      </c>
      <c r="N76" s="3" t="s">
        <v>849</v>
      </c>
      <c r="P76" s="3" t="s">
        <v>769</v>
      </c>
      <c r="Q76" s="2" t="s">
        <v>850</v>
      </c>
      <c r="R76" s="3" t="s">
        <v>67</v>
      </c>
      <c r="S76" s="4">
        <v>3</v>
      </c>
      <c r="T76" s="4">
        <v>3</v>
      </c>
      <c r="U76" s="5" t="s">
        <v>851</v>
      </c>
      <c r="V76" s="5" t="s">
        <v>851</v>
      </c>
      <c r="W76" s="5" t="s">
        <v>69</v>
      </c>
      <c r="X76" s="5" t="s">
        <v>69</v>
      </c>
      <c r="Y76" s="4">
        <v>8</v>
      </c>
      <c r="Z76" s="4">
        <v>1</v>
      </c>
      <c r="AA76" s="4">
        <v>1</v>
      </c>
      <c r="AB76" s="4">
        <v>1</v>
      </c>
      <c r="AC76" s="4">
        <v>1</v>
      </c>
      <c r="AD76" s="4">
        <v>3</v>
      </c>
      <c r="AE76" s="4">
        <v>8</v>
      </c>
      <c r="AF76" s="4">
        <v>0</v>
      </c>
      <c r="AG76" s="4">
        <v>0</v>
      </c>
      <c r="AH76" s="4">
        <v>3</v>
      </c>
      <c r="AI76" s="4">
        <v>8</v>
      </c>
      <c r="AJ76" s="4">
        <v>0</v>
      </c>
      <c r="AK76" s="4">
        <v>0</v>
      </c>
      <c r="AL76" s="4">
        <v>3</v>
      </c>
      <c r="AM76" s="4">
        <v>7</v>
      </c>
      <c r="AN76" s="4">
        <v>0</v>
      </c>
      <c r="AO76" s="4">
        <v>0</v>
      </c>
      <c r="AP76" s="4">
        <v>0</v>
      </c>
      <c r="AQ76" s="4">
        <v>0</v>
      </c>
      <c r="AR76" s="3" t="s">
        <v>63</v>
      </c>
      <c r="AS76" s="3" t="s">
        <v>63</v>
      </c>
      <c r="AT76" s="3" t="s">
        <v>62</v>
      </c>
      <c r="AU76" s="6" t="str">
        <f>HYPERLINK("http://catalog.hathitrust.org/Record/000200802","HathiTrust Record")</f>
        <v>HathiTrust Record</v>
      </c>
      <c r="AV76" s="6" t="str">
        <f>HYPERLINK("http://mcgill.on.worldcat.org/oclc/23572528","Catalog Record")</f>
        <v>Catalog Record</v>
      </c>
      <c r="AW76" s="6" t="str">
        <f>HYPERLINK("http://www.worldcat.org/oclc/23572528","WorldCat Record")</f>
        <v>WorldCat Record</v>
      </c>
      <c r="AX76" s="3" t="s">
        <v>852</v>
      </c>
      <c r="AY76" s="3" t="s">
        <v>853</v>
      </c>
      <c r="AZ76" s="3" t="s">
        <v>854</v>
      </c>
      <c r="BA76" s="3" t="s">
        <v>854</v>
      </c>
      <c r="BB76" s="3" t="s">
        <v>855</v>
      </c>
      <c r="BC76" s="3" t="s">
        <v>82</v>
      </c>
      <c r="BD76" s="3" t="s">
        <v>70</v>
      </c>
      <c r="BF76" s="3" t="s">
        <v>855</v>
      </c>
      <c r="BG76" s="3" t="s">
        <v>856</v>
      </c>
    </row>
    <row r="77" spans="1:59" ht="60" x14ac:dyDescent="0.25">
      <c r="A77" s="2" t="s">
        <v>59</v>
      </c>
      <c r="B77" s="2" t="s">
        <v>60</v>
      </c>
      <c r="C77" s="2" t="s">
        <v>857</v>
      </c>
      <c r="D77" s="2" t="s">
        <v>858</v>
      </c>
      <c r="E77" s="2" t="s">
        <v>859</v>
      </c>
      <c r="G77" s="3" t="s">
        <v>63</v>
      </c>
      <c r="I77" s="3" t="s">
        <v>63</v>
      </c>
      <c r="J77" s="3" t="s">
        <v>63</v>
      </c>
      <c r="K77" s="3" t="s">
        <v>64</v>
      </c>
      <c r="L77" s="2" t="s">
        <v>860</v>
      </c>
      <c r="M77" s="2" t="s">
        <v>861</v>
      </c>
      <c r="N77" s="3" t="s">
        <v>374</v>
      </c>
      <c r="O77" s="2" t="s">
        <v>862</v>
      </c>
      <c r="P77" s="3" t="s">
        <v>769</v>
      </c>
      <c r="R77" s="3" t="s">
        <v>67</v>
      </c>
      <c r="S77" s="4">
        <v>2</v>
      </c>
      <c r="T77" s="4">
        <v>2</v>
      </c>
      <c r="U77" s="5" t="s">
        <v>839</v>
      </c>
      <c r="V77" s="5" t="s">
        <v>839</v>
      </c>
      <c r="W77" s="5" t="s">
        <v>69</v>
      </c>
      <c r="X77" s="5" t="s">
        <v>69</v>
      </c>
      <c r="Y77" s="4">
        <v>6</v>
      </c>
      <c r="Z77" s="4">
        <v>1</v>
      </c>
      <c r="AA77" s="4">
        <v>1</v>
      </c>
      <c r="AB77" s="4">
        <v>1</v>
      </c>
      <c r="AC77" s="4">
        <v>1</v>
      </c>
      <c r="AD77" s="4">
        <v>0</v>
      </c>
      <c r="AE77" s="4">
        <v>3</v>
      </c>
      <c r="AF77" s="4">
        <v>0</v>
      </c>
      <c r="AG77" s="4">
        <v>0</v>
      </c>
      <c r="AH77" s="4">
        <v>0</v>
      </c>
      <c r="AI77" s="4">
        <v>3</v>
      </c>
      <c r="AJ77" s="4">
        <v>0</v>
      </c>
      <c r="AK77" s="4">
        <v>0</v>
      </c>
      <c r="AL77" s="4">
        <v>0</v>
      </c>
      <c r="AM77" s="4">
        <v>2</v>
      </c>
      <c r="AN77" s="4">
        <v>0</v>
      </c>
      <c r="AO77" s="4">
        <v>1</v>
      </c>
      <c r="AP77" s="4">
        <v>0</v>
      </c>
      <c r="AQ77" s="4">
        <v>0</v>
      </c>
      <c r="AR77" s="3" t="s">
        <v>63</v>
      </c>
      <c r="AS77" s="3" t="s">
        <v>63</v>
      </c>
      <c r="AT77" s="3" t="s">
        <v>63</v>
      </c>
      <c r="AV77" s="6" t="str">
        <f>HYPERLINK("http://mcgill.on.worldcat.org/oclc/35194801","Catalog Record")</f>
        <v>Catalog Record</v>
      </c>
      <c r="AW77" s="6" t="str">
        <f>HYPERLINK("http://www.worldcat.org/oclc/35194801","WorldCat Record")</f>
        <v>WorldCat Record</v>
      </c>
      <c r="AX77" s="3" t="s">
        <v>863</v>
      </c>
      <c r="AY77" s="3" t="s">
        <v>864</v>
      </c>
      <c r="AZ77" s="3" t="s">
        <v>865</v>
      </c>
      <c r="BA77" s="3" t="s">
        <v>865</v>
      </c>
      <c r="BB77" s="3" t="s">
        <v>866</v>
      </c>
      <c r="BC77" s="3" t="s">
        <v>82</v>
      </c>
      <c r="BD77" s="3" t="s">
        <v>70</v>
      </c>
      <c r="BE77" s="3" t="s">
        <v>867</v>
      </c>
      <c r="BF77" s="3" t="s">
        <v>866</v>
      </c>
      <c r="BG77" s="3" t="s">
        <v>868</v>
      </c>
    </row>
    <row r="78" spans="1:59" ht="75" x14ac:dyDescent="0.25">
      <c r="A78" s="2" t="s">
        <v>59</v>
      </c>
      <c r="B78" s="2" t="s">
        <v>60</v>
      </c>
      <c r="C78" s="2" t="s">
        <v>869</v>
      </c>
      <c r="D78" s="2" t="s">
        <v>870</v>
      </c>
      <c r="E78" s="2" t="s">
        <v>871</v>
      </c>
      <c r="G78" s="3" t="s">
        <v>63</v>
      </c>
      <c r="I78" s="3" t="s">
        <v>63</v>
      </c>
      <c r="J78" s="3" t="s">
        <v>63</v>
      </c>
      <c r="K78" s="3" t="s">
        <v>64</v>
      </c>
      <c r="L78" s="2" t="s">
        <v>872</v>
      </c>
      <c r="M78" s="2" t="s">
        <v>873</v>
      </c>
      <c r="N78" s="3" t="s">
        <v>313</v>
      </c>
      <c r="P78" s="3" t="s">
        <v>66</v>
      </c>
      <c r="Q78" s="2" t="s">
        <v>874</v>
      </c>
      <c r="R78" s="3" t="s">
        <v>67</v>
      </c>
      <c r="S78" s="4">
        <v>0</v>
      </c>
      <c r="T78" s="4">
        <v>0</v>
      </c>
      <c r="W78" s="5" t="s">
        <v>69</v>
      </c>
      <c r="X78" s="5" t="s">
        <v>69</v>
      </c>
      <c r="Y78" s="4">
        <v>42</v>
      </c>
      <c r="Z78" s="4">
        <v>3</v>
      </c>
      <c r="AA78" s="4">
        <v>3</v>
      </c>
      <c r="AB78" s="4">
        <v>1</v>
      </c>
      <c r="AC78" s="4">
        <v>1</v>
      </c>
      <c r="AD78" s="4">
        <v>31</v>
      </c>
      <c r="AE78" s="4">
        <v>32</v>
      </c>
      <c r="AF78" s="4">
        <v>0</v>
      </c>
      <c r="AG78" s="4">
        <v>0</v>
      </c>
      <c r="AH78" s="4">
        <v>30</v>
      </c>
      <c r="AI78" s="4">
        <v>31</v>
      </c>
      <c r="AJ78" s="4">
        <v>1</v>
      </c>
      <c r="AK78" s="4">
        <v>1</v>
      </c>
      <c r="AL78" s="4">
        <v>24</v>
      </c>
      <c r="AM78" s="4">
        <v>25</v>
      </c>
      <c r="AN78" s="4">
        <v>0</v>
      </c>
      <c r="AO78" s="4">
        <v>0</v>
      </c>
      <c r="AP78" s="4">
        <v>1</v>
      </c>
      <c r="AQ78" s="4">
        <v>1</v>
      </c>
      <c r="AR78" s="3" t="s">
        <v>63</v>
      </c>
      <c r="AS78" s="3" t="s">
        <v>63</v>
      </c>
      <c r="AT78" s="3" t="s">
        <v>62</v>
      </c>
      <c r="AU78" s="6" t="str">
        <f>HYPERLINK("http://catalog.hathitrust.org/Record/011809280","HathiTrust Record")</f>
        <v>HathiTrust Record</v>
      </c>
      <c r="AV78" s="6" t="str">
        <f>HYPERLINK("http://mcgill.on.worldcat.org/oclc/679520810","Catalog Record")</f>
        <v>Catalog Record</v>
      </c>
      <c r="AW78" s="6" t="str">
        <f>HYPERLINK("http://www.worldcat.org/oclc/679520810","WorldCat Record")</f>
        <v>WorldCat Record</v>
      </c>
      <c r="AX78" s="3" t="s">
        <v>875</v>
      </c>
      <c r="AY78" s="3" t="s">
        <v>876</v>
      </c>
      <c r="AZ78" s="3" t="s">
        <v>877</v>
      </c>
      <c r="BA78" s="3" t="s">
        <v>877</v>
      </c>
      <c r="BB78" s="3" t="s">
        <v>878</v>
      </c>
      <c r="BC78" s="3" t="s">
        <v>82</v>
      </c>
      <c r="BD78" s="3" t="s">
        <v>70</v>
      </c>
      <c r="BF78" s="3" t="s">
        <v>878</v>
      </c>
      <c r="BG78" s="3" t="s">
        <v>879</v>
      </c>
    </row>
    <row r="79" spans="1:59" ht="60" x14ac:dyDescent="0.25">
      <c r="A79" s="2" t="s">
        <v>59</v>
      </c>
      <c r="B79" s="2" t="s">
        <v>60</v>
      </c>
      <c r="C79" s="2" t="s">
        <v>880</v>
      </c>
      <c r="D79" s="2" t="s">
        <v>881</v>
      </c>
      <c r="E79" s="2" t="s">
        <v>882</v>
      </c>
      <c r="G79" s="3" t="s">
        <v>63</v>
      </c>
      <c r="I79" s="3" t="s">
        <v>63</v>
      </c>
      <c r="J79" s="3" t="s">
        <v>63</v>
      </c>
      <c r="K79" s="3" t="s">
        <v>64</v>
      </c>
      <c r="L79" s="2" t="s">
        <v>883</v>
      </c>
      <c r="M79" s="2" t="s">
        <v>884</v>
      </c>
      <c r="N79" s="3" t="s">
        <v>885</v>
      </c>
      <c r="P79" s="3" t="s">
        <v>655</v>
      </c>
      <c r="R79" s="3" t="s">
        <v>67</v>
      </c>
      <c r="S79" s="4">
        <v>1</v>
      </c>
      <c r="T79" s="4">
        <v>1</v>
      </c>
      <c r="U79" s="5" t="s">
        <v>886</v>
      </c>
      <c r="V79" s="5" t="s">
        <v>886</v>
      </c>
      <c r="W79" s="5" t="s">
        <v>69</v>
      </c>
      <c r="X79" s="5" t="s">
        <v>69</v>
      </c>
      <c r="Y79" s="4">
        <v>37</v>
      </c>
      <c r="Z79" s="4">
        <v>4</v>
      </c>
      <c r="AA79" s="4">
        <v>4</v>
      </c>
      <c r="AB79" s="4">
        <v>1</v>
      </c>
      <c r="AC79" s="4">
        <v>1</v>
      </c>
      <c r="AD79" s="4">
        <v>21</v>
      </c>
      <c r="AE79" s="4">
        <v>22</v>
      </c>
      <c r="AF79" s="4">
        <v>0</v>
      </c>
      <c r="AG79" s="4">
        <v>0</v>
      </c>
      <c r="AH79" s="4">
        <v>20</v>
      </c>
      <c r="AI79" s="4">
        <v>21</v>
      </c>
      <c r="AJ79" s="4">
        <v>2</v>
      </c>
      <c r="AK79" s="4">
        <v>2</v>
      </c>
      <c r="AL79" s="4">
        <v>18</v>
      </c>
      <c r="AM79" s="4">
        <v>19</v>
      </c>
      <c r="AN79" s="4">
        <v>0</v>
      </c>
      <c r="AO79" s="4">
        <v>0</v>
      </c>
      <c r="AP79" s="4">
        <v>2</v>
      </c>
      <c r="AQ79" s="4">
        <v>2</v>
      </c>
      <c r="AR79" s="3" t="s">
        <v>63</v>
      </c>
      <c r="AS79" s="3" t="s">
        <v>63</v>
      </c>
      <c r="AT79" s="3" t="s">
        <v>62</v>
      </c>
      <c r="AU79" s="6" t="str">
        <f>HYPERLINK("http://catalog.hathitrust.org/Record/001184109","HathiTrust Record")</f>
        <v>HathiTrust Record</v>
      </c>
      <c r="AV79" s="6" t="str">
        <f>HYPERLINK("http://mcgill.on.worldcat.org/oclc/10989673","Catalog Record")</f>
        <v>Catalog Record</v>
      </c>
      <c r="AW79" s="6" t="str">
        <f>HYPERLINK("http://www.worldcat.org/oclc/10989673","WorldCat Record")</f>
        <v>WorldCat Record</v>
      </c>
      <c r="AX79" s="3" t="s">
        <v>887</v>
      </c>
      <c r="AY79" s="3" t="s">
        <v>888</v>
      </c>
      <c r="AZ79" s="3" t="s">
        <v>889</v>
      </c>
      <c r="BA79" s="3" t="s">
        <v>889</v>
      </c>
      <c r="BB79" s="3" t="s">
        <v>890</v>
      </c>
      <c r="BC79" s="3" t="s">
        <v>82</v>
      </c>
      <c r="BD79" s="3" t="s">
        <v>70</v>
      </c>
      <c r="BF79" s="3" t="s">
        <v>890</v>
      </c>
      <c r="BG79" s="3" t="s">
        <v>891</v>
      </c>
    </row>
    <row r="80" spans="1:59" ht="60" x14ac:dyDescent="0.25">
      <c r="A80" s="2" t="s">
        <v>59</v>
      </c>
      <c r="B80" s="2" t="s">
        <v>60</v>
      </c>
      <c r="C80" s="2" t="s">
        <v>892</v>
      </c>
      <c r="D80" s="2" t="s">
        <v>893</v>
      </c>
      <c r="E80" s="2" t="s">
        <v>894</v>
      </c>
      <c r="G80" s="3" t="s">
        <v>63</v>
      </c>
      <c r="I80" s="3" t="s">
        <v>63</v>
      </c>
      <c r="J80" s="3" t="s">
        <v>63</v>
      </c>
      <c r="K80" s="3" t="s">
        <v>64</v>
      </c>
      <c r="L80" s="2" t="s">
        <v>895</v>
      </c>
      <c r="N80" s="3" t="s">
        <v>758</v>
      </c>
      <c r="P80" s="3" t="s">
        <v>655</v>
      </c>
      <c r="Q80" s="2" t="s">
        <v>896</v>
      </c>
      <c r="R80" s="3" t="s">
        <v>67</v>
      </c>
      <c r="S80" s="4">
        <v>4</v>
      </c>
      <c r="T80" s="4">
        <v>4</v>
      </c>
      <c r="U80" s="5" t="s">
        <v>886</v>
      </c>
      <c r="V80" s="5" t="s">
        <v>886</v>
      </c>
      <c r="W80" s="5" t="s">
        <v>69</v>
      </c>
      <c r="X80" s="5" t="s">
        <v>69</v>
      </c>
      <c r="Y80" s="4">
        <v>58</v>
      </c>
      <c r="Z80" s="4">
        <v>9</v>
      </c>
      <c r="AA80" s="4">
        <v>9</v>
      </c>
      <c r="AB80" s="4">
        <v>1</v>
      </c>
      <c r="AC80" s="4">
        <v>1</v>
      </c>
      <c r="AD80" s="4">
        <v>40</v>
      </c>
      <c r="AE80" s="4">
        <v>40</v>
      </c>
      <c r="AF80" s="4">
        <v>0</v>
      </c>
      <c r="AG80" s="4">
        <v>0</v>
      </c>
      <c r="AH80" s="4">
        <v>37</v>
      </c>
      <c r="AI80" s="4">
        <v>37</v>
      </c>
      <c r="AJ80" s="4">
        <v>7</v>
      </c>
      <c r="AK80" s="4">
        <v>7</v>
      </c>
      <c r="AL80" s="4">
        <v>27</v>
      </c>
      <c r="AM80" s="4">
        <v>27</v>
      </c>
      <c r="AN80" s="4">
        <v>0</v>
      </c>
      <c r="AO80" s="4">
        <v>0</v>
      </c>
      <c r="AP80" s="4">
        <v>7</v>
      </c>
      <c r="AQ80" s="4">
        <v>7</v>
      </c>
      <c r="AR80" s="3" t="s">
        <v>63</v>
      </c>
      <c r="AS80" s="3" t="s">
        <v>63</v>
      </c>
      <c r="AT80" s="3" t="s">
        <v>62</v>
      </c>
      <c r="AU80" s="6" t="str">
        <f>HYPERLINK("http://catalog.hathitrust.org/Record/001184152","HathiTrust Record")</f>
        <v>HathiTrust Record</v>
      </c>
      <c r="AV80" s="6" t="str">
        <f>HYPERLINK("http://mcgill.on.worldcat.org/oclc/3953431","Catalog Record")</f>
        <v>Catalog Record</v>
      </c>
      <c r="AW80" s="6" t="str">
        <f>HYPERLINK("http://www.worldcat.org/oclc/3953431","WorldCat Record")</f>
        <v>WorldCat Record</v>
      </c>
      <c r="AX80" s="3" t="s">
        <v>897</v>
      </c>
      <c r="AY80" s="3" t="s">
        <v>898</v>
      </c>
      <c r="AZ80" s="3" t="s">
        <v>899</v>
      </c>
      <c r="BA80" s="3" t="s">
        <v>899</v>
      </c>
      <c r="BB80" s="3" t="s">
        <v>900</v>
      </c>
      <c r="BC80" s="3" t="s">
        <v>82</v>
      </c>
      <c r="BD80" s="3" t="s">
        <v>70</v>
      </c>
      <c r="BF80" s="3" t="s">
        <v>900</v>
      </c>
      <c r="BG80" s="3" t="s">
        <v>901</v>
      </c>
    </row>
    <row r="81" spans="1:59" ht="60" x14ac:dyDescent="0.25">
      <c r="A81" s="2" t="s">
        <v>59</v>
      </c>
      <c r="B81" s="2" t="s">
        <v>60</v>
      </c>
      <c r="C81" s="2" t="s">
        <v>902</v>
      </c>
      <c r="D81" s="2" t="s">
        <v>903</v>
      </c>
      <c r="E81" s="2" t="s">
        <v>904</v>
      </c>
      <c r="G81" s="3" t="s">
        <v>63</v>
      </c>
      <c r="I81" s="3" t="s">
        <v>63</v>
      </c>
      <c r="J81" s="3" t="s">
        <v>63</v>
      </c>
      <c r="K81" s="3" t="s">
        <v>64</v>
      </c>
      <c r="M81" s="2" t="s">
        <v>905</v>
      </c>
      <c r="N81" s="3" t="s">
        <v>374</v>
      </c>
      <c r="P81" s="3" t="s">
        <v>66</v>
      </c>
      <c r="Q81" s="2" t="s">
        <v>906</v>
      </c>
      <c r="R81" s="3" t="s">
        <v>67</v>
      </c>
      <c r="S81" s="4">
        <v>3</v>
      </c>
      <c r="T81" s="4">
        <v>3</v>
      </c>
      <c r="U81" s="5" t="s">
        <v>907</v>
      </c>
      <c r="V81" s="5" t="s">
        <v>907</v>
      </c>
      <c r="W81" s="5" t="s">
        <v>69</v>
      </c>
      <c r="X81" s="5" t="s">
        <v>69</v>
      </c>
      <c r="Y81" s="4">
        <v>179</v>
      </c>
      <c r="Z81" s="4">
        <v>12</v>
      </c>
      <c r="AA81" s="4">
        <v>12</v>
      </c>
      <c r="AB81" s="4">
        <v>1</v>
      </c>
      <c r="AC81" s="4">
        <v>1</v>
      </c>
      <c r="AD81" s="4">
        <v>78</v>
      </c>
      <c r="AE81" s="4">
        <v>79</v>
      </c>
      <c r="AF81" s="4">
        <v>0</v>
      </c>
      <c r="AG81" s="4">
        <v>0</v>
      </c>
      <c r="AH81" s="4">
        <v>74</v>
      </c>
      <c r="AI81" s="4">
        <v>75</v>
      </c>
      <c r="AJ81" s="4">
        <v>9</v>
      </c>
      <c r="AK81" s="4">
        <v>9</v>
      </c>
      <c r="AL81" s="4">
        <v>44</v>
      </c>
      <c r="AM81" s="4">
        <v>45</v>
      </c>
      <c r="AN81" s="4">
        <v>0</v>
      </c>
      <c r="AO81" s="4">
        <v>0</v>
      </c>
      <c r="AP81" s="4">
        <v>10</v>
      </c>
      <c r="AQ81" s="4">
        <v>10</v>
      </c>
      <c r="AR81" s="3" t="s">
        <v>63</v>
      </c>
      <c r="AS81" s="3" t="s">
        <v>63</v>
      </c>
      <c r="AT81" s="3" t="s">
        <v>63</v>
      </c>
      <c r="AV81" s="6" t="str">
        <f>HYPERLINK("http://mcgill.on.worldcat.org/oclc/33013637","Catalog Record")</f>
        <v>Catalog Record</v>
      </c>
      <c r="AW81" s="6" t="str">
        <f>HYPERLINK("http://www.worldcat.org/oclc/33013637","WorldCat Record")</f>
        <v>WorldCat Record</v>
      </c>
      <c r="AX81" s="3" t="s">
        <v>908</v>
      </c>
      <c r="AY81" s="3" t="s">
        <v>909</v>
      </c>
      <c r="AZ81" s="3" t="s">
        <v>910</v>
      </c>
      <c r="BA81" s="3" t="s">
        <v>910</v>
      </c>
      <c r="BB81" s="3" t="s">
        <v>911</v>
      </c>
      <c r="BC81" s="3" t="s">
        <v>82</v>
      </c>
      <c r="BD81" s="3" t="s">
        <v>70</v>
      </c>
      <c r="BE81" s="3" t="s">
        <v>912</v>
      </c>
      <c r="BF81" s="3" t="s">
        <v>911</v>
      </c>
      <c r="BG81" s="3" t="s">
        <v>913</v>
      </c>
    </row>
    <row r="82" spans="1:59" ht="60" x14ac:dyDescent="0.25">
      <c r="A82" s="2" t="s">
        <v>59</v>
      </c>
      <c r="B82" s="2" t="s">
        <v>60</v>
      </c>
      <c r="C82" s="2" t="s">
        <v>914</v>
      </c>
      <c r="D82" s="2" t="s">
        <v>915</v>
      </c>
      <c r="E82" s="2" t="s">
        <v>916</v>
      </c>
      <c r="G82" s="3" t="s">
        <v>63</v>
      </c>
      <c r="I82" s="3" t="s">
        <v>63</v>
      </c>
      <c r="J82" s="3" t="s">
        <v>63</v>
      </c>
      <c r="K82" s="3" t="s">
        <v>64</v>
      </c>
      <c r="M82" s="2" t="s">
        <v>917</v>
      </c>
      <c r="N82" s="3" t="s">
        <v>918</v>
      </c>
      <c r="P82" s="3" t="s">
        <v>769</v>
      </c>
      <c r="R82" s="3" t="s">
        <v>67</v>
      </c>
      <c r="S82" s="4">
        <v>2</v>
      </c>
      <c r="T82" s="4">
        <v>2</v>
      </c>
      <c r="U82" s="5" t="s">
        <v>919</v>
      </c>
      <c r="V82" s="5" t="s">
        <v>919</v>
      </c>
      <c r="W82" s="5" t="s">
        <v>69</v>
      </c>
      <c r="X82" s="5" t="s">
        <v>69</v>
      </c>
      <c r="Y82" s="4">
        <v>9</v>
      </c>
      <c r="Z82" s="4">
        <v>3</v>
      </c>
      <c r="AA82" s="4">
        <v>4</v>
      </c>
      <c r="AB82" s="4">
        <v>1</v>
      </c>
      <c r="AC82" s="4">
        <v>1</v>
      </c>
      <c r="AD82" s="4">
        <v>7</v>
      </c>
      <c r="AE82" s="4">
        <v>25</v>
      </c>
      <c r="AF82" s="4">
        <v>0</v>
      </c>
      <c r="AG82" s="4">
        <v>0</v>
      </c>
      <c r="AH82" s="4">
        <v>7</v>
      </c>
      <c r="AI82" s="4">
        <v>22</v>
      </c>
      <c r="AJ82" s="4">
        <v>2</v>
      </c>
      <c r="AK82" s="4">
        <v>3</v>
      </c>
      <c r="AL82" s="4">
        <v>5</v>
      </c>
      <c r="AM82" s="4">
        <v>20</v>
      </c>
      <c r="AN82" s="4">
        <v>0</v>
      </c>
      <c r="AO82" s="4">
        <v>0</v>
      </c>
      <c r="AP82" s="4">
        <v>2</v>
      </c>
      <c r="AQ82" s="4">
        <v>3</v>
      </c>
      <c r="AR82" s="3" t="s">
        <v>63</v>
      </c>
      <c r="AS82" s="3" t="s">
        <v>63</v>
      </c>
      <c r="AT82" s="3" t="s">
        <v>62</v>
      </c>
      <c r="AU82" s="6" t="str">
        <f>HYPERLINK("http://catalog.hathitrust.org/Record/001184225","HathiTrust Record")</f>
        <v>HathiTrust Record</v>
      </c>
      <c r="AV82" s="6" t="str">
        <f>HYPERLINK("http://mcgill.on.worldcat.org/oclc/44664399","Catalog Record")</f>
        <v>Catalog Record</v>
      </c>
      <c r="AW82" s="6" t="str">
        <f>HYPERLINK("http://www.worldcat.org/oclc/44664399","WorldCat Record")</f>
        <v>WorldCat Record</v>
      </c>
      <c r="AX82" s="3" t="s">
        <v>920</v>
      </c>
      <c r="AY82" s="3" t="s">
        <v>921</v>
      </c>
      <c r="AZ82" s="3" t="s">
        <v>922</v>
      </c>
      <c r="BA82" s="3" t="s">
        <v>922</v>
      </c>
      <c r="BB82" s="3" t="s">
        <v>923</v>
      </c>
      <c r="BC82" s="3" t="s">
        <v>82</v>
      </c>
      <c r="BD82" s="3" t="s">
        <v>70</v>
      </c>
      <c r="BF82" s="3" t="s">
        <v>923</v>
      </c>
      <c r="BG82" s="3" t="s">
        <v>924</v>
      </c>
    </row>
    <row r="83" spans="1:59" ht="90" x14ac:dyDescent="0.25">
      <c r="A83" s="2" t="s">
        <v>59</v>
      </c>
      <c r="B83" s="2" t="s">
        <v>60</v>
      </c>
      <c r="C83" s="2" t="s">
        <v>925</v>
      </c>
      <c r="D83" s="2" t="s">
        <v>926</v>
      </c>
      <c r="E83" s="2" t="s">
        <v>927</v>
      </c>
      <c r="G83" s="3" t="s">
        <v>63</v>
      </c>
      <c r="I83" s="3" t="s">
        <v>63</v>
      </c>
      <c r="J83" s="3" t="s">
        <v>63</v>
      </c>
      <c r="K83" s="3" t="s">
        <v>64</v>
      </c>
      <c r="M83" s="2" t="s">
        <v>928</v>
      </c>
      <c r="N83" s="3" t="s">
        <v>401</v>
      </c>
      <c r="P83" s="3" t="s">
        <v>769</v>
      </c>
      <c r="R83" s="3" t="s">
        <v>67</v>
      </c>
      <c r="S83" s="4">
        <v>2</v>
      </c>
      <c r="T83" s="4">
        <v>2</v>
      </c>
      <c r="U83" s="5" t="s">
        <v>759</v>
      </c>
      <c r="V83" s="5" t="s">
        <v>759</v>
      </c>
      <c r="W83" s="5" t="s">
        <v>69</v>
      </c>
      <c r="X83" s="5" t="s">
        <v>69</v>
      </c>
      <c r="Y83" s="4">
        <v>36</v>
      </c>
      <c r="Z83" s="4">
        <v>4</v>
      </c>
      <c r="AA83" s="4">
        <v>4</v>
      </c>
      <c r="AB83" s="4">
        <v>1</v>
      </c>
      <c r="AC83" s="4">
        <v>1</v>
      </c>
      <c r="AD83" s="4">
        <v>25</v>
      </c>
      <c r="AE83" s="4">
        <v>25</v>
      </c>
      <c r="AF83" s="4">
        <v>0</v>
      </c>
      <c r="AG83" s="4">
        <v>0</v>
      </c>
      <c r="AH83" s="4">
        <v>23</v>
      </c>
      <c r="AI83" s="4">
        <v>23</v>
      </c>
      <c r="AJ83" s="4">
        <v>2</v>
      </c>
      <c r="AK83" s="4">
        <v>2</v>
      </c>
      <c r="AL83" s="4">
        <v>22</v>
      </c>
      <c r="AM83" s="4">
        <v>22</v>
      </c>
      <c r="AN83" s="4">
        <v>0</v>
      </c>
      <c r="AO83" s="4">
        <v>0</v>
      </c>
      <c r="AP83" s="4">
        <v>2</v>
      </c>
      <c r="AQ83" s="4">
        <v>2</v>
      </c>
      <c r="AR83" s="3" t="s">
        <v>63</v>
      </c>
      <c r="AS83" s="3" t="s">
        <v>63</v>
      </c>
      <c r="AT83" s="3" t="s">
        <v>62</v>
      </c>
      <c r="AU83" s="6" t="str">
        <f>HYPERLINK("http://catalog.hathitrust.org/Record/001184226","HathiTrust Record")</f>
        <v>HathiTrust Record</v>
      </c>
      <c r="AV83" s="6" t="str">
        <f>HYPERLINK("http://mcgill.on.worldcat.org/oclc/16504241","Catalog Record")</f>
        <v>Catalog Record</v>
      </c>
      <c r="AW83" s="6" t="str">
        <f>HYPERLINK("http://www.worldcat.org/oclc/16504241","WorldCat Record")</f>
        <v>WorldCat Record</v>
      </c>
      <c r="AX83" s="3" t="s">
        <v>929</v>
      </c>
      <c r="AY83" s="3" t="s">
        <v>930</v>
      </c>
      <c r="AZ83" s="3" t="s">
        <v>931</v>
      </c>
      <c r="BA83" s="3" t="s">
        <v>931</v>
      </c>
      <c r="BB83" s="3" t="s">
        <v>932</v>
      </c>
      <c r="BC83" s="3" t="s">
        <v>82</v>
      </c>
      <c r="BD83" s="3" t="s">
        <v>70</v>
      </c>
      <c r="BF83" s="3" t="s">
        <v>932</v>
      </c>
      <c r="BG83" s="3" t="s">
        <v>933</v>
      </c>
    </row>
    <row r="84" spans="1:59" ht="60" x14ac:dyDescent="0.25">
      <c r="A84" s="2" t="s">
        <v>59</v>
      </c>
      <c r="B84" s="2" t="s">
        <v>60</v>
      </c>
      <c r="C84" s="2" t="s">
        <v>934</v>
      </c>
      <c r="D84" s="2" t="s">
        <v>935</v>
      </c>
      <c r="E84" s="2" t="s">
        <v>936</v>
      </c>
      <c r="G84" s="3" t="s">
        <v>63</v>
      </c>
      <c r="I84" s="3" t="s">
        <v>63</v>
      </c>
      <c r="J84" s="3" t="s">
        <v>63</v>
      </c>
      <c r="K84" s="3" t="s">
        <v>64</v>
      </c>
      <c r="L84" s="2" t="s">
        <v>937</v>
      </c>
      <c r="M84" s="2" t="s">
        <v>938</v>
      </c>
      <c r="N84" s="3" t="s">
        <v>939</v>
      </c>
      <c r="P84" s="3" t="s">
        <v>769</v>
      </c>
      <c r="Q84" s="2" t="s">
        <v>940</v>
      </c>
      <c r="R84" s="3" t="s">
        <v>67</v>
      </c>
      <c r="S84" s="4">
        <v>2</v>
      </c>
      <c r="T84" s="4">
        <v>2</v>
      </c>
      <c r="U84" s="5" t="s">
        <v>941</v>
      </c>
      <c r="V84" s="5" t="s">
        <v>941</v>
      </c>
      <c r="W84" s="5" t="s">
        <v>69</v>
      </c>
      <c r="X84" s="5" t="s">
        <v>69</v>
      </c>
      <c r="Y84" s="4">
        <v>46</v>
      </c>
      <c r="Z84" s="4">
        <v>3</v>
      </c>
      <c r="AA84" s="4">
        <v>3</v>
      </c>
      <c r="AB84" s="4">
        <v>1</v>
      </c>
      <c r="AC84" s="4">
        <v>1</v>
      </c>
      <c r="AD84" s="4">
        <v>25</v>
      </c>
      <c r="AE84" s="4">
        <v>25</v>
      </c>
      <c r="AF84" s="4">
        <v>0</v>
      </c>
      <c r="AG84" s="4">
        <v>0</v>
      </c>
      <c r="AH84" s="4">
        <v>23</v>
      </c>
      <c r="AI84" s="4">
        <v>23</v>
      </c>
      <c r="AJ84" s="4">
        <v>2</v>
      </c>
      <c r="AK84" s="4">
        <v>2</v>
      </c>
      <c r="AL84" s="4">
        <v>18</v>
      </c>
      <c r="AM84" s="4">
        <v>18</v>
      </c>
      <c r="AN84" s="4">
        <v>0</v>
      </c>
      <c r="AO84" s="4">
        <v>0</v>
      </c>
      <c r="AP84" s="4">
        <v>2</v>
      </c>
      <c r="AQ84" s="4">
        <v>2</v>
      </c>
      <c r="AR84" s="3" t="s">
        <v>63</v>
      </c>
      <c r="AS84" s="3" t="s">
        <v>63</v>
      </c>
      <c r="AT84" s="3" t="s">
        <v>62</v>
      </c>
      <c r="AU84" s="6" t="str">
        <f>HYPERLINK("http://catalog.hathitrust.org/Record/006704012","HathiTrust Record")</f>
        <v>HathiTrust Record</v>
      </c>
      <c r="AV84" s="6" t="str">
        <f>HYPERLINK("http://mcgill.on.worldcat.org/oclc/7165487","Catalog Record")</f>
        <v>Catalog Record</v>
      </c>
      <c r="AW84" s="6" t="str">
        <f>HYPERLINK("http://www.worldcat.org/oclc/7165487","WorldCat Record")</f>
        <v>WorldCat Record</v>
      </c>
      <c r="AX84" s="3" t="s">
        <v>942</v>
      </c>
      <c r="AY84" s="3" t="s">
        <v>943</v>
      </c>
      <c r="AZ84" s="3" t="s">
        <v>944</v>
      </c>
      <c r="BA84" s="3" t="s">
        <v>944</v>
      </c>
      <c r="BB84" s="3" t="s">
        <v>945</v>
      </c>
      <c r="BC84" s="3" t="s">
        <v>82</v>
      </c>
      <c r="BD84" s="3" t="s">
        <v>70</v>
      </c>
      <c r="BF84" s="3" t="s">
        <v>945</v>
      </c>
      <c r="BG84" s="3" t="s">
        <v>946</v>
      </c>
    </row>
    <row r="85" spans="1:59" ht="60" x14ac:dyDescent="0.25">
      <c r="A85" s="2" t="s">
        <v>59</v>
      </c>
      <c r="B85" s="2" t="s">
        <v>60</v>
      </c>
      <c r="C85" s="2" t="s">
        <v>947</v>
      </c>
      <c r="D85" s="2" t="s">
        <v>948</v>
      </c>
      <c r="E85" s="2" t="s">
        <v>949</v>
      </c>
      <c r="G85" s="3" t="s">
        <v>63</v>
      </c>
      <c r="I85" s="3" t="s">
        <v>62</v>
      </c>
      <c r="J85" s="3" t="s">
        <v>63</v>
      </c>
      <c r="K85" s="3" t="s">
        <v>64</v>
      </c>
      <c r="L85" s="2" t="s">
        <v>950</v>
      </c>
      <c r="M85" s="2" t="s">
        <v>951</v>
      </c>
      <c r="N85" s="3" t="s">
        <v>939</v>
      </c>
      <c r="O85" s="2" t="s">
        <v>952</v>
      </c>
      <c r="P85" s="3" t="s">
        <v>66</v>
      </c>
      <c r="R85" s="3" t="s">
        <v>67</v>
      </c>
      <c r="S85" s="4">
        <v>0</v>
      </c>
      <c r="T85" s="4">
        <v>18</v>
      </c>
      <c r="V85" s="5" t="s">
        <v>953</v>
      </c>
      <c r="W85" s="5" t="s">
        <v>69</v>
      </c>
      <c r="X85" s="5" t="s">
        <v>69</v>
      </c>
      <c r="Y85" s="4">
        <v>711</v>
      </c>
      <c r="Z85" s="4">
        <v>23</v>
      </c>
      <c r="AA85" s="4">
        <v>28</v>
      </c>
      <c r="AB85" s="4">
        <v>2</v>
      </c>
      <c r="AC85" s="4">
        <v>3</v>
      </c>
      <c r="AD85" s="4">
        <v>107</v>
      </c>
      <c r="AE85" s="4">
        <v>116</v>
      </c>
      <c r="AF85" s="4">
        <v>0</v>
      </c>
      <c r="AG85" s="4">
        <v>1</v>
      </c>
      <c r="AH85" s="4">
        <v>96</v>
      </c>
      <c r="AI85" s="4">
        <v>101</v>
      </c>
      <c r="AJ85" s="4">
        <v>11</v>
      </c>
      <c r="AK85" s="4">
        <v>16</v>
      </c>
      <c r="AL85" s="4">
        <v>53</v>
      </c>
      <c r="AM85" s="4">
        <v>56</v>
      </c>
      <c r="AN85" s="4">
        <v>0</v>
      </c>
      <c r="AO85" s="4">
        <v>0</v>
      </c>
      <c r="AP85" s="4">
        <v>16</v>
      </c>
      <c r="AQ85" s="4">
        <v>21</v>
      </c>
      <c r="AR85" s="3" t="s">
        <v>63</v>
      </c>
      <c r="AS85" s="3" t="s">
        <v>63</v>
      </c>
      <c r="AT85" s="3" t="s">
        <v>62</v>
      </c>
      <c r="AU85" s="6" t="str">
        <f>HYPERLINK("http://catalog.hathitrust.org/Record/001184243","HathiTrust Record")</f>
        <v>HathiTrust Record</v>
      </c>
      <c r="AV85" s="6" t="str">
        <f>HYPERLINK("http://mcgill.on.worldcat.org/oclc/712278","Catalog Record")</f>
        <v>Catalog Record</v>
      </c>
      <c r="AW85" s="6" t="str">
        <f>HYPERLINK("http://www.worldcat.org/oclc/712278","WorldCat Record")</f>
        <v>WorldCat Record</v>
      </c>
      <c r="AX85" s="3" t="s">
        <v>954</v>
      </c>
      <c r="AY85" s="3" t="s">
        <v>955</v>
      </c>
      <c r="AZ85" s="3" t="s">
        <v>956</v>
      </c>
      <c r="BA85" s="3" t="s">
        <v>956</v>
      </c>
      <c r="BB85" s="3" t="s">
        <v>957</v>
      </c>
      <c r="BC85" s="3" t="s">
        <v>82</v>
      </c>
      <c r="BD85" s="3" t="s">
        <v>70</v>
      </c>
      <c r="BF85" s="3" t="s">
        <v>957</v>
      </c>
      <c r="BG85" s="3" t="s">
        <v>958</v>
      </c>
    </row>
    <row r="86" spans="1:59" ht="60" x14ac:dyDescent="0.25">
      <c r="A86" s="2" t="s">
        <v>59</v>
      </c>
      <c r="B86" s="2" t="s">
        <v>60</v>
      </c>
      <c r="C86" s="2" t="s">
        <v>947</v>
      </c>
      <c r="D86" s="2" t="s">
        <v>948</v>
      </c>
      <c r="E86" s="2" t="s">
        <v>949</v>
      </c>
      <c r="G86" s="3" t="s">
        <v>63</v>
      </c>
      <c r="I86" s="3" t="s">
        <v>62</v>
      </c>
      <c r="J86" s="3" t="s">
        <v>63</v>
      </c>
      <c r="K86" s="3" t="s">
        <v>64</v>
      </c>
      <c r="L86" s="2" t="s">
        <v>950</v>
      </c>
      <c r="M86" s="2" t="s">
        <v>951</v>
      </c>
      <c r="N86" s="3" t="s">
        <v>939</v>
      </c>
      <c r="O86" s="2" t="s">
        <v>952</v>
      </c>
      <c r="P86" s="3" t="s">
        <v>66</v>
      </c>
      <c r="R86" s="3" t="s">
        <v>67</v>
      </c>
      <c r="S86" s="4">
        <v>18</v>
      </c>
      <c r="T86" s="4">
        <v>18</v>
      </c>
      <c r="U86" s="5" t="s">
        <v>953</v>
      </c>
      <c r="V86" s="5" t="s">
        <v>953</v>
      </c>
      <c r="W86" s="5" t="s">
        <v>69</v>
      </c>
      <c r="X86" s="5" t="s">
        <v>69</v>
      </c>
      <c r="Y86" s="4">
        <v>711</v>
      </c>
      <c r="Z86" s="4">
        <v>23</v>
      </c>
      <c r="AA86" s="4">
        <v>28</v>
      </c>
      <c r="AB86" s="4">
        <v>2</v>
      </c>
      <c r="AC86" s="4">
        <v>3</v>
      </c>
      <c r="AD86" s="4">
        <v>107</v>
      </c>
      <c r="AE86" s="4">
        <v>116</v>
      </c>
      <c r="AF86" s="4">
        <v>0</v>
      </c>
      <c r="AG86" s="4">
        <v>1</v>
      </c>
      <c r="AH86" s="4">
        <v>96</v>
      </c>
      <c r="AI86" s="4">
        <v>101</v>
      </c>
      <c r="AJ86" s="4">
        <v>11</v>
      </c>
      <c r="AK86" s="4">
        <v>16</v>
      </c>
      <c r="AL86" s="4">
        <v>53</v>
      </c>
      <c r="AM86" s="4">
        <v>56</v>
      </c>
      <c r="AN86" s="4">
        <v>0</v>
      </c>
      <c r="AO86" s="4">
        <v>0</v>
      </c>
      <c r="AP86" s="4">
        <v>16</v>
      </c>
      <c r="AQ86" s="4">
        <v>21</v>
      </c>
      <c r="AR86" s="3" t="s">
        <v>63</v>
      </c>
      <c r="AS86" s="3" t="s">
        <v>63</v>
      </c>
      <c r="AT86" s="3" t="s">
        <v>62</v>
      </c>
      <c r="AU86" s="6" t="str">
        <f>HYPERLINK("http://catalog.hathitrust.org/Record/001184243","HathiTrust Record")</f>
        <v>HathiTrust Record</v>
      </c>
      <c r="AV86" s="6" t="str">
        <f>HYPERLINK("http://mcgill.on.worldcat.org/oclc/712278","Catalog Record")</f>
        <v>Catalog Record</v>
      </c>
      <c r="AW86" s="6" t="str">
        <f>HYPERLINK("http://www.worldcat.org/oclc/712278","WorldCat Record")</f>
        <v>WorldCat Record</v>
      </c>
      <c r="AX86" s="3" t="s">
        <v>954</v>
      </c>
      <c r="AY86" s="3" t="s">
        <v>955</v>
      </c>
      <c r="AZ86" s="3" t="s">
        <v>956</v>
      </c>
      <c r="BA86" s="3" t="s">
        <v>956</v>
      </c>
      <c r="BB86" s="3" t="s">
        <v>959</v>
      </c>
      <c r="BC86" s="3" t="s">
        <v>82</v>
      </c>
      <c r="BD86" s="3" t="s">
        <v>70</v>
      </c>
      <c r="BF86" s="3" t="s">
        <v>959</v>
      </c>
      <c r="BG86" s="3" t="s">
        <v>960</v>
      </c>
    </row>
    <row r="87" spans="1:59" ht="60" x14ac:dyDescent="0.25">
      <c r="A87" s="2" t="s">
        <v>59</v>
      </c>
      <c r="B87" s="2" t="s">
        <v>60</v>
      </c>
      <c r="C87" s="2" t="s">
        <v>961</v>
      </c>
      <c r="D87" s="2" t="s">
        <v>962</v>
      </c>
      <c r="E87" s="2" t="s">
        <v>963</v>
      </c>
      <c r="G87" s="3" t="s">
        <v>63</v>
      </c>
      <c r="I87" s="3" t="s">
        <v>63</v>
      </c>
      <c r="J87" s="3" t="s">
        <v>63</v>
      </c>
      <c r="K87" s="3" t="s">
        <v>64</v>
      </c>
      <c r="M87" s="2" t="s">
        <v>964</v>
      </c>
      <c r="N87" s="3" t="s">
        <v>826</v>
      </c>
      <c r="P87" s="3" t="s">
        <v>66</v>
      </c>
      <c r="Q87" s="2" t="s">
        <v>965</v>
      </c>
      <c r="R87" s="3" t="s">
        <v>67</v>
      </c>
      <c r="S87" s="4">
        <v>5</v>
      </c>
      <c r="T87" s="4">
        <v>5</v>
      </c>
      <c r="U87" s="5" t="s">
        <v>907</v>
      </c>
      <c r="V87" s="5" t="s">
        <v>907</v>
      </c>
      <c r="W87" s="5" t="s">
        <v>69</v>
      </c>
      <c r="X87" s="5" t="s">
        <v>69</v>
      </c>
      <c r="Y87" s="4">
        <v>292</v>
      </c>
      <c r="Z87" s="4">
        <v>13</v>
      </c>
      <c r="AA87" s="4">
        <v>13</v>
      </c>
      <c r="AB87" s="4">
        <v>1</v>
      </c>
      <c r="AC87" s="4">
        <v>1</v>
      </c>
      <c r="AD87" s="4">
        <v>46</v>
      </c>
      <c r="AE87" s="4">
        <v>46</v>
      </c>
      <c r="AF87" s="4">
        <v>0</v>
      </c>
      <c r="AG87" s="4">
        <v>0</v>
      </c>
      <c r="AH87" s="4">
        <v>39</v>
      </c>
      <c r="AI87" s="4">
        <v>39</v>
      </c>
      <c r="AJ87" s="4">
        <v>6</v>
      </c>
      <c r="AK87" s="4">
        <v>6</v>
      </c>
      <c r="AL87" s="4">
        <v>18</v>
      </c>
      <c r="AM87" s="4">
        <v>18</v>
      </c>
      <c r="AN87" s="4">
        <v>0</v>
      </c>
      <c r="AO87" s="4">
        <v>0</v>
      </c>
      <c r="AP87" s="4">
        <v>10</v>
      </c>
      <c r="AQ87" s="4">
        <v>10</v>
      </c>
      <c r="AR87" s="3" t="s">
        <v>63</v>
      </c>
      <c r="AS87" s="3" t="s">
        <v>63</v>
      </c>
      <c r="AT87" s="3" t="s">
        <v>63</v>
      </c>
      <c r="AV87" s="6" t="str">
        <f>HYPERLINK("http://mcgill.on.worldcat.org/oclc/207412","Catalog Record")</f>
        <v>Catalog Record</v>
      </c>
      <c r="AW87" s="6" t="str">
        <f>HYPERLINK("http://www.worldcat.org/oclc/207412","WorldCat Record")</f>
        <v>WorldCat Record</v>
      </c>
      <c r="AX87" s="3" t="s">
        <v>966</v>
      </c>
      <c r="AY87" s="3" t="s">
        <v>967</v>
      </c>
      <c r="AZ87" s="3" t="s">
        <v>968</v>
      </c>
      <c r="BA87" s="3" t="s">
        <v>968</v>
      </c>
      <c r="BB87" s="3" t="s">
        <v>969</v>
      </c>
      <c r="BC87" s="3" t="s">
        <v>82</v>
      </c>
      <c r="BD87" s="3" t="s">
        <v>70</v>
      </c>
      <c r="BF87" s="3" t="s">
        <v>969</v>
      </c>
      <c r="BG87" s="3" t="s">
        <v>970</v>
      </c>
    </row>
    <row r="88" spans="1:59" ht="60" x14ac:dyDescent="0.25">
      <c r="A88" s="2" t="s">
        <v>59</v>
      </c>
      <c r="B88" s="2" t="s">
        <v>60</v>
      </c>
      <c r="C88" s="2" t="s">
        <v>971</v>
      </c>
      <c r="D88" s="2" t="s">
        <v>972</v>
      </c>
      <c r="E88" s="2" t="s">
        <v>973</v>
      </c>
      <c r="G88" s="3" t="s">
        <v>63</v>
      </c>
      <c r="I88" s="3" t="s">
        <v>63</v>
      </c>
      <c r="J88" s="3" t="s">
        <v>63</v>
      </c>
      <c r="K88" s="3" t="s">
        <v>64</v>
      </c>
      <c r="L88" s="2" t="s">
        <v>974</v>
      </c>
      <c r="M88" s="2" t="s">
        <v>975</v>
      </c>
      <c r="N88" s="3" t="s">
        <v>681</v>
      </c>
      <c r="O88" s="2" t="s">
        <v>976</v>
      </c>
      <c r="P88" s="3" t="s">
        <v>66</v>
      </c>
      <c r="Q88" s="2" t="s">
        <v>977</v>
      </c>
      <c r="R88" s="3" t="s">
        <v>67</v>
      </c>
      <c r="S88" s="4">
        <v>10</v>
      </c>
      <c r="T88" s="4">
        <v>10</v>
      </c>
      <c r="U88" s="5" t="s">
        <v>978</v>
      </c>
      <c r="V88" s="5" t="s">
        <v>978</v>
      </c>
      <c r="W88" s="5" t="s">
        <v>69</v>
      </c>
      <c r="X88" s="5" t="s">
        <v>69</v>
      </c>
      <c r="Y88" s="4">
        <v>32</v>
      </c>
      <c r="Z88" s="4">
        <v>7</v>
      </c>
      <c r="AA88" s="4">
        <v>23</v>
      </c>
      <c r="AB88" s="4">
        <v>2</v>
      </c>
      <c r="AC88" s="4">
        <v>2</v>
      </c>
      <c r="AD88" s="4">
        <v>9</v>
      </c>
      <c r="AE88" s="4">
        <v>103</v>
      </c>
      <c r="AF88" s="4">
        <v>0</v>
      </c>
      <c r="AG88" s="4">
        <v>0</v>
      </c>
      <c r="AH88" s="4">
        <v>7</v>
      </c>
      <c r="AI88" s="4">
        <v>92</v>
      </c>
      <c r="AJ88" s="4">
        <v>3</v>
      </c>
      <c r="AK88" s="4">
        <v>12</v>
      </c>
      <c r="AL88" s="4">
        <v>3</v>
      </c>
      <c r="AM88" s="4">
        <v>50</v>
      </c>
      <c r="AN88" s="4">
        <v>0</v>
      </c>
      <c r="AO88" s="4">
        <v>0</v>
      </c>
      <c r="AP88" s="4">
        <v>3</v>
      </c>
      <c r="AQ88" s="4">
        <v>14</v>
      </c>
      <c r="AR88" s="3" t="s">
        <v>63</v>
      </c>
      <c r="AS88" s="3" t="s">
        <v>63</v>
      </c>
      <c r="AT88" s="3" t="s">
        <v>63</v>
      </c>
      <c r="AV88" s="6" t="str">
        <f>HYPERLINK("http://mcgill.on.worldcat.org/oclc/7531298","Catalog Record")</f>
        <v>Catalog Record</v>
      </c>
      <c r="AW88" s="6" t="str">
        <f>HYPERLINK("http://www.worldcat.org/oclc/7531298","WorldCat Record")</f>
        <v>WorldCat Record</v>
      </c>
      <c r="AX88" s="3" t="s">
        <v>979</v>
      </c>
      <c r="AY88" s="3" t="s">
        <v>980</v>
      </c>
      <c r="AZ88" s="3" t="s">
        <v>981</v>
      </c>
      <c r="BA88" s="3" t="s">
        <v>981</v>
      </c>
      <c r="BB88" s="3" t="s">
        <v>982</v>
      </c>
      <c r="BC88" s="3" t="s">
        <v>82</v>
      </c>
      <c r="BD88" s="3" t="s">
        <v>70</v>
      </c>
      <c r="BF88" s="3" t="s">
        <v>982</v>
      </c>
      <c r="BG88" s="3" t="s">
        <v>983</v>
      </c>
    </row>
    <row r="89" spans="1:59" ht="75" x14ac:dyDescent="0.25">
      <c r="A89" s="2" t="s">
        <v>59</v>
      </c>
      <c r="B89" s="2" t="s">
        <v>60</v>
      </c>
      <c r="C89" s="2" t="s">
        <v>984</v>
      </c>
      <c r="D89" s="2" t="s">
        <v>985</v>
      </c>
      <c r="E89" s="2" t="s">
        <v>986</v>
      </c>
      <c r="G89" s="3" t="s">
        <v>63</v>
      </c>
      <c r="I89" s="3" t="s">
        <v>63</v>
      </c>
      <c r="J89" s="3" t="s">
        <v>63</v>
      </c>
      <c r="K89" s="3" t="s">
        <v>64</v>
      </c>
      <c r="L89" s="2" t="s">
        <v>950</v>
      </c>
      <c r="M89" s="2" t="s">
        <v>987</v>
      </c>
      <c r="N89" s="3" t="s">
        <v>531</v>
      </c>
      <c r="P89" s="3" t="s">
        <v>66</v>
      </c>
      <c r="R89" s="3" t="s">
        <v>67</v>
      </c>
      <c r="S89" s="4">
        <v>16</v>
      </c>
      <c r="T89" s="4">
        <v>16</v>
      </c>
      <c r="U89" s="5" t="s">
        <v>988</v>
      </c>
      <c r="V89" s="5" t="s">
        <v>988</v>
      </c>
      <c r="W89" s="5" t="s">
        <v>69</v>
      </c>
      <c r="X89" s="5" t="s">
        <v>69</v>
      </c>
      <c r="Y89" s="4">
        <v>105</v>
      </c>
      <c r="Z89" s="4">
        <v>11</v>
      </c>
      <c r="AA89" s="4">
        <v>11</v>
      </c>
      <c r="AB89" s="4">
        <v>1</v>
      </c>
      <c r="AC89" s="4">
        <v>1</v>
      </c>
      <c r="AD89" s="4">
        <v>56</v>
      </c>
      <c r="AE89" s="4">
        <v>56</v>
      </c>
      <c r="AF89" s="4">
        <v>0</v>
      </c>
      <c r="AG89" s="4">
        <v>0</v>
      </c>
      <c r="AH89" s="4">
        <v>52</v>
      </c>
      <c r="AI89" s="4">
        <v>52</v>
      </c>
      <c r="AJ89" s="4">
        <v>8</v>
      </c>
      <c r="AK89" s="4">
        <v>8</v>
      </c>
      <c r="AL89" s="4">
        <v>34</v>
      </c>
      <c r="AM89" s="4">
        <v>34</v>
      </c>
      <c r="AN89" s="4">
        <v>0</v>
      </c>
      <c r="AO89" s="4">
        <v>0</v>
      </c>
      <c r="AP89" s="4">
        <v>8</v>
      </c>
      <c r="AQ89" s="4">
        <v>8</v>
      </c>
      <c r="AR89" s="3" t="s">
        <v>63</v>
      </c>
      <c r="AS89" s="3" t="s">
        <v>63</v>
      </c>
      <c r="AT89" s="3" t="s">
        <v>62</v>
      </c>
      <c r="AU89" s="6" t="str">
        <f>HYPERLINK("http://catalog.hathitrust.org/Record/101664111","HathiTrust Record")</f>
        <v>HathiTrust Record</v>
      </c>
      <c r="AV89" s="6" t="str">
        <f>HYPERLINK("http://mcgill.on.worldcat.org/oclc/30322572","Catalog Record")</f>
        <v>Catalog Record</v>
      </c>
      <c r="AW89" s="6" t="str">
        <f>HYPERLINK("http://www.worldcat.org/oclc/30322572","WorldCat Record")</f>
        <v>WorldCat Record</v>
      </c>
      <c r="AX89" s="3" t="s">
        <v>989</v>
      </c>
      <c r="AY89" s="3" t="s">
        <v>990</v>
      </c>
      <c r="AZ89" s="3" t="s">
        <v>991</v>
      </c>
      <c r="BA89" s="3" t="s">
        <v>991</v>
      </c>
      <c r="BB89" s="3" t="s">
        <v>992</v>
      </c>
      <c r="BC89" s="3" t="s">
        <v>82</v>
      </c>
      <c r="BD89" s="3" t="s">
        <v>70</v>
      </c>
      <c r="BE89" s="3" t="s">
        <v>993</v>
      </c>
      <c r="BF89" s="3" t="s">
        <v>992</v>
      </c>
      <c r="BG89" s="3" t="s">
        <v>994</v>
      </c>
    </row>
    <row r="90" spans="1:59" ht="60" x14ac:dyDescent="0.25">
      <c r="A90" s="2" t="s">
        <v>59</v>
      </c>
      <c r="B90" s="2" t="s">
        <v>60</v>
      </c>
      <c r="C90" s="2" t="s">
        <v>995</v>
      </c>
      <c r="D90" s="2" t="s">
        <v>996</v>
      </c>
      <c r="E90" s="2" t="s">
        <v>997</v>
      </c>
      <c r="G90" s="3" t="s">
        <v>63</v>
      </c>
      <c r="I90" s="3" t="s">
        <v>63</v>
      </c>
      <c r="J90" s="3" t="s">
        <v>63</v>
      </c>
      <c r="K90" s="3" t="s">
        <v>64</v>
      </c>
      <c r="L90" s="2" t="s">
        <v>950</v>
      </c>
      <c r="M90" s="2" t="s">
        <v>998</v>
      </c>
      <c r="N90" s="3" t="s">
        <v>531</v>
      </c>
      <c r="P90" s="3" t="s">
        <v>66</v>
      </c>
      <c r="R90" s="3" t="s">
        <v>67</v>
      </c>
      <c r="S90" s="4">
        <v>17</v>
      </c>
      <c r="T90" s="4">
        <v>17</v>
      </c>
      <c r="U90" s="5" t="s">
        <v>999</v>
      </c>
      <c r="V90" s="5" t="s">
        <v>999</v>
      </c>
      <c r="W90" s="5" t="s">
        <v>69</v>
      </c>
      <c r="X90" s="5" t="s">
        <v>69</v>
      </c>
      <c r="Y90" s="4">
        <v>257</v>
      </c>
      <c r="Z90" s="4">
        <v>12</v>
      </c>
      <c r="AA90" s="4">
        <v>12</v>
      </c>
      <c r="AB90" s="4">
        <v>1</v>
      </c>
      <c r="AC90" s="4">
        <v>1</v>
      </c>
      <c r="AD90" s="4">
        <v>77</v>
      </c>
      <c r="AE90" s="4">
        <v>77</v>
      </c>
      <c r="AF90" s="4">
        <v>0</v>
      </c>
      <c r="AG90" s="4">
        <v>0</v>
      </c>
      <c r="AH90" s="4">
        <v>70</v>
      </c>
      <c r="AI90" s="4">
        <v>70</v>
      </c>
      <c r="AJ90" s="4">
        <v>7</v>
      </c>
      <c r="AK90" s="4">
        <v>7</v>
      </c>
      <c r="AL90" s="4">
        <v>49</v>
      </c>
      <c r="AM90" s="4">
        <v>49</v>
      </c>
      <c r="AN90" s="4">
        <v>0</v>
      </c>
      <c r="AO90" s="4">
        <v>0</v>
      </c>
      <c r="AP90" s="4">
        <v>6</v>
      </c>
      <c r="AQ90" s="4">
        <v>6</v>
      </c>
      <c r="AR90" s="3" t="s">
        <v>63</v>
      </c>
      <c r="AS90" s="3" t="s">
        <v>63</v>
      </c>
      <c r="AT90" s="3" t="s">
        <v>62</v>
      </c>
      <c r="AU90" s="6" t="str">
        <f>HYPERLINK("http://catalog.hathitrust.org/Record/002643731","HathiTrust Record")</f>
        <v>HathiTrust Record</v>
      </c>
      <c r="AV90" s="6" t="str">
        <f>HYPERLINK("http://mcgill.on.worldcat.org/oclc/27409529","Catalog Record")</f>
        <v>Catalog Record</v>
      </c>
      <c r="AW90" s="6" t="str">
        <f>HYPERLINK("http://www.worldcat.org/oclc/27409529","WorldCat Record")</f>
        <v>WorldCat Record</v>
      </c>
      <c r="AX90" s="3" t="s">
        <v>1000</v>
      </c>
      <c r="AY90" s="3" t="s">
        <v>1001</v>
      </c>
      <c r="AZ90" s="3" t="s">
        <v>1002</v>
      </c>
      <c r="BA90" s="3" t="s">
        <v>1002</v>
      </c>
      <c r="BB90" s="3" t="s">
        <v>1003</v>
      </c>
      <c r="BC90" s="3" t="s">
        <v>82</v>
      </c>
      <c r="BD90" s="3" t="s">
        <v>70</v>
      </c>
      <c r="BE90" s="3" t="s">
        <v>1004</v>
      </c>
      <c r="BF90" s="3" t="s">
        <v>1003</v>
      </c>
      <c r="BG90" s="3" t="s">
        <v>1005</v>
      </c>
    </row>
    <row r="91" spans="1:59" ht="60" x14ac:dyDescent="0.25">
      <c r="A91" s="2" t="s">
        <v>59</v>
      </c>
      <c r="B91" s="2" t="s">
        <v>60</v>
      </c>
      <c r="C91" s="2" t="s">
        <v>1006</v>
      </c>
      <c r="D91" s="2" t="s">
        <v>1007</v>
      </c>
      <c r="E91" s="2" t="s">
        <v>1008</v>
      </c>
      <c r="G91" s="3" t="s">
        <v>63</v>
      </c>
      <c r="I91" s="3" t="s">
        <v>63</v>
      </c>
      <c r="J91" s="3" t="s">
        <v>62</v>
      </c>
      <c r="K91" s="3" t="s">
        <v>64</v>
      </c>
      <c r="L91" s="2" t="s">
        <v>974</v>
      </c>
      <c r="M91" s="2" t="s">
        <v>1009</v>
      </c>
      <c r="N91" s="3" t="s">
        <v>1010</v>
      </c>
      <c r="P91" s="3" t="s">
        <v>66</v>
      </c>
      <c r="R91" s="3" t="s">
        <v>67</v>
      </c>
      <c r="S91" s="4">
        <v>31</v>
      </c>
      <c r="T91" s="4">
        <v>31</v>
      </c>
      <c r="U91" s="5" t="s">
        <v>1011</v>
      </c>
      <c r="V91" s="5" t="s">
        <v>1011</v>
      </c>
      <c r="W91" s="5" t="s">
        <v>69</v>
      </c>
      <c r="X91" s="5" t="s">
        <v>69</v>
      </c>
      <c r="Y91" s="4">
        <v>722</v>
      </c>
      <c r="Z91" s="4">
        <v>17</v>
      </c>
      <c r="AA91" s="4">
        <v>61</v>
      </c>
      <c r="AB91" s="4">
        <v>2</v>
      </c>
      <c r="AC91" s="4">
        <v>7</v>
      </c>
      <c r="AD91" s="4">
        <v>100</v>
      </c>
      <c r="AE91" s="4">
        <v>140</v>
      </c>
      <c r="AF91" s="4">
        <v>1</v>
      </c>
      <c r="AG91" s="4">
        <v>3</v>
      </c>
      <c r="AH91" s="4">
        <v>90</v>
      </c>
      <c r="AI91" s="4">
        <v>112</v>
      </c>
      <c r="AJ91" s="4">
        <v>10</v>
      </c>
      <c r="AK91" s="4">
        <v>22</v>
      </c>
      <c r="AL91" s="4">
        <v>47</v>
      </c>
      <c r="AM91" s="4">
        <v>60</v>
      </c>
      <c r="AN91" s="4">
        <v>0</v>
      </c>
      <c r="AO91" s="4">
        <v>0</v>
      </c>
      <c r="AP91" s="4">
        <v>14</v>
      </c>
      <c r="AQ91" s="4">
        <v>35</v>
      </c>
      <c r="AR91" s="3" t="s">
        <v>63</v>
      </c>
      <c r="AS91" s="3" t="s">
        <v>63</v>
      </c>
      <c r="AT91" s="3" t="s">
        <v>62</v>
      </c>
      <c r="AU91" s="6" t="str">
        <f>HYPERLINK("http://catalog.hathitrust.org/Record/001184250","HathiTrust Record")</f>
        <v>HathiTrust Record</v>
      </c>
      <c r="AV91" s="6" t="str">
        <f>HYPERLINK("http://mcgill.on.worldcat.org/oclc/322670","Catalog Record")</f>
        <v>Catalog Record</v>
      </c>
      <c r="AW91" s="6" t="str">
        <f>HYPERLINK("http://www.worldcat.org/oclc/322670","WorldCat Record")</f>
        <v>WorldCat Record</v>
      </c>
      <c r="AX91" s="3" t="s">
        <v>1012</v>
      </c>
      <c r="AY91" s="3" t="s">
        <v>1013</v>
      </c>
      <c r="AZ91" s="3" t="s">
        <v>1014</v>
      </c>
      <c r="BA91" s="3" t="s">
        <v>1014</v>
      </c>
      <c r="BB91" s="3" t="s">
        <v>1015</v>
      </c>
      <c r="BC91" s="3" t="s">
        <v>82</v>
      </c>
      <c r="BD91" s="3" t="s">
        <v>538</v>
      </c>
      <c r="BE91" s="3" t="s">
        <v>1016</v>
      </c>
      <c r="BF91" s="3" t="s">
        <v>1015</v>
      </c>
      <c r="BG91" s="3" t="s">
        <v>1017</v>
      </c>
    </row>
    <row r="92" spans="1:59" ht="105" x14ac:dyDescent="0.25">
      <c r="A92" s="2" t="s">
        <v>59</v>
      </c>
      <c r="B92" s="2" t="s">
        <v>1018</v>
      </c>
      <c r="C92" s="2" t="s">
        <v>1019</v>
      </c>
      <c r="D92" s="2" t="s">
        <v>1020</v>
      </c>
      <c r="E92" s="2" t="s">
        <v>1021</v>
      </c>
      <c r="G92" s="3" t="s">
        <v>63</v>
      </c>
      <c r="I92" s="3" t="s">
        <v>63</v>
      </c>
      <c r="J92" s="3" t="s">
        <v>63</v>
      </c>
      <c r="K92" s="3" t="s">
        <v>64</v>
      </c>
      <c r="L92" s="2" t="s">
        <v>974</v>
      </c>
      <c r="M92" s="2" t="s">
        <v>1022</v>
      </c>
      <c r="N92" s="3" t="s">
        <v>1023</v>
      </c>
      <c r="P92" s="3" t="s">
        <v>66</v>
      </c>
      <c r="R92" s="3" t="s">
        <v>67</v>
      </c>
      <c r="S92" s="4">
        <v>63</v>
      </c>
      <c r="T92" s="4">
        <v>63</v>
      </c>
      <c r="U92" s="5" t="s">
        <v>1024</v>
      </c>
      <c r="V92" s="5" t="s">
        <v>1024</v>
      </c>
      <c r="W92" s="5" t="s">
        <v>69</v>
      </c>
      <c r="X92" s="5" t="s">
        <v>69</v>
      </c>
      <c r="Y92" s="4">
        <v>50</v>
      </c>
      <c r="Z92" s="4">
        <v>2</v>
      </c>
      <c r="AA92" s="4">
        <v>2</v>
      </c>
      <c r="AB92" s="4">
        <v>1</v>
      </c>
      <c r="AC92" s="4">
        <v>1</v>
      </c>
      <c r="AD92" s="4">
        <v>7</v>
      </c>
      <c r="AE92" s="4">
        <v>7</v>
      </c>
      <c r="AF92" s="4">
        <v>0</v>
      </c>
      <c r="AG92" s="4">
        <v>0</v>
      </c>
      <c r="AH92" s="4">
        <v>7</v>
      </c>
      <c r="AI92" s="4">
        <v>7</v>
      </c>
      <c r="AJ92" s="4">
        <v>0</v>
      </c>
      <c r="AK92" s="4">
        <v>0</v>
      </c>
      <c r="AL92" s="4">
        <v>4</v>
      </c>
      <c r="AM92" s="4">
        <v>4</v>
      </c>
      <c r="AN92" s="4">
        <v>0</v>
      </c>
      <c r="AO92" s="4">
        <v>0</v>
      </c>
      <c r="AP92" s="4">
        <v>0</v>
      </c>
      <c r="AQ92" s="4">
        <v>0</v>
      </c>
      <c r="AR92" s="3" t="s">
        <v>63</v>
      </c>
      <c r="AS92" s="3" t="s">
        <v>63</v>
      </c>
      <c r="AT92" s="3" t="s">
        <v>62</v>
      </c>
      <c r="AU92" s="6" t="str">
        <f>HYPERLINK("http://catalog.hathitrust.org/Record/007130649","HathiTrust Record")</f>
        <v>HathiTrust Record</v>
      </c>
      <c r="AV92" s="6" t="str">
        <f>HYPERLINK("http://mcgill.on.worldcat.org/oclc/30155986","Catalog Record")</f>
        <v>Catalog Record</v>
      </c>
      <c r="AW92" s="6" t="str">
        <f>HYPERLINK("http://www.worldcat.org/oclc/30155986","WorldCat Record")</f>
        <v>WorldCat Record</v>
      </c>
      <c r="AX92" s="3" t="s">
        <v>1025</v>
      </c>
      <c r="AY92" s="3" t="s">
        <v>1026</v>
      </c>
      <c r="AZ92" s="3" t="s">
        <v>1027</v>
      </c>
      <c r="BA92" s="3" t="s">
        <v>1027</v>
      </c>
      <c r="BB92" s="3" t="s">
        <v>1028</v>
      </c>
      <c r="BC92" s="3" t="s">
        <v>82</v>
      </c>
      <c r="BD92" s="3" t="s">
        <v>70</v>
      </c>
      <c r="BE92" s="3" t="s">
        <v>1029</v>
      </c>
      <c r="BF92" s="3" t="s">
        <v>1028</v>
      </c>
      <c r="BG92" s="3" t="s">
        <v>1030</v>
      </c>
    </row>
    <row r="93" spans="1:59" ht="60" x14ac:dyDescent="0.25">
      <c r="A93" s="2" t="s">
        <v>59</v>
      </c>
      <c r="B93" s="2" t="s">
        <v>60</v>
      </c>
      <c r="C93" s="2" t="s">
        <v>1031</v>
      </c>
      <c r="D93" s="2" t="s">
        <v>1032</v>
      </c>
      <c r="E93" s="2" t="s">
        <v>1033</v>
      </c>
      <c r="G93" s="3" t="s">
        <v>63</v>
      </c>
      <c r="I93" s="3" t="s">
        <v>63</v>
      </c>
      <c r="J93" s="3" t="s">
        <v>62</v>
      </c>
      <c r="K93" s="3" t="s">
        <v>64</v>
      </c>
      <c r="L93" s="2" t="s">
        <v>974</v>
      </c>
      <c r="M93" s="2" t="s">
        <v>1034</v>
      </c>
      <c r="N93" s="3" t="s">
        <v>918</v>
      </c>
      <c r="O93" s="2" t="s">
        <v>1035</v>
      </c>
      <c r="P93" s="3" t="s">
        <v>66</v>
      </c>
      <c r="Q93" s="2" t="s">
        <v>1036</v>
      </c>
      <c r="R93" s="3" t="s">
        <v>67</v>
      </c>
      <c r="S93" s="4">
        <v>32</v>
      </c>
      <c r="T93" s="4">
        <v>32</v>
      </c>
      <c r="U93" s="5" t="s">
        <v>1037</v>
      </c>
      <c r="V93" s="5" t="s">
        <v>1037</v>
      </c>
      <c r="W93" s="5" t="s">
        <v>69</v>
      </c>
      <c r="X93" s="5" t="s">
        <v>69</v>
      </c>
      <c r="Y93" s="4">
        <v>53</v>
      </c>
      <c r="Z93" s="4">
        <v>3</v>
      </c>
      <c r="AA93" s="4">
        <v>61</v>
      </c>
      <c r="AB93" s="4">
        <v>1</v>
      </c>
      <c r="AC93" s="4">
        <v>7</v>
      </c>
      <c r="AD93" s="4">
        <v>13</v>
      </c>
      <c r="AE93" s="4">
        <v>140</v>
      </c>
      <c r="AF93" s="4">
        <v>0</v>
      </c>
      <c r="AG93" s="4">
        <v>3</v>
      </c>
      <c r="AH93" s="4">
        <v>10</v>
      </c>
      <c r="AI93" s="4">
        <v>112</v>
      </c>
      <c r="AJ93" s="4">
        <v>1</v>
      </c>
      <c r="AK93" s="4">
        <v>22</v>
      </c>
      <c r="AL93" s="4">
        <v>6</v>
      </c>
      <c r="AM93" s="4">
        <v>60</v>
      </c>
      <c r="AN93" s="4">
        <v>0</v>
      </c>
      <c r="AO93" s="4">
        <v>0</v>
      </c>
      <c r="AP93" s="4">
        <v>2</v>
      </c>
      <c r="AQ93" s="4">
        <v>35</v>
      </c>
      <c r="AR93" s="3" t="s">
        <v>63</v>
      </c>
      <c r="AS93" s="3" t="s">
        <v>63</v>
      </c>
      <c r="AT93" s="3" t="s">
        <v>63</v>
      </c>
      <c r="AV93" s="6" t="str">
        <f>HYPERLINK("http://mcgill.on.worldcat.org/oclc/3850913","Catalog Record")</f>
        <v>Catalog Record</v>
      </c>
      <c r="AW93" s="6" t="str">
        <f>HYPERLINK("http://www.worldcat.org/oclc/3850913","WorldCat Record")</f>
        <v>WorldCat Record</v>
      </c>
      <c r="AX93" s="3" t="s">
        <v>1012</v>
      </c>
      <c r="AY93" s="3" t="s">
        <v>1038</v>
      </c>
      <c r="AZ93" s="3" t="s">
        <v>1039</v>
      </c>
      <c r="BA93" s="3" t="s">
        <v>1039</v>
      </c>
      <c r="BB93" s="3" t="s">
        <v>1040</v>
      </c>
      <c r="BC93" s="3" t="s">
        <v>82</v>
      </c>
      <c r="BD93" s="3" t="s">
        <v>70</v>
      </c>
      <c r="BF93" s="3" t="s">
        <v>1040</v>
      </c>
      <c r="BG93" s="3" t="s">
        <v>1041</v>
      </c>
    </row>
    <row r="94" spans="1:59" ht="60" x14ac:dyDescent="0.25">
      <c r="A94" s="2" t="s">
        <v>59</v>
      </c>
      <c r="B94" s="2" t="s">
        <v>60</v>
      </c>
      <c r="C94" s="2" t="s">
        <v>1042</v>
      </c>
      <c r="D94" s="2" t="s">
        <v>1043</v>
      </c>
      <c r="E94" s="2" t="s">
        <v>1044</v>
      </c>
      <c r="G94" s="3" t="s">
        <v>63</v>
      </c>
      <c r="I94" s="3" t="s">
        <v>63</v>
      </c>
      <c r="J94" s="3" t="s">
        <v>63</v>
      </c>
      <c r="K94" s="3" t="s">
        <v>64</v>
      </c>
      <c r="L94" s="2" t="s">
        <v>950</v>
      </c>
      <c r="M94" s="2" t="s">
        <v>1045</v>
      </c>
      <c r="N94" s="3" t="s">
        <v>1046</v>
      </c>
      <c r="P94" s="3" t="s">
        <v>66</v>
      </c>
      <c r="R94" s="3" t="s">
        <v>67</v>
      </c>
      <c r="S94" s="4">
        <v>5</v>
      </c>
      <c r="T94" s="4">
        <v>5</v>
      </c>
      <c r="U94" s="5" t="s">
        <v>1047</v>
      </c>
      <c r="V94" s="5" t="s">
        <v>1047</v>
      </c>
      <c r="W94" s="5" t="s">
        <v>69</v>
      </c>
      <c r="X94" s="5" t="s">
        <v>69</v>
      </c>
      <c r="Y94" s="4">
        <v>458</v>
      </c>
      <c r="Z94" s="4">
        <v>13</v>
      </c>
      <c r="AA94" s="4">
        <v>23</v>
      </c>
      <c r="AB94" s="4">
        <v>1</v>
      </c>
      <c r="AC94" s="4">
        <v>1</v>
      </c>
      <c r="AD94" s="4">
        <v>90</v>
      </c>
      <c r="AE94" s="4">
        <v>111</v>
      </c>
      <c r="AF94" s="4">
        <v>0</v>
      </c>
      <c r="AG94" s="4">
        <v>0</v>
      </c>
      <c r="AH94" s="4">
        <v>84</v>
      </c>
      <c r="AI94" s="4">
        <v>100</v>
      </c>
      <c r="AJ94" s="4">
        <v>6</v>
      </c>
      <c r="AK94" s="4">
        <v>14</v>
      </c>
      <c r="AL94" s="4">
        <v>48</v>
      </c>
      <c r="AM94" s="4">
        <v>55</v>
      </c>
      <c r="AN94" s="4">
        <v>0</v>
      </c>
      <c r="AO94" s="4">
        <v>0</v>
      </c>
      <c r="AP94" s="4">
        <v>5</v>
      </c>
      <c r="AQ94" s="4">
        <v>15</v>
      </c>
      <c r="AR94" s="3" t="s">
        <v>63</v>
      </c>
      <c r="AS94" s="3" t="s">
        <v>63</v>
      </c>
      <c r="AT94" s="3" t="s">
        <v>62</v>
      </c>
      <c r="AU94" s="6" t="str">
        <f>HYPERLINK("http://catalog.hathitrust.org/Record/003481767","HathiTrust Record")</f>
        <v>HathiTrust Record</v>
      </c>
      <c r="AV94" s="6" t="str">
        <f>HYPERLINK("http://mcgill.on.worldcat.org/oclc/282332","Catalog Record")</f>
        <v>Catalog Record</v>
      </c>
      <c r="AW94" s="6" t="str">
        <f>HYPERLINK("http://www.worldcat.org/oclc/282332","WorldCat Record")</f>
        <v>WorldCat Record</v>
      </c>
      <c r="AX94" s="3" t="s">
        <v>1048</v>
      </c>
      <c r="AY94" s="3" t="s">
        <v>1049</v>
      </c>
      <c r="AZ94" s="3" t="s">
        <v>1050</v>
      </c>
      <c r="BA94" s="3" t="s">
        <v>1050</v>
      </c>
      <c r="BB94" s="3" t="s">
        <v>1051</v>
      </c>
      <c r="BC94" s="3" t="s">
        <v>82</v>
      </c>
      <c r="BD94" s="3" t="s">
        <v>70</v>
      </c>
      <c r="BF94" s="3" t="s">
        <v>1051</v>
      </c>
      <c r="BG94" s="3" t="s">
        <v>1052</v>
      </c>
    </row>
    <row r="95" spans="1:59" ht="60" x14ac:dyDescent="0.25">
      <c r="A95" s="2" t="s">
        <v>59</v>
      </c>
      <c r="B95" s="2" t="s">
        <v>60</v>
      </c>
      <c r="C95" s="2" t="s">
        <v>1053</v>
      </c>
      <c r="D95" s="2" t="s">
        <v>1054</v>
      </c>
      <c r="E95" s="2" t="s">
        <v>1055</v>
      </c>
      <c r="G95" s="3" t="s">
        <v>63</v>
      </c>
      <c r="I95" s="3" t="s">
        <v>63</v>
      </c>
      <c r="J95" s="3" t="s">
        <v>63</v>
      </c>
      <c r="K95" s="3" t="s">
        <v>64</v>
      </c>
      <c r="L95" s="2" t="s">
        <v>974</v>
      </c>
      <c r="M95" s="2" t="s">
        <v>1056</v>
      </c>
      <c r="N95" s="3" t="s">
        <v>1046</v>
      </c>
      <c r="P95" s="3" t="s">
        <v>769</v>
      </c>
      <c r="Q95" s="2" t="s">
        <v>1057</v>
      </c>
      <c r="R95" s="3" t="s">
        <v>67</v>
      </c>
      <c r="S95" s="4">
        <v>21</v>
      </c>
      <c r="T95" s="4">
        <v>21</v>
      </c>
      <c r="U95" s="5" t="s">
        <v>719</v>
      </c>
      <c r="V95" s="5" t="s">
        <v>719</v>
      </c>
      <c r="W95" s="5" t="s">
        <v>69</v>
      </c>
      <c r="X95" s="5" t="s">
        <v>69</v>
      </c>
      <c r="Y95" s="4">
        <v>8</v>
      </c>
      <c r="Z95" s="4">
        <v>1</v>
      </c>
      <c r="AA95" s="4">
        <v>6</v>
      </c>
      <c r="AB95" s="4">
        <v>1</v>
      </c>
      <c r="AC95" s="4">
        <v>1</v>
      </c>
      <c r="AD95" s="4">
        <v>6</v>
      </c>
      <c r="AE95" s="4">
        <v>25</v>
      </c>
      <c r="AF95" s="4">
        <v>0</v>
      </c>
      <c r="AG95" s="4">
        <v>0</v>
      </c>
      <c r="AH95" s="4">
        <v>6</v>
      </c>
      <c r="AI95" s="4">
        <v>23</v>
      </c>
      <c r="AJ95" s="4">
        <v>0</v>
      </c>
      <c r="AK95" s="4">
        <v>4</v>
      </c>
      <c r="AL95" s="4">
        <v>6</v>
      </c>
      <c r="AM95" s="4">
        <v>19</v>
      </c>
      <c r="AN95" s="4">
        <v>0</v>
      </c>
      <c r="AO95" s="4">
        <v>0</v>
      </c>
      <c r="AP95" s="4">
        <v>0</v>
      </c>
      <c r="AQ95" s="4">
        <v>4</v>
      </c>
      <c r="AR95" s="3" t="s">
        <v>63</v>
      </c>
      <c r="AS95" s="3" t="s">
        <v>63</v>
      </c>
      <c r="AT95" s="3" t="s">
        <v>63</v>
      </c>
      <c r="AV95" s="6" t="str">
        <f>HYPERLINK("http://mcgill.on.worldcat.org/oclc/18997102","Catalog Record")</f>
        <v>Catalog Record</v>
      </c>
      <c r="AW95" s="6" t="str">
        <f>HYPERLINK("http://www.worldcat.org/oclc/18997102","WorldCat Record")</f>
        <v>WorldCat Record</v>
      </c>
      <c r="AX95" s="3" t="s">
        <v>1058</v>
      </c>
      <c r="AY95" s="3" t="s">
        <v>1059</v>
      </c>
      <c r="AZ95" s="3" t="s">
        <v>1060</v>
      </c>
      <c r="BA95" s="3" t="s">
        <v>1060</v>
      </c>
      <c r="BB95" s="3" t="s">
        <v>1061</v>
      </c>
      <c r="BC95" s="3" t="s">
        <v>82</v>
      </c>
      <c r="BD95" s="3" t="s">
        <v>70</v>
      </c>
      <c r="BF95" s="3" t="s">
        <v>1061</v>
      </c>
      <c r="BG95" s="3" t="s">
        <v>1062</v>
      </c>
    </row>
    <row r="96" spans="1:59" ht="60" x14ac:dyDescent="0.25">
      <c r="A96" s="2" t="s">
        <v>59</v>
      </c>
      <c r="B96" s="2" t="s">
        <v>60</v>
      </c>
      <c r="C96" s="2" t="s">
        <v>1063</v>
      </c>
      <c r="D96" s="2" t="s">
        <v>1064</v>
      </c>
      <c r="E96" s="2" t="s">
        <v>1065</v>
      </c>
      <c r="G96" s="3" t="s">
        <v>63</v>
      </c>
      <c r="I96" s="3" t="s">
        <v>63</v>
      </c>
      <c r="J96" s="3" t="s">
        <v>62</v>
      </c>
      <c r="K96" s="3" t="s">
        <v>64</v>
      </c>
      <c r="L96" s="2" t="s">
        <v>974</v>
      </c>
      <c r="M96" s="2" t="s">
        <v>1066</v>
      </c>
      <c r="N96" s="3" t="s">
        <v>204</v>
      </c>
      <c r="P96" s="3" t="s">
        <v>66</v>
      </c>
      <c r="R96" s="3" t="s">
        <v>67</v>
      </c>
      <c r="S96" s="4">
        <v>7</v>
      </c>
      <c r="T96" s="4">
        <v>7</v>
      </c>
      <c r="U96" s="5" t="s">
        <v>953</v>
      </c>
      <c r="V96" s="5" t="s">
        <v>953</v>
      </c>
      <c r="W96" s="5" t="s">
        <v>69</v>
      </c>
      <c r="X96" s="5" t="s">
        <v>69</v>
      </c>
      <c r="Y96" s="4">
        <v>38</v>
      </c>
      <c r="Z96" s="4">
        <v>1</v>
      </c>
      <c r="AA96" s="4">
        <v>40</v>
      </c>
      <c r="AB96" s="4">
        <v>1</v>
      </c>
      <c r="AC96" s="4">
        <v>5</v>
      </c>
      <c r="AD96" s="4">
        <v>7</v>
      </c>
      <c r="AE96" s="4">
        <v>127</v>
      </c>
      <c r="AF96" s="4">
        <v>0</v>
      </c>
      <c r="AG96" s="4">
        <v>0</v>
      </c>
      <c r="AH96" s="4">
        <v>7</v>
      </c>
      <c r="AI96" s="4">
        <v>107</v>
      </c>
      <c r="AJ96" s="4">
        <v>0</v>
      </c>
      <c r="AK96" s="4">
        <v>18</v>
      </c>
      <c r="AL96" s="4">
        <v>4</v>
      </c>
      <c r="AM96" s="4">
        <v>63</v>
      </c>
      <c r="AN96" s="4">
        <v>0</v>
      </c>
      <c r="AO96" s="4">
        <v>0</v>
      </c>
      <c r="AP96" s="4">
        <v>0</v>
      </c>
      <c r="AQ96" s="4">
        <v>22</v>
      </c>
      <c r="AR96" s="3" t="s">
        <v>63</v>
      </c>
      <c r="AS96" s="3" t="s">
        <v>63</v>
      </c>
      <c r="AT96" s="3" t="s">
        <v>62</v>
      </c>
      <c r="AU96" s="6" t="str">
        <f>HYPERLINK("http://catalog.hathitrust.org/Record/004974539","HathiTrust Record")</f>
        <v>HathiTrust Record</v>
      </c>
      <c r="AV96" s="6" t="str">
        <f>HYPERLINK("http://mcgill.on.worldcat.org/oclc/35581116","Catalog Record")</f>
        <v>Catalog Record</v>
      </c>
      <c r="AW96" s="6" t="str">
        <f>HYPERLINK("http://www.worldcat.org/oclc/35581116","WorldCat Record")</f>
        <v>WorldCat Record</v>
      </c>
      <c r="AX96" s="3" t="s">
        <v>1067</v>
      </c>
      <c r="AY96" s="3" t="s">
        <v>1068</v>
      </c>
      <c r="AZ96" s="3" t="s">
        <v>1069</v>
      </c>
      <c r="BA96" s="3" t="s">
        <v>1069</v>
      </c>
      <c r="BB96" s="3" t="s">
        <v>1070</v>
      </c>
      <c r="BC96" s="3" t="s">
        <v>82</v>
      </c>
      <c r="BD96" s="3" t="s">
        <v>70</v>
      </c>
      <c r="BE96" s="3" t="s">
        <v>1071</v>
      </c>
      <c r="BF96" s="3" t="s">
        <v>1070</v>
      </c>
      <c r="BG96" s="3" t="s">
        <v>1072</v>
      </c>
    </row>
    <row r="97" spans="1:59" ht="60" x14ac:dyDescent="0.25">
      <c r="A97" s="2" t="s">
        <v>59</v>
      </c>
      <c r="B97" s="2" t="s">
        <v>60</v>
      </c>
      <c r="C97" s="2" t="s">
        <v>1073</v>
      </c>
      <c r="D97" s="2" t="s">
        <v>1074</v>
      </c>
      <c r="E97" s="2" t="s">
        <v>1075</v>
      </c>
      <c r="G97" s="3" t="s">
        <v>63</v>
      </c>
      <c r="I97" s="3" t="s">
        <v>63</v>
      </c>
      <c r="J97" s="3" t="s">
        <v>62</v>
      </c>
      <c r="K97" s="3" t="s">
        <v>64</v>
      </c>
      <c r="L97" s="2" t="s">
        <v>950</v>
      </c>
      <c r="M97" s="2" t="s">
        <v>1076</v>
      </c>
      <c r="N97" s="3" t="s">
        <v>531</v>
      </c>
      <c r="P97" s="3" t="s">
        <v>66</v>
      </c>
      <c r="R97" s="3" t="s">
        <v>67</v>
      </c>
      <c r="S97" s="4">
        <v>10</v>
      </c>
      <c r="T97" s="4">
        <v>10</v>
      </c>
      <c r="U97" s="5" t="s">
        <v>719</v>
      </c>
      <c r="V97" s="5" t="s">
        <v>719</v>
      </c>
      <c r="W97" s="5" t="s">
        <v>69</v>
      </c>
      <c r="X97" s="5" t="s">
        <v>69</v>
      </c>
      <c r="Y97" s="4">
        <v>338</v>
      </c>
      <c r="Z97" s="4">
        <v>13</v>
      </c>
      <c r="AA97" s="4">
        <v>40</v>
      </c>
      <c r="AB97" s="4">
        <v>1</v>
      </c>
      <c r="AC97" s="4">
        <v>5</v>
      </c>
      <c r="AD97" s="4">
        <v>81</v>
      </c>
      <c r="AE97" s="4">
        <v>127</v>
      </c>
      <c r="AF97" s="4">
        <v>0</v>
      </c>
      <c r="AG97" s="4">
        <v>0</v>
      </c>
      <c r="AH97" s="4">
        <v>73</v>
      </c>
      <c r="AI97" s="4">
        <v>107</v>
      </c>
      <c r="AJ97" s="4">
        <v>10</v>
      </c>
      <c r="AK97" s="4">
        <v>18</v>
      </c>
      <c r="AL97" s="4">
        <v>45</v>
      </c>
      <c r="AM97" s="4">
        <v>63</v>
      </c>
      <c r="AN97" s="4">
        <v>0</v>
      </c>
      <c r="AO97" s="4">
        <v>0</v>
      </c>
      <c r="AP97" s="4">
        <v>11</v>
      </c>
      <c r="AQ97" s="4">
        <v>22</v>
      </c>
      <c r="AR97" s="3" t="s">
        <v>63</v>
      </c>
      <c r="AS97" s="3" t="s">
        <v>63</v>
      </c>
      <c r="AT97" s="3" t="s">
        <v>62</v>
      </c>
      <c r="AU97" s="6" t="str">
        <f>HYPERLINK("http://catalog.hathitrust.org/Record/002645587","HathiTrust Record")</f>
        <v>HathiTrust Record</v>
      </c>
      <c r="AV97" s="6" t="str">
        <f>HYPERLINK("http://mcgill.on.worldcat.org/oclc/27433010","Catalog Record")</f>
        <v>Catalog Record</v>
      </c>
      <c r="AW97" s="6" t="str">
        <f>HYPERLINK("http://www.worldcat.org/oclc/27433010","WorldCat Record")</f>
        <v>WorldCat Record</v>
      </c>
      <c r="AX97" s="3" t="s">
        <v>1067</v>
      </c>
      <c r="AY97" s="3" t="s">
        <v>1077</v>
      </c>
      <c r="AZ97" s="3" t="s">
        <v>1078</v>
      </c>
      <c r="BA97" s="3" t="s">
        <v>1078</v>
      </c>
      <c r="BB97" s="3" t="s">
        <v>1079</v>
      </c>
      <c r="BC97" s="3" t="s">
        <v>82</v>
      </c>
      <c r="BD97" s="3" t="s">
        <v>70</v>
      </c>
      <c r="BE97" s="3" t="s">
        <v>1080</v>
      </c>
      <c r="BF97" s="3" t="s">
        <v>1079</v>
      </c>
      <c r="BG97" s="3" t="s">
        <v>1081</v>
      </c>
    </row>
    <row r="98" spans="1:59" ht="60" x14ac:dyDescent="0.25">
      <c r="A98" s="2" t="s">
        <v>59</v>
      </c>
      <c r="B98" s="2" t="s">
        <v>60</v>
      </c>
      <c r="C98" s="2" t="s">
        <v>1082</v>
      </c>
      <c r="D98" s="2" t="s">
        <v>1083</v>
      </c>
      <c r="E98" s="2" t="s">
        <v>1084</v>
      </c>
      <c r="G98" s="3" t="s">
        <v>63</v>
      </c>
      <c r="I98" s="3" t="s">
        <v>63</v>
      </c>
      <c r="J98" s="3" t="s">
        <v>63</v>
      </c>
      <c r="K98" s="3" t="s">
        <v>64</v>
      </c>
      <c r="L98" s="2" t="s">
        <v>974</v>
      </c>
      <c r="M98" s="2" t="s">
        <v>1085</v>
      </c>
      <c r="N98" s="3" t="s">
        <v>455</v>
      </c>
      <c r="P98" s="3" t="s">
        <v>66</v>
      </c>
      <c r="R98" s="3" t="s">
        <v>67</v>
      </c>
      <c r="S98" s="4">
        <v>2</v>
      </c>
      <c r="T98" s="4">
        <v>2</v>
      </c>
      <c r="U98" s="5" t="s">
        <v>907</v>
      </c>
      <c r="V98" s="5" t="s">
        <v>907</v>
      </c>
      <c r="W98" s="5" t="s">
        <v>69</v>
      </c>
      <c r="X98" s="5" t="s">
        <v>69</v>
      </c>
      <c r="Y98" s="4">
        <v>60</v>
      </c>
      <c r="Z98" s="4">
        <v>19</v>
      </c>
      <c r="AA98" s="4">
        <v>19</v>
      </c>
      <c r="AB98" s="4">
        <v>1</v>
      </c>
      <c r="AC98" s="4">
        <v>1</v>
      </c>
      <c r="AD98" s="4">
        <v>47</v>
      </c>
      <c r="AE98" s="4">
        <v>47</v>
      </c>
      <c r="AF98" s="4">
        <v>0</v>
      </c>
      <c r="AG98" s="4">
        <v>0</v>
      </c>
      <c r="AH98" s="4">
        <v>40</v>
      </c>
      <c r="AI98" s="4">
        <v>40</v>
      </c>
      <c r="AJ98" s="4">
        <v>14</v>
      </c>
      <c r="AK98" s="4">
        <v>14</v>
      </c>
      <c r="AL98" s="4">
        <v>30</v>
      </c>
      <c r="AM98" s="4">
        <v>30</v>
      </c>
      <c r="AN98" s="4">
        <v>0</v>
      </c>
      <c r="AO98" s="4">
        <v>0</v>
      </c>
      <c r="AP98" s="4">
        <v>13</v>
      </c>
      <c r="AQ98" s="4">
        <v>13</v>
      </c>
      <c r="AR98" s="3" t="s">
        <v>62</v>
      </c>
      <c r="AS98" s="3" t="s">
        <v>63</v>
      </c>
      <c r="AT98" s="3" t="s">
        <v>62</v>
      </c>
      <c r="AU98" s="6" t="str">
        <f>HYPERLINK("http://catalog.hathitrust.org/Record/000661242","HathiTrust Record")</f>
        <v>HathiTrust Record</v>
      </c>
      <c r="AV98" s="6" t="str">
        <f>HYPERLINK("http://mcgill.on.worldcat.org/oclc/12072260","Catalog Record")</f>
        <v>Catalog Record</v>
      </c>
      <c r="AW98" s="6" t="str">
        <f>HYPERLINK("http://www.worldcat.org/oclc/12072260","WorldCat Record")</f>
        <v>WorldCat Record</v>
      </c>
      <c r="AX98" s="3" t="s">
        <v>1086</v>
      </c>
      <c r="AY98" s="3" t="s">
        <v>1087</v>
      </c>
      <c r="AZ98" s="3" t="s">
        <v>1088</v>
      </c>
      <c r="BA98" s="3" t="s">
        <v>1088</v>
      </c>
      <c r="BB98" s="3" t="s">
        <v>1089</v>
      </c>
      <c r="BC98" s="3" t="s">
        <v>82</v>
      </c>
      <c r="BD98" s="3" t="s">
        <v>70</v>
      </c>
      <c r="BE98" s="3" t="s">
        <v>1090</v>
      </c>
      <c r="BF98" s="3" t="s">
        <v>1089</v>
      </c>
      <c r="BG98" s="3" t="s">
        <v>1091</v>
      </c>
    </row>
    <row r="99" spans="1:59" ht="60" x14ac:dyDescent="0.25">
      <c r="A99" s="2" t="s">
        <v>59</v>
      </c>
      <c r="B99" s="2" t="s">
        <v>60</v>
      </c>
      <c r="C99" s="2" t="s">
        <v>1092</v>
      </c>
      <c r="D99" s="2" t="s">
        <v>1093</v>
      </c>
      <c r="E99" s="2" t="s">
        <v>1094</v>
      </c>
      <c r="F99" s="3" t="s">
        <v>1095</v>
      </c>
      <c r="G99" s="3" t="s">
        <v>62</v>
      </c>
      <c r="I99" s="3" t="s">
        <v>63</v>
      </c>
      <c r="J99" s="3" t="s">
        <v>63</v>
      </c>
      <c r="K99" s="3" t="s">
        <v>64</v>
      </c>
      <c r="L99" s="2" t="s">
        <v>1096</v>
      </c>
      <c r="M99" s="2" t="s">
        <v>1097</v>
      </c>
      <c r="N99" s="3" t="s">
        <v>1098</v>
      </c>
      <c r="P99" s="3" t="s">
        <v>655</v>
      </c>
      <c r="R99" s="3" t="s">
        <v>67</v>
      </c>
      <c r="S99" s="4">
        <v>1</v>
      </c>
      <c r="T99" s="4">
        <v>1</v>
      </c>
      <c r="U99" s="5" t="s">
        <v>1099</v>
      </c>
      <c r="V99" s="5" t="s">
        <v>1099</v>
      </c>
      <c r="W99" s="5" t="s">
        <v>69</v>
      </c>
      <c r="X99" s="5" t="s">
        <v>69</v>
      </c>
      <c r="Y99" s="4">
        <v>5</v>
      </c>
      <c r="Z99" s="4">
        <v>1</v>
      </c>
      <c r="AA99" s="4">
        <v>1</v>
      </c>
      <c r="AB99" s="4">
        <v>1</v>
      </c>
      <c r="AC99" s="4">
        <v>1</v>
      </c>
      <c r="AD99" s="4">
        <v>3</v>
      </c>
      <c r="AE99" s="4">
        <v>10</v>
      </c>
      <c r="AF99" s="4">
        <v>0</v>
      </c>
      <c r="AG99" s="4">
        <v>0</v>
      </c>
      <c r="AH99" s="4">
        <v>3</v>
      </c>
      <c r="AI99" s="4">
        <v>9</v>
      </c>
      <c r="AJ99" s="4">
        <v>0</v>
      </c>
      <c r="AK99" s="4">
        <v>0</v>
      </c>
      <c r="AL99" s="4">
        <v>1</v>
      </c>
      <c r="AM99" s="4">
        <v>7</v>
      </c>
      <c r="AN99" s="4">
        <v>0</v>
      </c>
      <c r="AO99" s="4">
        <v>0</v>
      </c>
      <c r="AP99" s="4">
        <v>0</v>
      </c>
      <c r="AQ99" s="4">
        <v>0</v>
      </c>
      <c r="AR99" s="3" t="s">
        <v>63</v>
      </c>
      <c r="AS99" s="3" t="s">
        <v>62</v>
      </c>
      <c r="AT99" s="3" t="s">
        <v>63</v>
      </c>
      <c r="AU99" s="6" t="str">
        <f>HYPERLINK("http://catalog.hathitrust.org/Record/008614562","HathiTrust Record")</f>
        <v>HathiTrust Record</v>
      </c>
      <c r="AV99" s="6" t="str">
        <f>HYPERLINK("http://mcgill.on.worldcat.org/oclc/13007968","Catalog Record")</f>
        <v>Catalog Record</v>
      </c>
      <c r="AW99" s="6" t="str">
        <f>HYPERLINK("http://www.worldcat.org/oclc/13007968","WorldCat Record")</f>
        <v>WorldCat Record</v>
      </c>
      <c r="AX99" s="3" t="s">
        <v>1100</v>
      </c>
      <c r="AY99" s="3" t="s">
        <v>1101</v>
      </c>
      <c r="AZ99" s="3" t="s">
        <v>1102</v>
      </c>
      <c r="BA99" s="3" t="s">
        <v>1102</v>
      </c>
      <c r="BB99" s="3" t="s">
        <v>1103</v>
      </c>
      <c r="BC99" s="3" t="s">
        <v>82</v>
      </c>
      <c r="BD99" s="3" t="s">
        <v>70</v>
      </c>
      <c r="BF99" s="3" t="s">
        <v>1103</v>
      </c>
      <c r="BG99" s="3" t="s">
        <v>1104</v>
      </c>
    </row>
    <row r="100" spans="1:59" ht="60" x14ac:dyDescent="0.25">
      <c r="A100" s="2" t="s">
        <v>59</v>
      </c>
      <c r="B100" s="2" t="s">
        <v>60</v>
      </c>
      <c r="C100" s="2" t="s">
        <v>1092</v>
      </c>
      <c r="D100" s="2" t="s">
        <v>1093</v>
      </c>
      <c r="E100" s="2" t="s">
        <v>1094</v>
      </c>
      <c r="F100" s="3" t="s">
        <v>1105</v>
      </c>
      <c r="G100" s="3" t="s">
        <v>62</v>
      </c>
      <c r="I100" s="3" t="s">
        <v>63</v>
      </c>
      <c r="J100" s="3" t="s">
        <v>63</v>
      </c>
      <c r="K100" s="3" t="s">
        <v>64</v>
      </c>
      <c r="L100" s="2" t="s">
        <v>1096</v>
      </c>
      <c r="M100" s="2" t="s">
        <v>1097</v>
      </c>
      <c r="N100" s="3" t="s">
        <v>1098</v>
      </c>
      <c r="P100" s="3" t="s">
        <v>655</v>
      </c>
      <c r="R100" s="3" t="s">
        <v>67</v>
      </c>
      <c r="S100" s="4">
        <v>0</v>
      </c>
      <c r="T100" s="4">
        <v>1</v>
      </c>
      <c r="V100" s="5" t="s">
        <v>1099</v>
      </c>
      <c r="W100" s="5" t="s">
        <v>69</v>
      </c>
      <c r="X100" s="5" t="s">
        <v>69</v>
      </c>
      <c r="Y100" s="4">
        <v>5</v>
      </c>
      <c r="Z100" s="4">
        <v>1</v>
      </c>
      <c r="AA100" s="4">
        <v>1</v>
      </c>
      <c r="AB100" s="4">
        <v>1</v>
      </c>
      <c r="AC100" s="4">
        <v>1</v>
      </c>
      <c r="AD100" s="4">
        <v>3</v>
      </c>
      <c r="AE100" s="4">
        <v>10</v>
      </c>
      <c r="AF100" s="4">
        <v>0</v>
      </c>
      <c r="AG100" s="4">
        <v>0</v>
      </c>
      <c r="AH100" s="4">
        <v>3</v>
      </c>
      <c r="AI100" s="4">
        <v>9</v>
      </c>
      <c r="AJ100" s="4">
        <v>0</v>
      </c>
      <c r="AK100" s="4">
        <v>0</v>
      </c>
      <c r="AL100" s="4">
        <v>1</v>
      </c>
      <c r="AM100" s="4">
        <v>7</v>
      </c>
      <c r="AN100" s="4">
        <v>0</v>
      </c>
      <c r="AO100" s="4">
        <v>0</v>
      </c>
      <c r="AP100" s="4">
        <v>0</v>
      </c>
      <c r="AQ100" s="4">
        <v>0</v>
      </c>
      <c r="AR100" s="3" t="s">
        <v>63</v>
      </c>
      <c r="AS100" s="3" t="s">
        <v>62</v>
      </c>
      <c r="AT100" s="3" t="s">
        <v>63</v>
      </c>
      <c r="AU100" s="6" t="str">
        <f>HYPERLINK("http://catalog.hathitrust.org/Record/008614562","HathiTrust Record")</f>
        <v>HathiTrust Record</v>
      </c>
      <c r="AV100" s="6" t="str">
        <f>HYPERLINK("http://mcgill.on.worldcat.org/oclc/13007968","Catalog Record")</f>
        <v>Catalog Record</v>
      </c>
      <c r="AW100" s="6" t="str">
        <f>HYPERLINK("http://www.worldcat.org/oclc/13007968","WorldCat Record")</f>
        <v>WorldCat Record</v>
      </c>
      <c r="AX100" s="3" t="s">
        <v>1100</v>
      </c>
      <c r="AY100" s="3" t="s">
        <v>1101</v>
      </c>
      <c r="AZ100" s="3" t="s">
        <v>1102</v>
      </c>
      <c r="BA100" s="3" t="s">
        <v>1102</v>
      </c>
      <c r="BB100" s="3" t="s">
        <v>1106</v>
      </c>
      <c r="BC100" s="3" t="s">
        <v>82</v>
      </c>
      <c r="BD100" s="3" t="s">
        <v>70</v>
      </c>
      <c r="BF100" s="3" t="s">
        <v>1106</v>
      </c>
      <c r="BG100" s="3" t="s">
        <v>1107</v>
      </c>
    </row>
    <row r="101" spans="1:59" ht="75" x14ac:dyDescent="0.25">
      <c r="A101" s="2" t="s">
        <v>59</v>
      </c>
      <c r="B101" s="2" t="s">
        <v>60</v>
      </c>
      <c r="C101" s="2" t="s">
        <v>1108</v>
      </c>
      <c r="D101" s="2" t="s">
        <v>1109</v>
      </c>
      <c r="E101" s="2" t="s">
        <v>1110</v>
      </c>
      <c r="G101" s="3" t="s">
        <v>63</v>
      </c>
      <c r="I101" s="3" t="s">
        <v>63</v>
      </c>
      <c r="J101" s="3" t="s">
        <v>63</v>
      </c>
      <c r="K101" s="3" t="s">
        <v>64</v>
      </c>
      <c r="L101" s="2" t="s">
        <v>1111</v>
      </c>
      <c r="M101" s="2" t="s">
        <v>1112</v>
      </c>
      <c r="N101" s="3" t="s">
        <v>1113</v>
      </c>
      <c r="P101" s="3" t="s">
        <v>66</v>
      </c>
      <c r="R101" s="3" t="s">
        <v>67</v>
      </c>
      <c r="S101" s="4">
        <v>2</v>
      </c>
      <c r="T101" s="4">
        <v>2</v>
      </c>
      <c r="U101" s="5" t="s">
        <v>1114</v>
      </c>
      <c r="V101" s="5" t="s">
        <v>1114</v>
      </c>
      <c r="W101" s="5" t="s">
        <v>69</v>
      </c>
      <c r="X101" s="5" t="s">
        <v>69</v>
      </c>
      <c r="Y101" s="4">
        <v>135</v>
      </c>
      <c r="Z101" s="4">
        <v>6</v>
      </c>
      <c r="AA101" s="4">
        <v>6</v>
      </c>
      <c r="AB101" s="4">
        <v>1</v>
      </c>
      <c r="AC101" s="4">
        <v>1</v>
      </c>
      <c r="AD101" s="4">
        <v>52</v>
      </c>
      <c r="AE101" s="4">
        <v>52</v>
      </c>
      <c r="AF101" s="4">
        <v>0</v>
      </c>
      <c r="AG101" s="4">
        <v>0</v>
      </c>
      <c r="AH101" s="4">
        <v>50</v>
      </c>
      <c r="AI101" s="4">
        <v>50</v>
      </c>
      <c r="AJ101" s="4">
        <v>3</v>
      </c>
      <c r="AK101" s="4">
        <v>3</v>
      </c>
      <c r="AL101" s="4">
        <v>32</v>
      </c>
      <c r="AM101" s="4">
        <v>32</v>
      </c>
      <c r="AN101" s="4">
        <v>0</v>
      </c>
      <c r="AO101" s="4">
        <v>0</v>
      </c>
      <c r="AP101" s="4">
        <v>3</v>
      </c>
      <c r="AQ101" s="4">
        <v>3</v>
      </c>
      <c r="AR101" s="3" t="s">
        <v>63</v>
      </c>
      <c r="AS101" s="3" t="s">
        <v>63</v>
      </c>
      <c r="AT101" s="3" t="s">
        <v>62</v>
      </c>
      <c r="AU101" s="6" t="str">
        <f>HYPERLINK("http://catalog.hathitrust.org/Record/004726453","HathiTrust Record")</f>
        <v>HathiTrust Record</v>
      </c>
      <c r="AV101" s="6" t="str">
        <f>HYPERLINK("http://mcgill.on.worldcat.org/oclc/37011254","Catalog Record")</f>
        <v>Catalog Record</v>
      </c>
      <c r="AW101" s="6" t="str">
        <f>HYPERLINK("http://www.worldcat.org/oclc/37011254","WorldCat Record")</f>
        <v>WorldCat Record</v>
      </c>
      <c r="AX101" s="3" t="s">
        <v>1115</v>
      </c>
      <c r="AY101" s="3" t="s">
        <v>1116</v>
      </c>
      <c r="AZ101" s="3" t="s">
        <v>1117</v>
      </c>
      <c r="BA101" s="3" t="s">
        <v>1117</v>
      </c>
      <c r="BB101" s="3" t="s">
        <v>1118</v>
      </c>
      <c r="BC101" s="3" t="s">
        <v>82</v>
      </c>
      <c r="BD101" s="3" t="s">
        <v>70</v>
      </c>
      <c r="BE101" s="3" t="s">
        <v>1119</v>
      </c>
      <c r="BF101" s="3" t="s">
        <v>1118</v>
      </c>
      <c r="BG101" s="3" t="s">
        <v>1120</v>
      </c>
    </row>
    <row r="102" spans="1:59" ht="60" x14ac:dyDescent="0.25">
      <c r="A102" s="2" t="s">
        <v>59</v>
      </c>
      <c r="B102" s="2" t="s">
        <v>60</v>
      </c>
      <c r="C102" s="2" t="s">
        <v>1121</v>
      </c>
      <c r="D102" s="2" t="s">
        <v>1122</v>
      </c>
      <c r="E102" s="2" t="s">
        <v>1123</v>
      </c>
      <c r="G102" s="3" t="s">
        <v>63</v>
      </c>
      <c r="I102" s="3" t="s">
        <v>63</v>
      </c>
      <c r="J102" s="3" t="s">
        <v>63</v>
      </c>
      <c r="K102" s="3" t="s">
        <v>64</v>
      </c>
      <c r="L102" s="2" t="s">
        <v>1124</v>
      </c>
      <c r="M102" s="2" t="s">
        <v>1125</v>
      </c>
      <c r="N102" s="3" t="s">
        <v>693</v>
      </c>
      <c r="O102" s="2" t="s">
        <v>1126</v>
      </c>
      <c r="P102" s="3" t="s">
        <v>66</v>
      </c>
      <c r="Q102" s="2" t="s">
        <v>1127</v>
      </c>
      <c r="R102" s="3" t="s">
        <v>67</v>
      </c>
      <c r="S102" s="4">
        <v>2</v>
      </c>
      <c r="T102" s="4">
        <v>2</v>
      </c>
      <c r="U102" s="5" t="s">
        <v>1128</v>
      </c>
      <c r="V102" s="5" t="s">
        <v>1128</v>
      </c>
      <c r="W102" s="5" t="s">
        <v>69</v>
      </c>
      <c r="X102" s="5" t="s">
        <v>69</v>
      </c>
      <c r="Y102" s="4">
        <v>183</v>
      </c>
      <c r="Z102" s="4">
        <v>5</v>
      </c>
      <c r="AA102" s="4">
        <v>7</v>
      </c>
      <c r="AB102" s="4">
        <v>1</v>
      </c>
      <c r="AC102" s="4">
        <v>1</v>
      </c>
      <c r="AD102" s="4">
        <v>62</v>
      </c>
      <c r="AE102" s="4">
        <v>63</v>
      </c>
      <c r="AF102" s="4">
        <v>0</v>
      </c>
      <c r="AG102" s="4">
        <v>0</v>
      </c>
      <c r="AH102" s="4">
        <v>59</v>
      </c>
      <c r="AI102" s="4">
        <v>60</v>
      </c>
      <c r="AJ102" s="4">
        <v>1</v>
      </c>
      <c r="AK102" s="4">
        <v>2</v>
      </c>
      <c r="AL102" s="4">
        <v>38</v>
      </c>
      <c r="AM102" s="4">
        <v>39</v>
      </c>
      <c r="AN102" s="4">
        <v>0</v>
      </c>
      <c r="AO102" s="4">
        <v>0</v>
      </c>
      <c r="AP102" s="4">
        <v>2</v>
      </c>
      <c r="AQ102" s="4">
        <v>3</v>
      </c>
      <c r="AR102" s="3" t="s">
        <v>63</v>
      </c>
      <c r="AS102" s="3" t="s">
        <v>63</v>
      </c>
      <c r="AT102" s="3" t="s">
        <v>62</v>
      </c>
      <c r="AU102" s="6" t="str">
        <f>HYPERLINK("http://catalog.hathitrust.org/Record/007145265","HathiTrust Record")</f>
        <v>HathiTrust Record</v>
      </c>
      <c r="AV102" s="6" t="str">
        <f>HYPERLINK("http://mcgill.on.worldcat.org/oclc/55625557","Catalog Record")</f>
        <v>Catalog Record</v>
      </c>
      <c r="AW102" s="6" t="str">
        <f>HYPERLINK("http://www.worldcat.org/oclc/55625557","WorldCat Record")</f>
        <v>WorldCat Record</v>
      </c>
      <c r="AX102" s="3" t="s">
        <v>1129</v>
      </c>
      <c r="AY102" s="3" t="s">
        <v>1130</v>
      </c>
      <c r="AZ102" s="3" t="s">
        <v>1131</v>
      </c>
      <c r="BA102" s="3" t="s">
        <v>1131</v>
      </c>
      <c r="BB102" s="3" t="s">
        <v>1132</v>
      </c>
      <c r="BC102" s="3" t="s">
        <v>82</v>
      </c>
      <c r="BD102" s="3" t="s">
        <v>70</v>
      </c>
      <c r="BE102" s="3" t="s">
        <v>1133</v>
      </c>
      <c r="BF102" s="3" t="s">
        <v>1132</v>
      </c>
      <c r="BG102" s="3" t="s">
        <v>1134</v>
      </c>
    </row>
    <row r="103" spans="1:59" ht="60" x14ac:dyDescent="0.25">
      <c r="A103" s="2" t="s">
        <v>59</v>
      </c>
      <c r="B103" s="2" t="s">
        <v>60</v>
      </c>
      <c r="C103" s="2" t="s">
        <v>1135</v>
      </c>
      <c r="D103" s="2" t="s">
        <v>1136</v>
      </c>
      <c r="E103" s="2" t="s">
        <v>1137</v>
      </c>
      <c r="G103" s="3" t="s">
        <v>63</v>
      </c>
      <c r="I103" s="3" t="s">
        <v>62</v>
      </c>
      <c r="J103" s="3" t="s">
        <v>63</v>
      </c>
      <c r="K103" s="3" t="s">
        <v>64</v>
      </c>
      <c r="L103" s="2" t="s">
        <v>1138</v>
      </c>
      <c r="M103" s="2" t="s">
        <v>1139</v>
      </c>
      <c r="N103" s="3" t="s">
        <v>161</v>
      </c>
      <c r="O103" s="2" t="s">
        <v>590</v>
      </c>
      <c r="P103" s="3" t="s">
        <v>66</v>
      </c>
      <c r="R103" s="3" t="s">
        <v>67</v>
      </c>
      <c r="S103" s="4">
        <v>6</v>
      </c>
      <c r="T103" s="4">
        <v>6</v>
      </c>
      <c r="U103" s="5" t="s">
        <v>1140</v>
      </c>
      <c r="V103" s="5" t="s">
        <v>1140</v>
      </c>
      <c r="W103" s="5" t="s">
        <v>69</v>
      </c>
      <c r="X103" s="5" t="s">
        <v>69</v>
      </c>
      <c r="Y103" s="4">
        <v>296</v>
      </c>
      <c r="Z103" s="4">
        <v>13</v>
      </c>
      <c r="AA103" s="4">
        <v>19</v>
      </c>
      <c r="AB103" s="4">
        <v>1</v>
      </c>
      <c r="AC103" s="4">
        <v>3</v>
      </c>
      <c r="AD103" s="4">
        <v>90</v>
      </c>
      <c r="AE103" s="4">
        <v>105</v>
      </c>
      <c r="AF103" s="4">
        <v>0</v>
      </c>
      <c r="AG103" s="4">
        <v>0</v>
      </c>
      <c r="AH103" s="4">
        <v>83</v>
      </c>
      <c r="AI103" s="4">
        <v>97</v>
      </c>
      <c r="AJ103" s="4">
        <v>8</v>
      </c>
      <c r="AK103" s="4">
        <v>12</v>
      </c>
      <c r="AL103" s="4">
        <v>51</v>
      </c>
      <c r="AM103" s="4">
        <v>55</v>
      </c>
      <c r="AN103" s="4">
        <v>0</v>
      </c>
      <c r="AO103" s="4">
        <v>0</v>
      </c>
      <c r="AP103" s="4">
        <v>10</v>
      </c>
      <c r="AQ103" s="4">
        <v>14</v>
      </c>
      <c r="AR103" s="3" t="s">
        <v>63</v>
      </c>
      <c r="AS103" s="3" t="s">
        <v>63</v>
      </c>
      <c r="AT103" s="3" t="s">
        <v>63</v>
      </c>
      <c r="AV103" s="6" t="str">
        <f>HYPERLINK("http://mcgill.on.worldcat.org/oclc/18715784","Catalog Record")</f>
        <v>Catalog Record</v>
      </c>
      <c r="AW103" s="6" t="str">
        <f>HYPERLINK("http://www.worldcat.org/oclc/18715784","WorldCat Record")</f>
        <v>WorldCat Record</v>
      </c>
      <c r="AX103" s="3" t="s">
        <v>1141</v>
      </c>
      <c r="AY103" s="3" t="s">
        <v>1142</v>
      </c>
      <c r="AZ103" s="3" t="s">
        <v>1143</v>
      </c>
      <c r="BA103" s="3" t="s">
        <v>1143</v>
      </c>
      <c r="BB103" s="3" t="s">
        <v>1144</v>
      </c>
      <c r="BC103" s="3" t="s">
        <v>82</v>
      </c>
      <c r="BD103" s="3" t="s">
        <v>70</v>
      </c>
      <c r="BE103" s="3" t="s">
        <v>1145</v>
      </c>
      <c r="BF103" s="3" t="s">
        <v>1144</v>
      </c>
      <c r="BG103" s="3" t="s">
        <v>1146</v>
      </c>
    </row>
    <row r="104" spans="1:59" ht="60" x14ac:dyDescent="0.25">
      <c r="A104" s="2" t="s">
        <v>59</v>
      </c>
      <c r="B104" s="2" t="s">
        <v>60</v>
      </c>
      <c r="C104" s="2" t="s">
        <v>1147</v>
      </c>
      <c r="D104" s="2" t="s">
        <v>1148</v>
      </c>
      <c r="E104" s="2" t="s">
        <v>1149</v>
      </c>
      <c r="G104" s="3" t="s">
        <v>63</v>
      </c>
      <c r="I104" s="3" t="s">
        <v>62</v>
      </c>
      <c r="J104" s="3" t="s">
        <v>63</v>
      </c>
      <c r="K104" s="3" t="s">
        <v>64</v>
      </c>
      <c r="L104" s="2" t="s">
        <v>1138</v>
      </c>
      <c r="M104" s="2" t="s">
        <v>1150</v>
      </c>
      <c r="N104" s="3" t="s">
        <v>814</v>
      </c>
      <c r="O104" s="2" t="s">
        <v>590</v>
      </c>
      <c r="P104" s="3" t="s">
        <v>66</v>
      </c>
      <c r="R104" s="3" t="s">
        <v>67</v>
      </c>
      <c r="S104" s="4">
        <v>10</v>
      </c>
      <c r="T104" s="4">
        <v>10</v>
      </c>
      <c r="U104" s="5" t="s">
        <v>1151</v>
      </c>
      <c r="V104" s="5" t="s">
        <v>1151</v>
      </c>
      <c r="W104" s="5" t="s">
        <v>69</v>
      </c>
      <c r="X104" s="5" t="s">
        <v>69</v>
      </c>
      <c r="Y104" s="4">
        <v>218</v>
      </c>
      <c r="Z104" s="4">
        <v>10</v>
      </c>
      <c r="AA104" s="4">
        <v>28</v>
      </c>
      <c r="AB104" s="4">
        <v>1</v>
      </c>
      <c r="AC104" s="4">
        <v>2</v>
      </c>
      <c r="AD104" s="4">
        <v>67</v>
      </c>
      <c r="AE104" s="4">
        <v>120</v>
      </c>
      <c r="AF104" s="4">
        <v>0</v>
      </c>
      <c r="AG104" s="4">
        <v>0</v>
      </c>
      <c r="AH104" s="4">
        <v>63</v>
      </c>
      <c r="AI104" s="4">
        <v>103</v>
      </c>
      <c r="AJ104" s="4">
        <v>8</v>
      </c>
      <c r="AK104" s="4">
        <v>13</v>
      </c>
      <c r="AL104" s="4">
        <v>35</v>
      </c>
      <c r="AM104" s="4">
        <v>57</v>
      </c>
      <c r="AN104" s="4">
        <v>0</v>
      </c>
      <c r="AO104" s="4">
        <v>0</v>
      </c>
      <c r="AP104" s="4">
        <v>8</v>
      </c>
      <c r="AQ104" s="4">
        <v>21</v>
      </c>
      <c r="AR104" s="3" t="s">
        <v>63</v>
      </c>
      <c r="AS104" s="3" t="s">
        <v>63</v>
      </c>
      <c r="AT104" s="3" t="s">
        <v>62</v>
      </c>
      <c r="AU104" s="6" t="str">
        <f>HYPERLINK("http://catalog.hathitrust.org/Record/000749053","HathiTrust Record")</f>
        <v>HathiTrust Record</v>
      </c>
      <c r="AV104" s="6" t="str">
        <f>HYPERLINK("http://mcgill.on.worldcat.org/oclc/3327596","Catalog Record")</f>
        <v>Catalog Record</v>
      </c>
      <c r="AW104" s="6" t="str">
        <f>HYPERLINK("http://www.worldcat.org/oclc/3327596","WorldCat Record")</f>
        <v>WorldCat Record</v>
      </c>
      <c r="AX104" s="3" t="s">
        <v>1152</v>
      </c>
      <c r="AY104" s="3" t="s">
        <v>1153</v>
      </c>
      <c r="AZ104" s="3" t="s">
        <v>1154</v>
      </c>
      <c r="BA104" s="3" t="s">
        <v>1154</v>
      </c>
      <c r="BB104" s="3" t="s">
        <v>1155</v>
      </c>
      <c r="BC104" s="3" t="s">
        <v>82</v>
      </c>
      <c r="BD104" s="3" t="s">
        <v>70</v>
      </c>
      <c r="BE104" s="3" t="s">
        <v>1156</v>
      </c>
      <c r="BF104" s="3" t="s">
        <v>1155</v>
      </c>
      <c r="BG104" s="3" t="s">
        <v>1157</v>
      </c>
    </row>
    <row r="105" spans="1:59" ht="60" x14ac:dyDescent="0.25">
      <c r="A105" s="2" t="s">
        <v>59</v>
      </c>
      <c r="B105" s="2" t="s">
        <v>60</v>
      </c>
      <c r="C105" s="2" t="s">
        <v>1158</v>
      </c>
      <c r="D105" s="2" t="s">
        <v>1159</v>
      </c>
      <c r="E105" s="2" t="s">
        <v>1160</v>
      </c>
      <c r="G105" s="3" t="s">
        <v>63</v>
      </c>
      <c r="I105" s="3" t="s">
        <v>63</v>
      </c>
      <c r="J105" s="3" t="s">
        <v>63</v>
      </c>
      <c r="K105" s="3" t="s">
        <v>64</v>
      </c>
      <c r="L105" s="2" t="s">
        <v>1138</v>
      </c>
      <c r="M105" s="2" t="s">
        <v>1161</v>
      </c>
      <c r="N105" s="3" t="s">
        <v>374</v>
      </c>
      <c r="P105" s="3" t="s">
        <v>66</v>
      </c>
      <c r="R105" s="3" t="s">
        <v>67</v>
      </c>
      <c r="S105" s="4">
        <v>12</v>
      </c>
      <c r="T105" s="4">
        <v>12</v>
      </c>
      <c r="U105" s="5" t="s">
        <v>1162</v>
      </c>
      <c r="V105" s="5" t="s">
        <v>1162</v>
      </c>
      <c r="W105" s="5" t="s">
        <v>69</v>
      </c>
      <c r="X105" s="5" t="s">
        <v>69</v>
      </c>
      <c r="Y105" s="4">
        <v>227</v>
      </c>
      <c r="Z105" s="4">
        <v>12</v>
      </c>
      <c r="AA105" s="4">
        <v>12</v>
      </c>
      <c r="AB105" s="4">
        <v>1</v>
      </c>
      <c r="AC105" s="4">
        <v>1</v>
      </c>
      <c r="AD105" s="4">
        <v>92</v>
      </c>
      <c r="AE105" s="4">
        <v>93</v>
      </c>
      <c r="AF105" s="4">
        <v>0</v>
      </c>
      <c r="AG105" s="4">
        <v>0</v>
      </c>
      <c r="AH105" s="4">
        <v>86</v>
      </c>
      <c r="AI105" s="4">
        <v>87</v>
      </c>
      <c r="AJ105" s="4">
        <v>10</v>
      </c>
      <c r="AK105" s="4">
        <v>10</v>
      </c>
      <c r="AL105" s="4">
        <v>52</v>
      </c>
      <c r="AM105" s="4">
        <v>53</v>
      </c>
      <c r="AN105" s="4">
        <v>0</v>
      </c>
      <c r="AO105" s="4">
        <v>0</v>
      </c>
      <c r="AP105" s="4">
        <v>10</v>
      </c>
      <c r="AQ105" s="4">
        <v>10</v>
      </c>
      <c r="AR105" s="3" t="s">
        <v>63</v>
      </c>
      <c r="AS105" s="3" t="s">
        <v>63</v>
      </c>
      <c r="AT105" s="3" t="s">
        <v>63</v>
      </c>
      <c r="AV105" s="6" t="str">
        <f>HYPERLINK("http://mcgill.on.worldcat.org/oclc/31075113","Catalog Record")</f>
        <v>Catalog Record</v>
      </c>
      <c r="AW105" s="6" t="str">
        <f>HYPERLINK("http://www.worldcat.org/oclc/31075113","WorldCat Record")</f>
        <v>WorldCat Record</v>
      </c>
      <c r="AX105" s="3" t="s">
        <v>1163</v>
      </c>
      <c r="AY105" s="3" t="s">
        <v>1164</v>
      </c>
      <c r="AZ105" s="3" t="s">
        <v>1165</v>
      </c>
      <c r="BA105" s="3" t="s">
        <v>1165</v>
      </c>
      <c r="BB105" s="3" t="s">
        <v>1166</v>
      </c>
      <c r="BC105" s="3" t="s">
        <v>82</v>
      </c>
      <c r="BD105" s="3" t="s">
        <v>70</v>
      </c>
      <c r="BE105" s="3" t="s">
        <v>1167</v>
      </c>
      <c r="BF105" s="3" t="s">
        <v>1166</v>
      </c>
      <c r="BG105" s="3" t="s">
        <v>1168</v>
      </c>
    </row>
    <row r="106" spans="1:59" ht="60" x14ac:dyDescent="0.25">
      <c r="A106" s="2" t="s">
        <v>59</v>
      </c>
      <c r="B106" s="2" t="s">
        <v>60</v>
      </c>
      <c r="C106" s="2" t="s">
        <v>1169</v>
      </c>
      <c r="D106" s="2" t="s">
        <v>1170</v>
      </c>
      <c r="E106" s="2" t="s">
        <v>1171</v>
      </c>
      <c r="G106" s="3" t="s">
        <v>63</v>
      </c>
      <c r="I106" s="3" t="s">
        <v>63</v>
      </c>
      <c r="J106" s="3" t="s">
        <v>63</v>
      </c>
      <c r="K106" s="3" t="s">
        <v>64</v>
      </c>
      <c r="L106" s="2" t="s">
        <v>1138</v>
      </c>
      <c r="M106" s="2" t="s">
        <v>1172</v>
      </c>
      <c r="N106" s="3" t="s">
        <v>76</v>
      </c>
      <c r="O106" s="2" t="s">
        <v>590</v>
      </c>
      <c r="P106" s="3" t="s">
        <v>66</v>
      </c>
      <c r="R106" s="3" t="s">
        <v>67</v>
      </c>
      <c r="S106" s="4">
        <v>2</v>
      </c>
      <c r="T106" s="4">
        <v>2</v>
      </c>
      <c r="U106" s="5" t="s">
        <v>1173</v>
      </c>
      <c r="V106" s="5" t="s">
        <v>1173</v>
      </c>
      <c r="W106" s="5" t="s">
        <v>69</v>
      </c>
      <c r="X106" s="5" t="s">
        <v>69</v>
      </c>
      <c r="Y106" s="4">
        <v>154</v>
      </c>
      <c r="Z106" s="4">
        <v>12</v>
      </c>
      <c r="AA106" s="4">
        <v>23</v>
      </c>
      <c r="AB106" s="4">
        <v>1</v>
      </c>
      <c r="AC106" s="4">
        <v>3</v>
      </c>
      <c r="AD106" s="4">
        <v>54</v>
      </c>
      <c r="AE106" s="4">
        <v>58</v>
      </c>
      <c r="AF106" s="4">
        <v>0</v>
      </c>
      <c r="AG106" s="4">
        <v>0</v>
      </c>
      <c r="AH106" s="4">
        <v>51</v>
      </c>
      <c r="AI106" s="4">
        <v>54</v>
      </c>
      <c r="AJ106" s="4">
        <v>6</v>
      </c>
      <c r="AK106" s="4">
        <v>6</v>
      </c>
      <c r="AL106" s="4">
        <v>32</v>
      </c>
      <c r="AM106" s="4">
        <v>34</v>
      </c>
      <c r="AN106" s="4">
        <v>0</v>
      </c>
      <c r="AO106" s="4">
        <v>0</v>
      </c>
      <c r="AP106" s="4">
        <v>7</v>
      </c>
      <c r="AQ106" s="4">
        <v>8</v>
      </c>
      <c r="AR106" s="3" t="s">
        <v>63</v>
      </c>
      <c r="AS106" s="3" t="s">
        <v>63</v>
      </c>
      <c r="AT106" s="3" t="s">
        <v>63</v>
      </c>
      <c r="AV106" s="6" t="str">
        <f>HYPERLINK("http://mcgill.on.worldcat.org/oclc/767564365","Catalog Record")</f>
        <v>Catalog Record</v>
      </c>
      <c r="AW106" s="6" t="str">
        <f>HYPERLINK("http://www.worldcat.org/oclc/767564365","WorldCat Record")</f>
        <v>WorldCat Record</v>
      </c>
      <c r="AX106" s="3" t="s">
        <v>1174</v>
      </c>
      <c r="AY106" s="3" t="s">
        <v>1175</v>
      </c>
      <c r="AZ106" s="3" t="s">
        <v>1176</v>
      </c>
      <c r="BA106" s="3" t="s">
        <v>1176</v>
      </c>
      <c r="BB106" s="3" t="s">
        <v>1177</v>
      </c>
      <c r="BC106" s="3" t="s">
        <v>82</v>
      </c>
      <c r="BD106" s="3" t="s">
        <v>70</v>
      </c>
      <c r="BE106" s="3" t="s">
        <v>1178</v>
      </c>
      <c r="BF106" s="3" t="s">
        <v>1177</v>
      </c>
      <c r="BG106" s="3" t="s">
        <v>1179</v>
      </c>
    </row>
    <row r="107" spans="1:59" ht="60" x14ac:dyDescent="0.25">
      <c r="A107" s="2" t="s">
        <v>59</v>
      </c>
      <c r="B107" s="2" t="s">
        <v>60</v>
      </c>
      <c r="C107" s="2" t="s">
        <v>1180</v>
      </c>
      <c r="D107" s="2" t="s">
        <v>1181</v>
      </c>
      <c r="E107" s="2" t="s">
        <v>1182</v>
      </c>
      <c r="G107" s="3" t="s">
        <v>63</v>
      </c>
      <c r="I107" s="3" t="s">
        <v>63</v>
      </c>
      <c r="J107" s="3" t="s">
        <v>63</v>
      </c>
      <c r="K107" s="3" t="s">
        <v>64</v>
      </c>
      <c r="L107" s="2" t="s">
        <v>1138</v>
      </c>
      <c r="M107" s="2" t="s">
        <v>1172</v>
      </c>
      <c r="N107" s="3" t="s">
        <v>76</v>
      </c>
      <c r="O107" s="2" t="s">
        <v>590</v>
      </c>
      <c r="P107" s="3" t="s">
        <v>66</v>
      </c>
      <c r="R107" s="3" t="s">
        <v>67</v>
      </c>
      <c r="S107" s="4">
        <v>2</v>
      </c>
      <c r="T107" s="4">
        <v>2</v>
      </c>
      <c r="U107" s="5" t="s">
        <v>302</v>
      </c>
      <c r="V107" s="5" t="s">
        <v>302</v>
      </c>
      <c r="W107" s="5" t="s">
        <v>69</v>
      </c>
      <c r="X107" s="5" t="s">
        <v>69</v>
      </c>
      <c r="Y107" s="4">
        <v>99</v>
      </c>
      <c r="Z107" s="4">
        <v>9</v>
      </c>
      <c r="AA107" s="4">
        <v>20</v>
      </c>
      <c r="AB107" s="4">
        <v>1</v>
      </c>
      <c r="AC107" s="4">
        <v>3</v>
      </c>
      <c r="AD107" s="4">
        <v>52</v>
      </c>
      <c r="AE107" s="4">
        <v>57</v>
      </c>
      <c r="AF107" s="4">
        <v>0</v>
      </c>
      <c r="AG107" s="4">
        <v>0</v>
      </c>
      <c r="AH107" s="4">
        <v>50</v>
      </c>
      <c r="AI107" s="4">
        <v>54</v>
      </c>
      <c r="AJ107" s="4">
        <v>6</v>
      </c>
      <c r="AK107" s="4">
        <v>6</v>
      </c>
      <c r="AL107" s="4">
        <v>32</v>
      </c>
      <c r="AM107" s="4">
        <v>34</v>
      </c>
      <c r="AN107" s="4">
        <v>0</v>
      </c>
      <c r="AO107" s="4">
        <v>0</v>
      </c>
      <c r="AP107" s="4">
        <v>6</v>
      </c>
      <c r="AQ107" s="4">
        <v>7</v>
      </c>
      <c r="AR107" s="3" t="s">
        <v>63</v>
      </c>
      <c r="AS107" s="3" t="s">
        <v>63</v>
      </c>
      <c r="AT107" s="3" t="s">
        <v>63</v>
      </c>
      <c r="AV107" s="6" t="str">
        <f>HYPERLINK("http://mcgill.on.worldcat.org/oclc/767564355","Catalog Record")</f>
        <v>Catalog Record</v>
      </c>
      <c r="AW107" s="6" t="str">
        <f>HYPERLINK("http://www.worldcat.org/oclc/767564355","WorldCat Record")</f>
        <v>WorldCat Record</v>
      </c>
      <c r="AX107" s="3" t="s">
        <v>1183</v>
      </c>
      <c r="AY107" s="3" t="s">
        <v>1184</v>
      </c>
      <c r="AZ107" s="3" t="s">
        <v>1185</v>
      </c>
      <c r="BA107" s="3" t="s">
        <v>1185</v>
      </c>
      <c r="BB107" s="3" t="s">
        <v>1186</v>
      </c>
      <c r="BC107" s="3" t="s">
        <v>82</v>
      </c>
      <c r="BD107" s="3" t="s">
        <v>70</v>
      </c>
      <c r="BE107" s="3" t="s">
        <v>1187</v>
      </c>
      <c r="BF107" s="3" t="s">
        <v>1186</v>
      </c>
      <c r="BG107" s="3" t="s">
        <v>1188</v>
      </c>
    </row>
    <row r="108" spans="1:59" ht="60" x14ac:dyDescent="0.25">
      <c r="A108" s="2" t="s">
        <v>59</v>
      </c>
      <c r="B108" s="2" t="s">
        <v>60</v>
      </c>
      <c r="C108" s="2" t="s">
        <v>1189</v>
      </c>
      <c r="D108" s="2" t="s">
        <v>1190</v>
      </c>
      <c r="E108" s="2" t="s">
        <v>1191</v>
      </c>
      <c r="G108" s="3" t="s">
        <v>63</v>
      </c>
      <c r="I108" s="3" t="s">
        <v>62</v>
      </c>
      <c r="J108" s="3" t="s">
        <v>63</v>
      </c>
      <c r="K108" s="3" t="s">
        <v>64</v>
      </c>
      <c r="L108" s="2" t="s">
        <v>1138</v>
      </c>
      <c r="M108" s="2" t="s">
        <v>1192</v>
      </c>
      <c r="N108" s="3" t="s">
        <v>668</v>
      </c>
      <c r="O108" s="2" t="s">
        <v>590</v>
      </c>
      <c r="P108" s="3" t="s">
        <v>66</v>
      </c>
      <c r="R108" s="3" t="s">
        <v>67</v>
      </c>
      <c r="S108" s="4">
        <v>16</v>
      </c>
      <c r="T108" s="4">
        <v>16</v>
      </c>
      <c r="U108" s="5" t="s">
        <v>1193</v>
      </c>
      <c r="V108" s="5" t="s">
        <v>1193</v>
      </c>
      <c r="W108" s="5" t="s">
        <v>69</v>
      </c>
      <c r="X108" s="5" t="s">
        <v>69</v>
      </c>
      <c r="Y108" s="4">
        <v>445</v>
      </c>
      <c r="Z108" s="4">
        <v>21</v>
      </c>
      <c r="AA108" s="4">
        <v>23</v>
      </c>
      <c r="AB108" s="4">
        <v>2</v>
      </c>
      <c r="AC108" s="4">
        <v>2</v>
      </c>
      <c r="AD108" s="4">
        <v>94</v>
      </c>
      <c r="AE108" s="4">
        <v>103</v>
      </c>
      <c r="AF108" s="4">
        <v>1</v>
      </c>
      <c r="AG108" s="4">
        <v>1</v>
      </c>
      <c r="AH108" s="4">
        <v>86</v>
      </c>
      <c r="AI108" s="4">
        <v>94</v>
      </c>
      <c r="AJ108" s="4">
        <v>11</v>
      </c>
      <c r="AK108" s="4">
        <v>12</v>
      </c>
      <c r="AL108" s="4">
        <v>49</v>
      </c>
      <c r="AM108" s="4">
        <v>55</v>
      </c>
      <c r="AN108" s="4">
        <v>0</v>
      </c>
      <c r="AO108" s="4">
        <v>0</v>
      </c>
      <c r="AP108" s="4">
        <v>12</v>
      </c>
      <c r="AQ108" s="4">
        <v>14</v>
      </c>
      <c r="AR108" s="3" t="s">
        <v>63</v>
      </c>
      <c r="AS108" s="3" t="s">
        <v>63</v>
      </c>
      <c r="AT108" s="3" t="s">
        <v>63</v>
      </c>
      <c r="AV108" s="6" t="str">
        <f>HYPERLINK("http://mcgill.on.worldcat.org/oclc/21563440","Catalog Record")</f>
        <v>Catalog Record</v>
      </c>
      <c r="AW108" s="6" t="str">
        <f>HYPERLINK("http://www.worldcat.org/oclc/21563440","WorldCat Record")</f>
        <v>WorldCat Record</v>
      </c>
      <c r="AX108" s="3" t="s">
        <v>1194</v>
      </c>
      <c r="AY108" s="3" t="s">
        <v>1195</v>
      </c>
      <c r="AZ108" s="3" t="s">
        <v>1196</v>
      </c>
      <c r="BA108" s="3" t="s">
        <v>1196</v>
      </c>
      <c r="BB108" s="3" t="s">
        <v>1197</v>
      </c>
      <c r="BC108" s="3" t="s">
        <v>82</v>
      </c>
      <c r="BD108" s="3" t="s">
        <v>70</v>
      </c>
      <c r="BE108" s="3" t="s">
        <v>1198</v>
      </c>
      <c r="BF108" s="3" t="s">
        <v>1197</v>
      </c>
      <c r="BG108" s="3" t="s">
        <v>1199</v>
      </c>
    </row>
    <row r="109" spans="1:59" ht="60" x14ac:dyDescent="0.25">
      <c r="A109" s="2" t="s">
        <v>59</v>
      </c>
      <c r="B109" s="2" t="s">
        <v>60</v>
      </c>
      <c r="C109" s="2" t="s">
        <v>1200</v>
      </c>
      <c r="D109" s="2" t="s">
        <v>1201</v>
      </c>
      <c r="E109" s="2" t="s">
        <v>1202</v>
      </c>
      <c r="G109" s="3" t="s">
        <v>63</v>
      </c>
      <c r="I109" s="3" t="s">
        <v>63</v>
      </c>
      <c r="J109" s="3" t="s">
        <v>63</v>
      </c>
      <c r="K109" s="3" t="s">
        <v>64</v>
      </c>
      <c r="L109" s="2" t="s">
        <v>1138</v>
      </c>
      <c r="M109" s="2" t="s">
        <v>1172</v>
      </c>
      <c r="N109" s="3" t="s">
        <v>76</v>
      </c>
      <c r="O109" s="2" t="s">
        <v>590</v>
      </c>
      <c r="P109" s="3" t="s">
        <v>66</v>
      </c>
      <c r="R109" s="3" t="s">
        <v>67</v>
      </c>
      <c r="S109" s="4">
        <v>3</v>
      </c>
      <c r="T109" s="4">
        <v>3</v>
      </c>
      <c r="U109" s="5" t="s">
        <v>1203</v>
      </c>
      <c r="V109" s="5" t="s">
        <v>1203</v>
      </c>
      <c r="W109" s="5" t="s">
        <v>69</v>
      </c>
      <c r="X109" s="5" t="s">
        <v>69</v>
      </c>
      <c r="Y109" s="4">
        <v>137</v>
      </c>
      <c r="Z109" s="4">
        <v>11</v>
      </c>
      <c r="AA109" s="4">
        <v>22</v>
      </c>
      <c r="AB109" s="4">
        <v>1</v>
      </c>
      <c r="AC109" s="4">
        <v>3</v>
      </c>
      <c r="AD109" s="4">
        <v>51</v>
      </c>
      <c r="AE109" s="4">
        <v>56</v>
      </c>
      <c r="AF109" s="4">
        <v>0</v>
      </c>
      <c r="AG109" s="4">
        <v>0</v>
      </c>
      <c r="AH109" s="4">
        <v>50</v>
      </c>
      <c r="AI109" s="4">
        <v>54</v>
      </c>
      <c r="AJ109" s="4">
        <v>6</v>
      </c>
      <c r="AK109" s="4">
        <v>6</v>
      </c>
      <c r="AL109" s="4">
        <v>30</v>
      </c>
      <c r="AM109" s="4">
        <v>33</v>
      </c>
      <c r="AN109" s="4">
        <v>0</v>
      </c>
      <c r="AO109" s="4">
        <v>0</v>
      </c>
      <c r="AP109" s="4">
        <v>6</v>
      </c>
      <c r="AQ109" s="4">
        <v>7</v>
      </c>
      <c r="AR109" s="3" t="s">
        <v>63</v>
      </c>
      <c r="AS109" s="3" t="s">
        <v>63</v>
      </c>
      <c r="AT109" s="3" t="s">
        <v>63</v>
      </c>
      <c r="AV109" s="6" t="str">
        <f>HYPERLINK("http://mcgill.on.worldcat.org/oclc/767564404","Catalog Record")</f>
        <v>Catalog Record</v>
      </c>
      <c r="AW109" s="6" t="str">
        <f>HYPERLINK("http://www.worldcat.org/oclc/767564404","WorldCat Record")</f>
        <v>WorldCat Record</v>
      </c>
      <c r="AX109" s="3" t="s">
        <v>1204</v>
      </c>
      <c r="AY109" s="3" t="s">
        <v>1205</v>
      </c>
      <c r="AZ109" s="3" t="s">
        <v>1206</v>
      </c>
      <c r="BA109" s="3" t="s">
        <v>1206</v>
      </c>
      <c r="BB109" s="3" t="s">
        <v>1207</v>
      </c>
      <c r="BC109" s="3" t="s">
        <v>82</v>
      </c>
      <c r="BD109" s="3" t="s">
        <v>70</v>
      </c>
      <c r="BE109" s="3" t="s">
        <v>1208</v>
      </c>
      <c r="BF109" s="3" t="s">
        <v>1207</v>
      </c>
      <c r="BG109" s="3" t="s">
        <v>1209</v>
      </c>
    </row>
    <row r="110" spans="1:59" ht="60" x14ac:dyDescent="0.25">
      <c r="A110" s="2" t="s">
        <v>59</v>
      </c>
      <c r="B110" s="2" t="s">
        <v>60</v>
      </c>
      <c r="C110" s="2" t="s">
        <v>1210</v>
      </c>
      <c r="D110" s="2" t="s">
        <v>1211</v>
      </c>
      <c r="E110" s="2" t="s">
        <v>1212</v>
      </c>
      <c r="G110" s="3" t="s">
        <v>63</v>
      </c>
      <c r="I110" s="3" t="s">
        <v>63</v>
      </c>
      <c r="J110" s="3" t="s">
        <v>63</v>
      </c>
      <c r="K110" s="3" t="s">
        <v>64</v>
      </c>
      <c r="L110" s="2" t="s">
        <v>1213</v>
      </c>
      <c r="M110" s="2" t="s">
        <v>1214</v>
      </c>
      <c r="N110" s="3" t="s">
        <v>130</v>
      </c>
      <c r="P110" s="3" t="s">
        <v>66</v>
      </c>
      <c r="R110" s="3" t="s">
        <v>67</v>
      </c>
      <c r="S110" s="4">
        <v>1</v>
      </c>
      <c r="T110" s="4">
        <v>1</v>
      </c>
      <c r="W110" s="5" t="s">
        <v>69</v>
      </c>
      <c r="X110" s="5" t="s">
        <v>69</v>
      </c>
      <c r="Y110" s="4">
        <v>248</v>
      </c>
      <c r="Z110" s="4">
        <v>16</v>
      </c>
      <c r="AA110" s="4">
        <v>16</v>
      </c>
      <c r="AB110" s="4">
        <v>1</v>
      </c>
      <c r="AC110" s="4">
        <v>1</v>
      </c>
      <c r="AD110" s="4">
        <v>81</v>
      </c>
      <c r="AE110" s="4">
        <v>81</v>
      </c>
      <c r="AF110" s="4">
        <v>0</v>
      </c>
      <c r="AG110" s="4">
        <v>0</v>
      </c>
      <c r="AH110" s="4">
        <v>77</v>
      </c>
      <c r="AI110" s="4">
        <v>77</v>
      </c>
      <c r="AJ110" s="4">
        <v>8</v>
      </c>
      <c r="AK110" s="4">
        <v>8</v>
      </c>
      <c r="AL110" s="4">
        <v>50</v>
      </c>
      <c r="AM110" s="4">
        <v>50</v>
      </c>
      <c r="AN110" s="4">
        <v>0</v>
      </c>
      <c r="AO110" s="4">
        <v>0</v>
      </c>
      <c r="AP110" s="4">
        <v>10</v>
      </c>
      <c r="AQ110" s="4">
        <v>10</v>
      </c>
      <c r="AR110" s="3" t="s">
        <v>63</v>
      </c>
      <c r="AS110" s="3" t="s">
        <v>63</v>
      </c>
      <c r="AT110" s="3" t="s">
        <v>63</v>
      </c>
      <c r="AV110" s="6" t="str">
        <f>HYPERLINK("http://mcgill.on.worldcat.org/oclc/799253446","Catalog Record")</f>
        <v>Catalog Record</v>
      </c>
      <c r="AW110" s="6" t="str">
        <f>HYPERLINK("http://www.worldcat.org/oclc/799253446","WorldCat Record")</f>
        <v>WorldCat Record</v>
      </c>
      <c r="AX110" s="3" t="s">
        <v>1215</v>
      </c>
      <c r="AY110" s="3" t="s">
        <v>1216</v>
      </c>
      <c r="AZ110" s="3" t="s">
        <v>1217</v>
      </c>
      <c r="BA110" s="3" t="s">
        <v>1217</v>
      </c>
      <c r="BB110" s="3" t="s">
        <v>1218</v>
      </c>
      <c r="BC110" s="3" t="s">
        <v>82</v>
      </c>
      <c r="BD110" s="3" t="s">
        <v>538</v>
      </c>
      <c r="BE110" s="3" t="s">
        <v>1219</v>
      </c>
      <c r="BF110" s="3" t="s">
        <v>1218</v>
      </c>
      <c r="BG110" s="3" t="s">
        <v>1220</v>
      </c>
    </row>
    <row r="111" spans="1:59" ht="75" x14ac:dyDescent="0.25">
      <c r="A111" s="2" t="s">
        <v>59</v>
      </c>
      <c r="B111" s="2" t="s">
        <v>60</v>
      </c>
      <c r="C111" s="2" t="s">
        <v>1221</v>
      </c>
      <c r="D111" s="2" t="s">
        <v>1222</v>
      </c>
      <c r="E111" s="2" t="s">
        <v>1223</v>
      </c>
      <c r="G111" s="3" t="s">
        <v>63</v>
      </c>
      <c r="I111" s="3" t="s">
        <v>63</v>
      </c>
      <c r="J111" s="3" t="s">
        <v>63</v>
      </c>
      <c r="K111" s="3" t="s">
        <v>64</v>
      </c>
      <c r="L111" s="2" t="s">
        <v>1224</v>
      </c>
      <c r="M111" s="2" t="s">
        <v>1225</v>
      </c>
      <c r="N111" s="3" t="s">
        <v>1226</v>
      </c>
      <c r="O111" s="2" t="s">
        <v>1227</v>
      </c>
      <c r="P111" s="3" t="s">
        <v>66</v>
      </c>
      <c r="Q111" s="2" t="s">
        <v>1228</v>
      </c>
      <c r="R111" s="3" t="s">
        <v>67</v>
      </c>
      <c r="S111" s="4">
        <v>1</v>
      </c>
      <c r="T111" s="4">
        <v>1</v>
      </c>
      <c r="U111" s="5" t="s">
        <v>1229</v>
      </c>
      <c r="V111" s="5" t="s">
        <v>1229</v>
      </c>
      <c r="W111" s="5" t="s">
        <v>69</v>
      </c>
      <c r="X111" s="5" t="s">
        <v>69</v>
      </c>
      <c r="Y111" s="4">
        <v>246</v>
      </c>
      <c r="Z111" s="4">
        <v>3</v>
      </c>
      <c r="AA111" s="4">
        <v>5</v>
      </c>
      <c r="AB111" s="4">
        <v>1</v>
      </c>
      <c r="AC111" s="4">
        <v>1</v>
      </c>
      <c r="AD111" s="4">
        <v>65</v>
      </c>
      <c r="AE111" s="4">
        <v>69</v>
      </c>
      <c r="AF111" s="4">
        <v>0</v>
      </c>
      <c r="AG111" s="4">
        <v>0</v>
      </c>
      <c r="AH111" s="4">
        <v>63</v>
      </c>
      <c r="AI111" s="4">
        <v>67</v>
      </c>
      <c r="AJ111" s="4">
        <v>1</v>
      </c>
      <c r="AK111" s="4">
        <v>2</v>
      </c>
      <c r="AL111" s="4">
        <v>43</v>
      </c>
      <c r="AM111" s="4">
        <v>45</v>
      </c>
      <c r="AN111" s="4">
        <v>0</v>
      </c>
      <c r="AO111" s="4">
        <v>0</v>
      </c>
      <c r="AP111" s="4">
        <v>1</v>
      </c>
      <c r="AQ111" s="4">
        <v>2</v>
      </c>
      <c r="AR111" s="3" t="s">
        <v>63</v>
      </c>
      <c r="AS111" s="3" t="s">
        <v>63</v>
      </c>
      <c r="AT111" s="3" t="s">
        <v>62</v>
      </c>
      <c r="AU111" s="6" t="str">
        <f>HYPERLINK("http://catalog.hathitrust.org/Record/004346431","HathiTrust Record")</f>
        <v>HathiTrust Record</v>
      </c>
      <c r="AV111" s="6" t="str">
        <f>HYPERLINK("http://mcgill.on.worldcat.org/oclc/52919220","Catalog Record")</f>
        <v>Catalog Record</v>
      </c>
      <c r="AW111" s="6" t="str">
        <f>HYPERLINK("http://www.worldcat.org/oclc/52919220","WorldCat Record")</f>
        <v>WorldCat Record</v>
      </c>
      <c r="AX111" s="3" t="s">
        <v>1230</v>
      </c>
      <c r="AY111" s="3" t="s">
        <v>1231</v>
      </c>
      <c r="AZ111" s="3" t="s">
        <v>1232</v>
      </c>
      <c r="BA111" s="3" t="s">
        <v>1232</v>
      </c>
      <c r="BB111" s="3" t="s">
        <v>1233</v>
      </c>
      <c r="BC111" s="3" t="s">
        <v>82</v>
      </c>
      <c r="BD111" s="3" t="s">
        <v>70</v>
      </c>
      <c r="BE111" s="3" t="s">
        <v>1234</v>
      </c>
      <c r="BF111" s="3" t="s">
        <v>1233</v>
      </c>
      <c r="BG111" s="3" t="s">
        <v>1235</v>
      </c>
    </row>
    <row r="112" spans="1:59" ht="60" x14ac:dyDescent="0.25">
      <c r="A112" s="2" t="s">
        <v>59</v>
      </c>
      <c r="B112" s="2" t="s">
        <v>60</v>
      </c>
      <c r="C112" s="2" t="s">
        <v>1236</v>
      </c>
      <c r="D112" s="2" t="s">
        <v>1237</v>
      </c>
      <c r="E112" s="2" t="s">
        <v>1238</v>
      </c>
      <c r="G112" s="3" t="s">
        <v>63</v>
      </c>
      <c r="I112" s="3" t="s">
        <v>63</v>
      </c>
      <c r="J112" s="3" t="s">
        <v>63</v>
      </c>
      <c r="K112" s="3" t="s">
        <v>64</v>
      </c>
      <c r="L112" s="2" t="s">
        <v>1239</v>
      </c>
      <c r="M112" s="2" t="s">
        <v>1240</v>
      </c>
      <c r="N112" s="3" t="s">
        <v>176</v>
      </c>
      <c r="P112" s="3" t="s">
        <v>66</v>
      </c>
      <c r="R112" s="3" t="s">
        <v>67</v>
      </c>
      <c r="S112" s="4">
        <v>8</v>
      </c>
      <c r="T112" s="4">
        <v>8</v>
      </c>
      <c r="U112" s="5" t="s">
        <v>1241</v>
      </c>
      <c r="V112" s="5" t="s">
        <v>1241</v>
      </c>
      <c r="W112" s="5" t="s">
        <v>69</v>
      </c>
      <c r="X112" s="5" t="s">
        <v>69</v>
      </c>
      <c r="Y112" s="4">
        <v>372</v>
      </c>
      <c r="Z112" s="4">
        <v>19</v>
      </c>
      <c r="AA112" s="4">
        <v>19</v>
      </c>
      <c r="AB112" s="4">
        <v>1</v>
      </c>
      <c r="AC112" s="4">
        <v>1</v>
      </c>
      <c r="AD112" s="4">
        <v>79</v>
      </c>
      <c r="AE112" s="4">
        <v>79</v>
      </c>
      <c r="AF112" s="4">
        <v>0</v>
      </c>
      <c r="AG112" s="4">
        <v>0</v>
      </c>
      <c r="AH112" s="4">
        <v>72</v>
      </c>
      <c r="AI112" s="4">
        <v>72</v>
      </c>
      <c r="AJ112" s="4">
        <v>9</v>
      </c>
      <c r="AK112" s="4">
        <v>9</v>
      </c>
      <c r="AL112" s="4">
        <v>44</v>
      </c>
      <c r="AM112" s="4">
        <v>44</v>
      </c>
      <c r="AN112" s="4">
        <v>0</v>
      </c>
      <c r="AO112" s="4">
        <v>0</v>
      </c>
      <c r="AP112" s="4">
        <v>9</v>
      </c>
      <c r="AQ112" s="4">
        <v>9</v>
      </c>
      <c r="AR112" s="3" t="s">
        <v>63</v>
      </c>
      <c r="AS112" s="3" t="s">
        <v>63</v>
      </c>
      <c r="AT112" s="3" t="s">
        <v>63</v>
      </c>
      <c r="AV112" s="6" t="str">
        <f>HYPERLINK("http://mcgill.on.worldcat.org/oclc/39505582","Catalog Record")</f>
        <v>Catalog Record</v>
      </c>
      <c r="AW112" s="6" t="str">
        <f>HYPERLINK("http://www.worldcat.org/oclc/39505582","WorldCat Record")</f>
        <v>WorldCat Record</v>
      </c>
      <c r="AX112" s="3" t="s">
        <v>1242</v>
      </c>
      <c r="AY112" s="3" t="s">
        <v>1243</v>
      </c>
      <c r="AZ112" s="3" t="s">
        <v>1244</v>
      </c>
      <c r="BA112" s="3" t="s">
        <v>1244</v>
      </c>
      <c r="BB112" s="3" t="s">
        <v>1245</v>
      </c>
      <c r="BC112" s="3" t="s">
        <v>82</v>
      </c>
      <c r="BD112" s="3" t="s">
        <v>70</v>
      </c>
      <c r="BE112" s="3" t="s">
        <v>1246</v>
      </c>
      <c r="BF112" s="3" t="s">
        <v>1245</v>
      </c>
      <c r="BG112" s="3" t="s">
        <v>1247</v>
      </c>
    </row>
    <row r="113" spans="1:59" ht="60" x14ac:dyDescent="0.25">
      <c r="A113" s="2" t="s">
        <v>59</v>
      </c>
      <c r="B113" s="2" t="s">
        <v>60</v>
      </c>
      <c r="C113" s="2" t="s">
        <v>1248</v>
      </c>
      <c r="D113" s="2" t="s">
        <v>1249</v>
      </c>
      <c r="E113" s="2" t="s">
        <v>1250</v>
      </c>
      <c r="G113" s="3" t="s">
        <v>63</v>
      </c>
      <c r="I113" s="3" t="s">
        <v>62</v>
      </c>
      <c r="J113" s="3" t="s">
        <v>62</v>
      </c>
      <c r="K113" s="3" t="s">
        <v>64</v>
      </c>
      <c r="L113" s="2" t="s">
        <v>1251</v>
      </c>
      <c r="M113" s="2" t="s">
        <v>1252</v>
      </c>
      <c r="N113" s="3" t="s">
        <v>427</v>
      </c>
      <c r="O113" s="2" t="s">
        <v>1253</v>
      </c>
      <c r="P113" s="3" t="s">
        <v>66</v>
      </c>
      <c r="R113" s="3" t="s">
        <v>67</v>
      </c>
      <c r="S113" s="4">
        <v>36</v>
      </c>
      <c r="T113" s="4">
        <v>36</v>
      </c>
      <c r="U113" s="5" t="s">
        <v>444</v>
      </c>
      <c r="V113" s="5" t="s">
        <v>444</v>
      </c>
      <c r="W113" s="5" t="s">
        <v>69</v>
      </c>
      <c r="X113" s="5" t="s">
        <v>69</v>
      </c>
      <c r="Y113" s="4">
        <v>389</v>
      </c>
      <c r="Z113" s="4">
        <v>15</v>
      </c>
      <c r="AA113" s="4">
        <v>44</v>
      </c>
      <c r="AB113" s="4">
        <v>2</v>
      </c>
      <c r="AC113" s="4">
        <v>5</v>
      </c>
      <c r="AD113" s="4">
        <v>73</v>
      </c>
      <c r="AE113" s="4">
        <v>122</v>
      </c>
      <c r="AF113" s="4">
        <v>0</v>
      </c>
      <c r="AG113" s="4">
        <v>1</v>
      </c>
      <c r="AH113" s="4">
        <v>69</v>
      </c>
      <c r="AI113" s="4">
        <v>100</v>
      </c>
      <c r="AJ113" s="4">
        <v>6</v>
      </c>
      <c r="AK113" s="4">
        <v>15</v>
      </c>
      <c r="AL113" s="4">
        <v>43</v>
      </c>
      <c r="AM113" s="4">
        <v>59</v>
      </c>
      <c r="AN113" s="4">
        <v>0</v>
      </c>
      <c r="AO113" s="4">
        <v>2</v>
      </c>
      <c r="AP113" s="4">
        <v>7</v>
      </c>
      <c r="AQ113" s="4">
        <v>27</v>
      </c>
      <c r="AR113" s="3" t="s">
        <v>63</v>
      </c>
      <c r="AS113" s="3" t="s">
        <v>63</v>
      </c>
      <c r="AT113" s="3" t="s">
        <v>62</v>
      </c>
      <c r="AU113" s="6" t="str">
        <f>HYPERLINK("http://catalog.hathitrust.org/Record/001081644","HathiTrust Record")</f>
        <v>HathiTrust Record</v>
      </c>
      <c r="AV113" s="6" t="str">
        <f>HYPERLINK("http://mcgill.on.worldcat.org/oclc/18190882","Catalog Record")</f>
        <v>Catalog Record</v>
      </c>
      <c r="AW113" s="6" t="str">
        <f>HYPERLINK("http://www.worldcat.org/oclc/18190882","WorldCat Record")</f>
        <v>WorldCat Record</v>
      </c>
      <c r="AX113" s="3" t="s">
        <v>1254</v>
      </c>
      <c r="AY113" s="3" t="s">
        <v>1255</v>
      </c>
      <c r="AZ113" s="3" t="s">
        <v>1256</v>
      </c>
      <c r="BA113" s="3" t="s">
        <v>1256</v>
      </c>
      <c r="BB113" s="3" t="s">
        <v>1257</v>
      </c>
      <c r="BC113" s="3" t="s">
        <v>82</v>
      </c>
      <c r="BD113" s="3" t="s">
        <v>70</v>
      </c>
      <c r="BE113" s="3" t="s">
        <v>1258</v>
      </c>
      <c r="BF113" s="3" t="s">
        <v>1257</v>
      </c>
      <c r="BG113" s="3" t="s">
        <v>1259</v>
      </c>
    </row>
    <row r="114" spans="1:59" ht="75" x14ac:dyDescent="0.25">
      <c r="A114" s="2" t="s">
        <v>59</v>
      </c>
      <c r="B114" s="2" t="s">
        <v>60</v>
      </c>
      <c r="C114" s="2" t="s">
        <v>1260</v>
      </c>
      <c r="D114" s="2" t="s">
        <v>1261</v>
      </c>
      <c r="E114" s="2" t="s">
        <v>1250</v>
      </c>
      <c r="G114" s="3" t="s">
        <v>63</v>
      </c>
      <c r="I114" s="3" t="s">
        <v>63</v>
      </c>
      <c r="J114" s="3" t="s">
        <v>62</v>
      </c>
      <c r="K114" s="3" t="s">
        <v>64</v>
      </c>
      <c r="L114" s="2" t="s">
        <v>1251</v>
      </c>
      <c r="M114" s="2" t="s">
        <v>1262</v>
      </c>
      <c r="N114" s="3" t="s">
        <v>161</v>
      </c>
      <c r="O114" s="2" t="s">
        <v>1263</v>
      </c>
      <c r="P114" s="3" t="s">
        <v>66</v>
      </c>
      <c r="R114" s="3" t="s">
        <v>67</v>
      </c>
      <c r="S114" s="4">
        <v>39</v>
      </c>
      <c r="T114" s="4">
        <v>39</v>
      </c>
      <c r="U114" s="5" t="s">
        <v>1264</v>
      </c>
      <c r="V114" s="5" t="s">
        <v>1264</v>
      </c>
      <c r="W114" s="5" t="s">
        <v>69</v>
      </c>
      <c r="X114" s="5" t="s">
        <v>69</v>
      </c>
      <c r="Y114" s="4">
        <v>1</v>
      </c>
      <c r="Z114" s="4">
        <v>1</v>
      </c>
      <c r="AA114" s="4">
        <v>44</v>
      </c>
      <c r="AB114" s="4">
        <v>1</v>
      </c>
      <c r="AC114" s="4">
        <v>5</v>
      </c>
      <c r="AD114" s="4">
        <v>0</v>
      </c>
      <c r="AE114" s="4">
        <v>122</v>
      </c>
      <c r="AF114" s="4">
        <v>0</v>
      </c>
      <c r="AG114" s="4">
        <v>1</v>
      </c>
      <c r="AH114" s="4">
        <v>0</v>
      </c>
      <c r="AI114" s="4">
        <v>100</v>
      </c>
      <c r="AJ114" s="4">
        <v>0</v>
      </c>
      <c r="AK114" s="4">
        <v>15</v>
      </c>
      <c r="AL114" s="4">
        <v>0</v>
      </c>
      <c r="AM114" s="4">
        <v>59</v>
      </c>
      <c r="AN114" s="4">
        <v>0</v>
      </c>
      <c r="AO114" s="4">
        <v>2</v>
      </c>
      <c r="AP114" s="4">
        <v>0</v>
      </c>
      <c r="AQ114" s="4">
        <v>27</v>
      </c>
      <c r="AR114" s="3" t="s">
        <v>63</v>
      </c>
      <c r="AS114" s="3" t="s">
        <v>63</v>
      </c>
      <c r="AT114" s="3" t="s">
        <v>62</v>
      </c>
      <c r="AU114" s="6" t="str">
        <f>HYPERLINK("http://catalog.hathitrust.org/Record/001081641","HathiTrust Record")</f>
        <v>HathiTrust Record</v>
      </c>
      <c r="AV114" s="6" t="str">
        <f>HYPERLINK("http://mcgill.on.worldcat.org/oclc/427544657","Catalog Record")</f>
        <v>Catalog Record</v>
      </c>
      <c r="AW114" s="6" t="str">
        <f>HYPERLINK("http://www.worldcat.org/oclc/427544657","WorldCat Record")</f>
        <v>WorldCat Record</v>
      </c>
      <c r="AX114" s="3" t="s">
        <v>1254</v>
      </c>
      <c r="AY114" s="3" t="s">
        <v>1265</v>
      </c>
      <c r="AZ114" s="3" t="s">
        <v>1266</v>
      </c>
      <c r="BA114" s="3" t="s">
        <v>1266</v>
      </c>
      <c r="BB114" s="3" t="s">
        <v>1267</v>
      </c>
      <c r="BC114" s="3" t="s">
        <v>82</v>
      </c>
      <c r="BD114" s="3" t="s">
        <v>538</v>
      </c>
      <c r="BE114" s="3" t="s">
        <v>1268</v>
      </c>
      <c r="BF114" s="3" t="s">
        <v>1267</v>
      </c>
      <c r="BG114" s="3" t="s">
        <v>1269</v>
      </c>
    </row>
    <row r="115" spans="1:59" ht="60" x14ac:dyDescent="0.25">
      <c r="A115" s="2" t="s">
        <v>59</v>
      </c>
      <c r="B115" s="2" t="s">
        <v>60</v>
      </c>
      <c r="C115" s="2" t="s">
        <v>1270</v>
      </c>
      <c r="D115" s="2" t="s">
        <v>1271</v>
      </c>
      <c r="E115" s="2" t="s">
        <v>1272</v>
      </c>
      <c r="G115" s="3" t="s">
        <v>63</v>
      </c>
      <c r="I115" s="3" t="s">
        <v>63</v>
      </c>
      <c r="J115" s="3" t="s">
        <v>63</v>
      </c>
      <c r="K115" s="3" t="s">
        <v>64</v>
      </c>
      <c r="L115" s="2" t="s">
        <v>1273</v>
      </c>
      <c r="M115" s="2" t="s">
        <v>1274</v>
      </c>
      <c r="N115" s="3" t="s">
        <v>190</v>
      </c>
      <c r="P115" s="3" t="s">
        <v>66</v>
      </c>
      <c r="Q115" s="2" t="s">
        <v>375</v>
      </c>
      <c r="R115" s="3" t="s">
        <v>67</v>
      </c>
      <c r="S115" s="4">
        <v>5</v>
      </c>
      <c r="T115" s="4">
        <v>5</v>
      </c>
      <c r="U115" s="5" t="s">
        <v>1241</v>
      </c>
      <c r="V115" s="5" t="s">
        <v>1241</v>
      </c>
      <c r="W115" s="5" t="s">
        <v>69</v>
      </c>
      <c r="X115" s="5" t="s">
        <v>69</v>
      </c>
      <c r="Y115" s="4">
        <v>158</v>
      </c>
      <c r="Z115" s="4">
        <v>12</v>
      </c>
      <c r="AA115" s="4">
        <v>12</v>
      </c>
      <c r="AB115" s="4">
        <v>1</v>
      </c>
      <c r="AC115" s="4">
        <v>1</v>
      </c>
      <c r="AD115" s="4">
        <v>74</v>
      </c>
      <c r="AE115" s="4">
        <v>74</v>
      </c>
      <c r="AF115" s="4">
        <v>0</v>
      </c>
      <c r="AG115" s="4">
        <v>0</v>
      </c>
      <c r="AH115" s="4">
        <v>69</v>
      </c>
      <c r="AI115" s="4">
        <v>69</v>
      </c>
      <c r="AJ115" s="4">
        <v>7</v>
      </c>
      <c r="AK115" s="4">
        <v>7</v>
      </c>
      <c r="AL115" s="4">
        <v>43</v>
      </c>
      <c r="AM115" s="4">
        <v>43</v>
      </c>
      <c r="AN115" s="4">
        <v>0</v>
      </c>
      <c r="AO115" s="4">
        <v>0</v>
      </c>
      <c r="AP115" s="4">
        <v>8</v>
      </c>
      <c r="AQ115" s="4">
        <v>8</v>
      </c>
      <c r="AR115" s="3" t="s">
        <v>63</v>
      </c>
      <c r="AS115" s="3" t="s">
        <v>63</v>
      </c>
      <c r="AT115" s="3" t="s">
        <v>62</v>
      </c>
      <c r="AU115" s="6" t="str">
        <f>HYPERLINK("http://catalog.hathitrust.org/Record/005025438","HathiTrust Record")</f>
        <v>HathiTrust Record</v>
      </c>
      <c r="AV115" s="6" t="str">
        <f>HYPERLINK("http://mcgill.on.worldcat.org/oclc/51647561","Catalog Record")</f>
        <v>Catalog Record</v>
      </c>
      <c r="AW115" s="6" t="str">
        <f>HYPERLINK("http://www.worldcat.org/oclc/51647561","WorldCat Record")</f>
        <v>WorldCat Record</v>
      </c>
      <c r="AX115" s="3" t="s">
        <v>1275</v>
      </c>
      <c r="AY115" s="3" t="s">
        <v>1276</v>
      </c>
      <c r="AZ115" s="3" t="s">
        <v>1277</v>
      </c>
      <c r="BA115" s="3" t="s">
        <v>1277</v>
      </c>
      <c r="BB115" s="3" t="s">
        <v>1278</v>
      </c>
      <c r="BC115" s="3" t="s">
        <v>82</v>
      </c>
      <c r="BD115" s="3" t="s">
        <v>70</v>
      </c>
      <c r="BE115" s="3" t="s">
        <v>1279</v>
      </c>
      <c r="BF115" s="3" t="s">
        <v>1278</v>
      </c>
      <c r="BG115" s="3" t="s">
        <v>1280</v>
      </c>
    </row>
    <row r="116" spans="1:59" ht="60" x14ac:dyDescent="0.25">
      <c r="A116" s="2" t="s">
        <v>59</v>
      </c>
      <c r="B116" s="2" t="s">
        <v>60</v>
      </c>
      <c r="C116" s="2" t="s">
        <v>1281</v>
      </c>
      <c r="D116" s="2" t="s">
        <v>1282</v>
      </c>
      <c r="E116" s="2" t="s">
        <v>1283</v>
      </c>
      <c r="G116" s="3" t="s">
        <v>63</v>
      </c>
      <c r="I116" s="3" t="s">
        <v>63</v>
      </c>
      <c r="J116" s="3" t="s">
        <v>63</v>
      </c>
      <c r="K116" s="3" t="s">
        <v>64</v>
      </c>
      <c r="L116" s="2" t="s">
        <v>1273</v>
      </c>
      <c r="M116" s="2" t="s">
        <v>1284</v>
      </c>
      <c r="N116" s="3" t="s">
        <v>76</v>
      </c>
      <c r="P116" s="3" t="s">
        <v>66</v>
      </c>
      <c r="Q116" s="2" t="s">
        <v>375</v>
      </c>
      <c r="R116" s="3" t="s">
        <v>67</v>
      </c>
      <c r="S116" s="4">
        <v>1</v>
      </c>
      <c r="T116" s="4">
        <v>1</v>
      </c>
      <c r="U116" s="5" t="s">
        <v>302</v>
      </c>
      <c r="V116" s="5" t="s">
        <v>302</v>
      </c>
      <c r="W116" s="5" t="s">
        <v>69</v>
      </c>
      <c r="X116" s="5" t="s">
        <v>69</v>
      </c>
      <c r="Y116" s="4">
        <v>82</v>
      </c>
      <c r="Z116" s="4">
        <v>11</v>
      </c>
      <c r="AA116" s="4">
        <v>11</v>
      </c>
      <c r="AB116" s="4">
        <v>1</v>
      </c>
      <c r="AC116" s="4">
        <v>1</v>
      </c>
      <c r="AD116" s="4">
        <v>50</v>
      </c>
      <c r="AE116" s="4">
        <v>50</v>
      </c>
      <c r="AF116" s="4">
        <v>0</v>
      </c>
      <c r="AG116" s="4">
        <v>0</v>
      </c>
      <c r="AH116" s="4">
        <v>48</v>
      </c>
      <c r="AI116" s="4">
        <v>48</v>
      </c>
      <c r="AJ116" s="4">
        <v>7</v>
      </c>
      <c r="AK116" s="4">
        <v>7</v>
      </c>
      <c r="AL116" s="4">
        <v>31</v>
      </c>
      <c r="AM116" s="4">
        <v>31</v>
      </c>
      <c r="AN116" s="4">
        <v>0</v>
      </c>
      <c r="AO116" s="4">
        <v>0</v>
      </c>
      <c r="AP116" s="4">
        <v>7</v>
      </c>
      <c r="AQ116" s="4">
        <v>7</v>
      </c>
      <c r="AR116" s="3" t="s">
        <v>63</v>
      </c>
      <c r="AS116" s="3" t="s">
        <v>63</v>
      </c>
      <c r="AT116" s="3" t="s">
        <v>63</v>
      </c>
      <c r="AV116" s="6" t="str">
        <f>HYPERLINK("http://mcgill.on.worldcat.org/oclc/749855427","Catalog Record")</f>
        <v>Catalog Record</v>
      </c>
      <c r="AW116" s="6" t="str">
        <f>HYPERLINK("http://www.worldcat.org/oclc/749855427","WorldCat Record")</f>
        <v>WorldCat Record</v>
      </c>
      <c r="AX116" s="3" t="s">
        <v>1285</v>
      </c>
      <c r="AY116" s="3" t="s">
        <v>1286</v>
      </c>
      <c r="AZ116" s="3" t="s">
        <v>1287</v>
      </c>
      <c r="BA116" s="3" t="s">
        <v>1287</v>
      </c>
      <c r="BB116" s="3" t="s">
        <v>1288</v>
      </c>
      <c r="BC116" s="3" t="s">
        <v>82</v>
      </c>
      <c r="BD116" s="3" t="s">
        <v>70</v>
      </c>
      <c r="BE116" s="3" t="s">
        <v>1289</v>
      </c>
      <c r="BF116" s="3" t="s">
        <v>1288</v>
      </c>
      <c r="BG116" s="3" t="s">
        <v>1290</v>
      </c>
    </row>
    <row r="117" spans="1:59" ht="60" x14ac:dyDescent="0.25">
      <c r="A117" s="2" t="s">
        <v>59</v>
      </c>
      <c r="B117" s="2" t="s">
        <v>60</v>
      </c>
      <c r="C117" s="2" t="s">
        <v>1291</v>
      </c>
      <c r="D117" s="2" t="s">
        <v>1292</v>
      </c>
      <c r="E117" s="2" t="s">
        <v>1293</v>
      </c>
      <c r="G117" s="3" t="s">
        <v>63</v>
      </c>
      <c r="I117" s="3" t="s">
        <v>63</v>
      </c>
      <c r="J117" s="3" t="s">
        <v>63</v>
      </c>
      <c r="K117" s="3" t="s">
        <v>64</v>
      </c>
      <c r="L117" s="2" t="s">
        <v>1294</v>
      </c>
      <c r="M117" s="2" t="s">
        <v>1295</v>
      </c>
      <c r="N117" s="3" t="s">
        <v>1296</v>
      </c>
      <c r="P117" s="3" t="s">
        <v>66</v>
      </c>
      <c r="Q117" s="2" t="s">
        <v>1297</v>
      </c>
      <c r="R117" s="3" t="s">
        <v>67</v>
      </c>
      <c r="S117" s="4">
        <v>9</v>
      </c>
      <c r="T117" s="4">
        <v>9</v>
      </c>
      <c r="U117" s="5" t="s">
        <v>1298</v>
      </c>
      <c r="V117" s="5" t="s">
        <v>1298</v>
      </c>
      <c r="W117" s="5" t="s">
        <v>69</v>
      </c>
      <c r="X117" s="5" t="s">
        <v>69</v>
      </c>
      <c r="Y117" s="4">
        <v>127</v>
      </c>
      <c r="Z117" s="4">
        <v>16</v>
      </c>
      <c r="AA117" s="4">
        <v>17</v>
      </c>
      <c r="AB117" s="4">
        <v>1</v>
      </c>
      <c r="AC117" s="4">
        <v>2</v>
      </c>
      <c r="AD117" s="4">
        <v>50</v>
      </c>
      <c r="AE117" s="4">
        <v>52</v>
      </c>
      <c r="AF117" s="4">
        <v>0</v>
      </c>
      <c r="AG117" s="4">
        <v>0</v>
      </c>
      <c r="AH117" s="4">
        <v>44</v>
      </c>
      <c r="AI117" s="4">
        <v>46</v>
      </c>
      <c r="AJ117" s="4">
        <v>10</v>
      </c>
      <c r="AK117" s="4">
        <v>10</v>
      </c>
      <c r="AL117" s="4">
        <v>27</v>
      </c>
      <c r="AM117" s="4">
        <v>28</v>
      </c>
      <c r="AN117" s="4">
        <v>0</v>
      </c>
      <c r="AO117" s="4">
        <v>0</v>
      </c>
      <c r="AP117" s="4">
        <v>12</v>
      </c>
      <c r="AQ117" s="4">
        <v>12</v>
      </c>
      <c r="AR117" s="3" t="s">
        <v>63</v>
      </c>
      <c r="AS117" s="3" t="s">
        <v>63</v>
      </c>
      <c r="AT117" s="3" t="s">
        <v>62</v>
      </c>
      <c r="AU117" s="6" t="str">
        <f>HYPERLINK("http://catalog.hathitrust.org/Record/003070603","HathiTrust Record")</f>
        <v>HathiTrust Record</v>
      </c>
      <c r="AV117" s="6" t="str">
        <f>HYPERLINK("http://mcgill.on.worldcat.org/oclc/25360","Catalog Record")</f>
        <v>Catalog Record</v>
      </c>
      <c r="AW117" s="6" t="str">
        <f>HYPERLINK("http://www.worldcat.org/oclc/25360","WorldCat Record")</f>
        <v>WorldCat Record</v>
      </c>
      <c r="AX117" s="3" t="s">
        <v>1299</v>
      </c>
      <c r="AY117" s="3" t="s">
        <v>1300</v>
      </c>
      <c r="AZ117" s="3" t="s">
        <v>1301</v>
      </c>
      <c r="BA117" s="3" t="s">
        <v>1301</v>
      </c>
      <c r="BB117" s="3" t="s">
        <v>1302</v>
      </c>
      <c r="BC117" s="3" t="s">
        <v>82</v>
      </c>
      <c r="BD117" s="3" t="s">
        <v>70</v>
      </c>
      <c r="BF117" s="3" t="s">
        <v>1302</v>
      </c>
      <c r="BG117" s="3" t="s">
        <v>1303</v>
      </c>
    </row>
    <row r="118" spans="1:59" ht="60" x14ac:dyDescent="0.25">
      <c r="A118" s="2" t="s">
        <v>59</v>
      </c>
      <c r="B118" s="2" t="s">
        <v>60</v>
      </c>
      <c r="C118" s="2" t="s">
        <v>1304</v>
      </c>
      <c r="D118" s="2" t="s">
        <v>1305</v>
      </c>
      <c r="E118" s="2" t="s">
        <v>1306</v>
      </c>
      <c r="G118" s="3" t="s">
        <v>63</v>
      </c>
      <c r="I118" s="3" t="s">
        <v>63</v>
      </c>
      <c r="J118" s="3" t="s">
        <v>63</v>
      </c>
      <c r="K118" s="3" t="s">
        <v>64</v>
      </c>
      <c r="L118" s="2" t="s">
        <v>1307</v>
      </c>
      <c r="M118" s="2" t="s">
        <v>1308</v>
      </c>
      <c r="N118" s="3" t="s">
        <v>204</v>
      </c>
      <c r="P118" s="3" t="s">
        <v>66</v>
      </c>
      <c r="Q118" s="2" t="s">
        <v>375</v>
      </c>
      <c r="R118" s="3" t="s">
        <v>67</v>
      </c>
      <c r="S118" s="4">
        <v>1</v>
      </c>
      <c r="T118" s="4">
        <v>1</v>
      </c>
      <c r="U118" s="5" t="s">
        <v>1309</v>
      </c>
      <c r="V118" s="5" t="s">
        <v>1309</v>
      </c>
      <c r="W118" s="5" t="s">
        <v>69</v>
      </c>
      <c r="X118" s="5" t="s">
        <v>69</v>
      </c>
      <c r="Y118" s="4">
        <v>244</v>
      </c>
      <c r="Z118" s="4">
        <v>15</v>
      </c>
      <c r="AA118" s="4">
        <v>16</v>
      </c>
      <c r="AB118" s="4">
        <v>2</v>
      </c>
      <c r="AC118" s="4">
        <v>2</v>
      </c>
      <c r="AD118" s="4">
        <v>71</v>
      </c>
      <c r="AE118" s="4">
        <v>72</v>
      </c>
      <c r="AF118" s="4">
        <v>0</v>
      </c>
      <c r="AG118" s="4">
        <v>0</v>
      </c>
      <c r="AH118" s="4">
        <v>66</v>
      </c>
      <c r="AI118" s="4">
        <v>67</v>
      </c>
      <c r="AJ118" s="4">
        <v>8</v>
      </c>
      <c r="AK118" s="4">
        <v>9</v>
      </c>
      <c r="AL118" s="4">
        <v>41</v>
      </c>
      <c r="AM118" s="4">
        <v>41</v>
      </c>
      <c r="AN118" s="4">
        <v>0</v>
      </c>
      <c r="AO118" s="4">
        <v>0</v>
      </c>
      <c r="AP118" s="4">
        <v>9</v>
      </c>
      <c r="AQ118" s="4">
        <v>10</v>
      </c>
      <c r="AR118" s="3" t="s">
        <v>63</v>
      </c>
      <c r="AS118" s="3" t="s">
        <v>63</v>
      </c>
      <c r="AT118" s="3" t="s">
        <v>62</v>
      </c>
      <c r="AU118" s="6" t="str">
        <f>HYPERLINK("http://catalog.hathitrust.org/Record/003100838","HathiTrust Record")</f>
        <v>HathiTrust Record</v>
      </c>
      <c r="AV118" s="6" t="str">
        <f>HYPERLINK("http://mcgill.on.worldcat.org/oclc/34590962","Catalog Record")</f>
        <v>Catalog Record</v>
      </c>
      <c r="AW118" s="6" t="str">
        <f>HYPERLINK("http://www.worldcat.org/oclc/34590962","WorldCat Record")</f>
        <v>WorldCat Record</v>
      </c>
      <c r="AX118" s="3" t="s">
        <v>1310</v>
      </c>
      <c r="AY118" s="3" t="s">
        <v>1311</v>
      </c>
      <c r="AZ118" s="3" t="s">
        <v>1312</v>
      </c>
      <c r="BA118" s="3" t="s">
        <v>1312</v>
      </c>
      <c r="BB118" s="3" t="s">
        <v>1313</v>
      </c>
      <c r="BC118" s="3" t="s">
        <v>82</v>
      </c>
      <c r="BD118" s="3" t="s">
        <v>70</v>
      </c>
      <c r="BE118" s="3" t="s">
        <v>1314</v>
      </c>
      <c r="BF118" s="3" t="s">
        <v>1313</v>
      </c>
      <c r="BG118" s="3" t="s">
        <v>1315</v>
      </c>
    </row>
    <row r="119" spans="1:59" ht="60" x14ac:dyDescent="0.25">
      <c r="A119" s="2" t="s">
        <v>59</v>
      </c>
      <c r="B119" s="2" t="s">
        <v>60</v>
      </c>
      <c r="C119" s="2" t="s">
        <v>1316</v>
      </c>
      <c r="D119" s="2" t="s">
        <v>1317</v>
      </c>
      <c r="E119" s="2" t="s">
        <v>1318</v>
      </c>
      <c r="G119" s="3" t="s">
        <v>63</v>
      </c>
      <c r="I119" s="3" t="s">
        <v>63</v>
      </c>
      <c r="J119" s="3" t="s">
        <v>63</v>
      </c>
      <c r="K119" s="3" t="s">
        <v>64</v>
      </c>
      <c r="L119" s="2" t="s">
        <v>1307</v>
      </c>
      <c r="M119" s="2" t="s">
        <v>1319</v>
      </c>
      <c r="N119" s="3" t="s">
        <v>274</v>
      </c>
      <c r="P119" s="3" t="s">
        <v>66</v>
      </c>
      <c r="Q119" s="2" t="s">
        <v>375</v>
      </c>
      <c r="R119" s="3" t="s">
        <v>67</v>
      </c>
      <c r="S119" s="4">
        <v>5</v>
      </c>
      <c r="T119" s="4">
        <v>5</v>
      </c>
      <c r="U119" s="5" t="s">
        <v>1320</v>
      </c>
      <c r="V119" s="5" t="s">
        <v>1320</v>
      </c>
      <c r="W119" s="5" t="s">
        <v>69</v>
      </c>
      <c r="X119" s="5" t="s">
        <v>69</v>
      </c>
      <c r="Y119" s="4">
        <v>188</v>
      </c>
      <c r="Z119" s="4">
        <v>8</v>
      </c>
      <c r="AA119" s="4">
        <v>8</v>
      </c>
      <c r="AB119" s="4">
        <v>2</v>
      </c>
      <c r="AC119" s="4">
        <v>2</v>
      </c>
      <c r="AD119" s="4">
        <v>71</v>
      </c>
      <c r="AE119" s="4">
        <v>71</v>
      </c>
      <c r="AF119" s="4">
        <v>0</v>
      </c>
      <c r="AG119" s="4">
        <v>0</v>
      </c>
      <c r="AH119" s="4">
        <v>67</v>
      </c>
      <c r="AI119" s="4">
        <v>67</v>
      </c>
      <c r="AJ119" s="4">
        <v>4</v>
      </c>
      <c r="AK119" s="4">
        <v>4</v>
      </c>
      <c r="AL119" s="4">
        <v>41</v>
      </c>
      <c r="AM119" s="4">
        <v>41</v>
      </c>
      <c r="AN119" s="4">
        <v>0</v>
      </c>
      <c r="AO119" s="4">
        <v>0</v>
      </c>
      <c r="AP119" s="4">
        <v>4</v>
      </c>
      <c r="AQ119" s="4">
        <v>4</v>
      </c>
      <c r="AR119" s="3" t="s">
        <v>63</v>
      </c>
      <c r="AS119" s="3" t="s">
        <v>63</v>
      </c>
      <c r="AT119" s="3" t="s">
        <v>62</v>
      </c>
      <c r="AU119" s="6" t="str">
        <f>HYPERLINK("http://catalog.hathitrust.org/Record/004057933","HathiTrust Record")</f>
        <v>HathiTrust Record</v>
      </c>
      <c r="AV119" s="6" t="str">
        <f>HYPERLINK("http://mcgill.on.worldcat.org/oclc/41173672","Catalog Record")</f>
        <v>Catalog Record</v>
      </c>
      <c r="AW119" s="6" t="str">
        <f>HYPERLINK("http://www.worldcat.org/oclc/41173672","WorldCat Record")</f>
        <v>WorldCat Record</v>
      </c>
      <c r="AX119" s="3" t="s">
        <v>1321</v>
      </c>
      <c r="AY119" s="3" t="s">
        <v>1322</v>
      </c>
      <c r="AZ119" s="3" t="s">
        <v>1323</v>
      </c>
      <c r="BA119" s="3" t="s">
        <v>1323</v>
      </c>
      <c r="BB119" s="3" t="s">
        <v>1324</v>
      </c>
      <c r="BC119" s="3" t="s">
        <v>82</v>
      </c>
      <c r="BD119" s="3" t="s">
        <v>70</v>
      </c>
      <c r="BE119" s="3" t="s">
        <v>1325</v>
      </c>
      <c r="BF119" s="3" t="s">
        <v>1324</v>
      </c>
      <c r="BG119" s="3" t="s">
        <v>1326</v>
      </c>
    </row>
    <row r="120" spans="1:59" ht="60" x14ac:dyDescent="0.25">
      <c r="A120" s="2" t="s">
        <v>59</v>
      </c>
      <c r="B120" s="2" t="s">
        <v>60</v>
      </c>
      <c r="C120" s="2" t="s">
        <v>1327</v>
      </c>
      <c r="D120" s="2" t="s">
        <v>1328</v>
      </c>
      <c r="E120" s="2" t="s">
        <v>1329</v>
      </c>
      <c r="G120" s="3" t="s">
        <v>63</v>
      </c>
      <c r="I120" s="3" t="s">
        <v>63</v>
      </c>
      <c r="J120" s="3" t="s">
        <v>63</v>
      </c>
      <c r="K120" s="3" t="s">
        <v>64</v>
      </c>
      <c r="L120" s="2" t="s">
        <v>1330</v>
      </c>
      <c r="M120" s="2" t="s">
        <v>1331</v>
      </c>
      <c r="N120" s="3" t="s">
        <v>176</v>
      </c>
      <c r="O120" s="2" t="s">
        <v>590</v>
      </c>
      <c r="P120" s="3" t="s">
        <v>66</v>
      </c>
      <c r="R120" s="3" t="s">
        <v>67</v>
      </c>
      <c r="S120" s="4">
        <v>2</v>
      </c>
      <c r="T120" s="4">
        <v>2</v>
      </c>
      <c r="U120" s="5" t="s">
        <v>1114</v>
      </c>
      <c r="V120" s="5" t="s">
        <v>1114</v>
      </c>
      <c r="W120" s="5" t="s">
        <v>69</v>
      </c>
      <c r="X120" s="5" t="s">
        <v>69</v>
      </c>
      <c r="Y120" s="4">
        <v>373</v>
      </c>
      <c r="Z120" s="4">
        <v>11</v>
      </c>
      <c r="AA120" s="4">
        <v>14</v>
      </c>
      <c r="AB120" s="4">
        <v>1</v>
      </c>
      <c r="AC120" s="4">
        <v>2</v>
      </c>
      <c r="AD120" s="4">
        <v>80</v>
      </c>
      <c r="AE120" s="4">
        <v>82</v>
      </c>
      <c r="AF120" s="4">
        <v>0</v>
      </c>
      <c r="AG120" s="4">
        <v>0</v>
      </c>
      <c r="AH120" s="4">
        <v>77</v>
      </c>
      <c r="AI120" s="4">
        <v>78</v>
      </c>
      <c r="AJ120" s="4">
        <v>4</v>
      </c>
      <c r="AK120" s="4">
        <v>4</v>
      </c>
      <c r="AL120" s="4">
        <v>48</v>
      </c>
      <c r="AM120" s="4">
        <v>49</v>
      </c>
      <c r="AN120" s="4">
        <v>0</v>
      </c>
      <c r="AO120" s="4">
        <v>0</v>
      </c>
      <c r="AP120" s="4">
        <v>4</v>
      </c>
      <c r="AQ120" s="4">
        <v>5</v>
      </c>
      <c r="AR120" s="3" t="s">
        <v>63</v>
      </c>
      <c r="AS120" s="3" t="s">
        <v>63</v>
      </c>
      <c r="AT120" s="3" t="s">
        <v>62</v>
      </c>
      <c r="AU120" s="6" t="str">
        <f>HYPERLINK("http://catalog.hathitrust.org/Record/003517285","HathiTrust Record")</f>
        <v>HathiTrust Record</v>
      </c>
      <c r="AV120" s="6" t="str">
        <f>HYPERLINK("http://mcgill.on.worldcat.org/oclc/38438505","Catalog Record")</f>
        <v>Catalog Record</v>
      </c>
      <c r="AW120" s="6" t="str">
        <f>HYPERLINK("http://www.worldcat.org/oclc/38438505","WorldCat Record")</f>
        <v>WorldCat Record</v>
      </c>
      <c r="AX120" s="3" t="s">
        <v>1332</v>
      </c>
      <c r="AY120" s="3" t="s">
        <v>1333</v>
      </c>
      <c r="AZ120" s="3" t="s">
        <v>1334</v>
      </c>
      <c r="BA120" s="3" t="s">
        <v>1334</v>
      </c>
      <c r="BB120" s="3" t="s">
        <v>1335</v>
      </c>
      <c r="BC120" s="3" t="s">
        <v>82</v>
      </c>
      <c r="BD120" s="3" t="s">
        <v>70</v>
      </c>
      <c r="BE120" s="3" t="s">
        <v>1336</v>
      </c>
      <c r="BF120" s="3" t="s">
        <v>1335</v>
      </c>
      <c r="BG120" s="3" t="s">
        <v>1337</v>
      </c>
    </row>
    <row r="121" spans="1:59" ht="75" x14ac:dyDescent="0.25">
      <c r="A121" s="2" t="s">
        <v>59</v>
      </c>
      <c r="B121" s="2" t="s">
        <v>60</v>
      </c>
      <c r="C121" s="2" t="s">
        <v>1338</v>
      </c>
      <c r="D121" s="2" t="s">
        <v>1339</v>
      </c>
      <c r="E121" s="2" t="s">
        <v>1340</v>
      </c>
      <c r="G121" s="3" t="s">
        <v>63</v>
      </c>
      <c r="I121" s="3" t="s">
        <v>63</v>
      </c>
      <c r="J121" s="3" t="s">
        <v>63</v>
      </c>
      <c r="K121" s="3" t="s">
        <v>64</v>
      </c>
      <c r="L121" s="2" t="s">
        <v>1341</v>
      </c>
      <c r="M121" s="2" t="s">
        <v>1342</v>
      </c>
      <c r="N121" s="3" t="s">
        <v>1343</v>
      </c>
      <c r="P121" s="3" t="s">
        <v>66</v>
      </c>
      <c r="Q121" s="2" t="s">
        <v>375</v>
      </c>
      <c r="R121" s="3" t="s">
        <v>67</v>
      </c>
      <c r="S121" s="4">
        <v>3</v>
      </c>
      <c r="T121" s="4">
        <v>3</v>
      </c>
      <c r="U121" s="5" t="s">
        <v>1241</v>
      </c>
      <c r="V121" s="5" t="s">
        <v>1241</v>
      </c>
      <c r="W121" s="5" t="s">
        <v>69</v>
      </c>
      <c r="X121" s="5" t="s">
        <v>69</v>
      </c>
      <c r="Y121" s="4">
        <v>167</v>
      </c>
      <c r="Z121" s="4">
        <v>7</v>
      </c>
      <c r="AA121" s="4">
        <v>7</v>
      </c>
      <c r="AB121" s="4">
        <v>1</v>
      </c>
      <c r="AC121" s="4">
        <v>1</v>
      </c>
      <c r="AD121" s="4">
        <v>77</v>
      </c>
      <c r="AE121" s="4">
        <v>77</v>
      </c>
      <c r="AF121" s="4">
        <v>0</v>
      </c>
      <c r="AG121" s="4">
        <v>0</v>
      </c>
      <c r="AH121" s="4">
        <v>75</v>
      </c>
      <c r="AI121" s="4">
        <v>75</v>
      </c>
      <c r="AJ121" s="4">
        <v>2</v>
      </c>
      <c r="AK121" s="4">
        <v>2</v>
      </c>
      <c r="AL121" s="4">
        <v>47</v>
      </c>
      <c r="AM121" s="4">
        <v>47</v>
      </c>
      <c r="AN121" s="4">
        <v>0</v>
      </c>
      <c r="AO121" s="4">
        <v>0</v>
      </c>
      <c r="AP121" s="4">
        <v>2</v>
      </c>
      <c r="AQ121" s="4">
        <v>2</v>
      </c>
      <c r="AR121" s="3" t="s">
        <v>63</v>
      </c>
      <c r="AS121" s="3" t="s">
        <v>63</v>
      </c>
      <c r="AT121" s="3" t="s">
        <v>62</v>
      </c>
      <c r="AU121" s="6" t="str">
        <f>HYPERLINK("http://catalog.hathitrust.org/Record/004122791","HathiTrust Record")</f>
        <v>HathiTrust Record</v>
      </c>
      <c r="AV121" s="6" t="str">
        <f>HYPERLINK("http://mcgill.on.worldcat.org/oclc/43790499","Catalog Record")</f>
        <v>Catalog Record</v>
      </c>
      <c r="AW121" s="6" t="str">
        <f>HYPERLINK("http://www.worldcat.org/oclc/43790499","WorldCat Record")</f>
        <v>WorldCat Record</v>
      </c>
      <c r="AX121" s="3" t="s">
        <v>1344</v>
      </c>
      <c r="AY121" s="3" t="s">
        <v>1345</v>
      </c>
      <c r="AZ121" s="3" t="s">
        <v>1346</v>
      </c>
      <c r="BA121" s="3" t="s">
        <v>1346</v>
      </c>
      <c r="BB121" s="3" t="s">
        <v>1347</v>
      </c>
      <c r="BC121" s="3" t="s">
        <v>82</v>
      </c>
      <c r="BD121" s="3" t="s">
        <v>70</v>
      </c>
      <c r="BE121" s="3" t="s">
        <v>1348</v>
      </c>
      <c r="BF121" s="3" t="s">
        <v>1347</v>
      </c>
      <c r="BG121" s="3" t="s">
        <v>1349</v>
      </c>
    </row>
    <row r="122" spans="1:59" ht="60" x14ac:dyDescent="0.25">
      <c r="A122" s="2" t="s">
        <v>59</v>
      </c>
      <c r="B122" s="2" t="s">
        <v>60</v>
      </c>
      <c r="C122" s="2" t="s">
        <v>308</v>
      </c>
      <c r="D122" s="2" t="s">
        <v>309</v>
      </c>
      <c r="E122" s="2" t="s">
        <v>310</v>
      </c>
      <c r="G122" s="3" t="s">
        <v>63</v>
      </c>
      <c r="I122" s="3" t="s">
        <v>63</v>
      </c>
      <c r="J122" s="3" t="s">
        <v>63</v>
      </c>
      <c r="K122" s="3" t="s">
        <v>64</v>
      </c>
      <c r="L122" s="2" t="s">
        <v>311</v>
      </c>
      <c r="M122" s="2" t="s">
        <v>312</v>
      </c>
      <c r="N122" s="3" t="s">
        <v>313</v>
      </c>
      <c r="P122" s="3" t="s">
        <v>66</v>
      </c>
      <c r="Q122" s="2" t="s">
        <v>314</v>
      </c>
      <c r="R122" s="3" t="s">
        <v>67</v>
      </c>
      <c r="S122" s="4">
        <v>0</v>
      </c>
      <c r="T122" s="4">
        <v>0</v>
      </c>
      <c r="W122" s="5" t="s">
        <v>69</v>
      </c>
      <c r="X122" s="5" t="s">
        <v>69</v>
      </c>
      <c r="Y122" s="4">
        <v>74</v>
      </c>
      <c r="Z122" s="4">
        <v>8</v>
      </c>
      <c r="AA122" s="4">
        <v>94</v>
      </c>
      <c r="AB122" s="4">
        <v>1</v>
      </c>
      <c r="AC122" s="4">
        <v>17</v>
      </c>
      <c r="AD122" s="4">
        <v>40</v>
      </c>
      <c r="AE122" s="4">
        <v>114</v>
      </c>
      <c r="AF122" s="4">
        <v>0</v>
      </c>
      <c r="AG122" s="4">
        <v>8</v>
      </c>
      <c r="AH122" s="4">
        <v>38</v>
      </c>
      <c r="AI122" s="4">
        <v>79</v>
      </c>
      <c r="AJ122" s="4">
        <v>6</v>
      </c>
      <c r="AK122" s="4">
        <v>21</v>
      </c>
      <c r="AL122" s="4">
        <v>24</v>
      </c>
      <c r="AM122" s="4">
        <v>42</v>
      </c>
      <c r="AN122" s="4">
        <v>0</v>
      </c>
      <c r="AO122" s="4">
        <v>0</v>
      </c>
      <c r="AP122" s="4">
        <v>6</v>
      </c>
      <c r="AQ122" s="4">
        <v>42</v>
      </c>
      <c r="AR122" s="3" t="s">
        <v>63</v>
      </c>
      <c r="AS122" s="3" t="s">
        <v>63</v>
      </c>
      <c r="AT122" s="3" t="s">
        <v>63</v>
      </c>
      <c r="AV122" s="6" t="str">
        <f>HYPERLINK("http://mcgill.on.worldcat.org/oclc/667213241","Catalog Record")</f>
        <v>Catalog Record</v>
      </c>
      <c r="AW122" s="6" t="str">
        <f>HYPERLINK("http://www.worldcat.org/oclc/667213241","WorldCat Record")</f>
        <v>WorldCat Record</v>
      </c>
      <c r="AX122" s="3" t="s">
        <v>315</v>
      </c>
      <c r="AY122" s="3" t="s">
        <v>316</v>
      </c>
      <c r="AZ122" s="3" t="s">
        <v>317</v>
      </c>
      <c r="BA122" s="3" t="s">
        <v>317</v>
      </c>
      <c r="BB122" s="3" t="s">
        <v>318</v>
      </c>
      <c r="BC122" s="3" t="s">
        <v>82</v>
      </c>
      <c r="BD122" s="3" t="s">
        <v>70</v>
      </c>
      <c r="BE122" s="3" t="s">
        <v>319</v>
      </c>
      <c r="BF122" s="3" t="s">
        <v>318</v>
      </c>
      <c r="BG122" s="3" t="s">
        <v>320</v>
      </c>
    </row>
    <row r="123" spans="1:59" ht="60" x14ac:dyDescent="0.25">
      <c r="A123" s="2" t="s">
        <v>59</v>
      </c>
      <c r="B123" s="2" t="s">
        <v>60</v>
      </c>
      <c r="C123" s="2" t="s">
        <v>1350</v>
      </c>
      <c r="D123" s="2" t="s">
        <v>1351</v>
      </c>
      <c r="E123" s="2" t="s">
        <v>1352</v>
      </c>
      <c r="G123" s="3" t="s">
        <v>63</v>
      </c>
      <c r="I123" s="3" t="s">
        <v>63</v>
      </c>
      <c r="J123" s="3" t="s">
        <v>63</v>
      </c>
      <c r="K123" s="3" t="s">
        <v>64</v>
      </c>
      <c r="L123" s="2" t="s">
        <v>1353</v>
      </c>
      <c r="M123" s="2" t="s">
        <v>1354</v>
      </c>
      <c r="N123" s="3" t="s">
        <v>1226</v>
      </c>
      <c r="P123" s="3" t="s">
        <v>66</v>
      </c>
      <c r="Q123" s="2" t="s">
        <v>1355</v>
      </c>
      <c r="R123" s="3" t="s">
        <v>67</v>
      </c>
      <c r="S123" s="4">
        <v>2</v>
      </c>
      <c r="T123" s="4">
        <v>2</v>
      </c>
      <c r="U123" s="5" t="s">
        <v>1356</v>
      </c>
      <c r="V123" s="5" t="s">
        <v>1356</v>
      </c>
      <c r="W123" s="5" t="s">
        <v>69</v>
      </c>
      <c r="X123" s="5" t="s">
        <v>69</v>
      </c>
      <c r="Y123" s="4">
        <v>169</v>
      </c>
      <c r="Z123" s="4">
        <v>12</v>
      </c>
      <c r="AA123" s="4">
        <v>12</v>
      </c>
      <c r="AB123" s="4">
        <v>1</v>
      </c>
      <c r="AC123" s="4">
        <v>1</v>
      </c>
      <c r="AD123" s="4">
        <v>74</v>
      </c>
      <c r="AE123" s="4">
        <v>74</v>
      </c>
      <c r="AF123" s="4">
        <v>0</v>
      </c>
      <c r="AG123" s="4">
        <v>0</v>
      </c>
      <c r="AH123" s="4">
        <v>71</v>
      </c>
      <c r="AI123" s="4">
        <v>71</v>
      </c>
      <c r="AJ123" s="4">
        <v>9</v>
      </c>
      <c r="AK123" s="4">
        <v>9</v>
      </c>
      <c r="AL123" s="4">
        <v>42</v>
      </c>
      <c r="AM123" s="4">
        <v>42</v>
      </c>
      <c r="AN123" s="4">
        <v>0</v>
      </c>
      <c r="AO123" s="4">
        <v>0</v>
      </c>
      <c r="AP123" s="4">
        <v>9</v>
      </c>
      <c r="AQ123" s="4">
        <v>9</v>
      </c>
      <c r="AR123" s="3" t="s">
        <v>63</v>
      </c>
      <c r="AS123" s="3" t="s">
        <v>63</v>
      </c>
      <c r="AT123" s="3" t="s">
        <v>62</v>
      </c>
      <c r="AU123" s="6" t="str">
        <f>HYPERLINK("http://catalog.hathitrust.org/Record/004333386","HathiTrust Record")</f>
        <v>HathiTrust Record</v>
      </c>
      <c r="AV123" s="6" t="str">
        <f>HYPERLINK("http://mcgill.on.worldcat.org/oclc/51454504","Catalog Record")</f>
        <v>Catalog Record</v>
      </c>
      <c r="AW123" s="6" t="str">
        <f>HYPERLINK("http://www.worldcat.org/oclc/51454504","WorldCat Record")</f>
        <v>WorldCat Record</v>
      </c>
      <c r="AX123" s="3" t="s">
        <v>1357</v>
      </c>
      <c r="AY123" s="3" t="s">
        <v>1358</v>
      </c>
      <c r="AZ123" s="3" t="s">
        <v>1359</v>
      </c>
      <c r="BA123" s="3" t="s">
        <v>1359</v>
      </c>
      <c r="BB123" s="3" t="s">
        <v>1360</v>
      </c>
      <c r="BC123" s="3" t="s">
        <v>82</v>
      </c>
      <c r="BD123" s="3" t="s">
        <v>70</v>
      </c>
      <c r="BE123" s="3" t="s">
        <v>1361</v>
      </c>
      <c r="BF123" s="3" t="s">
        <v>1360</v>
      </c>
      <c r="BG123" s="3" t="s">
        <v>1362</v>
      </c>
    </row>
    <row r="124" spans="1:59" ht="60" x14ac:dyDescent="0.25">
      <c r="A124" s="2" t="s">
        <v>59</v>
      </c>
      <c r="B124" s="2" t="s">
        <v>60</v>
      </c>
      <c r="C124" s="2" t="s">
        <v>1363</v>
      </c>
      <c r="D124" s="2" t="s">
        <v>1364</v>
      </c>
      <c r="E124" s="2" t="s">
        <v>1365</v>
      </c>
      <c r="F124" s="3" t="s">
        <v>1366</v>
      </c>
      <c r="G124" s="3" t="s">
        <v>62</v>
      </c>
      <c r="I124" s="3" t="s">
        <v>63</v>
      </c>
      <c r="J124" s="3" t="s">
        <v>63</v>
      </c>
      <c r="K124" s="3" t="s">
        <v>64</v>
      </c>
      <c r="L124" s="2" t="s">
        <v>1367</v>
      </c>
      <c r="N124" s="3" t="s">
        <v>1368</v>
      </c>
      <c r="P124" s="3" t="s">
        <v>769</v>
      </c>
      <c r="R124" s="3" t="s">
        <v>67</v>
      </c>
      <c r="S124" s="4">
        <v>0</v>
      </c>
      <c r="T124" s="4">
        <v>1</v>
      </c>
      <c r="V124" s="5" t="s">
        <v>1264</v>
      </c>
      <c r="W124" s="5" t="s">
        <v>69</v>
      </c>
      <c r="X124" s="5" t="s">
        <v>69</v>
      </c>
      <c r="Y124" s="4">
        <v>25</v>
      </c>
      <c r="Z124" s="4">
        <v>3</v>
      </c>
      <c r="AA124" s="4">
        <v>5</v>
      </c>
      <c r="AB124" s="4">
        <v>1</v>
      </c>
      <c r="AC124" s="4">
        <v>1</v>
      </c>
      <c r="AD124" s="4">
        <v>19</v>
      </c>
      <c r="AE124" s="4">
        <v>21</v>
      </c>
      <c r="AF124" s="4">
        <v>0</v>
      </c>
      <c r="AG124" s="4">
        <v>0</v>
      </c>
      <c r="AH124" s="4">
        <v>18</v>
      </c>
      <c r="AI124" s="4">
        <v>20</v>
      </c>
      <c r="AJ124" s="4">
        <v>2</v>
      </c>
      <c r="AK124" s="4">
        <v>3</v>
      </c>
      <c r="AL124" s="4">
        <v>14</v>
      </c>
      <c r="AM124" s="4">
        <v>15</v>
      </c>
      <c r="AN124" s="4">
        <v>0</v>
      </c>
      <c r="AO124" s="4">
        <v>0</v>
      </c>
      <c r="AP124" s="4">
        <v>2</v>
      </c>
      <c r="AQ124" s="4">
        <v>3</v>
      </c>
      <c r="AR124" s="3" t="s">
        <v>63</v>
      </c>
      <c r="AS124" s="3" t="s">
        <v>63</v>
      </c>
      <c r="AT124" s="3" t="s">
        <v>62</v>
      </c>
      <c r="AU124" s="6" t="str">
        <f>HYPERLINK("http://catalog.hathitrust.org/Record/102474245","HathiTrust Record")</f>
        <v>HathiTrust Record</v>
      </c>
      <c r="AV124" s="6" t="str">
        <f>HYPERLINK("http://mcgill.on.worldcat.org/oclc/4953098","Catalog Record")</f>
        <v>Catalog Record</v>
      </c>
      <c r="AW124" s="6" t="str">
        <f>HYPERLINK("http://www.worldcat.org/oclc/4953098","WorldCat Record")</f>
        <v>WorldCat Record</v>
      </c>
      <c r="AX124" s="3" t="s">
        <v>1369</v>
      </c>
      <c r="AY124" s="3" t="s">
        <v>1370</v>
      </c>
      <c r="AZ124" s="3" t="s">
        <v>1371</v>
      </c>
      <c r="BA124" s="3" t="s">
        <v>1371</v>
      </c>
      <c r="BB124" s="3" t="s">
        <v>1372</v>
      </c>
      <c r="BC124" s="3" t="s">
        <v>82</v>
      </c>
      <c r="BD124" s="3" t="s">
        <v>70</v>
      </c>
      <c r="BF124" s="3" t="s">
        <v>1372</v>
      </c>
      <c r="BG124" s="3" t="s">
        <v>1373</v>
      </c>
    </row>
    <row r="125" spans="1:59" ht="60" x14ac:dyDescent="0.25">
      <c r="A125" s="2" t="s">
        <v>59</v>
      </c>
      <c r="B125" s="2" t="s">
        <v>60</v>
      </c>
      <c r="C125" s="2" t="s">
        <v>1363</v>
      </c>
      <c r="D125" s="2" t="s">
        <v>1364</v>
      </c>
      <c r="E125" s="2" t="s">
        <v>1365</v>
      </c>
      <c r="F125" s="3" t="s">
        <v>61</v>
      </c>
      <c r="G125" s="3" t="s">
        <v>62</v>
      </c>
      <c r="I125" s="3" t="s">
        <v>63</v>
      </c>
      <c r="J125" s="3" t="s">
        <v>63</v>
      </c>
      <c r="K125" s="3" t="s">
        <v>64</v>
      </c>
      <c r="L125" s="2" t="s">
        <v>1367</v>
      </c>
      <c r="N125" s="3" t="s">
        <v>1368</v>
      </c>
      <c r="P125" s="3" t="s">
        <v>769</v>
      </c>
      <c r="R125" s="3" t="s">
        <v>67</v>
      </c>
      <c r="S125" s="4">
        <v>0</v>
      </c>
      <c r="T125" s="4">
        <v>1</v>
      </c>
      <c r="V125" s="5" t="s">
        <v>1264</v>
      </c>
      <c r="W125" s="5" t="s">
        <v>69</v>
      </c>
      <c r="X125" s="5" t="s">
        <v>69</v>
      </c>
      <c r="Y125" s="4">
        <v>25</v>
      </c>
      <c r="Z125" s="4">
        <v>3</v>
      </c>
      <c r="AA125" s="4">
        <v>5</v>
      </c>
      <c r="AB125" s="4">
        <v>1</v>
      </c>
      <c r="AC125" s="4">
        <v>1</v>
      </c>
      <c r="AD125" s="4">
        <v>19</v>
      </c>
      <c r="AE125" s="4">
        <v>21</v>
      </c>
      <c r="AF125" s="4">
        <v>0</v>
      </c>
      <c r="AG125" s="4">
        <v>0</v>
      </c>
      <c r="AH125" s="4">
        <v>18</v>
      </c>
      <c r="AI125" s="4">
        <v>20</v>
      </c>
      <c r="AJ125" s="4">
        <v>2</v>
      </c>
      <c r="AK125" s="4">
        <v>3</v>
      </c>
      <c r="AL125" s="4">
        <v>14</v>
      </c>
      <c r="AM125" s="4">
        <v>15</v>
      </c>
      <c r="AN125" s="4">
        <v>0</v>
      </c>
      <c r="AO125" s="4">
        <v>0</v>
      </c>
      <c r="AP125" s="4">
        <v>2</v>
      </c>
      <c r="AQ125" s="4">
        <v>3</v>
      </c>
      <c r="AR125" s="3" t="s">
        <v>63</v>
      </c>
      <c r="AS125" s="3" t="s">
        <v>63</v>
      </c>
      <c r="AT125" s="3" t="s">
        <v>62</v>
      </c>
      <c r="AU125" s="6" t="str">
        <f>HYPERLINK("http://catalog.hathitrust.org/Record/102474245","HathiTrust Record")</f>
        <v>HathiTrust Record</v>
      </c>
      <c r="AV125" s="6" t="str">
        <f>HYPERLINK("http://mcgill.on.worldcat.org/oclc/4953098","Catalog Record")</f>
        <v>Catalog Record</v>
      </c>
      <c r="AW125" s="6" t="str">
        <f>HYPERLINK("http://www.worldcat.org/oclc/4953098","WorldCat Record")</f>
        <v>WorldCat Record</v>
      </c>
      <c r="AX125" s="3" t="s">
        <v>1369</v>
      </c>
      <c r="AY125" s="3" t="s">
        <v>1370</v>
      </c>
      <c r="AZ125" s="3" t="s">
        <v>1371</v>
      </c>
      <c r="BA125" s="3" t="s">
        <v>1371</v>
      </c>
      <c r="BB125" s="3" t="s">
        <v>1374</v>
      </c>
      <c r="BC125" s="3" t="s">
        <v>82</v>
      </c>
      <c r="BD125" s="3" t="s">
        <v>70</v>
      </c>
      <c r="BF125" s="3" t="s">
        <v>1374</v>
      </c>
      <c r="BG125" s="3" t="s">
        <v>1375</v>
      </c>
    </row>
    <row r="126" spans="1:59" ht="60" x14ac:dyDescent="0.25">
      <c r="A126" s="2" t="s">
        <v>59</v>
      </c>
      <c r="B126" s="2" t="s">
        <v>60</v>
      </c>
      <c r="C126" s="2" t="s">
        <v>1363</v>
      </c>
      <c r="D126" s="2" t="s">
        <v>1364</v>
      </c>
      <c r="E126" s="2" t="s">
        <v>1365</v>
      </c>
      <c r="F126" s="3" t="s">
        <v>1376</v>
      </c>
      <c r="G126" s="3" t="s">
        <v>62</v>
      </c>
      <c r="I126" s="3" t="s">
        <v>63</v>
      </c>
      <c r="J126" s="3" t="s">
        <v>63</v>
      </c>
      <c r="K126" s="3" t="s">
        <v>64</v>
      </c>
      <c r="L126" s="2" t="s">
        <v>1367</v>
      </c>
      <c r="N126" s="3" t="s">
        <v>1368</v>
      </c>
      <c r="P126" s="3" t="s">
        <v>769</v>
      </c>
      <c r="R126" s="3" t="s">
        <v>67</v>
      </c>
      <c r="S126" s="4">
        <v>0</v>
      </c>
      <c r="T126" s="4">
        <v>1</v>
      </c>
      <c r="V126" s="5" t="s">
        <v>1264</v>
      </c>
      <c r="W126" s="5" t="s">
        <v>69</v>
      </c>
      <c r="X126" s="5" t="s">
        <v>69</v>
      </c>
      <c r="Y126" s="4">
        <v>25</v>
      </c>
      <c r="Z126" s="4">
        <v>3</v>
      </c>
      <c r="AA126" s="4">
        <v>5</v>
      </c>
      <c r="AB126" s="4">
        <v>1</v>
      </c>
      <c r="AC126" s="4">
        <v>1</v>
      </c>
      <c r="AD126" s="4">
        <v>19</v>
      </c>
      <c r="AE126" s="4">
        <v>21</v>
      </c>
      <c r="AF126" s="4">
        <v>0</v>
      </c>
      <c r="AG126" s="4">
        <v>0</v>
      </c>
      <c r="AH126" s="4">
        <v>18</v>
      </c>
      <c r="AI126" s="4">
        <v>20</v>
      </c>
      <c r="AJ126" s="4">
        <v>2</v>
      </c>
      <c r="AK126" s="4">
        <v>3</v>
      </c>
      <c r="AL126" s="4">
        <v>14</v>
      </c>
      <c r="AM126" s="4">
        <v>15</v>
      </c>
      <c r="AN126" s="4">
        <v>0</v>
      </c>
      <c r="AO126" s="4">
        <v>0</v>
      </c>
      <c r="AP126" s="4">
        <v>2</v>
      </c>
      <c r="AQ126" s="4">
        <v>3</v>
      </c>
      <c r="AR126" s="3" t="s">
        <v>63</v>
      </c>
      <c r="AS126" s="3" t="s">
        <v>63</v>
      </c>
      <c r="AT126" s="3" t="s">
        <v>62</v>
      </c>
      <c r="AU126" s="6" t="str">
        <f>HYPERLINK("http://catalog.hathitrust.org/Record/102474245","HathiTrust Record")</f>
        <v>HathiTrust Record</v>
      </c>
      <c r="AV126" s="6" t="str">
        <f>HYPERLINK("http://mcgill.on.worldcat.org/oclc/4953098","Catalog Record")</f>
        <v>Catalog Record</v>
      </c>
      <c r="AW126" s="6" t="str">
        <f>HYPERLINK("http://www.worldcat.org/oclc/4953098","WorldCat Record")</f>
        <v>WorldCat Record</v>
      </c>
      <c r="AX126" s="3" t="s">
        <v>1369</v>
      </c>
      <c r="AY126" s="3" t="s">
        <v>1370</v>
      </c>
      <c r="AZ126" s="3" t="s">
        <v>1371</v>
      </c>
      <c r="BA126" s="3" t="s">
        <v>1371</v>
      </c>
      <c r="BB126" s="3" t="s">
        <v>1377</v>
      </c>
      <c r="BC126" s="3" t="s">
        <v>82</v>
      </c>
      <c r="BD126" s="3" t="s">
        <v>70</v>
      </c>
      <c r="BF126" s="3" t="s">
        <v>1377</v>
      </c>
      <c r="BG126" s="3" t="s">
        <v>1378</v>
      </c>
    </row>
    <row r="127" spans="1:59" ht="60" x14ac:dyDescent="0.25">
      <c r="A127" s="2" t="s">
        <v>59</v>
      </c>
      <c r="B127" s="2" t="s">
        <v>60</v>
      </c>
      <c r="C127" s="2" t="s">
        <v>1363</v>
      </c>
      <c r="D127" s="2" t="s">
        <v>1364</v>
      </c>
      <c r="E127" s="2" t="s">
        <v>1365</v>
      </c>
      <c r="F127" s="3" t="s">
        <v>1379</v>
      </c>
      <c r="G127" s="3" t="s">
        <v>62</v>
      </c>
      <c r="I127" s="3" t="s">
        <v>63</v>
      </c>
      <c r="J127" s="3" t="s">
        <v>63</v>
      </c>
      <c r="K127" s="3" t="s">
        <v>64</v>
      </c>
      <c r="L127" s="2" t="s">
        <v>1367</v>
      </c>
      <c r="N127" s="3" t="s">
        <v>1368</v>
      </c>
      <c r="P127" s="3" t="s">
        <v>769</v>
      </c>
      <c r="R127" s="3" t="s">
        <v>67</v>
      </c>
      <c r="S127" s="4">
        <v>0</v>
      </c>
      <c r="T127" s="4">
        <v>1</v>
      </c>
      <c r="V127" s="5" t="s">
        <v>1264</v>
      </c>
      <c r="W127" s="5" t="s">
        <v>69</v>
      </c>
      <c r="X127" s="5" t="s">
        <v>69</v>
      </c>
      <c r="Y127" s="4">
        <v>25</v>
      </c>
      <c r="Z127" s="4">
        <v>3</v>
      </c>
      <c r="AA127" s="4">
        <v>5</v>
      </c>
      <c r="AB127" s="4">
        <v>1</v>
      </c>
      <c r="AC127" s="4">
        <v>1</v>
      </c>
      <c r="AD127" s="4">
        <v>19</v>
      </c>
      <c r="AE127" s="4">
        <v>21</v>
      </c>
      <c r="AF127" s="4">
        <v>0</v>
      </c>
      <c r="AG127" s="4">
        <v>0</v>
      </c>
      <c r="AH127" s="4">
        <v>18</v>
      </c>
      <c r="AI127" s="4">
        <v>20</v>
      </c>
      <c r="AJ127" s="4">
        <v>2</v>
      </c>
      <c r="AK127" s="4">
        <v>3</v>
      </c>
      <c r="AL127" s="4">
        <v>14</v>
      </c>
      <c r="AM127" s="4">
        <v>15</v>
      </c>
      <c r="AN127" s="4">
        <v>0</v>
      </c>
      <c r="AO127" s="4">
        <v>0</v>
      </c>
      <c r="AP127" s="4">
        <v>2</v>
      </c>
      <c r="AQ127" s="4">
        <v>3</v>
      </c>
      <c r="AR127" s="3" t="s">
        <v>63</v>
      </c>
      <c r="AS127" s="3" t="s">
        <v>63</v>
      </c>
      <c r="AT127" s="3" t="s">
        <v>62</v>
      </c>
      <c r="AU127" s="6" t="str">
        <f>HYPERLINK("http://catalog.hathitrust.org/Record/102474245","HathiTrust Record")</f>
        <v>HathiTrust Record</v>
      </c>
      <c r="AV127" s="6" t="str">
        <f>HYPERLINK("http://mcgill.on.worldcat.org/oclc/4953098","Catalog Record")</f>
        <v>Catalog Record</v>
      </c>
      <c r="AW127" s="6" t="str">
        <f>HYPERLINK("http://www.worldcat.org/oclc/4953098","WorldCat Record")</f>
        <v>WorldCat Record</v>
      </c>
      <c r="AX127" s="3" t="s">
        <v>1369</v>
      </c>
      <c r="AY127" s="3" t="s">
        <v>1370</v>
      </c>
      <c r="AZ127" s="3" t="s">
        <v>1371</v>
      </c>
      <c r="BA127" s="3" t="s">
        <v>1371</v>
      </c>
      <c r="BB127" s="3" t="s">
        <v>1380</v>
      </c>
      <c r="BC127" s="3" t="s">
        <v>82</v>
      </c>
      <c r="BD127" s="3" t="s">
        <v>70</v>
      </c>
      <c r="BF127" s="3" t="s">
        <v>1380</v>
      </c>
      <c r="BG127" s="3" t="s">
        <v>1381</v>
      </c>
    </row>
    <row r="128" spans="1:59" ht="60" x14ac:dyDescent="0.25">
      <c r="A128" s="2" t="s">
        <v>59</v>
      </c>
      <c r="B128" s="2" t="s">
        <v>60</v>
      </c>
      <c r="C128" s="2" t="s">
        <v>1363</v>
      </c>
      <c r="D128" s="2" t="s">
        <v>1364</v>
      </c>
      <c r="E128" s="2" t="s">
        <v>1365</v>
      </c>
      <c r="F128" s="3" t="s">
        <v>1095</v>
      </c>
      <c r="G128" s="3" t="s">
        <v>62</v>
      </c>
      <c r="I128" s="3" t="s">
        <v>63</v>
      </c>
      <c r="J128" s="3" t="s">
        <v>63</v>
      </c>
      <c r="K128" s="3" t="s">
        <v>64</v>
      </c>
      <c r="L128" s="2" t="s">
        <v>1367</v>
      </c>
      <c r="N128" s="3" t="s">
        <v>1368</v>
      </c>
      <c r="P128" s="3" t="s">
        <v>769</v>
      </c>
      <c r="R128" s="3" t="s">
        <v>67</v>
      </c>
      <c r="S128" s="4">
        <v>0</v>
      </c>
      <c r="T128" s="4">
        <v>1</v>
      </c>
      <c r="V128" s="5" t="s">
        <v>1264</v>
      </c>
      <c r="W128" s="5" t="s">
        <v>69</v>
      </c>
      <c r="X128" s="5" t="s">
        <v>69</v>
      </c>
      <c r="Y128" s="4">
        <v>25</v>
      </c>
      <c r="Z128" s="4">
        <v>3</v>
      </c>
      <c r="AA128" s="4">
        <v>5</v>
      </c>
      <c r="AB128" s="4">
        <v>1</v>
      </c>
      <c r="AC128" s="4">
        <v>1</v>
      </c>
      <c r="AD128" s="4">
        <v>19</v>
      </c>
      <c r="AE128" s="4">
        <v>21</v>
      </c>
      <c r="AF128" s="4">
        <v>0</v>
      </c>
      <c r="AG128" s="4">
        <v>0</v>
      </c>
      <c r="AH128" s="4">
        <v>18</v>
      </c>
      <c r="AI128" s="4">
        <v>20</v>
      </c>
      <c r="AJ128" s="4">
        <v>2</v>
      </c>
      <c r="AK128" s="4">
        <v>3</v>
      </c>
      <c r="AL128" s="4">
        <v>14</v>
      </c>
      <c r="AM128" s="4">
        <v>15</v>
      </c>
      <c r="AN128" s="4">
        <v>0</v>
      </c>
      <c r="AO128" s="4">
        <v>0</v>
      </c>
      <c r="AP128" s="4">
        <v>2</v>
      </c>
      <c r="AQ128" s="4">
        <v>3</v>
      </c>
      <c r="AR128" s="3" t="s">
        <v>63</v>
      </c>
      <c r="AS128" s="3" t="s">
        <v>63</v>
      </c>
      <c r="AT128" s="3" t="s">
        <v>62</v>
      </c>
      <c r="AU128" s="6" t="str">
        <f>HYPERLINK("http://catalog.hathitrust.org/Record/102474245","HathiTrust Record")</f>
        <v>HathiTrust Record</v>
      </c>
      <c r="AV128" s="6" t="str">
        <f>HYPERLINK("http://mcgill.on.worldcat.org/oclc/4953098","Catalog Record")</f>
        <v>Catalog Record</v>
      </c>
      <c r="AW128" s="6" t="str">
        <f>HYPERLINK("http://www.worldcat.org/oclc/4953098","WorldCat Record")</f>
        <v>WorldCat Record</v>
      </c>
      <c r="AX128" s="3" t="s">
        <v>1369</v>
      </c>
      <c r="AY128" s="3" t="s">
        <v>1370</v>
      </c>
      <c r="AZ128" s="3" t="s">
        <v>1371</v>
      </c>
      <c r="BA128" s="3" t="s">
        <v>1371</v>
      </c>
      <c r="BB128" s="3" t="s">
        <v>1382</v>
      </c>
      <c r="BC128" s="3" t="s">
        <v>82</v>
      </c>
      <c r="BD128" s="3" t="s">
        <v>70</v>
      </c>
      <c r="BF128" s="3" t="s">
        <v>1382</v>
      </c>
      <c r="BG128" s="3" t="s">
        <v>1383</v>
      </c>
    </row>
    <row r="129" spans="1:59" ht="60" x14ac:dyDescent="0.25">
      <c r="A129" s="2" t="s">
        <v>59</v>
      </c>
      <c r="B129" s="2" t="s">
        <v>60</v>
      </c>
      <c r="C129" s="2" t="s">
        <v>1363</v>
      </c>
      <c r="D129" s="2" t="s">
        <v>1364</v>
      </c>
      <c r="E129" s="2" t="s">
        <v>1365</v>
      </c>
      <c r="F129" s="3" t="s">
        <v>1384</v>
      </c>
      <c r="G129" s="3" t="s">
        <v>62</v>
      </c>
      <c r="I129" s="3" t="s">
        <v>63</v>
      </c>
      <c r="J129" s="3" t="s">
        <v>63</v>
      </c>
      <c r="K129" s="3" t="s">
        <v>64</v>
      </c>
      <c r="L129" s="2" t="s">
        <v>1367</v>
      </c>
      <c r="N129" s="3" t="s">
        <v>1368</v>
      </c>
      <c r="P129" s="3" t="s">
        <v>769</v>
      </c>
      <c r="R129" s="3" t="s">
        <v>67</v>
      </c>
      <c r="S129" s="4">
        <v>0</v>
      </c>
      <c r="T129" s="4">
        <v>1</v>
      </c>
      <c r="V129" s="5" t="s">
        <v>1264</v>
      </c>
      <c r="W129" s="5" t="s">
        <v>69</v>
      </c>
      <c r="X129" s="5" t="s">
        <v>69</v>
      </c>
      <c r="Y129" s="4">
        <v>25</v>
      </c>
      <c r="Z129" s="4">
        <v>3</v>
      </c>
      <c r="AA129" s="4">
        <v>5</v>
      </c>
      <c r="AB129" s="4">
        <v>1</v>
      </c>
      <c r="AC129" s="4">
        <v>1</v>
      </c>
      <c r="AD129" s="4">
        <v>19</v>
      </c>
      <c r="AE129" s="4">
        <v>21</v>
      </c>
      <c r="AF129" s="4">
        <v>0</v>
      </c>
      <c r="AG129" s="4">
        <v>0</v>
      </c>
      <c r="AH129" s="4">
        <v>18</v>
      </c>
      <c r="AI129" s="4">
        <v>20</v>
      </c>
      <c r="AJ129" s="4">
        <v>2</v>
      </c>
      <c r="AK129" s="4">
        <v>3</v>
      </c>
      <c r="AL129" s="4">
        <v>14</v>
      </c>
      <c r="AM129" s="4">
        <v>15</v>
      </c>
      <c r="AN129" s="4">
        <v>0</v>
      </c>
      <c r="AO129" s="4">
        <v>0</v>
      </c>
      <c r="AP129" s="4">
        <v>2</v>
      </c>
      <c r="AQ129" s="4">
        <v>3</v>
      </c>
      <c r="AR129" s="3" t="s">
        <v>63</v>
      </c>
      <c r="AS129" s="3" t="s">
        <v>63</v>
      </c>
      <c r="AT129" s="3" t="s">
        <v>62</v>
      </c>
      <c r="AU129" s="6" t="str">
        <f>HYPERLINK("http://catalog.hathitrust.org/Record/102474245","HathiTrust Record")</f>
        <v>HathiTrust Record</v>
      </c>
      <c r="AV129" s="6" t="str">
        <f>HYPERLINK("http://mcgill.on.worldcat.org/oclc/4953098","Catalog Record")</f>
        <v>Catalog Record</v>
      </c>
      <c r="AW129" s="6" t="str">
        <f>HYPERLINK("http://www.worldcat.org/oclc/4953098","WorldCat Record")</f>
        <v>WorldCat Record</v>
      </c>
      <c r="AX129" s="3" t="s">
        <v>1369</v>
      </c>
      <c r="AY129" s="3" t="s">
        <v>1370</v>
      </c>
      <c r="AZ129" s="3" t="s">
        <v>1371</v>
      </c>
      <c r="BA129" s="3" t="s">
        <v>1371</v>
      </c>
      <c r="BB129" s="3" t="s">
        <v>1385</v>
      </c>
      <c r="BC129" s="3" t="s">
        <v>82</v>
      </c>
      <c r="BD129" s="3" t="s">
        <v>70</v>
      </c>
      <c r="BF129" s="3" t="s">
        <v>1385</v>
      </c>
      <c r="BG129" s="3" t="s">
        <v>1386</v>
      </c>
    </row>
    <row r="130" spans="1:59" ht="60" x14ac:dyDescent="0.25">
      <c r="A130" s="2" t="s">
        <v>59</v>
      </c>
      <c r="B130" s="2" t="s">
        <v>60</v>
      </c>
      <c r="C130" s="2" t="s">
        <v>1363</v>
      </c>
      <c r="D130" s="2" t="s">
        <v>1364</v>
      </c>
      <c r="E130" s="2" t="s">
        <v>1365</v>
      </c>
      <c r="F130" s="3" t="s">
        <v>1387</v>
      </c>
      <c r="G130" s="3" t="s">
        <v>62</v>
      </c>
      <c r="I130" s="3" t="s">
        <v>63</v>
      </c>
      <c r="J130" s="3" t="s">
        <v>63</v>
      </c>
      <c r="K130" s="3" t="s">
        <v>64</v>
      </c>
      <c r="L130" s="2" t="s">
        <v>1367</v>
      </c>
      <c r="N130" s="3" t="s">
        <v>1368</v>
      </c>
      <c r="P130" s="3" t="s">
        <v>769</v>
      </c>
      <c r="R130" s="3" t="s">
        <v>67</v>
      </c>
      <c r="S130" s="4">
        <v>0</v>
      </c>
      <c r="T130" s="4">
        <v>1</v>
      </c>
      <c r="V130" s="5" t="s">
        <v>1264</v>
      </c>
      <c r="W130" s="5" t="s">
        <v>69</v>
      </c>
      <c r="X130" s="5" t="s">
        <v>69</v>
      </c>
      <c r="Y130" s="4">
        <v>25</v>
      </c>
      <c r="Z130" s="4">
        <v>3</v>
      </c>
      <c r="AA130" s="4">
        <v>5</v>
      </c>
      <c r="AB130" s="4">
        <v>1</v>
      </c>
      <c r="AC130" s="4">
        <v>1</v>
      </c>
      <c r="AD130" s="4">
        <v>19</v>
      </c>
      <c r="AE130" s="4">
        <v>21</v>
      </c>
      <c r="AF130" s="4">
        <v>0</v>
      </c>
      <c r="AG130" s="4">
        <v>0</v>
      </c>
      <c r="AH130" s="4">
        <v>18</v>
      </c>
      <c r="AI130" s="4">
        <v>20</v>
      </c>
      <c r="AJ130" s="4">
        <v>2</v>
      </c>
      <c r="AK130" s="4">
        <v>3</v>
      </c>
      <c r="AL130" s="4">
        <v>14</v>
      </c>
      <c r="AM130" s="4">
        <v>15</v>
      </c>
      <c r="AN130" s="4">
        <v>0</v>
      </c>
      <c r="AO130" s="4">
        <v>0</v>
      </c>
      <c r="AP130" s="4">
        <v>2</v>
      </c>
      <c r="AQ130" s="4">
        <v>3</v>
      </c>
      <c r="AR130" s="3" t="s">
        <v>63</v>
      </c>
      <c r="AS130" s="3" t="s">
        <v>63</v>
      </c>
      <c r="AT130" s="3" t="s">
        <v>62</v>
      </c>
      <c r="AU130" s="6" t="str">
        <f>HYPERLINK("http://catalog.hathitrust.org/Record/102474245","HathiTrust Record")</f>
        <v>HathiTrust Record</v>
      </c>
      <c r="AV130" s="6" t="str">
        <f>HYPERLINK("http://mcgill.on.worldcat.org/oclc/4953098","Catalog Record")</f>
        <v>Catalog Record</v>
      </c>
      <c r="AW130" s="6" t="str">
        <f>HYPERLINK("http://www.worldcat.org/oclc/4953098","WorldCat Record")</f>
        <v>WorldCat Record</v>
      </c>
      <c r="AX130" s="3" t="s">
        <v>1369</v>
      </c>
      <c r="AY130" s="3" t="s">
        <v>1370</v>
      </c>
      <c r="AZ130" s="3" t="s">
        <v>1371</v>
      </c>
      <c r="BA130" s="3" t="s">
        <v>1371</v>
      </c>
      <c r="BB130" s="3" t="s">
        <v>1388</v>
      </c>
      <c r="BC130" s="3" t="s">
        <v>82</v>
      </c>
      <c r="BD130" s="3" t="s">
        <v>70</v>
      </c>
      <c r="BF130" s="3" t="s">
        <v>1388</v>
      </c>
      <c r="BG130" s="3" t="s">
        <v>1389</v>
      </c>
    </row>
    <row r="131" spans="1:59" ht="60" x14ac:dyDescent="0.25">
      <c r="A131" s="2" t="s">
        <v>59</v>
      </c>
      <c r="B131" s="2" t="s">
        <v>60</v>
      </c>
      <c r="C131" s="2" t="s">
        <v>1363</v>
      </c>
      <c r="D131" s="2" t="s">
        <v>1364</v>
      </c>
      <c r="E131" s="2" t="s">
        <v>1365</v>
      </c>
      <c r="F131" s="3" t="s">
        <v>1390</v>
      </c>
      <c r="G131" s="3" t="s">
        <v>62</v>
      </c>
      <c r="I131" s="3" t="s">
        <v>63</v>
      </c>
      <c r="J131" s="3" t="s">
        <v>63</v>
      </c>
      <c r="K131" s="3" t="s">
        <v>64</v>
      </c>
      <c r="L131" s="2" t="s">
        <v>1367</v>
      </c>
      <c r="N131" s="3" t="s">
        <v>1368</v>
      </c>
      <c r="P131" s="3" t="s">
        <v>769</v>
      </c>
      <c r="R131" s="3" t="s">
        <v>67</v>
      </c>
      <c r="S131" s="4">
        <v>1</v>
      </c>
      <c r="T131" s="4">
        <v>1</v>
      </c>
      <c r="U131" s="5" t="s">
        <v>1264</v>
      </c>
      <c r="V131" s="5" t="s">
        <v>1264</v>
      </c>
      <c r="W131" s="5" t="s">
        <v>69</v>
      </c>
      <c r="X131" s="5" t="s">
        <v>69</v>
      </c>
      <c r="Y131" s="4">
        <v>25</v>
      </c>
      <c r="Z131" s="4">
        <v>3</v>
      </c>
      <c r="AA131" s="4">
        <v>5</v>
      </c>
      <c r="AB131" s="4">
        <v>1</v>
      </c>
      <c r="AC131" s="4">
        <v>1</v>
      </c>
      <c r="AD131" s="4">
        <v>19</v>
      </c>
      <c r="AE131" s="4">
        <v>21</v>
      </c>
      <c r="AF131" s="4">
        <v>0</v>
      </c>
      <c r="AG131" s="4">
        <v>0</v>
      </c>
      <c r="AH131" s="4">
        <v>18</v>
      </c>
      <c r="AI131" s="4">
        <v>20</v>
      </c>
      <c r="AJ131" s="4">
        <v>2</v>
      </c>
      <c r="AK131" s="4">
        <v>3</v>
      </c>
      <c r="AL131" s="4">
        <v>14</v>
      </c>
      <c r="AM131" s="4">
        <v>15</v>
      </c>
      <c r="AN131" s="4">
        <v>0</v>
      </c>
      <c r="AO131" s="4">
        <v>0</v>
      </c>
      <c r="AP131" s="4">
        <v>2</v>
      </c>
      <c r="AQ131" s="4">
        <v>3</v>
      </c>
      <c r="AR131" s="3" t="s">
        <v>63</v>
      </c>
      <c r="AS131" s="3" t="s">
        <v>63</v>
      </c>
      <c r="AT131" s="3" t="s">
        <v>62</v>
      </c>
      <c r="AU131" s="6" t="str">
        <f>HYPERLINK("http://catalog.hathitrust.org/Record/102474245","HathiTrust Record")</f>
        <v>HathiTrust Record</v>
      </c>
      <c r="AV131" s="6" t="str">
        <f>HYPERLINK("http://mcgill.on.worldcat.org/oclc/4953098","Catalog Record")</f>
        <v>Catalog Record</v>
      </c>
      <c r="AW131" s="6" t="str">
        <f>HYPERLINK("http://www.worldcat.org/oclc/4953098","WorldCat Record")</f>
        <v>WorldCat Record</v>
      </c>
      <c r="AX131" s="3" t="s">
        <v>1369</v>
      </c>
      <c r="AY131" s="3" t="s">
        <v>1370</v>
      </c>
      <c r="AZ131" s="3" t="s">
        <v>1371</v>
      </c>
      <c r="BA131" s="3" t="s">
        <v>1371</v>
      </c>
      <c r="BB131" s="3" t="s">
        <v>1391</v>
      </c>
      <c r="BC131" s="3" t="s">
        <v>82</v>
      </c>
      <c r="BD131" s="3" t="s">
        <v>70</v>
      </c>
      <c r="BF131" s="3" t="s">
        <v>1391</v>
      </c>
      <c r="BG131" s="3" t="s">
        <v>1392</v>
      </c>
    </row>
    <row r="132" spans="1:59" ht="60" x14ac:dyDescent="0.25">
      <c r="A132" s="2" t="s">
        <v>59</v>
      </c>
      <c r="B132" s="2" t="s">
        <v>60</v>
      </c>
      <c r="C132" s="2" t="s">
        <v>1363</v>
      </c>
      <c r="D132" s="2" t="s">
        <v>1364</v>
      </c>
      <c r="E132" s="2" t="s">
        <v>1365</v>
      </c>
      <c r="F132" s="3" t="s">
        <v>1105</v>
      </c>
      <c r="G132" s="3" t="s">
        <v>62</v>
      </c>
      <c r="I132" s="3" t="s">
        <v>63</v>
      </c>
      <c r="J132" s="3" t="s">
        <v>63</v>
      </c>
      <c r="K132" s="3" t="s">
        <v>64</v>
      </c>
      <c r="L132" s="2" t="s">
        <v>1367</v>
      </c>
      <c r="N132" s="3" t="s">
        <v>1368</v>
      </c>
      <c r="P132" s="3" t="s">
        <v>769</v>
      </c>
      <c r="R132" s="3" t="s">
        <v>67</v>
      </c>
      <c r="S132" s="4">
        <v>0</v>
      </c>
      <c r="T132" s="4">
        <v>1</v>
      </c>
      <c r="V132" s="5" t="s">
        <v>1264</v>
      </c>
      <c r="W132" s="5" t="s">
        <v>69</v>
      </c>
      <c r="X132" s="5" t="s">
        <v>69</v>
      </c>
      <c r="Y132" s="4">
        <v>25</v>
      </c>
      <c r="Z132" s="4">
        <v>3</v>
      </c>
      <c r="AA132" s="4">
        <v>5</v>
      </c>
      <c r="AB132" s="4">
        <v>1</v>
      </c>
      <c r="AC132" s="4">
        <v>1</v>
      </c>
      <c r="AD132" s="4">
        <v>19</v>
      </c>
      <c r="AE132" s="4">
        <v>21</v>
      </c>
      <c r="AF132" s="4">
        <v>0</v>
      </c>
      <c r="AG132" s="4">
        <v>0</v>
      </c>
      <c r="AH132" s="4">
        <v>18</v>
      </c>
      <c r="AI132" s="4">
        <v>20</v>
      </c>
      <c r="AJ132" s="4">
        <v>2</v>
      </c>
      <c r="AK132" s="4">
        <v>3</v>
      </c>
      <c r="AL132" s="4">
        <v>14</v>
      </c>
      <c r="AM132" s="4">
        <v>15</v>
      </c>
      <c r="AN132" s="4">
        <v>0</v>
      </c>
      <c r="AO132" s="4">
        <v>0</v>
      </c>
      <c r="AP132" s="4">
        <v>2</v>
      </c>
      <c r="AQ132" s="4">
        <v>3</v>
      </c>
      <c r="AR132" s="3" t="s">
        <v>63</v>
      </c>
      <c r="AS132" s="3" t="s">
        <v>63</v>
      </c>
      <c r="AT132" s="3" t="s">
        <v>62</v>
      </c>
      <c r="AU132" s="6" t="str">
        <f>HYPERLINK("http://catalog.hathitrust.org/Record/102474245","HathiTrust Record")</f>
        <v>HathiTrust Record</v>
      </c>
      <c r="AV132" s="6" t="str">
        <f>HYPERLINK("http://mcgill.on.worldcat.org/oclc/4953098","Catalog Record")</f>
        <v>Catalog Record</v>
      </c>
      <c r="AW132" s="6" t="str">
        <f>HYPERLINK("http://www.worldcat.org/oclc/4953098","WorldCat Record")</f>
        <v>WorldCat Record</v>
      </c>
      <c r="AX132" s="3" t="s">
        <v>1369</v>
      </c>
      <c r="AY132" s="3" t="s">
        <v>1370</v>
      </c>
      <c r="AZ132" s="3" t="s">
        <v>1371</v>
      </c>
      <c r="BA132" s="3" t="s">
        <v>1371</v>
      </c>
      <c r="BB132" s="3" t="s">
        <v>1393</v>
      </c>
      <c r="BC132" s="3" t="s">
        <v>82</v>
      </c>
      <c r="BD132" s="3" t="s">
        <v>70</v>
      </c>
      <c r="BF132" s="3" t="s">
        <v>1393</v>
      </c>
      <c r="BG132" s="3" t="s">
        <v>1394</v>
      </c>
    </row>
    <row r="133" spans="1:59" ht="60" x14ac:dyDescent="0.25">
      <c r="A133" s="2" t="s">
        <v>59</v>
      </c>
      <c r="B133" s="2" t="s">
        <v>60</v>
      </c>
      <c r="C133" s="2" t="s">
        <v>1363</v>
      </c>
      <c r="D133" s="2" t="s">
        <v>1364</v>
      </c>
      <c r="E133" s="2" t="s">
        <v>1365</v>
      </c>
      <c r="F133" s="3" t="s">
        <v>1395</v>
      </c>
      <c r="G133" s="3" t="s">
        <v>62</v>
      </c>
      <c r="I133" s="3" t="s">
        <v>63</v>
      </c>
      <c r="J133" s="3" t="s">
        <v>63</v>
      </c>
      <c r="K133" s="3" t="s">
        <v>64</v>
      </c>
      <c r="L133" s="2" t="s">
        <v>1367</v>
      </c>
      <c r="N133" s="3" t="s">
        <v>1368</v>
      </c>
      <c r="P133" s="3" t="s">
        <v>769</v>
      </c>
      <c r="R133" s="3" t="s">
        <v>67</v>
      </c>
      <c r="S133" s="4">
        <v>0</v>
      </c>
      <c r="T133" s="4">
        <v>1</v>
      </c>
      <c r="V133" s="5" t="s">
        <v>1264</v>
      </c>
      <c r="W133" s="5" t="s">
        <v>69</v>
      </c>
      <c r="X133" s="5" t="s">
        <v>69</v>
      </c>
      <c r="Y133" s="4">
        <v>25</v>
      </c>
      <c r="Z133" s="4">
        <v>3</v>
      </c>
      <c r="AA133" s="4">
        <v>5</v>
      </c>
      <c r="AB133" s="4">
        <v>1</v>
      </c>
      <c r="AC133" s="4">
        <v>1</v>
      </c>
      <c r="AD133" s="4">
        <v>19</v>
      </c>
      <c r="AE133" s="4">
        <v>21</v>
      </c>
      <c r="AF133" s="4">
        <v>0</v>
      </c>
      <c r="AG133" s="4">
        <v>0</v>
      </c>
      <c r="AH133" s="4">
        <v>18</v>
      </c>
      <c r="AI133" s="4">
        <v>20</v>
      </c>
      <c r="AJ133" s="4">
        <v>2</v>
      </c>
      <c r="AK133" s="4">
        <v>3</v>
      </c>
      <c r="AL133" s="4">
        <v>14</v>
      </c>
      <c r="AM133" s="4">
        <v>15</v>
      </c>
      <c r="AN133" s="4">
        <v>0</v>
      </c>
      <c r="AO133" s="4">
        <v>0</v>
      </c>
      <c r="AP133" s="4">
        <v>2</v>
      </c>
      <c r="AQ133" s="4">
        <v>3</v>
      </c>
      <c r="AR133" s="3" t="s">
        <v>63</v>
      </c>
      <c r="AS133" s="3" t="s">
        <v>63</v>
      </c>
      <c r="AT133" s="3" t="s">
        <v>62</v>
      </c>
      <c r="AU133" s="6" t="str">
        <f>HYPERLINK("http://catalog.hathitrust.org/Record/102474245","HathiTrust Record")</f>
        <v>HathiTrust Record</v>
      </c>
      <c r="AV133" s="6" t="str">
        <f>HYPERLINK("http://mcgill.on.worldcat.org/oclc/4953098","Catalog Record")</f>
        <v>Catalog Record</v>
      </c>
      <c r="AW133" s="6" t="str">
        <f>HYPERLINK("http://www.worldcat.org/oclc/4953098","WorldCat Record")</f>
        <v>WorldCat Record</v>
      </c>
      <c r="AX133" s="3" t="s">
        <v>1369</v>
      </c>
      <c r="AY133" s="3" t="s">
        <v>1370</v>
      </c>
      <c r="AZ133" s="3" t="s">
        <v>1371</v>
      </c>
      <c r="BA133" s="3" t="s">
        <v>1371</v>
      </c>
      <c r="BB133" s="3" t="s">
        <v>1396</v>
      </c>
      <c r="BC133" s="3" t="s">
        <v>82</v>
      </c>
      <c r="BD133" s="3" t="s">
        <v>70</v>
      </c>
      <c r="BF133" s="3" t="s">
        <v>1396</v>
      </c>
      <c r="BG133" s="3" t="s">
        <v>1397</v>
      </c>
    </row>
    <row r="134" spans="1:59" ht="60" x14ac:dyDescent="0.25">
      <c r="A134" s="2" t="s">
        <v>59</v>
      </c>
      <c r="B134" s="2" t="s">
        <v>60</v>
      </c>
      <c r="C134" s="2" t="s">
        <v>1398</v>
      </c>
      <c r="D134" s="2" t="s">
        <v>1399</v>
      </c>
      <c r="E134" s="2" t="s">
        <v>1400</v>
      </c>
      <c r="F134" s="3" t="s">
        <v>1379</v>
      </c>
      <c r="G134" s="3" t="s">
        <v>62</v>
      </c>
      <c r="I134" s="3" t="s">
        <v>63</v>
      </c>
      <c r="J134" s="3" t="s">
        <v>63</v>
      </c>
      <c r="K134" s="3" t="s">
        <v>64</v>
      </c>
      <c r="L134" s="2" t="s">
        <v>653</v>
      </c>
      <c r="M134" s="2" t="s">
        <v>1401</v>
      </c>
      <c r="N134" s="3" t="s">
        <v>1402</v>
      </c>
      <c r="O134" s="2" t="s">
        <v>744</v>
      </c>
      <c r="P134" s="3" t="s">
        <v>655</v>
      </c>
      <c r="R134" s="3" t="s">
        <v>67</v>
      </c>
      <c r="S134" s="4">
        <v>0</v>
      </c>
      <c r="T134" s="4">
        <v>4</v>
      </c>
      <c r="V134" s="5" t="s">
        <v>886</v>
      </c>
      <c r="W134" s="5" t="s">
        <v>69</v>
      </c>
      <c r="X134" s="5" t="s">
        <v>69</v>
      </c>
      <c r="Y134" s="4">
        <v>3</v>
      </c>
      <c r="Z134" s="4">
        <v>1</v>
      </c>
      <c r="AA134" s="4">
        <v>4</v>
      </c>
      <c r="AB134" s="4">
        <v>1</v>
      </c>
      <c r="AC134" s="4">
        <v>1</v>
      </c>
      <c r="AD134" s="4">
        <v>0</v>
      </c>
      <c r="AE134" s="4">
        <v>46</v>
      </c>
      <c r="AF134" s="4">
        <v>0</v>
      </c>
      <c r="AG134" s="4">
        <v>0</v>
      </c>
      <c r="AH134" s="4">
        <v>0</v>
      </c>
      <c r="AI134" s="4">
        <v>43</v>
      </c>
      <c r="AJ134" s="4">
        <v>0</v>
      </c>
      <c r="AK134" s="4">
        <v>2</v>
      </c>
      <c r="AL134" s="4">
        <v>0</v>
      </c>
      <c r="AM134" s="4">
        <v>30</v>
      </c>
      <c r="AN134" s="4">
        <v>0</v>
      </c>
      <c r="AO134" s="4">
        <v>0</v>
      </c>
      <c r="AP134" s="4">
        <v>0</v>
      </c>
      <c r="AQ134" s="4">
        <v>2</v>
      </c>
      <c r="AR134" s="3" t="s">
        <v>63</v>
      </c>
      <c r="AS134" s="3" t="s">
        <v>63</v>
      </c>
      <c r="AT134" s="3" t="s">
        <v>63</v>
      </c>
      <c r="AV134" s="6" t="str">
        <f>HYPERLINK("http://mcgill.on.worldcat.org/oclc/427253709","Catalog Record")</f>
        <v>Catalog Record</v>
      </c>
      <c r="AW134" s="6" t="str">
        <f>HYPERLINK("http://www.worldcat.org/oclc/427253709","WorldCat Record")</f>
        <v>WorldCat Record</v>
      </c>
      <c r="AX134" s="3" t="s">
        <v>1403</v>
      </c>
      <c r="AY134" s="3" t="s">
        <v>1404</v>
      </c>
      <c r="AZ134" s="3" t="s">
        <v>1405</v>
      </c>
      <c r="BA134" s="3" t="s">
        <v>1405</v>
      </c>
      <c r="BB134" s="3" t="s">
        <v>1406</v>
      </c>
      <c r="BC134" s="3" t="s">
        <v>82</v>
      </c>
      <c r="BD134" s="3" t="s">
        <v>70</v>
      </c>
      <c r="BF134" s="3" t="s">
        <v>1406</v>
      </c>
      <c r="BG134" s="3" t="s">
        <v>1407</v>
      </c>
    </row>
    <row r="135" spans="1:59" ht="60" x14ac:dyDescent="0.25">
      <c r="A135" s="2" t="s">
        <v>59</v>
      </c>
      <c r="B135" s="2" t="s">
        <v>60</v>
      </c>
      <c r="C135" s="2" t="s">
        <v>1398</v>
      </c>
      <c r="D135" s="2" t="s">
        <v>1399</v>
      </c>
      <c r="E135" s="2" t="s">
        <v>1400</v>
      </c>
      <c r="F135" s="3" t="s">
        <v>61</v>
      </c>
      <c r="G135" s="3" t="s">
        <v>62</v>
      </c>
      <c r="I135" s="3" t="s">
        <v>63</v>
      </c>
      <c r="J135" s="3" t="s">
        <v>63</v>
      </c>
      <c r="K135" s="3" t="s">
        <v>64</v>
      </c>
      <c r="L135" s="2" t="s">
        <v>653</v>
      </c>
      <c r="M135" s="2" t="s">
        <v>1401</v>
      </c>
      <c r="N135" s="3" t="s">
        <v>1402</v>
      </c>
      <c r="O135" s="2" t="s">
        <v>744</v>
      </c>
      <c r="P135" s="3" t="s">
        <v>655</v>
      </c>
      <c r="R135" s="3" t="s">
        <v>67</v>
      </c>
      <c r="S135" s="4">
        <v>4</v>
      </c>
      <c r="T135" s="4">
        <v>4</v>
      </c>
      <c r="U135" s="5" t="s">
        <v>886</v>
      </c>
      <c r="V135" s="5" t="s">
        <v>886</v>
      </c>
      <c r="W135" s="5" t="s">
        <v>69</v>
      </c>
      <c r="X135" s="5" t="s">
        <v>69</v>
      </c>
      <c r="Y135" s="4">
        <v>3</v>
      </c>
      <c r="Z135" s="4">
        <v>1</v>
      </c>
      <c r="AA135" s="4">
        <v>4</v>
      </c>
      <c r="AB135" s="4">
        <v>1</v>
      </c>
      <c r="AC135" s="4">
        <v>1</v>
      </c>
      <c r="AD135" s="4">
        <v>0</v>
      </c>
      <c r="AE135" s="4">
        <v>46</v>
      </c>
      <c r="AF135" s="4">
        <v>0</v>
      </c>
      <c r="AG135" s="4">
        <v>0</v>
      </c>
      <c r="AH135" s="4">
        <v>0</v>
      </c>
      <c r="AI135" s="4">
        <v>43</v>
      </c>
      <c r="AJ135" s="4">
        <v>0</v>
      </c>
      <c r="AK135" s="4">
        <v>2</v>
      </c>
      <c r="AL135" s="4">
        <v>0</v>
      </c>
      <c r="AM135" s="4">
        <v>30</v>
      </c>
      <c r="AN135" s="4">
        <v>0</v>
      </c>
      <c r="AO135" s="4">
        <v>0</v>
      </c>
      <c r="AP135" s="4">
        <v>0</v>
      </c>
      <c r="AQ135" s="4">
        <v>2</v>
      </c>
      <c r="AR135" s="3" t="s">
        <v>63</v>
      </c>
      <c r="AS135" s="3" t="s">
        <v>63</v>
      </c>
      <c r="AT135" s="3" t="s">
        <v>63</v>
      </c>
      <c r="AV135" s="6" t="str">
        <f>HYPERLINK("http://mcgill.on.worldcat.org/oclc/427253709","Catalog Record")</f>
        <v>Catalog Record</v>
      </c>
      <c r="AW135" s="6" t="str">
        <f>HYPERLINK("http://www.worldcat.org/oclc/427253709","WorldCat Record")</f>
        <v>WorldCat Record</v>
      </c>
      <c r="AX135" s="3" t="s">
        <v>1403</v>
      </c>
      <c r="AY135" s="3" t="s">
        <v>1404</v>
      </c>
      <c r="AZ135" s="3" t="s">
        <v>1405</v>
      </c>
      <c r="BA135" s="3" t="s">
        <v>1405</v>
      </c>
      <c r="BB135" s="3" t="s">
        <v>1408</v>
      </c>
      <c r="BC135" s="3" t="s">
        <v>82</v>
      </c>
      <c r="BD135" s="3" t="s">
        <v>70</v>
      </c>
      <c r="BF135" s="3" t="s">
        <v>1408</v>
      </c>
      <c r="BG135" s="3" t="s">
        <v>1409</v>
      </c>
    </row>
    <row r="136" spans="1:59" ht="60" x14ac:dyDescent="0.25">
      <c r="A136" s="2" t="s">
        <v>59</v>
      </c>
      <c r="B136" s="2" t="s">
        <v>60</v>
      </c>
      <c r="C136" s="2" t="s">
        <v>1398</v>
      </c>
      <c r="D136" s="2" t="s">
        <v>1399</v>
      </c>
      <c r="E136" s="2" t="s">
        <v>1400</v>
      </c>
      <c r="F136" s="3" t="s">
        <v>1366</v>
      </c>
      <c r="G136" s="3" t="s">
        <v>62</v>
      </c>
      <c r="I136" s="3" t="s">
        <v>63</v>
      </c>
      <c r="J136" s="3" t="s">
        <v>63</v>
      </c>
      <c r="K136" s="3" t="s">
        <v>64</v>
      </c>
      <c r="L136" s="2" t="s">
        <v>653</v>
      </c>
      <c r="M136" s="2" t="s">
        <v>1401</v>
      </c>
      <c r="N136" s="3" t="s">
        <v>1402</v>
      </c>
      <c r="O136" s="2" t="s">
        <v>744</v>
      </c>
      <c r="P136" s="3" t="s">
        <v>655</v>
      </c>
      <c r="R136" s="3" t="s">
        <v>67</v>
      </c>
      <c r="S136" s="4">
        <v>0</v>
      </c>
      <c r="T136" s="4">
        <v>4</v>
      </c>
      <c r="V136" s="5" t="s">
        <v>886</v>
      </c>
      <c r="W136" s="5" t="s">
        <v>69</v>
      </c>
      <c r="X136" s="5" t="s">
        <v>69</v>
      </c>
      <c r="Y136" s="4">
        <v>3</v>
      </c>
      <c r="Z136" s="4">
        <v>1</v>
      </c>
      <c r="AA136" s="4">
        <v>4</v>
      </c>
      <c r="AB136" s="4">
        <v>1</v>
      </c>
      <c r="AC136" s="4">
        <v>1</v>
      </c>
      <c r="AD136" s="4">
        <v>0</v>
      </c>
      <c r="AE136" s="4">
        <v>46</v>
      </c>
      <c r="AF136" s="4">
        <v>0</v>
      </c>
      <c r="AG136" s="4">
        <v>0</v>
      </c>
      <c r="AH136" s="4">
        <v>0</v>
      </c>
      <c r="AI136" s="4">
        <v>43</v>
      </c>
      <c r="AJ136" s="4">
        <v>0</v>
      </c>
      <c r="AK136" s="4">
        <v>2</v>
      </c>
      <c r="AL136" s="4">
        <v>0</v>
      </c>
      <c r="AM136" s="4">
        <v>30</v>
      </c>
      <c r="AN136" s="4">
        <v>0</v>
      </c>
      <c r="AO136" s="4">
        <v>0</v>
      </c>
      <c r="AP136" s="4">
        <v>0</v>
      </c>
      <c r="AQ136" s="4">
        <v>2</v>
      </c>
      <c r="AR136" s="3" t="s">
        <v>63</v>
      </c>
      <c r="AS136" s="3" t="s">
        <v>63</v>
      </c>
      <c r="AT136" s="3" t="s">
        <v>63</v>
      </c>
      <c r="AV136" s="6" t="str">
        <f>HYPERLINK("http://mcgill.on.worldcat.org/oclc/427253709","Catalog Record")</f>
        <v>Catalog Record</v>
      </c>
      <c r="AW136" s="6" t="str">
        <f>HYPERLINK("http://www.worldcat.org/oclc/427253709","WorldCat Record")</f>
        <v>WorldCat Record</v>
      </c>
      <c r="AX136" s="3" t="s">
        <v>1403</v>
      </c>
      <c r="AY136" s="3" t="s">
        <v>1404</v>
      </c>
      <c r="AZ136" s="3" t="s">
        <v>1405</v>
      </c>
      <c r="BA136" s="3" t="s">
        <v>1405</v>
      </c>
      <c r="BB136" s="3" t="s">
        <v>1410</v>
      </c>
      <c r="BC136" s="3" t="s">
        <v>82</v>
      </c>
      <c r="BD136" s="3" t="s">
        <v>70</v>
      </c>
      <c r="BF136" s="3" t="s">
        <v>1410</v>
      </c>
      <c r="BG136" s="3" t="s">
        <v>1411</v>
      </c>
    </row>
    <row r="137" spans="1:59" ht="60" x14ac:dyDescent="0.25">
      <c r="A137" s="2" t="s">
        <v>59</v>
      </c>
      <c r="B137" s="2" t="s">
        <v>60</v>
      </c>
      <c r="C137" s="2" t="s">
        <v>1398</v>
      </c>
      <c r="D137" s="2" t="s">
        <v>1399</v>
      </c>
      <c r="E137" s="2" t="s">
        <v>1400</v>
      </c>
      <c r="F137" s="3" t="s">
        <v>1095</v>
      </c>
      <c r="G137" s="3" t="s">
        <v>62</v>
      </c>
      <c r="I137" s="3" t="s">
        <v>63</v>
      </c>
      <c r="J137" s="3" t="s">
        <v>63</v>
      </c>
      <c r="K137" s="3" t="s">
        <v>64</v>
      </c>
      <c r="L137" s="2" t="s">
        <v>653</v>
      </c>
      <c r="M137" s="2" t="s">
        <v>1401</v>
      </c>
      <c r="N137" s="3" t="s">
        <v>1402</v>
      </c>
      <c r="O137" s="2" t="s">
        <v>744</v>
      </c>
      <c r="P137" s="3" t="s">
        <v>655</v>
      </c>
      <c r="R137" s="3" t="s">
        <v>67</v>
      </c>
      <c r="S137" s="4">
        <v>0</v>
      </c>
      <c r="T137" s="4">
        <v>4</v>
      </c>
      <c r="V137" s="5" t="s">
        <v>886</v>
      </c>
      <c r="W137" s="5" t="s">
        <v>69</v>
      </c>
      <c r="X137" s="5" t="s">
        <v>69</v>
      </c>
      <c r="Y137" s="4">
        <v>3</v>
      </c>
      <c r="Z137" s="4">
        <v>1</v>
      </c>
      <c r="AA137" s="4">
        <v>4</v>
      </c>
      <c r="AB137" s="4">
        <v>1</v>
      </c>
      <c r="AC137" s="4">
        <v>1</v>
      </c>
      <c r="AD137" s="4">
        <v>0</v>
      </c>
      <c r="AE137" s="4">
        <v>46</v>
      </c>
      <c r="AF137" s="4">
        <v>0</v>
      </c>
      <c r="AG137" s="4">
        <v>0</v>
      </c>
      <c r="AH137" s="4">
        <v>0</v>
      </c>
      <c r="AI137" s="4">
        <v>43</v>
      </c>
      <c r="AJ137" s="4">
        <v>0</v>
      </c>
      <c r="AK137" s="4">
        <v>2</v>
      </c>
      <c r="AL137" s="4">
        <v>0</v>
      </c>
      <c r="AM137" s="4">
        <v>30</v>
      </c>
      <c r="AN137" s="4">
        <v>0</v>
      </c>
      <c r="AO137" s="4">
        <v>0</v>
      </c>
      <c r="AP137" s="4">
        <v>0</v>
      </c>
      <c r="AQ137" s="4">
        <v>2</v>
      </c>
      <c r="AR137" s="3" t="s">
        <v>63</v>
      </c>
      <c r="AS137" s="3" t="s">
        <v>63</v>
      </c>
      <c r="AT137" s="3" t="s">
        <v>63</v>
      </c>
      <c r="AV137" s="6" t="str">
        <f>HYPERLINK("http://mcgill.on.worldcat.org/oclc/427253709","Catalog Record")</f>
        <v>Catalog Record</v>
      </c>
      <c r="AW137" s="6" t="str">
        <f>HYPERLINK("http://www.worldcat.org/oclc/427253709","WorldCat Record")</f>
        <v>WorldCat Record</v>
      </c>
      <c r="AX137" s="3" t="s">
        <v>1403</v>
      </c>
      <c r="AY137" s="3" t="s">
        <v>1404</v>
      </c>
      <c r="AZ137" s="3" t="s">
        <v>1405</v>
      </c>
      <c r="BA137" s="3" t="s">
        <v>1405</v>
      </c>
      <c r="BB137" s="3" t="s">
        <v>1412</v>
      </c>
      <c r="BC137" s="3" t="s">
        <v>82</v>
      </c>
      <c r="BD137" s="3" t="s">
        <v>70</v>
      </c>
      <c r="BF137" s="3" t="s">
        <v>1412</v>
      </c>
      <c r="BG137" s="3" t="s">
        <v>1413</v>
      </c>
    </row>
    <row r="138" spans="1:59" ht="60" x14ac:dyDescent="0.25">
      <c r="A138" s="2" t="s">
        <v>59</v>
      </c>
      <c r="B138" s="2" t="s">
        <v>60</v>
      </c>
      <c r="C138" s="2" t="s">
        <v>1414</v>
      </c>
      <c r="D138" s="2" t="s">
        <v>1415</v>
      </c>
      <c r="E138" s="2" t="s">
        <v>1416</v>
      </c>
      <c r="G138" s="3" t="s">
        <v>63</v>
      </c>
      <c r="I138" s="3" t="s">
        <v>63</v>
      </c>
      <c r="J138" s="3" t="s">
        <v>63</v>
      </c>
      <c r="K138" s="3" t="s">
        <v>64</v>
      </c>
      <c r="M138" s="2" t="s">
        <v>1417</v>
      </c>
      <c r="N138" s="3" t="s">
        <v>1418</v>
      </c>
      <c r="P138" s="3" t="s">
        <v>66</v>
      </c>
      <c r="Q138" s="2" t="s">
        <v>1419</v>
      </c>
      <c r="R138" s="3" t="s">
        <v>67</v>
      </c>
      <c r="S138" s="4">
        <v>16</v>
      </c>
      <c r="T138" s="4">
        <v>16</v>
      </c>
      <c r="U138" s="5" t="s">
        <v>1420</v>
      </c>
      <c r="V138" s="5" t="s">
        <v>1420</v>
      </c>
      <c r="W138" s="5" t="s">
        <v>69</v>
      </c>
      <c r="X138" s="5" t="s">
        <v>69</v>
      </c>
      <c r="Y138" s="4">
        <v>19</v>
      </c>
      <c r="Z138" s="4">
        <v>4</v>
      </c>
      <c r="AA138" s="4">
        <v>14</v>
      </c>
      <c r="AB138" s="4">
        <v>2</v>
      </c>
      <c r="AC138" s="4">
        <v>2</v>
      </c>
      <c r="AD138" s="4">
        <v>5</v>
      </c>
      <c r="AE138" s="4">
        <v>78</v>
      </c>
      <c r="AF138" s="4">
        <v>0</v>
      </c>
      <c r="AG138" s="4">
        <v>0</v>
      </c>
      <c r="AH138" s="4">
        <v>4</v>
      </c>
      <c r="AI138" s="4">
        <v>73</v>
      </c>
      <c r="AJ138" s="4">
        <v>1</v>
      </c>
      <c r="AK138" s="4">
        <v>7</v>
      </c>
      <c r="AL138" s="4">
        <v>4</v>
      </c>
      <c r="AM138" s="4">
        <v>45</v>
      </c>
      <c r="AN138" s="4">
        <v>0</v>
      </c>
      <c r="AO138" s="4">
        <v>0</v>
      </c>
      <c r="AP138" s="4">
        <v>1</v>
      </c>
      <c r="AQ138" s="4">
        <v>8</v>
      </c>
      <c r="AR138" s="3" t="s">
        <v>63</v>
      </c>
      <c r="AS138" s="3" t="s">
        <v>63</v>
      </c>
      <c r="AT138" s="3" t="s">
        <v>62</v>
      </c>
      <c r="AU138" s="6" t="str">
        <f>HYPERLINK("http://catalog.hathitrust.org/Record/001825410","HathiTrust Record")</f>
        <v>HathiTrust Record</v>
      </c>
      <c r="AV138" s="6" t="str">
        <f>HYPERLINK("http://mcgill.on.worldcat.org/oclc/922588746","Catalog Record")</f>
        <v>Catalog Record</v>
      </c>
      <c r="AW138" s="6" t="str">
        <f>HYPERLINK("http://www.worldcat.org/oclc/922588746","WorldCat Record")</f>
        <v>WorldCat Record</v>
      </c>
      <c r="AX138" s="3" t="s">
        <v>1421</v>
      </c>
      <c r="AY138" s="3" t="s">
        <v>1422</v>
      </c>
      <c r="AZ138" s="3" t="s">
        <v>1423</v>
      </c>
      <c r="BA138" s="3" t="s">
        <v>1423</v>
      </c>
      <c r="BB138" s="3" t="s">
        <v>1424</v>
      </c>
      <c r="BC138" s="3" t="s">
        <v>82</v>
      </c>
      <c r="BD138" s="3" t="s">
        <v>70</v>
      </c>
      <c r="BE138" s="3" t="s">
        <v>1425</v>
      </c>
      <c r="BF138" s="3" t="s">
        <v>1424</v>
      </c>
      <c r="BG138" s="3" t="s">
        <v>1426</v>
      </c>
    </row>
    <row r="139" spans="1:59" ht="75" x14ac:dyDescent="0.25">
      <c r="A139" s="2" t="s">
        <v>59</v>
      </c>
      <c r="B139" s="2" t="s">
        <v>60</v>
      </c>
      <c r="C139" s="2" t="s">
        <v>1427</v>
      </c>
      <c r="D139" s="2" t="s">
        <v>1428</v>
      </c>
      <c r="E139" s="2" t="s">
        <v>1429</v>
      </c>
      <c r="G139" s="3" t="s">
        <v>63</v>
      </c>
      <c r="I139" s="3" t="s">
        <v>63</v>
      </c>
      <c r="J139" s="3" t="s">
        <v>63</v>
      </c>
      <c r="K139" s="3" t="s">
        <v>64</v>
      </c>
      <c r="L139" s="2" t="s">
        <v>1430</v>
      </c>
      <c r="M139" s="2" t="s">
        <v>1431</v>
      </c>
      <c r="N139" s="3" t="s">
        <v>1432</v>
      </c>
      <c r="P139" s="3" t="s">
        <v>66</v>
      </c>
      <c r="R139" s="3" t="s">
        <v>67</v>
      </c>
      <c r="S139" s="4">
        <v>5</v>
      </c>
      <c r="T139" s="4">
        <v>5</v>
      </c>
      <c r="U139" s="5" t="s">
        <v>1433</v>
      </c>
      <c r="V139" s="5" t="s">
        <v>1433</v>
      </c>
      <c r="W139" s="5" t="s">
        <v>69</v>
      </c>
      <c r="X139" s="5" t="s">
        <v>69</v>
      </c>
      <c r="Y139" s="4">
        <v>23</v>
      </c>
      <c r="Z139" s="4">
        <v>3</v>
      </c>
      <c r="AA139" s="4">
        <v>3</v>
      </c>
      <c r="AB139" s="4">
        <v>1</v>
      </c>
      <c r="AC139" s="4">
        <v>1</v>
      </c>
      <c r="AD139" s="4">
        <v>11</v>
      </c>
      <c r="AE139" s="4">
        <v>11</v>
      </c>
      <c r="AF139" s="4">
        <v>0</v>
      </c>
      <c r="AG139" s="4">
        <v>0</v>
      </c>
      <c r="AH139" s="4">
        <v>11</v>
      </c>
      <c r="AI139" s="4">
        <v>11</v>
      </c>
      <c r="AJ139" s="4">
        <v>1</v>
      </c>
      <c r="AK139" s="4">
        <v>1</v>
      </c>
      <c r="AL139" s="4">
        <v>6</v>
      </c>
      <c r="AM139" s="4">
        <v>6</v>
      </c>
      <c r="AN139" s="4">
        <v>0</v>
      </c>
      <c r="AO139" s="4">
        <v>0</v>
      </c>
      <c r="AP139" s="4">
        <v>1</v>
      </c>
      <c r="AQ139" s="4">
        <v>1</v>
      </c>
      <c r="AR139" s="3" t="s">
        <v>63</v>
      </c>
      <c r="AS139" s="3" t="s">
        <v>63</v>
      </c>
      <c r="AT139" s="3" t="s">
        <v>62</v>
      </c>
      <c r="AU139" s="6" t="str">
        <f>HYPERLINK("http://catalog.hathitrust.org/Record/000980289","HathiTrust Record")</f>
        <v>HathiTrust Record</v>
      </c>
      <c r="AV139" s="6" t="str">
        <f>HYPERLINK("http://mcgill.on.worldcat.org/oclc/61614652","Catalog Record")</f>
        <v>Catalog Record</v>
      </c>
      <c r="AW139" s="6" t="str">
        <f>HYPERLINK("http://www.worldcat.org/oclc/61614652","WorldCat Record")</f>
        <v>WorldCat Record</v>
      </c>
      <c r="AX139" s="3" t="s">
        <v>1434</v>
      </c>
      <c r="AY139" s="3" t="s">
        <v>1435</v>
      </c>
      <c r="AZ139" s="3" t="s">
        <v>1436</v>
      </c>
      <c r="BA139" s="3" t="s">
        <v>1436</v>
      </c>
      <c r="BB139" s="3" t="s">
        <v>1437</v>
      </c>
      <c r="BC139" s="3" t="s">
        <v>82</v>
      </c>
      <c r="BD139" s="3" t="s">
        <v>70</v>
      </c>
      <c r="BF139" s="3" t="s">
        <v>1437</v>
      </c>
      <c r="BG139" s="3" t="s">
        <v>1438</v>
      </c>
    </row>
    <row r="140" spans="1:59" ht="60" x14ac:dyDescent="0.25">
      <c r="A140" s="2" t="s">
        <v>59</v>
      </c>
      <c r="B140" s="2" t="s">
        <v>60</v>
      </c>
      <c r="C140" s="2" t="s">
        <v>1439</v>
      </c>
      <c r="D140" s="2" t="s">
        <v>1440</v>
      </c>
      <c r="E140" s="2" t="s">
        <v>1441</v>
      </c>
      <c r="G140" s="3" t="s">
        <v>63</v>
      </c>
      <c r="I140" s="3" t="s">
        <v>63</v>
      </c>
      <c r="J140" s="3" t="s">
        <v>63</v>
      </c>
      <c r="K140" s="3" t="s">
        <v>64</v>
      </c>
      <c r="M140" s="2" t="s">
        <v>1442</v>
      </c>
      <c r="N140" s="3" t="s">
        <v>1113</v>
      </c>
      <c r="P140" s="3" t="s">
        <v>66</v>
      </c>
      <c r="Q140" s="2" t="s">
        <v>1443</v>
      </c>
      <c r="R140" s="3" t="s">
        <v>67</v>
      </c>
      <c r="S140" s="4">
        <v>14</v>
      </c>
      <c r="T140" s="4">
        <v>14</v>
      </c>
      <c r="U140" s="5" t="s">
        <v>1444</v>
      </c>
      <c r="V140" s="5" t="s">
        <v>1444</v>
      </c>
      <c r="W140" s="5" t="s">
        <v>69</v>
      </c>
      <c r="X140" s="5" t="s">
        <v>69</v>
      </c>
      <c r="Y140" s="4">
        <v>189</v>
      </c>
      <c r="Z140" s="4">
        <v>9</v>
      </c>
      <c r="AA140" s="4">
        <v>77</v>
      </c>
      <c r="AB140" s="4">
        <v>1</v>
      </c>
      <c r="AC140" s="4">
        <v>15</v>
      </c>
      <c r="AD140" s="4">
        <v>78</v>
      </c>
      <c r="AE140" s="4">
        <v>126</v>
      </c>
      <c r="AF140" s="4">
        <v>0</v>
      </c>
      <c r="AG140" s="4">
        <v>8</v>
      </c>
      <c r="AH140" s="4">
        <v>77</v>
      </c>
      <c r="AI140" s="4">
        <v>96</v>
      </c>
      <c r="AJ140" s="4">
        <v>6</v>
      </c>
      <c r="AK140" s="4">
        <v>19</v>
      </c>
      <c r="AL140" s="4">
        <v>46</v>
      </c>
      <c r="AM140" s="4">
        <v>53</v>
      </c>
      <c r="AN140" s="4">
        <v>0</v>
      </c>
      <c r="AO140" s="4">
        <v>0</v>
      </c>
      <c r="AP140" s="4">
        <v>6</v>
      </c>
      <c r="AQ140" s="4">
        <v>38</v>
      </c>
      <c r="AR140" s="3" t="s">
        <v>63</v>
      </c>
      <c r="AS140" s="3" t="s">
        <v>63</v>
      </c>
      <c r="AT140" s="3" t="s">
        <v>62</v>
      </c>
      <c r="AU140" s="6" t="str">
        <f>HYPERLINK("http://catalog.hathitrust.org/Record/003176231","HathiTrust Record")</f>
        <v>HathiTrust Record</v>
      </c>
      <c r="AV140" s="6" t="str">
        <f>HYPERLINK("http://mcgill.on.worldcat.org/oclc/36201296","Catalog Record")</f>
        <v>Catalog Record</v>
      </c>
      <c r="AW140" s="6" t="str">
        <f>HYPERLINK("http://www.worldcat.org/oclc/36201296","WorldCat Record")</f>
        <v>WorldCat Record</v>
      </c>
      <c r="AX140" s="3" t="s">
        <v>1445</v>
      </c>
      <c r="AY140" s="3" t="s">
        <v>1446</v>
      </c>
      <c r="AZ140" s="3" t="s">
        <v>1447</v>
      </c>
      <c r="BA140" s="3" t="s">
        <v>1447</v>
      </c>
      <c r="BB140" s="3" t="s">
        <v>1448</v>
      </c>
      <c r="BC140" s="3" t="s">
        <v>82</v>
      </c>
      <c r="BD140" s="3" t="s">
        <v>70</v>
      </c>
      <c r="BE140" s="3" t="s">
        <v>1449</v>
      </c>
      <c r="BF140" s="3" t="s">
        <v>1448</v>
      </c>
      <c r="BG140" s="3" t="s">
        <v>1450</v>
      </c>
    </row>
    <row r="141" spans="1:59" ht="60" x14ac:dyDescent="0.25">
      <c r="A141" s="2" t="s">
        <v>59</v>
      </c>
      <c r="B141" s="2" t="s">
        <v>60</v>
      </c>
      <c r="C141" s="2" t="s">
        <v>1451</v>
      </c>
      <c r="D141" s="2" t="s">
        <v>1452</v>
      </c>
      <c r="E141" s="2" t="s">
        <v>1453</v>
      </c>
      <c r="G141" s="3" t="s">
        <v>63</v>
      </c>
      <c r="I141" s="3" t="s">
        <v>63</v>
      </c>
      <c r="J141" s="3" t="s">
        <v>63</v>
      </c>
      <c r="K141" s="3" t="s">
        <v>64</v>
      </c>
      <c r="M141" s="2" t="s">
        <v>1454</v>
      </c>
      <c r="N141" s="3" t="s">
        <v>455</v>
      </c>
      <c r="P141" s="3" t="s">
        <v>66</v>
      </c>
      <c r="R141" s="3" t="s">
        <v>67</v>
      </c>
      <c r="S141" s="4">
        <v>10</v>
      </c>
      <c r="T141" s="4">
        <v>10</v>
      </c>
      <c r="U141" s="5" t="s">
        <v>1455</v>
      </c>
      <c r="V141" s="5" t="s">
        <v>1455</v>
      </c>
      <c r="W141" s="5" t="s">
        <v>69</v>
      </c>
      <c r="X141" s="5" t="s">
        <v>69</v>
      </c>
      <c r="Y141" s="4">
        <v>170</v>
      </c>
      <c r="Z141" s="4">
        <v>12</v>
      </c>
      <c r="AA141" s="4">
        <v>14</v>
      </c>
      <c r="AB141" s="4">
        <v>1</v>
      </c>
      <c r="AC141" s="4">
        <v>1</v>
      </c>
      <c r="AD141" s="4">
        <v>65</v>
      </c>
      <c r="AE141" s="4">
        <v>77</v>
      </c>
      <c r="AF141" s="4">
        <v>0</v>
      </c>
      <c r="AG141" s="4">
        <v>0</v>
      </c>
      <c r="AH141" s="4">
        <v>60</v>
      </c>
      <c r="AI141" s="4">
        <v>71</v>
      </c>
      <c r="AJ141" s="4">
        <v>9</v>
      </c>
      <c r="AK141" s="4">
        <v>11</v>
      </c>
      <c r="AL141" s="4">
        <v>35</v>
      </c>
      <c r="AM141" s="4">
        <v>42</v>
      </c>
      <c r="AN141" s="4">
        <v>0</v>
      </c>
      <c r="AO141" s="4">
        <v>0</v>
      </c>
      <c r="AP141" s="4">
        <v>8</v>
      </c>
      <c r="AQ141" s="4">
        <v>10</v>
      </c>
      <c r="AR141" s="3" t="s">
        <v>63</v>
      </c>
      <c r="AS141" s="3" t="s">
        <v>63</v>
      </c>
      <c r="AT141" s="3" t="s">
        <v>62</v>
      </c>
      <c r="AU141" s="6" t="str">
        <f>HYPERLINK("http://catalog.hathitrust.org/Record/000603871","HathiTrust Record")</f>
        <v>HathiTrust Record</v>
      </c>
      <c r="AV141" s="6" t="str">
        <f>HYPERLINK("http://mcgill.on.worldcat.org/oclc/10696288","Catalog Record")</f>
        <v>Catalog Record</v>
      </c>
      <c r="AW141" s="6" t="str">
        <f>HYPERLINK("http://www.worldcat.org/oclc/10696288","WorldCat Record")</f>
        <v>WorldCat Record</v>
      </c>
      <c r="AX141" s="3" t="s">
        <v>1456</v>
      </c>
      <c r="AY141" s="3" t="s">
        <v>1457</v>
      </c>
      <c r="AZ141" s="3" t="s">
        <v>1458</v>
      </c>
      <c r="BA141" s="3" t="s">
        <v>1458</v>
      </c>
      <c r="BB141" s="3" t="s">
        <v>1459</v>
      </c>
      <c r="BC141" s="3" t="s">
        <v>82</v>
      </c>
      <c r="BD141" s="3" t="s">
        <v>70</v>
      </c>
      <c r="BE141" s="3" t="s">
        <v>1460</v>
      </c>
      <c r="BF141" s="3" t="s">
        <v>1459</v>
      </c>
      <c r="BG141" s="3" t="s">
        <v>1461</v>
      </c>
    </row>
    <row r="142" spans="1:59" ht="60" x14ac:dyDescent="0.25">
      <c r="A142" s="2" t="s">
        <v>59</v>
      </c>
      <c r="B142" s="2" t="s">
        <v>60</v>
      </c>
      <c r="C142" s="2" t="s">
        <v>1462</v>
      </c>
      <c r="D142" s="2" t="s">
        <v>1463</v>
      </c>
      <c r="E142" s="2" t="s">
        <v>1464</v>
      </c>
      <c r="G142" s="3" t="s">
        <v>63</v>
      </c>
      <c r="I142" s="3" t="s">
        <v>63</v>
      </c>
      <c r="J142" s="3" t="s">
        <v>63</v>
      </c>
      <c r="K142" s="3" t="s">
        <v>64</v>
      </c>
      <c r="L142" s="2" t="s">
        <v>1465</v>
      </c>
      <c r="M142" s="2" t="s">
        <v>1466</v>
      </c>
      <c r="N142" s="3" t="s">
        <v>427</v>
      </c>
      <c r="P142" s="3" t="s">
        <v>66</v>
      </c>
      <c r="Q142" s="2" t="s">
        <v>1467</v>
      </c>
      <c r="R142" s="3" t="s">
        <v>67</v>
      </c>
      <c r="S142" s="4">
        <v>7</v>
      </c>
      <c r="T142" s="4">
        <v>7</v>
      </c>
      <c r="U142" s="5" t="s">
        <v>1468</v>
      </c>
      <c r="V142" s="5" t="s">
        <v>1468</v>
      </c>
      <c r="W142" s="5" t="s">
        <v>69</v>
      </c>
      <c r="X142" s="5" t="s">
        <v>69</v>
      </c>
      <c r="Y142" s="4">
        <v>206</v>
      </c>
      <c r="Z142" s="4">
        <v>14</v>
      </c>
      <c r="AA142" s="4">
        <v>14</v>
      </c>
      <c r="AB142" s="4">
        <v>1</v>
      </c>
      <c r="AC142" s="4">
        <v>1</v>
      </c>
      <c r="AD142" s="4">
        <v>81</v>
      </c>
      <c r="AE142" s="4">
        <v>81</v>
      </c>
      <c r="AF142" s="4">
        <v>0</v>
      </c>
      <c r="AG142" s="4">
        <v>0</v>
      </c>
      <c r="AH142" s="4">
        <v>77</v>
      </c>
      <c r="AI142" s="4">
        <v>77</v>
      </c>
      <c r="AJ142" s="4">
        <v>10</v>
      </c>
      <c r="AK142" s="4">
        <v>10</v>
      </c>
      <c r="AL142" s="4">
        <v>47</v>
      </c>
      <c r="AM142" s="4">
        <v>47</v>
      </c>
      <c r="AN142" s="4">
        <v>0</v>
      </c>
      <c r="AO142" s="4">
        <v>0</v>
      </c>
      <c r="AP142" s="4">
        <v>11</v>
      </c>
      <c r="AQ142" s="4">
        <v>11</v>
      </c>
      <c r="AR142" s="3" t="s">
        <v>63</v>
      </c>
      <c r="AS142" s="3" t="s">
        <v>63</v>
      </c>
      <c r="AT142" s="3" t="s">
        <v>62</v>
      </c>
      <c r="AU142" s="6" t="str">
        <f>HYPERLINK("http://catalog.hathitrust.org/Record/002172031","HathiTrust Record")</f>
        <v>HathiTrust Record</v>
      </c>
      <c r="AV142" s="6" t="str">
        <f>HYPERLINK("http://mcgill.on.worldcat.org/oclc/20498334","Catalog Record")</f>
        <v>Catalog Record</v>
      </c>
      <c r="AW142" s="6" t="str">
        <f>HYPERLINK("http://www.worldcat.org/oclc/20498334","WorldCat Record")</f>
        <v>WorldCat Record</v>
      </c>
      <c r="AX142" s="3" t="s">
        <v>1469</v>
      </c>
      <c r="AY142" s="3" t="s">
        <v>1470</v>
      </c>
      <c r="AZ142" s="3" t="s">
        <v>1471</v>
      </c>
      <c r="BA142" s="3" t="s">
        <v>1471</v>
      </c>
      <c r="BB142" s="3" t="s">
        <v>1472</v>
      </c>
      <c r="BC142" s="3" t="s">
        <v>82</v>
      </c>
      <c r="BD142" s="3" t="s">
        <v>70</v>
      </c>
      <c r="BF142" s="3" t="s">
        <v>1472</v>
      </c>
      <c r="BG142" s="3" t="s">
        <v>1473</v>
      </c>
    </row>
    <row r="143" spans="1:59" ht="60" x14ac:dyDescent="0.25">
      <c r="A143" s="2" t="s">
        <v>59</v>
      </c>
      <c r="B143" s="2" t="s">
        <v>60</v>
      </c>
      <c r="C143" s="2" t="s">
        <v>1474</v>
      </c>
      <c r="D143" s="2" t="s">
        <v>1475</v>
      </c>
      <c r="E143" s="2" t="s">
        <v>1476</v>
      </c>
      <c r="G143" s="3" t="s">
        <v>63</v>
      </c>
      <c r="I143" s="3" t="s">
        <v>63</v>
      </c>
      <c r="J143" s="3" t="s">
        <v>63</v>
      </c>
      <c r="K143" s="3" t="s">
        <v>64</v>
      </c>
      <c r="M143" s="2" t="s">
        <v>1477</v>
      </c>
      <c r="N143" s="3" t="s">
        <v>76</v>
      </c>
      <c r="P143" s="3" t="s">
        <v>66</v>
      </c>
      <c r="R143" s="3" t="s">
        <v>67</v>
      </c>
      <c r="S143" s="4">
        <v>0</v>
      </c>
      <c r="T143" s="4">
        <v>0</v>
      </c>
      <c r="W143" s="5" t="s">
        <v>69</v>
      </c>
      <c r="X143" s="5" t="s">
        <v>69</v>
      </c>
      <c r="Y143" s="4">
        <v>6</v>
      </c>
      <c r="Z143" s="4">
        <v>1</v>
      </c>
      <c r="AA143" s="4">
        <v>4</v>
      </c>
      <c r="AB143" s="4">
        <v>1</v>
      </c>
      <c r="AC143" s="4">
        <v>1</v>
      </c>
      <c r="AD143" s="4">
        <v>0</v>
      </c>
      <c r="AE143" s="4">
        <v>50</v>
      </c>
      <c r="AF143" s="4">
        <v>0</v>
      </c>
      <c r="AG143" s="4">
        <v>0</v>
      </c>
      <c r="AH143" s="4">
        <v>0</v>
      </c>
      <c r="AI143" s="4">
        <v>46</v>
      </c>
      <c r="AJ143" s="4">
        <v>0</v>
      </c>
      <c r="AK143" s="4">
        <v>3</v>
      </c>
      <c r="AL143" s="4">
        <v>0</v>
      </c>
      <c r="AM143" s="4">
        <v>27</v>
      </c>
      <c r="AN143" s="4">
        <v>0</v>
      </c>
      <c r="AO143" s="4">
        <v>0</v>
      </c>
      <c r="AP143" s="4">
        <v>0</v>
      </c>
      <c r="AQ143" s="4">
        <v>3</v>
      </c>
      <c r="AR143" s="3" t="s">
        <v>63</v>
      </c>
      <c r="AS143" s="3" t="s">
        <v>63</v>
      </c>
      <c r="AT143" s="3" t="s">
        <v>63</v>
      </c>
      <c r="AV143" s="6" t="str">
        <f>HYPERLINK("http://mcgill.on.worldcat.org/oclc/758397343","Catalog Record")</f>
        <v>Catalog Record</v>
      </c>
      <c r="AW143" s="6" t="str">
        <f>HYPERLINK("http://www.worldcat.org/oclc/758397343","WorldCat Record")</f>
        <v>WorldCat Record</v>
      </c>
      <c r="AX143" s="3" t="s">
        <v>1478</v>
      </c>
      <c r="AY143" s="3" t="s">
        <v>1479</v>
      </c>
      <c r="AZ143" s="3" t="s">
        <v>1480</v>
      </c>
      <c r="BA143" s="3" t="s">
        <v>1480</v>
      </c>
      <c r="BB143" s="3" t="s">
        <v>1481</v>
      </c>
      <c r="BC143" s="3" t="s">
        <v>82</v>
      </c>
      <c r="BD143" s="3" t="s">
        <v>70</v>
      </c>
      <c r="BE143" s="3" t="s">
        <v>1482</v>
      </c>
      <c r="BF143" s="3" t="s">
        <v>1481</v>
      </c>
      <c r="BG143" s="3" t="s">
        <v>1483</v>
      </c>
    </row>
    <row r="144" spans="1:59" ht="75" x14ac:dyDescent="0.25">
      <c r="A144" s="2" t="s">
        <v>59</v>
      </c>
      <c r="B144" s="2" t="s">
        <v>60</v>
      </c>
      <c r="C144" s="2" t="s">
        <v>1484</v>
      </c>
      <c r="D144" s="2" t="s">
        <v>1485</v>
      </c>
      <c r="E144" s="2" t="s">
        <v>1486</v>
      </c>
      <c r="G144" s="3" t="s">
        <v>63</v>
      </c>
      <c r="I144" s="3" t="s">
        <v>63</v>
      </c>
      <c r="J144" s="3" t="s">
        <v>63</v>
      </c>
      <c r="K144" s="3" t="s">
        <v>64</v>
      </c>
      <c r="M144" s="2" t="s">
        <v>1487</v>
      </c>
      <c r="N144" s="3" t="s">
        <v>176</v>
      </c>
      <c r="P144" s="3" t="s">
        <v>66</v>
      </c>
      <c r="Q144" s="2" t="s">
        <v>1443</v>
      </c>
      <c r="R144" s="3" t="s">
        <v>67</v>
      </c>
      <c r="S144" s="4">
        <v>6</v>
      </c>
      <c r="T144" s="4">
        <v>6</v>
      </c>
      <c r="U144" s="5" t="s">
        <v>1468</v>
      </c>
      <c r="V144" s="5" t="s">
        <v>1468</v>
      </c>
      <c r="W144" s="5" t="s">
        <v>69</v>
      </c>
      <c r="X144" s="5" t="s">
        <v>69</v>
      </c>
      <c r="Y144" s="4">
        <v>354</v>
      </c>
      <c r="Z144" s="4">
        <v>14</v>
      </c>
      <c r="AA144" s="4">
        <v>86</v>
      </c>
      <c r="AB144" s="4">
        <v>1</v>
      </c>
      <c r="AC144" s="4">
        <v>15</v>
      </c>
      <c r="AD144" s="4">
        <v>85</v>
      </c>
      <c r="AE144" s="4">
        <v>128</v>
      </c>
      <c r="AF144" s="4">
        <v>0</v>
      </c>
      <c r="AG144" s="4">
        <v>8</v>
      </c>
      <c r="AH144" s="4">
        <v>81</v>
      </c>
      <c r="AI144" s="4">
        <v>97</v>
      </c>
      <c r="AJ144" s="4">
        <v>5</v>
      </c>
      <c r="AK144" s="4">
        <v>19</v>
      </c>
      <c r="AL144" s="4">
        <v>51</v>
      </c>
      <c r="AM144" s="4">
        <v>54</v>
      </c>
      <c r="AN144" s="4">
        <v>0</v>
      </c>
      <c r="AO144" s="4">
        <v>0</v>
      </c>
      <c r="AP144" s="4">
        <v>6</v>
      </c>
      <c r="AQ144" s="4">
        <v>38</v>
      </c>
      <c r="AR144" s="3" t="s">
        <v>63</v>
      </c>
      <c r="AS144" s="3" t="s">
        <v>63</v>
      </c>
      <c r="AT144" s="3" t="s">
        <v>62</v>
      </c>
      <c r="AU144" s="6" t="str">
        <f>HYPERLINK("http://catalog.hathitrust.org/Record/003980196","HathiTrust Record")</f>
        <v>HathiTrust Record</v>
      </c>
      <c r="AV144" s="6" t="str">
        <f>HYPERLINK("http://mcgill.on.worldcat.org/oclc/37976785","Catalog Record")</f>
        <v>Catalog Record</v>
      </c>
      <c r="AW144" s="6" t="str">
        <f>HYPERLINK("http://www.worldcat.org/oclc/37976785","WorldCat Record")</f>
        <v>WorldCat Record</v>
      </c>
      <c r="AX144" s="3" t="s">
        <v>1488</v>
      </c>
      <c r="AY144" s="3" t="s">
        <v>1489</v>
      </c>
      <c r="AZ144" s="3" t="s">
        <v>1490</v>
      </c>
      <c r="BA144" s="3" t="s">
        <v>1490</v>
      </c>
      <c r="BB144" s="3" t="s">
        <v>1491</v>
      </c>
      <c r="BC144" s="3" t="s">
        <v>82</v>
      </c>
      <c r="BD144" s="3" t="s">
        <v>70</v>
      </c>
      <c r="BE144" s="3" t="s">
        <v>1492</v>
      </c>
      <c r="BF144" s="3" t="s">
        <v>1491</v>
      </c>
      <c r="BG144" s="3" t="s">
        <v>1493</v>
      </c>
    </row>
    <row r="145" spans="1:59" ht="75" x14ac:dyDescent="0.25">
      <c r="A145" s="2" t="s">
        <v>59</v>
      </c>
      <c r="B145" s="2" t="s">
        <v>60</v>
      </c>
      <c r="C145" s="2" t="s">
        <v>1494</v>
      </c>
      <c r="D145" s="2" t="s">
        <v>1495</v>
      </c>
      <c r="E145" s="2" t="s">
        <v>1496</v>
      </c>
      <c r="G145" s="3" t="s">
        <v>63</v>
      </c>
      <c r="I145" s="3" t="s">
        <v>63</v>
      </c>
      <c r="J145" s="3" t="s">
        <v>63</v>
      </c>
      <c r="K145" s="3" t="s">
        <v>64</v>
      </c>
      <c r="L145" s="2" t="s">
        <v>1497</v>
      </c>
      <c r="M145" s="2" t="s">
        <v>1498</v>
      </c>
      <c r="N145" s="3" t="s">
        <v>274</v>
      </c>
      <c r="P145" s="3" t="s">
        <v>769</v>
      </c>
      <c r="R145" s="3" t="s">
        <v>67</v>
      </c>
      <c r="S145" s="4">
        <v>2</v>
      </c>
      <c r="T145" s="4">
        <v>2</v>
      </c>
      <c r="U145" s="5" t="s">
        <v>1499</v>
      </c>
      <c r="V145" s="5" t="s">
        <v>1499</v>
      </c>
      <c r="W145" s="5" t="s">
        <v>69</v>
      </c>
      <c r="X145" s="5" t="s">
        <v>69</v>
      </c>
      <c r="Y145" s="4">
        <v>29</v>
      </c>
      <c r="Z145" s="4">
        <v>3</v>
      </c>
      <c r="AA145" s="4">
        <v>7</v>
      </c>
      <c r="AB145" s="4">
        <v>1</v>
      </c>
      <c r="AC145" s="4">
        <v>1</v>
      </c>
      <c r="AD145" s="4">
        <v>15</v>
      </c>
      <c r="AE145" s="4">
        <v>30</v>
      </c>
      <c r="AF145" s="4">
        <v>0</v>
      </c>
      <c r="AG145" s="4">
        <v>0</v>
      </c>
      <c r="AH145" s="4">
        <v>14</v>
      </c>
      <c r="AI145" s="4">
        <v>27</v>
      </c>
      <c r="AJ145" s="4">
        <v>1</v>
      </c>
      <c r="AK145" s="4">
        <v>4</v>
      </c>
      <c r="AL145" s="4">
        <v>13</v>
      </c>
      <c r="AM145" s="4">
        <v>23</v>
      </c>
      <c r="AN145" s="4">
        <v>0</v>
      </c>
      <c r="AO145" s="4">
        <v>0</v>
      </c>
      <c r="AP145" s="4">
        <v>1</v>
      </c>
      <c r="AQ145" s="4">
        <v>4</v>
      </c>
      <c r="AR145" s="3" t="s">
        <v>63</v>
      </c>
      <c r="AS145" s="3" t="s">
        <v>63</v>
      </c>
      <c r="AT145" s="3" t="s">
        <v>63</v>
      </c>
      <c r="AV145" s="6" t="str">
        <f>HYPERLINK("http://mcgill.on.worldcat.org/oclc/41429999","Catalog Record")</f>
        <v>Catalog Record</v>
      </c>
      <c r="AW145" s="6" t="str">
        <f>HYPERLINK("http://www.worldcat.org/oclc/41429999","WorldCat Record")</f>
        <v>WorldCat Record</v>
      </c>
      <c r="AX145" s="3" t="s">
        <v>1500</v>
      </c>
      <c r="AY145" s="3" t="s">
        <v>1501</v>
      </c>
      <c r="AZ145" s="3" t="s">
        <v>1502</v>
      </c>
      <c r="BA145" s="3" t="s">
        <v>1502</v>
      </c>
      <c r="BB145" s="3" t="s">
        <v>1503</v>
      </c>
      <c r="BC145" s="3" t="s">
        <v>82</v>
      </c>
      <c r="BD145" s="3" t="s">
        <v>70</v>
      </c>
      <c r="BE145" s="3" t="s">
        <v>1504</v>
      </c>
      <c r="BF145" s="3" t="s">
        <v>1503</v>
      </c>
      <c r="BG145" s="3" t="s">
        <v>1505</v>
      </c>
    </row>
    <row r="146" spans="1:59" ht="60" x14ac:dyDescent="0.25">
      <c r="A146" s="2" t="s">
        <v>59</v>
      </c>
      <c r="B146" s="2" t="s">
        <v>60</v>
      </c>
      <c r="C146" s="2" t="s">
        <v>1506</v>
      </c>
      <c r="D146" s="2" t="s">
        <v>1507</v>
      </c>
      <c r="E146" s="2" t="s">
        <v>1508</v>
      </c>
      <c r="G146" s="3" t="s">
        <v>63</v>
      </c>
      <c r="I146" s="3" t="s">
        <v>63</v>
      </c>
      <c r="J146" s="3" t="s">
        <v>63</v>
      </c>
      <c r="K146" s="3" t="s">
        <v>64</v>
      </c>
      <c r="L146" s="2" t="s">
        <v>1509</v>
      </c>
      <c r="M146" s="2" t="s">
        <v>1510</v>
      </c>
      <c r="N146" s="3" t="s">
        <v>629</v>
      </c>
      <c r="O146" s="2" t="s">
        <v>590</v>
      </c>
      <c r="P146" s="3" t="s">
        <v>66</v>
      </c>
      <c r="Q146" s="2" t="s">
        <v>1511</v>
      </c>
      <c r="R146" s="3" t="s">
        <v>67</v>
      </c>
      <c r="S146" s="4">
        <v>0</v>
      </c>
      <c r="T146" s="4">
        <v>0</v>
      </c>
      <c r="W146" s="5" t="s">
        <v>69</v>
      </c>
      <c r="X146" s="5" t="s">
        <v>69</v>
      </c>
      <c r="Y146" s="4">
        <v>83</v>
      </c>
      <c r="Z146" s="4">
        <v>9</v>
      </c>
      <c r="AA146" s="4">
        <v>29</v>
      </c>
      <c r="AB146" s="4">
        <v>1</v>
      </c>
      <c r="AC146" s="4">
        <v>4</v>
      </c>
      <c r="AD146" s="4">
        <v>45</v>
      </c>
      <c r="AE146" s="4">
        <v>84</v>
      </c>
      <c r="AF146" s="4">
        <v>0</v>
      </c>
      <c r="AG146" s="4">
        <v>1</v>
      </c>
      <c r="AH146" s="4">
        <v>44</v>
      </c>
      <c r="AI146" s="4">
        <v>73</v>
      </c>
      <c r="AJ146" s="4">
        <v>7</v>
      </c>
      <c r="AK146" s="4">
        <v>13</v>
      </c>
      <c r="AL146" s="4">
        <v>32</v>
      </c>
      <c r="AM146" s="4">
        <v>44</v>
      </c>
      <c r="AN146" s="4">
        <v>0</v>
      </c>
      <c r="AO146" s="4">
        <v>0</v>
      </c>
      <c r="AP146" s="4">
        <v>7</v>
      </c>
      <c r="AQ146" s="4">
        <v>19</v>
      </c>
      <c r="AR146" s="3" t="s">
        <v>63</v>
      </c>
      <c r="AS146" s="3" t="s">
        <v>63</v>
      </c>
      <c r="AT146" s="3" t="s">
        <v>63</v>
      </c>
      <c r="AV146" s="6" t="str">
        <f>HYPERLINK("http://mcgill.on.worldcat.org/oclc/326466145","Catalog Record")</f>
        <v>Catalog Record</v>
      </c>
      <c r="AW146" s="6" t="str">
        <f>HYPERLINK("http://www.worldcat.org/oclc/326466145","WorldCat Record")</f>
        <v>WorldCat Record</v>
      </c>
      <c r="AX146" s="3" t="s">
        <v>1512</v>
      </c>
      <c r="AY146" s="3" t="s">
        <v>1513</v>
      </c>
      <c r="AZ146" s="3" t="s">
        <v>1514</v>
      </c>
      <c r="BA146" s="3" t="s">
        <v>1514</v>
      </c>
      <c r="BB146" s="3" t="s">
        <v>1515</v>
      </c>
      <c r="BC146" s="3" t="s">
        <v>82</v>
      </c>
      <c r="BD146" s="3" t="s">
        <v>70</v>
      </c>
      <c r="BE146" s="3" t="s">
        <v>1516</v>
      </c>
      <c r="BF146" s="3" t="s">
        <v>1515</v>
      </c>
      <c r="BG146" s="3" t="s">
        <v>1517</v>
      </c>
    </row>
    <row r="147" spans="1:59" ht="60" x14ac:dyDescent="0.25">
      <c r="A147" s="2" t="s">
        <v>59</v>
      </c>
      <c r="B147" s="2" t="s">
        <v>60</v>
      </c>
      <c r="C147" s="2" t="s">
        <v>1518</v>
      </c>
      <c r="D147" s="2" t="s">
        <v>1519</v>
      </c>
      <c r="E147" s="2" t="s">
        <v>1520</v>
      </c>
      <c r="G147" s="3" t="s">
        <v>63</v>
      </c>
      <c r="I147" s="3" t="s">
        <v>63</v>
      </c>
      <c r="J147" s="3" t="s">
        <v>63</v>
      </c>
      <c r="K147" s="3" t="s">
        <v>64</v>
      </c>
      <c r="L147" s="2" t="s">
        <v>1521</v>
      </c>
      <c r="M147" s="2" t="s">
        <v>1522</v>
      </c>
      <c r="N147" s="3" t="s">
        <v>1296</v>
      </c>
      <c r="P147" s="3" t="s">
        <v>769</v>
      </c>
      <c r="Q147" s="2" t="s">
        <v>1523</v>
      </c>
      <c r="R147" s="3" t="s">
        <v>67</v>
      </c>
      <c r="S147" s="4">
        <v>4</v>
      </c>
      <c r="T147" s="4">
        <v>4</v>
      </c>
      <c r="U147" s="5" t="s">
        <v>1524</v>
      </c>
      <c r="V147" s="5" t="s">
        <v>1524</v>
      </c>
      <c r="W147" s="5" t="s">
        <v>69</v>
      </c>
      <c r="X147" s="5" t="s">
        <v>69</v>
      </c>
      <c r="Y147" s="4">
        <v>6</v>
      </c>
      <c r="Z147" s="4">
        <v>1</v>
      </c>
      <c r="AA147" s="4">
        <v>2</v>
      </c>
      <c r="AB147" s="4">
        <v>1</v>
      </c>
      <c r="AC147" s="4">
        <v>1</v>
      </c>
      <c r="AD147" s="4">
        <v>4</v>
      </c>
      <c r="AE147" s="4">
        <v>18</v>
      </c>
      <c r="AF147" s="4">
        <v>0</v>
      </c>
      <c r="AG147" s="4">
        <v>0</v>
      </c>
      <c r="AH147" s="4">
        <v>3</v>
      </c>
      <c r="AI147" s="4">
        <v>16</v>
      </c>
      <c r="AJ147" s="4">
        <v>0</v>
      </c>
      <c r="AK147" s="4">
        <v>1</v>
      </c>
      <c r="AL147" s="4">
        <v>4</v>
      </c>
      <c r="AM147" s="4">
        <v>12</v>
      </c>
      <c r="AN147" s="4">
        <v>0</v>
      </c>
      <c r="AO147" s="4">
        <v>0</v>
      </c>
      <c r="AP147" s="4">
        <v>0</v>
      </c>
      <c r="AQ147" s="4">
        <v>1</v>
      </c>
      <c r="AR147" s="3" t="s">
        <v>63</v>
      </c>
      <c r="AS147" s="3" t="s">
        <v>63</v>
      </c>
      <c r="AT147" s="3" t="s">
        <v>63</v>
      </c>
      <c r="AV147" s="6" t="str">
        <f>HYPERLINK("http://mcgill.on.worldcat.org/oclc/26514018","Catalog Record")</f>
        <v>Catalog Record</v>
      </c>
      <c r="AW147" s="6" t="str">
        <f>HYPERLINK("http://www.worldcat.org/oclc/26514018","WorldCat Record")</f>
        <v>WorldCat Record</v>
      </c>
      <c r="AX147" s="3" t="s">
        <v>1525</v>
      </c>
      <c r="AY147" s="3" t="s">
        <v>1526</v>
      </c>
      <c r="AZ147" s="3" t="s">
        <v>1527</v>
      </c>
      <c r="BA147" s="3" t="s">
        <v>1527</v>
      </c>
      <c r="BB147" s="3" t="s">
        <v>1528</v>
      </c>
      <c r="BC147" s="3" t="s">
        <v>82</v>
      </c>
      <c r="BD147" s="3" t="s">
        <v>70</v>
      </c>
      <c r="BF147" s="3" t="s">
        <v>1528</v>
      </c>
      <c r="BG147" s="3" t="s">
        <v>1529</v>
      </c>
    </row>
    <row r="148" spans="1:59" ht="60" x14ac:dyDescent="0.25">
      <c r="A148" s="2" t="s">
        <v>59</v>
      </c>
      <c r="B148" s="2" t="s">
        <v>60</v>
      </c>
      <c r="C148" s="2" t="s">
        <v>1530</v>
      </c>
      <c r="D148" s="2" t="s">
        <v>1531</v>
      </c>
      <c r="E148" s="2" t="s">
        <v>1532</v>
      </c>
      <c r="G148" s="3" t="s">
        <v>63</v>
      </c>
      <c r="I148" s="3" t="s">
        <v>63</v>
      </c>
      <c r="J148" s="3" t="s">
        <v>63</v>
      </c>
      <c r="K148" s="3" t="s">
        <v>64</v>
      </c>
      <c r="L148" s="2" t="s">
        <v>1533</v>
      </c>
      <c r="M148" s="2" t="s">
        <v>1534</v>
      </c>
      <c r="N148" s="3" t="s">
        <v>1296</v>
      </c>
      <c r="P148" s="3" t="s">
        <v>769</v>
      </c>
      <c r="R148" s="3" t="s">
        <v>67</v>
      </c>
      <c r="S148" s="4">
        <v>2</v>
      </c>
      <c r="T148" s="4">
        <v>2</v>
      </c>
      <c r="U148" s="5" t="s">
        <v>1535</v>
      </c>
      <c r="V148" s="5" t="s">
        <v>1535</v>
      </c>
      <c r="W148" s="5" t="s">
        <v>69</v>
      </c>
      <c r="X148" s="5" t="s">
        <v>69</v>
      </c>
      <c r="Y148" s="4">
        <v>41</v>
      </c>
      <c r="Z148" s="4">
        <v>3</v>
      </c>
      <c r="AA148" s="4">
        <v>7</v>
      </c>
      <c r="AB148" s="4">
        <v>1</v>
      </c>
      <c r="AC148" s="4">
        <v>1</v>
      </c>
      <c r="AD148" s="4">
        <v>27</v>
      </c>
      <c r="AE148" s="4">
        <v>33</v>
      </c>
      <c r="AF148" s="4">
        <v>0</v>
      </c>
      <c r="AG148" s="4">
        <v>0</v>
      </c>
      <c r="AH148" s="4">
        <v>25</v>
      </c>
      <c r="AI148" s="4">
        <v>31</v>
      </c>
      <c r="AJ148" s="4">
        <v>2</v>
      </c>
      <c r="AK148" s="4">
        <v>4</v>
      </c>
      <c r="AL148" s="4">
        <v>20</v>
      </c>
      <c r="AM148" s="4">
        <v>25</v>
      </c>
      <c r="AN148" s="4">
        <v>0</v>
      </c>
      <c r="AO148" s="4">
        <v>0</v>
      </c>
      <c r="AP148" s="4">
        <v>2</v>
      </c>
      <c r="AQ148" s="4">
        <v>4</v>
      </c>
      <c r="AR148" s="3" t="s">
        <v>63</v>
      </c>
      <c r="AS148" s="3" t="s">
        <v>63</v>
      </c>
      <c r="AT148" s="3" t="s">
        <v>62</v>
      </c>
      <c r="AU148" s="6" t="str">
        <f>HYPERLINK("http://catalog.hathitrust.org/Record/000979235","HathiTrust Record")</f>
        <v>HathiTrust Record</v>
      </c>
      <c r="AV148" s="6" t="str">
        <f>HYPERLINK("http://mcgill.on.worldcat.org/oclc/15102837","Catalog Record")</f>
        <v>Catalog Record</v>
      </c>
      <c r="AW148" s="6" t="str">
        <f>HYPERLINK("http://www.worldcat.org/oclc/15102837","WorldCat Record")</f>
        <v>WorldCat Record</v>
      </c>
      <c r="AX148" s="3" t="s">
        <v>1536</v>
      </c>
      <c r="AY148" s="3" t="s">
        <v>1537</v>
      </c>
      <c r="AZ148" s="3" t="s">
        <v>1538</v>
      </c>
      <c r="BA148" s="3" t="s">
        <v>1538</v>
      </c>
      <c r="BB148" s="3" t="s">
        <v>1539</v>
      </c>
      <c r="BC148" s="3" t="s">
        <v>82</v>
      </c>
      <c r="BD148" s="3" t="s">
        <v>70</v>
      </c>
      <c r="BF148" s="3" t="s">
        <v>1539</v>
      </c>
      <c r="BG148" s="3" t="s">
        <v>1540</v>
      </c>
    </row>
    <row r="149" spans="1:59" ht="90" x14ac:dyDescent="0.25">
      <c r="A149" s="2" t="s">
        <v>59</v>
      </c>
      <c r="B149" s="2" t="s">
        <v>60</v>
      </c>
      <c r="C149" s="2" t="s">
        <v>1541</v>
      </c>
      <c r="D149" s="2" t="s">
        <v>1542</v>
      </c>
      <c r="E149" s="2" t="s">
        <v>1543</v>
      </c>
      <c r="G149" s="3" t="s">
        <v>63</v>
      </c>
      <c r="H149" s="3" t="s">
        <v>215</v>
      </c>
      <c r="I149" s="3" t="s">
        <v>63</v>
      </c>
      <c r="J149" s="3" t="s">
        <v>63</v>
      </c>
      <c r="K149" s="3" t="s">
        <v>64</v>
      </c>
      <c r="L149" s="2" t="s">
        <v>1544</v>
      </c>
      <c r="M149" s="2" t="s">
        <v>1545</v>
      </c>
      <c r="N149" s="3" t="s">
        <v>287</v>
      </c>
      <c r="P149" s="3" t="s">
        <v>66</v>
      </c>
      <c r="R149" s="3" t="s">
        <v>67</v>
      </c>
      <c r="S149" s="4">
        <v>0</v>
      </c>
      <c r="T149" s="4">
        <v>0</v>
      </c>
      <c r="W149" s="5" t="s">
        <v>1546</v>
      </c>
      <c r="X149" s="5" t="s">
        <v>1546</v>
      </c>
      <c r="Y149" s="4">
        <v>172</v>
      </c>
      <c r="Z149" s="4">
        <v>6</v>
      </c>
      <c r="AA149" s="4">
        <v>10</v>
      </c>
      <c r="AB149" s="4">
        <v>1</v>
      </c>
      <c r="AC149" s="4">
        <v>1</v>
      </c>
      <c r="AD149" s="4">
        <v>28</v>
      </c>
      <c r="AE149" s="4">
        <v>40</v>
      </c>
      <c r="AF149" s="4">
        <v>0</v>
      </c>
      <c r="AG149" s="4">
        <v>0</v>
      </c>
      <c r="AH149" s="4">
        <v>28</v>
      </c>
      <c r="AI149" s="4">
        <v>38</v>
      </c>
      <c r="AJ149" s="4">
        <v>2</v>
      </c>
      <c r="AK149" s="4">
        <v>5</v>
      </c>
      <c r="AL149" s="4">
        <v>22</v>
      </c>
      <c r="AM149" s="4">
        <v>27</v>
      </c>
      <c r="AN149" s="4">
        <v>0</v>
      </c>
      <c r="AO149" s="4">
        <v>0</v>
      </c>
      <c r="AP149" s="4">
        <v>2</v>
      </c>
      <c r="AQ149" s="4">
        <v>5</v>
      </c>
      <c r="AR149" s="3" t="s">
        <v>63</v>
      </c>
      <c r="AS149" s="3" t="s">
        <v>63</v>
      </c>
      <c r="AT149" s="3" t="s">
        <v>63</v>
      </c>
      <c r="AV149" s="6" t="str">
        <f>HYPERLINK("http://mcgill.on.worldcat.org/oclc/1042353085","Catalog Record")</f>
        <v>Catalog Record</v>
      </c>
      <c r="AW149" s="6" t="str">
        <f>HYPERLINK("http://www.worldcat.org/oclc/1042353085","WorldCat Record")</f>
        <v>WorldCat Record</v>
      </c>
      <c r="AX149" s="3" t="s">
        <v>1547</v>
      </c>
      <c r="AY149" s="3" t="s">
        <v>1548</v>
      </c>
      <c r="AZ149" s="3" t="s">
        <v>1549</v>
      </c>
      <c r="BA149" s="3" t="s">
        <v>1549</v>
      </c>
      <c r="BB149" s="3" t="s">
        <v>1550</v>
      </c>
      <c r="BC149" s="3" t="s">
        <v>82</v>
      </c>
      <c r="BD149" s="3" t="s">
        <v>70</v>
      </c>
      <c r="BE149" s="3" t="s">
        <v>1551</v>
      </c>
      <c r="BF149" s="3" t="s">
        <v>1550</v>
      </c>
      <c r="BG149" s="3" t="s">
        <v>1552</v>
      </c>
    </row>
    <row r="150" spans="1:59" ht="60" x14ac:dyDescent="0.25">
      <c r="A150" s="2" t="s">
        <v>59</v>
      </c>
      <c r="B150" s="2" t="s">
        <v>60</v>
      </c>
      <c r="C150" s="2" t="s">
        <v>1553</v>
      </c>
      <c r="D150" s="2" t="s">
        <v>1554</v>
      </c>
      <c r="E150" s="2" t="s">
        <v>1555</v>
      </c>
      <c r="G150" s="3" t="s">
        <v>63</v>
      </c>
      <c r="H150" s="3" t="s">
        <v>215</v>
      </c>
      <c r="I150" s="3" t="s">
        <v>63</v>
      </c>
      <c r="J150" s="3" t="s">
        <v>63</v>
      </c>
      <c r="K150" s="3" t="s">
        <v>64</v>
      </c>
      <c r="L150" s="2" t="s">
        <v>1544</v>
      </c>
      <c r="M150" s="2" t="s">
        <v>1556</v>
      </c>
      <c r="N150" s="3" t="s">
        <v>1557</v>
      </c>
      <c r="P150" s="3" t="s">
        <v>66</v>
      </c>
      <c r="Q150" s="2" t="s">
        <v>1558</v>
      </c>
      <c r="R150" s="3" t="s">
        <v>67</v>
      </c>
      <c r="S150" s="4">
        <v>0</v>
      </c>
      <c r="T150" s="4">
        <v>0</v>
      </c>
      <c r="W150" s="5" t="s">
        <v>1546</v>
      </c>
      <c r="X150" s="5" t="s">
        <v>1546</v>
      </c>
      <c r="Y150" s="4">
        <v>193</v>
      </c>
      <c r="Z150" s="4">
        <v>9</v>
      </c>
      <c r="AA150" s="4">
        <v>9</v>
      </c>
      <c r="AB150" s="4">
        <v>1</v>
      </c>
      <c r="AC150" s="4">
        <v>1</v>
      </c>
      <c r="AD150" s="4">
        <v>38</v>
      </c>
      <c r="AE150" s="4">
        <v>46</v>
      </c>
      <c r="AF150" s="4">
        <v>0</v>
      </c>
      <c r="AG150" s="4">
        <v>0</v>
      </c>
      <c r="AH150" s="4">
        <v>36</v>
      </c>
      <c r="AI150" s="4">
        <v>44</v>
      </c>
      <c r="AJ150" s="4">
        <v>3</v>
      </c>
      <c r="AK150" s="4">
        <v>3</v>
      </c>
      <c r="AL150" s="4">
        <v>23</v>
      </c>
      <c r="AM150" s="4">
        <v>31</v>
      </c>
      <c r="AN150" s="4">
        <v>0</v>
      </c>
      <c r="AO150" s="4">
        <v>0</v>
      </c>
      <c r="AP150" s="4">
        <v>4</v>
      </c>
      <c r="AQ150" s="4">
        <v>4</v>
      </c>
      <c r="AR150" s="3" t="s">
        <v>63</v>
      </c>
      <c r="AS150" s="3" t="s">
        <v>63</v>
      </c>
      <c r="AT150" s="3" t="s">
        <v>63</v>
      </c>
      <c r="AV150" s="6" t="str">
        <f>HYPERLINK("http://mcgill.on.worldcat.org/oclc/975849062","Catalog Record")</f>
        <v>Catalog Record</v>
      </c>
      <c r="AW150" s="6" t="str">
        <f>HYPERLINK("http://www.worldcat.org/oclc/975849062","WorldCat Record")</f>
        <v>WorldCat Record</v>
      </c>
      <c r="AX150" s="3" t="s">
        <v>1559</v>
      </c>
      <c r="AY150" s="3" t="s">
        <v>1560</v>
      </c>
      <c r="AZ150" s="3" t="s">
        <v>1561</v>
      </c>
      <c r="BA150" s="3" t="s">
        <v>1561</v>
      </c>
      <c r="BB150" s="3" t="s">
        <v>1562</v>
      </c>
      <c r="BC150" s="3" t="s">
        <v>82</v>
      </c>
      <c r="BD150" s="3" t="s">
        <v>70</v>
      </c>
      <c r="BE150" s="3" t="s">
        <v>1563</v>
      </c>
      <c r="BF150" s="3" t="s">
        <v>1562</v>
      </c>
      <c r="BG150" s="3" t="s">
        <v>1564</v>
      </c>
    </row>
    <row r="151" spans="1:59" ht="60" x14ac:dyDescent="0.25">
      <c r="A151" s="2" t="s">
        <v>59</v>
      </c>
      <c r="B151" s="2" t="s">
        <v>60</v>
      </c>
      <c r="C151" s="2" t="s">
        <v>1565</v>
      </c>
      <c r="D151" s="2" t="s">
        <v>1566</v>
      </c>
      <c r="E151" s="2" t="s">
        <v>1567</v>
      </c>
      <c r="G151" s="3" t="s">
        <v>63</v>
      </c>
      <c r="I151" s="3" t="s">
        <v>63</v>
      </c>
      <c r="J151" s="3" t="s">
        <v>63</v>
      </c>
      <c r="K151" s="3" t="s">
        <v>64</v>
      </c>
      <c r="L151" s="2" t="s">
        <v>1544</v>
      </c>
      <c r="M151" s="2" t="s">
        <v>1568</v>
      </c>
      <c r="N151" s="3" t="s">
        <v>143</v>
      </c>
      <c r="O151" s="2" t="s">
        <v>1569</v>
      </c>
      <c r="P151" s="3" t="s">
        <v>66</v>
      </c>
      <c r="R151" s="3" t="s">
        <v>67</v>
      </c>
      <c r="S151" s="4">
        <v>2</v>
      </c>
      <c r="T151" s="4">
        <v>2</v>
      </c>
      <c r="U151" s="5" t="s">
        <v>1570</v>
      </c>
      <c r="V151" s="5" t="s">
        <v>1570</v>
      </c>
      <c r="W151" s="5" t="s">
        <v>69</v>
      </c>
      <c r="X151" s="5" t="s">
        <v>69</v>
      </c>
      <c r="Y151" s="4">
        <v>586</v>
      </c>
      <c r="Z151" s="4">
        <v>15</v>
      </c>
      <c r="AA151" s="4">
        <v>27</v>
      </c>
      <c r="AB151" s="4">
        <v>3</v>
      </c>
      <c r="AC151" s="4">
        <v>6</v>
      </c>
      <c r="AD151" s="4">
        <v>39</v>
      </c>
      <c r="AE151" s="4">
        <v>65</v>
      </c>
      <c r="AF151" s="4">
        <v>0</v>
      </c>
      <c r="AG151" s="4">
        <v>0</v>
      </c>
      <c r="AH151" s="4">
        <v>37</v>
      </c>
      <c r="AI151" s="4">
        <v>62</v>
      </c>
      <c r="AJ151" s="4">
        <v>6</v>
      </c>
      <c r="AK151" s="4">
        <v>8</v>
      </c>
      <c r="AL151" s="4">
        <v>19</v>
      </c>
      <c r="AM151" s="4">
        <v>40</v>
      </c>
      <c r="AN151" s="4">
        <v>0</v>
      </c>
      <c r="AO151" s="4">
        <v>0</v>
      </c>
      <c r="AP151" s="4">
        <v>6</v>
      </c>
      <c r="AQ151" s="4">
        <v>8</v>
      </c>
      <c r="AR151" s="3" t="s">
        <v>63</v>
      </c>
      <c r="AS151" s="3" t="s">
        <v>63</v>
      </c>
      <c r="AT151" s="3" t="s">
        <v>63</v>
      </c>
      <c r="AV151" s="6" t="str">
        <f>HYPERLINK("http://mcgill.on.worldcat.org/oclc/823044643","Catalog Record")</f>
        <v>Catalog Record</v>
      </c>
      <c r="AW151" s="6" t="str">
        <f>HYPERLINK("http://www.worldcat.org/oclc/823044643","WorldCat Record")</f>
        <v>WorldCat Record</v>
      </c>
      <c r="AX151" s="3" t="s">
        <v>1571</v>
      </c>
      <c r="AY151" s="3" t="s">
        <v>1572</v>
      </c>
      <c r="AZ151" s="3" t="s">
        <v>1573</v>
      </c>
      <c r="BA151" s="3" t="s">
        <v>1573</v>
      </c>
      <c r="BB151" s="3" t="s">
        <v>1574</v>
      </c>
      <c r="BC151" s="3" t="s">
        <v>82</v>
      </c>
      <c r="BD151" s="3" t="s">
        <v>70</v>
      </c>
      <c r="BE151" s="3" t="s">
        <v>1575</v>
      </c>
      <c r="BF151" s="3" t="s">
        <v>1574</v>
      </c>
      <c r="BG151" s="3" t="s">
        <v>1576</v>
      </c>
    </row>
    <row r="152" spans="1:59" ht="60" x14ac:dyDescent="0.25">
      <c r="A152" s="2" t="s">
        <v>59</v>
      </c>
      <c r="B152" s="2" t="s">
        <v>60</v>
      </c>
      <c r="C152" s="2" t="s">
        <v>1577</v>
      </c>
      <c r="D152" s="2" t="s">
        <v>1578</v>
      </c>
      <c r="E152" s="2" t="s">
        <v>1579</v>
      </c>
      <c r="G152" s="3" t="s">
        <v>63</v>
      </c>
      <c r="I152" s="3" t="s">
        <v>63</v>
      </c>
      <c r="J152" s="3" t="s">
        <v>63</v>
      </c>
      <c r="K152" s="3" t="s">
        <v>64</v>
      </c>
      <c r="L152" s="2" t="s">
        <v>1580</v>
      </c>
      <c r="M152" s="2" t="s">
        <v>1581</v>
      </c>
      <c r="N152" s="3" t="s">
        <v>1557</v>
      </c>
      <c r="P152" s="3" t="s">
        <v>66</v>
      </c>
      <c r="R152" s="3" t="s">
        <v>67</v>
      </c>
      <c r="S152" s="4">
        <v>0</v>
      </c>
      <c r="T152" s="4">
        <v>0</v>
      </c>
      <c r="W152" s="5" t="s">
        <v>69</v>
      </c>
      <c r="X152" s="5" t="s">
        <v>69</v>
      </c>
      <c r="Y152" s="4">
        <v>5</v>
      </c>
      <c r="Z152" s="4">
        <v>1</v>
      </c>
      <c r="AA152" s="4">
        <v>1</v>
      </c>
      <c r="AB152" s="4">
        <v>1</v>
      </c>
      <c r="AC152" s="4">
        <v>1</v>
      </c>
      <c r="AD152" s="4">
        <v>3</v>
      </c>
      <c r="AE152" s="4">
        <v>3</v>
      </c>
      <c r="AF152" s="4">
        <v>0</v>
      </c>
      <c r="AG152" s="4">
        <v>0</v>
      </c>
      <c r="AH152" s="4">
        <v>3</v>
      </c>
      <c r="AI152" s="4">
        <v>3</v>
      </c>
      <c r="AJ152" s="4">
        <v>0</v>
      </c>
      <c r="AK152" s="4">
        <v>0</v>
      </c>
      <c r="AL152" s="4">
        <v>3</v>
      </c>
      <c r="AM152" s="4">
        <v>3</v>
      </c>
      <c r="AN152" s="4">
        <v>0</v>
      </c>
      <c r="AO152" s="4">
        <v>0</v>
      </c>
      <c r="AP152" s="4">
        <v>0</v>
      </c>
      <c r="AQ152" s="4">
        <v>0</v>
      </c>
      <c r="AR152" s="3" t="s">
        <v>63</v>
      </c>
      <c r="AS152" s="3" t="s">
        <v>63</v>
      </c>
      <c r="AT152" s="3" t="s">
        <v>63</v>
      </c>
      <c r="AV152" s="6" t="str">
        <f>HYPERLINK("http://mcgill.on.worldcat.org/oclc/997574397","Catalog Record")</f>
        <v>Catalog Record</v>
      </c>
      <c r="AW152" s="6" t="str">
        <f>HYPERLINK("http://www.worldcat.org/oclc/997574397","WorldCat Record")</f>
        <v>WorldCat Record</v>
      </c>
      <c r="AX152" s="3" t="s">
        <v>1582</v>
      </c>
      <c r="AY152" s="3" t="s">
        <v>1583</v>
      </c>
      <c r="AZ152" s="3" t="s">
        <v>1584</v>
      </c>
      <c r="BA152" s="3" t="s">
        <v>1584</v>
      </c>
      <c r="BB152" s="3" t="s">
        <v>1585</v>
      </c>
      <c r="BC152" s="3" t="s">
        <v>82</v>
      </c>
      <c r="BD152" s="3" t="s">
        <v>70</v>
      </c>
      <c r="BE152" s="3" t="s">
        <v>1586</v>
      </c>
      <c r="BF152" s="3" t="s">
        <v>1585</v>
      </c>
      <c r="BG152" s="3" t="s">
        <v>1587</v>
      </c>
    </row>
    <row r="153" spans="1:59" ht="60" x14ac:dyDescent="0.25">
      <c r="A153" s="2" t="s">
        <v>59</v>
      </c>
      <c r="B153" s="2" t="s">
        <v>60</v>
      </c>
      <c r="C153" s="2" t="s">
        <v>1588</v>
      </c>
      <c r="D153" s="2" t="s">
        <v>1589</v>
      </c>
      <c r="E153" s="2" t="s">
        <v>1590</v>
      </c>
      <c r="G153" s="3" t="s">
        <v>63</v>
      </c>
      <c r="I153" s="3" t="s">
        <v>63</v>
      </c>
      <c r="J153" s="3" t="s">
        <v>63</v>
      </c>
      <c r="K153" s="3" t="s">
        <v>64</v>
      </c>
      <c r="L153" s="2" t="s">
        <v>1591</v>
      </c>
      <c r="M153" s="2" t="s">
        <v>1592</v>
      </c>
      <c r="N153" s="3" t="s">
        <v>220</v>
      </c>
      <c r="P153" s="3" t="s">
        <v>66</v>
      </c>
      <c r="Q153" s="2" t="s">
        <v>375</v>
      </c>
      <c r="R153" s="3" t="s">
        <v>67</v>
      </c>
      <c r="S153" s="4">
        <v>4</v>
      </c>
      <c r="T153" s="4">
        <v>4</v>
      </c>
      <c r="U153" s="5" t="s">
        <v>1593</v>
      </c>
      <c r="V153" s="5" t="s">
        <v>1593</v>
      </c>
      <c r="W153" s="5" t="s">
        <v>69</v>
      </c>
      <c r="X153" s="5" t="s">
        <v>69</v>
      </c>
      <c r="Y153" s="4">
        <v>150</v>
      </c>
      <c r="Z153" s="4">
        <v>6</v>
      </c>
      <c r="AA153" s="4">
        <v>7</v>
      </c>
      <c r="AB153" s="4">
        <v>1</v>
      </c>
      <c r="AC153" s="4">
        <v>1</v>
      </c>
      <c r="AD153" s="4">
        <v>55</v>
      </c>
      <c r="AE153" s="4">
        <v>56</v>
      </c>
      <c r="AF153" s="4">
        <v>0</v>
      </c>
      <c r="AG153" s="4">
        <v>0</v>
      </c>
      <c r="AH153" s="4">
        <v>51</v>
      </c>
      <c r="AI153" s="4">
        <v>51</v>
      </c>
      <c r="AJ153" s="4">
        <v>2</v>
      </c>
      <c r="AK153" s="4">
        <v>3</v>
      </c>
      <c r="AL153" s="4">
        <v>31</v>
      </c>
      <c r="AM153" s="4">
        <v>31</v>
      </c>
      <c r="AN153" s="4">
        <v>0</v>
      </c>
      <c r="AO153" s="4">
        <v>0</v>
      </c>
      <c r="AP153" s="4">
        <v>2</v>
      </c>
      <c r="AQ153" s="4">
        <v>3</v>
      </c>
      <c r="AR153" s="3" t="s">
        <v>63</v>
      </c>
      <c r="AS153" s="3" t="s">
        <v>63</v>
      </c>
      <c r="AT153" s="3" t="s">
        <v>62</v>
      </c>
      <c r="AU153" s="6" t="str">
        <f>HYPERLINK("http://catalog.hathitrust.org/Record/007111455","HathiTrust Record")</f>
        <v>HathiTrust Record</v>
      </c>
      <c r="AV153" s="6" t="str">
        <f>HYPERLINK("http://mcgill.on.worldcat.org/oclc/28721927","Catalog Record")</f>
        <v>Catalog Record</v>
      </c>
      <c r="AW153" s="6" t="str">
        <f>HYPERLINK("http://www.worldcat.org/oclc/28721927","WorldCat Record")</f>
        <v>WorldCat Record</v>
      </c>
      <c r="AX153" s="3" t="s">
        <v>1594</v>
      </c>
      <c r="AY153" s="3" t="s">
        <v>1595</v>
      </c>
      <c r="AZ153" s="3" t="s">
        <v>1596</v>
      </c>
      <c r="BA153" s="3" t="s">
        <v>1596</v>
      </c>
      <c r="BB153" s="3" t="s">
        <v>1597</v>
      </c>
      <c r="BC153" s="3" t="s">
        <v>82</v>
      </c>
      <c r="BD153" s="3" t="s">
        <v>70</v>
      </c>
      <c r="BE153" s="3" t="s">
        <v>1598</v>
      </c>
      <c r="BF153" s="3" t="s">
        <v>1597</v>
      </c>
      <c r="BG153" s="3" t="s">
        <v>1599</v>
      </c>
    </row>
    <row r="154" spans="1:59" ht="60" x14ac:dyDescent="0.25">
      <c r="A154" s="2" t="s">
        <v>59</v>
      </c>
      <c r="B154" s="2" t="s">
        <v>60</v>
      </c>
      <c r="C154" s="2" t="s">
        <v>1600</v>
      </c>
      <c r="D154" s="2" t="s">
        <v>1601</v>
      </c>
      <c r="E154" s="2" t="s">
        <v>1602</v>
      </c>
      <c r="G154" s="3" t="s">
        <v>63</v>
      </c>
      <c r="I154" s="3" t="s">
        <v>63</v>
      </c>
      <c r="J154" s="3" t="s">
        <v>63</v>
      </c>
      <c r="K154" s="3" t="s">
        <v>64</v>
      </c>
      <c r="L154" s="2" t="s">
        <v>1603</v>
      </c>
      <c r="M154" s="2" t="s">
        <v>1604</v>
      </c>
      <c r="N154" s="3" t="s">
        <v>287</v>
      </c>
      <c r="O154" s="2" t="s">
        <v>1605</v>
      </c>
      <c r="P154" s="3" t="s">
        <v>66</v>
      </c>
      <c r="R154" s="3" t="s">
        <v>67</v>
      </c>
      <c r="S154" s="4">
        <v>2</v>
      </c>
      <c r="T154" s="4">
        <v>2</v>
      </c>
      <c r="U154" s="5" t="s">
        <v>1606</v>
      </c>
      <c r="V154" s="5" t="s">
        <v>1606</v>
      </c>
      <c r="W154" s="5" t="s">
        <v>69</v>
      </c>
      <c r="X154" s="5" t="s">
        <v>69</v>
      </c>
      <c r="Y154" s="4">
        <v>334</v>
      </c>
      <c r="Z154" s="4">
        <v>10</v>
      </c>
      <c r="AA154" s="4">
        <v>14</v>
      </c>
      <c r="AB154" s="4">
        <v>1</v>
      </c>
      <c r="AC154" s="4">
        <v>4</v>
      </c>
      <c r="AD154" s="4">
        <v>41</v>
      </c>
      <c r="AE154" s="4">
        <v>49</v>
      </c>
      <c r="AF154" s="4">
        <v>0</v>
      </c>
      <c r="AG154" s="4">
        <v>0</v>
      </c>
      <c r="AH154" s="4">
        <v>39</v>
      </c>
      <c r="AI154" s="4">
        <v>46</v>
      </c>
      <c r="AJ154" s="4">
        <v>4</v>
      </c>
      <c r="AK154" s="4">
        <v>4</v>
      </c>
      <c r="AL154" s="4">
        <v>24</v>
      </c>
      <c r="AM154" s="4">
        <v>27</v>
      </c>
      <c r="AN154" s="4">
        <v>0</v>
      </c>
      <c r="AO154" s="4">
        <v>0</v>
      </c>
      <c r="AP154" s="4">
        <v>4</v>
      </c>
      <c r="AQ154" s="4">
        <v>4</v>
      </c>
      <c r="AR154" s="3" t="s">
        <v>63</v>
      </c>
      <c r="AS154" s="3" t="s">
        <v>63</v>
      </c>
      <c r="AT154" s="3" t="s">
        <v>63</v>
      </c>
      <c r="AV154" s="6" t="str">
        <f>HYPERLINK("http://mcgill.on.worldcat.org/oclc/1006315744","Catalog Record")</f>
        <v>Catalog Record</v>
      </c>
      <c r="AW154" s="6" t="str">
        <f>HYPERLINK("http://www.worldcat.org/oclc/1006315744","WorldCat Record")</f>
        <v>WorldCat Record</v>
      </c>
      <c r="AX154" s="3" t="s">
        <v>1607</v>
      </c>
      <c r="AY154" s="3" t="s">
        <v>1608</v>
      </c>
      <c r="AZ154" s="3" t="s">
        <v>1609</v>
      </c>
      <c r="BA154" s="3" t="s">
        <v>1609</v>
      </c>
      <c r="BB154" s="3" t="s">
        <v>1610</v>
      </c>
      <c r="BC154" s="3" t="s">
        <v>82</v>
      </c>
      <c r="BD154" s="3" t="s">
        <v>1611</v>
      </c>
      <c r="BE154" s="3" t="s">
        <v>1612</v>
      </c>
      <c r="BF154" s="3" t="s">
        <v>1610</v>
      </c>
      <c r="BG154" s="3" t="s">
        <v>1613</v>
      </c>
    </row>
    <row r="155" spans="1:59" ht="60" x14ac:dyDescent="0.25">
      <c r="A155" s="2" t="s">
        <v>59</v>
      </c>
      <c r="B155" s="2" t="s">
        <v>60</v>
      </c>
      <c r="C155" s="2" t="s">
        <v>1614</v>
      </c>
      <c r="D155" s="2" t="s">
        <v>1615</v>
      </c>
      <c r="E155" s="2" t="s">
        <v>1616</v>
      </c>
      <c r="G155" s="3" t="s">
        <v>63</v>
      </c>
      <c r="I155" s="3" t="s">
        <v>63</v>
      </c>
      <c r="J155" s="3" t="s">
        <v>63</v>
      </c>
      <c r="K155" s="3" t="s">
        <v>64</v>
      </c>
      <c r="L155" s="2" t="s">
        <v>1591</v>
      </c>
      <c r="M155" s="2" t="s">
        <v>1617</v>
      </c>
      <c r="N155" s="3" t="s">
        <v>176</v>
      </c>
      <c r="P155" s="3" t="s">
        <v>66</v>
      </c>
      <c r="R155" s="3" t="s">
        <v>67</v>
      </c>
      <c r="S155" s="4">
        <v>6</v>
      </c>
      <c r="T155" s="4">
        <v>6</v>
      </c>
      <c r="U155" s="5" t="s">
        <v>1618</v>
      </c>
      <c r="V155" s="5" t="s">
        <v>1618</v>
      </c>
      <c r="W155" s="5" t="s">
        <v>69</v>
      </c>
      <c r="X155" s="5" t="s">
        <v>69</v>
      </c>
      <c r="Y155" s="4">
        <v>69</v>
      </c>
      <c r="Z155" s="4">
        <v>10</v>
      </c>
      <c r="AA155" s="4">
        <v>15</v>
      </c>
      <c r="AB155" s="4">
        <v>1</v>
      </c>
      <c r="AC155" s="4">
        <v>1</v>
      </c>
      <c r="AD155" s="4">
        <v>42</v>
      </c>
      <c r="AE155" s="4">
        <v>79</v>
      </c>
      <c r="AF155" s="4">
        <v>0</v>
      </c>
      <c r="AG155" s="4">
        <v>0</v>
      </c>
      <c r="AH155" s="4">
        <v>39</v>
      </c>
      <c r="AI155" s="4">
        <v>74</v>
      </c>
      <c r="AJ155" s="4">
        <v>4</v>
      </c>
      <c r="AK155" s="4">
        <v>8</v>
      </c>
      <c r="AL155" s="4">
        <v>29</v>
      </c>
      <c r="AM155" s="4">
        <v>47</v>
      </c>
      <c r="AN155" s="4">
        <v>0</v>
      </c>
      <c r="AO155" s="4">
        <v>0</v>
      </c>
      <c r="AP155" s="4">
        <v>4</v>
      </c>
      <c r="AQ155" s="4">
        <v>8</v>
      </c>
      <c r="AR155" s="3" t="s">
        <v>63</v>
      </c>
      <c r="AS155" s="3" t="s">
        <v>63</v>
      </c>
      <c r="AT155" s="3" t="s">
        <v>63</v>
      </c>
      <c r="AV155" s="6" t="str">
        <f>HYPERLINK("http://mcgill.on.worldcat.org/oclc/40533569","Catalog Record")</f>
        <v>Catalog Record</v>
      </c>
      <c r="AW155" s="6" t="str">
        <f>HYPERLINK("http://www.worldcat.org/oclc/40533569","WorldCat Record")</f>
        <v>WorldCat Record</v>
      </c>
      <c r="AX155" s="3" t="s">
        <v>1619</v>
      </c>
      <c r="AY155" s="3" t="s">
        <v>1620</v>
      </c>
      <c r="AZ155" s="3" t="s">
        <v>1621</v>
      </c>
      <c r="BA155" s="3" t="s">
        <v>1621</v>
      </c>
      <c r="BB155" s="3" t="s">
        <v>1622</v>
      </c>
      <c r="BC155" s="3" t="s">
        <v>82</v>
      </c>
      <c r="BD155" s="3" t="s">
        <v>70</v>
      </c>
      <c r="BE155" s="3" t="s">
        <v>1623</v>
      </c>
      <c r="BF155" s="3" t="s">
        <v>1622</v>
      </c>
      <c r="BG155" s="3" t="s">
        <v>1624</v>
      </c>
    </row>
    <row r="156" spans="1:59" ht="60" x14ac:dyDescent="0.25">
      <c r="A156" s="2" t="s">
        <v>59</v>
      </c>
      <c r="B156" s="2" t="s">
        <v>60</v>
      </c>
      <c r="C156" s="2" t="s">
        <v>1625</v>
      </c>
      <c r="D156" s="2" t="s">
        <v>1626</v>
      </c>
      <c r="E156" s="2" t="s">
        <v>1627</v>
      </c>
      <c r="G156" s="3" t="s">
        <v>63</v>
      </c>
      <c r="I156" s="3" t="s">
        <v>63</v>
      </c>
      <c r="J156" s="3" t="s">
        <v>63</v>
      </c>
      <c r="K156" s="3" t="s">
        <v>64</v>
      </c>
      <c r="L156" s="2" t="s">
        <v>1628</v>
      </c>
      <c r="M156" s="2" t="s">
        <v>1629</v>
      </c>
      <c r="N156" s="3" t="s">
        <v>1023</v>
      </c>
      <c r="P156" s="3" t="s">
        <v>363</v>
      </c>
      <c r="Q156" s="2" t="s">
        <v>1630</v>
      </c>
      <c r="R156" s="3" t="s">
        <v>67</v>
      </c>
      <c r="S156" s="4">
        <v>1</v>
      </c>
      <c r="T156" s="4">
        <v>1</v>
      </c>
      <c r="U156" s="5" t="s">
        <v>1631</v>
      </c>
      <c r="V156" s="5" t="s">
        <v>1631</v>
      </c>
      <c r="W156" s="5" t="s">
        <v>69</v>
      </c>
      <c r="X156" s="5" t="s">
        <v>69</v>
      </c>
      <c r="Y156" s="4">
        <v>122</v>
      </c>
      <c r="Z156" s="4">
        <v>8</v>
      </c>
      <c r="AA156" s="4">
        <v>12</v>
      </c>
      <c r="AB156" s="4">
        <v>3</v>
      </c>
      <c r="AC156" s="4">
        <v>3</v>
      </c>
      <c r="AD156" s="4">
        <v>58</v>
      </c>
      <c r="AE156" s="4">
        <v>63</v>
      </c>
      <c r="AF156" s="4">
        <v>1</v>
      </c>
      <c r="AG156" s="4">
        <v>1</v>
      </c>
      <c r="AH156" s="4">
        <v>53</v>
      </c>
      <c r="AI156" s="4">
        <v>57</v>
      </c>
      <c r="AJ156" s="4">
        <v>5</v>
      </c>
      <c r="AK156" s="4">
        <v>7</v>
      </c>
      <c r="AL156" s="4">
        <v>36</v>
      </c>
      <c r="AM156" s="4">
        <v>38</v>
      </c>
      <c r="AN156" s="4">
        <v>0</v>
      </c>
      <c r="AO156" s="4">
        <v>0</v>
      </c>
      <c r="AP156" s="4">
        <v>6</v>
      </c>
      <c r="AQ156" s="4">
        <v>8</v>
      </c>
      <c r="AR156" s="3" t="s">
        <v>63</v>
      </c>
      <c r="AS156" s="3" t="s">
        <v>63</v>
      </c>
      <c r="AT156" s="3" t="s">
        <v>63</v>
      </c>
      <c r="AV156" s="6" t="str">
        <f>HYPERLINK("http://mcgill.on.worldcat.org/oclc/32016067","Catalog Record")</f>
        <v>Catalog Record</v>
      </c>
      <c r="AW156" s="6" t="str">
        <f>HYPERLINK("http://www.worldcat.org/oclc/32016067","WorldCat Record")</f>
        <v>WorldCat Record</v>
      </c>
      <c r="AX156" s="3" t="s">
        <v>1632</v>
      </c>
      <c r="AY156" s="3" t="s">
        <v>1633</v>
      </c>
      <c r="AZ156" s="3" t="s">
        <v>1634</v>
      </c>
      <c r="BA156" s="3" t="s">
        <v>1634</v>
      </c>
      <c r="BB156" s="3" t="s">
        <v>1635</v>
      </c>
      <c r="BC156" s="3" t="s">
        <v>82</v>
      </c>
      <c r="BD156" s="3" t="s">
        <v>70</v>
      </c>
      <c r="BE156" s="3" t="s">
        <v>1636</v>
      </c>
      <c r="BF156" s="3" t="s">
        <v>1635</v>
      </c>
      <c r="BG156" s="3" t="s">
        <v>1637</v>
      </c>
    </row>
    <row r="157" spans="1:59" ht="60" x14ac:dyDescent="0.25">
      <c r="A157" s="2" t="s">
        <v>59</v>
      </c>
      <c r="B157" s="2" t="s">
        <v>60</v>
      </c>
      <c r="C157" s="2" t="s">
        <v>1638</v>
      </c>
      <c r="D157" s="2" t="s">
        <v>1639</v>
      </c>
      <c r="E157" s="2" t="s">
        <v>1640</v>
      </c>
      <c r="G157" s="3" t="s">
        <v>63</v>
      </c>
      <c r="I157" s="3" t="s">
        <v>63</v>
      </c>
      <c r="J157" s="3" t="s">
        <v>63</v>
      </c>
      <c r="K157" s="3" t="s">
        <v>64</v>
      </c>
      <c r="M157" s="2" t="s">
        <v>1641</v>
      </c>
      <c r="N157" s="3" t="s">
        <v>130</v>
      </c>
      <c r="P157" s="3" t="s">
        <v>442</v>
      </c>
      <c r="R157" s="3" t="s">
        <v>67</v>
      </c>
      <c r="S157" s="4">
        <v>0</v>
      </c>
      <c r="T157" s="4">
        <v>0</v>
      </c>
      <c r="W157" s="5" t="s">
        <v>69</v>
      </c>
      <c r="X157" s="5" t="s">
        <v>69</v>
      </c>
      <c r="Y157" s="4">
        <v>27</v>
      </c>
      <c r="Z157" s="4">
        <v>6</v>
      </c>
      <c r="AA157" s="4">
        <v>6</v>
      </c>
      <c r="AB157" s="4">
        <v>1</v>
      </c>
      <c r="AC157" s="4">
        <v>1</v>
      </c>
      <c r="AD157" s="4">
        <v>21</v>
      </c>
      <c r="AE157" s="4">
        <v>21</v>
      </c>
      <c r="AF157" s="4">
        <v>0</v>
      </c>
      <c r="AG157" s="4">
        <v>0</v>
      </c>
      <c r="AH157" s="4">
        <v>20</v>
      </c>
      <c r="AI157" s="4">
        <v>20</v>
      </c>
      <c r="AJ157" s="4">
        <v>4</v>
      </c>
      <c r="AK157" s="4">
        <v>4</v>
      </c>
      <c r="AL157" s="4">
        <v>15</v>
      </c>
      <c r="AM157" s="4">
        <v>15</v>
      </c>
      <c r="AN157" s="4">
        <v>0</v>
      </c>
      <c r="AO157" s="4">
        <v>0</v>
      </c>
      <c r="AP157" s="4">
        <v>4</v>
      </c>
      <c r="AQ157" s="4">
        <v>4</v>
      </c>
      <c r="AR157" s="3" t="s">
        <v>63</v>
      </c>
      <c r="AS157" s="3" t="s">
        <v>63</v>
      </c>
      <c r="AT157" s="3" t="s">
        <v>63</v>
      </c>
      <c r="AV157" s="6" t="str">
        <f>HYPERLINK("http://mcgill.on.worldcat.org/oclc/844683921","Catalog Record")</f>
        <v>Catalog Record</v>
      </c>
      <c r="AW157" s="6" t="str">
        <f>HYPERLINK("http://www.worldcat.org/oclc/844683921","WorldCat Record")</f>
        <v>WorldCat Record</v>
      </c>
      <c r="AX157" s="3" t="s">
        <v>1642</v>
      </c>
      <c r="AY157" s="3" t="s">
        <v>1643</v>
      </c>
      <c r="AZ157" s="3" t="s">
        <v>1644</v>
      </c>
      <c r="BA157" s="3" t="s">
        <v>1644</v>
      </c>
      <c r="BB157" s="3" t="s">
        <v>1645</v>
      </c>
      <c r="BC157" s="3" t="s">
        <v>82</v>
      </c>
      <c r="BD157" s="3" t="s">
        <v>70</v>
      </c>
      <c r="BE157" s="3" t="s">
        <v>1646</v>
      </c>
      <c r="BF157" s="3" t="s">
        <v>1645</v>
      </c>
      <c r="BG157" s="3" t="s">
        <v>1647</v>
      </c>
    </row>
    <row r="158" spans="1:59" ht="60" x14ac:dyDescent="0.25">
      <c r="A158" s="2" t="s">
        <v>59</v>
      </c>
      <c r="B158" s="2" t="s">
        <v>60</v>
      </c>
      <c r="C158" s="2" t="s">
        <v>1648</v>
      </c>
      <c r="D158" s="2" t="s">
        <v>1649</v>
      </c>
      <c r="E158" s="2" t="s">
        <v>1650</v>
      </c>
      <c r="G158" s="3" t="s">
        <v>63</v>
      </c>
      <c r="I158" s="3" t="s">
        <v>63</v>
      </c>
      <c r="J158" s="3" t="s">
        <v>63</v>
      </c>
      <c r="K158" s="3" t="s">
        <v>64</v>
      </c>
      <c r="L158" s="2" t="s">
        <v>1651</v>
      </c>
      <c r="M158" s="2" t="s">
        <v>1652</v>
      </c>
      <c r="N158" s="3" t="s">
        <v>176</v>
      </c>
      <c r="P158" s="3" t="s">
        <v>548</v>
      </c>
      <c r="Q158" s="2" t="s">
        <v>1653</v>
      </c>
      <c r="R158" s="3" t="s">
        <v>67</v>
      </c>
      <c r="S158" s="4">
        <v>5</v>
      </c>
      <c r="T158" s="4">
        <v>5</v>
      </c>
      <c r="U158" s="5" t="s">
        <v>1011</v>
      </c>
      <c r="V158" s="5" t="s">
        <v>1011</v>
      </c>
      <c r="W158" s="5" t="s">
        <v>69</v>
      </c>
      <c r="X158" s="5" t="s">
        <v>69</v>
      </c>
      <c r="Y158" s="4">
        <v>2</v>
      </c>
      <c r="Z158" s="4">
        <v>1</v>
      </c>
      <c r="AA158" s="4">
        <v>6</v>
      </c>
      <c r="AB158" s="4">
        <v>1</v>
      </c>
      <c r="AC158" s="4">
        <v>5</v>
      </c>
      <c r="AD158" s="4">
        <v>0</v>
      </c>
      <c r="AE158" s="4">
        <v>7</v>
      </c>
      <c r="AF158" s="4">
        <v>0</v>
      </c>
      <c r="AG158" s="4">
        <v>2</v>
      </c>
      <c r="AH158" s="4">
        <v>0</v>
      </c>
      <c r="AI158" s="4">
        <v>4</v>
      </c>
      <c r="AJ158" s="4">
        <v>0</v>
      </c>
      <c r="AK158" s="4">
        <v>2</v>
      </c>
      <c r="AL158" s="4">
        <v>0</v>
      </c>
      <c r="AM158" s="4">
        <v>5</v>
      </c>
      <c r="AN158" s="4">
        <v>0</v>
      </c>
      <c r="AO158" s="4">
        <v>0</v>
      </c>
      <c r="AP158" s="4">
        <v>0</v>
      </c>
      <c r="AQ158" s="4">
        <v>1</v>
      </c>
      <c r="AR158" s="3" t="s">
        <v>63</v>
      </c>
      <c r="AS158" s="3" t="s">
        <v>63</v>
      </c>
      <c r="AT158" s="3" t="s">
        <v>63</v>
      </c>
      <c r="AV158" s="6" t="str">
        <f>HYPERLINK("http://mcgill.on.worldcat.org/oclc/428038614","Catalog Record")</f>
        <v>Catalog Record</v>
      </c>
      <c r="AW158" s="6" t="str">
        <f>HYPERLINK("http://www.worldcat.org/oclc/428038614","WorldCat Record")</f>
        <v>WorldCat Record</v>
      </c>
      <c r="AX158" s="3" t="s">
        <v>1654</v>
      </c>
      <c r="AY158" s="3" t="s">
        <v>1655</v>
      </c>
      <c r="AZ158" s="3" t="s">
        <v>1656</v>
      </c>
      <c r="BA158" s="3" t="s">
        <v>1656</v>
      </c>
      <c r="BB158" s="3" t="s">
        <v>1657</v>
      </c>
      <c r="BC158" s="3" t="s">
        <v>82</v>
      </c>
      <c r="BD158" s="3" t="s">
        <v>70</v>
      </c>
      <c r="BE158" s="3" t="s">
        <v>1658</v>
      </c>
      <c r="BF158" s="3" t="s">
        <v>1657</v>
      </c>
      <c r="BG158" s="3" t="s">
        <v>1659</v>
      </c>
    </row>
    <row r="159" spans="1:59" ht="75" x14ac:dyDescent="0.25">
      <c r="A159" s="2" t="s">
        <v>59</v>
      </c>
      <c r="B159" s="2" t="s">
        <v>60</v>
      </c>
      <c r="C159" s="2" t="s">
        <v>1660</v>
      </c>
      <c r="D159" s="2" t="s">
        <v>1661</v>
      </c>
      <c r="E159" s="2" t="s">
        <v>1662</v>
      </c>
      <c r="G159" s="3" t="s">
        <v>63</v>
      </c>
      <c r="I159" s="3" t="s">
        <v>63</v>
      </c>
      <c r="J159" s="3" t="s">
        <v>63</v>
      </c>
      <c r="K159" s="3" t="s">
        <v>64</v>
      </c>
      <c r="L159" s="2" t="s">
        <v>1663</v>
      </c>
      <c r="M159" s="2" t="s">
        <v>1664</v>
      </c>
      <c r="N159" s="3" t="s">
        <v>274</v>
      </c>
      <c r="P159" s="3" t="s">
        <v>66</v>
      </c>
      <c r="Q159" s="2" t="s">
        <v>1665</v>
      </c>
      <c r="R159" s="3" t="s">
        <v>67</v>
      </c>
      <c r="S159" s="4">
        <v>4</v>
      </c>
      <c r="T159" s="4">
        <v>4</v>
      </c>
      <c r="U159" s="5" t="s">
        <v>1444</v>
      </c>
      <c r="V159" s="5" t="s">
        <v>1444</v>
      </c>
      <c r="W159" s="5" t="s">
        <v>69</v>
      </c>
      <c r="X159" s="5" t="s">
        <v>69</v>
      </c>
      <c r="Y159" s="4">
        <v>99</v>
      </c>
      <c r="Z159" s="4">
        <v>4</v>
      </c>
      <c r="AA159" s="4">
        <v>4</v>
      </c>
      <c r="AB159" s="4">
        <v>1</v>
      </c>
      <c r="AC159" s="4">
        <v>1</v>
      </c>
      <c r="AD159" s="4">
        <v>50</v>
      </c>
      <c r="AE159" s="4">
        <v>50</v>
      </c>
      <c r="AF159" s="4">
        <v>0</v>
      </c>
      <c r="AG159" s="4">
        <v>0</v>
      </c>
      <c r="AH159" s="4">
        <v>47</v>
      </c>
      <c r="AI159" s="4">
        <v>47</v>
      </c>
      <c r="AJ159" s="4">
        <v>1</v>
      </c>
      <c r="AK159" s="4">
        <v>1</v>
      </c>
      <c r="AL159" s="4">
        <v>34</v>
      </c>
      <c r="AM159" s="4">
        <v>34</v>
      </c>
      <c r="AN159" s="4">
        <v>0</v>
      </c>
      <c r="AO159" s="4">
        <v>0</v>
      </c>
      <c r="AP159" s="4">
        <v>1</v>
      </c>
      <c r="AQ159" s="4">
        <v>1</v>
      </c>
      <c r="AR159" s="3" t="s">
        <v>63</v>
      </c>
      <c r="AS159" s="3" t="s">
        <v>63</v>
      </c>
      <c r="AT159" s="3" t="s">
        <v>62</v>
      </c>
      <c r="AU159" s="6" t="str">
        <f>HYPERLINK("http://catalog.hathitrust.org/Record/007137438","HathiTrust Record")</f>
        <v>HathiTrust Record</v>
      </c>
      <c r="AV159" s="6" t="str">
        <f>HYPERLINK("http://mcgill.on.worldcat.org/oclc/53375265","Catalog Record")</f>
        <v>Catalog Record</v>
      </c>
      <c r="AW159" s="6" t="str">
        <f>HYPERLINK("http://www.worldcat.org/oclc/53375265","WorldCat Record")</f>
        <v>WorldCat Record</v>
      </c>
      <c r="AX159" s="3" t="s">
        <v>1666</v>
      </c>
      <c r="AY159" s="3" t="s">
        <v>1667</v>
      </c>
      <c r="AZ159" s="3" t="s">
        <v>1668</v>
      </c>
      <c r="BA159" s="3" t="s">
        <v>1668</v>
      </c>
      <c r="BB159" s="3" t="s">
        <v>1669</v>
      </c>
      <c r="BC159" s="3" t="s">
        <v>82</v>
      </c>
      <c r="BD159" s="3" t="s">
        <v>70</v>
      </c>
      <c r="BE159" s="3" t="s">
        <v>1670</v>
      </c>
      <c r="BF159" s="3" t="s">
        <v>1669</v>
      </c>
      <c r="BG159" s="3" t="s">
        <v>1671</v>
      </c>
    </row>
    <row r="160" spans="1:59" ht="60" x14ac:dyDescent="0.25">
      <c r="A160" s="2" t="s">
        <v>59</v>
      </c>
      <c r="B160" s="2" t="s">
        <v>60</v>
      </c>
      <c r="C160" s="2" t="s">
        <v>1672</v>
      </c>
      <c r="D160" s="2" t="s">
        <v>1673</v>
      </c>
      <c r="E160" s="2" t="s">
        <v>1674</v>
      </c>
      <c r="G160" s="3" t="s">
        <v>63</v>
      </c>
      <c r="I160" s="3" t="s">
        <v>63</v>
      </c>
      <c r="J160" s="3" t="s">
        <v>63</v>
      </c>
      <c r="K160" s="3" t="s">
        <v>64</v>
      </c>
      <c r="L160" s="2" t="s">
        <v>1675</v>
      </c>
      <c r="M160" s="2" t="s">
        <v>1676</v>
      </c>
      <c r="N160" s="3" t="s">
        <v>287</v>
      </c>
      <c r="P160" s="3" t="s">
        <v>548</v>
      </c>
      <c r="R160" s="3" t="s">
        <v>67</v>
      </c>
      <c r="S160" s="4">
        <v>2</v>
      </c>
      <c r="T160" s="4">
        <v>2</v>
      </c>
      <c r="U160" s="5" t="s">
        <v>1677</v>
      </c>
      <c r="V160" s="5" t="s">
        <v>1677</v>
      </c>
      <c r="W160" s="5" t="s">
        <v>69</v>
      </c>
      <c r="X160" s="5" t="s">
        <v>69</v>
      </c>
      <c r="Y160" s="4">
        <v>2</v>
      </c>
      <c r="Z160" s="4">
        <v>2</v>
      </c>
      <c r="AA160" s="4">
        <v>2</v>
      </c>
      <c r="AB160" s="4">
        <v>1</v>
      </c>
      <c r="AC160" s="4">
        <v>1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3" t="s">
        <v>63</v>
      </c>
      <c r="AS160" s="3" t="s">
        <v>63</v>
      </c>
      <c r="AT160" s="3" t="s">
        <v>63</v>
      </c>
      <c r="AV160" s="6" t="str">
        <f>HYPERLINK("http://mcgill.on.worldcat.org/oclc/1030227603","Catalog Record")</f>
        <v>Catalog Record</v>
      </c>
      <c r="AW160" s="6" t="str">
        <f>HYPERLINK("http://www.worldcat.org/oclc/1030227603","WorldCat Record")</f>
        <v>WorldCat Record</v>
      </c>
      <c r="AX160" s="3" t="s">
        <v>1678</v>
      </c>
      <c r="AY160" s="3" t="s">
        <v>1679</v>
      </c>
      <c r="AZ160" s="3" t="s">
        <v>1680</v>
      </c>
      <c r="BA160" s="3" t="s">
        <v>1680</v>
      </c>
      <c r="BB160" s="3" t="s">
        <v>1681</v>
      </c>
      <c r="BC160" s="3" t="s">
        <v>82</v>
      </c>
      <c r="BD160" s="3" t="s">
        <v>70</v>
      </c>
      <c r="BE160" s="3" t="s">
        <v>1682</v>
      </c>
      <c r="BF160" s="3" t="s">
        <v>1681</v>
      </c>
      <c r="BG160" s="3" t="s">
        <v>1683</v>
      </c>
    </row>
    <row r="161" spans="1:59" ht="105" x14ac:dyDescent="0.25">
      <c r="A161" s="2" t="s">
        <v>59</v>
      </c>
      <c r="B161" s="2" t="s">
        <v>60</v>
      </c>
      <c r="C161" s="2" t="s">
        <v>1684</v>
      </c>
      <c r="D161" s="2" t="s">
        <v>1685</v>
      </c>
      <c r="E161" s="2" t="s">
        <v>1686</v>
      </c>
      <c r="G161" s="3" t="s">
        <v>63</v>
      </c>
      <c r="I161" s="3" t="s">
        <v>63</v>
      </c>
      <c r="J161" s="3" t="s">
        <v>63</v>
      </c>
      <c r="K161" s="3" t="s">
        <v>64</v>
      </c>
      <c r="L161" s="2" t="s">
        <v>1687</v>
      </c>
      <c r="M161" s="2" t="s">
        <v>1688</v>
      </c>
      <c r="N161" s="3" t="s">
        <v>629</v>
      </c>
      <c r="O161" s="2" t="s">
        <v>1689</v>
      </c>
      <c r="P161" s="3" t="s">
        <v>363</v>
      </c>
      <c r="R161" s="3" t="s">
        <v>67</v>
      </c>
      <c r="S161" s="4">
        <v>0</v>
      </c>
      <c r="T161" s="4">
        <v>0</v>
      </c>
      <c r="W161" s="5" t="s">
        <v>1690</v>
      </c>
      <c r="X161" s="5" t="s">
        <v>1690</v>
      </c>
      <c r="Y161" s="4">
        <v>1</v>
      </c>
      <c r="Z161" s="4">
        <v>1</v>
      </c>
      <c r="AA161" s="4">
        <v>1</v>
      </c>
      <c r="AB161" s="4">
        <v>1</v>
      </c>
      <c r="AC161" s="4">
        <v>1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3" t="s">
        <v>63</v>
      </c>
      <c r="AS161" s="3" t="s">
        <v>63</v>
      </c>
      <c r="AT161" s="3" t="s">
        <v>63</v>
      </c>
      <c r="AV161" s="6" t="str">
        <f>HYPERLINK("http://mcgill.on.worldcat.org/oclc/897006087","Catalog Record")</f>
        <v>Catalog Record</v>
      </c>
      <c r="AW161" s="6" t="str">
        <f>HYPERLINK("http://www.worldcat.org/oclc/897006087","WorldCat Record")</f>
        <v>WorldCat Record</v>
      </c>
      <c r="AX161" s="3" t="s">
        <v>1691</v>
      </c>
      <c r="AY161" s="3" t="s">
        <v>1692</v>
      </c>
      <c r="AZ161" s="3" t="s">
        <v>1693</v>
      </c>
      <c r="BA161" s="3" t="s">
        <v>1693</v>
      </c>
      <c r="BB161" s="3" t="s">
        <v>1694</v>
      </c>
      <c r="BC161" s="3" t="s">
        <v>82</v>
      </c>
      <c r="BD161" s="3" t="s">
        <v>70</v>
      </c>
      <c r="BE161" s="3" t="s">
        <v>1695</v>
      </c>
      <c r="BF161" s="3" t="s">
        <v>1694</v>
      </c>
      <c r="BG161" s="3" t="s">
        <v>1696</v>
      </c>
    </row>
    <row r="162" spans="1:59" ht="60" x14ac:dyDescent="0.25">
      <c r="A162" s="2" t="s">
        <v>59</v>
      </c>
      <c r="B162" s="2" t="s">
        <v>60</v>
      </c>
      <c r="C162" s="2" t="s">
        <v>1697</v>
      </c>
      <c r="D162" s="2" t="s">
        <v>1698</v>
      </c>
      <c r="E162" s="2" t="s">
        <v>1699</v>
      </c>
      <c r="G162" s="3" t="s">
        <v>63</v>
      </c>
      <c r="I162" s="3" t="s">
        <v>63</v>
      </c>
      <c r="J162" s="3" t="s">
        <v>63</v>
      </c>
      <c r="K162" s="3" t="s">
        <v>64</v>
      </c>
      <c r="L162" s="2" t="s">
        <v>1700</v>
      </c>
      <c r="M162" s="2" t="s">
        <v>1701</v>
      </c>
      <c r="N162" s="3" t="s">
        <v>1343</v>
      </c>
      <c r="O162" s="2" t="s">
        <v>590</v>
      </c>
      <c r="P162" s="3" t="s">
        <v>66</v>
      </c>
      <c r="R162" s="3" t="s">
        <v>67</v>
      </c>
      <c r="S162" s="4">
        <v>3</v>
      </c>
      <c r="T162" s="4">
        <v>3</v>
      </c>
      <c r="U162" s="5" t="s">
        <v>1702</v>
      </c>
      <c r="V162" s="5" t="s">
        <v>1702</v>
      </c>
      <c r="W162" s="5" t="s">
        <v>69</v>
      </c>
      <c r="X162" s="5" t="s">
        <v>69</v>
      </c>
      <c r="Y162" s="4">
        <v>233</v>
      </c>
      <c r="Z162" s="4">
        <v>9</v>
      </c>
      <c r="AA162" s="4">
        <v>12</v>
      </c>
      <c r="AB162" s="4">
        <v>1</v>
      </c>
      <c r="AC162" s="4">
        <v>2</v>
      </c>
      <c r="AD162" s="4">
        <v>74</v>
      </c>
      <c r="AE162" s="4">
        <v>76</v>
      </c>
      <c r="AF162" s="4">
        <v>0</v>
      </c>
      <c r="AG162" s="4">
        <v>0</v>
      </c>
      <c r="AH162" s="4">
        <v>69</v>
      </c>
      <c r="AI162" s="4">
        <v>69</v>
      </c>
      <c r="AJ162" s="4">
        <v>5</v>
      </c>
      <c r="AK162" s="4">
        <v>7</v>
      </c>
      <c r="AL162" s="4">
        <v>41</v>
      </c>
      <c r="AM162" s="4">
        <v>41</v>
      </c>
      <c r="AN162" s="4">
        <v>0</v>
      </c>
      <c r="AO162" s="4">
        <v>0</v>
      </c>
      <c r="AP162" s="4">
        <v>5</v>
      </c>
      <c r="AQ162" s="4">
        <v>7</v>
      </c>
      <c r="AR162" s="3" t="s">
        <v>63</v>
      </c>
      <c r="AS162" s="3" t="s">
        <v>63</v>
      </c>
      <c r="AT162" s="3" t="s">
        <v>62</v>
      </c>
      <c r="AU162" s="6" t="str">
        <f>HYPERLINK("http://catalog.hathitrust.org/Record/007139439","HathiTrust Record")</f>
        <v>HathiTrust Record</v>
      </c>
      <c r="AV162" s="6" t="str">
        <f>HYPERLINK("http://mcgill.on.worldcat.org/oclc/42290917","Catalog Record")</f>
        <v>Catalog Record</v>
      </c>
      <c r="AW162" s="6" t="str">
        <f>HYPERLINK("http://www.worldcat.org/oclc/42290917","WorldCat Record")</f>
        <v>WorldCat Record</v>
      </c>
      <c r="AX162" s="3" t="s">
        <v>1703</v>
      </c>
      <c r="AY162" s="3" t="s">
        <v>1704</v>
      </c>
      <c r="AZ162" s="3" t="s">
        <v>1705</v>
      </c>
      <c r="BA162" s="3" t="s">
        <v>1705</v>
      </c>
      <c r="BB162" s="3" t="s">
        <v>1706</v>
      </c>
      <c r="BC162" s="3" t="s">
        <v>82</v>
      </c>
      <c r="BD162" s="3" t="s">
        <v>70</v>
      </c>
      <c r="BE162" s="3" t="s">
        <v>1707</v>
      </c>
      <c r="BF162" s="3" t="s">
        <v>1706</v>
      </c>
      <c r="BG162" s="3" t="s">
        <v>1708</v>
      </c>
    </row>
    <row r="163" spans="1:59" ht="60" x14ac:dyDescent="0.25">
      <c r="A163" s="2" t="s">
        <v>59</v>
      </c>
      <c r="B163" s="2" t="s">
        <v>60</v>
      </c>
      <c r="C163" s="2" t="s">
        <v>1709</v>
      </c>
      <c r="D163" s="2" t="s">
        <v>1710</v>
      </c>
      <c r="E163" s="2" t="s">
        <v>1711</v>
      </c>
      <c r="G163" s="3" t="s">
        <v>63</v>
      </c>
      <c r="I163" s="3" t="s">
        <v>63</v>
      </c>
      <c r="J163" s="3" t="s">
        <v>63</v>
      </c>
      <c r="K163" s="3" t="s">
        <v>64</v>
      </c>
      <c r="L163" s="2" t="s">
        <v>1712</v>
      </c>
      <c r="M163" s="2" t="s">
        <v>1713</v>
      </c>
      <c r="N163" s="3" t="s">
        <v>1113</v>
      </c>
      <c r="O163" s="2" t="s">
        <v>1605</v>
      </c>
      <c r="P163" s="3" t="s">
        <v>66</v>
      </c>
      <c r="Q163" s="2" t="s">
        <v>1714</v>
      </c>
      <c r="R163" s="3" t="s">
        <v>67</v>
      </c>
      <c r="S163" s="4">
        <v>7</v>
      </c>
      <c r="T163" s="4">
        <v>7</v>
      </c>
      <c r="U163" s="5" t="s">
        <v>1715</v>
      </c>
      <c r="V163" s="5" t="s">
        <v>1715</v>
      </c>
      <c r="W163" s="5" t="s">
        <v>69</v>
      </c>
      <c r="X163" s="5" t="s">
        <v>69</v>
      </c>
      <c r="Y163" s="4">
        <v>164</v>
      </c>
      <c r="Z163" s="4">
        <v>2</v>
      </c>
      <c r="AA163" s="4">
        <v>3</v>
      </c>
      <c r="AB163" s="4">
        <v>1</v>
      </c>
      <c r="AC163" s="4">
        <v>1</v>
      </c>
      <c r="AD163" s="4">
        <v>52</v>
      </c>
      <c r="AE163" s="4">
        <v>56</v>
      </c>
      <c r="AF163" s="4">
        <v>0</v>
      </c>
      <c r="AG163" s="4">
        <v>0</v>
      </c>
      <c r="AH163" s="4">
        <v>51</v>
      </c>
      <c r="AI163" s="4">
        <v>54</v>
      </c>
      <c r="AJ163" s="4">
        <v>0</v>
      </c>
      <c r="AK163" s="4">
        <v>0</v>
      </c>
      <c r="AL163" s="4">
        <v>33</v>
      </c>
      <c r="AM163" s="4">
        <v>33</v>
      </c>
      <c r="AN163" s="4">
        <v>0</v>
      </c>
      <c r="AO163" s="4">
        <v>0</v>
      </c>
      <c r="AP163" s="4">
        <v>0</v>
      </c>
      <c r="AQ163" s="4">
        <v>1</v>
      </c>
      <c r="AR163" s="3" t="s">
        <v>63</v>
      </c>
      <c r="AS163" s="3" t="s">
        <v>63</v>
      </c>
      <c r="AT163" s="3" t="s">
        <v>62</v>
      </c>
      <c r="AU163" s="6" t="str">
        <f>HYPERLINK("http://catalog.hathitrust.org/Record/003176422","HathiTrust Record")</f>
        <v>HathiTrust Record</v>
      </c>
      <c r="AV163" s="6" t="str">
        <f>HYPERLINK("http://mcgill.on.worldcat.org/oclc/36891898","Catalog Record")</f>
        <v>Catalog Record</v>
      </c>
      <c r="AW163" s="6" t="str">
        <f>HYPERLINK("http://www.worldcat.org/oclc/36891898","WorldCat Record")</f>
        <v>WorldCat Record</v>
      </c>
      <c r="AX163" s="3" t="s">
        <v>1716</v>
      </c>
      <c r="AY163" s="3" t="s">
        <v>1717</v>
      </c>
      <c r="AZ163" s="3" t="s">
        <v>1718</v>
      </c>
      <c r="BA163" s="3" t="s">
        <v>1718</v>
      </c>
      <c r="BB163" s="3" t="s">
        <v>1719</v>
      </c>
      <c r="BC163" s="3" t="s">
        <v>82</v>
      </c>
      <c r="BD163" s="3" t="s">
        <v>70</v>
      </c>
      <c r="BE163" s="3" t="s">
        <v>1720</v>
      </c>
      <c r="BF163" s="3" t="s">
        <v>1719</v>
      </c>
      <c r="BG163" s="3" t="s">
        <v>1721</v>
      </c>
    </row>
    <row r="164" spans="1:59" ht="60" x14ac:dyDescent="0.25">
      <c r="A164" s="2" t="s">
        <v>59</v>
      </c>
      <c r="B164" s="2" t="s">
        <v>60</v>
      </c>
      <c r="C164" s="2" t="s">
        <v>1722</v>
      </c>
      <c r="D164" s="2" t="s">
        <v>1723</v>
      </c>
      <c r="E164" s="2" t="s">
        <v>1724</v>
      </c>
      <c r="G164" s="3" t="s">
        <v>63</v>
      </c>
      <c r="I164" s="3" t="s">
        <v>63</v>
      </c>
      <c r="J164" s="3" t="s">
        <v>63</v>
      </c>
      <c r="K164" s="3" t="s">
        <v>64</v>
      </c>
      <c r="L164" s="2" t="s">
        <v>1725</v>
      </c>
      <c r="M164" s="2" t="s">
        <v>1726</v>
      </c>
      <c r="N164" s="3" t="s">
        <v>1343</v>
      </c>
      <c r="O164" s="2" t="s">
        <v>1727</v>
      </c>
      <c r="P164" s="3" t="s">
        <v>66</v>
      </c>
      <c r="R164" s="3" t="s">
        <v>67</v>
      </c>
      <c r="S164" s="4">
        <v>2</v>
      </c>
      <c r="T164" s="4">
        <v>2</v>
      </c>
      <c r="U164" s="5" t="s">
        <v>1728</v>
      </c>
      <c r="V164" s="5" t="s">
        <v>1728</v>
      </c>
      <c r="W164" s="5" t="s">
        <v>69</v>
      </c>
      <c r="X164" s="5" t="s">
        <v>69</v>
      </c>
      <c r="Y164" s="4">
        <v>127</v>
      </c>
      <c r="Z164" s="4">
        <v>6</v>
      </c>
      <c r="AA164" s="4">
        <v>6</v>
      </c>
      <c r="AB164" s="4">
        <v>1</v>
      </c>
      <c r="AC164" s="4">
        <v>1</v>
      </c>
      <c r="AD164" s="4">
        <v>72</v>
      </c>
      <c r="AE164" s="4">
        <v>72</v>
      </c>
      <c r="AF164" s="4">
        <v>0</v>
      </c>
      <c r="AG164" s="4">
        <v>0</v>
      </c>
      <c r="AH164" s="4">
        <v>68</v>
      </c>
      <c r="AI164" s="4">
        <v>68</v>
      </c>
      <c r="AJ164" s="4">
        <v>3</v>
      </c>
      <c r="AK164" s="4">
        <v>3</v>
      </c>
      <c r="AL164" s="4">
        <v>47</v>
      </c>
      <c r="AM164" s="4">
        <v>47</v>
      </c>
      <c r="AN164" s="4">
        <v>0</v>
      </c>
      <c r="AO164" s="4">
        <v>0</v>
      </c>
      <c r="AP164" s="4">
        <v>3</v>
      </c>
      <c r="AQ164" s="4">
        <v>3</v>
      </c>
      <c r="AR164" s="3" t="s">
        <v>63</v>
      </c>
      <c r="AS164" s="3" t="s">
        <v>63</v>
      </c>
      <c r="AT164" s="3" t="s">
        <v>62</v>
      </c>
      <c r="AU164" s="6" t="str">
        <f>HYPERLINK("http://catalog.hathitrust.org/Record/004146272","HathiTrust Record")</f>
        <v>HathiTrust Record</v>
      </c>
      <c r="AV164" s="6" t="str">
        <f>HYPERLINK("http://mcgill.on.worldcat.org/oclc/44391401","Catalog Record")</f>
        <v>Catalog Record</v>
      </c>
      <c r="AW164" s="6" t="str">
        <f>HYPERLINK("http://www.worldcat.org/oclc/44391401","WorldCat Record")</f>
        <v>WorldCat Record</v>
      </c>
      <c r="AX164" s="3" t="s">
        <v>1729</v>
      </c>
      <c r="AY164" s="3" t="s">
        <v>1730</v>
      </c>
      <c r="AZ164" s="3" t="s">
        <v>1731</v>
      </c>
      <c r="BA164" s="3" t="s">
        <v>1731</v>
      </c>
      <c r="BB164" s="3" t="s">
        <v>1732</v>
      </c>
      <c r="BC164" s="3" t="s">
        <v>82</v>
      </c>
      <c r="BD164" s="3" t="s">
        <v>70</v>
      </c>
      <c r="BE164" s="3" t="s">
        <v>1733</v>
      </c>
      <c r="BF164" s="3" t="s">
        <v>1732</v>
      </c>
      <c r="BG164" s="3" t="s">
        <v>1734</v>
      </c>
    </row>
    <row r="165" spans="1:59" ht="75" x14ac:dyDescent="0.25">
      <c r="A165" s="2" t="s">
        <v>59</v>
      </c>
      <c r="B165" s="2" t="s">
        <v>60</v>
      </c>
      <c r="C165" s="2" t="s">
        <v>1735</v>
      </c>
      <c r="D165" s="2" t="s">
        <v>1736</v>
      </c>
      <c r="E165" s="2" t="s">
        <v>1737</v>
      </c>
      <c r="G165" s="3" t="s">
        <v>63</v>
      </c>
      <c r="I165" s="3" t="s">
        <v>63</v>
      </c>
      <c r="J165" s="3" t="s">
        <v>63</v>
      </c>
      <c r="K165" s="3" t="s">
        <v>64</v>
      </c>
      <c r="M165" s="2" t="s">
        <v>1738</v>
      </c>
      <c r="N165" s="3" t="s">
        <v>65</v>
      </c>
      <c r="P165" s="3" t="s">
        <v>66</v>
      </c>
      <c r="Q165" s="2" t="s">
        <v>1739</v>
      </c>
      <c r="R165" s="3" t="s">
        <v>67</v>
      </c>
      <c r="S165" s="4">
        <v>12</v>
      </c>
      <c r="T165" s="4">
        <v>12</v>
      </c>
      <c r="U165" s="5" t="s">
        <v>1740</v>
      </c>
      <c r="V165" s="5" t="s">
        <v>1740</v>
      </c>
      <c r="W165" s="5" t="s">
        <v>69</v>
      </c>
      <c r="X165" s="5" t="s">
        <v>69</v>
      </c>
      <c r="Y165" s="4">
        <v>682</v>
      </c>
      <c r="Z165" s="4">
        <v>34</v>
      </c>
      <c r="AA165" s="4">
        <v>42</v>
      </c>
      <c r="AB165" s="4">
        <v>1</v>
      </c>
      <c r="AC165" s="4">
        <v>4</v>
      </c>
      <c r="AD165" s="4">
        <v>118</v>
      </c>
      <c r="AE165" s="4">
        <v>127</v>
      </c>
      <c r="AF165" s="4">
        <v>0</v>
      </c>
      <c r="AG165" s="4">
        <v>3</v>
      </c>
      <c r="AH165" s="4">
        <v>101</v>
      </c>
      <c r="AI165" s="4">
        <v>106</v>
      </c>
      <c r="AJ165" s="4">
        <v>17</v>
      </c>
      <c r="AK165" s="4">
        <v>22</v>
      </c>
      <c r="AL165" s="4">
        <v>54</v>
      </c>
      <c r="AM165" s="4">
        <v>55</v>
      </c>
      <c r="AN165" s="4">
        <v>0</v>
      </c>
      <c r="AO165" s="4">
        <v>0</v>
      </c>
      <c r="AP165" s="4">
        <v>24</v>
      </c>
      <c r="AQ165" s="4">
        <v>29</v>
      </c>
      <c r="AR165" s="3" t="s">
        <v>63</v>
      </c>
      <c r="AS165" s="3" t="s">
        <v>63</v>
      </c>
      <c r="AT165" s="3" t="s">
        <v>63</v>
      </c>
      <c r="AV165" s="6" t="str">
        <f>HYPERLINK("http://mcgill.on.worldcat.org/oclc/2237557","Catalog Record")</f>
        <v>Catalog Record</v>
      </c>
      <c r="AW165" s="6" t="str">
        <f>HYPERLINK("http://www.worldcat.org/oclc/2237557","WorldCat Record")</f>
        <v>WorldCat Record</v>
      </c>
      <c r="AX165" s="3" t="s">
        <v>1741</v>
      </c>
      <c r="AY165" s="3" t="s">
        <v>1742</v>
      </c>
      <c r="AZ165" s="3" t="s">
        <v>1743</v>
      </c>
      <c r="BA165" s="3" t="s">
        <v>1743</v>
      </c>
      <c r="BB165" s="3" t="s">
        <v>1744</v>
      </c>
      <c r="BC165" s="3" t="s">
        <v>82</v>
      </c>
      <c r="BD165" s="3" t="s">
        <v>70</v>
      </c>
      <c r="BE165" s="3" t="s">
        <v>1745</v>
      </c>
      <c r="BF165" s="3" t="s">
        <v>1744</v>
      </c>
      <c r="BG165" s="3" t="s">
        <v>1746</v>
      </c>
    </row>
    <row r="166" spans="1:59" ht="75" x14ac:dyDescent="0.25">
      <c r="A166" s="2" t="s">
        <v>59</v>
      </c>
      <c r="B166" s="2" t="s">
        <v>60</v>
      </c>
      <c r="C166" s="2" t="s">
        <v>1747</v>
      </c>
      <c r="D166" s="2" t="s">
        <v>1748</v>
      </c>
      <c r="E166" s="2" t="s">
        <v>1749</v>
      </c>
      <c r="G166" s="3" t="s">
        <v>63</v>
      </c>
      <c r="H166" s="3" t="s">
        <v>215</v>
      </c>
      <c r="I166" s="3" t="s">
        <v>63</v>
      </c>
      <c r="J166" s="3" t="s">
        <v>63</v>
      </c>
      <c r="K166" s="3" t="s">
        <v>64</v>
      </c>
      <c r="L166" s="2" t="s">
        <v>1750</v>
      </c>
      <c r="M166" s="2" t="s">
        <v>1751</v>
      </c>
      <c r="N166" s="3" t="s">
        <v>1752</v>
      </c>
      <c r="P166" s="3" t="s">
        <v>90</v>
      </c>
      <c r="R166" s="3" t="s">
        <v>67</v>
      </c>
      <c r="S166" s="4">
        <v>0</v>
      </c>
      <c r="T166" s="4">
        <v>0</v>
      </c>
      <c r="W166" s="5" t="s">
        <v>1753</v>
      </c>
      <c r="X166" s="5" t="s">
        <v>1753</v>
      </c>
      <c r="Y166" s="4">
        <v>1</v>
      </c>
      <c r="Z166" s="4">
        <v>1</v>
      </c>
      <c r="AA166" s="4">
        <v>1</v>
      </c>
      <c r="AB166" s="4">
        <v>1</v>
      </c>
      <c r="AC166" s="4">
        <v>1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3" t="s">
        <v>63</v>
      </c>
      <c r="AS166" s="3" t="s">
        <v>63</v>
      </c>
      <c r="AT166" s="3" t="s">
        <v>63</v>
      </c>
      <c r="AV166" s="6" t="str">
        <f>HYPERLINK("http://mcgill.on.worldcat.org/oclc/1130310486","Catalog Record")</f>
        <v>Catalog Record</v>
      </c>
      <c r="AW166" s="6" t="str">
        <f>HYPERLINK("http://www.worldcat.org/oclc/1130310486","WorldCat Record")</f>
        <v>WorldCat Record</v>
      </c>
      <c r="AX166" s="3" t="s">
        <v>1754</v>
      </c>
      <c r="AY166" s="3" t="s">
        <v>1755</v>
      </c>
      <c r="AZ166" s="3" t="s">
        <v>1756</v>
      </c>
      <c r="BA166" s="3" t="s">
        <v>1756</v>
      </c>
      <c r="BB166" s="3" t="s">
        <v>1757</v>
      </c>
      <c r="BC166" s="3" t="s">
        <v>82</v>
      </c>
      <c r="BD166" s="3" t="s">
        <v>70</v>
      </c>
      <c r="BE166" s="3" t="s">
        <v>1758</v>
      </c>
      <c r="BF166" s="3" t="s">
        <v>1757</v>
      </c>
      <c r="BG166" s="3" t="s">
        <v>1759</v>
      </c>
    </row>
    <row r="167" spans="1:59" ht="60" x14ac:dyDescent="0.25">
      <c r="A167" s="2" t="s">
        <v>59</v>
      </c>
      <c r="B167" s="2" t="s">
        <v>60</v>
      </c>
      <c r="C167" s="2" t="s">
        <v>1760</v>
      </c>
      <c r="D167" s="2" t="s">
        <v>1761</v>
      </c>
      <c r="E167" s="2" t="s">
        <v>1762</v>
      </c>
      <c r="G167" s="3" t="s">
        <v>63</v>
      </c>
      <c r="H167" s="3" t="s">
        <v>215</v>
      </c>
      <c r="I167" s="3" t="s">
        <v>63</v>
      </c>
      <c r="J167" s="3" t="s">
        <v>63</v>
      </c>
      <c r="K167" s="3" t="s">
        <v>64</v>
      </c>
      <c r="L167" s="2" t="s">
        <v>1763</v>
      </c>
      <c r="M167" s="2" t="s">
        <v>1764</v>
      </c>
      <c r="N167" s="3" t="s">
        <v>106</v>
      </c>
      <c r="O167" s="2" t="s">
        <v>1765</v>
      </c>
      <c r="P167" s="3" t="s">
        <v>90</v>
      </c>
      <c r="R167" s="3" t="s">
        <v>67</v>
      </c>
      <c r="S167" s="4">
        <v>0</v>
      </c>
      <c r="T167" s="4">
        <v>0</v>
      </c>
      <c r="W167" s="5" t="s">
        <v>1753</v>
      </c>
      <c r="X167" s="5" t="s">
        <v>1753</v>
      </c>
      <c r="Y167" s="4">
        <v>1</v>
      </c>
      <c r="Z167" s="4">
        <v>1</v>
      </c>
      <c r="AA167" s="4">
        <v>1</v>
      </c>
      <c r="AB167" s="4">
        <v>1</v>
      </c>
      <c r="AC167" s="4">
        <v>1</v>
      </c>
      <c r="AD167" s="4">
        <v>0</v>
      </c>
      <c r="AE167" s="4">
        <v>2</v>
      </c>
      <c r="AF167" s="4">
        <v>0</v>
      </c>
      <c r="AG167" s="4">
        <v>0</v>
      </c>
      <c r="AH167" s="4">
        <v>0</v>
      </c>
      <c r="AI167" s="4">
        <v>2</v>
      </c>
      <c r="AJ167" s="4">
        <v>0</v>
      </c>
      <c r="AK167" s="4">
        <v>0</v>
      </c>
      <c r="AL167" s="4">
        <v>0</v>
      </c>
      <c r="AM167" s="4">
        <v>2</v>
      </c>
      <c r="AN167" s="4">
        <v>0</v>
      </c>
      <c r="AO167" s="4">
        <v>0</v>
      </c>
      <c r="AP167" s="4">
        <v>0</v>
      </c>
      <c r="AQ167" s="4">
        <v>0</v>
      </c>
      <c r="AR167" s="3" t="s">
        <v>63</v>
      </c>
      <c r="AS167" s="3" t="s">
        <v>63</v>
      </c>
      <c r="AT167" s="3" t="s">
        <v>63</v>
      </c>
      <c r="AV167" s="6" t="str">
        <f>HYPERLINK("http://mcgill.on.worldcat.org/oclc/1130289416","Catalog Record")</f>
        <v>Catalog Record</v>
      </c>
      <c r="AW167" s="6" t="str">
        <f>HYPERLINK("http://www.worldcat.org/oclc/1130289416","WorldCat Record")</f>
        <v>WorldCat Record</v>
      </c>
      <c r="AX167" s="3" t="s">
        <v>1766</v>
      </c>
      <c r="AY167" s="3" t="s">
        <v>1767</v>
      </c>
      <c r="AZ167" s="3" t="s">
        <v>1768</v>
      </c>
      <c r="BA167" s="3" t="s">
        <v>1768</v>
      </c>
      <c r="BB167" s="3" t="s">
        <v>1769</v>
      </c>
      <c r="BC167" s="3" t="s">
        <v>82</v>
      </c>
      <c r="BD167" s="3" t="s">
        <v>70</v>
      </c>
      <c r="BE167" s="3" t="s">
        <v>1770</v>
      </c>
      <c r="BF167" s="3" t="s">
        <v>1769</v>
      </c>
      <c r="BG167" s="3" t="s">
        <v>1771</v>
      </c>
    </row>
    <row r="168" spans="1:59" ht="75" x14ac:dyDescent="0.25">
      <c r="A168" s="2" t="s">
        <v>59</v>
      </c>
      <c r="B168" s="2" t="s">
        <v>60</v>
      </c>
      <c r="C168" s="2" t="s">
        <v>1772</v>
      </c>
      <c r="D168" s="2" t="s">
        <v>1773</v>
      </c>
      <c r="E168" s="2" t="s">
        <v>1774</v>
      </c>
      <c r="G168" s="3" t="s">
        <v>63</v>
      </c>
      <c r="H168" s="3" t="s">
        <v>215</v>
      </c>
      <c r="I168" s="3" t="s">
        <v>63</v>
      </c>
      <c r="J168" s="3" t="s">
        <v>63</v>
      </c>
      <c r="K168" s="3" t="s">
        <v>64</v>
      </c>
      <c r="L168" s="2" t="s">
        <v>1763</v>
      </c>
      <c r="M168" s="2" t="s">
        <v>1775</v>
      </c>
      <c r="N168" s="3" t="s">
        <v>287</v>
      </c>
      <c r="O168" s="2" t="s">
        <v>1776</v>
      </c>
      <c r="P168" s="3" t="s">
        <v>90</v>
      </c>
      <c r="R168" s="3" t="s">
        <v>67</v>
      </c>
      <c r="S168" s="4">
        <v>0</v>
      </c>
      <c r="T168" s="4">
        <v>0</v>
      </c>
      <c r="W168" s="5" t="s">
        <v>1753</v>
      </c>
      <c r="X168" s="5" t="s">
        <v>1753</v>
      </c>
      <c r="Y168" s="4">
        <v>1</v>
      </c>
      <c r="Z168" s="4">
        <v>1</v>
      </c>
      <c r="AA168" s="4">
        <v>1</v>
      </c>
      <c r="AB168" s="4">
        <v>1</v>
      </c>
      <c r="AC168" s="4">
        <v>1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3" t="s">
        <v>63</v>
      </c>
      <c r="AS168" s="3" t="s">
        <v>63</v>
      </c>
      <c r="AT168" s="3" t="s">
        <v>63</v>
      </c>
      <c r="AV168" s="6" t="str">
        <f>HYPERLINK("http://mcgill.on.worldcat.org/oclc/1130289678","Catalog Record")</f>
        <v>Catalog Record</v>
      </c>
      <c r="AW168" s="6" t="str">
        <f>HYPERLINK("http://www.worldcat.org/oclc/1130289678","WorldCat Record")</f>
        <v>WorldCat Record</v>
      </c>
      <c r="AX168" s="3" t="s">
        <v>1777</v>
      </c>
      <c r="AY168" s="3" t="s">
        <v>1778</v>
      </c>
      <c r="AZ168" s="3" t="s">
        <v>1779</v>
      </c>
      <c r="BA168" s="3" t="s">
        <v>1779</v>
      </c>
      <c r="BB168" s="3" t="s">
        <v>1780</v>
      </c>
      <c r="BC168" s="3" t="s">
        <v>82</v>
      </c>
      <c r="BD168" s="3" t="s">
        <v>70</v>
      </c>
      <c r="BE168" s="3" t="s">
        <v>1781</v>
      </c>
      <c r="BF168" s="3" t="s">
        <v>1780</v>
      </c>
      <c r="BG168" s="3" t="s">
        <v>1782</v>
      </c>
    </row>
    <row r="169" spans="1:59" ht="60" x14ac:dyDescent="0.25">
      <c r="A169" s="2" t="s">
        <v>59</v>
      </c>
      <c r="B169" s="2" t="s">
        <v>60</v>
      </c>
      <c r="C169" s="2" t="s">
        <v>1783</v>
      </c>
      <c r="D169" s="2" t="s">
        <v>1784</v>
      </c>
      <c r="E169" s="2" t="s">
        <v>1785</v>
      </c>
      <c r="G169" s="3" t="s">
        <v>63</v>
      </c>
      <c r="I169" s="3" t="s">
        <v>63</v>
      </c>
      <c r="J169" s="3" t="s">
        <v>63</v>
      </c>
      <c r="K169" s="3" t="s">
        <v>64</v>
      </c>
      <c r="L169" s="2" t="s">
        <v>1786</v>
      </c>
      <c r="M169" s="2" t="s">
        <v>1787</v>
      </c>
      <c r="N169" s="3" t="s">
        <v>287</v>
      </c>
      <c r="P169" s="3" t="s">
        <v>90</v>
      </c>
      <c r="R169" s="3" t="s">
        <v>67</v>
      </c>
      <c r="S169" s="4">
        <v>2</v>
      </c>
      <c r="T169" s="4">
        <v>2</v>
      </c>
      <c r="U169" s="5" t="s">
        <v>1788</v>
      </c>
      <c r="V169" s="5" t="s">
        <v>1788</v>
      </c>
      <c r="W169" s="5" t="s">
        <v>69</v>
      </c>
      <c r="X169" s="5" t="s">
        <v>69</v>
      </c>
      <c r="Y169" s="4">
        <v>2</v>
      </c>
      <c r="Z169" s="4">
        <v>1</v>
      </c>
      <c r="AA169" s="4">
        <v>1</v>
      </c>
      <c r="AB169" s="4">
        <v>1</v>
      </c>
      <c r="AC169" s="4">
        <v>1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3" t="s">
        <v>63</v>
      </c>
      <c r="AS169" s="3" t="s">
        <v>63</v>
      </c>
      <c r="AT169" s="3" t="s">
        <v>63</v>
      </c>
      <c r="AV169" s="6" t="str">
        <f>HYPERLINK("http://mcgill.on.worldcat.org/oclc/1035419991","Catalog Record")</f>
        <v>Catalog Record</v>
      </c>
      <c r="AW169" s="6" t="str">
        <f>HYPERLINK("http://www.worldcat.org/oclc/1035419991","WorldCat Record")</f>
        <v>WorldCat Record</v>
      </c>
      <c r="AX169" s="3" t="s">
        <v>1789</v>
      </c>
      <c r="AY169" s="3" t="s">
        <v>1790</v>
      </c>
      <c r="AZ169" s="3" t="s">
        <v>1791</v>
      </c>
      <c r="BA169" s="3" t="s">
        <v>1791</v>
      </c>
      <c r="BB169" s="3" t="s">
        <v>1792</v>
      </c>
      <c r="BC169" s="3" t="s">
        <v>82</v>
      </c>
      <c r="BD169" s="3" t="s">
        <v>70</v>
      </c>
      <c r="BE169" s="3" t="s">
        <v>1793</v>
      </c>
      <c r="BF169" s="3" t="s">
        <v>1792</v>
      </c>
      <c r="BG169" s="3" t="s">
        <v>1794</v>
      </c>
    </row>
    <row r="170" spans="1:59" ht="60" x14ac:dyDescent="0.25">
      <c r="A170" s="2" t="s">
        <v>59</v>
      </c>
      <c r="B170" s="2" t="s">
        <v>60</v>
      </c>
      <c r="C170" s="2" t="s">
        <v>1795</v>
      </c>
      <c r="D170" s="2" t="s">
        <v>1796</v>
      </c>
      <c r="E170" s="2" t="s">
        <v>1797</v>
      </c>
      <c r="G170" s="3" t="s">
        <v>63</v>
      </c>
      <c r="I170" s="3" t="s">
        <v>63</v>
      </c>
      <c r="J170" s="3" t="s">
        <v>63</v>
      </c>
      <c r="K170" s="3" t="s">
        <v>64</v>
      </c>
      <c r="L170" s="2" t="s">
        <v>1798</v>
      </c>
      <c r="M170" s="2" t="s">
        <v>1799</v>
      </c>
      <c r="N170" s="3" t="s">
        <v>287</v>
      </c>
      <c r="O170" s="2" t="s">
        <v>1800</v>
      </c>
      <c r="P170" s="3" t="s">
        <v>90</v>
      </c>
      <c r="Q170" s="2" t="s">
        <v>1801</v>
      </c>
      <c r="R170" s="3" t="s">
        <v>67</v>
      </c>
      <c r="S170" s="4">
        <v>1</v>
      </c>
      <c r="T170" s="4">
        <v>1</v>
      </c>
      <c r="U170" s="5" t="s">
        <v>719</v>
      </c>
      <c r="V170" s="5" t="s">
        <v>719</v>
      </c>
      <c r="W170" s="5" t="s">
        <v>69</v>
      </c>
      <c r="X170" s="5" t="s">
        <v>69</v>
      </c>
      <c r="Y170" s="4">
        <v>1</v>
      </c>
      <c r="Z170" s="4">
        <v>1</v>
      </c>
      <c r="AA170" s="4">
        <v>2</v>
      </c>
      <c r="AB170" s="4">
        <v>1</v>
      </c>
      <c r="AC170" s="4">
        <v>1</v>
      </c>
      <c r="AD170" s="4">
        <v>0</v>
      </c>
      <c r="AE170" s="4">
        <v>4</v>
      </c>
      <c r="AF170" s="4">
        <v>0</v>
      </c>
      <c r="AG170" s="4">
        <v>0</v>
      </c>
      <c r="AH170" s="4">
        <v>0</v>
      </c>
      <c r="AI170" s="4">
        <v>4</v>
      </c>
      <c r="AJ170" s="4">
        <v>0</v>
      </c>
      <c r="AK170" s="4">
        <v>1</v>
      </c>
      <c r="AL170" s="4">
        <v>0</v>
      </c>
      <c r="AM170" s="4">
        <v>2</v>
      </c>
      <c r="AN170" s="4">
        <v>0</v>
      </c>
      <c r="AO170" s="4">
        <v>0</v>
      </c>
      <c r="AP170" s="4">
        <v>0</v>
      </c>
      <c r="AQ170" s="4">
        <v>1</v>
      </c>
      <c r="AR170" s="3" t="s">
        <v>63</v>
      </c>
      <c r="AS170" s="3" t="s">
        <v>63</v>
      </c>
      <c r="AT170" s="3" t="s">
        <v>63</v>
      </c>
      <c r="AV170" s="6" t="str">
        <f>HYPERLINK("http://mcgill.on.worldcat.org/oclc/1050870251","Catalog Record")</f>
        <v>Catalog Record</v>
      </c>
      <c r="AW170" s="6" t="str">
        <f>HYPERLINK("http://www.worldcat.org/oclc/1050870251","WorldCat Record")</f>
        <v>WorldCat Record</v>
      </c>
      <c r="AX170" s="3" t="s">
        <v>1802</v>
      </c>
      <c r="AY170" s="3" t="s">
        <v>1803</v>
      </c>
      <c r="AZ170" s="3" t="s">
        <v>1804</v>
      </c>
      <c r="BA170" s="3" t="s">
        <v>1804</v>
      </c>
      <c r="BB170" s="3" t="s">
        <v>1805</v>
      </c>
      <c r="BC170" s="3" t="s">
        <v>82</v>
      </c>
      <c r="BD170" s="3" t="s">
        <v>70</v>
      </c>
      <c r="BE170" s="3" t="s">
        <v>1806</v>
      </c>
      <c r="BF170" s="3" t="s">
        <v>1805</v>
      </c>
      <c r="BG170" s="3" t="s">
        <v>1807</v>
      </c>
    </row>
    <row r="171" spans="1:59" ht="75" x14ac:dyDescent="0.25">
      <c r="A171" s="2" t="s">
        <v>59</v>
      </c>
      <c r="B171" s="2" t="s">
        <v>60</v>
      </c>
      <c r="C171" s="2" t="s">
        <v>1808</v>
      </c>
      <c r="D171" s="2" t="s">
        <v>1809</v>
      </c>
      <c r="E171" s="2" t="s">
        <v>1810</v>
      </c>
      <c r="G171" s="3" t="s">
        <v>63</v>
      </c>
      <c r="H171" s="3" t="s">
        <v>215</v>
      </c>
      <c r="I171" s="3" t="s">
        <v>63</v>
      </c>
      <c r="J171" s="3" t="s">
        <v>63</v>
      </c>
      <c r="K171" s="3" t="s">
        <v>64</v>
      </c>
      <c r="M171" s="2" t="s">
        <v>1811</v>
      </c>
      <c r="N171" s="3" t="s">
        <v>106</v>
      </c>
      <c r="O171" s="2" t="s">
        <v>1812</v>
      </c>
      <c r="P171" s="3" t="s">
        <v>90</v>
      </c>
      <c r="R171" s="3" t="s">
        <v>67</v>
      </c>
      <c r="S171" s="4">
        <v>0</v>
      </c>
      <c r="T171" s="4">
        <v>0</v>
      </c>
      <c r="W171" s="5" t="s">
        <v>1813</v>
      </c>
      <c r="X171" s="5" t="s">
        <v>1813</v>
      </c>
      <c r="Y171" s="4">
        <v>1</v>
      </c>
      <c r="Z171" s="4">
        <v>1</v>
      </c>
      <c r="AA171" s="4">
        <v>1</v>
      </c>
      <c r="AB171" s="4">
        <v>1</v>
      </c>
      <c r="AC171" s="4">
        <v>1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3" t="s">
        <v>63</v>
      </c>
      <c r="AS171" s="3" t="s">
        <v>63</v>
      </c>
      <c r="AT171" s="3" t="s">
        <v>63</v>
      </c>
      <c r="AV171" s="6" t="str">
        <f>HYPERLINK("http://mcgill.on.worldcat.org/oclc/1130234135","Catalog Record")</f>
        <v>Catalog Record</v>
      </c>
      <c r="AW171" s="6" t="str">
        <f>HYPERLINK("http://www.worldcat.org/oclc/1130234135","WorldCat Record")</f>
        <v>WorldCat Record</v>
      </c>
      <c r="AX171" s="3" t="s">
        <v>1814</v>
      </c>
      <c r="AY171" s="3" t="s">
        <v>1815</v>
      </c>
      <c r="AZ171" s="3" t="s">
        <v>1816</v>
      </c>
      <c r="BA171" s="3" t="s">
        <v>1816</v>
      </c>
      <c r="BB171" s="3" t="s">
        <v>1817</v>
      </c>
      <c r="BC171" s="3" t="s">
        <v>82</v>
      </c>
      <c r="BD171" s="3" t="s">
        <v>70</v>
      </c>
      <c r="BE171" s="3" t="s">
        <v>1818</v>
      </c>
      <c r="BF171" s="3" t="s">
        <v>1817</v>
      </c>
      <c r="BG171" s="3" t="s">
        <v>1819</v>
      </c>
    </row>
    <row r="172" spans="1:59" ht="75" x14ac:dyDescent="0.25">
      <c r="A172" s="2" t="s">
        <v>59</v>
      </c>
      <c r="B172" s="2" t="s">
        <v>60</v>
      </c>
      <c r="C172" s="2" t="s">
        <v>1820</v>
      </c>
      <c r="D172" s="2" t="s">
        <v>1821</v>
      </c>
      <c r="E172" s="2" t="s">
        <v>1822</v>
      </c>
      <c r="G172" s="3" t="s">
        <v>63</v>
      </c>
      <c r="H172" s="3" t="s">
        <v>215</v>
      </c>
      <c r="I172" s="3" t="s">
        <v>63</v>
      </c>
      <c r="J172" s="3" t="s">
        <v>63</v>
      </c>
      <c r="K172" s="3" t="s">
        <v>64</v>
      </c>
      <c r="M172" s="2" t="s">
        <v>1823</v>
      </c>
      <c r="N172" s="3" t="s">
        <v>143</v>
      </c>
      <c r="O172" s="2" t="s">
        <v>1776</v>
      </c>
      <c r="P172" s="3" t="s">
        <v>90</v>
      </c>
      <c r="R172" s="3" t="s">
        <v>67</v>
      </c>
      <c r="S172" s="4">
        <v>0</v>
      </c>
      <c r="T172" s="4">
        <v>0</v>
      </c>
      <c r="W172" s="5" t="s">
        <v>1813</v>
      </c>
      <c r="X172" s="5" t="s">
        <v>1813</v>
      </c>
      <c r="Y172" s="4">
        <v>1</v>
      </c>
      <c r="Z172" s="4">
        <v>1</v>
      </c>
      <c r="AA172" s="4">
        <v>1</v>
      </c>
      <c r="AB172" s="4">
        <v>1</v>
      </c>
      <c r="AC172" s="4">
        <v>1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3" t="s">
        <v>63</v>
      </c>
      <c r="AS172" s="3" t="s">
        <v>63</v>
      </c>
      <c r="AT172" s="3" t="s">
        <v>63</v>
      </c>
      <c r="AV172" s="6" t="str">
        <f>HYPERLINK("http://mcgill.on.worldcat.org/oclc/1130288307","Catalog Record")</f>
        <v>Catalog Record</v>
      </c>
      <c r="AW172" s="6" t="str">
        <f>HYPERLINK("http://www.worldcat.org/oclc/1130288307","WorldCat Record")</f>
        <v>WorldCat Record</v>
      </c>
      <c r="AX172" s="3" t="s">
        <v>1824</v>
      </c>
      <c r="AY172" s="3" t="s">
        <v>1825</v>
      </c>
      <c r="AZ172" s="3" t="s">
        <v>1826</v>
      </c>
      <c r="BA172" s="3" t="s">
        <v>1826</v>
      </c>
      <c r="BB172" s="3" t="s">
        <v>1827</v>
      </c>
      <c r="BC172" s="3" t="s">
        <v>82</v>
      </c>
      <c r="BD172" s="3" t="s">
        <v>70</v>
      </c>
      <c r="BE172" s="3" t="s">
        <v>1828</v>
      </c>
      <c r="BF172" s="3" t="s">
        <v>1827</v>
      </c>
      <c r="BG172" s="3" t="s">
        <v>1829</v>
      </c>
    </row>
    <row r="173" spans="1:59" ht="75" x14ac:dyDescent="0.25">
      <c r="A173" s="2" t="s">
        <v>59</v>
      </c>
      <c r="B173" s="2" t="s">
        <v>60</v>
      </c>
      <c r="C173" s="2" t="s">
        <v>1830</v>
      </c>
      <c r="D173" s="2" t="s">
        <v>1831</v>
      </c>
      <c r="E173" s="2" t="s">
        <v>1832</v>
      </c>
      <c r="G173" s="3" t="s">
        <v>63</v>
      </c>
      <c r="H173" s="3" t="s">
        <v>215</v>
      </c>
      <c r="I173" s="3" t="s">
        <v>63</v>
      </c>
      <c r="J173" s="3" t="s">
        <v>63</v>
      </c>
      <c r="K173" s="3" t="s">
        <v>64</v>
      </c>
      <c r="M173" s="2" t="s">
        <v>1833</v>
      </c>
      <c r="N173" s="3" t="s">
        <v>1557</v>
      </c>
      <c r="O173" s="2" t="s">
        <v>1834</v>
      </c>
      <c r="P173" s="3" t="s">
        <v>90</v>
      </c>
      <c r="R173" s="3" t="s">
        <v>67</v>
      </c>
      <c r="S173" s="4">
        <v>0</v>
      </c>
      <c r="T173" s="4">
        <v>0</v>
      </c>
      <c r="W173" s="5" t="s">
        <v>1753</v>
      </c>
      <c r="X173" s="5" t="s">
        <v>1753</v>
      </c>
      <c r="Y173" s="4">
        <v>1</v>
      </c>
      <c r="Z173" s="4">
        <v>1</v>
      </c>
      <c r="AA173" s="4">
        <v>1</v>
      </c>
      <c r="AB173" s="4">
        <v>1</v>
      </c>
      <c r="AC173" s="4">
        <v>1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3" t="s">
        <v>63</v>
      </c>
      <c r="AS173" s="3" t="s">
        <v>63</v>
      </c>
      <c r="AT173" s="3" t="s">
        <v>63</v>
      </c>
      <c r="AV173" s="6" t="str">
        <f>HYPERLINK("http://mcgill.on.worldcat.org/oclc/1130290001","Catalog Record")</f>
        <v>Catalog Record</v>
      </c>
      <c r="AW173" s="6" t="str">
        <f>HYPERLINK("http://www.worldcat.org/oclc/1130290001","WorldCat Record")</f>
        <v>WorldCat Record</v>
      </c>
      <c r="AX173" s="3" t="s">
        <v>1835</v>
      </c>
      <c r="AY173" s="3" t="s">
        <v>1836</v>
      </c>
      <c r="AZ173" s="3" t="s">
        <v>1837</v>
      </c>
      <c r="BA173" s="3" t="s">
        <v>1837</v>
      </c>
      <c r="BB173" s="3" t="s">
        <v>1838</v>
      </c>
      <c r="BC173" s="3" t="s">
        <v>82</v>
      </c>
      <c r="BD173" s="3" t="s">
        <v>70</v>
      </c>
      <c r="BE173" s="3" t="s">
        <v>1839</v>
      </c>
      <c r="BF173" s="3" t="s">
        <v>1838</v>
      </c>
      <c r="BG173" s="3" t="s">
        <v>1840</v>
      </c>
    </row>
    <row r="174" spans="1:59" ht="75" x14ac:dyDescent="0.25">
      <c r="A174" s="2" t="s">
        <v>59</v>
      </c>
      <c r="B174" s="2" t="s">
        <v>60</v>
      </c>
      <c r="C174" s="2" t="s">
        <v>1841</v>
      </c>
      <c r="D174" s="2" t="s">
        <v>1842</v>
      </c>
      <c r="E174" s="2" t="s">
        <v>1843</v>
      </c>
      <c r="G174" s="3" t="s">
        <v>63</v>
      </c>
      <c r="H174" s="3" t="s">
        <v>215</v>
      </c>
      <c r="I174" s="3" t="s">
        <v>63</v>
      </c>
      <c r="J174" s="3" t="s">
        <v>63</v>
      </c>
      <c r="K174" s="3" t="s">
        <v>64</v>
      </c>
      <c r="M174" s="2" t="s">
        <v>1775</v>
      </c>
      <c r="N174" s="3" t="s">
        <v>287</v>
      </c>
      <c r="O174" s="2" t="s">
        <v>1844</v>
      </c>
      <c r="P174" s="3" t="s">
        <v>90</v>
      </c>
      <c r="R174" s="3" t="s">
        <v>67</v>
      </c>
      <c r="S174" s="4">
        <v>0</v>
      </c>
      <c r="T174" s="4">
        <v>0</v>
      </c>
      <c r="W174" s="5" t="s">
        <v>1753</v>
      </c>
      <c r="X174" s="5" t="s">
        <v>1753</v>
      </c>
      <c r="Y174" s="4">
        <v>1</v>
      </c>
      <c r="Z174" s="4">
        <v>1</v>
      </c>
      <c r="AA174" s="4">
        <v>1</v>
      </c>
      <c r="AB174" s="4">
        <v>1</v>
      </c>
      <c r="AC174" s="4">
        <v>1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3" t="s">
        <v>63</v>
      </c>
      <c r="AS174" s="3" t="s">
        <v>63</v>
      </c>
      <c r="AT174" s="3" t="s">
        <v>63</v>
      </c>
      <c r="AV174" s="6" t="str">
        <f>HYPERLINK("http://mcgill.on.worldcat.org/oclc/1130308830","Catalog Record")</f>
        <v>Catalog Record</v>
      </c>
      <c r="AW174" s="6" t="str">
        <f>HYPERLINK("http://www.worldcat.org/oclc/1130308830","WorldCat Record")</f>
        <v>WorldCat Record</v>
      </c>
      <c r="AX174" s="3" t="s">
        <v>1845</v>
      </c>
      <c r="AY174" s="3" t="s">
        <v>1846</v>
      </c>
      <c r="AZ174" s="3" t="s">
        <v>1847</v>
      </c>
      <c r="BA174" s="3" t="s">
        <v>1847</v>
      </c>
      <c r="BB174" s="3" t="s">
        <v>1848</v>
      </c>
      <c r="BC174" s="3" t="s">
        <v>82</v>
      </c>
      <c r="BD174" s="3" t="s">
        <v>70</v>
      </c>
      <c r="BE174" s="3" t="s">
        <v>1849</v>
      </c>
      <c r="BF174" s="3" t="s">
        <v>1848</v>
      </c>
      <c r="BG174" s="3" t="s">
        <v>1850</v>
      </c>
    </row>
    <row r="175" spans="1:59" ht="60" x14ac:dyDescent="0.25">
      <c r="A175" s="2" t="s">
        <v>59</v>
      </c>
      <c r="B175" s="2" t="s">
        <v>60</v>
      </c>
      <c r="C175" s="2" t="s">
        <v>1851</v>
      </c>
      <c r="D175" s="2" t="s">
        <v>1852</v>
      </c>
      <c r="E175" s="2" t="s">
        <v>1853</v>
      </c>
      <c r="G175" s="3" t="s">
        <v>63</v>
      </c>
      <c r="I175" s="3" t="s">
        <v>63</v>
      </c>
      <c r="J175" s="3" t="s">
        <v>63</v>
      </c>
      <c r="K175" s="3" t="s">
        <v>64</v>
      </c>
      <c r="L175" s="2" t="s">
        <v>1854</v>
      </c>
      <c r="M175" s="2" t="s">
        <v>1855</v>
      </c>
      <c r="N175" s="3" t="s">
        <v>204</v>
      </c>
      <c r="O175" s="2" t="s">
        <v>1856</v>
      </c>
      <c r="P175" s="3" t="s">
        <v>66</v>
      </c>
      <c r="R175" s="3" t="s">
        <v>67</v>
      </c>
      <c r="S175" s="4">
        <v>2</v>
      </c>
      <c r="T175" s="4">
        <v>2</v>
      </c>
      <c r="U175" s="5" t="s">
        <v>236</v>
      </c>
      <c r="V175" s="5" t="s">
        <v>236</v>
      </c>
      <c r="W175" s="5" t="s">
        <v>69</v>
      </c>
      <c r="X175" s="5" t="s">
        <v>69</v>
      </c>
      <c r="Y175" s="4">
        <v>302</v>
      </c>
      <c r="Z175" s="4">
        <v>22</v>
      </c>
      <c r="AA175" s="4">
        <v>40</v>
      </c>
      <c r="AB175" s="4">
        <v>2</v>
      </c>
      <c r="AC175" s="4">
        <v>2</v>
      </c>
      <c r="AD175" s="4">
        <v>100</v>
      </c>
      <c r="AE175" s="4">
        <v>117</v>
      </c>
      <c r="AF175" s="4">
        <v>1</v>
      </c>
      <c r="AG175" s="4">
        <v>1</v>
      </c>
      <c r="AH175" s="4">
        <v>92</v>
      </c>
      <c r="AI175" s="4">
        <v>92</v>
      </c>
      <c r="AJ175" s="4">
        <v>15</v>
      </c>
      <c r="AK175" s="4">
        <v>18</v>
      </c>
      <c r="AL175" s="4">
        <v>53</v>
      </c>
      <c r="AM175" s="4">
        <v>53</v>
      </c>
      <c r="AN175" s="4">
        <v>0</v>
      </c>
      <c r="AO175" s="4">
        <v>0</v>
      </c>
      <c r="AP175" s="4">
        <v>17</v>
      </c>
      <c r="AQ175" s="4">
        <v>33</v>
      </c>
      <c r="AR175" s="3" t="s">
        <v>63</v>
      </c>
      <c r="AS175" s="3" t="s">
        <v>63</v>
      </c>
      <c r="AT175" s="3" t="s">
        <v>62</v>
      </c>
      <c r="AU175" s="6" t="str">
        <f>HYPERLINK("http://catalog.hathitrust.org/Record/003083243","HathiTrust Record")</f>
        <v>HathiTrust Record</v>
      </c>
      <c r="AV175" s="6" t="str">
        <f>HYPERLINK("http://mcgill.on.worldcat.org/oclc/32821362","Catalog Record")</f>
        <v>Catalog Record</v>
      </c>
      <c r="AW175" s="6" t="str">
        <f>HYPERLINK("http://www.worldcat.org/oclc/32821362","WorldCat Record")</f>
        <v>WorldCat Record</v>
      </c>
      <c r="AX175" s="3" t="s">
        <v>1857</v>
      </c>
      <c r="AY175" s="3" t="s">
        <v>1858</v>
      </c>
      <c r="AZ175" s="3" t="s">
        <v>1859</v>
      </c>
      <c r="BA175" s="3" t="s">
        <v>1859</v>
      </c>
      <c r="BB175" s="3" t="s">
        <v>1860</v>
      </c>
      <c r="BC175" s="3" t="s">
        <v>82</v>
      </c>
      <c r="BD175" s="3" t="s">
        <v>70</v>
      </c>
      <c r="BE175" s="3" t="s">
        <v>1861</v>
      </c>
      <c r="BF175" s="3" t="s">
        <v>1860</v>
      </c>
      <c r="BG175" s="3" t="s">
        <v>1862</v>
      </c>
    </row>
    <row r="176" spans="1:59" ht="60" x14ac:dyDescent="0.25">
      <c r="A176" s="2" t="s">
        <v>59</v>
      </c>
      <c r="B176" s="2" t="s">
        <v>60</v>
      </c>
      <c r="C176" s="2" t="s">
        <v>1863</v>
      </c>
      <c r="D176" s="2" t="s">
        <v>1864</v>
      </c>
      <c r="E176" s="2" t="s">
        <v>1865</v>
      </c>
      <c r="G176" s="3" t="s">
        <v>63</v>
      </c>
      <c r="I176" s="3" t="s">
        <v>63</v>
      </c>
      <c r="J176" s="3" t="s">
        <v>63</v>
      </c>
      <c r="K176" s="3" t="s">
        <v>64</v>
      </c>
      <c r="L176" s="2" t="s">
        <v>1866</v>
      </c>
      <c r="M176" s="2" t="s">
        <v>1867</v>
      </c>
      <c r="N176" s="3" t="s">
        <v>176</v>
      </c>
      <c r="P176" s="3" t="s">
        <v>66</v>
      </c>
      <c r="Q176" s="2" t="s">
        <v>1868</v>
      </c>
      <c r="R176" s="3" t="s">
        <v>67</v>
      </c>
      <c r="S176" s="4">
        <v>10</v>
      </c>
      <c r="T176" s="4">
        <v>10</v>
      </c>
      <c r="U176" s="5" t="s">
        <v>1869</v>
      </c>
      <c r="V176" s="5" t="s">
        <v>1869</v>
      </c>
      <c r="W176" s="5" t="s">
        <v>69</v>
      </c>
      <c r="X176" s="5" t="s">
        <v>69</v>
      </c>
      <c r="Y176" s="4">
        <v>408</v>
      </c>
      <c r="Z176" s="4">
        <v>30</v>
      </c>
      <c r="AA176" s="4">
        <v>42</v>
      </c>
      <c r="AB176" s="4">
        <v>3</v>
      </c>
      <c r="AC176" s="4">
        <v>6</v>
      </c>
      <c r="AD176" s="4">
        <v>118</v>
      </c>
      <c r="AE176" s="4">
        <v>127</v>
      </c>
      <c r="AF176" s="4">
        <v>2</v>
      </c>
      <c r="AG176" s="4">
        <v>3</v>
      </c>
      <c r="AH176" s="4">
        <v>103</v>
      </c>
      <c r="AI176" s="4">
        <v>106</v>
      </c>
      <c r="AJ176" s="4">
        <v>19</v>
      </c>
      <c r="AK176" s="4">
        <v>22</v>
      </c>
      <c r="AL176" s="4">
        <v>55</v>
      </c>
      <c r="AM176" s="4">
        <v>55</v>
      </c>
      <c r="AN176" s="4">
        <v>0</v>
      </c>
      <c r="AO176" s="4">
        <v>0</v>
      </c>
      <c r="AP176" s="4">
        <v>24</v>
      </c>
      <c r="AQ176" s="4">
        <v>29</v>
      </c>
      <c r="AR176" s="3" t="s">
        <v>63</v>
      </c>
      <c r="AS176" s="3" t="s">
        <v>63</v>
      </c>
      <c r="AT176" s="3" t="s">
        <v>63</v>
      </c>
      <c r="AV176" s="6" t="str">
        <f>HYPERLINK("http://mcgill.on.worldcat.org/oclc/38024176","Catalog Record")</f>
        <v>Catalog Record</v>
      </c>
      <c r="AW176" s="6" t="str">
        <f>HYPERLINK("http://www.worldcat.org/oclc/38024176","WorldCat Record")</f>
        <v>WorldCat Record</v>
      </c>
      <c r="AX176" s="3" t="s">
        <v>1870</v>
      </c>
      <c r="AY176" s="3" t="s">
        <v>1871</v>
      </c>
      <c r="AZ176" s="3" t="s">
        <v>1872</v>
      </c>
      <c r="BA176" s="3" t="s">
        <v>1872</v>
      </c>
      <c r="BB176" s="3" t="s">
        <v>1873</v>
      </c>
      <c r="BC176" s="3" t="s">
        <v>82</v>
      </c>
      <c r="BD176" s="3" t="s">
        <v>70</v>
      </c>
      <c r="BE176" s="3" t="s">
        <v>1874</v>
      </c>
      <c r="BF176" s="3" t="s">
        <v>1873</v>
      </c>
      <c r="BG176" s="3" t="s">
        <v>1875</v>
      </c>
    </row>
    <row r="177" spans="1:59" ht="60" x14ac:dyDescent="0.25">
      <c r="A177" s="2" t="s">
        <v>59</v>
      </c>
      <c r="B177" s="2" t="s">
        <v>60</v>
      </c>
      <c r="C177" s="2" t="s">
        <v>1876</v>
      </c>
      <c r="D177" s="2" t="s">
        <v>1877</v>
      </c>
      <c r="E177" s="2" t="s">
        <v>1878</v>
      </c>
      <c r="G177" s="3" t="s">
        <v>63</v>
      </c>
      <c r="I177" s="3" t="s">
        <v>63</v>
      </c>
      <c r="J177" s="3" t="s">
        <v>63</v>
      </c>
      <c r="K177" s="3" t="s">
        <v>64</v>
      </c>
      <c r="L177" s="2" t="s">
        <v>1879</v>
      </c>
      <c r="M177" s="2" t="s">
        <v>1880</v>
      </c>
      <c r="N177" s="3" t="s">
        <v>261</v>
      </c>
      <c r="P177" s="3" t="s">
        <v>66</v>
      </c>
      <c r="Q177" s="2" t="s">
        <v>1881</v>
      </c>
      <c r="R177" s="3" t="s">
        <v>67</v>
      </c>
      <c r="S177" s="4">
        <v>6</v>
      </c>
      <c r="T177" s="4">
        <v>6</v>
      </c>
      <c r="U177" s="5" t="s">
        <v>1882</v>
      </c>
      <c r="V177" s="5" t="s">
        <v>1882</v>
      </c>
      <c r="W177" s="5" t="s">
        <v>69</v>
      </c>
      <c r="X177" s="5" t="s">
        <v>69</v>
      </c>
      <c r="Y177" s="4">
        <v>76</v>
      </c>
      <c r="Z177" s="4">
        <v>8</v>
      </c>
      <c r="AA177" s="4">
        <v>8</v>
      </c>
      <c r="AB177" s="4">
        <v>1</v>
      </c>
      <c r="AC177" s="4">
        <v>1</v>
      </c>
      <c r="AD177" s="4">
        <v>33</v>
      </c>
      <c r="AE177" s="4">
        <v>33</v>
      </c>
      <c r="AF177" s="4">
        <v>0</v>
      </c>
      <c r="AG177" s="4">
        <v>0</v>
      </c>
      <c r="AH177" s="4">
        <v>31</v>
      </c>
      <c r="AI177" s="4">
        <v>31</v>
      </c>
      <c r="AJ177" s="4">
        <v>6</v>
      </c>
      <c r="AK177" s="4">
        <v>6</v>
      </c>
      <c r="AL177" s="4">
        <v>19</v>
      </c>
      <c r="AM177" s="4">
        <v>19</v>
      </c>
      <c r="AN177" s="4">
        <v>0</v>
      </c>
      <c r="AO177" s="4">
        <v>0</v>
      </c>
      <c r="AP177" s="4">
        <v>6</v>
      </c>
      <c r="AQ177" s="4">
        <v>6</v>
      </c>
      <c r="AR177" s="3" t="s">
        <v>63</v>
      </c>
      <c r="AS177" s="3" t="s">
        <v>63</v>
      </c>
      <c r="AT177" s="3" t="s">
        <v>62</v>
      </c>
      <c r="AU177" s="6" t="str">
        <f>HYPERLINK("http://catalog.hathitrust.org/Record/005560103","HathiTrust Record")</f>
        <v>HathiTrust Record</v>
      </c>
      <c r="AV177" s="6" t="str">
        <f>HYPERLINK("http://mcgill.on.worldcat.org/oclc/124070325","Catalog Record")</f>
        <v>Catalog Record</v>
      </c>
      <c r="AW177" s="6" t="str">
        <f>HYPERLINK("http://www.worldcat.org/oclc/124070325","WorldCat Record")</f>
        <v>WorldCat Record</v>
      </c>
      <c r="AX177" s="3" t="s">
        <v>1883</v>
      </c>
      <c r="AY177" s="3" t="s">
        <v>1884</v>
      </c>
      <c r="AZ177" s="3" t="s">
        <v>1885</v>
      </c>
      <c r="BA177" s="3" t="s">
        <v>1885</v>
      </c>
      <c r="BB177" s="3" t="s">
        <v>1886</v>
      </c>
      <c r="BC177" s="3" t="s">
        <v>82</v>
      </c>
      <c r="BD177" s="3" t="s">
        <v>70</v>
      </c>
      <c r="BE177" s="3" t="s">
        <v>1887</v>
      </c>
      <c r="BF177" s="3" t="s">
        <v>1886</v>
      </c>
      <c r="BG177" s="3" t="s">
        <v>1888</v>
      </c>
    </row>
    <row r="178" spans="1:59" ht="60" x14ac:dyDescent="0.25">
      <c r="A178" s="2" t="s">
        <v>59</v>
      </c>
      <c r="B178" s="2" t="s">
        <v>60</v>
      </c>
      <c r="C178" s="2" t="s">
        <v>1889</v>
      </c>
      <c r="D178" s="2" t="s">
        <v>1890</v>
      </c>
      <c r="E178" s="2" t="s">
        <v>1891</v>
      </c>
      <c r="G178" s="3" t="s">
        <v>63</v>
      </c>
      <c r="I178" s="3" t="s">
        <v>63</v>
      </c>
      <c r="J178" s="3" t="s">
        <v>63</v>
      </c>
      <c r="K178" s="3" t="s">
        <v>64</v>
      </c>
      <c r="L178" s="2" t="s">
        <v>1892</v>
      </c>
      <c r="M178" s="2" t="s">
        <v>1893</v>
      </c>
      <c r="N178" s="3" t="s">
        <v>401</v>
      </c>
      <c r="P178" s="3" t="s">
        <v>66</v>
      </c>
      <c r="R178" s="3" t="s">
        <v>67</v>
      </c>
      <c r="S178" s="4">
        <v>37</v>
      </c>
      <c r="T178" s="4">
        <v>37</v>
      </c>
      <c r="U178" s="5" t="s">
        <v>616</v>
      </c>
      <c r="V178" s="5" t="s">
        <v>616</v>
      </c>
      <c r="W178" s="5" t="s">
        <v>69</v>
      </c>
      <c r="X178" s="5" t="s">
        <v>69</v>
      </c>
      <c r="Y178" s="4">
        <v>203</v>
      </c>
      <c r="Z178" s="4">
        <v>8</v>
      </c>
      <c r="AA178" s="4">
        <v>15</v>
      </c>
      <c r="AB178" s="4">
        <v>1</v>
      </c>
      <c r="AC178" s="4">
        <v>2</v>
      </c>
      <c r="AD178" s="4">
        <v>73</v>
      </c>
      <c r="AE178" s="4">
        <v>81</v>
      </c>
      <c r="AF178" s="4">
        <v>0</v>
      </c>
      <c r="AG178" s="4">
        <v>1</v>
      </c>
      <c r="AH178" s="4">
        <v>70</v>
      </c>
      <c r="AI178" s="4">
        <v>75</v>
      </c>
      <c r="AJ178" s="4">
        <v>6</v>
      </c>
      <c r="AK178" s="4">
        <v>12</v>
      </c>
      <c r="AL178" s="4">
        <v>41</v>
      </c>
      <c r="AM178" s="4">
        <v>43</v>
      </c>
      <c r="AN178" s="4">
        <v>0</v>
      </c>
      <c r="AO178" s="4">
        <v>0</v>
      </c>
      <c r="AP178" s="4">
        <v>7</v>
      </c>
      <c r="AQ178" s="4">
        <v>12</v>
      </c>
      <c r="AR178" s="3" t="s">
        <v>63</v>
      </c>
      <c r="AS178" s="3" t="s">
        <v>63</v>
      </c>
      <c r="AT178" s="3" t="s">
        <v>62</v>
      </c>
      <c r="AU178" s="6" t="str">
        <f>HYPERLINK("http://catalog.hathitrust.org/Record/001058827","HathiTrust Record")</f>
        <v>HathiTrust Record</v>
      </c>
      <c r="AV178" s="6" t="str">
        <f>HYPERLINK("http://mcgill.on.worldcat.org/oclc/295769","Catalog Record")</f>
        <v>Catalog Record</v>
      </c>
      <c r="AW178" s="6" t="str">
        <f>HYPERLINK("http://www.worldcat.org/oclc/295769","WorldCat Record")</f>
        <v>WorldCat Record</v>
      </c>
      <c r="AX178" s="3" t="s">
        <v>1894</v>
      </c>
      <c r="AY178" s="3" t="s">
        <v>1895</v>
      </c>
      <c r="AZ178" s="3" t="s">
        <v>1896</v>
      </c>
      <c r="BA178" s="3" t="s">
        <v>1896</v>
      </c>
      <c r="BB178" s="3" t="s">
        <v>1897</v>
      </c>
      <c r="BC178" s="3" t="s">
        <v>82</v>
      </c>
      <c r="BD178" s="3" t="s">
        <v>70</v>
      </c>
      <c r="BF178" s="3" t="s">
        <v>1897</v>
      </c>
      <c r="BG178" s="3" t="s">
        <v>1898</v>
      </c>
    </row>
    <row r="179" spans="1:59" ht="90" x14ac:dyDescent="0.25">
      <c r="A179" s="2" t="s">
        <v>59</v>
      </c>
      <c r="B179" s="2" t="s">
        <v>60</v>
      </c>
      <c r="C179" s="2" t="s">
        <v>1899</v>
      </c>
      <c r="D179" s="2" t="s">
        <v>1900</v>
      </c>
      <c r="E179" s="2" t="s">
        <v>1901</v>
      </c>
      <c r="G179" s="3" t="s">
        <v>63</v>
      </c>
      <c r="I179" s="3" t="s">
        <v>63</v>
      </c>
      <c r="J179" s="3" t="s">
        <v>63</v>
      </c>
      <c r="K179" s="3" t="s">
        <v>64</v>
      </c>
      <c r="L179" s="2" t="s">
        <v>1902</v>
      </c>
      <c r="M179" s="2" t="s">
        <v>1903</v>
      </c>
      <c r="N179" s="3" t="s">
        <v>1296</v>
      </c>
      <c r="P179" s="3" t="s">
        <v>66</v>
      </c>
      <c r="R179" s="3" t="s">
        <v>67</v>
      </c>
      <c r="S179" s="4">
        <v>32</v>
      </c>
      <c r="T179" s="4">
        <v>32</v>
      </c>
      <c r="U179" s="5" t="s">
        <v>1904</v>
      </c>
      <c r="V179" s="5" t="s">
        <v>1904</v>
      </c>
      <c r="W179" s="5" t="s">
        <v>69</v>
      </c>
      <c r="X179" s="5" t="s">
        <v>69</v>
      </c>
      <c r="Y179" s="4">
        <v>524</v>
      </c>
      <c r="Z179" s="4">
        <v>30</v>
      </c>
      <c r="AA179" s="4">
        <v>32</v>
      </c>
      <c r="AB179" s="4">
        <v>3</v>
      </c>
      <c r="AC179" s="4">
        <v>4</v>
      </c>
      <c r="AD179" s="4">
        <v>120</v>
      </c>
      <c r="AE179" s="4">
        <v>123</v>
      </c>
      <c r="AF179" s="4">
        <v>2</v>
      </c>
      <c r="AG179" s="4">
        <v>3</v>
      </c>
      <c r="AH179" s="4">
        <v>105</v>
      </c>
      <c r="AI179" s="4">
        <v>107</v>
      </c>
      <c r="AJ179" s="4">
        <v>18</v>
      </c>
      <c r="AK179" s="4">
        <v>20</v>
      </c>
      <c r="AL179" s="4">
        <v>58</v>
      </c>
      <c r="AM179" s="4">
        <v>58</v>
      </c>
      <c r="AN179" s="4">
        <v>0</v>
      </c>
      <c r="AO179" s="4">
        <v>0</v>
      </c>
      <c r="AP179" s="4">
        <v>22</v>
      </c>
      <c r="AQ179" s="4">
        <v>23</v>
      </c>
      <c r="AR179" s="3" t="s">
        <v>63</v>
      </c>
      <c r="AS179" s="3" t="s">
        <v>63</v>
      </c>
      <c r="AT179" s="3" t="s">
        <v>62</v>
      </c>
      <c r="AU179" s="6" t="str">
        <f>HYPERLINK("http://catalog.hathitrust.org/Record/001058831","HathiTrust Record")</f>
        <v>HathiTrust Record</v>
      </c>
      <c r="AV179" s="6" t="str">
        <f>HYPERLINK("http://mcgill.on.worldcat.org/oclc/12478","Catalog Record")</f>
        <v>Catalog Record</v>
      </c>
      <c r="AW179" s="6" t="str">
        <f>HYPERLINK("http://www.worldcat.org/oclc/12478","WorldCat Record")</f>
        <v>WorldCat Record</v>
      </c>
      <c r="AX179" s="3" t="s">
        <v>1905</v>
      </c>
      <c r="AY179" s="3" t="s">
        <v>1906</v>
      </c>
      <c r="AZ179" s="3" t="s">
        <v>1907</v>
      </c>
      <c r="BA179" s="3" t="s">
        <v>1907</v>
      </c>
      <c r="BB179" s="3" t="s">
        <v>1908</v>
      </c>
      <c r="BC179" s="3" t="s">
        <v>82</v>
      </c>
      <c r="BD179" s="3" t="s">
        <v>70</v>
      </c>
      <c r="BE179" s="3" t="s">
        <v>1909</v>
      </c>
      <c r="BF179" s="3" t="s">
        <v>1908</v>
      </c>
      <c r="BG179" s="3" t="s">
        <v>1910</v>
      </c>
    </row>
    <row r="180" spans="1:59" ht="60" x14ac:dyDescent="0.25">
      <c r="A180" s="2" t="s">
        <v>59</v>
      </c>
      <c r="B180" s="2" t="s">
        <v>60</v>
      </c>
      <c r="C180" s="2" t="s">
        <v>1911</v>
      </c>
      <c r="D180" s="2" t="s">
        <v>1912</v>
      </c>
      <c r="E180" s="2" t="s">
        <v>1913</v>
      </c>
      <c r="G180" s="3" t="s">
        <v>63</v>
      </c>
      <c r="I180" s="3" t="s">
        <v>63</v>
      </c>
      <c r="J180" s="3" t="s">
        <v>63</v>
      </c>
      <c r="K180" s="3" t="s">
        <v>64</v>
      </c>
      <c r="L180" s="2" t="s">
        <v>1914</v>
      </c>
      <c r="M180" s="2" t="s">
        <v>1915</v>
      </c>
      <c r="N180" s="3" t="s">
        <v>1916</v>
      </c>
      <c r="P180" s="3" t="s">
        <v>90</v>
      </c>
      <c r="R180" s="3" t="s">
        <v>67</v>
      </c>
      <c r="S180" s="4">
        <v>12</v>
      </c>
      <c r="T180" s="4">
        <v>12</v>
      </c>
      <c r="U180" s="5" t="s">
        <v>1917</v>
      </c>
      <c r="V180" s="5" t="s">
        <v>1917</v>
      </c>
      <c r="W180" s="5" t="s">
        <v>69</v>
      </c>
      <c r="X180" s="5" t="s">
        <v>69</v>
      </c>
      <c r="Y180" s="4">
        <v>91</v>
      </c>
      <c r="Z180" s="4">
        <v>8</v>
      </c>
      <c r="AA180" s="4">
        <v>8</v>
      </c>
      <c r="AB180" s="4">
        <v>1</v>
      </c>
      <c r="AC180" s="4">
        <v>1</v>
      </c>
      <c r="AD180" s="4">
        <v>55</v>
      </c>
      <c r="AE180" s="4">
        <v>55</v>
      </c>
      <c r="AF180" s="4">
        <v>0</v>
      </c>
      <c r="AG180" s="4">
        <v>0</v>
      </c>
      <c r="AH180" s="4">
        <v>53</v>
      </c>
      <c r="AI180" s="4">
        <v>53</v>
      </c>
      <c r="AJ180" s="4">
        <v>6</v>
      </c>
      <c r="AK180" s="4">
        <v>6</v>
      </c>
      <c r="AL180" s="4">
        <v>37</v>
      </c>
      <c r="AM180" s="4">
        <v>37</v>
      </c>
      <c r="AN180" s="4">
        <v>0</v>
      </c>
      <c r="AO180" s="4">
        <v>0</v>
      </c>
      <c r="AP180" s="4">
        <v>6</v>
      </c>
      <c r="AQ180" s="4">
        <v>6</v>
      </c>
      <c r="AR180" s="3" t="s">
        <v>63</v>
      </c>
      <c r="AS180" s="3" t="s">
        <v>63</v>
      </c>
      <c r="AT180" s="3" t="s">
        <v>62</v>
      </c>
      <c r="AU180" s="6" t="str">
        <f>HYPERLINK("http://catalog.hathitrust.org/Record/000809694","HathiTrust Record")</f>
        <v>HathiTrust Record</v>
      </c>
      <c r="AV180" s="6" t="str">
        <f>HYPERLINK("http://mcgill.on.worldcat.org/oclc/12772521","Catalog Record")</f>
        <v>Catalog Record</v>
      </c>
      <c r="AW180" s="6" t="str">
        <f>HYPERLINK("http://www.worldcat.org/oclc/12772521","WorldCat Record")</f>
        <v>WorldCat Record</v>
      </c>
      <c r="AX180" s="3" t="s">
        <v>1918</v>
      </c>
      <c r="AY180" s="3" t="s">
        <v>1919</v>
      </c>
      <c r="AZ180" s="3" t="s">
        <v>1920</v>
      </c>
      <c r="BA180" s="3" t="s">
        <v>1920</v>
      </c>
      <c r="BB180" s="3" t="s">
        <v>1921</v>
      </c>
      <c r="BC180" s="3" t="s">
        <v>82</v>
      </c>
      <c r="BD180" s="3" t="s">
        <v>70</v>
      </c>
      <c r="BF180" s="3" t="s">
        <v>1921</v>
      </c>
      <c r="BG180" s="3" t="s">
        <v>1922</v>
      </c>
    </row>
    <row r="181" spans="1:59" ht="60" x14ac:dyDescent="0.25">
      <c r="A181" s="2" t="s">
        <v>59</v>
      </c>
      <c r="B181" s="2" t="s">
        <v>60</v>
      </c>
      <c r="C181" s="2" t="s">
        <v>1923</v>
      </c>
      <c r="D181" s="2" t="s">
        <v>1924</v>
      </c>
      <c r="E181" s="2" t="s">
        <v>1925</v>
      </c>
      <c r="F181" s="3" t="s">
        <v>1926</v>
      </c>
      <c r="G181" s="3" t="s">
        <v>62</v>
      </c>
      <c r="I181" s="3" t="s">
        <v>63</v>
      </c>
      <c r="J181" s="3" t="s">
        <v>63</v>
      </c>
      <c r="K181" s="3" t="s">
        <v>64</v>
      </c>
      <c r="L181" s="2" t="s">
        <v>1927</v>
      </c>
      <c r="M181" s="2" t="s">
        <v>1928</v>
      </c>
      <c r="N181" s="3" t="s">
        <v>743</v>
      </c>
      <c r="P181" s="3" t="s">
        <v>90</v>
      </c>
      <c r="R181" s="3" t="s">
        <v>67</v>
      </c>
      <c r="S181" s="4">
        <v>0</v>
      </c>
      <c r="T181" s="4">
        <v>28</v>
      </c>
      <c r="V181" s="5" t="s">
        <v>1929</v>
      </c>
      <c r="W181" s="5" t="s">
        <v>69</v>
      </c>
      <c r="X181" s="5" t="s">
        <v>69</v>
      </c>
      <c r="Y181" s="4">
        <v>2</v>
      </c>
      <c r="Z181" s="4">
        <v>1</v>
      </c>
      <c r="AA181" s="4">
        <v>1</v>
      </c>
      <c r="AB181" s="4">
        <v>1</v>
      </c>
      <c r="AC181" s="4">
        <v>1</v>
      </c>
      <c r="AD181" s="4">
        <v>1</v>
      </c>
      <c r="AE181" s="4">
        <v>1</v>
      </c>
      <c r="AF181" s="4">
        <v>0</v>
      </c>
      <c r="AG181" s="4">
        <v>0</v>
      </c>
      <c r="AH181" s="4">
        <v>1</v>
      </c>
      <c r="AI181" s="4">
        <v>1</v>
      </c>
      <c r="AJ181" s="4">
        <v>0</v>
      </c>
      <c r="AK181" s="4">
        <v>0</v>
      </c>
      <c r="AL181" s="4">
        <v>1</v>
      </c>
      <c r="AM181" s="4">
        <v>1</v>
      </c>
      <c r="AN181" s="4">
        <v>0</v>
      </c>
      <c r="AO181" s="4">
        <v>0</v>
      </c>
      <c r="AP181" s="4">
        <v>0</v>
      </c>
      <c r="AQ181" s="4">
        <v>0</v>
      </c>
      <c r="AR181" s="3" t="s">
        <v>63</v>
      </c>
      <c r="AS181" s="3" t="s">
        <v>63</v>
      </c>
      <c r="AT181" s="3" t="s">
        <v>63</v>
      </c>
      <c r="AV181" s="6" t="str">
        <f>HYPERLINK("http://mcgill.on.worldcat.org/oclc/234329366","Catalog Record")</f>
        <v>Catalog Record</v>
      </c>
      <c r="AW181" s="6" t="str">
        <f>HYPERLINK("http://www.worldcat.org/oclc/234329366","WorldCat Record")</f>
        <v>WorldCat Record</v>
      </c>
      <c r="AX181" s="3" t="s">
        <v>1930</v>
      </c>
      <c r="AY181" s="3" t="s">
        <v>1931</v>
      </c>
      <c r="AZ181" s="3" t="s">
        <v>1932</v>
      </c>
      <c r="BA181" s="3" t="s">
        <v>1932</v>
      </c>
      <c r="BB181" s="3" t="s">
        <v>1933</v>
      </c>
      <c r="BC181" s="3" t="s">
        <v>82</v>
      </c>
      <c r="BD181" s="3" t="s">
        <v>70</v>
      </c>
      <c r="BF181" s="3" t="s">
        <v>1933</v>
      </c>
      <c r="BG181" s="3" t="s">
        <v>1934</v>
      </c>
    </row>
    <row r="182" spans="1:59" ht="60" x14ac:dyDescent="0.25">
      <c r="A182" s="2" t="s">
        <v>59</v>
      </c>
      <c r="B182" s="2" t="s">
        <v>60</v>
      </c>
      <c r="C182" s="2" t="s">
        <v>1923</v>
      </c>
      <c r="D182" s="2" t="s">
        <v>1924</v>
      </c>
      <c r="E182" s="2" t="s">
        <v>1925</v>
      </c>
      <c r="F182" s="3" t="s">
        <v>1935</v>
      </c>
      <c r="G182" s="3" t="s">
        <v>62</v>
      </c>
      <c r="I182" s="3" t="s">
        <v>63</v>
      </c>
      <c r="J182" s="3" t="s">
        <v>63</v>
      </c>
      <c r="K182" s="3" t="s">
        <v>64</v>
      </c>
      <c r="L182" s="2" t="s">
        <v>1927</v>
      </c>
      <c r="M182" s="2" t="s">
        <v>1928</v>
      </c>
      <c r="N182" s="3" t="s">
        <v>743</v>
      </c>
      <c r="P182" s="3" t="s">
        <v>90</v>
      </c>
      <c r="R182" s="3" t="s">
        <v>67</v>
      </c>
      <c r="S182" s="4">
        <v>2</v>
      </c>
      <c r="T182" s="4">
        <v>28</v>
      </c>
      <c r="U182" s="5" t="s">
        <v>1929</v>
      </c>
      <c r="V182" s="5" t="s">
        <v>1929</v>
      </c>
      <c r="W182" s="5" t="s">
        <v>69</v>
      </c>
      <c r="X182" s="5" t="s">
        <v>69</v>
      </c>
      <c r="Y182" s="4">
        <v>2</v>
      </c>
      <c r="Z182" s="4">
        <v>1</v>
      </c>
      <c r="AA182" s="4">
        <v>1</v>
      </c>
      <c r="AB182" s="4">
        <v>1</v>
      </c>
      <c r="AC182" s="4">
        <v>1</v>
      </c>
      <c r="AD182" s="4">
        <v>1</v>
      </c>
      <c r="AE182" s="4">
        <v>1</v>
      </c>
      <c r="AF182" s="4">
        <v>0</v>
      </c>
      <c r="AG182" s="4">
        <v>0</v>
      </c>
      <c r="AH182" s="4">
        <v>1</v>
      </c>
      <c r="AI182" s="4">
        <v>1</v>
      </c>
      <c r="AJ182" s="4">
        <v>0</v>
      </c>
      <c r="AK182" s="4">
        <v>0</v>
      </c>
      <c r="AL182" s="4">
        <v>1</v>
      </c>
      <c r="AM182" s="4">
        <v>1</v>
      </c>
      <c r="AN182" s="4">
        <v>0</v>
      </c>
      <c r="AO182" s="4">
        <v>0</v>
      </c>
      <c r="AP182" s="4">
        <v>0</v>
      </c>
      <c r="AQ182" s="4">
        <v>0</v>
      </c>
      <c r="AR182" s="3" t="s">
        <v>63</v>
      </c>
      <c r="AS182" s="3" t="s">
        <v>63</v>
      </c>
      <c r="AT182" s="3" t="s">
        <v>63</v>
      </c>
      <c r="AV182" s="6" t="str">
        <f>HYPERLINK("http://mcgill.on.worldcat.org/oclc/234329366","Catalog Record")</f>
        <v>Catalog Record</v>
      </c>
      <c r="AW182" s="6" t="str">
        <f>HYPERLINK("http://www.worldcat.org/oclc/234329366","WorldCat Record")</f>
        <v>WorldCat Record</v>
      </c>
      <c r="AX182" s="3" t="s">
        <v>1930</v>
      </c>
      <c r="AY182" s="3" t="s">
        <v>1931</v>
      </c>
      <c r="AZ182" s="3" t="s">
        <v>1932</v>
      </c>
      <c r="BA182" s="3" t="s">
        <v>1932</v>
      </c>
      <c r="BB182" s="3" t="s">
        <v>1936</v>
      </c>
      <c r="BC182" s="3" t="s">
        <v>82</v>
      </c>
      <c r="BD182" s="3" t="s">
        <v>70</v>
      </c>
      <c r="BF182" s="3" t="s">
        <v>1936</v>
      </c>
      <c r="BG182" s="3" t="s">
        <v>1937</v>
      </c>
    </row>
    <row r="183" spans="1:59" ht="60" x14ac:dyDescent="0.25">
      <c r="A183" s="2" t="s">
        <v>59</v>
      </c>
      <c r="B183" s="2" t="s">
        <v>60</v>
      </c>
      <c r="C183" s="2" t="s">
        <v>1923</v>
      </c>
      <c r="D183" s="2" t="s">
        <v>1924</v>
      </c>
      <c r="E183" s="2" t="s">
        <v>1925</v>
      </c>
      <c r="F183" s="3" t="s">
        <v>1938</v>
      </c>
      <c r="G183" s="3" t="s">
        <v>62</v>
      </c>
      <c r="I183" s="3" t="s">
        <v>63</v>
      </c>
      <c r="J183" s="3" t="s">
        <v>63</v>
      </c>
      <c r="K183" s="3" t="s">
        <v>64</v>
      </c>
      <c r="L183" s="2" t="s">
        <v>1927</v>
      </c>
      <c r="M183" s="2" t="s">
        <v>1928</v>
      </c>
      <c r="N183" s="3" t="s">
        <v>743</v>
      </c>
      <c r="P183" s="3" t="s">
        <v>90</v>
      </c>
      <c r="R183" s="3" t="s">
        <v>67</v>
      </c>
      <c r="S183" s="4">
        <v>13</v>
      </c>
      <c r="T183" s="4">
        <v>28</v>
      </c>
      <c r="V183" s="5" t="s">
        <v>1929</v>
      </c>
      <c r="W183" s="5" t="s">
        <v>69</v>
      </c>
      <c r="X183" s="5" t="s">
        <v>69</v>
      </c>
      <c r="Y183" s="4">
        <v>2</v>
      </c>
      <c r="Z183" s="4">
        <v>1</v>
      </c>
      <c r="AA183" s="4">
        <v>1</v>
      </c>
      <c r="AB183" s="4">
        <v>1</v>
      </c>
      <c r="AC183" s="4">
        <v>1</v>
      </c>
      <c r="AD183" s="4">
        <v>1</v>
      </c>
      <c r="AE183" s="4">
        <v>1</v>
      </c>
      <c r="AF183" s="4">
        <v>0</v>
      </c>
      <c r="AG183" s="4">
        <v>0</v>
      </c>
      <c r="AH183" s="4">
        <v>1</v>
      </c>
      <c r="AI183" s="4">
        <v>1</v>
      </c>
      <c r="AJ183" s="4">
        <v>0</v>
      </c>
      <c r="AK183" s="4">
        <v>0</v>
      </c>
      <c r="AL183" s="4">
        <v>1</v>
      </c>
      <c r="AM183" s="4">
        <v>1</v>
      </c>
      <c r="AN183" s="4">
        <v>0</v>
      </c>
      <c r="AO183" s="4">
        <v>0</v>
      </c>
      <c r="AP183" s="4">
        <v>0</v>
      </c>
      <c r="AQ183" s="4">
        <v>0</v>
      </c>
      <c r="AR183" s="3" t="s">
        <v>63</v>
      </c>
      <c r="AS183" s="3" t="s">
        <v>63</v>
      </c>
      <c r="AT183" s="3" t="s">
        <v>63</v>
      </c>
      <c r="AV183" s="6" t="str">
        <f>HYPERLINK("http://mcgill.on.worldcat.org/oclc/234329366","Catalog Record")</f>
        <v>Catalog Record</v>
      </c>
      <c r="AW183" s="6" t="str">
        <f>HYPERLINK("http://www.worldcat.org/oclc/234329366","WorldCat Record")</f>
        <v>WorldCat Record</v>
      </c>
      <c r="AX183" s="3" t="s">
        <v>1930</v>
      </c>
      <c r="AY183" s="3" t="s">
        <v>1931</v>
      </c>
      <c r="AZ183" s="3" t="s">
        <v>1932</v>
      </c>
      <c r="BA183" s="3" t="s">
        <v>1932</v>
      </c>
      <c r="BB183" s="3" t="s">
        <v>1939</v>
      </c>
      <c r="BC183" s="3" t="s">
        <v>82</v>
      </c>
      <c r="BD183" s="3" t="s">
        <v>538</v>
      </c>
      <c r="BF183" s="3" t="s">
        <v>1939</v>
      </c>
      <c r="BG183" s="3" t="s">
        <v>1940</v>
      </c>
    </row>
    <row r="184" spans="1:59" ht="60" x14ac:dyDescent="0.25">
      <c r="A184" s="2" t="s">
        <v>59</v>
      </c>
      <c r="B184" s="2" t="s">
        <v>60</v>
      </c>
      <c r="C184" s="2" t="s">
        <v>1923</v>
      </c>
      <c r="D184" s="2" t="s">
        <v>1924</v>
      </c>
      <c r="E184" s="2" t="s">
        <v>1925</v>
      </c>
      <c r="F184" s="3" t="s">
        <v>1941</v>
      </c>
      <c r="G184" s="3" t="s">
        <v>62</v>
      </c>
      <c r="I184" s="3" t="s">
        <v>63</v>
      </c>
      <c r="J184" s="3" t="s">
        <v>63</v>
      </c>
      <c r="K184" s="3" t="s">
        <v>64</v>
      </c>
      <c r="L184" s="2" t="s">
        <v>1927</v>
      </c>
      <c r="M184" s="2" t="s">
        <v>1928</v>
      </c>
      <c r="N184" s="3" t="s">
        <v>743</v>
      </c>
      <c r="P184" s="3" t="s">
        <v>90</v>
      </c>
      <c r="R184" s="3" t="s">
        <v>67</v>
      </c>
      <c r="S184" s="4">
        <v>13</v>
      </c>
      <c r="T184" s="4">
        <v>28</v>
      </c>
      <c r="V184" s="5" t="s">
        <v>1929</v>
      </c>
      <c r="W184" s="5" t="s">
        <v>69</v>
      </c>
      <c r="X184" s="5" t="s">
        <v>69</v>
      </c>
      <c r="Y184" s="4">
        <v>2</v>
      </c>
      <c r="Z184" s="4">
        <v>1</v>
      </c>
      <c r="AA184" s="4">
        <v>1</v>
      </c>
      <c r="AB184" s="4">
        <v>1</v>
      </c>
      <c r="AC184" s="4">
        <v>1</v>
      </c>
      <c r="AD184" s="4">
        <v>1</v>
      </c>
      <c r="AE184" s="4">
        <v>1</v>
      </c>
      <c r="AF184" s="4">
        <v>0</v>
      </c>
      <c r="AG184" s="4">
        <v>0</v>
      </c>
      <c r="AH184" s="4">
        <v>1</v>
      </c>
      <c r="AI184" s="4">
        <v>1</v>
      </c>
      <c r="AJ184" s="4">
        <v>0</v>
      </c>
      <c r="AK184" s="4">
        <v>0</v>
      </c>
      <c r="AL184" s="4">
        <v>1</v>
      </c>
      <c r="AM184" s="4">
        <v>1</v>
      </c>
      <c r="AN184" s="4">
        <v>0</v>
      </c>
      <c r="AO184" s="4">
        <v>0</v>
      </c>
      <c r="AP184" s="4">
        <v>0</v>
      </c>
      <c r="AQ184" s="4">
        <v>0</v>
      </c>
      <c r="AR184" s="3" t="s">
        <v>63</v>
      </c>
      <c r="AS184" s="3" t="s">
        <v>63</v>
      </c>
      <c r="AT184" s="3" t="s">
        <v>63</v>
      </c>
      <c r="AV184" s="6" t="str">
        <f>HYPERLINK("http://mcgill.on.worldcat.org/oclc/234329366","Catalog Record")</f>
        <v>Catalog Record</v>
      </c>
      <c r="AW184" s="6" t="str">
        <f>HYPERLINK("http://www.worldcat.org/oclc/234329366","WorldCat Record")</f>
        <v>WorldCat Record</v>
      </c>
      <c r="AX184" s="3" t="s">
        <v>1930</v>
      </c>
      <c r="AY184" s="3" t="s">
        <v>1931</v>
      </c>
      <c r="AZ184" s="3" t="s">
        <v>1932</v>
      </c>
      <c r="BA184" s="3" t="s">
        <v>1932</v>
      </c>
      <c r="BB184" s="3" t="s">
        <v>1942</v>
      </c>
      <c r="BC184" s="3" t="s">
        <v>82</v>
      </c>
      <c r="BD184" s="3" t="s">
        <v>538</v>
      </c>
      <c r="BF184" s="3" t="s">
        <v>1942</v>
      </c>
      <c r="BG184" s="3" t="s">
        <v>1943</v>
      </c>
    </row>
    <row r="185" spans="1:59" ht="60" x14ac:dyDescent="0.25">
      <c r="A185" s="2" t="s">
        <v>59</v>
      </c>
      <c r="B185" s="2" t="s">
        <v>60</v>
      </c>
      <c r="C185" s="2" t="s">
        <v>1944</v>
      </c>
      <c r="D185" s="2" t="s">
        <v>1945</v>
      </c>
      <c r="E185" s="2" t="s">
        <v>1946</v>
      </c>
      <c r="G185" s="3" t="s">
        <v>63</v>
      </c>
      <c r="I185" s="3" t="s">
        <v>63</v>
      </c>
      <c r="J185" s="3" t="s">
        <v>63</v>
      </c>
      <c r="K185" s="3" t="s">
        <v>64</v>
      </c>
      <c r="L185" s="2" t="s">
        <v>1947</v>
      </c>
      <c r="M185" s="2" t="s">
        <v>1948</v>
      </c>
      <c r="N185" s="3" t="s">
        <v>326</v>
      </c>
      <c r="P185" s="3" t="s">
        <v>66</v>
      </c>
      <c r="Q185" s="2" t="s">
        <v>1949</v>
      </c>
      <c r="R185" s="3" t="s">
        <v>67</v>
      </c>
      <c r="S185" s="4">
        <v>2</v>
      </c>
      <c r="T185" s="4">
        <v>2</v>
      </c>
      <c r="U185" s="5" t="s">
        <v>339</v>
      </c>
      <c r="V185" s="5" t="s">
        <v>339</v>
      </c>
      <c r="W185" s="5" t="s">
        <v>69</v>
      </c>
      <c r="X185" s="5" t="s">
        <v>69</v>
      </c>
      <c r="Y185" s="4">
        <v>185</v>
      </c>
      <c r="Z185" s="4">
        <v>17</v>
      </c>
      <c r="AA185" s="4">
        <v>103</v>
      </c>
      <c r="AB185" s="4">
        <v>2</v>
      </c>
      <c r="AC185" s="4">
        <v>21</v>
      </c>
      <c r="AD185" s="4">
        <v>78</v>
      </c>
      <c r="AE185" s="4">
        <v>135</v>
      </c>
      <c r="AF185" s="4">
        <v>0</v>
      </c>
      <c r="AG185" s="4">
        <v>8</v>
      </c>
      <c r="AH185" s="4">
        <v>70</v>
      </c>
      <c r="AI185" s="4">
        <v>95</v>
      </c>
      <c r="AJ185" s="4">
        <v>13</v>
      </c>
      <c r="AK185" s="4">
        <v>24</v>
      </c>
      <c r="AL185" s="4">
        <v>48</v>
      </c>
      <c r="AM185" s="4">
        <v>56</v>
      </c>
      <c r="AN185" s="4">
        <v>0</v>
      </c>
      <c r="AO185" s="4">
        <v>0</v>
      </c>
      <c r="AP185" s="4">
        <v>13</v>
      </c>
      <c r="AQ185" s="4">
        <v>47</v>
      </c>
      <c r="AR185" s="3" t="s">
        <v>63</v>
      </c>
      <c r="AS185" s="3" t="s">
        <v>63</v>
      </c>
      <c r="AT185" s="3" t="s">
        <v>63</v>
      </c>
      <c r="AV185" s="6" t="str">
        <f>HYPERLINK("http://mcgill.on.worldcat.org/oclc/344061958","Catalog Record")</f>
        <v>Catalog Record</v>
      </c>
      <c r="AW185" s="6" t="str">
        <f>HYPERLINK("http://www.worldcat.org/oclc/344061958","WorldCat Record")</f>
        <v>WorldCat Record</v>
      </c>
      <c r="AX185" s="3" t="s">
        <v>1950</v>
      </c>
      <c r="AY185" s="3" t="s">
        <v>1951</v>
      </c>
      <c r="AZ185" s="3" t="s">
        <v>1952</v>
      </c>
      <c r="BA185" s="3" t="s">
        <v>1952</v>
      </c>
      <c r="BB185" s="3" t="s">
        <v>1953</v>
      </c>
      <c r="BC185" s="3" t="s">
        <v>82</v>
      </c>
      <c r="BD185" s="3" t="s">
        <v>70</v>
      </c>
      <c r="BE185" s="3" t="s">
        <v>1954</v>
      </c>
      <c r="BF185" s="3" t="s">
        <v>1953</v>
      </c>
      <c r="BG185" s="3" t="s">
        <v>1955</v>
      </c>
    </row>
    <row r="186" spans="1:59" ht="60" x14ac:dyDescent="0.25">
      <c r="A186" s="2" t="s">
        <v>59</v>
      </c>
      <c r="B186" s="2" t="s">
        <v>60</v>
      </c>
      <c r="C186" s="2" t="s">
        <v>1956</v>
      </c>
      <c r="D186" s="2" t="s">
        <v>1957</v>
      </c>
      <c r="E186" s="2" t="s">
        <v>1958</v>
      </c>
      <c r="G186" s="3" t="s">
        <v>63</v>
      </c>
      <c r="I186" s="3" t="s">
        <v>63</v>
      </c>
      <c r="J186" s="3" t="s">
        <v>63</v>
      </c>
      <c r="K186" s="3" t="s">
        <v>64</v>
      </c>
      <c r="L186" s="2" t="s">
        <v>1959</v>
      </c>
      <c r="M186" s="2" t="s">
        <v>1960</v>
      </c>
      <c r="N186" s="3" t="s">
        <v>234</v>
      </c>
      <c r="P186" s="3" t="s">
        <v>66</v>
      </c>
      <c r="R186" s="3" t="s">
        <v>67</v>
      </c>
      <c r="S186" s="4">
        <v>3</v>
      </c>
      <c r="T186" s="4">
        <v>3</v>
      </c>
      <c r="U186" s="5" t="s">
        <v>1961</v>
      </c>
      <c r="V186" s="5" t="s">
        <v>1961</v>
      </c>
      <c r="W186" s="5" t="s">
        <v>69</v>
      </c>
      <c r="X186" s="5" t="s">
        <v>69</v>
      </c>
      <c r="Y186" s="4">
        <v>49</v>
      </c>
      <c r="Z186" s="4">
        <v>9</v>
      </c>
      <c r="AA186" s="4">
        <v>10</v>
      </c>
      <c r="AB186" s="4">
        <v>1</v>
      </c>
      <c r="AC186" s="4">
        <v>2</v>
      </c>
      <c r="AD186" s="4">
        <v>22</v>
      </c>
      <c r="AE186" s="4">
        <v>23</v>
      </c>
      <c r="AF186" s="4">
        <v>0</v>
      </c>
      <c r="AG186" s="4">
        <v>1</v>
      </c>
      <c r="AH186" s="4">
        <v>19</v>
      </c>
      <c r="AI186" s="4">
        <v>20</v>
      </c>
      <c r="AJ186" s="4">
        <v>7</v>
      </c>
      <c r="AK186" s="4">
        <v>8</v>
      </c>
      <c r="AL186" s="4">
        <v>12</v>
      </c>
      <c r="AM186" s="4">
        <v>12</v>
      </c>
      <c r="AN186" s="4">
        <v>0</v>
      </c>
      <c r="AO186" s="4">
        <v>0</v>
      </c>
      <c r="AP186" s="4">
        <v>7</v>
      </c>
      <c r="AQ186" s="4">
        <v>8</v>
      </c>
      <c r="AR186" s="3" t="s">
        <v>63</v>
      </c>
      <c r="AS186" s="3" t="s">
        <v>63</v>
      </c>
      <c r="AT186" s="3" t="s">
        <v>62</v>
      </c>
      <c r="AU186" s="6" t="str">
        <f>HYPERLINK("http://catalog.hathitrust.org/Record/005547343","HathiTrust Record")</f>
        <v>HathiTrust Record</v>
      </c>
      <c r="AV186" s="6" t="str">
        <f>HYPERLINK("http://mcgill.on.worldcat.org/oclc/124075343","Catalog Record")</f>
        <v>Catalog Record</v>
      </c>
      <c r="AW186" s="6" t="str">
        <f>HYPERLINK("http://www.worldcat.org/oclc/124075343","WorldCat Record")</f>
        <v>WorldCat Record</v>
      </c>
      <c r="AX186" s="3" t="s">
        <v>1962</v>
      </c>
      <c r="AY186" s="3" t="s">
        <v>1963</v>
      </c>
      <c r="AZ186" s="3" t="s">
        <v>1964</v>
      </c>
      <c r="BA186" s="3" t="s">
        <v>1964</v>
      </c>
      <c r="BB186" s="3" t="s">
        <v>1965</v>
      </c>
      <c r="BC186" s="3" t="s">
        <v>82</v>
      </c>
      <c r="BD186" s="3" t="s">
        <v>70</v>
      </c>
      <c r="BE186" s="3" t="s">
        <v>1966</v>
      </c>
      <c r="BF186" s="3" t="s">
        <v>1965</v>
      </c>
      <c r="BG186" s="3" t="s">
        <v>1967</v>
      </c>
    </row>
    <row r="187" spans="1:59" ht="60" x14ac:dyDescent="0.25">
      <c r="A187" s="2" t="s">
        <v>59</v>
      </c>
      <c r="B187" s="2" t="s">
        <v>60</v>
      </c>
      <c r="C187" s="2" t="s">
        <v>1968</v>
      </c>
      <c r="D187" s="2" t="s">
        <v>1969</v>
      </c>
      <c r="E187" s="2" t="s">
        <v>1970</v>
      </c>
      <c r="G187" s="3" t="s">
        <v>63</v>
      </c>
      <c r="I187" s="3" t="s">
        <v>63</v>
      </c>
      <c r="J187" s="3" t="s">
        <v>63</v>
      </c>
      <c r="K187" s="3" t="s">
        <v>64</v>
      </c>
      <c r="L187" s="2" t="s">
        <v>1971</v>
      </c>
      <c r="M187" s="2" t="s">
        <v>1972</v>
      </c>
      <c r="N187" s="3" t="s">
        <v>76</v>
      </c>
      <c r="P187" s="3" t="s">
        <v>66</v>
      </c>
      <c r="Q187" s="2" t="s">
        <v>1973</v>
      </c>
      <c r="R187" s="3" t="s">
        <v>67</v>
      </c>
      <c r="S187" s="4">
        <v>0</v>
      </c>
      <c r="T187" s="4">
        <v>0</v>
      </c>
      <c r="W187" s="5" t="s">
        <v>69</v>
      </c>
      <c r="X187" s="5" t="s">
        <v>69</v>
      </c>
      <c r="Y187" s="4">
        <v>57</v>
      </c>
      <c r="Z187" s="4">
        <v>8</v>
      </c>
      <c r="AA187" s="4">
        <v>89</v>
      </c>
      <c r="AB187" s="4">
        <v>1</v>
      </c>
      <c r="AC187" s="4">
        <v>17</v>
      </c>
      <c r="AD187" s="4">
        <v>32</v>
      </c>
      <c r="AE187" s="4">
        <v>112</v>
      </c>
      <c r="AF187" s="4">
        <v>0</v>
      </c>
      <c r="AG187" s="4">
        <v>8</v>
      </c>
      <c r="AH187" s="4">
        <v>30</v>
      </c>
      <c r="AI187" s="4">
        <v>77</v>
      </c>
      <c r="AJ187" s="4">
        <v>6</v>
      </c>
      <c r="AK187" s="4">
        <v>23</v>
      </c>
      <c r="AL187" s="4">
        <v>20</v>
      </c>
      <c r="AM187" s="4">
        <v>42</v>
      </c>
      <c r="AN187" s="4">
        <v>0</v>
      </c>
      <c r="AO187" s="4">
        <v>0</v>
      </c>
      <c r="AP187" s="4">
        <v>6</v>
      </c>
      <c r="AQ187" s="4">
        <v>44</v>
      </c>
      <c r="AR187" s="3" t="s">
        <v>63</v>
      </c>
      <c r="AS187" s="3" t="s">
        <v>63</v>
      </c>
      <c r="AT187" s="3" t="s">
        <v>63</v>
      </c>
      <c r="AV187" s="6" t="str">
        <f>HYPERLINK("http://mcgill.on.worldcat.org/oclc/798612991","Catalog Record")</f>
        <v>Catalog Record</v>
      </c>
      <c r="AW187" s="6" t="str">
        <f>HYPERLINK("http://www.worldcat.org/oclc/798612991","WorldCat Record")</f>
        <v>WorldCat Record</v>
      </c>
      <c r="AX187" s="3" t="s">
        <v>1974</v>
      </c>
      <c r="AY187" s="3" t="s">
        <v>1975</v>
      </c>
      <c r="AZ187" s="3" t="s">
        <v>1976</v>
      </c>
      <c r="BA187" s="3" t="s">
        <v>1976</v>
      </c>
      <c r="BB187" s="3" t="s">
        <v>1977</v>
      </c>
      <c r="BC187" s="3" t="s">
        <v>82</v>
      </c>
      <c r="BD187" s="3" t="s">
        <v>70</v>
      </c>
      <c r="BE187" s="3" t="s">
        <v>1978</v>
      </c>
      <c r="BF187" s="3" t="s">
        <v>1977</v>
      </c>
      <c r="BG187" s="3" t="s">
        <v>1979</v>
      </c>
    </row>
    <row r="188" spans="1:59" ht="60" x14ac:dyDescent="0.25">
      <c r="A188" s="2" t="s">
        <v>59</v>
      </c>
      <c r="B188" s="2" t="s">
        <v>60</v>
      </c>
      <c r="C188" s="2" t="s">
        <v>1980</v>
      </c>
      <c r="D188" s="2" t="s">
        <v>1981</v>
      </c>
      <c r="E188" s="2" t="s">
        <v>1982</v>
      </c>
      <c r="G188" s="3" t="s">
        <v>63</v>
      </c>
      <c r="I188" s="3" t="s">
        <v>63</v>
      </c>
      <c r="J188" s="3" t="s">
        <v>63</v>
      </c>
      <c r="K188" s="3" t="s">
        <v>64</v>
      </c>
      <c r="L188" s="2" t="s">
        <v>1983</v>
      </c>
      <c r="M188" s="2" t="s">
        <v>1984</v>
      </c>
      <c r="N188" s="3" t="s">
        <v>1916</v>
      </c>
      <c r="P188" s="3" t="s">
        <v>66</v>
      </c>
      <c r="R188" s="3" t="s">
        <v>67</v>
      </c>
      <c r="S188" s="4">
        <v>34</v>
      </c>
      <c r="T188" s="4">
        <v>34</v>
      </c>
      <c r="U188" s="5" t="s">
        <v>1961</v>
      </c>
      <c r="V188" s="5" t="s">
        <v>1961</v>
      </c>
      <c r="W188" s="5" t="s">
        <v>69</v>
      </c>
      <c r="X188" s="5" t="s">
        <v>69</v>
      </c>
      <c r="Y188" s="4">
        <v>12</v>
      </c>
      <c r="Z188" s="4">
        <v>3</v>
      </c>
      <c r="AA188" s="4">
        <v>16</v>
      </c>
      <c r="AB188" s="4">
        <v>2</v>
      </c>
      <c r="AC188" s="4">
        <v>2</v>
      </c>
      <c r="AD188" s="4">
        <v>4</v>
      </c>
      <c r="AE188" s="4">
        <v>101</v>
      </c>
      <c r="AF188" s="4">
        <v>0</v>
      </c>
      <c r="AG188" s="4">
        <v>0</v>
      </c>
      <c r="AH188" s="4">
        <v>4</v>
      </c>
      <c r="AI188" s="4">
        <v>95</v>
      </c>
      <c r="AJ188" s="4">
        <v>1</v>
      </c>
      <c r="AK188" s="4">
        <v>14</v>
      </c>
      <c r="AL188" s="4">
        <v>3</v>
      </c>
      <c r="AM188" s="4">
        <v>50</v>
      </c>
      <c r="AN188" s="4">
        <v>0</v>
      </c>
      <c r="AO188" s="4">
        <v>0</v>
      </c>
      <c r="AP188" s="4">
        <v>1</v>
      </c>
      <c r="AQ188" s="4">
        <v>14</v>
      </c>
      <c r="AR188" s="3" t="s">
        <v>63</v>
      </c>
      <c r="AS188" s="3" t="s">
        <v>63</v>
      </c>
      <c r="AT188" s="3" t="s">
        <v>62</v>
      </c>
      <c r="AU188" s="6" t="str">
        <f>HYPERLINK("http://catalog.hathitrust.org/Record/000394837","HathiTrust Record")</f>
        <v>HathiTrust Record</v>
      </c>
      <c r="AV188" s="6" t="str">
        <f>HYPERLINK("http://mcgill.on.worldcat.org/oclc/185065979","Catalog Record")</f>
        <v>Catalog Record</v>
      </c>
      <c r="AW188" s="6" t="str">
        <f>HYPERLINK("http://www.worldcat.org/oclc/185065979","WorldCat Record")</f>
        <v>WorldCat Record</v>
      </c>
      <c r="AX188" s="3" t="s">
        <v>1985</v>
      </c>
      <c r="AY188" s="3" t="s">
        <v>1986</v>
      </c>
      <c r="AZ188" s="3" t="s">
        <v>1987</v>
      </c>
      <c r="BA188" s="3" t="s">
        <v>1987</v>
      </c>
      <c r="BB188" s="3" t="s">
        <v>1988</v>
      </c>
      <c r="BC188" s="3" t="s">
        <v>82</v>
      </c>
      <c r="BD188" s="3" t="s">
        <v>70</v>
      </c>
      <c r="BE188" s="3" t="s">
        <v>1989</v>
      </c>
      <c r="BF188" s="3" t="s">
        <v>1988</v>
      </c>
      <c r="BG188" s="3" t="s">
        <v>1990</v>
      </c>
    </row>
    <row r="189" spans="1:59" ht="60" x14ac:dyDescent="0.25">
      <c r="A189" s="2" t="s">
        <v>59</v>
      </c>
      <c r="B189" s="2" t="s">
        <v>60</v>
      </c>
      <c r="C189" s="2" t="s">
        <v>1991</v>
      </c>
      <c r="D189" s="2" t="s">
        <v>1992</v>
      </c>
      <c r="E189" s="2" t="s">
        <v>1993</v>
      </c>
      <c r="G189" s="3" t="s">
        <v>63</v>
      </c>
      <c r="I189" s="3" t="s">
        <v>63</v>
      </c>
      <c r="J189" s="3" t="s">
        <v>63</v>
      </c>
      <c r="K189" s="3" t="s">
        <v>64</v>
      </c>
      <c r="L189" s="2" t="s">
        <v>1994</v>
      </c>
      <c r="M189" s="2" t="s">
        <v>1995</v>
      </c>
      <c r="N189" s="3" t="s">
        <v>362</v>
      </c>
      <c r="P189" s="3" t="s">
        <v>66</v>
      </c>
      <c r="Q189" s="2" t="s">
        <v>1996</v>
      </c>
      <c r="R189" s="3" t="s">
        <v>67</v>
      </c>
      <c r="S189" s="4">
        <v>1</v>
      </c>
      <c r="T189" s="4">
        <v>1</v>
      </c>
      <c r="U189" s="5" t="s">
        <v>155</v>
      </c>
      <c r="V189" s="5" t="s">
        <v>155</v>
      </c>
      <c r="W189" s="5" t="s">
        <v>69</v>
      </c>
      <c r="X189" s="5" t="s">
        <v>69</v>
      </c>
      <c r="Y189" s="4">
        <v>86</v>
      </c>
      <c r="Z189" s="4">
        <v>10</v>
      </c>
      <c r="AA189" s="4">
        <v>11</v>
      </c>
      <c r="AB189" s="4">
        <v>1</v>
      </c>
      <c r="AC189" s="4">
        <v>2</v>
      </c>
      <c r="AD189" s="4">
        <v>44</v>
      </c>
      <c r="AE189" s="4">
        <v>46</v>
      </c>
      <c r="AF189" s="4">
        <v>0</v>
      </c>
      <c r="AG189" s="4">
        <v>1</v>
      </c>
      <c r="AH189" s="4">
        <v>40</v>
      </c>
      <c r="AI189" s="4">
        <v>42</v>
      </c>
      <c r="AJ189" s="4">
        <v>7</v>
      </c>
      <c r="AK189" s="4">
        <v>8</v>
      </c>
      <c r="AL189" s="4">
        <v>30</v>
      </c>
      <c r="AM189" s="4">
        <v>31</v>
      </c>
      <c r="AN189" s="4">
        <v>0</v>
      </c>
      <c r="AO189" s="4">
        <v>0</v>
      </c>
      <c r="AP189" s="4">
        <v>8</v>
      </c>
      <c r="AQ189" s="4">
        <v>9</v>
      </c>
      <c r="AR189" s="3" t="s">
        <v>63</v>
      </c>
      <c r="AS189" s="3" t="s">
        <v>63</v>
      </c>
      <c r="AT189" s="3" t="s">
        <v>63</v>
      </c>
      <c r="AV189" s="6" t="str">
        <f>HYPERLINK("http://mcgill.on.worldcat.org/oclc/48518602","Catalog Record")</f>
        <v>Catalog Record</v>
      </c>
      <c r="AW189" s="6" t="str">
        <f>HYPERLINK("http://www.worldcat.org/oclc/48518602","WorldCat Record")</f>
        <v>WorldCat Record</v>
      </c>
      <c r="AX189" s="3" t="s">
        <v>1997</v>
      </c>
      <c r="AY189" s="3" t="s">
        <v>1998</v>
      </c>
      <c r="AZ189" s="3" t="s">
        <v>1999</v>
      </c>
      <c r="BA189" s="3" t="s">
        <v>1999</v>
      </c>
      <c r="BB189" s="3" t="s">
        <v>2000</v>
      </c>
      <c r="BC189" s="3" t="s">
        <v>82</v>
      </c>
      <c r="BD189" s="3" t="s">
        <v>70</v>
      </c>
      <c r="BE189" s="3" t="s">
        <v>2001</v>
      </c>
      <c r="BF189" s="3" t="s">
        <v>2000</v>
      </c>
      <c r="BG189" s="3" t="s">
        <v>2002</v>
      </c>
    </row>
    <row r="190" spans="1:59" ht="60" x14ac:dyDescent="0.25">
      <c r="A190" s="2" t="s">
        <v>59</v>
      </c>
      <c r="B190" s="2" t="s">
        <v>60</v>
      </c>
      <c r="C190" s="2" t="s">
        <v>2003</v>
      </c>
      <c r="D190" s="2" t="s">
        <v>2004</v>
      </c>
      <c r="E190" s="2" t="s">
        <v>2005</v>
      </c>
      <c r="G190" s="3" t="s">
        <v>63</v>
      </c>
      <c r="I190" s="3" t="s">
        <v>63</v>
      </c>
      <c r="J190" s="3" t="s">
        <v>62</v>
      </c>
      <c r="K190" s="3" t="s">
        <v>64</v>
      </c>
      <c r="L190" s="2" t="s">
        <v>2006</v>
      </c>
      <c r="M190" s="2" t="s">
        <v>2007</v>
      </c>
      <c r="N190" s="3" t="s">
        <v>313</v>
      </c>
      <c r="P190" s="3" t="s">
        <v>66</v>
      </c>
      <c r="Q190" s="2" t="s">
        <v>2008</v>
      </c>
      <c r="R190" s="3" t="s">
        <v>67</v>
      </c>
      <c r="S190" s="4">
        <v>4</v>
      </c>
      <c r="T190" s="4">
        <v>4</v>
      </c>
      <c r="U190" s="5" t="s">
        <v>2009</v>
      </c>
      <c r="V190" s="5" t="s">
        <v>2009</v>
      </c>
      <c r="W190" s="5" t="s">
        <v>69</v>
      </c>
      <c r="X190" s="5" t="s">
        <v>69</v>
      </c>
      <c r="Y190" s="4">
        <v>94</v>
      </c>
      <c r="Z190" s="4">
        <v>6</v>
      </c>
      <c r="AA190" s="4">
        <v>6</v>
      </c>
      <c r="AB190" s="4">
        <v>1</v>
      </c>
      <c r="AC190" s="4">
        <v>1</v>
      </c>
      <c r="AD190" s="4">
        <v>41</v>
      </c>
      <c r="AE190" s="4">
        <v>49</v>
      </c>
      <c r="AF190" s="4">
        <v>0</v>
      </c>
      <c r="AG190" s="4">
        <v>0</v>
      </c>
      <c r="AH190" s="4">
        <v>38</v>
      </c>
      <c r="AI190" s="4">
        <v>46</v>
      </c>
      <c r="AJ190" s="4">
        <v>4</v>
      </c>
      <c r="AK190" s="4">
        <v>4</v>
      </c>
      <c r="AL190" s="4">
        <v>30</v>
      </c>
      <c r="AM190" s="4">
        <v>35</v>
      </c>
      <c r="AN190" s="4">
        <v>5</v>
      </c>
      <c r="AO190" s="4">
        <v>5</v>
      </c>
      <c r="AP190" s="4">
        <v>4</v>
      </c>
      <c r="AQ190" s="4">
        <v>4</v>
      </c>
      <c r="AR190" s="3" t="s">
        <v>63</v>
      </c>
      <c r="AS190" s="3" t="s">
        <v>63</v>
      </c>
      <c r="AT190" s="3" t="s">
        <v>62</v>
      </c>
      <c r="AU190" s="6" t="str">
        <f>HYPERLINK("http://catalog.hathitrust.org/Record/009618304","HathiTrust Record")</f>
        <v>HathiTrust Record</v>
      </c>
      <c r="AV190" s="6" t="str">
        <f>HYPERLINK("http://mcgill.on.worldcat.org/oclc/647672889","Catalog Record")</f>
        <v>Catalog Record</v>
      </c>
      <c r="AW190" s="6" t="str">
        <f>HYPERLINK("http://www.worldcat.org/oclc/647672889","WorldCat Record")</f>
        <v>WorldCat Record</v>
      </c>
      <c r="AX190" s="3" t="s">
        <v>2010</v>
      </c>
      <c r="AY190" s="3" t="s">
        <v>2011</v>
      </c>
      <c r="AZ190" s="3" t="s">
        <v>2012</v>
      </c>
      <c r="BA190" s="3" t="s">
        <v>2012</v>
      </c>
      <c r="BB190" s="3" t="s">
        <v>2013</v>
      </c>
      <c r="BC190" s="3" t="s">
        <v>82</v>
      </c>
      <c r="BD190" s="3" t="s">
        <v>538</v>
      </c>
      <c r="BE190" s="3" t="s">
        <v>2014</v>
      </c>
      <c r="BF190" s="3" t="s">
        <v>2013</v>
      </c>
      <c r="BG190" s="3" t="s">
        <v>2015</v>
      </c>
    </row>
    <row r="191" spans="1:59" ht="60" x14ac:dyDescent="0.25">
      <c r="A191" s="2" t="s">
        <v>59</v>
      </c>
      <c r="B191" s="2" t="s">
        <v>60</v>
      </c>
      <c r="C191" s="2" t="s">
        <v>2016</v>
      </c>
      <c r="D191" s="2" t="s">
        <v>2017</v>
      </c>
      <c r="E191" s="2" t="s">
        <v>2018</v>
      </c>
      <c r="G191" s="3" t="s">
        <v>63</v>
      </c>
      <c r="I191" s="3" t="s">
        <v>63</v>
      </c>
      <c r="J191" s="3" t="s">
        <v>62</v>
      </c>
      <c r="K191" s="3" t="s">
        <v>64</v>
      </c>
      <c r="L191" s="2" t="s">
        <v>2006</v>
      </c>
      <c r="M191" s="2" t="s">
        <v>2007</v>
      </c>
      <c r="N191" s="3" t="s">
        <v>629</v>
      </c>
      <c r="O191" s="2" t="s">
        <v>2019</v>
      </c>
      <c r="P191" s="3" t="s">
        <v>66</v>
      </c>
      <c r="Q191" s="2" t="s">
        <v>2020</v>
      </c>
      <c r="R191" s="3" t="s">
        <v>67</v>
      </c>
      <c r="S191" s="4">
        <v>3</v>
      </c>
      <c r="T191" s="4">
        <v>3</v>
      </c>
      <c r="U191" s="5" t="s">
        <v>616</v>
      </c>
      <c r="V191" s="5" t="s">
        <v>616</v>
      </c>
      <c r="W191" s="5" t="s">
        <v>69</v>
      </c>
      <c r="X191" s="5" t="s">
        <v>69</v>
      </c>
      <c r="Y191" s="4">
        <v>37</v>
      </c>
      <c r="Z191" s="4">
        <v>1</v>
      </c>
      <c r="AA191" s="4">
        <v>6</v>
      </c>
      <c r="AB191" s="4">
        <v>1</v>
      </c>
      <c r="AC191" s="4">
        <v>1</v>
      </c>
      <c r="AD191" s="4">
        <v>14</v>
      </c>
      <c r="AE191" s="4">
        <v>49</v>
      </c>
      <c r="AF191" s="4">
        <v>0</v>
      </c>
      <c r="AG191" s="4">
        <v>0</v>
      </c>
      <c r="AH191" s="4">
        <v>14</v>
      </c>
      <c r="AI191" s="4">
        <v>46</v>
      </c>
      <c r="AJ191" s="4">
        <v>0</v>
      </c>
      <c r="AK191" s="4">
        <v>4</v>
      </c>
      <c r="AL191" s="4">
        <v>11</v>
      </c>
      <c r="AM191" s="4">
        <v>35</v>
      </c>
      <c r="AN191" s="4">
        <v>0</v>
      </c>
      <c r="AO191" s="4">
        <v>5</v>
      </c>
      <c r="AP191" s="4">
        <v>0</v>
      </c>
      <c r="AQ191" s="4">
        <v>4</v>
      </c>
      <c r="AR191" s="3" t="s">
        <v>63</v>
      </c>
      <c r="AS191" s="3" t="s">
        <v>63</v>
      </c>
      <c r="AT191" s="3" t="s">
        <v>63</v>
      </c>
      <c r="AV191" s="6" t="str">
        <f>HYPERLINK("http://mcgill.on.worldcat.org/oclc/775360238","Catalog Record")</f>
        <v>Catalog Record</v>
      </c>
      <c r="AW191" s="6" t="str">
        <f>HYPERLINK("http://www.worldcat.org/oclc/775360238","WorldCat Record")</f>
        <v>WorldCat Record</v>
      </c>
      <c r="AX191" s="3" t="s">
        <v>2010</v>
      </c>
      <c r="AY191" s="3" t="s">
        <v>2021</v>
      </c>
      <c r="AZ191" s="3" t="s">
        <v>2022</v>
      </c>
      <c r="BA191" s="3" t="s">
        <v>2022</v>
      </c>
      <c r="BB191" s="3" t="s">
        <v>2023</v>
      </c>
      <c r="BC191" s="3" t="s">
        <v>82</v>
      </c>
      <c r="BD191" s="3" t="s">
        <v>70</v>
      </c>
      <c r="BE191" s="3" t="s">
        <v>2024</v>
      </c>
      <c r="BF191" s="3" t="s">
        <v>2023</v>
      </c>
      <c r="BG191" s="3" t="s">
        <v>2025</v>
      </c>
    </row>
    <row r="192" spans="1:59" ht="60" x14ac:dyDescent="0.25">
      <c r="A192" s="2" t="s">
        <v>59</v>
      </c>
      <c r="B192" s="2" t="s">
        <v>60</v>
      </c>
      <c r="C192" s="2" t="s">
        <v>2026</v>
      </c>
      <c r="D192" s="2" t="s">
        <v>2027</v>
      </c>
      <c r="E192" s="2" t="s">
        <v>2028</v>
      </c>
      <c r="G192" s="3" t="s">
        <v>63</v>
      </c>
      <c r="I192" s="3" t="s">
        <v>63</v>
      </c>
      <c r="J192" s="3" t="s">
        <v>63</v>
      </c>
      <c r="K192" s="3" t="s">
        <v>64</v>
      </c>
      <c r="L192" s="2" t="s">
        <v>2029</v>
      </c>
      <c r="M192" s="2" t="s">
        <v>2030</v>
      </c>
      <c r="N192" s="3" t="s">
        <v>455</v>
      </c>
      <c r="P192" s="3" t="s">
        <v>66</v>
      </c>
      <c r="Q192" s="2" t="s">
        <v>2031</v>
      </c>
      <c r="R192" s="3" t="s">
        <v>67</v>
      </c>
      <c r="S192" s="4">
        <v>14</v>
      </c>
      <c r="T192" s="4">
        <v>14</v>
      </c>
      <c r="U192" s="5" t="s">
        <v>2032</v>
      </c>
      <c r="V192" s="5" t="s">
        <v>2032</v>
      </c>
      <c r="W192" s="5" t="s">
        <v>69</v>
      </c>
      <c r="X192" s="5" t="s">
        <v>69</v>
      </c>
      <c r="Y192" s="4">
        <v>243</v>
      </c>
      <c r="Z192" s="4">
        <v>20</v>
      </c>
      <c r="AA192" s="4">
        <v>84</v>
      </c>
      <c r="AB192" s="4">
        <v>2</v>
      </c>
      <c r="AC192" s="4">
        <v>14</v>
      </c>
      <c r="AD192" s="4">
        <v>104</v>
      </c>
      <c r="AE192" s="4">
        <v>140</v>
      </c>
      <c r="AF192" s="4">
        <v>1</v>
      </c>
      <c r="AG192" s="4">
        <v>8</v>
      </c>
      <c r="AH192" s="4">
        <v>94</v>
      </c>
      <c r="AI192" s="4">
        <v>103</v>
      </c>
      <c r="AJ192" s="4">
        <v>17</v>
      </c>
      <c r="AK192" s="4">
        <v>25</v>
      </c>
      <c r="AL192" s="4">
        <v>56</v>
      </c>
      <c r="AM192" s="4">
        <v>57</v>
      </c>
      <c r="AN192" s="4">
        <v>0</v>
      </c>
      <c r="AO192" s="4">
        <v>0</v>
      </c>
      <c r="AP192" s="4">
        <v>18</v>
      </c>
      <c r="AQ192" s="4">
        <v>47</v>
      </c>
      <c r="AR192" s="3" t="s">
        <v>63</v>
      </c>
      <c r="AS192" s="3" t="s">
        <v>63</v>
      </c>
      <c r="AT192" s="3" t="s">
        <v>62</v>
      </c>
      <c r="AU192" s="6" t="str">
        <f>HYPERLINK("http://catalog.hathitrust.org/Record/000781669","HathiTrust Record")</f>
        <v>HathiTrust Record</v>
      </c>
      <c r="AV192" s="6" t="str">
        <f>HYPERLINK("http://mcgill.on.worldcat.org/oclc/10349268","Catalog Record")</f>
        <v>Catalog Record</v>
      </c>
      <c r="AW192" s="6" t="str">
        <f>HYPERLINK("http://www.worldcat.org/oclc/10349268","WorldCat Record")</f>
        <v>WorldCat Record</v>
      </c>
      <c r="AX192" s="3" t="s">
        <v>2033</v>
      </c>
      <c r="AY192" s="3" t="s">
        <v>2034</v>
      </c>
      <c r="AZ192" s="3" t="s">
        <v>2035</v>
      </c>
      <c r="BA192" s="3" t="s">
        <v>2035</v>
      </c>
      <c r="BB192" s="3" t="s">
        <v>2036</v>
      </c>
      <c r="BC192" s="3" t="s">
        <v>82</v>
      </c>
      <c r="BD192" s="3" t="s">
        <v>70</v>
      </c>
      <c r="BE192" s="3" t="s">
        <v>2037</v>
      </c>
      <c r="BF192" s="3" t="s">
        <v>2036</v>
      </c>
      <c r="BG192" s="3" t="s">
        <v>2038</v>
      </c>
    </row>
    <row r="193" spans="1:59" ht="60" x14ac:dyDescent="0.25">
      <c r="A193" s="2" t="s">
        <v>59</v>
      </c>
      <c r="B193" s="2" t="s">
        <v>60</v>
      </c>
      <c r="C193" s="2" t="s">
        <v>2039</v>
      </c>
      <c r="D193" s="2" t="s">
        <v>2040</v>
      </c>
      <c r="E193" s="2" t="s">
        <v>2041</v>
      </c>
      <c r="G193" s="3" t="s">
        <v>63</v>
      </c>
      <c r="I193" s="3" t="s">
        <v>63</v>
      </c>
      <c r="J193" s="3" t="s">
        <v>63</v>
      </c>
      <c r="K193" s="3" t="s">
        <v>64</v>
      </c>
      <c r="M193" s="2" t="s">
        <v>2042</v>
      </c>
      <c r="N193" s="3" t="s">
        <v>2043</v>
      </c>
      <c r="P193" s="3" t="s">
        <v>90</v>
      </c>
      <c r="R193" s="3" t="s">
        <v>67</v>
      </c>
      <c r="S193" s="4">
        <v>2</v>
      </c>
      <c r="T193" s="4">
        <v>2</v>
      </c>
      <c r="U193" s="5" t="s">
        <v>2044</v>
      </c>
      <c r="V193" s="5" t="s">
        <v>2044</v>
      </c>
      <c r="W193" s="5" t="s">
        <v>69</v>
      </c>
      <c r="X193" s="5" t="s">
        <v>69</v>
      </c>
      <c r="Y193" s="4">
        <v>25</v>
      </c>
      <c r="Z193" s="4">
        <v>3</v>
      </c>
      <c r="AA193" s="4">
        <v>3</v>
      </c>
      <c r="AB193" s="4">
        <v>1</v>
      </c>
      <c r="AC193" s="4">
        <v>1</v>
      </c>
      <c r="AD193" s="4">
        <v>20</v>
      </c>
      <c r="AE193" s="4">
        <v>23</v>
      </c>
      <c r="AF193" s="4">
        <v>0</v>
      </c>
      <c r="AG193" s="4">
        <v>0</v>
      </c>
      <c r="AH193" s="4">
        <v>20</v>
      </c>
      <c r="AI193" s="4">
        <v>23</v>
      </c>
      <c r="AJ193" s="4">
        <v>2</v>
      </c>
      <c r="AK193" s="4">
        <v>2</v>
      </c>
      <c r="AL193" s="4">
        <v>12</v>
      </c>
      <c r="AM193" s="4">
        <v>15</v>
      </c>
      <c r="AN193" s="4">
        <v>5</v>
      </c>
      <c r="AO193" s="4">
        <v>5</v>
      </c>
      <c r="AP193" s="4">
        <v>2</v>
      </c>
      <c r="AQ193" s="4">
        <v>2</v>
      </c>
      <c r="AR193" s="3" t="s">
        <v>63</v>
      </c>
      <c r="AS193" s="3" t="s">
        <v>63</v>
      </c>
      <c r="AT193" s="3" t="s">
        <v>62</v>
      </c>
      <c r="AU193" s="6" t="str">
        <f>HYPERLINK("http://catalog.hathitrust.org/Record/101897684","HathiTrust Record")</f>
        <v>HathiTrust Record</v>
      </c>
      <c r="AV193" s="6" t="str">
        <f>HYPERLINK("http://mcgill.on.worldcat.org/oclc/8846899","Catalog Record")</f>
        <v>Catalog Record</v>
      </c>
      <c r="AW193" s="6" t="str">
        <f>HYPERLINK("http://www.worldcat.org/oclc/8846899","WorldCat Record")</f>
        <v>WorldCat Record</v>
      </c>
      <c r="AX193" s="3" t="s">
        <v>2045</v>
      </c>
      <c r="AY193" s="3" t="s">
        <v>2046</v>
      </c>
      <c r="AZ193" s="3" t="s">
        <v>2047</v>
      </c>
      <c r="BA193" s="3" t="s">
        <v>2047</v>
      </c>
      <c r="BB193" s="3" t="s">
        <v>2048</v>
      </c>
      <c r="BC193" s="3" t="s">
        <v>82</v>
      </c>
      <c r="BD193" s="3" t="s">
        <v>70</v>
      </c>
      <c r="BF193" s="3" t="s">
        <v>2048</v>
      </c>
      <c r="BG193" s="3" t="s">
        <v>2049</v>
      </c>
    </row>
    <row r="194" spans="1:59" ht="60" x14ac:dyDescent="0.25">
      <c r="A194" s="2" t="s">
        <v>59</v>
      </c>
      <c r="B194" s="2" t="s">
        <v>60</v>
      </c>
      <c r="C194" s="2" t="s">
        <v>2050</v>
      </c>
      <c r="D194" s="2" t="s">
        <v>2051</v>
      </c>
      <c r="E194" s="2" t="s">
        <v>2052</v>
      </c>
      <c r="G194" s="3" t="s">
        <v>63</v>
      </c>
      <c r="I194" s="3" t="s">
        <v>63</v>
      </c>
      <c r="J194" s="3" t="s">
        <v>63</v>
      </c>
      <c r="K194" s="3" t="s">
        <v>64</v>
      </c>
      <c r="L194" s="2" t="s">
        <v>2053</v>
      </c>
      <c r="M194" s="2" t="s">
        <v>2054</v>
      </c>
      <c r="N194" s="3" t="s">
        <v>1226</v>
      </c>
      <c r="O194" s="2" t="s">
        <v>1856</v>
      </c>
      <c r="P194" s="3" t="s">
        <v>66</v>
      </c>
      <c r="R194" s="3" t="s">
        <v>67</v>
      </c>
      <c r="S194" s="4">
        <v>6</v>
      </c>
      <c r="T194" s="4">
        <v>6</v>
      </c>
      <c r="U194" s="5" t="s">
        <v>155</v>
      </c>
      <c r="V194" s="5" t="s">
        <v>155</v>
      </c>
      <c r="W194" s="5" t="s">
        <v>69</v>
      </c>
      <c r="X194" s="5" t="s">
        <v>69</v>
      </c>
      <c r="Y194" s="4">
        <v>6</v>
      </c>
      <c r="Z194" s="4">
        <v>1</v>
      </c>
      <c r="AA194" s="4">
        <v>1</v>
      </c>
      <c r="AB194" s="4">
        <v>1</v>
      </c>
      <c r="AC194" s="4">
        <v>1</v>
      </c>
      <c r="AD194" s="4">
        <v>4</v>
      </c>
      <c r="AE194" s="4">
        <v>4</v>
      </c>
      <c r="AF194" s="4">
        <v>0</v>
      </c>
      <c r="AG194" s="4">
        <v>0</v>
      </c>
      <c r="AH194" s="4">
        <v>4</v>
      </c>
      <c r="AI194" s="4">
        <v>4</v>
      </c>
      <c r="AJ194" s="4">
        <v>0</v>
      </c>
      <c r="AK194" s="4">
        <v>0</v>
      </c>
      <c r="AL194" s="4">
        <v>3</v>
      </c>
      <c r="AM194" s="4">
        <v>3</v>
      </c>
      <c r="AN194" s="4">
        <v>0</v>
      </c>
      <c r="AO194" s="4">
        <v>0</v>
      </c>
      <c r="AP194" s="4">
        <v>0</v>
      </c>
      <c r="AQ194" s="4">
        <v>0</v>
      </c>
      <c r="AR194" s="3" t="s">
        <v>63</v>
      </c>
      <c r="AS194" s="3" t="s">
        <v>63</v>
      </c>
      <c r="AT194" s="3" t="s">
        <v>62</v>
      </c>
      <c r="AU194" s="6" t="str">
        <f>HYPERLINK("http://catalog.hathitrust.org/Record/007012844","HathiTrust Record")</f>
        <v>HathiTrust Record</v>
      </c>
      <c r="AV194" s="6" t="str">
        <f>HYPERLINK("http://mcgill.on.worldcat.org/oclc/52227644","Catalog Record")</f>
        <v>Catalog Record</v>
      </c>
      <c r="AW194" s="6" t="str">
        <f>HYPERLINK("http://www.worldcat.org/oclc/52227644","WorldCat Record")</f>
        <v>WorldCat Record</v>
      </c>
      <c r="AX194" s="3" t="s">
        <v>2055</v>
      </c>
      <c r="AY194" s="3" t="s">
        <v>2056</v>
      </c>
      <c r="AZ194" s="3" t="s">
        <v>2057</v>
      </c>
      <c r="BA194" s="3" t="s">
        <v>2057</v>
      </c>
      <c r="BB194" s="3" t="s">
        <v>2058</v>
      </c>
      <c r="BC194" s="3" t="s">
        <v>82</v>
      </c>
      <c r="BD194" s="3" t="s">
        <v>70</v>
      </c>
      <c r="BE194" s="3" t="s">
        <v>2059</v>
      </c>
      <c r="BF194" s="3" t="s">
        <v>2058</v>
      </c>
      <c r="BG194" s="3" t="s">
        <v>2060</v>
      </c>
    </row>
    <row r="195" spans="1:59" ht="60" x14ac:dyDescent="0.25">
      <c r="A195" s="2" t="s">
        <v>59</v>
      </c>
      <c r="B195" s="2" t="s">
        <v>60</v>
      </c>
      <c r="C195" s="2" t="s">
        <v>2061</v>
      </c>
      <c r="D195" s="2" t="s">
        <v>2062</v>
      </c>
      <c r="E195" s="2" t="s">
        <v>2063</v>
      </c>
      <c r="G195" s="3" t="s">
        <v>63</v>
      </c>
      <c r="I195" s="3" t="s">
        <v>63</v>
      </c>
      <c r="J195" s="3" t="s">
        <v>62</v>
      </c>
      <c r="K195" s="3" t="s">
        <v>64</v>
      </c>
      <c r="L195" s="2" t="s">
        <v>2064</v>
      </c>
      <c r="M195" s="2" t="s">
        <v>2065</v>
      </c>
      <c r="N195" s="3" t="s">
        <v>480</v>
      </c>
      <c r="P195" s="3" t="s">
        <v>66</v>
      </c>
      <c r="R195" s="3" t="s">
        <v>67</v>
      </c>
      <c r="S195" s="4">
        <v>76</v>
      </c>
      <c r="T195" s="4">
        <v>76</v>
      </c>
      <c r="U195" s="5" t="s">
        <v>2066</v>
      </c>
      <c r="V195" s="5" t="s">
        <v>2066</v>
      </c>
      <c r="W195" s="5" t="s">
        <v>69</v>
      </c>
      <c r="X195" s="5" t="s">
        <v>69</v>
      </c>
      <c r="Y195" s="4">
        <v>343</v>
      </c>
      <c r="Z195" s="4">
        <v>18</v>
      </c>
      <c r="AA195" s="4">
        <v>41</v>
      </c>
      <c r="AB195" s="4">
        <v>1</v>
      </c>
      <c r="AC195" s="4">
        <v>7</v>
      </c>
      <c r="AD195" s="4">
        <v>75</v>
      </c>
      <c r="AE195" s="4">
        <v>119</v>
      </c>
      <c r="AF195" s="4">
        <v>0</v>
      </c>
      <c r="AG195" s="4">
        <v>3</v>
      </c>
      <c r="AH195" s="4">
        <v>67</v>
      </c>
      <c r="AI195" s="4">
        <v>102</v>
      </c>
      <c r="AJ195" s="4">
        <v>10</v>
      </c>
      <c r="AK195" s="4">
        <v>20</v>
      </c>
      <c r="AL195" s="4">
        <v>40</v>
      </c>
      <c r="AM195" s="4">
        <v>57</v>
      </c>
      <c r="AN195" s="4">
        <v>0</v>
      </c>
      <c r="AO195" s="4">
        <v>0</v>
      </c>
      <c r="AP195" s="4">
        <v>14</v>
      </c>
      <c r="AQ195" s="4">
        <v>25</v>
      </c>
      <c r="AR195" s="3" t="s">
        <v>63</v>
      </c>
      <c r="AS195" s="3" t="s">
        <v>63</v>
      </c>
      <c r="AT195" s="3" t="s">
        <v>63</v>
      </c>
      <c r="AV195" s="6" t="str">
        <f>HYPERLINK("http://mcgill.on.worldcat.org/oclc/21969826","Catalog Record")</f>
        <v>Catalog Record</v>
      </c>
      <c r="AW195" s="6" t="str">
        <f>HYPERLINK("http://www.worldcat.org/oclc/21969826","WorldCat Record")</f>
        <v>WorldCat Record</v>
      </c>
      <c r="AX195" s="3" t="s">
        <v>2067</v>
      </c>
      <c r="AY195" s="3" t="s">
        <v>2068</v>
      </c>
      <c r="AZ195" s="3" t="s">
        <v>2069</v>
      </c>
      <c r="BA195" s="3" t="s">
        <v>2069</v>
      </c>
      <c r="BB195" s="3" t="s">
        <v>2070</v>
      </c>
      <c r="BC195" s="3" t="s">
        <v>82</v>
      </c>
      <c r="BD195" s="3" t="s">
        <v>70</v>
      </c>
      <c r="BE195" s="3" t="s">
        <v>2071</v>
      </c>
      <c r="BF195" s="3" t="s">
        <v>2070</v>
      </c>
      <c r="BG195" s="3" t="s">
        <v>2072</v>
      </c>
    </row>
    <row r="196" spans="1:59" ht="60" x14ac:dyDescent="0.25">
      <c r="A196" s="2" t="s">
        <v>59</v>
      </c>
      <c r="B196" s="2" t="s">
        <v>60</v>
      </c>
      <c r="C196" s="2" t="s">
        <v>2073</v>
      </c>
      <c r="D196" s="2" t="s">
        <v>2074</v>
      </c>
      <c r="E196" s="2" t="s">
        <v>2075</v>
      </c>
      <c r="G196" s="3" t="s">
        <v>63</v>
      </c>
      <c r="I196" s="3" t="s">
        <v>62</v>
      </c>
      <c r="J196" s="3" t="s">
        <v>62</v>
      </c>
      <c r="K196" s="3" t="s">
        <v>64</v>
      </c>
      <c r="L196" s="2" t="s">
        <v>2076</v>
      </c>
      <c r="M196" s="2" t="s">
        <v>2077</v>
      </c>
      <c r="N196" s="3" t="s">
        <v>1343</v>
      </c>
      <c r="O196" s="2" t="s">
        <v>2078</v>
      </c>
      <c r="P196" s="3" t="s">
        <v>66</v>
      </c>
      <c r="Q196" s="2" t="s">
        <v>2079</v>
      </c>
      <c r="R196" s="3" t="s">
        <v>67</v>
      </c>
      <c r="S196" s="4">
        <v>27</v>
      </c>
      <c r="T196" s="4">
        <v>36</v>
      </c>
      <c r="U196" s="5" t="s">
        <v>2080</v>
      </c>
      <c r="V196" s="5" t="s">
        <v>2080</v>
      </c>
      <c r="W196" s="5" t="s">
        <v>69</v>
      </c>
      <c r="X196" s="5" t="s">
        <v>69</v>
      </c>
      <c r="Y196" s="4">
        <v>246</v>
      </c>
      <c r="Z196" s="4">
        <v>22</v>
      </c>
      <c r="AA196" s="4">
        <v>41</v>
      </c>
      <c r="AB196" s="4">
        <v>2</v>
      </c>
      <c r="AC196" s="4">
        <v>7</v>
      </c>
      <c r="AD196" s="4">
        <v>74</v>
      </c>
      <c r="AE196" s="4">
        <v>119</v>
      </c>
      <c r="AF196" s="4">
        <v>1</v>
      </c>
      <c r="AG196" s="4">
        <v>3</v>
      </c>
      <c r="AH196" s="4">
        <v>65</v>
      </c>
      <c r="AI196" s="4">
        <v>102</v>
      </c>
      <c r="AJ196" s="4">
        <v>14</v>
      </c>
      <c r="AK196" s="4">
        <v>20</v>
      </c>
      <c r="AL196" s="4">
        <v>34</v>
      </c>
      <c r="AM196" s="4">
        <v>57</v>
      </c>
      <c r="AN196" s="4">
        <v>0</v>
      </c>
      <c r="AO196" s="4">
        <v>0</v>
      </c>
      <c r="AP196" s="4">
        <v>16</v>
      </c>
      <c r="AQ196" s="4">
        <v>25</v>
      </c>
      <c r="AR196" s="3" t="s">
        <v>63</v>
      </c>
      <c r="AS196" s="3" t="s">
        <v>63</v>
      </c>
      <c r="AT196" s="3" t="s">
        <v>63</v>
      </c>
      <c r="AV196" s="6" t="str">
        <f>HYPERLINK("http://mcgill.on.worldcat.org/oclc/42437139","Catalog Record")</f>
        <v>Catalog Record</v>
      </c>
      <c r="AW196" s="6" t="str">
        <f>HYPERLINK("http://www.worldcat.org/oclc/42437139","WorldCat Record")</f>
        <v>WorldCat Record</v>
      </c>
      <c r="AX196" s="3" t="s">
        <v>2067</v>
      </c>
      <c r="AY196" s="3" t="s">
        <v>2081</v>
      </c>
      <c r="AZ196" s="3" t="s">
        <v>2082</v>
      </c>
      <c r="BA196" s="3" t="s">
        <v>2082</v>
      </c>
      <c r="BB196" s="3" t="s">
        <v>2083</v>
      </c>
      <c r="BC196" s="3" t="s">
        <v>82</v>
      </c>
      <c r="BD196" s="3" t="s">
        <v>70</v>
      </c>
      <c r="BE196" s="3" t="s">
        <v>2084</v>
      </c>
      <c r="BF196" s="3" t="s">
        <v>2083</v>
      </c>
      <c r="BG196" s="3" t="s">
        <v>2085</v>
      </c>
    </row>
    <row r="197" spans="1:59" ht="60" x14ac:dyDescent="0.25">
      <c r="A197" s="2" t="s">
        <v>59</v>
      </c>
      <c r="B197" s="2" t="s">
        <v>60</v>
      </c>
      <c r="C197" s="2" t="s">
        <v>2073</v>
      </c>
      <c r="D197" s="2" t="s">
        <v>2074</v>
      </c>
      <c r="E197" s="2" t="s">
        <v>2075</v>
      </c>
      <c r="G197" s="3" t="s">
        <v>63</v>
      </c>
      <c r="I197" s="3" t="s">
        <v>62</v>
      </c>
      <c r="J197" s="3" t="s">
        <v>62</v>
      </c>
      <c r="K197" s="3" t="s">
        <v>64</v>
      </c>
      <c r="L197" s="2" t="s">
        <v>2076</v>
      </c>
      <c r="M197" s="2" t="s">
        <v>2077</v>
      </c>
      <c r="N197" s="3" t="s">
        <v>1343</v>
      </c>
      <c r="O197" s="2" t="s">
        <v>2078</v>
      </c>
      <c r="P197" s="3" t="s">
        <v>66</v>
      </c>
      <c r="Q197" s="2" t="s">
        <v>2079</v>
      </c>
      <c r="R197" s="3" t="s">
        <v>67</v>
      </c>
      <c r="S197" s="4">
        <v>9</v>
      </c>
      <c r="T197" s="4">
        <v>36</v>
      </c>
      <c r="U197" s="5" t="s">
        <v>2086</v>
      </c>
      <c r="V197" s="5" t="s">
        <v>2080</v>
      </c>
      <c r="W197" s="5" t="s">
        <v>69</v>
      </c>
      <c r="X197" s="5" t="s">
        <v>69</v>
      </c>
      <c r="Y197" s="4">
        <v>246</v>
      </c>
      <c r="Z197" s="4">
        <v>22</v>
      </c>
      <c r="AA197" s="4">
        <v>41</v>
      </c>
      <c r="AB197" s="4">
        <v>2</v>
      </c>
      <c r="AC197" s="4">
        <v>7</v>
      </c>
      <c r="AD197" s="4">
        <v>74</v>
      </c>
      <c r="AE197" s="4">
        <v>119</v>
      </c>
      <c r="AF197" s="4">
        <v>1</v>
      </c>
      <c r="AG197" s="4">
        <v>3</v>
      </c>
      <c r="AH197" s="4">
        <v>65</v>
      </c>
      <c r="AI197" s="4">
        <v>102</v>
      </c>
      <c r="AJ197" s="4">
        <v>14</v>
      </c>
      <c r="AK197" s="4">
        <v>20</v>
      </c>
      <c r="AL197" s="4">
        <v>34</v>
      </c>
      <c r="AM197" s="4">
        <v>57</v>
      </c>
      <c r="AN197" s="4">
        <v>0</v>
      </c>
      <c r="AO197" s="4">
        <v>0</v>
      </c>
      <c r="AP197" s="4">
        <v>16</v>
      </c>
      <c r="AQ197" s="4">
        <v>25</v>
      </c>
      <c r="AR197" s="3" t="s">
        <v>63</v>
      </c>
      <c r="AS197" s="3" t="s">
        <v>63</v>
      </c>
      <c r="AT197" s="3" t="s">
        <v>63</v>
      </c>
      <c r="AV197" s="6" t="str">
        <f>HYPERLINK("http://mcgill.on.worldcat.org/oclc/42437139","Catalog Record")</f>
        <v>Catalog Record</v>
      </c>
      <c r="AW197" s="6" t="str">
        <f>HYPERLINK("http://www.worldcat.org/oclc/42437139","WorldCat Record")</f>
        <v>WorldCat Record</v>
      </c>
      <c r="AX197" s="3" t="s">
        <v>2067</v>
      </c>
      <c r="AY197" s="3" t="s">
        <v>2081</v>
      </c>
      <c r="AZ197" s="3" t="s">
        <v>2082</v>
      </c>
      <c r="BA197" s="3" t="s">
        <v>2082</v>
      </c>
      <c r="BB197" s="3" t="s">
        <v>2087</v>
      </c>
      <c r="BC197" s="3" t="s">
        <v>82</v>
      </c>
      <c r="BD197" s="3" t="s">
        <v>70</v>
      </c>
      <c r="BE197" s="3" t="s">
        <v>2084</v>
      </c>
      <c r="BF197" s="3" t="s">
        <v>2087</v>
      </c>
      <c r="BG197" s="3" t="s">
        <v>2088</v>
      </c>
    </row>
    <row r="198" spans="1:59" ht="60" x14ac:dyDescent="0.25">
      <c r="A198" s="2" t="s">
        <v>59</v>
      </c>
      <c r="B198" s="2" t="s">
        <v>60</v>
      </c>
      <c r="C198" s="2" t="s">
        <v>2089</v>
      </c>
      <c r="D198" s="2" t="s">
        <v>2090</v>
      </c>
      <c r="E198" s="2" t="s">
        <v>2091</v>
      </c>
      <c r="G198" s="3" t="s">
        <v>63</v>
      </c>
      <c r="I198" s="3" t="s">
        <v>63</v>
      </c>
      <c r="J198" s="3" t="s">
        <v>62</v>
      </c>
      <c r="K198" s="3" t="s">
        <v>64</v>
      </c>
      <c r="L198" s="2" t="s">
        <v>2076</v>
      </c>
      <c r="M198" s="2" t="s">
        <v>2092</v>
      </c>
      <c r="N198" s="3" t="s">
        <v>629</v>
      </c>
      <c r="O198" s="2" t="s">
        <v>630</v>
      </c>
      <c r="P198" s="3" t="s">
        <v>66</v>
      </c>
      <c r="Q198" s="2" t="s">
        <v>2079</v>
      </c>
      <c r="R198" s="3" t="s">
        <v>67</v>
      </c>
      <c r="S198" s="4">
        <v>17</v>
      </c>
      <c r="T198" s="4">
        <v>17</v>
      </c>
      <c r="U198" s="5" t="s">
        <v>2093</v>
      </c>
      <c r="V198" s="5" t="s">
        <v>2093</v>
      </c>
      <c r="W198" s="5" t="s">
        <v>69</v>
      </c>
      <c r="X198" s="5" t="s">
        <v>69</v>
      </c>
      <c r="Y198" s="4">
        <v>140</v>
      </c>
      <c r="Z198" s="4">
        <v>13</v>
      </c>
      <c r="AA198" s="4">
        <v>41</v>
      </c>
      <c r="AB198" s="4">
        <v>1</v>
      </c>
      <c r="AC198" s="4">
        <v>7</v>
      </c>
      <c r="AD198" s="4">
        <v>48</v>
      </c>
      <c r="AE198" s="4">
        <v>119</v>
      </c>
      <c r="AF198" s="4">
        <v>0</v>
      </c>
      <c r="AG198" s="4">
        <v>3</v>
      </c>
      <c r="AH198" s="4">
        <v>44</v>
      </c>
      <c r="AI198" s="4">
        <v>102</v>
      </c>
      <c r="AJ198" s="4">
        <v>9</v>
      </c>
      <c r="AK198" s="4">
        <v>20</v>
      </c>
      <c r="AL198" s="4">
        <v>26</v>
      </c>
      <c r="AM198" s="4">
        <v>57</v>
      </c>
      <c r="AN198" s="4">
        <v>0</v>
      </c>
      <c r="AO198" s="4">
        <v>0</v>
      </c>
      <c r="AP198" s="4">
        <v>9</v>
      </c>
      <c r="AQ198" s="4">
        <v>25</v>
      </c>
      <c r="AR198" s="3" t="s">
        <v>63</v>
      </c>
      <c r="AS198" s="3" t="s">
        <v>63</v>
      </c>
      <c r="AT198" s="3" t="s">
        <v>63</v>
      </c>
      <c r="AV198" s="6" t="str">
        <f>HYPERLINK("http://mcgill.on.worldcat.org/oclc/633146402","Catalog Record")</f>
        <v>Catalog Record</v>
      </c>
      <c r="AW198" s="6" t="str">
        <f>HYPERLINK("http://www.worldcat.org/oclc/633146402","WorldCat Record")</f>
        <v>WorldCat Record</v>
      </c>
      <c r="AX198" s="3" t="s">
        <v>2067</v>
      </c>
      <c r="AY198" s="3" t="s">
        <v>2094</v>
      </c>
      <c r="AZ198" s="3" t="s">
        <v>2095</v>
      </c>
      <c r="BA198" s="3" t="s">
        <v>2095</v>
      </c>
      <c r="BB198" s="3" t="s">
        <v>2096</v>
      </c>
      <c r="BC198" s="3" t="s">
        <v>82</v>
      </c>
      <c r="BD198" s="3" t="s">
        <v>70</v>
      </c>
      <c r="BE198" s="3" t="s">
        <v>2097</v>
      </c>
      <c r="BF198" s="3" t="s">
        <v>2096</v>
      </c>
      <c r="BG198" s="3" t="s">
        <v>2098</v>
      </c>
    </row>
    <row r="199" spans="1:59" ht="60" x14ac:dyDescent="0.25">
      <c r="A199" s="2" t="s">
        <v>59</v>
      </c>
      <c r="B199" s="2" t="s">
        <v>60</v>
      </c>
      <c r="C199" s="2" t="s">
        <v>2099</v>
      </c>
      <c r="D199" s="2" t="s">
        <v>2100</v>
      </c>
      <c r="E199" s="2" t="s">
        <v>2101</v>
      </c>
      <c r="G199" s="3" t="s">
        <v>63</v>
      </c>
      <c r="I199" s="3" t="s">
        <v>63</v>
      </c>
      <c r="J199" s="3" t="s">
        <v>63</v>
      </c>
      <c r="K199" s="3" t="s">
        <v>64</v>
      </c>
      <c r="L199" s="2" t="s">
        <v>2064</v>
      </c>
      <c r="M199" s="2" t="s">
        <v>2102</v>
      </c>
      <c r="N199" s="3" t="s">
        <v>2103</v>
      </c>
      <c r="P199" s="3" t="s">
        <v>66</v>
      </c>
      <c r="R199" s="3" t="s">
        <v>67</v>
      </c>
      <c r="S199" s="4">
        <v>27</v>
      </c>
      <c r="T199" s="4">
        <v>27</v>
      </c>
      <c r="U199" s="5" t="s">
        <v>2104</v>
      </c>
      <c r="V199" s="5" t="s">
        <v>2104</v>
      </c>
      <c r="W199" s="5" t="s">
        <v>69</v>
      </c>
      <c r="X199" s="5" t="s">
        <v>69</v>
      </c>
      <c r="Y199" s="4">
        <v>276</v>
      </c>
      <c r="Z199" s="4">
        <v>15</v>
      </c>
      <c r="AA199" s="4">
        <v>15</v>
      </c>
      <c r="AB199" s="4">
        <v>3</v>
      </c>
      <c r="AC199" s="4">
        <v>3</v>
      </c>
      <c r="AD199" s="4">
        <v>81</v>
      </c>
      <c r="AE199" s="4">
        <v>81</v>
      </c>
      <c r="AF199" s="4">
        <v>0</v>
      </c>
      <c r="AG199" s="4">
        <v>0</v>
      </c>
      <c r="AH199" s="4">
        <v>74</v>
      </c>
      <c r="AI199" s="4">
        <v>74</v>
      </c>
      <c r="AJ199" s="4">
        <v>9</v>
      </c>
      <c r="AK199" s="4">
        <v>9</v>
      </c>
      <c r="AL199" s="4">
        <v>41</v>
      </c>
      <c r="AM199" s="4">
        <v>41</v>
      </c>
      <c r="AN199" s="4">
        <v>0</v>
      </c>
      <c r="AO199" s="4">
        <v>0</v>
      </c>
      <c r="AP199" s="4">
        <v>10</v>
      </c>
      <c r="AQ199" s="4">
        <v>10</v>
      </c>
      <c r="AR199" s="3" t="s">
        <v>63</v>
      </c>
      <c r="AS199" s="3" t="s">
        <v>63</v>
      </c>
      <c r="AT199" s="3" t="s">
        <v>63</v>
      </c>
      <c r="AV199" s="6" t="str">
        <f>HYPERLINK("http://mcgill.on.worldcat.org/oclc/59416831","Catalog Record")</f>
        <v>Catalog Record</v>
      </c>
      <c r="AW199" s="6" t="str">
        <f>HYPERLINK("http://www.worldcat.org/oclc/59416831","WorldCat Record")</f>
        <v>WorldCat Record</v>
      </c>
      <c r="AX199" s="3" t="s">
        <v>2105</v>
      </c>
      <c r="AY199" s="3" t="s">
        <v>2106</v>
      </c>
      <c r="AZ199" s="3" t="s">
        <v>2107</v>
      </c>
      <c r="BA199" s="3" t="s">
        <v>2107</v>
      </c>
      <c r="BB199" s="3" t="s">
        <v>2108</v>
      </c>
      <c r="BC199" s="3" t="s">
        <v>82</v>
      </c>
      <c r="BD199" s="3" t="s">
        <v>70</v>
      </c>
      <c r="BE199" s="3" t="s">
        <v>2109</v>
      </c>
      <c r="BF199" s="3" t="s">
        <v>2108</v>
      </c>
      <c r="BG199" s="3" t="s">
        <v>2110</v>
      </c>
    </row>
    <row r="200" spans="1:59" ht="60" x14ac:dyDescent="0.25">
      <c r="A200" s="2" t="s">
        <v>59</v>
      </c>
      <c r="B200" s="2" t="s">
        <v>60</v>
      </c>
      <c r="C200" s="2" t="s">
        <v>2111</v>
      </c>
      <c r="D200" s="2" t="s">
        <v>2112</v>
      </c>
      <c r="E200" s="2" t="s">
        <v>2113</v>
      </c>
      <c r="F200" s="3" t="s">
        <v>2114</v>
      </c>
      <c r="G200" s="3" t="s">
        <v>62</v>
      </c>
      <c r="I200" s="3" t="s">
        <v>63</v>
      </c>
      <c r="J200" s="3" t="s">
        <v>63</v>
      </c>
      <c r="K200" s="3" t="s">
        <v>64</v>
      </c>
      <c r="L200" s="2" t="s">
        <v>2115</v>
      </c>
      <c r="M200" s="2" t="s">
        <v>2116</v>
      </c>
      <c r="N200" s="3" t="s">
        <v>1010</v>
      </c>
      <c r="O200" s="2" t="s">
        <v>2117</v>
      </c>
      <c r="P200" s="3" t="s">
        <v>90</v>
      </c>
      <c r="R200" s="3" t="s">
        <v>67</v>
      </c>
      <c r="S200" s="4">
        <v>10</v>
      </c>
      <c r="T200" s="4">
        <v>14</v>
      </c>
      <c r="U200" s="5" t="s">
        <v>2118</v>
      </c>
      <c r="V200" s="5" t="s">
        <v>2118</v>
      </c>
      <c r="W200" s="5" t="s">
        <v>69</v>
      </c>
      <c r="X200" s="5" t="s">
        <v>69</v>
      </c>
      <c r="Y200" s="4">
        <v>13</v>
      </c>
      <c r="Z200" s="4">
        <v>2</v>
      </c>
      <c r="AA200" s="4">
        <v>2</v>
      </c>
      <c r="AB200" s="4">
        <v>1</v>
      </c>
      <c r="AC200" s="4">
        <v>1</v>
      </c>
      <c r="AD200" s="4">
        <v>9</v>
      </c>
      <c r="AE200" s="4">
        <v>9</v>
      </c>
      <c r="AF200" s="4">
        <v>0</v>
      </c>
      <c r="AG200" s="4">
        <v>0</v>
      </c>
      <c r="AH200" s="4">
        <v>8</v>
      </c>
      <c r="AI200" s="4">
        <v>8</v>
      </c>
      <c r="AJ200" s="4">
        <v>1</v>
      </c>
      <c r="AK200" s="4">
        <v>1</v>
      </c>
      <c r="AL200" s="4">
        <v>5</v>
      </c>
      <c r="AM200" s="4">
        <v>5</v>
      </c>
      <c r="AN200" s="4">
        <v>0</v>
      </c>
      <c r="AO200" s="4">
        <v>0</v>
      </c>
      <c r="AP200" s="4">
        <v>1</v>
      </c>
      <c r="AQ200" s="4">
        <v>1</v>
      </c>
      <c r="AR200" s="3" t="s">
        <v>63</v>
      </c>
      <c r="AS200" s="3" t="s">
        <v>63</v>
      </c>
      <c r="AT200" s="3" t="s">
        <v>63</v>
      </c>
      <c r="AV200" s="6" t="str">
        <f>HYPERLINK("http://mcgill.on.worldcat.org/oclc/5576533","Catalog Record")</f>
        <v>Catalog Record</v>
      </c>
      <c r="AW200" s="6" t="str">
        <f>HYPERLINK("http://www.worldcat.org/oclc/5576533","WorldCat Record")</f>
        <v>WorldCat Record</v>
      </c>
      <c r="AX200" s="3" t="s">
        <v>2119</v>
      </c>
      <c r="AY200" s="3" t="s">
        <v>2120</v>
      </c>
      <c r="AZ200" s="3" t="s">
        <v>2121</v>
      </c>
      <c r="BA200" s="3" t="s">
        <v>2121</v>
      </c>
      <c r="BB200" s="3" t="s">
        <v>2122</v>
      </c>
      <c r="BC200" s="3" t="s">
        <v>82</v>
      </c>
      <c r="BD200" s="3" t="s">
        <v>70</v>
      </c>
      <c r="BF200" s="3" t="s">
        <v>2122</v>
      </c>
      <c r="BG200" s="3" t="s">
        <v>2123</v>
      </c>
    </row>
    <row r="201" spans="1:59" ht="60" x14ac:dyDescent="0.25">
      <c r="A201" s="2" t="s">
        <v>59</v>
      </c>
      <c r="B201" s="2" t="s">
        <v>60</v>
      </c>
      <c r="C201" s="2" t="s">
        <v>2111</v>
      </c>
      <c r="D201" s="2" t="s">
        <v>2112</v>
      </c>
      <c r="E201" s="2" t="s">
        <v>2113</v>
      </c>
      <c r="F201" s="3" t="s">
        <v>2124</v>
      </c>
      <c r="G201" s="3" t="s">
        <v>62</v>
      </c>
      <c r="I201" s="3" t="s">
        <v>63</v>
      </c>
      <c r="J201" s="3" t="s">
        <v>63</v>
      </c>
      <c r="K201" s="3" t="s">
        <v>64</v>
      </c>
      <c r="L201" s="2" t="s">
        <v>2115</v>
      </c>
      <c r="M201" s="2" t="s">
        <v>2116</v>
      </c>
      <c r="N201" s="3" t="s">
        <v>1010</v>
      </c>
      <c r="O201" s="2" t="s">
        <v>2117</v>
      </c>
      <c r="P201" s="3" t="s">
        <v>90</v>
      </c>
      <c r="R201" s="3" t="s">
        <v>67</v>
      </c>
      <c r="S201" s="4">
        <v>4</v>
      </c>
      <c r="T201" s="4">
        <v>14</v>
      </c>
      <c r="U201" s="5" t="s">
        <v>2125</v>
      </c>
      <c r="V201" s="5" t="s">
        <v>2118</v>
      </c>
      <c r="W201" s="5" t="s">
        <v>69</v>
      </c>
      <c r="X201" s="5" t="s">
        <v>69</v>
      </c>
      <c r="Y201" s="4">
        <v>13</v>
      </c>
      <c r="Z201" s="4">
        <v>2</v>
      </c>
      <c r="AA201" s="4">
        <v>2</v>
      </c>
      <c r="AB201" s="4">
        <v>1</v>
      </c>
      <c r="AC201" s="4">
        <v>1</v>
      </c>
      <c r="AD201" s="4">
        <v>9</v>
      </c>
      <c r="AE201" s="4">
        <v>9</v>
      </c>
      <c r="AF201" s="4">
        <v>0</v>
      </c>
      <c r="AG201" s="4">
        <v>0</v>
      </c>
      <c r="AH201" s="4">
        <v>8</v>
      </c>
      <c r="AI201" s="4">
        <v>8</v>
      </c>
      <c r="AJ201" s="4">
        <v>1</v>
      </c>
      <c r="AK201" s="4">
        <v>1</v>
      </c>
      <c r="AL201" s="4">
        <v>5</v>
      </c>
      <c r="AM201" s="4">
        <v>5</v>
      </c>
      <c r="AN201" s="4">
        <v>0</v>
      </c>
      <c r="AO201" s="4">
        <v>0</v>
      </c>
      <c r="AP201" s="4">
        <v>1</v>
      </c>
      <c r="AQ201" s="4">
        <v>1</v>
      </c>
      <c r="AR201" s="3" t="s">
        <v>63</v>
      </c>
      <c r="AS201" s="3" t="s">
        <v>63</v>
      </c>
      <c r="AT201" s="3" t="s">
        <v>63</v>
      </c>
      <c r="AV201" s="6" t="str">
        <f>HYPERLINK("http://mcgill.on.worldcat.org/oclc/5576533","Catalog Record")</f>
        <v>Catalog Record</v>
      </c>
      <c r="AW201" s="6" t="str">
        <f>HYPERLINK("http://www.worldcat.org/oclc/5576533","WorldCat Record")</f>
        <v>WorldCat Record</v>
      </c>
      <c r="AX201" s="3" t="s">
        <v>2119</v>
      </c>
      <c r="AY201" s="3" t="s">
        <v>2120</v>
      </c>
      <c r="AZ201" s="3" t="s">
        <v>2121</v>
      </c>
      <c r="BA201" s="3" t="s">
        <v>2121</v>
      </c>
      <c r="BB201" s="3" t="s">
        <v>2126</v>
      </c>
      <c r="BC201" s="3" t="s">
        <v>82</v>
      </c>
      <c r="BD201" s="3" t="s">
        <v>70</v>
      </c>
      <c r="BF201" s="3" t="s">
        <v>2126</v>
      </c>
      <c r="BG201" s="3" t="s">
        <v>2127</v>
      </c>
    </row>
    <row r="202" spans="1:59" ht="60" x14ac:dyDescent="0.25">
      <c r="A202" s="2" t="s">
        <v>59</v>
      </c>
      <c r="B202" s="2" t="s">
        <v>60</v>
      </c>
      <c r="C202" s="2" t="s">
        <v>2128</v>
      </c>
      <c r="D202" s="2" t="s">
        <v>2129</v>
      </c>
      <c r="E202" s="2" t="s">
        <v>2130</v>
      </c>
      <c r="G202" s="3" t="s">
        <v>63</v>
      </c>
      <c r="I202" s="3" t="s">
        <v>63</v>
      </c>
      <c r="J202" s="3" t="s">
        <v>63</v>
      </c>
      <c r="K202" s="3" t="s">
        <v>64</v>
      </c>
      <c r="L202" s="2" t="s">
        <v>2131</v>
      </c>
      <c r="M202" s="2" t="s">
        <v>2132</v>
      </c>
      <c r="N202" s="3" t="s">
        <v>918</v>
      </c>
      <c r="P202" s="3" t="s">
        <v>66</v>
      </c>
      <c r="R202" s="3" t="s">
        <v>67</v>
      </c>
      <c r="S202" s="4">
        <v>29</v>
      </c>
      <c r="T202" s="4">
        <v>29</v>
      </c>
      <c r="U202" s="5" t="s">
        <v>2133</v>
      </c>
      <c r="V202" s="5" t="s">
        <v>2133</v>
      </c>
      <c r="W202" s="5" t="s">
        <v>69</v>
      </c>
      <c r="X202" s="5" t="s">
        <v>69</v>
      </c>
      <c r="Y202" s="4">
        <v>156</v>
      </c>
      <c r="Z202" s="4">
        <v>7</v>
      </c>
      <c r="AA202" s="4">
        <v>10</v>
      </c>
      <c r="AB202" s="4">
        <v>1</v>
      </c>
      <c r="AC202" s="4">
        <v>1</v>
      </c>
      <c r="AD202" s="4">
        <v>42</v>
      </c>
      <c r="AE202" s="4">
        <v>55</v>
      </c>
      <c r="AF202" s="4">
        <v>0</v>
      </c>
      <c r="AG202" s="4">
        <v>0</v>
      </c>
      <c r="AH202" s="4">
        <v>38</v>
      </c>
      <c r="AI202" s="4">
        <v>49</v>
      </c>
      <c r="AJ202" s="4">
        <v>5</v>
      </c>
      <c r="AK202" s="4">
        <v>8</v>
      </c>
      <c r="AL202" s="4">
        <v>24</v>
      </c>
      <c r="AM202" s="4">
        <v>29</v>
      </c>
      <c r="AN202" s="4">
        <v>0</v>
      </c>
      <c r="AO202" s="4">
        <v>0</v>
      </c>
      <c r="AP202" s="4">
        <v>5</v>
      </c>
      <c r="AQ202" s="4">
        <v>8</v>
      </c>
      <c r="AR202" s="3" t="s">
        <v>63</v>
      </c>
      <c r="AS202" s="3" t="s">
        <v>63</v>
      </c>
      <c r="AT202" s="3" t="s">
        <v>63</v>
      </c>
      <c r="AV202" s="6" t="str">
        <f>HYPERLINK("http://mcgill.on.worldcat.org/oclc/322248","Catalog Record")</f>
        <v>Catalog Record</v>
      </c>
      <c r="AW202" s="6" t="str">
        <f>HYPERLINK("http://www.worldcat.org/oclc/322248","WorldCat Record")</f>
        <v>WorldCat Record</v>
      </c>
      <c r="AX202" s="3" t="s">
        <v>2134</v>
      </c>
      <c r="AY202" s="3" t="s">
        <v>2135</v>
      </c>
      <c r="AZ202" s="3" t="s">
        <v>2136</v>
      </c>
      <c r="BA202" s="3" t="s">
        <v>2136</v>
      </c>
      <c r="BB202" s="3" t="s">
        <v>2137</v>
      </c>
      <c r="BC202" s="3" t="s">
        <v>82</v>
      </c>
      <c r="BD202" s="3" t="s">
        <v>70</v>
      </c>
      <c r="BF202" s="3" t="s">
        <v>2137</v>
      </c>
      <c r="BG202" s="3" t="s">
        <v>2138</v>
      </c>
    </row>
    <row r="203" spans="1:59" ht="60" x14ac:dyDescent="0.25">
      <c r="A203" s="2" t="s">
        <v>59</v>
      </c>
      <c r="B203" s="2" t="s">
        <v>60</v>
      </c>
      <c r="C203" s="2" t="s">
        <v>2139</v>
      </c>
      <c r="D203" s="2" t="s">
        <v>2140</v>
      </c>
      <c r="E203" s="2" t="s">
        <v>2141</v>
      </c>
      <c r="G203" s="3" t="s">
        <v>63</v>
      </c>
      <c r="I203" s="3" t="s">
        <v>63</v>
      </c>
      <c r="J203" s="3" t="s">
        <v>63</v>
      </c>
      <c r="K203" s="3" t="s">
        <v>64</v>
      </c>
      <c r="L203" s="2" t="s">
        <v>2142</v>
      </c>
      <c r="M203" s="2" t="s">
        <v>2143</v>
      </c>
      <c r="N203" s="3" t="s">
        <v>2144</v>
      </c>
      <c r="P203" s="3" t="s">
        <v>66</v>
      </c>
      <c r="R203" s="3" t="s">
        <v>67</v>
      </c>
      <c r="S203" s="4">
        <v>46</v>
      </c>
      <c r="T203" s="4">
        <v>46</v>
      </c>
      <c r="U203" s="5" t="s">
        <v>2145</v>
      </c>
      <c r="V203" s="5" t="s">
        <v>2145</v>
      </c>
      <c r="W203" s="5" t="s">
        <v>69</v>
      </c>
      <c r="X203" s="5" t="s">
        <v>69</v>
      </c>
      <c r="Y203" s="4">
        <v>244</v>
      </c>
      <c r="Z203" s="4">
        <v>17</v>
      </c>
      <c r="AA203" s="4">
        <v>19</v>
      </c>
      <c r="AB203" s="4">
        <v>3</v>
      </c>
      <c r="AC203" s="4">
        <v>3</v>
      </c>
      <c r="AD203" s="4">
        <v>50</v>
      </c>
      <c r="AE203" s="4">
        <v>62</v>
      </c>
      <c r="AF203" s="4">
        <v>2</v>
      </c>
      <c r="AG203" s="4">
        <v>2</v>
      </c>
      <c r="AH203" s="4">
        <v>43</v>
      </c>
      <c r="AI203" s="4">
        <v>54</v>
      </c>
      <c r="AJ203" s="4">
        <v>11</v>
      </c>
      <c r="AK203" s="4">
        <v>11</v>
      </c>
      <c r="AL203" s="4">
        <v>21</v>
      </c>
      <c r="AM203" s="4">
        <v>26</v>
      </c>
      <c r="AN203" s="4">
        <v>0</v>
      </c>
      <c r="AO203" s="4">
        <v>0</v>
      </c>
      <c r="AP203" s="4">
        <v>14</v>
      </c>
      <c r="AQ203" s="4">
        <v>15</v>
      </c>
      <c r="AR203" s="3" t="s">
        <v>63</v>
      </c>
      <c r="AS203" s="3" t="s">
        <v>63</v>
      </c>
      <c r="AT203" s="3" t="s">
        <v>63</v>
      </c>
      <c r="AV203" s="6" t="str">
        <f>HYPERLINK("http://mcgill.on.worldcat.org/oclc/1668862","Catalog Record")</f>
        <v>Catalog Record</v>
      </c>
      <c r="AW203" s="6" t="str">
        <f>HYPERLINK("http://www.worldcat.org/oclc/1668862","WorldCat Record")</f>
        <v>WorldCat Record</v>
      </c>
      <c r="AX203" s="3" t="s">
        <v>2146</v>
      </c>
      <c r="AY203" s="3" t="s">
        <v>2147</v>
      </c>
      <c r="AZ203" s="3" t="s">
        <v>2148</v>
      </c>
      <c r="BA203" s="3" t="s">
        <v>2148</v>
      </c>
      <c r="BB203" s="3" t="s">
        <v>2149</v>
      </c>
      <c r="BC203" s="3" t="s">
        <v>82</v>
      </c>
      <c r="BD203" s="3" t="s">
        <v>538</v>
      </c>
      <c r="BF203" s="3" t="s">
        <v>2149</v>
      </c>
      <c r="BG203" s="3" t="s">
        <v>2150</v>
      </c>
    </row>
    <row r="204" spans="1:59" ht="60" x14ac:dyDescent="0.25">
      <c r="A204" s="2" t="s">
        <v>59</v>
      </c>
      <c r="B204" s="2" t="s">
        <v>60</v>
      </c>
      <c r="C204" s="2" t="s">
        <v>2151</v>
      </c>
      <c r="D204" s="2" t="s">
        <v>2152</v>
      </c>
      <c r="E204" s="2" t="s">
        <v>2153</v>
      </c>
      <c r="F204" s="3" t="s">
        <v>2154</v>
      </c>
      <c r="G204" s="3" t="s">
        <v>63</v>
      </c>
      <c r="I204" s="3" t="s">
        <v>62</v>
      </c>
      <c r="J204" s="3" t="s">
        <v>63</v>
      </c>
      <c r="K204" s="3" t="s">
        <v>64</v>
      </c>
      <c r="L204" s="2" t="s">
        <v>2155</v>
      </c>
      <c r="M204" s="2" t="s">
        <v>2156</v>
      </c>
      <c r="N204" s="3" t="s">
        <v>1046</v>
      </c>
      <c r="P204" s="3" t="s">
        <v>66</v>
      </c>
      <c r="Q204" s="2" t="s">
        <v>2157</v>
      </c>
      <c r="R204" s="3" t="s">
        <v>67</v>
      </c>
      <c r="S204" s="4">
        <v>48</v>
      </c>
      <c r="T204" s="4">
        <v>84</v>
      </c>
      <c r="U204" s="5" t="s">
        <v>2066</v>
      </c>
      <c r="V204" s="5" t="s">
        <v>2066</v>
      </c>
      <c r="W204" s="5" t="s">
        <v>69</v>
      </c>
      <c r="X204" s="5" t="s">
        <v>69</v>
      </c>
      <c r="Y204" s="4">
        <v>354</v>
      </c>
      <c r="Z204" s="4">
        <v>10</v>
      </c>
      <c r="AA204" s="4">
        <v>11</v>
      </c>
      <c r="AB204" s="4">
        <v>1</v>
      </c>
      <c r="AC204" s="4">
        <v>1</v>
      </c>
      <c r="AD204" s="4">
        <v>40</v>
      </c>
      <c r="AE204" s="4">
        <v>47</v>
      </c>
      <c r="AF204" s="4">
        <v>0</v>
      </c>
      <c r="AG204" s="4">
        <v>0</v>
      </c>
      <c r="AH204" s="4">
        <v>36</v>
      </c>
      <c r="AI204" s="4">
        <v>43</v>
      </c>
      <c r="AJ204" s="4">
        <v>3</v>
      </c>
      <c r="AK204" s="4">
        <v>3</v>
      </c>
      <c r="AL204" s="4">
        <v>17</v>
      </c>
      <c r="AM204" s="4">
        <v>22</v>
      </c>
      <c r="AN204" s="4">
        <v>0</v>
      </c>
      <c r="AO204" s="4">
        <v>0</v>
      </c>
      <c r="AP204" s="4">
        <v>7</v>
      </c>
      <c r="AQ204" s="4">
        <v>7</v>
      </c>
      <c r="AR204" s="3" t="s">
        <v>63</v>
      </c>
      <c r="AS204" s="3" t="s">
        <v>63</v>
      </c>
      <c r="AT204" s="3" t="s">
        <v>63</v>
      </c>
      <c r="AV204" s="6" t="str">
        <f>HYPERLINK("http://mcgill.on.worldcat.org/oclc/1080515","Catalog Record")</f>
        <v>Catalog Record</v>
      </c>
      <c r="AW204" s="6" t="str">
        <f>HYPERLINK("http://www.worldcat.org/oclc/1080515","WorldCat Record")</f>
        <v>WorldCat Record</v>
      </c>
      <c r="AX204" s="3" t="s">
        <v>2158</v>
      </c>
      <c r="AY204" s="3" t="s">
        <v>2159</v>
      </c>
      <c r="AZ204" s="3" t="s">
        <v>2160</v>
      </c>
      <c r="BA204" s="3" t="s">
        <v>2160</v>
      </c>
      <c r="BB204" s="3" t="s">
        <v>2161</v>
      </c>
      <c r="BC204" s="3" t="s">
        <v>82</v>
      </c>
      <c r="BD204" s="3" t="s">
        <v>70</v>
      </c>
      <c r="BF204" s="3" t="s">
        <v>2161</v>
      </c>
      <c r="BG204" s="3" t="s">
        <v>2162</v>
      </c>
    </row>
    <row r="205" spans="1:59" ht="60" x14ac:dyDescent="0.25">
      <c r="A205" s="2" t="s">
        <v>59</v>
      </c>
      <c r="B205" s="2" t="s">
        <v>60</v>
      </c>
      <c r="C205" s="2" t="s">
        <v>2151</v>
      </c>
      <c r="D205" s="2" t="s">
        <v>2152</v>
      </c>
      <c r="E205" s="2" t="s">
        <v>2153</v>
      </c>
      <c r="G205" s="3" t="s">
        <v>63</v>
      </c>
      <c r="I205" s="3" t="s">
        <v>62</v>
      </c>
      <c r="J205" s="3" t="s">
        <v>63</v>
      </c>
      <c r="K205" s="3" t="s">
        <v>64</v>
      </c>
      <c r="L205" s="2" t="s">
        <v>2155</v>
      </c>
      <c r="M205" s="2" t="s">
        <v>2156</v>
      </c>
      <c r="N205" s="3" t="s">
        <v>1046</v>
      </c>
      <c r="P205" s="3" t="s">
        <v>66</v>
      </c>
      <c r="Q205" s="2" t="s">
        <v>2157</v>
      </c>
      <c r="R205" s="3" t="s">
        <v>67</v>
      </c>
      <c r="S205" s="4">
        <v>36</v>
      </c>
      <c r="T205" s="4">
        <v>84</v>
      </c>
      <c r="U205" s="5" t="s">
        <v>2163</v>
      </c>
      <c r="V205" s="5" t="s">
        <v>2066</v>
      </c>
      <c r="W205" s="5" t="s">
        <v>69</v>
      </c>
      <c r="X205" s="5" t="s">
        <v>69</v>
      </c>
      <c r="Y205" s="4">
        <v>354</v>
      </c>
      <c r="Z205" s="4">
        <v>10</v>
      </c>
      <c r="AA205" s="4">
        <v>11</v>
      </c>
      <c r="AB205" s="4">
        <v>1</v>
      </c>
      <c r="AC205" s="4">
        <v>1</v>
      </c>
      <c r="AD205" s="4">
        <v>40</v>
      </c>
      <c r="AE205" s="4">
        <v>47</v>
      </c>
      <c r="AF205" s="4">
        <v>0</v>
      </c>
      <c r="AG205" s="4">
        <v>0</v>
      </c>
      <c r="AH205" s="4">
        <v>36</v>
      </c>
      <c r="AI205" s="4">
        <v>43</v>
      </c>
      <c r="AJ205" s="4">
        <v>3</v>
      </c>
      <c r="AK205" s="4">
        <v>3</v>
      </c>
      <c r="AL205" s="4">
        <v>17</v>
      </c>
      <c r="AM205" s="4">
        <v>22</v>
      </c>
      <c r="AN205" s="4">
        <v>0</v>
      </c>
      <c r="AO205" s="4">
        <v>0</v>
      </c>
      <c r="AP205" s="4">
        <v>7</v>
      </c>
      <c r="AQ205" s="4">
        <v>7</v>
      </c>
      <c r="AR205" s="3" t="s">
        <v>63</v>
      </c>
      <c r="AS205" s="3" t="s">
        <v>63</v>
      </c>
      <c r="AT205" s="3" t="s">
        <v>63</v>
      </c>
      <c r="AV205" s="6" t="str">
        <f>HYPERLINK("http://mcgill.on.worldcat.org/oclc/1080515","Catalog Record")</f>
        <v>Catalog Record</v>
      </c>
      <c r="AW205" s="6" t="str">
        <f>HYPERLINK("http://www.worldcat.org/oclc/1080515","WorldCat Record")</f>
        <v>WorldCat Record</v>
      </c>
      <c r="AX205" s="3" t="s">
        <v>2158</v>
      </c>
      <c r="AY205" s="3" t="s">
        <v>2159</v>
      </c>
      <c r="AZ205" s="3" t="s">
        <v>2160</v>
      </c>
      <c r="BA205" s="3" t="s">
        <v>2160</v>
      </c>
      <c r="BB205" s="3" t="s">
        <v>2164</v>
      </c>
      <c r="BC205" s="3" t="s">
        <v>82</v>
      </c>
      <c r="BD205" s="3" t="s">
        <v>70</v>
      </c>
      <c r="BF205" s="3" t="s">
        <v>2164</v>
      </c>
      <c r="BG205" s="3" t="s">
        <v>2165</v>
      </c>
    </row>
    <row r="206" spans="1:59" ht="90" x14ac:dyDescent="0.25">
      <c r="A206" s="2" t="s">
        <v>59</v>
      </c>
      <c r="B206" s="2" t="s">
        <v>60</v>
      </c>
      <c r="C206" s="2" t="s">
        <v>2166</v>
      </c>
      <c r="D206" s="2" t="s">
        <v>2167</v>
      </c>
      <c r="E206" s="2" t="s">
        <v>2168</v>
      </c>
      <c r="G206" s="3" t="s">
        <v>63</v>
      </c>
      <c r="I206" s="3" t="s">
        <v>63</v>
      </c>
      <c r="J206" s="3" t="s">
        <v>62</v>
      </c>
      <c r="K206" s="3" t="s">
        <v>215</v>
      </c>
      <c r="L206" s="2" t="s">
        <v>2169</v>
      </c>
      <c r="M206" s="2" t="s">
        <v>2170</v>
      </c>
      <c r="N206" s="3" t="s">
        <v>300</v>
      </c>
      <c r="O206" s="2" t="s">
        <v>2171</v>
      </c>
      <c r="P206" s="3" t="s">
        <v>66</v>
      </c>
      <c r="R206" s="3" t="s">
        <v>67</v>
      </c>
      <c r="S206" s="4">
        <v>13</v>
      </c>
      <c r="T206" s="4">
        <v>13</v>
      </c>
      <c r="U206" s="5" t="s">
        <v>2133</v>
      </c>
      <c r="V206" s="5" t="s">
        <v>2133</v>
      </c>
      <c r="W206" s="5" t="s">
        <v>69</v>
      </c>
      <c r="X206" s="5" t="s">
        <v>69</v>
      </c>
      <c r="Y206" s="4">
        <v>229</v>
      </c>
      <c r="Z206" s="4">
        <v>14</v>
      </c>
      <c r="AA206" s="4">
        <v>37</v>
      </c>
      <c r="AB206" s="4">
        <v>1</v>
      </c>
      <c r="AC206" s="4">
        <v>2</v>
      </c>
      <c r="AD206" s="4">
        <v>64</v>
      </c>
      <c r="AE206" s="4">
        <v>107</v>
      </c>
      <c r="AF206" s="4">
        <v>0</v>
      </c>
      <c r="AG206" s="4">
        <v>1</v>
      </c>
      <c r="AH206" s="4">
        <v>57</v>
      </c>
      <c r="AI206" s="4">
        <v>89</v>
      </c>
      <c r="AJ206" s="4">
        <v>10</v>
      </c>
      <c r="AK206" s="4">
        <v>17</v>
      </c>
      <c r="AL206" s="4">
        <v>38</v>
      </c>
      <c r="AM206" s="4">
        <v>55</v>
      </c>
      <c r="AN206" s="4">
        <v>0</v>
      </c>
      <c r="AO206" s="4">
        <v>0</v>
      </c>
      <c r="AP206" s="4">
        <v>9</v>
      </c>
      <c r="AQ206" s="4">
        <v>21</v>
      </c>
      <c r="AR206" s="3" t="s">
        <v>63</v>
      </c>
      <c r="AS206" s="3" t="s">
        <v>63</v>
      </c>
      <c r="AT206" s="3" t="s">
        <v>62</v>
      </c>
      <c r="AU206" s="6" t="str">
        <f>HYPERLINK("http://catalog.hathitrust.org/Record/000980705","HathiTrust Record")</f>
        <v>HathiTrust Record</v>
      </c>
      <c r="AV206" s="6" t="str">
        <f>HYPERLINK("http://mcgill.on.worldcat.org/oclc/450819","Catalog Record")</f>
        <v>Catalog Record</v>
      </c>
      <c r="AW206" s="6" t="str">
        <f>HYPERLINK("http://www.worldcat.org/oclc/450819","WorldCat Record")</f>
        <v>WorldCat Record</v>
      </c>
      <c r="AX206" s="3" t="s">
        <v>2172</v>
      </c>
      <c r="AY206" s="3" t="s">
        <v>2173</v>
      </c>
      <c r="AZ206" s="3" t="s">
        <v>2174</v>
      </c>
      <c r="BA206" s="3" t="s">
        <v>2174</v>
      </c>
      <c r="BB206" s="3" t="s">
        <v>2175</v>
      </c>
      <c r="BC206" s="3" t="s">
        <v>82</v>
      </c>
      <c r="BD206" s="3" t="s">
        <v>70</v>
      </c>
      <c r="BF206" s="3" t="s">
        <v>2175</v>
      </c>
      <c r="BG206" s="3" t="s">
        <v>2176</v>
      </c>
    </row>
    <row r="207" spans="1:59" ht="60" x14ac:dyDescent="0.25">
      <c r="A207" s="2" t="s">
        <v>59</v>
      </c>
      <c r="B207" s="2" t="s">
        <v>60</v>
      </c>
      <c r="C207" s="2" t="s">
        <v>2177</v>
      </c>
      <c r="D207" s="2" t="s">
        <v>2178</v>
      </c>
      <c r="E207" s="2" t="s">
        <v>2179</v>
      </c>
      <c r="G207" s="3" t="s">
        <v>63</v>
      </c>
      <c r="I207" s="3" t="s">
        <v>63</v>
      </c>
      <c r="J207" s="3" t="s">
        <v>63</v>
      </c>
      <c r="K207" s="3" t="s">
        <v>64</v>
      </c>
      <c r="L207" s="2" t="s">
        <v>2180</v>
      </c>
      <c r="M207" s="2" t="s">
        <v>2181</v>
      </c>
      <c r="N207" s="3" t="s">
        <v>2182</v>
      </c>
      <c r="O207" s="2" t="s">
        <v>630</v>
      </c>
      <c r="P207" s="3" t="s">
        <v>66</v>
      </c>
      <c r="R207" s="3" t="s">
        <v>67</v>
      </c>
      <c r="S207" s="4">
        <v>30</v>
      </c>
      <c r="T207" s="4">
        <v>30</v>
      </c>
      <c r="U207" s="5" t="s">
        <v>2183</v>
      </c>
      <c r="V207" s="5" t="s">
        <v>2183</v>
      </c>
      <c r="W207" s="5" t="s">
        <v>69</v>
      </c>
      <c r="X207" s="5" t="s">
        <v>69</v>
      </c>
      <c r="Y207" s="4">
        <v>374</v>
      </c>
      <c r="Z207" s="4">
        <v>9</v>
      </c>
      <c r="AA207" s="4">
        <v>15</v>
      </c>
      <c r="AB207" s="4">
        <v>1</v>
      </c>
      <c r="AC207" s="4">
        <v>3</v>
      </c>
      <c r="AD207" s="4">
        <v>61</v>
      </c>
      <c r="AE207" s="4">
        <v>80</v>
      </c>
      <c r="AF207" s="4">
        <v>0</v>
      </c>
      <c r="AG207" s="4">
        <v>2</v>
      </c>
      <c r="AH207" s="4">
        <v>57</v>
      </c>
      <c r="AI207" s="4">
        <v>73</v>
      </c>
      <c r="AJ207" s="4">
        <v>6</v>
      </c>
      <c r="AK207" s="4">
        <v>10</v>
      </c>
      <c r="AL207" s="4">
        <v>30</v>
      </c>
      <c r="AM207" s="4">
        <v>44</v>
      </c>
      <c r="AN207" s="4">
        <v>0</v>
      </c>
      <c r="AO207" s="4">
        <v>0</v>
      </c>
      <c r="AP207" s="4">
        <v>7</v>
      </c>
      <c r="AQ207" s="4">
        <v>11</v>
      </c>
      <c r="AR207" s="3" t="s">
        <v>63</v>
      </c>
      <c r="AS207" s="3" t="s">
        <v>63</v>
      </c>
      <c r="AT207" s="3" t="s">
        <v>62</v>
      </c>
      <c r="AU207" s="6" t="str">
        <f>HYPERLINK("http://catalog.hathitrust.org/Record/000350096","HathiTrust Record")</f>
        <v>HathiTrust Record</v>
      </c>
      <c r="AV207" s="6" t="str">
        <f>HYPERLINK("http://mcgill.on.worldcat.org/oclc/234171217","Catalog Record")</f>
        <v>Catalog Record</v>
      </c>
      <c r="AW207" s="6" t="str">
        <f>HYPERLINK("http://www.worldcat.org/oclc/234171217","WorldCat Record")</f>
        <v>WorldCat Record</v>
      </c>
      <c r="AX207" s="3" t="s">
        <v>2184</v>
      </c>
      <c r="AY207" s="3" t="s">
        <v>2185</v>
      </c>
      <c r="AZ207" s="3" t="s">
        <v>2186</v>
      </c>
      <c r="BA207" s="3" t="s">
        <v>2186</v>
      </c>
      <c r="BB207" s="3" t="s">
        <v>2187</v>
      </c>
      <c r="BC207" s="3" t="s">
        <v>82</v>
      </c>
      <c r="BD207" s="3" t="s">
        <v>70</v>
      </c>
      <c r="BF207" s="3" t="s">
        <v>2187</v>
      </c>
      <c r="BG207" s="3" t="s">
        <v>2188</v>
      </c>
    </row>
    <row r="208" spans="1:59" ht="105" x14ac:dyDescent="0.25">
      <c r="A208" s="2" t="s">
        <v>59</v>
      </c>
      <c r="B208" s="2" t="s">
        <v>60</v>
      </c>
      <c r="C208" s="2" t="s">
        <v>2189</v>
      </c>
      <c r="D208" s="2" t="s">
        <v>2190</v>
      </c>
      <c r="E208" s="2" t="s">
        <v>2191</v>
      </c>
      <c r="G208" s="3" t="s">
        <v>63</v>
      </c>
      <c r="I208" s="3" t="s">
        <v>63</v>
      </c>
      <c r="J208" s="3" t="s">
        <v>62</v>
      </c>
      <c r="K208" s="3" t="s">
        <v>64</v>
      </c>
      <c r="L208" s="2" t="s">
        <v>2192</v>
      </c>
      <c r="M208" s="2" t="s">
        <v>2193</v>
      </c>
      <c r="N208" s="3" t="s">
        <v>1010</v>
      </c>
      <c r="O208" s="2" t="s">
        <v>2194</v>
      </c>
      <c r="P208" s="3" t="s">
        <v>66</v>
      </c>
      <c r="R208" s="3" t="s">
        <v>67</v>
      </c>
      <c r="S208" s="4">
        <v>11</v>
      </c>
      <c r="T208" s="4">
        <v>11</v>
      </c>
      <c r="U208" s="5" t="s">
        <v>2195</v>
      </c>
      <c r="V208" s="5" t="s">
        <v>2195</v>
      </c>
      <c r="W208" s="5" t="s">
        <v>69</v>
      </c>
      <c r="X208" s="5" t="s">
        <v>69</v>
      </c>
      <c r="Y208" s="4">
        <v>1</v>
      </c>
      <c r="Z208" s="4">
        <v>1</v>
      </c>
      <c r="AA208" s="4">
        <v>8</v>
      </c>
      <c r="AB208" s="4">
        <v>1</v>
      </c>
      <c r="AC208" s="4">
        <v>1</v>
      </c>
      <c r="AD208" s="4">
        <v>0</v>
      </c>
      <c r="AE208" s="4">
        <v>36</v>
      </c>
      <c r="AF208" s="4">
        <v>0</v>
      </c>
      <c r="AG208" s="4">
        <v>0</v>
      </c>
      <c r="AH208" s="4">
        <v>0</v>
      </c>
      <c r="AI208" s="4">
        <v>30</v>
      </c>
      <c r="AJ208" s="4">
        <v>0</v>
      </c>
      <c r="AK208" s="4">
        <v>7</v>
      </c>
      <c r="AL208" s="4">
        <v>0</v>
      </c>
      <c r="AM208" s="4">
        <v>20</v>
      </c>
      <c r="AN208" s="4">
        <v>0</v>
      </c>
      <c r="AO208" s="4">
        <v>0</v>
      </c>
      <c r="AP208" s="4">
        <v>0</v>
      </c>
      <c r="AQ208" s="4">
        <v>7</v>
      </c>
      <c r="AR208" s="3" t="s">
        <v>63</v>
      </c>
      <c r="AS208" s="3" t="s">
        <v>63</v>
      </c>
      <c r="AT208" s="3" t="s">
        <v>63</v>
      </c>
      <c r="AV208" s="6" t="str">
        <f>HYPERLINK("http://mcgill.on.worldcat.org/oclc/427569321","Catalog Record")</f>
        <v>Catalog Record</v>
      </c>
      <c r="AW208" s="6" t="str">
        <f>HYPERLINK("http://www.worldcat.org/oclc/427569321","WorldCat Record")</f>
        <v>WorldCat Record</v>
      </c>
      <c r="AX208" s="3" t="s">
        <v>2196</v>
      </c>
      <c r="AY208" s="3" t="s">
        <v>2197</v>
      </c>
      <c r="AZ208" s="3" t="s">
        <v>2198</v>
      </c>
      <c r="BA208" s="3" t="s">
        <v>2198</v>
      </c>
      <c r="BB208" s="3" t="s">
        <v>2199</v>
      </c>
      <c r="BC208" s="3" t="s">
        <v>82</v>
      </c>
      <c r="BD208" s="3" t="s">
        <v>70</v>
      </c>
      <c r="BF208" s="3" t="s">
        <v>2199</v>
      </c>
      <c r="BG208" s="3" t="s">
        <v>2200</v>
      </c>
    </row>
    <row r="209" spans="1:59" ht="60" x14ac:dyDescent="0.25">
      <c r="A209" s="2" t="s">
        <v>59</v>
      </c>
      <c r="B209" s="2" t="s">
        <v>60</v>
      </c>
      <c r="C209" s="2" t="s">
        <v>2201</v>
      </c>
      <c r="D209" s="2" t="s">
        <v>2202</v>
      </c>
      <c r="E209" s="2" t="s">
        <v>2203</v>
      </c>
      <c r="G209" s="3" t="s">
        <v>63</v>
      </c>
      <c r="I209" s="3" t="s">
        <v>63</v>
      </c>
      <c r="J209" s="3" t="s">
        <v>63</v>
      </c>
      <c r="K209" s="3" t="s">
        <v>64</v>
      </c>
      <c r="L209" s="2" t="s">
        <v>399</v>
      </c>
      <c r="M209" s="2" t="s">
        <v>2204</v>
      </c>
      <c r="N209" s="3" t="s">
        <v>2182</v>
      </c>
      <c r="P209" s="3" t="s">
        <v>66</v>
      </c>
      <c r="R209" s="3" t="s">
        <v>67</v>
      </c>
      <c r="S209" s="4">
        <v>3</v>
      </c>
      <c r="T209" s="4">
        <v>3</v>
      </c>
      <c r="U209" s="5" t="s">
        <v>988</v>
      </c>
      <c r="V209" s="5" t="s">
        <v>988</v>
      </c>
      <c r="W209" s="5" t="s">
        <v>69</v>
      </c>
      <c r="X209" s="5" t="s">
        <v>69</v>
      </c>
      <c r="Y209" s="4">
        <v>210</v>
      </c>
      <c r="Z209" s="4">
        <v>11</v>
      </c>
      <c r="AA209" s="4">
        <v>28</v>
      </c>
      <c r="AB209" s="4">
        <v>1</v>
      </c>
      <c r="AC209" s="4">
        <v>5</v>
      </c>
      <c r="AD209" s="4">
        <v>51</v>
      </c>
      <c r="AE209" s="4">
        <v>106</v>
      </c>
      <c r="AF209" s="4">
        <v>0</v>
      </c>
      <c r="AG209" s="4">
        <v>3</v>
      </c>
      <c r="AH209" s="4">
        <v>47</v>
      </c>
      <c r="AI209" s="4">
        <v>93</v>
      </c>
      <c r="AJ209" s="4">
        <v>5</v>
      </c>
      <c r="AK209" s="4">
        <v>15</v>
      </c>
      <c r="AL209" s="4">
        <v>28</v>
      </c>
      <c r="AM209" s="4">
        <v>54</v>
      </c>
      <c r="AN209" s="4">
        <v>0</v>
      </c>
      <c r="AO209" s="4">
        <v>5</v>
      </c>
      <c r="AP209" s="4">
        <v>6</v>
      </c>
      <c r="AQ209" s="4">
        <v>18</v>
      </c>
      <c r="AR209" s="3" t="s">
        <v>63</v>
      </c>
      <c r="AS209" s="3" t="s">
        <v>63</v>
      </c>
      <c r="AT209" s="3" t="s">
        <v>63</v>
      </c>
      <c r="AV209" s="6" t="str">
        <f>HYPERLINK("http://mcgill.on.worldcat.org/oclc/322689","Catalog Record")</f>
        <v>Catalog Record</v>
      </c>
      <c r="AW209" s="6" t="str">
        <f>HYPERLINK("http://www.worldcat.org/oclc/322689","WorldCat Record")</f>
        <v>WorldCat Record</v>
      </c>
      <c r="AX209" s="3" t="s">
        <v>2205</v>
      </c>
      <c r="AY209" s="3" t="s">
        <v>2206</v>
      </c>
      <c r="AZ209" s="3" t="s">
        <v>2207</v>
      </c>
      <c r="BA209" s="3" t="s">
        <v>2207</v>
      </c>
      <c r="BB209" s="3" t="s">
        <v>2208</v>
      </c>
      <c r="BC209" s="3" t="s">
        <v>82</v>
      </c>
      <c r="BD209" s="3" t="s">
        <v>70</v>
      </c>
      <c r="BF209" s="3" t="s">
        <v>2208</v>
      </c>
      <c r="BG209" s="3" t="s">
        <v>2209</v>
      </c>
    </row>
    <row r="210" spans="1:59" ht="60" x14ac:dyDescent="0.25">
      <c r="A210" s="2" t="s">
        <v>59</v>
      </c>
      <c r="B210" s="2" t="s">
        <v>60</v>
      </c>
      <c r="C210" s="2" t="s">
        <v>2210</v>
      </c>
      <c r="D210" s="2" t="s">
        <v>2211</v>
      </c>
      <c r="E210" s="2" t="s">
        <v>2212</v>
      </c>
      <c r="G210" s="3" t="s">
        <v>63</v>
      </c>
      <c r="I210" s="3" t="s">
        <v>63</v>
      </c>
      <c r="J210" s="3" t="s">
        <v>63</v>
      </c>
      <c r="K210" s="3" t="s">
        <v>64</v>
      </c>
      <c r="L210" s="2" t="s">
        <v>2213</v>
      </c>
      <c r="M210" s="2" t="s">
        <v>2214</v>
      </c>
      <c r="N210" s="3" t="s">
        <v>758</v>
      </c>
      <c r="P210" s="3" t="s">
        <v>66</v>
      </c>
      <c r="R210" s="3" t="s">
        <v>67</v>
      </c>
      <c r="S210" s="4">
        <v>1</v>
      </c>
      <c r="T210" s="4">
        <v>1</v>
      </c>
      <c r="U210" s="5" t="s">
        <v>1961</v>
      </c>
      <c r="V210" s="5" t="s">
        <v>1961</v>
      </c>
      <c r="W210" s="5" t="s">
        <v>69</v>
      </c>
      <c r="X210" s="5" t="s">
        <v>69</v>
      </c>
      <c r="Y210" s="4">
        <v>29</v>
      </c>
      <c r="Z210" s="4">
        <v>3</v>
      </c>
      <c r="AA210" s="4">
        <v>3</v>
      </c>
      <c r="AB210" s="4">
        <v>1</v>
      </c>
      <c r="AC210" s="4">
        <v>1</v>
      </c>
      <c r="AD210" s="4">
        <v>8</v>
      </c>
      <c r="AE210" s="4">
        <v>8</v>
      </c>
      <c r="AF210" s="4">
        <v>0</v>
      </c>
      <c r="AG210" s="4">
        <v>0</v>
      </c>
      <c r="AH210" s="4">
        <v>7</v>
      </c>
      <c r="AI210" s="4">
        <v>7</v>
      </c>
      <c r="AJ210" s="4">
        <v>1</v>
      </c>
      <c r="AK210" s="4">
        <v>1</v>
      </c>
      <c r="AL210" s="4">
        <v>6</v>
      </c>
      <c r="AM210" s="4">
        <v>6</v>
      </c>
      <c r="AN210" s="4">
        <v>0</v>
      </c>
      <c r="AO210" s="4">
        <v>0</v>
      </c>
      <c r="AP210" s="4">
        <v>2</v>
      </c>
      <c r="AQ210" s="4">
        <v>2</v>
      </c>
      <c r="AR210" s="3" t="s">
        <v>63</v>
      </c>
      <c r="AS210" s="3" t="s">
        <v>63</v>
      </c>
      <c r="AT210" s="3" t="s">
        <v>62</v>
      </c>
      <c r="AU210" s="6" t="str">
        <f>HYPERLINK("http://catalog.hathitrust.org/Record/006615861","HathiTrust Record")</f>
        <v>HathiTrust Record</v>
      </c>
      <c r="AV210" s="6" t="str">
        <f>HYPERLINK("http://mcgill.on.worldcat.org/oclc/6743686","Catalog Record")</f>
        <v>Catalog Record</v>
      </c>
      <c r="AW210" s="6" t="str">
        <f>HYPERLINK("http://www.worldcat.org/oclc/6743686","WorldCat Record")</f>
        <v>WorldCat Record</v>
      </c>
      <c r="AX210" s="3" t="s">
        <v>2215</v>
      </c>
      <c r="AY210" s="3" t="s">
        <v>2216</v>
      </c>
      <c r="AZ210" s="3" t="s">
        <v>2217</v>
      </c>
      <c r="BA210" s="3" t="s">
        <v>2217</v>
      </c>
      <c r="BB210" s="3" t="s">
        <v>2218</v>
      </c>
      <c r="BC210" s="3" t="s">
        <v>82</v>
      </c>
      <c r="BD210" s="3" t="s">
        <v>70</v>
      </c>
      <c r="BF210" s="3" t="s">
        <v>2218</v>
      </c>
      <c r="BG210" s="3" t="s">
        <v>2219</v>
      </c>
    </row>
    <row r="211" spans="1:59" ht="60" x14ac:dyDescent="0.25">
      <c r="A211" s="2" t="s">
        <v>59</v>
      </c>
      <c r="B211" s="2" t="s">
        <v>60</v>
      </c>
      <c r="C211" s="2" t="s">
        <v>2220</v>
      </c>
      <c r="D211" s="2" t="s">
        <v>2221</v>
      </c>
      <c r="E211" s="2" t="s">
        <v>2222</v>
      </c>
      <c r="G211" s="3" t="s">
        <v>63</v>
      </c>
      <c r="I211" s="3" t="s">
        <v>63</v>
      </c>
      <c r="J211" s="3" t="s">
        <v>63</v>
      </c>
      <c r="K211" s="3" t="s">
        <v>64</v>
      </c>
      <c r="L211" s="2" t="s">
        <v>2223</v>
      </c>
      <c r="M211" s="2" t="s">
        <v>2224</v>
      </c>
      <c r="N211" s="3" t="s">
        <v>2225</v>
      </c>
      <c r="P211" s="3" t="s">
        <v>90</v>
      </c>
      <c r="Q211" s="2" t="s">
        <v>2226</v>
      </c>
      <c r="R211" s="3" t="s">
        <v>67</v>
      </c>
      <c r="S211" s="4">
        <v>2</v>
      </c>
      <c r="T211" s="4">
        <v>2</v>
      </c>
      <c r="U211" s="5" t="s">
        <v>2227</v>
      </c>
      <c r="V211" s="5" t="s">
        <v>2227</v>
      </c>
      <c r="W211" s="5" t="s">
        <v>69</v>
      </c>
      <c r="X211" s="5" t="s">
        <v>69</v>
      </c>
      <c r="Y211" s="4">
        <v>26</v>
      </c>
      <c r="Z211" s="4">
        <v>2</v>
      </c>
      <c r="AA211" s="4">
        <v>2</v>
      </c>
      <c r="AB211" s="4">
        <v>1</v>
      </c>
      <c r="AC211" s="4">
        <v>1</v>
      </c>
      <c r="AD211" s="4">
        <v>11</v>
      </c>
      <c r="AE211" s="4">
        <v>11</v>
      </c>
      <c r="AF211" s="4">
        <v>0</v>
      </c>
      <c r="AG211" s="4">
        <v>0</v>
      </c>
      <c r="AH211" s="4">
        <v>11</v>
      </c>
      <c r="AI211" s="4">
        <v>11</v>
      </c>
      <c r="AJ211" s="4">
        <v>1</v>
      </c>
      <c r="AK211" s="4">
        <v>1</v>
      </c>
      <c r="AL211" s="4">
        <v>6</v>
      </c>
      <c r="AM211" s="4">
        <v>6</v>
      </c>
      <c r="AN211" s="4">
        <v>0</v>
      </c>
      <c r="AO211" s="4">
        <v>0</v>
      </c>
      <c r="AP211" s="4">
        <v>1</v>
      </c>
      <c r="AQ211" s="4">
        <v>1</v>
      </c>
      <c r="AR211" s="3" t="s">
        <v>63</v>
      </c>
      <c r="AS211" s="3" t="s">
        <v>63</v>
      </c>
      <c r="AT211" s="3" t="s">
        <v>62</v>
      </c>
      <c r="AU211" s="6" t="str">
        <f>HYPERLINK("http://catalog.hathitrust.org/Record/009534187","HathiTrust Record")</f>
        <v>HathiTrust Record</v>
      </c>
      <c r="AV211" s="6" t="str">
        <f>HYPERLINK("http://mcgill.on.worldcat.org/oclc/5235159","Catalog Record")</f>
        <v>Catalog Record</v>
      </c>
      <c r="AW211" s="6" t="str">
        <f>HYPERLINK("http://www.worldcat.org/oclc/5235159","WorldCat Record")</f>
        <v>WorldCat Record</v>
      </c>
      <c r="AX211" s="3" t="s">
        <v>2228</v>
      </c>
      <c r="AY211" s="3" t="s">
        <v>2229</v>
      </c>
      <c r="AZ211" s="3" t="s">
        <v>2230</v>
      </c>
      <c r="BA211" s="3" t="s">
        <v>2230</v>
      </c>
      <c r="BB211" s="3" t="s">
        <v>2231</v>
      </c>
      <c r="BC211" s="3" t="s">
        <v>82</v>
      </c>
      <c r="BD211" s="3" t="s">
        <v>70</v>
      </c>
      <c r="BF211" s="3" t="s">
        <v>2231</v>
      </c>
      <c r="BG211" s="3" t="s">
        <v>2232</v>
      </c>
    </row>
    <row r="212" spans="1:59" ht="90" x14ac:dyDescent="0.25">
      <c r="A212" s="2" t="s">
        <v>59</v>
      </c>
      <c r="B212" s="2" t="s">
        <v>60</v>
      </c>
      <c r="C212" s="2" t="s">
        <v>2233</v>
      </c>
      <c r="D212" s="2" t="s">
        <v>2234</v>
      </c>
      <c r="E212" s="2" t="s">
        <v>2235</v>
      </c>
      <c r="G212" s="3" t="s">
        <v>63</v>
      </c>
      <c r="I212" s="3" t="s">
        <v>63</v>
      </c>
      <c r="J212" s="3" t="s">
        <v>62</v>
      </c>
      <c r="K212" s="3" t="s">
        <v>64</v>
      </c>
      <c r="L212" s="2" t="s">
        <v>2236</v>
      </c>
      <c r="M212" s="2" t="s">
        <v>2237</v>
      </c>
      <c r="N212" s="3" t="s">
        <v>2238</v>
      </c>
      <c r="P212" s="3" t="s">
        <v>66</v>
      </c>
      <c r="R212" s="3" t="s">
        <v>67</v>
      </c>
      <c r="S212" s="4">
        <v>6</v>
      </c>
      <c r="T212" s="4">
        <v>6</v>
      </c>
      <c r="U212" s="5" t="s">
        <v>2239</v>
      </c>
      <c r="V212" s="5" t="s">
        <v>2239</v>
      </c>
      <c r="W212" s="5" t="s">
        <v>69</v>
      </c>
      <c r="X212" s="5" t="s">
        <v>69</v>
      </c>
      <c r="Y212" s="4">
        <v>1</v>
      </c>
      <c r="Z212" s="4">
        <v>1</v>
      </c>
      <c r="AA212" s="4">
        <v>12</v>
      </c>
      <c r="AB212" s="4">
        <v>1</v>
      </c>
      <c r="AC212" s="4">
        <v>2</v>
      </c>
      <c r="AD212" s="4">
        <v>0</v>
      </c>
      <c r="AE212" s="4">
        <v>16</v>
      </c>
      <c r="AF212" s="4">
        <v>0</v>
      </c>
      <c r="AG212" s="4">
        <v>0</v>
      </c>
      <c r="AH212" s="4">
        <v>0</v>
      </c>
      <c r="AI212" s="4">
        <v>13</v>
      </c>
      <c r="AJ212" s="4">
        <v>0</v>
      </c>
      <c r="AK212" s="4">
        <v>4</v>
      </c>
      <c r="AL212" s="4">
        <v>0</v>
      </c>
      <c r="AM212" s="4">
        <v>8</v>
      </c>
      <c r="AN212" s="4">
        <v>0</v>
      </c>
      <c r="AO212" s="4">
        <v>0</v>
      </c>
      <c r="AP212" s="4">
        <v>0</v>
      </c>
      <c r="AQ212" s="4">
        <v>6</v>
      </c>
      <c r="AR212" s="3" t="s">
        <v>63</v>
      </c>
      <c r="AS212" s="3" t="s">
        <v>63</v>
      </c>
      <c r="AT212" s="3" t="s">
        <v>63</v>
      </c>
      <c r="AV212" s="6" t="str">
        <f>HYPERLINK("http://mcgill.on.worldcat.org/oclc/427545577","Catalog Record")</f>
        <v>Catalog Record</v>
      </c>
      <c r="AW212" s="6" t="str">
        <f>HYPERLINK("http://www.worldcat.org/oclc/427545577","WorldCat Record")</f>
        <v>WorldCat Record</v>
      </c>
      <c r="AX212" s="3" t="s">
        <v>2240</v>
      </c>
      <c r="AY212" s="3" t="s">
        <v>2241</v>
      </c>
      <c r="AZ212" s="3" t="s">
        <v>2242</v>
      </c>
      <c r="BA212" s="3" t="s">
        <v>2242</v>
      </c>
      <c r="BB212" s="3" t="s">
        <v>2243</v>
      </c>
      <c r="BC212" s="3" t="s">
        <v>82</v>
      </c>
      <c r="BD212" s="3" t="s">
        <v>70</v>
      </c>
      <c r="BF212" s="3" t="s">
        <v>2243</v>
      </c>
      <c r="BG212" s="3" t="s">
        <v>2244</v>
      </c>
    </row>
    <row r="213" spans="1:59" ht="60" x14ac:dyDescent="0.25">
      <c r="A213" s="2" t="s">
        <v>59</v>
      </c>
      <c r="B213" s="2" t="s">
        <v>60</v>
      </c>
      <c r="C213" s="2" t="s">
        <v>2245</v>
      </c>
      <c r="D213" s="2" t="s">
        <v>2246</v>
      </c>
      <c r="E213" s="2" t="s">
        <v>2247</v>
      </c>
      <c r="G213" s="3" t="s">
        <v>63</v>
      </c>
      <c r="I213" s="3" t="s">
        <v>63</v>
      </c>
      <c r="J213" s="3" t="s">
        <v>63</v>
      </c>
      <c r="K213" s="3" t="s">
        <v>64</v>
      </c>
      <c r="M213" s="2" t="s">
        <v>2248</v>
      </c>
      <c r="N213" s="3" t="s">
        <v>2249</v>
      </c>
      <c r="P213" s="3" t="s">
        <v>66</v>
      </c>
      <c r="R213" s="3" t="s">
        <v>67</v>
      </c>
      <c r="S213" s="4">
        <v>14</v>
      </c>
      <c r="T213" s="4">
        <v>14</v>
      </c>
      <c r="U213" s="5" t="s">
        <v>2250</v>
      </c>
      <c r="V213" s="5" t="s">
        <v>2250</v>
      </c>
      <c r="W213" s="5" t="s">
        <v>69</v>
      </c>
      <c r="X213" s="5" t="s">
        <v>69</v>
      </c>
      <c r="Y213" s="4">
        <v>8</v>
      </c>
      <c r="Z213" s="4">
        <v>2</v>
      </c>
      <c r="AA213" s="4">
        <v>2</v>
      </c>
      <c r="AB213" s="4">
        <v>1</v>
      </c>
      <c r="AC213" s="4">
        <v>1</v>
      </c>
      <c r="AD213" s="4">
        <v>3</v>
      </c>
      <c r="AE213" s="4">
        <v>3</v>
      </c>
      <c r="AF213" s="4">
        <v>0</v>
      </c>
      <c r="AG213" s="4">
        <v>0</v>
      </c>
      <c r="AH213" s="4">
        <v>3</v>
      </c>
      <c r="AI213" s="4">
        <v>3</v>
      </c>
      <c r="AJ213" s="4">
        <v>1</v>
      </c>
      <c r="AK213" s="4">
        <v>1</v>
      </c>
      <c r="AL213" s="4">
        <v>1</v>
      </c>
      <c r="AM213" s="4">
        <v>1</v>
      </c>
      <c r="AN213" s="4">
        <v>0</v>
      </c>
      <c r="AO213" s="4">
        <v>0</v>
      </c>
      <c r="AP213" s="4">
        <v>1</v>
      </c>
      <c r="AQ213" s="4">
        <v>1</v>
      </c>
      <c r="AR213" s="3" t="s">
        <v>63</v>
      </c>
      <c r="AS213" s="3" t="s">
        <v>63</v>
      </c>
      <c r="AT213" s="3" t="s">
        <v>63</v>
      </c>
      <c r="AV213" s="6" t="str">
        <f>HYPERLINK("http://mcgill.on.worldcat.org/oclc/7768131","Catalog Record")</f>
        <v>Catalog Record</v>
      </c>
      <c r="AW213" s="6" t="str">
        <f>HYPERLINK("http://www.worldcat.org/oclc/7768131","WorldCat Record")</f>
        <v>WorldCat Record</v>
      </c>
      <c r="AX213" s="3" t="s">
        <v>2251</v>
      </c>
      <c r="AY213" s="3" t="s">
        <v>2252</v>
      </c>
      <c r="AZ213" s="3" t="s">
        <v>2253</v>
      </c>
      <c r="BA213" s="3" t="s">
        <v>2253</v>
      </c>
      <c r="BB213" s="3" t="s">
        <v>2254</v>
      </c>
      <c r="BC213" s="3" t="s">
        <v>82</v>
      </c>
      <c r="BD213" s="3" t="s">
        <v>70</v>
      </c>
      <c r="BF213" s="3" t="s">
        <v>2254</v>
      </c>
      <c r="BG213" s="3" t="s">
        <v>2255</v>
      </c>
    </row>
    <row r="214" spans="1:59" ht="60" x14ac:dyDescent="0.25">
      <c r="A214" s="2" t="s">
        <v>59</v>
      </c>
      <c r="B214" s="2" t="s">
        <v>60</v>
      </c>
      <c r="C214" s="2" t="s">
        <v>2256</v>
      </c>
      <c r="D214" s="2" t="s">
        <v>2257</v>
      </c>
      <c r="E214" s="2" t="s">
        <v>2258</v>
      </c>
      <c r="G214" s="3" t="s">
        <v>63</v>
      </c>
      <c r="I214" s="3" t="s">
        <v>63</v>
      </c>
      <c r="J214" s="3" t="s">
        <v>63</v>
      </c>
      <c r="K214" s="3" t="s">
        <v>64</v>
      </c>
      <c r="L214" s="2" t="s">
        <v>2259</v>
      </c>
      <c r="M214" s="2" t="s">
        <v>2260</v>
      </c>
      <c r="N214" s="3" t="s">
        <v>1046</v>
      </c>
      <c r="P214" s="3" t="s">
        <v>90</v>
      </c>
      <c r="R214" s="3" t="s">
        <v>67</v>
      </c>
      <c r="S214" s="4">
        <v>11</v>
      </c>
      <c r="T214" s="4">
        <v>11</v>
      </c>
      <c r="U214" s="5" t="s">
        <v>2080</v>
      </c>
      <c r="V214" s="5" t="s">
        <v>2080</v>
      </c>
      <c r="W214" s="5" t="s">
        <v>69</v>
      </c>
      <c r="X214" s="5" t="s">
        <v>69</v>
      </c>
      <c r="Y214" s="4">
        <v>118</v>
      </c>
      <c r="Z214" s="4">
        <v>3</v>
      </c>
      <c r="AA214" s="4">
        <v>3</v>
      </c>
      <c r="AB214" s="4">
        <v>1</v>
      </c>
      <c r="AC214" s="4">
        <v>1</v>
      </c>
      <c r="AD214" s="4">
        <v>28</v>
      </c>
      <c r="AE214" s="4">
        <v>28</v>
      </c>
      <c r="AF214" s="4">
        <v>0</v>
      </c>
      <c r="AG214" s="4">
        <v>0</v>
      </c>
      <c r="AH214" s="4">
        <v>26</v>
      </c>
      <c r="AI214" s="4">
        <v>26</v>
      </c>
      <c r="AJ214" s="4">
        <v>1</v>
      </c>
      <c r="AK214" s="4">
        <v>1</v>
      </c>
      <c r="AL214" s="4">
        <v>15</v>
      </c>
      <c r="AM214" s="4">
        <v>15</v>
      </c>
      <c r="AN214" s="4">
        <v>0</v>
      </c>
      <c r="AO214" s="4">
        <v>0</v>
      </c>
      <c r="AP214" s="4">
        <v>1</v>
      </c>
      <c r="AQ214" s="4">
        <v>1</v>
      </c>
      <c r="AR214" s="3" t="s">
        <v>63</v>
      </c>
      <c r="AS214" s="3" t="s">
        <v>63</v>
      </c>
      <c r="AT214" s="3" t="s">
        <v>62</v>
      </c>
      <c r="AU214" s="6" t="str">
        <f>HYPERLINK("http://catalog.hathitrust.org/Record/007126079","HathiTrust Record")</f>
        <v>HathiTrust Record</v>
      </c>
      <c r="AV214" s="6" t="str">
        <f>HYPERLINK("http://mcgill.on.worldcat.org/oclc/322686","Catalog Record")</f>
        <v>Catalog Record</v>
      </c>
      <c r="AW214" s="6" t="str">
        <f>HYPERLINK("http://www.worldcat.org/oclc/322686","WorldCat Record")</f>
        <v>WorldCat Record</v>
      </c>
      <c r="AX214" s="3" t="s">
        <v>2261</v>
      </c>
      <c r="AY214" s="3" t="s">
        <v>2262</v>
      </c>
      <c r="AZ214" s="3" t="s">
        <v>2263</v>
      </c>
      <c r="BA214" s="3" t="s">
        <v>2263</v>
      </c>
      <c r="BB214" s="3" t="s">
        <v>2264</v>
      </c>
      <c r="BC214" s="3" t="s">
        <v>82</v>
      </c>
      <c r="BD214" s="3" t="s">
        <v>70</v>
      </c>
      <c r="BF214" s="3" t="s">
        <v>2264</v>
      </c>
      <c r="BG214" s="3" t="s">
        <v>2265</v>
      </c>
    </row>
    <row r="215" spans="1:59" ht="60" x14ac:dyDescent="0.25">
      <c r="A215" s="2" t="s">
        <v>59</v>
      </c>
      <c r="B215" s="2" t="s">
        <v>60</v>
      </c>
      <c r="C215" s="2" t="s">
        <v>2266</v>
      </c>
      <c r="D215" s="2" t="s">
        <v>2267</v>
      </c>
      <c r="E215" s="2" t="s">
        <v>2268</v>
      </c>
      <c r="G215" s="3" t="s">
        <v>63</v>
      </c>
      <c r="I215" s="3" t="s">
        <v>63</v>
      </c>
      <c r="J215" s="3" t="s">
        <v>63</v>
      </c>
      <c r="K215" s="3" t="s">
        <v>64</v>
      </c>
      <c r="L215" s="2" t="s">
        <v>2269</v>
      </c>
      <c r="M215" s="2" t="s">
        <v>2270</v>
      </c>
      <c r="N215" s="3" t="s">
        <v>2271</v>
      </c>
      <c r="P215" s="3" t="s">
        <v>90</v>
      </c>
      <c r="R215" s="3" t="s">
        <v>67</v>
      </c>
      <c r="S215" s="4">
        <v>3</v>
      </c>
      <c r="T215" s="4">
        <v>3</v>
      </c>
      <c r="U215" s="5" t="s">
        <v>2272</v>
      </c>
      <c r="V215" s="5" t="s">
        <v>2272</v>
      </c>
      <c r="W215" s="5" t="s">
        <v>69</v>
      </c>
      <c r="X215" s="5" t="s">
        <v>69</v>
      </c>
      <c r="Y215" s="4">
        <v>58</v>
      </c>
      <c r="Z215" s="4">
        <v>4</v>
      </c>
      <c r="AA215" s="4">
        <v>4</v>
      </c>
      <c r="AB215" s="4">
        <v>1</v>
      </c>
      <c r="AC215" s="4">
        <v>1</v>
      </c>
      <c r="AD215" s="4">
        <v>32</v>
      </c>
      <c r="AE215" s="4">
        <v>32</v>
      </c>
      <c r="AF215" s="4">
        <v>0</v>
      </c>
      <c r="AG215" s="4">
        <v>0</v>
      </c>
      <c r="AH215" s="4">
        <v>29</v>
      </c>
      <c r="AI215" s="4">
        <v>29</v>
      </c>
      <c r="AJ215" s="4">
        <v>3</v>
      </c>
      <c r="AK215" s="4">
        <v>3</v>
      </c>
      <c r="AL215" s="4">
        <v>22</v>
      </c>
      <c r="AM215" s="4">
        <v>22</v>
      </c>
      <c r="AN215" s="4">
        <v>0</v>
      </c>
      <c r="AO215" s="4">
        <v>0</v>
      </c>
      <c r="AP215" s="4">
        <v>3</v>
      </c>
      <c r="AQ215" s="4">
        <v>3</v>
      </c>
      <c r="AR215" s="3" t="s">
        <v>63</v>
      </c>
      <c r="AS215" s="3" t="s">
        <v>63</v>
      </c>
      <c r="AT215" s="3" t="s">
        <v>62</v>
      </c>
      <c r="AU215" s="6" t="str">
        <f>HYPERLINK("http://catalog.hathitrust.org/Record/007027823","HathiTrust Record")</f>
        <v>HathiTrust Record</v>
      </c>
      <c r="AV215" s="6" t="str">
        <f>HYPERLINK("http://mcgill.on.worldcat.org/oclc/2830916","Catalog Record")</f>
        <v>Catalog Record</v>
      </c>
      <c r="AW215" s="6" t="str">
        <f>HYPERLINK("http://www.worldcat.org/oclc/2830916","WorldCat Record")</f>
        <v>WorldCat Record</v>
      </c>
      <c r="AX215" s="3" t="s">
        <v>2273</v>
      </c>
      <c r="AY215" s="3" t="s">
        <v>2274</v>
      </c>
      <c r="AZ215" s="3" t="s">
        <v>2275</v>
      </c>
      <c r="BA215" s="3" t="s">
        <v>2275</v>
      </c>
      <c r="BB215" s="3" t="s">
        <v>2276</v>
      </c>
      <c r="BC215" s="3" t="s">
        <v>82</v>
      </c>
      <c r="BD215" s="3" t="s">
        <v>70</v>
      </c>
      <c r="BF215" s="3" t="s">
        <v>2276</v>
      </c>
      <c r="BG215" s="3" t="s">
        <v>2277</v>
      </c>
    </row>
    <row r="216" spans="1:59" ht="60" x14ac:dyDescent="0.25">
      <c r="A216" s="2" t="s">
        <v>59</v>
      </c>
      <c r="B216" s="2" t="s">
        <v>60</v>
      </c>
      <c r="C216" s="2" t="s">
        <v>2278</v>
      </c>
      <c r="D216" s="2" t="s">
        <v>2279</v>
      </c>
      <c r="E216" s="2" t="s">
        <v>2280</v>
      </c>
      <c r="G216" s="3" t="s">
        <v>63</v>
      </c>
      <c r="I216" s="3" t="s">
        <v>63</v>
      </c>
      <c r="J216" s="3" t="s">
        <v>63</v>
      </c>
      <c r="K216" s="3" t="s">
        <v>64</v>
      </c>
      <c r="L216" s="2" t="s">
        <v>2281</v>
      </c>
      <c r="M216" s="2" t="s">
        <v>2282</v>
      </c>
      <c r="N216" s="3" t="s">
        <v>2283</v>
      </c>
      <c r="P216" s="3" t="s">
        <v>90</v>
      </c>
      <c r="R216" s="3" t="s">
        <v>67</v>
      </c>
      <c r="S216" s="4">
        <v>10</v>
      </c>
      <c r="T216" s="4">
        <v>10</v>
      </c>
      <c r="U216" s="5" t="s">
        <v>2284</v>
      </c>
      <c r="V216" s="5" t="s">
        <v>2284</v>
      </c>
      <c r="W216" s="5" t="s">
        <v>69</v>
      </c>
      <c r="X216" s="5" t="s">
        <v>69</v>
      </c>
      <c r="Y216" s="4">
        <v>75</v>
      </c>
      <c r="Z216" s="4">
        <v>6</v>
      </c>
      <c r="AA216" s="4">
        <v>6</v>
      </c>
      <c r="AB216" s="4">
        <v>2</v>
      </c>
      <c r="AC216" s="4">
        <v>2</v>
      </c>
      <c r="AD216" s="4">
        <v>32</v>
      </c>
      <c r="AE216" s="4">
        <v>32</v>
      </c>
      <c r="AF216" s="4">
        <v>1</v>
      </c>
      <c r="AG216" s="4">
        <v>1</v>
      </c>
      <c r="AH216" s="4">
        <v>27</v>
      </c>
      <c r="AI216" s="4">
        <v>27</v>
      </c>
      <c r="AJ216" s="4">
        <v>4</v>
      </c>
      <c r="AK216" s="4">
        <v>4</v>
      </c>
      <c r="AL216" s="4">
        <v>15</v>
      </c>
      <c r="AM216" s="4">
        <v>15</v>
      </c>
      <c r="AN216" s="4">
        <v>0</v>
      </c>
      <c r="AO216" s="4">
        <v>0</v>
      </c>
      <c r="AP216" s="4">
        <v>5</v>
      </c>
      <c r="AQ216" s="4">
        <v>5</v>
      </c>
      <c r="AR216" s="3" t="s">
        <v>63</v>
      </c>
      <c r="AS216" s="3" t="s">
        <v>63</v>
      </c>
      <c r="AT216" s="3" t="s">
        <v>62</v>
      </c>
      <c r="AU216" s="6" t="str">
        <f>HYPERLINK("http://catalog.hathitrust.org/Record/008573360","HathiTrust Record")</f>
        <v>HathiTrust Record</v>
      </c>
      <c r="AV216" s="6" t="str">
        <f>HYPERLINK("http://mcgill.on.worldcat.org/oclc/2865481","Catalog Record")</f>
        <v>Catalog Record</v>
      </c>
      <c r="AW216" s="6" t="str">
        <f>HYPERLINK("http://www.worldcat.org/oclc/2865481","WorldCat Record")</f>
        <v>WorldCat Record</v>
      </c>
      <c r="AX216" s="3" t="s">
        <v>2285</v>
      </c>
      <c r="AY216" s="3" t="s">
        <v>2286</v>
      </c>
      <c r="AZ216" s="3" t="s">
        <v>2287</v>
      </c>
      <c r="BA216" s="3" t="s">
        <v>2287</v>
      </c>
      <c r="BB216" s="3" t="s">
        <v>2288</v>
      </c>
      <c r="BC216" s="3" t="s">
        <v>82</v>
      </c>
      <c r="BD216" s="3" t="s">
        <v>70</v>
      </c>
      <c r="BF216" s="3" t="s">
        <v>2288</v>
      </c>
      <c r="BG216" s="3" t="s">
        <v>2289</v>
      </c>
    </row>
    <row r="217" spans="1:59" ht="60" x14ac:dyDescent="0.25">
      <c r="A217" s="2" t="s">
        <v>59</v>
      </c>
      <c r="B217" s="2" t="s">
        <v>60</v>
      </c>
      <c r="C217" s="2" t="s">
        <v>2290</v>
      </c>
      <c r="D217" s="2" t="s">
        <v>2291</v>
      </c>
      <c r="E217" s="2" t="s">
        <v>2292</v>
      </c>
      <c r="G217" s="3" t="s">
        <v>63</v>
      </c>
      <c r="I217" s="3" t="s">
        <v>63</v>
      </c>
      <c r="J217" s="3" t="s">
        <v>63</v>
      </c>
      <c r="K217" s="3" t="s">
        <v>64</v>
      </c>
      <c r="L217" s="2" t="s">
        <v>2293</v>
      </c>
      <c r="M217" s="2" t="s">
        <v>2294</v>
      </c>
      <c r="N217" s="3" t="s">
        <v>1296</v>
      </c>
      <c r="P217" s="3" t="s">
        <v>66</v>
      </c>
      <c r="R217" s="3" t="s">
        <v>67</v>
      </c>
      <c r="S217" s="4">
        <v>9</v>
      </c>
      <c r="T217" s="4">
        <v>9</v>
      </c>
      <c r="U217" s="5" t="s">
        <v>2009</v>
      </c>
      <c r="V217" s="5" t="s">
        <v>2009</v>
      </c>
      <c r="W217" s="5" t="s">
        <v>69</v>
      </c>
      <c r="X217" s="5" t="s">
        <v>69</v>
      </c>
      <c r="Y217" s="4">
        <v>274</v>
      </c>
      <c r="Z217" s="4">
        <v>20</v>
      </c>
      <c r="AA217" s="4">
        <v>22</v>
      </c>
      <c r="AB217" s="4">
        <v>1</v>
      </c>
      <c r="AC217" s="4">
        <v>3</v>
      </c>
      <c r="AD217" s="4">
        <v>97</v>
      </c>
      <c r="AE217" s="4">
        <v>100</v>
      </c>
      <c r="AF217" s="4">
        <v>0</v>
      </c>
      <c r="AG217" s="4">
        <v>2</v>
      </c>
      <c r="AH217" s="4">
        <v>85</v>
      </c>
      <c r="AI217" s="4">
        <v>87</v>
      </c>
      <c r="AJ217" s="4">
        <v>15</v>
      </c>
      <c r="AK217" s="4">
        <v>17</v>
      </c>
      <c r="AL217" s="4">
        <v>47</v>
      </c>
      <c r="AM217" s="4">
        <v>47</v>
      </c>
      <c r="AN217" s="4">
        <v>0</v>
      </c>
      <c r="AO217" s="4">
        <v>0</v>
      </c>
      <c r="AP217" s="4">
        <v>15</v>
      </c>
      <c r="AQ217" s="4">
        <v>17</v>
      </c>
      <c r="AR217" s="3" t="s">
        <v>63</v>
      </c>
      <c r="AS217" s="3" t="s">
        <v>63</v>
      </c>
      <c r="AT217" s="3" t="s">
        <v>62</v>
      </c>
      <c r="AU217" s="6" t="str">
        <f>HYPERLINK("http://catalog.hathitrust.org/Record/007120000","HathiTrust Record")</f>
        <v>HathiTrust Record</v>
      </c>
      <c r="AV217" s="6" t="str">
        <f>HYPERLINK("http://mcgill.on.worldcat.org/oclc/58052","Catalog Record")</f>
        <v>Catalog Record</v>
      </c>
      <c r="AW217" s="6" t="str">
        <f>HYPERLINK("http://www.worldcat.org/oclc/58052","WorldCat Record")</f>
        <v>WorldCat Record</v>
      </c>
      <c r="AX217" s="3" t="s">
        <v>2295</v>
      </c>
      <c r="AY217" s="3" t="s">
        <v>2296</v>
      </c>
      <c r="AZ217" s="3" t="s">
        <v>2297</v>
      </c>
      <c r="BA217" s="3" t="s">
        <v>2297</v>
      </c>
      <c r="BB217" s="3" t="s">
        <v>2298</v>
      </c>
      <c r="BC217" s="3" t="s">
        <v>82</v>
      </c>
      <c r="BD217" s="3" t="s">
        <v>538</v>
      </c>
      <c r="BE217" s="3" t="s">
        <v>2299</v>
      </c>
      <c r="BF217" s="3" t="s">
        <v>2298</v>
      </c>
      <c r="BG217" s="3" t="s">
        <v>2300</v>
      </c>
    </row>
    <row r="218" spans="1:59" ht="90" x14ac:dyDescent="0.25">
      <c r="A218" s="2" t="s">
        <v>59</v>
      </c>
      <c r="B218" s="2" t="s">
        <v>60</v>
      </c>
      <c r="C218" s="2" t="s">
        <v>2301</v>
      </c>
      <c r="D218" s="2" t="s">
        <v>2302</v>
      </c>
      <c r="E218" s="2" t="s">
        <v>2303</v>
      </c>
      <c r="G218" s="3" t="s">
        <v>63</v>
      </c>
      <c r="I218" s="3" t="s">
        <v>63</v>
      </c>
      <c r="J218" s="3" t="s">
        <v>63</v>
      </c>
      <c r="K218" s="3" t="s">
        <v>64</v>
      </c>
      <c r="L218" s="2" t="s">
        <v>2304</v>
      </c>
      <c r="M218" s="2" t="s">
        <v>2305</v>
      </c>
      <c r="N218" s="3" t="s">
        <v>1226</v>
      </c>
      <c r="P218" s="3" t="s">
        <v>90</v>
      </c>
      <c r="R218" s="3" t="s">
        <v>67</v>
      </c>
      <c r="S218" s="4">
        <v>4</v>
      </c>
      <c r="T218" s="4">
        <v>4</v>
      </c>
      <c r="U218" s="5" t="s">
        <v>2306</v>
      </c>
      <c r="V218" s="5" t="s">
        <v>2306</v>
      </c>
      <c r="W218" s="5" t="s">
        <v>69</v>
      </c>
      <c r="X218" s="5" t="s">
        <v>69</v>
      </c>
      <c r="Y218" s="4">
        <v>4</v>
      </c>
      <c r="Z218" s="4">
        <v>2</v>
      </c>
      <c r="AA218" s="4">
        <v>2</v>
      </c>
      <c r="AB218" s="4">
        <v>2</v>
      </c>
      <c r="AC218" s="4">
        <v>2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3" t="s">
        <v>63</v>
      </c>
      <c r="AS218" s="3" t="s">
        <v>63</v>
      </c>
      <c r="AT218" s="3" t="s">
        <v>63</v>
      </c>
      <c r="AV218" s="6" t="str">
        <f>HYPERLINK("http://mcgill.on.worldcat.org/oclc/496737122","Catalog Record")</f>
        <v>Catalog Record</v>
      </c>
      <c r="AW218" s="6" t="str">
        <f>HYPERLINK("http://www.worldcat.org/oclc/496737122","WorldCat Record")</f>
        <v>WorldCat Record</v>
      </c>
      <c r="AX218" s="3" t="s">
        <v>2307</v>
      </c>
      <c r="AY218" s="3" t="s">
        <v>2308</v>
      </c>
      <c r="AZ218" s="3" t="s">
        <v>2309</v>
      </c>
      <c r="BA218" s="3" t="s">
        <v>2309</v>
      </c>
      <c r="BB218" s="3" t="s">
        <v>2310</v>
      </c>
      <c r="BC218" s="3" t="s">
        <v>82</v>
      </c>
      <c r="BD218" s="3" t="s">
        <v>70</v>
      </c>
      <c r="BE218" s="3" t="s">
        <v>2311</v>
      </c>
      <c r="BF218" s="3" t="s">
        <v>2310</v>
      </c>
      <c r="BG218" s="3" t="s">
        <v>2312</v>
      </c>
    </row>
    <row r="219" spans="1:59" ht="60" x14ac:dyDescent="0.25">
      <c r="A219" s="2" t="s">
        <v>59</v>
      </c>
      <c r="B219" s="2" t="s">
        <v>60</v>
      </c>
      <c r="C219" s="2" t="s">
        <v>2313</v>
      </c>
      <c r="D219" s="2" t="s">
        <v>2314</v>
      </c>
      <c r="E219" s="2" t="s">
        <v>2315</v>
      </c>
      <c r="G219" s="3" t="s">
        <v>63</v>
      </c>
      <c r="I219" s="3" t="s">
        <v>63</v>
      </c>
      <c r="J219" s="3" t="s">
        <v>63</v>
      </c>
      <c r="K219" s="3" t="s">
        <v>64</v>
      </c>
      <c r="L219" s="2" t="s">
        <v>2316</v>
      </c>
      <c r="M219" s="2" t="s">
        <v>2317</v>
      </c>
      <c r="N219" s="3" t="s">
        <v>313</v>
      </c>
      <c r="P219" s="3" t="s">
        <v>66</v>
      </c>
      <c r="Q219" s="2" t="s">
        <v>2318</v>
      </c>
      <c r="R219" s="3" t="s">
        <v>67</v>
      </c>
      <c r="S219" s="4">
        <v>6</v>
      </c>
      <c r="T219" s="4">
        <v>6</v>
      </c>
      <c r="U219" s="5" t="s">
        <v>2319</v>
      </c>
      <c r="V219" s="5" t="s">
        <v>2319</v>
      </c>
      <c r="W219" s="5" t="s">
        <v>69</v>
      </c>
      <c r="X219" s="5" t="s">
        <v>69</v>
      </c>
      <c r="Y219" s="4">
        <v>28</v>
      </c>
      <c r="Z219" s="4">
        <v>2</v>
      </c>
      <c r="AA219" s="4">
        <v>6</v>
      </c>
      <c r="AB219" s="4">
        <v>1</v>
      </c>
      <c r="AC219" s="4">
        <v>4</v>
      </c>
      <c r="AD219" s="4">
        <v>8</v>
      </c>
      <c r="AE219" s="4">
        <v>20</v>
      </c>
      <c r="AF219" s="4">
        <v>0</v>
      </c>
      <c r="AG219" s="4">
        <v>0</v>
      </c>
      <c r="AH219" s="4">
        <v>8</v>
      </c>
      <c r="AI219" s="4">
        <v>19</v>
      </c>
      <c r="AJ219" s="4">
        <v>0</v>
      </c>
      <c r="AK219" s="4">
        <v>1</v>
      </c>
      <c r="AL219" s="4">
        <v>6</v>
      </c>
      <c r="AM219" s="4">
        <v>11</v>
      </c>
      <c r="AN219" s="4">
        <v>0</v>
      </c>
      <c r="AO219" s="4">
        <v>0</v>
      </c>
      <c r="AP219" s="4">
        <v>0</v>
      </c>
      <c r="AQ219" s="4">
        <v>1</v>
      </c>
      <c r="AR219" s="3" t="s">
        <v>63</v>
      </c>
      <c r="AS219" s="3" t="s">
        <v>63</v>
      </c>
      <c r="AT219" s="3" t="s">
        <v>63</v>
      </c>
      <c r="AV219" s="6" t="str">
        <f>HYPERLINK("http://mcgill.on.worldcat.org/oclc/653082854","Catalog Record")</f>
        <v>Catalog Record</v>
      </c>
      <c r="AW219" s="6" t="str">
        <f>HYPERLINK("http://www.worldcat.org/oclc/653082854","WorldCat Record")</f>
        <v>WorldCat Record</v>
      </c>
      <c r="AX219" s="3" t="s">
        <v>2320</v>
      </c>
      <c r="AY219" s="3" t="s">
        <v>2321</v>
      </c>
      <c r="AZ219" s="3" t="s">
        <v>2322</v>
      </c>
      <c r="BA219" s="3" t="s">
        <v>2322</v>
      </c>
      <c r="BB219" s="3" t="s">
        <v>2323</v>
      </c>
      <c r="BC219" s="3" t="s">
        <v>82</v>
      </c>
      <c r="BD219" s="3" t="s">
        <v>70</v>
      </c>
      <c r="BE219" s="3" t="s">
        <v>2324</v>
      </c>
      <c r="BF219" s="3" t="s">
        <v>2323</v>
      </c>
      <c r="BG219" s="3" t="s">
        <v>2325</v>
      </c>
    </row>
    <row r="220" spans="1:59" ht="60" x14ac:dyDescent="0.25">
      <c r="A220" s="2" t="s">
        <v>59</v>
      </c>
      <c r="B220" s="2" t="s">
        <v>60</v>
      </c>
      <c r="C220" s="2" t="s">
        <v>2326</v>
      </c>
      <c r="D220" s="2" t="s">
        <v>2327</v>
      </c>
      <c r="E220" s="2" t="s">
        <v>2328</v>
      </c>
      <c r="F220" s="3" t="s">
        <v>1095</v>
      </c>
      <c r="G220" s="3" t="s">
        <v>62</v>
      </c>
      <c r="I220" s="3" t="s">
        <v>63</v>
      </c>
      <c r="J220" s="3" t="s">
        <v>63</v>
      </c>
      <c r="K220" s="3" t="s">
        <v>64</v>
      </c>
      <c r="L220" s="2" t="s">
        <v>2329</v>
      </c>
      <c r="M220" s="2" t="s">
        <v>2330</v>
      </c>
      <c r="N220" s="3" t="s">
        <v>1296</v>
      </c>
      <c r="O220" s="2" t="s">
        <v>744</v>
      </c>
      <c r="P220" s="3" t="s">
        <v>66</v>
      </c>
      <c r="R220" s="3" t="s">
        <v>67</v>
      </c>
      <c r="S220" s="4">
        <v>32</v>
      </c>
      <c r="T220" s="4">
        <v>43</v>
      </c>
      <c r="U220" s="5" t="s">
        <v>2080</v>
      </c>
      <c r="V220" s="5" t="s">
        <v>2080</v>
      </c>
      <c r="W220" s="5" t="s">
        <v>69</v>
      </c>
      <c r="X220" s="5" t="s">
        <v>69</v>
      </c>
      <c r="Y220" s="4">
        <v>77</v>
      </c>
      <c r="Z220" s="4">
        <v>7</v>
      </c>
      <c r="AA220" s="4">
        <v>9</v>
      </c>
      <c r="AB220" s="4">
        <v>1</v>
      </c>
      <c r="AC220" s="4">
        <v>2</v>
      </c>
      <c r="AD220" s="4">
        <v>17</v>
      </c>
      <c r="AE220" s="4">
        <v>17</v>
      </c>
      <c r="AF220" s="4">
        <v>0</v>
      </c>
      <c r="AG220" s="4">
        <v>0</v>
      </c>
      <c r="AH220" s="4">
        <v>15</v>
      </c>
      <c r="AI220" s="4">
        <v>15</v>
      </c>
      <c r="AJ220" s="4">
        <v>3</v>
      </c>
      <c r="AK220" s="4">
        <v>3</v>
      </c>
      <c r="AL220" s="4">
        <v>5</v>
      </c>
      <c r="AM220" s="4">
        <v>5</v>
      </c>
      <c r="AN220" s="4">
        <v>0</v>
      </c>
      <c r="AO220" s="4">
        <v>0</v>
      </c>
      <c r="AP220" s="4">
        <v>5</v>
      </c>
      <c r="AQ220" s="4">
        <v>5</v>
      </c>
      <c r="AR220" s="3" t="s">
        <v>63</v>
      </c>
      <c r="AS220" s="3" t="s">
        <v>63</v>
      </c>
      <c r="AT220" s="3" t="s">
        <v>62</v>
      </c>
      <c r="AU220" s="6" t="str">
        <f>HYPERLINK("http://catalog.hathitrust.org/Record/007113922","HathiTrust Record")</f>
        <v>HathiTrust Record</v>
      </c>
      <c r="AV220" s="6" t="str">
        <f>HYPERLINK("http://mcgill.on.worldcat.org/oclc/12205","Catalog Record")</f>
        <v>Catalog Record</v>
      </c>
      <c r="AW220" s="6" t="str">
        <f>HYPERLINK("http://www.worldcat.org/oclc/12205","WorldCat Record")</f>
        <v>WorldCat Record</v>
      </c>
      <c r="AX220" s="3" t="s">
        <v>2331</v>
      </c>
      <c r="AY220" s="3" t="s">
        <v>2332</v>
      </c>
      <c r="AZ220" s="3" t="s">
        <v>2333</v>
      </c>
      <c r="BA220" s="3" t="s">
        <v>2333</v>
      </c>
      <c r="BB220" s="3" t="s">
        <v>2334</v>
      </c>
      <c r="BC220" s="3" t="s">
        <v>82</v>
      </c>
      <c r="BD220" s="3" t="s">
        <v>70</v>
      </c>
      <c r="BF220" s="3" t="s">
        <v>2334</v>
      </c>
      <c r="BG220" s="3" t="s">
        <v>2335</v>
      </c>
    </row>
    <row r="221" spans="1:59" ht="60" x14ac:dyDescent="0.25">
      <c r="A221" s="2" t="s">
        <v>59</v>
      </c>
      <c r="B221" s="2" t="s">
        <v>60</v>
      </c>
      <c r="C221" s="2" t="s">
        <v>2326</v>
      </c>
      <c r="D221" s="2" t="s">
        <v>2327</v>
      </c>
      <c r="E221" s="2" t="s">
        <v>2328</v>
      </c>
      <c r="F221" s="3" t="s">
        <v>2336</v>
      </c>
      <c r="G221" s="3" t="s">
        <v>62</v>
      </c>
      <c r="I221" s="3" t="s">
        <v>63</v>
      </c>
      <c r="J221" s="3" t="s">
        <v>63</v>
      </c>
      <c r="K221" s="3" t="s">
        <v>64</v>
      </c>
      <c r="L221" s="2" t="s">
        <v>2329</v>
      </c>
      <c r="M221" s="2" t="s">
        <v>2330</v>
      </c>
      <c r="N221" s="3" t="s">
        <v>1296</v>
      </c>
      <c r="O221" s="2" t="s">
        <v>744</v>
      </c>
      <c r="P221" s="3" t="s">
        <v>66</v>
      </c>
      <c r="R221" s="3" t="s">
        <v>67</v>
      </c>
      <c r="S221" s="4">
        <v>11</v>
      </c>
      <c r="T221" s="4">
        <v>43</v>
      </c>
      <c r="U221" s="5" t="s">
        <v>155</v>
      </c>
      <c r="V221" s="5" t="s">
        <v>2080</v>
      </c>
      <c r="W221" s="5" t="s">
        <v>69</v>
      </c>
      <c r="X221" s="5" t="s">
        <v>69</v>
      </c>
      <c r="Y221" s="4">
        <v>77</v>
      </c>
      <c r="Z221" s="4">
        <v>7</v>
      </c>
      <c r="AA221" s="4">
        <v>9</v>
      </c>
      <c r="AB221" s="4">
        <v>1</v>
      </c>
      <c r="AC221" s="4">
        <v>2</v>
      </c>
      <c r="AD221" s="4">
        <v>17</v>
      </c>
      <c r="AE221" s="4">
        <v>17</v>
      </c>
      <c r="AF221" s="4">
        <v>0</v>
      </c>
      <c r="AG221" s="4">
        <v>0</v>
      </c>
      <c r="AH221" s="4">
        <v>15</v>
      </c>
      <c r="AI221" s="4">
        <v>15</v>
      </c>
      <c r="AJ221" s="4">
        <v>3</v>
      </c>
      <c r="AK221" s="4">
        <v>3</v>
      </c>
      <c r="AL221" s="4">
        <v>5</v>
      </c>
      <c r="AM221" s="4">
        <v>5</v>
      </c>
      <c r="AN221" s="4">
        <v>0</v>
      </c>
      <c r="AO221" s="4">
        <v>0</v>
      </c>
      <c r="AP221" s="4">
        <v>5</v>
      </c>
      <c r="AQ221" s="4">
        <v>5</v>
      </c>
      <c r="AR221" s="3" t="s">
        <v>63</v>
      </c>
      <c r="AS221" s="3" t="s">
        <v>63</v>
      </c>
      <c r="AT221" s="3" t="s">
        <v>62</v>
      </c>
      <c r="AU221" s="6" t="str">
        <f>HYPERLINK("http://catalog.hathitrust.org/Record/007113922","HathiTrust Record")</f>
        <v>HathiTrust Record</v>
      </c>
      <c r="AV221" s="6" t="str">
        <f>HYPERLINK("http://mcgill.on.worldcat.org/oclc/12205","Catalog Record")</f>
        <v>Catalog Record</v>
      </c>
      <c r="AW221" s="6" t="str">
        <f>HYPERLINK("http://www.worldcat.org/oclc/12205","WorldCat Record")</f>
        <v>WorldCat Record</v>
      </c>
      <c r="AX221" s="3" t="s">
        <v>2331</v>
      </c>
      <c r="AY221" s="3" t="s">
        <v>2332</v>
      </c>
      <c r="AZ221" s="3" t="s">
        <v>2333</v>
      </c>
      <c r="BA221" s="3" t="s">
        <v>2333</v>
      </c>
      <c r="BB221" s="3" t="s">
        <v>2337</v>
      </c>
      <c r="BC221" s="3" t="s">
        <v>82</v>
      </c>
      <c r="BD221" s="3" t="s">
        <v>70</v>
      </c>
      <c r="BF221" s="3" t="s">
        <v>2337</v>
      </c>
      <c r="BG221" s="3" t="s">
        <v>2338</v>
      </c>
    </row>
    <row r="222" spans="1:59" ht="60" x14ac:dyDescent="0.25">
      <c r="A222" s="2" t="s">
        <v>59</v>
      </c>
      <c r="B222" s="2" t="s">
        <v>60</v>
      </c>
      <c r="C222" s="2" t="s">
        <v>2326</v>
      </c>
      <c r="D222" s="2" t="s">
        <v>2327</v>
      </c>
      <c r="E222" s="2" t="s">
        <v>2328</v>
      </c>
      <c r="F222" s="3" t="s">
        <v>2339</v>
      </c>
      <c r="G222" s="3" t="s">
        <v>62</v>
      </c>
      <c r="I222" s="3" t="s">
        <v>63</v>
      </c>
      <c r="J222" s="3" t="s">
        <v>63</v>
      </c>
      <c r="K222" s="3" t="s">
        <v>64</v>
      </c>
      <c r="L222" s="2" t="s">
        <v>2329</v>
      </c>
      <c r="M222" s="2" t="s">
        <v>2330</v>
      </c>
      <c r="N222" s="3" t="s">
        <v>1296</v>
      </c>
      <c r="O222" s="2" t="s">
        <v>744</v>
      </c>
      <c r="P222" s="3" t="s">
        <v>66</v>
      </c>
      <c r="R222" s="3" t="s">
        <v>67</v>
      </c>
      <c r="S222" s="4">
        <v>0</v>
      </c>
      <c r="T222" s="4">
        <v>43</v>
      </c>
      <c r="V222" s="5" t="s">
        <v>2080</v>
      </c>
      <c r="W222" s="5" t="s">
        <v>69</v>
      </c>
      <c r="X222" s="5" t="s">
        <v>69</v>
      </c>
      <c r="Y222" s="4">
        <v>77</v>
      </c>
      <c r="Z222" s="4">
        <v>7</v>
      </c>
      <c r="AA222" s="4">
        <v>9</v>
      </c>
      <c r="AB222" s="4">
        <v>1</v>
      </c>
      <c r="AC222" s="4">
        <v>2</v>
      </c>
      <c r="AD222" s="4">
        <v>17</v>
      </c>
      <c r="AE222" s="4">
        <v>17</v>
      </c>
      <c r="AF222" s="4">
        <v>0</v>
      </c>
      <c r="AG222" s="4">
        <v>0</v>
      </c>
      <c r="AH222" s="4">
        <v>15</v>
      </c>
      <c r="AI222" s="4">
        <v>15</v>
      </c>
      <c r="AJ222" s="4">
        <v>3</v>
      </c>
      <c r="AK222" s="4">
        <v>3</v>
      </c>
      <c r="AL222" s="4">
        <v>5</v>
      </c>
      <c r="AM222" s="4">
        <v>5</v>
      </c>
      <c r="AN222" s="4">
        <v>0</v>
      </c>
      <c r="AO222" s="4">
        <v>0</v>
      </c>
      <c r="AP222" s="4">
        <v>5</v>
      </c>
      <c r="AQ222" s="4">
        <v>5</v>
      </c>
      <c r="AR222" s="3" t="s">
        <v>63</v>
      </c>
      <c r="AS222" s="3" t="s">
        <v>63</v>
      </c>
      <c r="AT222" s="3" t="s">
        <v>62</v>
      </c>
      <c r="AU222" s="6" t="str">
        <f>HYPERLINK("http://catalog.hathitrust.org/Record/007113922","HathiTrust Record")</f>
        <v>HathiTrust Record</v>
      </c>
      <c r="AV222" s="6" t="str">
        <f>HYPERLINK("http://mcgill.on.worldcat.org/oclc/12205","Catalog Record")</f>
        <v>Catalog Record</v>
      </c>
      <c r="AW222" s="6" t="str">
        <f>HYPERLINK("http://www.worldcat.org/oclc/12205","WorldCat Record")</f>
        <v>WorldCat Record</v>
      </c>
      <c r="AX222" s="3" t="s">
        <v>2331</v>
      </c>
      <c r="AY222" s="3" t="s">
        <v>2332</v>
      </c>
      <c r="AZ222" s="3" t="s">
        <v>2333</v>
      </c>
      <c r="BA222" s="3" t="s">
        <v>2333</v>
      </c>
      <c r="BB222" s="3" t="s">
        <v>2340</v>
      </c>
      <c r="BC222" s="3" t="s">
        <v>82</v>
      </c>
      <c r="BD222" s="3" t="s">
        <v>70</v>
      </c>
      <c r="BF222" s="3" t="s">
        <v>2340</v>
      </c>
      <c r="BG222" s="3" t="s">
        <v>2341</v>
      </c>
    </row>
    <row r="223" spans="1:59" ht="60" x14ac:dyDescent="0.25">
      <c r="A223" s="2" t="s">
        <v>59</v>
      </c>
      <c r="B223" s="2" t="s">
        <v>60</v>
      </c>
      <c r="C223" s="2" t="s">
        <v>2342</v>
      </c>
      <c r="D223" s="2" t="s">
        <v>2343</v>
      </c>
      <c r="E223" s="2" t="s">
        <v>2344</v>
      </c>
      <c r="G223" s="3" t="s">
        <v>63</v>
      </c>
      <c r="I223" s="3" t="s">
        <v>63</v>
      </c>
      <c r="J223" s="3" t="s">
        <v>63</v>
      </c>
      <c r="K223" s="3" t="s">
        <v>64</v>
      </c>
      <c r="L223" s="2" t="s">
        <v>2345</v>
      </c>
      <c r="M223" s="2" t="s">
        <v>2346</v>
      </c>
      <c r="N223" s="3" t="s">
        <v>2103</v>
      </c>
      <c r="P223" s="3" t="s">
        <v>90</v>
      </c>
      <c r="R223" s="3" t="s">
        <v>67</v>
      </c>
      <c r="S223" s="4">
        <v>20</v>
      </c>
      <c r="T223" s="4">
        <v>20</v>
      </c>
      <c r="U223" s="5" t="s">
        <v>2347</v>
      </c>
      <c r="V223" s="5" t="s">
        <v>2347</v>
      </c>
      <c r="W223" s="5" t="s">
        <v>69</v>
      </c>
      <c r="X223" s="5" t="s">
        <v>69</v>
      </c>
      <c r="Y223" s="4">
        <v>83</v>
      </c>
      <c r="Z223" s="4">
        <v>6</v>
      </c>
      <c r="AA223" s="4">
        <v>6</v>
      </c>
      <c r="AB223" s="4">
        <v>1</v>
      </c>
      <c r="AC223" s="4">
        <v>1</v>
      </c>
      <c r="AD223" s="4">
        <v>36</v>
      </c>
      <c r="AE223" s="4">
        <v>36</v>
      </c>
      <c r="AF223" s="4">
        <v>0</v>
      </c>
      <c r="AG223" s="4">
        <v>0</v>
      </c>
      <c r="AH223" s="4">
        <v>34</v>
      </c>
      <c r="AI223" s="4">
        <v>34</v>
      </c>
      <c r="AJ223" s="4">
        <v>4</v>
      </c>
      <c r="AK223" s="4">
        <v>4</v>
      </c>
      <c r="AL223" s="4">
        <v>25</v>
      </c>
      <c r="AM223" s="4">
        <v>25</v>
      </c>
      <c r="AN223" s="4">
        <v>0</v>
      </c>
      <c r="AO223" s="4">
        <v>0</v>
      </c>
      <c r="AP223" s="4">
        <v>4</v>
      </c>
      <c r="AQ223" s="4">
        <v>4</v>
      </c>
      <c r="AR223" s="3" t="s">
        <v>63</v>
      </c>
      <c r="AS223" s="3" t="s">
        <v>63</v>
      </c>
      <c r="AT223" s="3" t="s">
        <v>63</v>
      </c>
      <c r="AV223" s="6" t="str">
        <f>HYPERLINK("http://mcgill.on.worldcat.org/oclc/51741681","Catalog Record")</f>
        <v>Catalog Record</v>
      </c>
      <c r="AW223" s="6" t="str">
        <f>HYPERLINK("http://www.worldcat.org/oclc/51741681","WorldCat Record")</f>
        <v>WorldCat Record</v>
      </c>
      <c r="AX223" s="3" t="s">
        <v>2348</v>
      </c>
      <c r="AY223" s="3" t="s">
        <v>2349</v>
      </c>
      <c r="AZ223" s="3" t="s">
        <v>2350</v>
      </c>
      <c r="BA223" s="3" t="s">
        <v>2350</v>
      </c>
      <c r="BB223" s="3" t="s">
        <v>2351</v>
      </c>
      <c r="BC223" s="3" t="s">
        <v>82</v>
      </c>
      <c r="BD223" s="3" t="s">
        <v>70</v>
      </c>
      <c r="BE223" s="3" t="s">
        <v>2352</v>
      </c>
      <c r="BF223" s="3" t="s">
        <v>2351</v>
      </c>
      <c r="BG223" s="3" t="s">
        <v>2353</v>
      </c>
    </row>
    <row r="224" spans="1:59" ht="60" x14ac:dyDescent="0.25">
      <c r="A224" s="2" t="s">
        <v>59</v>
      </c>
      <c r="B224" s="2" t="s">
        <v>60</v>
      </c>
      <c r="C224" s="2" t="s">
        <v>2354</v>
      </c>
      <c r="D224" s="2" t="s">
        <v>2355</v>
      </c>
      <c r="E224" s="2" t="s">
        <v>2356</v>
      </c>
      <c r="G224" s="3" t="s">
        <v>63</v>
      </c>
      <c r="I224" s="3" t="s">
        <v>63</v>
      </c>
      <c r="J224" s="3" t="s">
        <v>63</v>
      </c>
      <c r="K224" s="3" t="s">
        <v>64</v>
      </c>
      <c r="L224" s="2" t="s">
        <v>2357</v>
      </c>
      <c r="M224" s="2" t="s">
        <v>2358</v>
      </c>
      <c r="N224" s="3" t="s">
        <v>455</v>
      </c>
      <c r="O224" s="2" t="s">
        <v>2359</v>
      </c>
      <c r="P224" s="3" t="s">
        <v>66</v>
      </c>
      <c r="R224" s="3" t="s">
        <v>67</v>
      </c>
      <c r="S224" s="4">
        <v>48</v>
      </c>
      <c r="T224" s="4">
        <v>48</v>
      </c>
      <c r="U224" s="5" t="s">
        <v>561</v>
      </c>
      <c r="V224" s="5" t="s">
        <v>561</v>
      </c>
      <c r="W224" s="5" t="s">
        <v>69</v>
      </c>
      <c r="X224" s="5" t="s">
        <v>69</v>
      </c>
      <c r="Y224" s="4">
        <v>38</v>
      </c>
      <c r="Z224" s="4">
        <v>4</v>
      </c>
      <c r="AA224" s="4">
        <v>13</v>
      </c>
      <c r="AB224" s="4">
        <v>2</v>
      </c>
      <c r="AC224" s="4">
        <v>2</v>
      </c>
      <c r="AD224" s="4">
        <v>16</v>
      </c>
      <c r="AE224" s="4">
        <v>50</v>
      </c>
      <c r="AF224" s="4">
        <v>0</v>
      </c>
      <c r="AG224" s="4">
        <v>0</v>
      </c>
      <c r="AH224" s="4">
        <v>13</v>
      </c>
      <c r="AI224" s="4">
        <v>43</v>
      </c>
      <c r="AJ224" s="4">
        <v>1</v>
      </c>
      <c r="AK224" s="4">
        <v>9</v>
      </c>
      <c r="AL224" s="4">
        <v>12</v>
      </c>
      <c r="AM224" s="4">
        <v>31</v>
      </c>
      <c r="AN224" s="4">
        <v>0</v>
      </c>
      <c r="AO224" s="4">
        <v>0</v>
      </c>
      <c r="AP224" s="4">
        <v>1</v>
      </c>
      <c r="AQ224" s="4">
        <v>9</v>
      </c>
      <c r="AR224" s="3" t="s">
        <v>63</v>
      </c>
      <c r="AS224" s="3" t="s">
        <v>63</v>
      </c>
      <c r="AT224" s="3" t="s">
        <v>63</v>
      </c>
      <c r="AV224" s="6" t="str">
        <f>HYPERLINK("http://mcgill.on.worldcat.org/oclc/12337279","Catalog Record")</f>
        <v>Catalog Record</v>
      </c>
      <c r="AW224" s="6" t="str">
        <f>HYPERLINK("http://www.worldcat.org/oclc/12337279","WorldCat Record")</f>
        <v>WorldCat Record</v>
      </c>
      <c r="AX224" s="3" t="s">
        <v>2360</v>
      </c>
      <c r="AY224" s="3" t="s">
        <v>2361</v>
      </c>
      <c r="AZ224" s="3" t="s">
        <v>2362</v>
      </c>
      <c r="BA224" s="3" t="s">
        <v>2362</v>
      </c>
      <c r="BB224" s="3" t="s">
        <v>2363</v>
      </c>
      <c r="BC224" s="3" t="s">
        <v>82</v>
      </c>
      <c r="BD224" s="3" t="s">
        <v>70</v>
      </c>
      <c r="BF224" s="3" t="s">
        <v>2363</v>
      </c>
      <c r="BG224" s="3" t="s">
        <v>2364</v>
      </c>
    </row>
    <row r="225" spans="1:59" ht="60" x14ac:dyDescent="0.25">
      <c r="A225" s="2" t="s">
        <v>59</v>
      </c>
      <c r="B225" s="2" t="s">
        <v>60</v>
      </c>
      <c r="C225" s="2" t="s">
        <v>2365</v>
      </c>
      <c r="D225" s="2" t="s">
        <v>2366</v>
      </c>
      <c r="E225" s="2" t="s">
        <v>2367</v>
      </c>
      <c r="G225" s="3" t="s">
        <v>63</v>
      </c>
      <c r="I225" s="3" t="s">
        <v>63</v>
      </c>
      <c r="J225" s="3" t="s">
        <v>63</v>
      </c>
      <c r="K225" s="3" t="s">
        <v>64</v>
      </c>
      <c r="L225" s="2" t="s">
        <v>2368</v>
      </c>
      <c r="M225" s="2" t="s">
        <v>2369</v>
      </c>
      <c r="N225" s="3" t="s">
        <v>849</v>
      </c>
      <c r="P225" s="3" t="s">
        <v>66</v>
      </c>
      <c r="R225" s="3" t="s">
        <v>67</v>
      </c>
      <c r="S225" s="4">
        <v>7</v>
      </c>
      <c r="T225" s="4">
        <v>7</v>
      </c>
      <c r="U225" s="5" t="s">
        <v>2370</v>
      </c>
      <c r="V225" s="5" t="s">
        <v>2370</v>
      </c>
      <c r="W225" s="5" t="s">
        <v>69</v>
      </c>
      <c r="X225" s="5" t="s">
        <v>69</v>
      </c>
      <c r="Y225" s="4">
        <v>254</v>
      </c>
      <c r="Z225" s="4">
        <v>21</v>
      </c>
      <c r="AA225" s="4">
        <v>21</v>
      </c>
      <c r="AB225" s="4">
        <v>1</v>
      </c>
      <c r="AC225" s="4">
        <v>1</v>
      </c>
      <c r="AD225" s="4">
        <v>93</v>
      </c>
      <c r="AE225" s="4">
        <v>93</v>
      </c>
      <c r="AF225" s="4">
        <v>0</v>
      </c>
      <c r="AG225" s="4">
        <v>0</v>
      </c>
      <c r="AH225" s="4">
        <v>83</v>
      </c>
      <c r="AI225" s="4">
        <v>83</v>
      </c>
      <c r="AJ225" s="4">
        <v>18</v>
      </c>
      <c r="AK225" s="4">
        <v>18</v>
      </c>
      <c r="AL225" s="4">
        <v>46</v>
      </c>
      <c r="AM225" s="4">
        <v>46</v>
      </c>
      <c r="AN225" s="4">
        <v>0</v>
      </c>
      <c r="AO225" s="4">
        <v>0</v>
      </c>
      <c r="AP225" s="4">
        <v>18</v>
      </c>
      <c r="AQ225" s="4">
        <v>18</v>
      </c>
      <c r="AR225" s="3" t="s">
        <v>63</v>
      </c>
      <c r="AS225" s="3" t="s">
        <v>63</v>
      </c>
      <c r="AT225" s="3" t="s">
        <v>62</v>
      </c>
      <c r="AU225" s="6" t="str">
        <f>HYPERLINK("http://catalog.hathitrust.org/Record/000717196","HathiTrust Record")</f>
        <v>HathiTrust Record</v>
      </c>
      <c r="AV225" s="6" t="str">
        <f>HYPERLINK("http://mcgill.on.worldcat.org/oclc/5020695","Catalog Record")</f>
        <v>Catalog Record</v>
      </c>
      <c r="AW225" s="6" t="str">
        <f>HYPERLINK("http://www.worldcat.org/oclc/5020695","WorldCat Record")</f>
        <v>WorldCat Record</v>
      </c>
      <c r="AX225" s="3" t="s">
        <v>2371</v>
      </c>
      <c r="AY225" s="3" t="s">
        <v>2372</v>
      </c>
      <c r="AZ225" s="3" t="s">
        <v>2373</v>
      </c>
      <c r="BA225" s="3" t="s">
        <v>2373</v>
      </c>
      <c r="BB225" s="3" t="s">
        <v>2374</v>
      </c>
      <c r="BC225" s="3" t="s">
        <v>82</v>
      </c>
      <c r="BD225" s="3" t="s">
        <v>70</v>
      </c>
      <c r="BE225" s="3" t="s">
        <v>2375</v>
      </c>
      <c r="BF225" s="3" t="s">
        <v>2374</v>
      </c>
      <c r="BG225" s="3" t="s">
        <v>2376</v>
      </c>
    </row>
    <row r="226" spans="1:59" ht="60" x14ac:dyDescent="0.25">
      <c r="A226" s="2" t="s">
        <v>59</v>
      </c>
      <c r="B226" s="2" t="s">
        <v>60</v>
      </c>
      <c r="C226" s="2" t="s">
        <v>2377</v>
      </c>
      <c r="D226" s="2" t="s">
        <v>2378</v>
      </c>
      <c r="E226" s="2" t="s">
        <v>2379</v>
      </c>
      <c r="G226" s="3" t="s">
        <v>63</v>
      </c>
      <c r="I226" s="3" t="s">
        <v>63</v>
      </c>
      <c r="J226" s="3" t="s">
        <v>63</v>
      </c>
      <c r="K226" s="3" t="s">
        <v>64</v>
      </c>
      <c r="L226" s="2" t="s">
        <v>2380</v>
      </c>
      <c r="M226" s="2" t="s">
        <v>2381</v>
      </c>
      <c r="N226" s="3" t="s">
        <v>220</v>
      </c>
      <c r="P226" s="3" t="s">
        <v>90</v>
      </c>
      <c r="R226" s="3" t="s">
        <v>67</v>
      </c>
      <c r="S226" s="4">
        <v>6</v>
      </c>
      <c r="T226" s="4">
        <v>6</v>
      </c>
      <c r="U226" s="5" t="s">
        <v>2306</v>
      </c>
      <c r="V226" s="5" t="s">
        <v>2306</v>
      </c>
      <c r="W226" s="5" t="s">
        <v>69</v>
      </c>
      <c r="X226" s="5" t="s">
        <v>69</v>
      </c>
      <c r="Y226" s="4">
        <v>9</v>
      </c>
      <c r="Z226" s="4">
        <v>1</v>
      </c>
      <c r="AA226" s="4">
        <v>1</v>
      </c>
      <c r="AB226" s="4">
        <v>1</v>
      </c>
      <c r="AC226" s="4">
        <v>1</v>
      </c>
      <c r="AD226" s="4">
        <v>4</v>
      </c>
      <c r="AE226" s="4">
        <v>4</v>
      </c>
      <c r="AF226" s="4">
        <v>0</v>
      </c>
      <c r="AG226" s="4">
        <v>0</v>
      </c>
      <c r="AH226" s="4">
        <v>3</v>
      </c>
      <c r="AI226" s="4">
        <v>3</v>
      </c>
      <c r="AJ226" s="4">
        <v>0</v>
      </c>
      <c r="AK226" s="4">
        <v>0</v>
      </c>
      <c r="AL226" s="4">
        <v>4</v>
      </c>
      <c r="AM226" s="4">
        <v>4</v>
      </c>
      <c r="AN226" s="4">
        <v>0</v>
      </c>
      <c r="AO226" s="4">
        <v>0</v>
      </c>
      <c r="AP226" s="4">
        <v>0</v>
      </c>
      <c r="AQ226" s="4">
        <v>0</v>
      </c>
      <c r="AR226" s="3" t="s">
        <v>63</v>
      </c>
      <c r="AS226" s="3" t="s">
        <v>63</v>
      </c>
      <c r="AT226" s="3" t="s">
        <v>63</v>
      </c>
      <c r="AV226" s="6" t="str">
        <f>HYPERLINK("http://mcgill.on.worldcat.org/oclc/30580583","Catalog Record")</f>
        <v>Catalog Record</v>
      </c>
      <c r="AW226" s="6" t="str">
        <f>HYPERLINK("http://www.worldcat.org/oclc/30580583","WorldCat Record")</f>
        <v>WorldCat Record</v>
      </c>
      <c r="AX226" s="3" t="s">
        <v>2382</v>
      </c>
      <c r="AY226" s="3" t="s">
        <v>2383</v>
      </c>
      <c r="AZ226" s="3" t="s">
        <v>2384</v>
      </c>
      <c r="BA226" s="3" t="s">
        <v>2384</v>
      </c>
      <c r="BB226" s="3" t="s">
        <v>2385</v>
      </c>
      <c r="BC226" s="3" t="s">
        <v>82</v>
      </c>
      <c r="BD226" s="3" t="s">
        <v>70</v>
      </c>
      <c r="BE226" s="3" t="s">
        <v>2386</v>
      </c>
      <c r="BF226" s="3" t="s">
        <v>2385</v>
      </c>
      <c r="BG226" s="3" t="s">
        <v>2387</v>
      </c>
    </row>
    <row r="227" spans="1:59" ht="60" x14ac:dyDescent="0.25">
      <c r="A227" s="2" t="s">
        <v>59</v>
      </c>
      <c r="B227" s="2" t="s">
        <v>60</v>
      </c>
      <c r="C227" s="2" t="s">
        <v>2388</v>
      </c>
      <c r="D227" s="2" t="s">
        <v>2389</v>
      </c>
      <c r="E227" s="2" t="s">
        <v>2390</v>
      </c>
      <c r="G227" s="3" t="s">
        <v>63</v>
      </c>
      <c r="I227" s="3" t="s">
        <v>63</v>
      </c>
      <c r="J227" s="3" t="s">
        <v>63</v>
      </c>
      <c r="K227" s="3" t="s">
        <v>64</v>
      </c>
      <c r="L227" s="2" t="s">
        <v>2391</v>
      </c>
      <c r="M227" s="2" t="s">
        <v>2392</v>
      </c>
      <c r="N227" s="3" t="s">
        <v>2393</v>
      </c>
      <c r="P227" s="3" t="s">
        <v>90</v>
      </c>
      <c r="R227" s="3" t="s">
        <v>67</v>
      </c>
      <c r="S227" s="4">
        <v>1</v>
      </c>
      <c r="T227" s="4">
        <v>1</v>
      </c>
      <c r="U227" s="5" t="s">
        <v>2272</v>
      </c>
      <c r="V227" s="5" t="s">
        <v>2272</v>
      </c>
      <c r="W227" s="5" t="s">
        <v>69</v>
      </c>
      <c r="X227" s="5" t="s">
        <v>69</v>
      </c>
      <c r="Y227" s="4">
        <v>8</v>
      </c>
      <c r="Z227" s="4">
        <v>1</v>
      </c>
      <c r="AA227" s="4">
        <v>1</v>
      </c>
      <c r="AB227" s="4">
        <v>1</v>
      </c>
      <c r="AC227" s="4">
        <v>1</v>
      </c>
      <c r="AD227" s="4">
        <v>2</v>
      </c>
      <c r="AE227" s="4">
        <v>2</v>
      </c>
      <c r="AF227" s="4">
        <v>0</v>
      </c>
      <c r="AG227" s="4">
        <v>0</v>
      </c>
      <c r="AH227" s="4">
        <v>2</v>
      </c>
      <c r="AI227" s="4">
        <v>2</v>
      </c>
      <c r="AJ227" s="4">
        <v>0</v>
      </c>
      <c r="AK227" s="4">
        <v>0</v>
      </c>
      <c r="AL227" s="4">
        <v>2</v>
      </c>
      <c r="AM227" s="4">
        <v>2</v>
      </c>
      <c r="AN227" s="4">
        <v>0</v>
      </c>
      <c r="AO227" s="4">
        <v>0</v>
      </c>
      <c r="AP227" s="4">
        <v>0</v>
      </c>
      <c r="AQ227" s="4">
        <v>0</v>
      </c>
      <c r="AR227" s="3" t="s">
        <v>63</v>
      </c>
      <c r="AS227" s="3" t="s">
        <v>63</v>
      </c>
      <c r="AT227" s="3" t="s">
        <v>63</v>
      </c>
      <c r="AV227" s="6" t="str">
        <f>HYPERLINK("http://mcgill.on.worldcat.org/oclc/21135124","Catalog Record")</f>
        <v>Catalog Record</v>
      </c>
      <c r="AW227" s="6" t="str">
        <f>HYPERLINK("http://www.worldcat.org/oclc/21135124","WorldCat Record")</f>
        <v>WorldCat Record</v>
      </c>
      <c r="AX227" s="3" t="s">
        <v>2394</v>
      </c>
      <c r="AY227" s="3" t="s">
        <v>2395</v>
      </c>
      <c r="AZ227" s="3" t="s">
        <v>2396</v>
      </c>
      <c r="BA227" s="3" t="s">
        <v>2396</v>
      </c>
      <c r="BB227" s="3" t="s">
        <v>2397</v>
      </c>
      <c r="BC227" s="3" t="s">
        <v>82</v>
      </c>
      <c r="BD227" s="3" t="s">
        <v>70</v>
      </c>
      <c r="BF227" s="3" t="s">
        <v>2397</v>
      </c>
      <c r="BG227" s="3" t="s">
        <v>2398</v>
      </c>
    </row>
    <row r="228" spans="1:59" ht="60" x14ac:dyDescent="0.25">
      <c r="A228" s="2" t="s">
        <v>59</v>
      </c>
      <c r="B228" s="2" t="s">
        <v>60</v>
      </c>
      <c r="C228" s="2" t="s">
        <v>2399</v>
      </c>
      <c r="D228" s="2" t="s">
        <v>2400</v>
      </c>
      <c r="E228" s="2" t="s">
        <v>2401</v>
      </c>
      <c r="G228" s="3" t="s">
        <v>63</v>
      </c>
      <c r="I228" s="3" t="s">
        <v>63</v>
      </c>
      <c r="J228" s="3" t="s">
        <v>63</v>
      </c>
      <c r="K228" s="3" t="s">
        <v>64</v>
      </c>
      <c r="M228" s="2" t="s">
        <v>2402</v>
      </c>
      <c r="N228" s="3" t="s">
        <v>468</v>
      </c>
      <c r="O228" s="2" t="s">
        <v>2403</v>
      </c>
      <c r="P228" s="3" t="s">
        <v>90</v>
      </c>
      <c r="R228" s="3" t="s">
        <v>67</v>
      </c>
      <c r="S228" s="4">
        <v>1</v>
      </c>
      <c r="T228" s="4">
        <v>1</v>
      </c>
      <c r="U228" s="5" t="s">
        <v>2404</v>
      </c>
      <c r="V228" s="5" t="s">
        <v>2404</v>
      </c>
      <c r="W228" s="5" t="s">
        <v>69</v>
      </c>
      <c r="X228" s="5" t="s">
        <v>69</v>
      </c>
      <c r="Y228" s="4">
        <v>2</v>
      </c>
      <c r="Z228" s="4">
        <v>1</v>
      </c>
      <c r="AA228" s="4">
        <v>1</v>
      </c>
      <c r="AB228" s="4">
        <v>1</v>
      </c>
      <c r="AC228" s="4">
        <v>1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3" t="s">
        <v>63</v>
      </c>
      <c r="AS228" s="3" t="s">
        <v>63</v>
      </c>
      <c r="AT228" s="3" t="s">
        <v>63</v>
      </c>
      <c r="AV228" s="6" t="str">
        <f>HYPERLINK("http://mcgill.on.worldcat.org/oclc/57250094","Catalog Record")</f>
        <v>Catalog Record</v>
      </c>
      <c r="AW228" s="6" t="str">
        <f>HYPERLINK("http://www.worldcat.org/oclc/57250094","WorldCat Record")</f>
        <v>WorldCat Record</v>
      </c>
      <c r="AX228" s="3" t="s">
        <v>2405</v>
      </c>
      <c r="AY228" s="3" t="s">
        <v>2406</v>
      </c>
      <c r="AZ228" s="3" t="s">
        <v>2407</v>
      </c>
      <c r="BA228" s="3" t="s">
        <v>2407</v>
      </c>
      <c r="BB228" s="3" t="s">
        <v>2408</v>
      </c>
      <c r="BC228" s="3" t="s">
        <v>82</v>
      </c>
      <c r="BD228" s="3" t="s">
        <v>70</v>
      </c>
      <c r="BF228" s="3" t="s">
        <v>2408</v>
      </c>
      <c r="BG228" s="3" t="s">
        <v>2409</v>
      </c>
    </row>
    <row r="229" spans="1:59" ht="75" x14ac:dyDescent="0.25">
      <c r="A229" s="2" t="s">
        <v>59</v>
      </c>
      <c r="B229" s="2" t="s">
        <v>60</v>
      </c>
      <c r="C229" s="2" t="s">
        <v>2410</v>
      </c>
      <c r="D229" s="2" t="s">
        <v>2411</v>
      </c>
      <c r="E229" s="2" t="s">
        <v>2412</v>
      </c>
      <c r="G229" s="3" t="s">
        <v>63</v>
      </c>
      <c r="I229" s="3" t="s">
        <v>63</v>
      </c>
      <c r="J229" s="3" t="s">
        <v>63</v>
      </c>
      <c r="K229" s="3" t="s">
        <v>64</v>
      </c>
      <c r="M229" s="2" t="s">
        <v>2413</v>
      </c>
      <c r="N229" s="3" t="s">
        <v>2225</v>
      </c>
      <c r="P229" s="3" t="s">
        <v>90</v>
      </c>
      <c r="R229" s="3" t="s">
        <v>67</v>
      </c>
      <c r="S229" s="4">
        <v>1</v>
      </c>
      <c r="T229" s="4">
        <v>1</v>
      </c>
      <c r="U229" s="5" t="s">
        <v>2044</v>
      </c>
      <c r="V229" s="5" t="s">
        <v>2044</v>
      </c>
      <c r="W229" s="5" t="s">
        <v>69</v>
      </c>
      <c r="X229" s="5" t="s">
        <v>69</v>
      </c>
      <c r="Y229" s="4">
        <v>43</v>
      </c>
      <c r="Z229" s="4">
        <v>3</v>
      </c>
      <c r="AA229" s="4">
        <v>3</v>
      </c>
      <c r="AB229" s="4">
        <v>1</v>
      </c>
      <c r="AC229" s="4">
        <v>1</v>
      </c>
      <c r="AD229" s="4">
        <v>30</v>
      </c>
      <c r="AE229" s="4">
        <v>30</v>
      </c>
      <c r="AF229" s="4">
        <v>0</v>
      </c>
      <c r="AG229" s="4">
        <v>0</v>
      </c>
      <c r="AH229" s="4">
        <v>28</v>
      </c>
      <c r="AI229" s="4">
        <v>28</v>
      </c>
      <c r="AJ229" s="4">
        <v>2</v>
      </c>
      <c r="AK229" s="4">
        <v>2</v>
      </c>
      <c r="AL229" s="4">
        <v>22</v>
      </c>
      <c r="AM229" s="4">
        <v>22</v>
      </c>
      <c r="AN229" s="4">
        <v>0</v>
      </c>
      <c r="AO229" s="4">
        <v>0</v>
      </c>
      <c r="AP229" s="4">
        <v>2</v>
      </c>
      <c r="AQ229" s="4">
        <v>2</v>
      </c>
      <c r="AR229" s="3" t="s">
        <v>63</v>
      </c>
      <c r="AS229" s="3" t="s">
        <v>63</v>
      </c>
      <c r="AT229" s="3" t="s">
        <v>62</v>
      </c>
      <c r="AU229" s="6" t="str">
        <f>HYPERLINK("http://catalog.hathitrust.org/Record/001726342","HathiTrust Record")</f>
        <v>HathiTrust Record</v>
      </c>
      <c r="AV229" s="6" t="str">
        <f>HYPERLINK("http://mcgill.on.worldcat.org/oclc/7261932","Catalog Record")</f>
        <v>Catalog Record</v>
      </c>
      <c r="AW229" s="6" t="str">
        <f>HYPERLINK("http://www.worldcat.org/oclc/7261932","WorldCat Record")</f>
        <v>WorldCat Record</v>
      </c>
      <c r="AX229" s="3" t="s">
        <v>2414</v>
      </c>
      <c r="AY229" s="3" t="s">
        <v>2415</v>
      </c>
      <c r="AZ229" s="3" t="s">
        <v>2416</v>
      </c>
      <c r="BA229" s="3" t="s">
        <v>2416</v>
      </c>
      <c r="BB229" s="3" t="s">
        <v>2417</v>
      </c>
      <c r="BC229" s="3" t="s">
        <v>82</v>
      </c>
      <c r="BD229" s="3" t="s">
        <v>70</v>
      </c>
      <c r="BF229" s="3" t="s">
        <v>2417</v>
      </c>
      <c r="BG229" s="3" t="s">
        <v>2418</v>
      </c>
    </row>
    <row r="230" spans="1:59" ht="75" x14ac:dyDescent="0.25">
      <c r="A230" s="2" t="s">
        <v>59</v>
      </c>
      <c r="B230" s="2" t="s">
        <v>60</v>
      </c>
      <c r="C230" s="2" t="s">
        <v>2419</v>
      </c>
      <c r="D230" s="2" t="s">
        <v>2420</v>
      </c>
      <c r="E230" s="2" t="s">
        <v>2421</v>
      </c>
      <c r="G230" s="3" t="s">
        <v>63</v>
      </c>
      <c r="I230" s="3" t="s">
        <v>63</v>
      </c>
      <c r="J230" s="3" t="s">
        <v>63</v>
      </c>
      <c r="K230" s="3" t="s">
        <v>64</v>
      </c>
      <c r="L230" s="2" t="s">
        <v>2422</v>
      </c>
      <c r="M230" s="2" t="s">
        <v>2423</v>
      </c>
      <c r="N230" s="3" t="s">
        <v>2225</v>
      </c>
      <c r="O230" s="2" t="s">
        <v>2424</v>
      </c>
      <c r="P230" s="3" t="s">
        <v>90</v>
      </c>
      <c r="R230" s="3" t="s">
        <v>67</v>
      </c>
      <c r="S230" s="4">
        <v>4</v>
      </c>
      <c r="T230" s="4">
        <v>4</v>
      </c>
      <c r="U230" s="5" t="s">
        <v>2425</v>
      </c>
      <c r="V230" s="5" t="s">
        <v>2425</v>
      </c>
      <c r="W230" s="5" t="s">
        <v>69</v>
      </c>
      <c r="X230" s="5" t="s">
        <v>69</v>
      </c>
      <c r="Y230" s="4">
        <v>1</v>
      </c>
      <c r="Z230" s="4">
        <v>1</v>
      </c>
      <c r="AA230" s="4">
        <v>4</v>
      </c>
      <c r="AB230" s="4">
        <v>1</v>
      </c>
      <c r="AC230" s="4">
        <v>1</v>
      </c>
      <c r="AD230" s="4">
        <v>0</v>
      </c>
      <c r="AE230" s="4">
        <v>8</v>
      </c>
      <c r="AF230" s="4">
        <v>0</v>
      </c>
      <c r="AG230" s="4">
        <v>0</v>
      </c>
      <c r="AH230" s="4">
        <v>0</v>
      </c>
      <c r="AI230" s="4">
        <v>8</v>
      </c>
      <c r="AJ230" s="4">
        <v>0</v>
      </c>
      <c r="AK230" s="4">
        <v>3</v>
      </c>
      <c r="AL230" s="4">
        <v>0</v>
      </c>
      <c r="AM230" s="4">
        <v>4</v>
      </c>
      <c r="AN230" s="4">
        <v>0</v>
      </c>
      <c r="AO230" s="4">
        <v>0</v>
      </c>
      <c r="AP230" s="4">
        <v>0</v>
      </c>
      <c r="AQ230" s="4">
        <v>3</v>
      </c>
      <c r="AR230" s="3" t="s">
        <v>63</v>
      </c>
      <c r="AS230" s="3" t="s">
        <v>63</v>
      </c>
      <c r="AT230" s="3" t="s">
        <v>63</v>
      </c>
      <c r="AV230" s="6" t="str">
        <f>HYPERLINK("http://mcgill.on.worldcat.org/oclc/61597867","Catalog Record")</f>
        <v>Catalog Record</v>
      </c>
      <c r="AW230" s="6" t="str">
        <f>HYPERLINK("http://www.worldcat.org/oclc/61597867","WorldCat Record")</f>
        <v>WorldCat Record</v>
      </c>
      <c r="AX230" s="3" t="s">
        <v>2426</v>
      </c>
      <c r="AY230" s="3" t="s">
        <v>2427</v>
      </c>
      <c r="AZ230" s="3" t="s">
        <v>2428</v>
      </c>
      <c r="BA230" s="3" t="s">
        <v>2428</v>
      </c>
      <c r="BB230" s="3" t="s">
        <v>2429</v>
      </c>
      <c r="BC230" s="3" t="s">
        <v>82</v>
      </c>
      <c r="BD230" s="3" t="s">
        <v>70</v>
      </c>
      <c r="BF230" s="3" t="s">
        <v>2429</v>
      </c>
      <c r="BG230" s="3" t="s">
        <v>2430</v>
      </c>
    </row>
    <row r="231" spans="1:59" ht="60" x14ac:dyDescent="0.25">
      <c r="A231" s="2" t="s">
        <v>59</v>
      </c>
      <c r="B231" s="2" t="s">
        <v>60</v>
      </c>
      <c r="C231" s="2" t="s">
        <v>2431</v>
      </c>
      <c r="D231" s="2" t="s">
        <v>2432</v>
      </c>
      <c r="E231" s="2" t="s">
        <v>2433</v>
      </c>
      <c r="G231" s="3" t="s">
        <v>63</v>
      </c>
      <c r="I231" s="3" t="s">
        <v>63</v>
      </c>
      <c r="J231" s="3" t="s">
        <v>63</v>
      </c>
      <c r="K231" s="3" t="s">
        <v>64</v>
      </c>
      <c r="L231" s="2" t="s">
        <v>2434</v>
      </c>
      <c r="M231" s="2" t="s">
        <v>2435</v>
      </c>
      <c r="N231" s="3" t="s">
        <v>837</v>
      </c>
      <c r="P231" s="3" t="s">
        <v>66</v>
      </c>
      <c r="Q231" s="2" t="s">
        <v>2436</v>
      </c>
      <c r="R231" s="3" t="s">
        <v>67</v>
      </c>
      <c r="S231" s="4">
        <v>18</v>
      </c>
      <c r="T231" s="4">
        <v>18</v>
      </c>
      <c r="U231" s="5" t="s">
        <v>2437</v>
      </c>
      <c r="V231" s="5" t="s">
        <v>2437</v>
      </c>
      <c r="W231" s="5" t="s">
        <v>69</v>
      </c>
      <c r="X231" s="5" t="s">
        <v>69</v>
      </c>
      <c r="Y231" s="4">
        <v>152</v>
      </c>
      <c r="Z231" s="4">
        <v>5</v>
      </c>
      <c r="AA231" s="4">
        <v>11</v>
      </c>
      <c r="AB231" s="4">
        <v>1</v>
      </c>
      <c r="AC231" s="4">
        <v>1</v>
      </c>
      <c r="AD231" s="4">
        <v>38</v>
      </c>
      <c r="AE231" s="4">
        <v>64</v>
      </c>
      <c r="AF231" s="4">
        <v>0</v>
      </c>
      <c r="AG231" s="4">
        <v>0</v>
      </c>
      <c r="AH231" s="4">
        <v>37</v>
      </c>
      <c r="AI231" s="4">
        <v>60</v>
      </c>
      <c r="AJ231" s="4">
        <v>2</v>
      </c>
      <c r="AK231" s="4">
        <v>7</v>
      </c>
      <c r="AL231" s="4">
        <v>20</v>
      </c>
      <c r="AM231" s="4">
        <v>30</v>
      </c>
      <c r="AN231" s="4">
        <v>0</v>
      </c>
      <c r="AO231" s="4">
        <v>0</v>
      </c>
      <c r="AP231" s="4">
        <v>2</v>
      </c>
      <c r="AQ231" s="4">
        <v>8</v>
      </c>
      <c r="AR231" s="3" t="s">
        <v>63</v>
      </c>
      <c r="AS231" s="3" t="s">
        <v>63</v>
      </c>
      <c r="AT231" s="3" t="s">
        <v>62</v>
      </c>
      <c r="AU231" s="6" t="str">
        <f>HYPERLINK("http://catalog.hathitrust.org/Record/102090142","HathiTrust Record")</f>
        <v>HathiTrust Record</v>
      </c>
      <c r="AV231" s="6" t="str">
        <f>HYPERLINK("http://mcgill.on.worldcat.org/oclc/1265139","Catalog Record")</f>
        <v>Catalog Record</v>
      </c>
      <c r="AW231" s="6" t="str">
        <f>HYPERLINK("http://www.worldcat.org/oclc/1265139","WorldCat Record")</f>
        <v>WorldCat Record</v>
      </c>
      <c r="AX231" s="3" t="s">
        <v>2438</v>
      </c>
      <c r="AY231" s="3" t="s">
        <v>2439</v>
      </c>
      <c r="AZ231" s="3" t="s">
        <v>2440</v>
      </c>
      <c r="BA231" s="3" t="s">
        <v>2440</v>
      </c>
      <c r="BB231" s="3" t="s">
        <v>2441</v>
      </c>
      <c r="BC231" s="3" t="s">
        <v>82</v>
      </c>
      <c r="BD231" s="3" t="s">
        <v>70</v>
      </c>
      <c r="BF231" s="3" t="s">
        <v>2441</v>
      </c>
      <c r="BG231" s="3" t="s">
        <v>2442</v>
      </c>
    </row>
    <row r="232" spans="1:59" ht="60" x14ac:dyDescent="0.25">
      <c r="A232" s="2" t="s">
        <v>59</v>
      </c>
      <c r="B232" s="2" t="s">
        <v>60</v>
      </c>
      <c r="C232" s="2" t="s">
        <v>2443</v>
      </c>
      <c r="D232" s="2" t="s">
        <v>2444</v>
      </c>
      <c r="E232" s="2" t="s">
        <v>2445</v>
      </c>
      <c r="G232" s="3" t="s">
        <v>62</v>
      </c>
      <c r="I232" s="3" t="s">
        <v>63</v>
      </c>
      <c r="J232" s="3" t="s">
        <v>63</v>
      </c>
      <c r="K232" s="3" t="s">
        <v>64</v>
      </c>
      <c r="L232" s="2" t="s">
        <v>2446</v>
      </c>
      <c r="M232" s="2" t="s">
        <v>2447</v>
      </c>
      <c r="N232" s="3" t="s">
        <v>2448</v>
      </c>
      <c r="P232" s="3" t="s">
        <v>90</v>
      </c>
      <c r="Q232" s="2" t="s">
        <v>2449</v>
      </c>
      <c r="R232" s="3" t="s">
        <v>67</v>
      </c>
      <c r="S232" s="4">
        <v>8</v>
      </c>
      <c r="T232" s="4">
        <v>8</v>
      </c>
      <c r="U232" s="5" t="s">
        <v>1961</v>
      </c>
      <c r="V232" s="5" t="s">
        <v>1961</v>
      </c>
      <c r="W232" s="5" t="s">
        <v>69</v>
      </c>
      <c r="X232" s="5" t="s">
        <v>69</v>
      </c>
      <c r="Y232" s="4">
        <v>76</v>
      </c>
      <c r="Z232" s="4">
        <v>4</v>
      </c>
      <c r="AA232" s="4">
        <v>5</v>
      </c>
      <c r="AB232" s="4">
        <v>1</v>
      </c>
      <c r="AC232" s="4">
        <v>1</v>
      </c>
      <c r="AD232" s="4">
        <v>28</v>
      </c>
      <c r="AE232" s="4">
        <v>31</v>
      </c>
      <c r="AF232" s="4">
        <v>0</v>
      </c>
      <c r="AG232" s="4">
        <v>0</v>
      </c>
      <c r="AH232" s="4">
        <v>27</v>
      </c>
      <c r="AI232" s="4">
        <v>29</v>
      </c>
      <c r="AJ232" s="4">
        <v>2</v>
      </c>
      <c r="AK232" s="4">
        <v>2</v>
      </c>
      <c r="AL232" s="4">
        <v>16</v>
      </c>
      <c r="AM232" s="4">
        <v>18</v>
      </c>
      <c r="AN232" s="4">
        <v>0</v>
      </c>
      <c r="AO232" s="4">
        <v>0</v>
      </c>
      <c r="AP232" s="4">
        <v>3</v>
      </c>
      <c r="AQ232" s="4">
        <v>4</v>
      </c>
      <c r="AR232" s="3" t="s">
        <v>63</v>
      </c>
      <c r="AS232" s="3" t="s">
        <v>63</v>
      </c>
      <c r="AT232" s="3" t="s">
        <v>62</v>
      </c>
      <c r="AU232" s="6" t="str">
        <f>HYPERLINK("http://catalog.hathitrust.org/Record/001059240","HathiTrust Record")</f>
        <v>HathiTrust Record</v>
      </c>
      <c r="AV232" s="6" t="str">
        <f>HYPERLINK("http://mcgill.on.worldcat.org/oclc/1706806","Catalog Record")</f>
        <v>Catalog Record</v>
      </c>
      <c r="AW232" s="6" t="str">
        <f>HYPERLINK("http://www.worldcat.org/oclc/1706806","WorldCat Record")</f>
        <v>WorldCat Record</v>
      </c>
      <c r="AX232" s="3" t="s">
        <v>2450</v>
      </c>
      <c r="AY232" s="3" t="s">
        <v>2451</v>
      </c>
      <c r="AZ232" s="3" t="s">
        <v>2452</v>
      </c>
      <c r="BA232" s="3" t="s">
        <v>2452</v>
      </c>
      <c r="BB232" s="3" t="s">
        <v>2453</v>
      </c>
      <c r="BC232" s="3" t="s">
        <v>82</v>
      </c>
      <c r="BD232" s="3" t="s">
        <v>70</v>
      </c>
      <c r="BF232" s="3" t="s">
        <v>2453</v>
      </c>
      <c r="BG232" s="3" t="s">
        <v>2454</v>
      </c>
    </row>
    <row r="233" spans="1:59" ht="60" x14ac:dyDescent="0.25">
      <c r="A233" s="2" t="s">
        <v>59</v>
      </c>
      <c r="B233" s="2" t="s">
        <v>60</v>
      </c>
      <c r="C233" s="2" t="s">
        <v>2455</v>
      </c>
      <c r="D233" s="2" t="s">
        <v>2456</v>
      </c>
      <c r="E233" s="2" t="s">
        <v>2457</v>
      </c>
      <c r="G233" s="3" t="s">
        <v>63</v>
      </c>
      <c r="I233" s="3" t="s">
        <v>63</v>
      </c>
      <c r="J233" s="3" t="s">
        <v>63</v>
      </c>
      <c r="K233" s="3" t="s">
        <v>64</v>
      </c>
      <c r="M233" s="2" t="s">
        <v>2458</v>
      </c>
      <c r="N233" s="3" t="s">
        <v>2459</v>
      </c>
      <c r="P233" s="3" t="s">
        <v>90</v>
      </c>
      <c r="R233" s="3" t="s">
        <v>67</v>
      </c>
      <c r="S233" s="4">
        <v>5</v>
      </c>
      <c r="T233" s="4">
        <v>5</v>
      </c>
      <c r="U233" s="5" t="s">
        <v>2009</v>
      </c>
      <c r="V233" s="5" t="s">
        <v>2009</v>
      </c>
      <c r="W233" s="5" t="s">
        <v>69</v>
      </c>
      <c r="X233" s="5" t="s">
        <v>69</v>
      </c>
      <c r="Y233" s="4">
        <v>2</v>
      </c>
      <c r="Z233" s="4">
        <v>1</v>
      </c>
      <c r="AA233" s="4">
        <v>1</v>
      </c>
      <c r="AB233" s="4">
        <v>1</v>
      </c>
      <c r="AC233" s="4">
        <v>1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3" t="s">
        <v>63</v>
      </c>
      <c r="AS233" s="3" t="s">
        <v>63</v>
      </c>
      <c r="AT233" s="3" t="s">
        <v>63</v>
      </c>
      <c r="AV233" s="6" t="str">
        <f>HYPERLINK("http://mcgill.on.worldcat.org/oclc/729256244","Catalog Record")</f>
        <v>Catalog Record</v>
      </c>
      <c r="AW233" s="6" t="str">
        <f>HYPERLINK("http://www.worldcat.org/oclc/729256244","WorldCat Record")</f>
        <v>WorldCat Record</v>
      </c>
      <c r="AX233" s="3" t="s">
        <v>2460</v>
      </c>
      <c r="AY233" s="3" t="s">
        <v>2461</v>
      </c>
      <c r="AZ233" s="3" t="s">
        <v>2462</v>
      </c>
      <c r="BA233" s="3" t="s">
        <v>2462</v>
      </c>
      <c r="BB233" s="3" t="s">
        <v>2463</v>
      </c>
      <c r="BC233" s="3" t="s">
        <v>82</v>
      </c>
      <c r="BD233" s="3" t="s">
        <v>538</v>
      </c>
      <c r="BE233" s="3" t="s">
        <v>2464</v>
      </c>
      <c r="BF233" s="3" t="s">
        <v>2463</v>
      </c>
      <c r="BG233" s="3" t="s">
        <v>2465</v>
      </c>
    </row>
    <row r="234" spans="1:59" ht="60" x14ac:dyDescent="0.25">
      <c r="A234" s="2" t="s">
        <v>59</v>
      </c>
      <c r="B234" s="2" t="s">
        <v>60</v>
      </c>
      <c r="C234" s="2" t="s">
        <v>2466</v>
      </c>
      <c r="D234" s="2" t="s">
        <v>2467</v>
      </c>
      <c r="E234" s="2" t="s">
        <v>2468</v>
      </c>
      <c r="G234" s="3" t="s">
        <v>63</v>
      </c>
      <c r="I234" s="3" t="s">
        <v>63</v>
      </c>
      <c r="J234" s="3" t="s">
        <v>63</v>
      </c>
      <c r="K234" s="3" t="s">
        <v>64</v>
      </c>
      <c r="M234" s="2" t="s">
        <v>2469</v>
      </c>
      <c r="N234" s="3" t="s">
        <v>300</v>
      </c>
      <c r="P234" s="3" t="s">
        <v>90</v>
      </c>
      <c r="Q234" s="2" t="s">
        <v>2470</v>
      </c>
      <c r="R234" s="3" t="s">
        <v>67</v>
      </c>
      <c r="S234" s="4">
        <v>1</v>
      </c>
      <c r="T234" s="4">
        <v>1</v>
      </c>
      <c r="U234" s="5" t="s">
        <v>2404</v>
      </c>
      <c r="V234" s="5" t="s">
        <v>2404</v>
      </c>
      <c r="W234" s="5" t="s">
        <v>69</v>
      </c>
      <c r="X234" s="5" t="s">
        <v>69</v>
      </c>
      <c r="Y234" s="4">
        <v>47</v>
      </c>
      <c r="Z234" s="4">
        <v>5</v>
      </c>
      <c r="AA234" s="4">
        <v>6</v>
      </c>
      <c r="AB234" s="4">
        <v>1</v>
      </c>
      <c r="AC234" s="4">
        <v>1</v>
      </c>
      <c r="AD234" s="4">
        <v>21</v>
      </c>
      <c r="AE234" s="4">
        <v>22</v>
      </c>
      <c r="AF234" s="4">
        <v>0</v>
      </c>
      <c r="AG234" s="4">
        <v>0</v>
      </c>
      <c r="AH234" s="4">
        <v>20</v>
      </c>
      <c r="AI234" s="4">
        <v>21</v>
      </c>
      <c r="AJ234" s="4">
        <v>3</v>
      </c>
      <c r="AK234" s="4">
        <v>4</v>
      </c>
      <c r="AL234" s="4">
        <v>14</v>
      </c>
      <c r="AM234" s="4">
        <v>14</v>
      </c>
      <c r="AN234" s="4">
        <v>0</v>
      </c>
      <c r="AO234" s="4">
        <v>0</v>
      </c>
      <c r="AP234" s="4">
        <v>3</v>
      </c>
      <c r="AQ234" s="4">
        <v>4</v>
      </c>
      <c r="AR234" s="3" t="s">
        <v>63</v>
      </c>
      <c r="AS234" s="3" t="s">
        <v>63</v>
      </c>
      <c r="AT234" s="3" t="s">
        <v>62</v>
      </c>
      <c r="AU234" s="6" t="str">
        <f>HYPERLINK("http://catalog.hathitrust.org/Record/009974286","HathiTrust Record")</f>
        <v>HathiTrust Record</v>
      </c>
      <c r="AV234" s="6" t="str">
        <f>HYPERLINK("http://mcgill.on.worldcat.org/oclc/3753025","Catalog Record")</f>
        <v>Catalog Record</v>
      </c>
      <c r="AW234" s="6" t="str">
        <f>HYPERLINK("http://www.worldcat.org/oclc/3753025","WorldCat Record")</f>
        <v>WorldCat Record</v>
      </c>
      <c r="AX234" s="3" t="s">
        <v>2471</v>
      </c>
      <c r="AY234" s="3" t="s">
        <v>2472</v>
      </c>
      <c r="AZ234" s="3" t="s">
        <v>2473</v>
      </c>
      <c r="BA234" s="3" t="s">
        <v>2473</v>
      </c>
      <c r="BB234" s="3" t="s">
        <v>2474</v>
      </c>
      <c r="BC234" s="3" t="s">
        <v>82</v>
      </c>
      <c r="BD234" s="3" t="s">
        <v>70</v>
      </c>
      <c r="BF234" s="3" t="s">
        <v>2474</v>
      </c>
      <c r="BG234" s="3" t="s">
        <v>2475</v>
      </c>
    </row>
    <row r="235" spans="1:59" ht="60" x14ac:dyDescent="0.25">
      <c r="A235" s="2" t="s">
        <v>59</v>
      </c>
      <c r="B235" s="2" t="s">
        <v>60</v>
      </c>
      <c r="C235" s="2" t="s">
        <v>2476</v>
      </c>
      <c r="D235" s="2" t="s">
        <v>2477</v>
      </c>
      <c r="E235" s="2" t="s">
        <v>2478</v>
      </c>
      <c r="G235" s="3" t="s">
        <v>63</v>
      </c>
      <c r="I235" s="3" t="s">
        <v>63</v>
      </c>
      <c r="J235" s="3" t="s">
        <v>63</v>
      </c>
      <c r="K235" s="3" t="s">
        <v>64</v>
      </c>
      <c r="L235" s="2" t="s">
        <v>2479</v>
      </c>
      <c r="M235" s="2" t="s">
        <v>2480</v>
      </c>
      <c r="N235" s="3" t="s">
        <v>1046</v>
      </c>
      <c r="P235" s="3" t="s">
        <v>90</v>
      </c>
      <c r="R235" s="3" t="s">
        <v>67</v>
      </c>
      <c r="S235" s="4">
        <v>8</v>
      </c>
      <c r="T235" s="4">
        <v>8</v>
      </c>
      <c r="U235" s="5" t="s">
        <v>2481</v>
      </c>
      <c r="V235" s="5" t="s">
        <v>2481</v>
      </c>
      <c r="W235" s="5" t="s">
        <v>69</v>
      </c>
      <c r="X235" s="5" t="s">
        <v>69</v>
      </c>
      <c r="Y235" s="4">
        <v>119</v>
      </c>
      <c r="Z235" s="4">
        <v>7</v>
      </c>
      <c r="AA235" s="4">
        <v>7</v>
      </c>
      <c r="AB235" s="4">
        <v>1</v>
      </c>
      <c r="AC235" s="4">
        <v>1</v>
      </c>
      <c r="AD235" s="4">
        <v>45</v>
      </c>
      <c r="AE235" s="4">
        <v>45</v>
      </c>
      <c r="AF235" s="4">
        <v>0</v>
      </c>
      <c r="AG235" s="4">
        <v>0</v>
      </c>
      <c r="AH235" s="4">
        <v>42</v>
      </c>
      <c r="AI235" s="4">
        <v>42</v>
      </c>
      <c r="AJ235" s="4">
        <v>6</v>
      </c>
      <c r="AK235" s="4">
        <v>6</v>
      </c>
      <c r="AL235" s="4">
        <v>23</v>
      </c>
      <c r="AM235" s="4">
        <v>23</v>
      </c>
      <c r="AN235" s="4">
        <v>0</v>
      </c>
      <c r="AO235" s="4">
        <v>0</v>
      </c>
      <c r="AP235" s="4">
        <v>6</v>
      </c>
      <c r="AQ235" s="4">
        <v>6</v>
      </c>
      <c r="AR235" s="3" t="s">
        <v>63</v>
      </c>
      <c r="AS235" s="3" t="s">
        <v>63</v>
      </c>
      <c r="AT235" s="3" t="s">
        <v>62</v>
      </c>
      <c r="AU235" s="6" t="str">
        <f>HYPERLINK("http://catalog.hathitrust.org/Record/007370514","HathiTrust Record")</f>
        <v>HathiTrust Record</v>
      </c>
      <c r="AV235" s="6" t="str">
        <f>HYPERLINK("http://mcgill.on.worldcat.org/oclc/2921963","Catalog Record")</f>
        <v>Catalog Record</v>
      </c>
      <c r="AW235" s="6" t="str">
        <f>HYPERLINK("http://www.worldcat.org/oclc/2921963","WorldCat Record")</f>
        <v>WorldCat Record</v>
      </c>
      <c r="AX235" s="3" t="s">
        <v>2482</v>
      </c>
      <c r="AY235" s="3" t="s">
        <v>2483</v>
      </c>
      <c r="AZ235" s="3" t="s">
        <v>2484</v>
      </c>
      <c r="BA235" s="3" t="s">
        <v>2484</v>
      </c>
      <c r="BB235" s="3" t="s">
        <v>2485</v>
      </c>
      <c r="BC235" s="3" t="s">
        <v>82</v>
      </c>
      <c r="BD235" s="3" t="s">
        <v>70</v>
      </c>
      <c r="BF235" s="3" t="s">
        <v>2485</v>
      </c>
      <c r="BG235" s="3" t="s">
        <v>2486</v>
      </c>
    </row>
    <row r="236" spans="1:59" ht="60" x14ac:dyDescent="0.25">
      <c r="A236" s="2" t="s">
        <v>59</v>
      </c>
      <c r="B236" s="2" t="s">
        <v>60</v>
      </c>
      <c r="C236" s="2" t="s">
        <v>2487</v>
      </c>
      <c r="D236" s="2" t="s">
        <v>2488</v>
      </c>
      <c r="E236" s="2" t="s">
        <v>2489</v>
      </c>
      <c r="G236" s="3" t="s">
        <v>63</v>
      </c>
      <c r="I236" s="3" t="s">
        <v>63</v>
      </c>
      <c r="J236" s="3" t="s">
        <v>63</v>
      </c>
      <c r="K236" s="3" t="s">
        <v>64</v>
      </c>
      <c r="L236" s="2" t="s">
        <v>2490</v>
      </c>
      <c r="M236" s="2" t="s">
        <v>2491</v>
      </c>
      <c r="N236" s="3" t="s">
        <v>313</v>
      </c>
      <c r="P236" s="3" t="s">
        <v>90</v>
      </c>
      <c r="Q236" s="2" t="s">
        <v>2492</v>
      </c>
      <c r="R236" s="3" t="s">
        <v>67</v>
      </c>
      <c r="S236" s="4">
        <v>1</v>
      </c>
      <c r="T236" s="4">
        <v>1</v>
      </c>
      <c r="U236" s="5" t="s">
        <v>2493</v>
      </c>
      <c r="V236" s="5" t="s">
        <v>2493</v>
      </c>
      <c r="W236" s="5" t="s">
        <v>69</v>
      </c>
      <c r="X236" s="5" t="s">
        <v>69</v>
      </c>
      <c r="Y236" s="4">
        <v>6</v>
      </c>
      <c r="Z236" s="4">
        <v>1</v>
      </c>
      <c r="AA236" s="4">
        <v>1</v>
      </c>
      <c r="AB236" s="4">
        <v>1</v>
      </c>
      <c r="AC236" s="4">
        <v>1</v>
      </c>
      <c r="AD236" s="4">
        <v>3</v>
      </c>
      <c r="AE236" s="4">
        <v>3</v>
      </c>
      <c r="AF236" s="4">
        <v>0</v>
      </c>
      <c r="AG236" s="4">
        <v>0</v>
      </c>
      <c r="AH236" s="4">
        <v>3</v>
      </c>
      <c r="AI236" s="4">
        <v>3</v>
      </c>
      <c r="AJ236" s="4">
        <v>0</v>
      </c>
      <c r="AK236" s="4">
        <v>0</v>
      </c>
      <c r="AL236" s="4">
        <v>3</v>
      </c>
      <c r="AM236" s="4">
        <v>3</v>
      </c>
      <c r="AN236" s="4">
        <v>0</v>
      </c>
      <c r="AO236" s="4">
        <v>0</v>
      </c>
      <c r="AP236" s="4">
        <v>0</v>
      </c>
      <c r="AQ236" s="4">
        <v>0</v>
      </c>
      <c r="AR236" s="3" t="s">
        <v>63</v>
      </c>
      <c r="AS236" s="3" t="s">
        <v>63</v>
      </c>
      <c r="AT236" s="3" t="s">
        <v>63</v>
      </c>
      <c r="AV236" s="6" t="str">
        <f>HYPERLINK("http://mcgill.on.worldcat.org/oclc/711888792","Catalog Record")</f>
        <v>Catalog Record</v>
      </c>
      <c r="AW236" s="6" t="str">
        <f>HYPERLINK("http://www.worldcat.org/oclc/711888792","WorldCat Record")</f>
        <v>WorldCat Record</v>
      </c>
      <c r="AX236" s="3" t="s">
        <v>2494</v>
      </c>
      <c r="AY236" s="3" t="s">
        <v>2495</v>
      </c>
      <c r="AZ236" s="3" t="s">
        <v>2496</v>
      </c>
      <c r="BA236" s="3" t="s">
        <v>2496</v>
      </c>
      <c r="BB236" s="3" t="s">
        <v>2497</v>
      </c>
      <c r="BC236" s="3" t="s">
        <v>82</v>
      </c>
      <c r="BD236" s="3" t="s">
        <v>70</v>
      </c>
      <c r="BE236" s="3" t="s">
        <v>2498</v>
      </c>
      <c r="BF236" s="3" t="s">
        <v>2497</v>
      </c>
      <c r="BG236" s="3" t="s">
        <v>2499</v>
      </c>
    </row>
    <row r="237" spans="1:59" ht="75" x14ac:dyDescent="0.25">
      <c r="A237" s="2" t="s">
        <v>59</v>
      </c>
      <c r="B237" s="2" t="s">
        <v>60</v>
      </c>
      <c r="C237" s="2" t="s">
        <v>2500</v>
      </c>
      <c r="D237" s="2" t="s">
        <v>2501</v>
      </c>
      <c r="E237" s="2" t="s">
        <v>2502</v>
      </c>
      <c r="G237" s="3" t="s">
        <v>63</v>
      </c>
      <c r="I237" s="3" t="s">
        <v>63</v>
      </c>
      <c r="J237" s="3" t="s">
        <v>63</v>
      </c>
      <c r="K237" s="3" t="s">
        <v>64</v>
      </c>
      <c r="M237" s="2" t="s">
        <v>2503</v>
      </c>
      <c r="N237" s="3" t="s">
        <v>401</v>
      </c>
      <c r="P237" s="3" t="s">
        <v>90</v>
      </c>
      <c r="R237" s="3" t="s">
        <v>67</v>
      </c>
      <c r="S237" s="4">
        <v>7</v>
      </c>
      <c r="T237" s="4">
        <v>7</v>
      </c>
      <c r="U237" s="5" t="s">
        <v>2504</v>
      </c>
      <c r="V237" s="5" t="s">
        <v>2504</v>
      </c>
      <c r="W237" s="5" t="s">
        <v>69</v>
      </c>
      <c r="X237" s="5" t="s">
        <v>69</v>
      </c>
      <c r="Y237" s="4">
        <v>328</v>
      </c>
      <c r="Z237" s="4">
        <v>17</v>
      </c>
      <c r="AA237" s="4">
        <v>17</v>
      </c>
      <c r="AB237" s="4">
        <v>1</v>
      </c>
      <c r="AC237" s="4">
        <v>1</v>
      </c>
      <c r="AD237" s="4">
        <v>82</v>
      </c>
      <c r="AE237" s="4">
        <v>82</v>
      </c>
      <c r="AF237" s="4">
        <v>0</v>
      </c>
      <c r="AG237" s="4">
        <v>0</v>
      </c>
      <c r="AH237" s="4">
        <v>75</v>
      </c>
      <c r="AI237" s="4">
        <v>75</v>
      </c>
      <c r="AJ237" s="4">
        <v>10</v>
      </c>
      <c r="AK237" s="4">
        <v>10</v>
      </c>
      <c r="AL237" s="4">
        <v>41</v>
      </c>
      <c r="AM237" s="4">
        <v>41</v>
      </c>
      <c r="AN237" s="4">
        <v>0</v>
      </c>
      <c r="AO237" s="4">
        <v>0</v>
      </c>
      <c r="AP237" s="4">
        <v>13</v>
      </c>
      <c r="AQ237" s="4">
        <v>13</v>
      </c>
      <c r="AR237" s="3" t="s">
        <v>63</v>
      </c>
      <c r="AS237" s="3" t="s">
        <v>63</v>
      </c>
      <c r="AT237" s="3" t="s">
        <v>62</v>
      </c>
      <c r="AU237" s="6" t="str">
        <f>HYPERLINK("http://catalog.hathitrust.org/Record/005836246","HathiTrust Record")</f>
        <v>HathiTrust Record</v>
      </c>
      <c r="AV237" s="6" t="str">
        <f>HYPERLINK("http://mcgill.on.worldcat.org/oclc/322834","Catalog Record")</f>
        <v>Catalog Record</v>
      </c>
      <c r="AW237" s="6" t="str">
        <f>HYPERLINK("http://www.worldcat.org/oclc/322834","WorldCat Record")</f>
        <v>WorldCat Record</v>
      </c>
      <c r="AX237" s="3" t="s">
        <v>2505</v>
      </c>
      <c r="AY237" s="3" t="s">
        <v>2506</v>
      </c>
      <c r="AZ237" s="3" t="s">
        <v>2507</v>
      </c>
      <c r="BA237" s="3" t="s">
        <v>2507</v>
      </c>
      <c r="BB237" s="3" t="s">
        <v>2508</v>
      </c>
      <c r="BC237" s="3" t="s">
        <v>82</v>
      </c>
      <c r="BD237" s="3" t="s">
        <v>70</v>
      </c>
      <c r="BF237" s="3" t="s">
        <v>2508</v>
      </c>
      <c r="BG237" s="3" t="s">
        <v>2509</v>
      </c>
    </row>
    <row r="238" spans="1:59" ht="60" x14ac:dyDescent="0.25">
      <c r="A238" s="2" t="s">
        <v>59</v>
      </c>
      <c r="B238" s="2" t="s">
        <v>60</v>
      </c>
      <c r="C238" s="2" t="s">
        <v>2510</v>
      </c>
      <c r="D238" s="2" t="s">
        <v>2511</v>
      </c>
      <c r="E238" s="2" t="s">
        <v>2512</v>
      </c>
      <c r="G238" s="3" t="s">
        <v>63</v>
      </c>
      <c r="I238" s="3" t="s">
        <v>63</v>
      </c>
      <c r="J238" s="3" t="s">
        <v>63</v>
      </c>
      <c r="K238" s="3" t="s">
        <v>64</v>
      </c>
      <c r="L238" s="2" t="s">
        <v>2513</v>
      </c>
      <c r="M238" s="2" t="s">
        <v>2514</v>
      </c>
      <c r="N238" s="3" t="s">
        <v>326</v>
      </c>
      <c r="P238" s="3" t="s">
        <v>90</v>
      </c>
      <c r="R238" s="3" t="s">
        <v>67</v>
      </c>
      <c r="S238" s="4">
        <v>2</v>
      </c>
      <c r="T238" s="4">
        <v>2</v>
      </c>
      <c r="U238" s="5" t="s">
        <v>1298</v>
      </c>
      <c r="V238" s="5" t="s">
        <v>1298</v>
      </c>
      <c r="W238" s="5" t="s">
        <v>69</v>
      </c>
      <c r="X238" s="5" t="s">
        <v>69</v>
      </c>
      <c r="Y238" s="4">
        <v>3</v>
      </c>
      <c r="Z238" s="4">
        <v>1</v>
      </c>
      <c r="AA238" s="4">
        <v>1</v>
      </c>
      <c r="AB238" s="4">
        <v>1</v>
      </c>
      <c r="AC238" s="4">
        <v>1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3" t="s">
        <v>63</v>
      </c>
      <c r="AS238" s="3" t="s">
        <v>63</v>
      </c>
      <c r="AT238" s="3" t="s">
        <v>63</v>
      </c>
      <c r="AV238" s="6" t="str">
        <f>HYPERLINK("http://mcgill.on.worldcat.org/oclc/729424409","Catalog Record")</f>
        <v>Catalog Record</v>
      </c>
      <c r="AW238" s="6" t="str">
        <f>HYPERLINK("http://www.worldcat.org/oclc/729424409","WorldCat Record")</f>
        <v>WorldCat Record</v>
      </c>
      <c r="AX238" s="3" t="s">
        <v>2515</v>
      </c>
      <c r="AY238" s="3" t="s">
        <v>2516</v>
      </c>
      <c r="AZ238" s="3" t="s">
        <v>2517</v>
      </c>
      <c r="BA238" s="3" t="s">
        <v>2517</v>
      </c>
      <c r="BB238" s="3" t="s">
        <v>2518</v>
      </c>
      <c r="BC238" s="3" t="s">
        <v>82</v>
      </c>
      <c r="BD238" s="3" t="s">
        <v>70</v>
      </c>
      <c r="BE238" s="3" t="s">
        <v>2519</v>
      </c>
      <c r="BF238" s="3" t="s">
        <v>2518</v>
      </c>
      <c r="BG238" s="3" t="s">
        <v>2520</v>
      </c>
    </row>
    <row r="239" spans="1:59" ht="60" x14ac:dyDescent="0.25">
      <c r="A239" s="2" t="s">
        <v>59</v>
      </c>
      <c r="B239" s="2" t="s">
        <v>60</v>
      </c>
      <c r="C239" s="2" t="s">
        <v>2521</v>
      </c>
      <c r="D239" s="2" t="s">
        <v>2522</v>
      </c>
      <c r="E239" s="2" t="s">
        <v>2523</v>
      </c>
      <c r="G239" s="3" t="s">
        <v>63</v>
      </c>
      <c r="I239" s="3" t="s">
        <v>63</v>
      </c>
      <c r="J239" s="3" t="s">
        <v>63</v>
      </c>
      <c r="K239" s="3" t="s">
        <v>64</v>
      </c>
      <c r="L239" s="2" t="s">
        <v>2524</v>
      </c>
      <c r="M239" s="2" t="s">
        <v>2525</v>
      </c>
      <c r="N239" s="3" t="s">
        <v>1046</v>
      </c>
      <c r="P239" s="3" t="s">
        <v>66</v>
      </c>
      <c r="R239" s="3" t="s">
        <v>67</v>
      </c>
      <c r="S239" s="4">
        <v>4</v>
      </c>
      <c r="T239" s="4">
        <v>4</v>
      </c>
      <c r="U239" s="5" t="s">
        <v>2284</v>
      </c>
      <c r="V239" s="5" t="s">
        <v>2284</v>
      </c>
      <c r="W239" s="5" t="s">
        <v>69</v>
      </c>
      <c r="X239" s="5" t="s">
        <v>69</v>
      </c>
      <c r="Y239" s="4">
        <v>7</v>
      </c>
      <c r="Z239" s="4">
        <v>3</v>
      </c>
      <c r="AA239" s="4">
        <v>3</v>
      </c>
      <c r="AB239" s="4">
        <v>2</v>
      </c>
      <c r="AC239" s="4">
        <v>2</v>
      </c>
      <c r="AD239" s="4">
        <v>3</v>
      </c>
      <c r="AE239" s="4">
        <v>3</v>
      </c>
      <c r="AF239" s="4">
        <v>1</v>
      </c>
      <c r="AG239" s="4">
        <v>1</v>
      </c>
      <c r="AH239" s="4">
        <v>1</v>
      </c>
      <c r="AI239" s="4">
        <v>1</v>
      </c>
      <c r="AJ239" s="4">
        <v>2</v>
      </c>
      <c r="AK239" s="4">
        <v>2</v>
      </c>
      <c r="AL239" s="4">
        <v>1</v>
      </c>
      <c r="AM239" s="4">
        <v>1</v>
      </c>
      <c r="AN239" s="4">
        <v>0</v>
      </c>
      <c r="AO239" s="4">
        <v>0</v>
      </c>
      <c r="AP239" s="4">
        <v>2</v>
      </c>
      <c r="AQ239" s="4">
        <v>2</v>
      </c>
      <c r="AR239" s="3" t="s">
        <v>63</v>
      </c>
      <c r="AS239" s="3" t="s">
        <v>63</v>
      </c>
      <c r="AT239" s="3" t="s">
        <v>63</v>
      </c>
      <c r="AV239" s="6" t="str">
        <f>HYPERLINK("http://mcgill.on.worldcat.org/oclc/61585462","Catalog Record")</f>
        <v>Catalog Record</v>
      </c>
      <c r="AW239" s="6" t="str">
        <f>HYPERLINK("http://www.worldcat.org/oclc/61585462","WorldCat Record")</f>
        <v>WorldCat Record</v>
      </c>
      <c r="AX239" s="3" t="s">
        <v>2526</v>
      </c>
      <c r="AY239" s="3" t="s">
        <v>2527</v>
      </c>
      <c r="AZ239" s="3" t="s">
        <v>2528</v>
      </c>
      <c r="BA239" s="3" t="s">
        <v>2528</v>
      </c>
      <c r="BB239" s="3" t="s">
        <v>2529</v>
      </c>
      <c r="BC239" s="3" t="s">
        <v>82</v>
      </c>
      <c r="BD239" s="3" t="s">
        <v>70</v>
      </c>
      <c r="BF239" s="3" t="s">
        <v>2529</v>
      </c>
      <c r="BG239" s="3" t="s">
        <v>2530</v>
      </c>
    </row>
    <row r="240" spans="1:59" ht="60" x14ac:dyDescent="0.25">
      <c r="A240" s="2" t="s">
        <v>59</v>
      </c>
      <c r="B240" s="2" t="s">
        <v>60</v>
      </c>
      <c r="C240" s="2" t="s">
        <v>2531</v>
      </c>
      <c r="D240" s="2" t="s">
        <v>2532</v>
      </c>
      <c r="E240" s="2" t="s">
        <v>2533</v>
      </c>
      <c r="G240" s="3" t="s">
        <v>63</v>
      </c>
      <c r="I240" s="3" t="s">
        <v>63</v>
      </c>
      <c r="J240" s="3" t="s">
        <v>63</v>
      </c>
      <c r="K240" s="3" t="s">
        <v>64</v>
      </c>
      <c r="M240" s="2" t="s">
        <v>2534</v>
      </c>
      <c r="N240" s="3" t="s">
        <v>2535</v>
      </c>
      <c r="O240" s="2" t="s">
        <v>1856</v>
      </c>
      <c r="P240" s="3" t="s">
        <v>90</v>
      </c>
      <c r="R240" s="3" t="s">
        <v>67</v>
      </c>
      <c r="S240" s="4">
        <v>6</v>
      </c>
      <c r="T240" s="4">
        <v>6</v>
      </c>
      <c r="U240" s="5" t="s">
        <v>1298</v>
      </c>
      <c r="V240" s="5" t="s">
        <v>1298</v>
      </c>
      <c r="W240" s="5" t="s">
        <v>69</v>
      </c>
      <c r="X240" s="5" t="s">
        <v>69</v>
      </c>
      <c r="Y240" s="4">
        <v>62</v>
      </c>
      <c r="Z240" s="4">
        <v>5</v>
      </c>
      <c r="AA240" s="4">
        <v>7</v>
      </c>
      <c r="AB240" s="4">
        <v>1</v>
      </c>
      <c r="AC240" s="4">
        <v>1</v>
      </c>
      <c r="AD240" s="4">
        <v>28</v>
      </c>
      <c r="AE240" s="4">
        <v>48</v>
      </c>
      <c r="AF240" s="4">
        <v>0</v>
      </c>
      <c r="AG240" s="4">
        <v>0</v>
      </c>
      <c r="AH240" s="4">
        <v>28</v>
      </c>
      <c r="AI240" s="4">
        <v>46</v>
      </c>
      <c r="AJ240" s="4">
        <v>3</v>
      </c>
      <c r="AK240" s="4">
        <v>5</v>
      </c>
      <c r="AL240" s="4">
        <v>14</v>
      </c>
      <c r="AM240" s="4">
        <v>27</v>
      </c>
      <c r="AN240" s="4">
        <v>0</v>
      </c>
      <c r="AO240" s="4">
        <v>0</v>
      </c>
      <c r="AP240" s="4">
        <v>4</v>
      </c>
      <c r="AQ240" s="4">
        <v>6</v>
      </c>
      <c r="AR240" s="3" t="s">
        <v>63</v>
      </c>
      <c r="AS240" s="3" t="s">
        <v>63</v>
      </c>
      <c r="AT240" s="3" t="s">
        <v>62</v>
      </c>
      <c r="AU240" s="6" t="str">
        <f>HYPERLINK("http://catalog.hathitrust.org/Record/001059235","HathiTrust Record")</f>
        <v>HathiTrust Record</v>
      </c>
      <c r="AV240" s="6" t="str">
        <f>HYPERLINK("http://mcgill.on.worldcat.org/oclc/227410","Catalog Record")</f>
        <v>Catalog Record</v>
      </c>
      <c r="AW240" s="6" t="str">
        <f>HYPERLINK("http://www.worldcat.org/oclc/227410","WorldCat Record")</f>
        <v>WorldCat Record</v>
      </c>
      <c r="AX240" s="3" t="s">
        <v>2536</v>
      </c>
      <c r="AY240" s="3" t="s">
        <v>2537</v>
      </c>
      <c r="AZ240" s="3" t="s">
        <v>2538</v>
      </c>
      <c r="BA240" s="3" t="s">
        <v>2538</v>
      </c>
      <c r="BB240" s="3" t="s">
        <v>2539</v>
      </c>
      <c r="BC240" s="3" t="s">
        <v>82</v>
      </c>
      <c r="BD240" s="3" t="s">
        <v>70</v>
      </c>
      <c r="BF240" s="3" t="s">
        <v>2539</v>
      </c>
      <c r="BG240" s="3" t="s">
        <v>2540</v>
      </c>
    </row>
    <row r="241" spans="1:59" ht="60" x14ac:dyDescent="0.25">
      <c r="A241" s="2" t="s">
        <v>59</v>
      </c>
      <c r="B241" s="2" t="s">
        <v>60</v>
      </c>
      <c r="C241" s="2" t="s">
        <v>2541</v>
      </c>
      <c r="D241" s="2" t="s">
        <v>2542</v>
      </c>
      <c r="E241" s="2" t="s">
        <v>2543</v>
      </c>
      <c r="G241" s="3" t="s">
        <v>63</v>
      </c>
      <c r="I241" s="3" t="s">
        <v>63</v>
      </c>
      <c r="J241" s="3" t="s">
        <v>63</v>
      </c>
      <c r="K241" s="3" t="s">
        <v>64</v>
      </c>
      <c r="L241" s="2" t="s">
        <v>2544</v>
      </c>
      <c r="M241" s="2" t="s">
        <v>2545</v>
      </c>
      <c r="N241" s="3" t="s">
        <v>2225</v>
      </c>
      <c r="O241" s="2" t="s">
        <v>976</v>
      </c>
      <c r="P241" s="3" t="s">
        <v>66</v>
      </c>
      <c r="Q241" s="2" t="s">
        <v>2546</v>
      </c>
      <c r="R241" s="3" t="s">
        <v>67</v>
      </c>
      <c r="S241" s="4">
        <v>8</v>
      </c>
      <c r="T241" s="4">
        <v>8</v>
      </c>
      <c r="U241" s="5" t="s">
        <v>2250</v>
      </c>
      <c r="V241" s="5" t="s">
        <v>2250</v>
      </c>
      <c r="W241" s="5" t="s">
        <v>69</v>
      </c>
      <c r="X241" s="5" t="s">
        <v>69</v>
      </c>
      <c r="Y241" s="4">
        <v>3</v>
      </c>
      <c r="Z241" s="4">
        <v>2</v>
      </c>
      <c r="AA241" s="4">
        <v>5</v>
      </c>
      <c r="AB241" s="4">
        <v>1</v>
      </c>
      <c r="AC241" s="4">
        <v>1</v>
      </c>
      <c r="AD241" s="4">
        <v>1</v>
      </c>
      <c r="AE241" s="4">
        <v>3</v>
      </c>
      <c r="AF241" s="4">
        <v>0</v>
      </c>
      <c r="AG241" s="4">
        <v>0</v>
      </c>
      <c r="AH241" s="4">
        <v>1</v>
      </c>
      <c r="AI241" s="4">
        <v>3</v>
      </c>
      <c r="AJ241" s="4">
        <v>1</v>
      </c>
      <c r="AK241" s="4">
        <v>3</v>
      </c>
      <c r="AL241" s="4">
        <v>0</v>
      </c>
      <c r="AM241" s="4">
        <v>1</v>
      </c>
      <c r="AN241" s="4">
        <v>0</v>
      </c>
      <c r="AO241" s="4">
        <v>0</v>
      </c>
      <c r="AP241" s="4">
        <v>1</v>
      </c>
      <c r="AQ241" s="4">
        <v>3</v>
      </c>
      <c r="AR241" s="3" t="s">
        <v>63</v>
      </c>
      <c r="AS241" s="3" t="s">
        <v>63</v>
      </c>
      <c r="AT241" s="3" t="s">
        <v>63</v>
      </c>
      <c r="AV241" s="6" t="str">
        <f>HYPERLINK("http://mcgill.on.worldcat.org/oclc/427504170","Catalog Record")</f>
        <v>Catalog Record</v>
      </c>
      <c r="AW241" s="6" t="str">
        <f>HYPERLINK("http://www.worldcat.org/oclc/427504170","WorldCat Record")</f>
        <v>WorldCat Record</v>
      </c>
      <c r="AX241" s="3" t="s">
        <v>2547</v>
      </c>
      <c r="AY241" s="3" t="s">
        <v>2548</v>
      </c>
      <c r="AZ241" s="3" t="s">
        <v>2549</v>
      </c>
      <c r="BA241" s="3" t="s">
        <v>2549</v>
      </c>
      <c r="BB241" s="3" t="s">
        <v>2550</v>
      </c>
      <c r="BC241" s="3" t="s">
        <v>82</v>
      </c>
      <c r="BD241" s="3" t="s">
        <v>70</v>
      </c>
      <c r="BF241" s="3" t="s">
        <v>2550</v>
      </c>
      <c r="BG241" s="3" t="s">
        <v>2551</v>
      </c>
    </row>
    <row r="242" spans="1:59" ht="60" x14ac:dyDescent="0.25">
      <c r="A242" s="2" t="s">
        <v>59</v>
      </c>
      <c r="B242" s="2" t="s">
        <v>60</v>
      </c>
      <c r="C242" s="2" t="s">
        <v>2552</v>
      </c>
      <c r="D242" s="2" t="s">
        <v>2553</v>
      </c>
      <c r="E242" s="2" t="s">
        <v>2554</v>
      </c>
      <c r="G242" s="3" t="s">
        <v>63</v>
      </c>
      <c r="I242" s="3" t="s">
        <v>63</v>
      </c>
      <c r="J242" s="3" t="s">
        <v>63</v>
      </c>
      <c r="K242" s="3" t="s">
        <v>64</v>
      </c>
      <c r="M242" s="2" t="s">
        <v>2555</v>
      </c>
      <c r="N242" s="3" t="s">
        <v>176</v>
      </c>
      <c r="P242" s="3" t="s">
        <v>90</v>
      </c>
      <c r="Q242" s="2" t="s">
        <v>2556</v>
      </c>
      <c r="R242" s="3" t="s">
        <v>67</v>
      </c>
      <c r="S242" s="4">
        <v>4</v>
      </c>
      <c r="T242" s="4">
        <v>4</v>
      </c>
      <c r="U242" s="5" t="s">
        <v>2557</v>
      </c>
      <c r="V242" s="5" t="s">
        <v>2557</v>
      </c>
      <c r="W242" s="5" t="s">
        <v>69</v>
      </c>
      <c r="X242" s="5" t="s">
        <v>69</v>
      </c>
      <c r="Y242" s="4">
        <v>72</v>
      </c>
      <c r="Z242" s="4">
        <v>8</v>
      </c>
      <c r="AA242" s="4">
        <v>8</v>
      </c>
      <c r="AB242" s="4">
        <v>1</v>
      </c>
      <c r="AC242" s="4">
        <v>1</v>
      </c>
      <c r="AD242" s="4">
        <v>33</v>
      </c>
      <c r="AE242" s="4">
        <v>33</v>
      </c>
      <c r="AF242" s="4">
        <v>0</v>
      </c>
      <c r="AG242" s="4">
        <v>0</v>
      </c>
      <c r="AH242" s="4">
        <v>32</v>
      </c>
      <c r="AI242" s="4">
        <v>32</v>
      </c>
      <c r="AJ242" s="4">
        <v>4</v>
      </c>
      <c r="AK242" s="4">
        <v>4</v>
      </c>
      <c r="AL242" s="4">
        <v>16</v>
      </c>
      <c r="AM242" s="4">
        <v>16</v>
      </c>
      <c r="AN242" s="4">
        <v>0</v>
      </c>
      <c r="AO242" s="4">
        <v>0</v>
      </c>
      <c r="AP242" s="4">
        <v>5</v>
      </c>
      <c r="AQ242" s="4">
        <v>5</v>
      </c>
      <c r="AR242" s="3" t="s">
        <v>63</v>
      </c>
      <c r="AS242" s="3" t="s">
        <v>63</v>
      </c>
      <c r="AT242" s="3" t="s">
        <v>63</v>
      </c>
      <c r="AV242" s="6" t="str">
        <f>HYPERLINK("http://mcgill.on.worldcat.org/oclc/42215416","Catalog Record")</f>
        <v>Catalog Record</v>
      </c>
      <c r="AW242" s="6" t="str">
        <f>HYPERLINK("http://www.worldcat.org/oclc/42215416","WorldCat Record")</f>
        <v>WorldCat Record</v>
      </c>
      <c r="AX242" s="3" t="s">
        <v>2558</v>
      </c>
      <c r="AY242" s="3" t="s">
        <v>2559</v>
      </c>
      <c r="AZ242" s="3" t="s">
        <v>2560</v>
      </c>
      <c r="BA242" s="3" t="s">
        <v>2560</v>
      </c>
      <c r="BB242" s="3" t="s">
        <v>2561</v>
      </c>
      <c r="BC242" s="3" t="s">
        <v>82</v>
      </c>
      <c r="BD242" s="3" t="s">
        <v>70</v>
      </c>
      <c r="BE242" s="3" t="s">
        <v>2562</v>
      </c>
      <c r="BF242" s="3" t="s">
        <v>2561</v>
      </c>
      <c r="BG242" s="3" t="s">
        <v>2563</v>
      </c>
    </row>
    <row r="243" spans="1:59" ht="60" x14ac:dyDescent="0.25">
      <c r="A243" s="2" t="s">
        <v>59</v>
      </c>
      <c r="B243" s="2" t="s">
        <v>60</v>
      </c>
      <c r="C243" s="2" t="s">
        <v>2564</v>
      </c>
      <c r="D243" s="2" t="s">
        <v>2565</v>
      </c>
      <c r="E243" s="2" t="s">
        <v>2566</v>
      </c>
      <c r="G243" s="3" t="s">
        <v>63</v>
      </c>
      <c r="I243" s="3" t="s">
        <v>63</v>
      </c>
      <c r="J243" s="3" t="s">
        <v>63</v>
      </c>
      <c r="K243" s="3" t="s">
        <v>64</v>
      </c>
      <c r="L243" s="2" t="s">
        <v>2567</v>
      </c>
      <c r="M243" s="2" t="s">
        <v>2568</v>
      </c>
      <c r="N243" s="3" t="s">
        <v>313</v>
      </c>
      <c r="P243" s="3" t="s">
        <v>90</v>
      </c>
      <c r="Q243" s="2" t="s">
        <v>1801</v>
      </c>
      <c r="R243" s="3" t="s">
        <v>67</v>
      </c>
      <c r="S243" s="4">
        <v>2</v>
      </c>
      <c r="T243" s="4">
        <v>2</v>
      </c>
      <c r="U243" s="5" t="s">
        <v>2569</v>
      </c>
      <c r="V243" s="5" t="s">
        <v>2569</v>
      </c>
      <c r="W243" s="5" t="s">
        <v>69</v>
      </c>
      <c r="X243" s="5" t="s">
        <v>69</v>
      </c>
      <c r="Y243" s="4">
        <v>1</v>
      </c>
      <c r="Z243" s="4">
        <v>1</v>
      </c>
      <c r="AA243" s="4">
        <v>1</v>
      </c>
      <c r="AB243" s="4">
        <v>1</v>
      </c>
      <c r="AC243" s="4">
        <v>1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3" t="s">
        <v>63</v>
      </c>
      <c r="AS243" s="3" t="s">
        <v>63</v>
      </c>
      <c r="AT243" s="3" t="s">
        <v>62</v>
      </c>
      <c r="AU243" s="6" t="str">
        <f>HYPERLINK("http://catalog.hathitrust.org/Record/008562830","HathiTrust Record")</f>
        <v>HathiTrust Record</v>
      </c>
      <c r="AV243" s="6" t="str">
        <f>HYPERLINK("http://mcgill.on.worldcat.org/oclc/1050872578","Catalog Record")</f>
        <v>Catalog Record</v>
      </c>
      <c r="AW243" s="6" t="str">
        <f>HYPERLINK("http://www.worldcat.org/oclc/1050872578","WorldCat Record")</f>
        <v>WorldCat Record</v>
      </c>
      <c r="AX243" s="3" t="s">
        <v>2570</v>
      </c>
      <c r="AY243" s="3" t="s">
        <v>2571</v>
      </c>
      <c r="AZ243" s="3" t="s">
        <v>2572</v>
      </c>
      <c r="BA243" s="3" t="s">
        <v>2572</v>
      </c>
      <c r="BB243" s="3" t="s">
        <v>2573</v>
      </c>
      <c r="BC243" s="3" t="s">
        <v>82</v>
      </c>
      <c r="BD243" s="3" t="s">
        <v>70</v>
      </c>
      <c r="BE243" s="3" t="s">
        <v>2574</v>
      </c>
      <c r="BF243" s="3" t="s">
        <v>2573</v>
      </c>
      <c r="BG243" s="3" t="s">
        <v>2575</v>
      </c>
    </row>
    <row r="244" spans="1:59" ht="75" x14ac:dyDescent="0.25">
      <c r="A244" s="2" t="s">
        <v>59</v>
      </c>
      <c r="B244" s="2" t="s">
        <v>60</v>
      </c>
      <c r="C244" s="2" t="s">
        <v>2576</v>
      </c>
      <c r="D244" s="2" t="s">
        <v>2577</v>
      </c>
      <c r="E244" s="2" t="s">
        <v>2578</v>
      </c>
      <c r="G244" s="3" t="s">
        <v>63</v>
      </c>
      <c r="I244" s="3" t="s">
        <v>63</v>
      </c>
      <c r="J244" s="3" t="s">
        <v>63</v>
      </c>
      <c r="K244" s="3" t="s">
        <v>64</v>
      </c>
      <c r="L244" s="2" t="s">
        <v>2579</v>
      </c>
      <c r="M244" s="2" t="s">
        <v>2580</v>
      </c>
      <c r="N244" s="3" t="s">
        <v>1010</v>
      </c>
      <c r="O244" s="2" t="s">
        <v>2581</v>
      </c>
      <c r="P244" s="3" t="s">
        <v>66</v>
      </c>
      <c r="R244" s="3" t="s">
        <v>67</v>
      </c>
      <c r="S244" s="4">
        <v>11</v>
      </c>
      <c r="T244" s="4">
        <v>11</v>
      </c>
      <c r="U244" s="5" t="s">
        <v>1961</v>
      </c>
      <c r="V244" s="5" t="s">
        <v>1961</v>
      </c>
      <c r="W244" s="5" t="s">
        <v>69</v>
      </c>
      <c r="X244" s="5" t="s">
        <v>69</v>
      </c>
      <c r="Y244" s="4">
        <v>113</v>
      </c>
      <c r="Z244" s="4">
        <v>3</v>
      </c>
      <c r="AA244" s="4">
        <v>8</v>
      </c>
      <c r="AB244" s="4">
        <v>1</v>
      </c>
      <c r="AC244" s="4">
        <v>2</v>
      </c>
      <c r="AD244" s="4">
        <v>27</v>
      </c>
      <c r="AE244" s="4">
        <v>69</v>
      </c>
      <c r="AF244" s="4">
        <v>0</v>
      </c>
      <c r="AG244" s="4">
        <v>1</v>
      </c>
      <c r="AH244" s="4">
        <v>25</v>
      </c>
      <c r="AI244" s="4">
        <v>64</v>
      </c>
      <c r="AJ244" s="4">
        <v>1</v>
      </c>
      <c r="AK244" s="4">
        <v>6</v>
      </c>
      <c r="AL244" s="4">
        <v>14</v>
      </c>
      <c r="AM244" s="4">
        <v>36</v>
      </c>
      <c r="AN244" s="4">
        <v>0</v>
      </c>
      <c r="AO244" s="4">
        <v>8</v>
      </c>
      <c r="AP244" s="4">
        <v>2</v>
      </c>
      <c r="AQ244" s="4">
        <v>7</v>
      </c>
      <c r="AR244" s="3" t="s">
        <v>63</v>
      </c>
      <c r="AS244" s="3" t="s">
        <v>63</v>
      </c>
      <c r="AT244" s="3" t="s">
        <v>63</v>
      </c>
      <c r="AU244" s="6" t="str">
        <f>HYPERLINK("http://catalog.hathitrust.org/Record/002895066","HathiTrust Record")</f>
        <v>HathiTrust Record</v>
      </c>
      <c r="AV244" s="6" t="str">
        <f>HYPERLINK("http://mcgill.on.worldcat.org/oclc/1812222","Catalog Record")</f>
        <v>Catalog Record</v>
      </c>
      <c r="AW244" s="6" t="str">
        <f>HYPERLINK("http://www.worldcat.org/oclc/1812222","WorldCat Record")</f>
        <v>WorldCat Record</v>
      </c>
      <c r="AX244" s="3" t="s">
        <v>2582</v>
      </c>
      <c r="AY244" s="3" t="s">
        <v>2583</v>
      </c>
      <c r="AZ244" s="3" t="s">
        <v>2584</v>
      </c>
      <c r="BA244" s="3" t="s">
        <v>2584</v>
      </c>
      <c r="BB244" s="3" t="s">
        <v>2585</v>
      </c>
      <c r="BC244" s="3" t="s">
        <v>82</v>
      </c>
      <c r="BD244" s="3" t="s">
        <v>70</v>
      </c>
      <c r="BF244" s="3" t="s">
        <v>2585</v>
      </c>
      <c r="BG244" s="3" t="s">
        <v>2586</v>
      </c>
    </row>
    <row r="245" spans="1:59" ht="60" x14ac:dyDescent="0.25">
      <c r="A245" s="2" t="s">
        <v>59</v>
      </c>
      <c r="B245" s="2" t="s">
        <v>60</v>
      </c>
      <c r="C245" s="2" t="s">
        <v>2587</v>
      </c>
      <c r="D245" s="2" t="s">
        <v>2588</v>
      </c>
      <c r="E245" s="2" t="s">
        <v>2589</v>
      </c>
      <c r="G245" s="3" t="s">
        <v>63</v>
      </c>
      <c r="I245" s="3" t="s">
        <v>63</v>
      </c>
      <c r="J245" s="3" t="s">
        <v>63</v>
      </c>
      <c r="K245" s="3" t="s">
        <v>64</v>
      </c>
      <c r="L245" s="2" t="s">
        <v>2590</v>
      </c>
      <c r="M245" s="2" t="s">
        <v>2591</v>
      </c>
      <c r="N245" s="3" t="s">
        <v>401</v>
      </c>
      <c r="P245" s="3" t="s">
        <v>66</v>
      </c>
      <c r="R245" s="3" t="s">
        <v>67</v>
      </c>
      <c r="S245" s="4">
        <v>11</v>
      </c>
      <c r="T245" s="4">
        <v>11</v>
      </c>
      <c r="U245" s="5" t="s">
        <v>2592</v>
      </c>
      <c r="V245" s="5" t="s">
        <v>2592</v>
      </c>
      <c r="W245" s="5" t="s">
        <v>69</v>
      </c>
      <c r="X245" s="5" t="s">
        <v>69</v>
      </c>
      <c r="Y245" s="4">
        <v>41</v>
      </c>
      <c r="Z245" s="4">
        <v>5</v>
      </c>
      <c r="AA245" s="4">
        <v>5</v>
      </c>
      <c r="AB245" s="4">
        <v>1</v>
      </c>
      <c r="AC245" s="4">
        <v>1</v>
      </c>
      <c r="AD245" s="4">
        <v>12</v>
      </c>
      <c r="AE245" s="4">
        <v>21</v>
      </c>
      <c r="AF245" s="4">
        <v>0</v>
      </c>
      <c r="AG245" s="4">
        <v>0</v>
      </c>
      <c r="AH245" s="4">
        <v>12</v>
      </c>
      <c r="AI245" s="4">
        <v>21</v>
      </c>
      <c r="AJ245" s="4">
        <v>4</v>
      </c>
      <c r="AK245" s="4">
        <v>4</v>
      </c>
      <c r="AL245" s="4">
        <v>4</v>
      </c>
      <c r="AM245" s="4">
        <v>10</v>
      </c>
      <c r="AN245" s="4">
        <v>0</v>
      </c>
      <c r="AO245" s="4">
        <v>0</v>
      </c>
      <c r="AP245" s="4">
        <v>4</v>
      </c>
      <c r="AQ245" s="4">
        <v>4</v>
      </c>
      <c r="AR245" s="3" t="s">
        <v>63</v>
      </c>
      <c r="AS245" s="3" t="s">
        <v>63</v>
      </c>
      <c r="AT245" s="3" t="s">
        <v>63</v>
      </c>
      <c r="AV245" s="6" t="str">
        <f>HYPERLINK("http://mcgill.on.worldcat.org/oclc/1474373","Catalog Record")</f>
        <v>Catalog Record</v>
      </c>
      <c r="AW245" s="6" t="str">
        <f>HYPERLINK("http://www.worldcat.org/oclc/1474373","WorldCat Record")</f>
        <v>WorldCat Record</v>
      </c>
      <c r="AX245" s="3" t="s">
        <v>2593</v>
      </c>
      <c r="AY245" s="3" t="s">
        <v>2594</v>
      </c>
      <c r="AZ245" s="3" t="s">
        <v>2595</v>
      </c>
      <c r="BA245" s="3" t="s">
        <v>2595</v>
      </c>
      <c r="BB245" s="3" t="s">
        <v>2596</v>
      </c>
      <c r="BC245" s="3" t="s">
        <v>82</v>
      </c>
      <c r="BD245" s="3" t="s">
        <v>70</v>
      </c>
      <c r="BF245" s="3" t="s">
        <v>2596</v>
      </c>
      <c r="BG245" s="3" t="s">
        <v>2597</v>
      </c>
    </row>
    <row r="246" spans="1:59" ht="60" x14ac:dyDescent="0.25">
      <c r="A246" s="2" t="s">
        <v>59</v>
      </c>
      <c r="B246" s="2" t="s">
        <v>60</v>
      </c>
      <c r="C246" s="2" t="s">
        <v>2598</v>
      </c>
      <c r="D246" s="2" t="s">
        <v>2599</v>
      </c>
      <c r="E246" s="2" t="s">
        <v>2600</v>
      </c>
      <c r="F246" s="3" t="s">
        <v>2601</v>
      </c>
      <c r="G246" s="3" t="s">
        <v>62</v>
      </c>
      <c r="I246" s="3" t="s">
        <v>63</v>
      </c>
      <c r="J246" s="3" t="s">
        <v>63</v>
      </c>
      <c r="K246" s="3" t="s">
        <v>64</v>
      </c>
      <c r="L246" s="2" t="s">
        <v>2602</v>
      </c>
      <c r="M246" s="2" t="s">
        <v>2603</v>
      </c>
      <c r="N246" s="3" t="s">
        <v>326</v>
      </c>
      <c r="P246" s="3" t="s">
        <v>90</v>
      </c>
      <c r="R246" s="3" t="s">
        <v>67</v>
      </c>
      <c r="S246" s="4">
        <v>3</v>
      </c>
      <c r="T246" s="4">
        <v>3</v>
      </c>
      <c r="U246" s="5" t="s">
        <v>2404</v>
      </c>
      <c r="V246" s="5" t="s">
        <v>2404</v>
      </c>
      <c r="W246" s="5" t="s">
        <v>69</v>
      </c>
      <c r="X246" s="5" t="s">
        <v>69</v>
      </c>
      <c r="Y246" s="4">
        <v>6</v>
      </c>
      <c r="Z246" s="4">
        <v>1</v>
      </c>
      <c r="AA246" s="4">
        <v>1</v>
      </c>
      <c r="AB246" s="4">
        <v>1</v>
      </c>
      <c r="AC246" s="4">
        <v>1</v>
      </c>
      <c r="AD246" s="4">
        <v>1</v>
      </c>
      <c r="AE246" s="4">
        <v>1</v>
      </c>
      <c r="AF246" s="4">
        <v>0</v>
      </c>
      <c r="AG246" s="4">
        <v>0</v>
      </c>
      <c r="AH246" s="4">
        <v>1</v>
      </c>
      <c r="AI246" s="4">
        <v>1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3" t="s">
        <v>63</v>
      </c>
      <c r="AS246" s="3" t="s">
        <v>63</v>
      </c>
      <c r="AT246" s="3" t="s">
        <v>63</v>
      </c>
      <c r="AV246" s="6" t="str">
        <f>HYPERLINK("http://mcgill.on.worldcat.org/oclc/608559457","Catalog Record")</f>
        <v>Catalog Record</v>
      </c>
      <c r="AW246" s="6" t="str">
        <f>HYPERLINK("http://www.worldcat.org/oclc/608559457","WorldCat Record")</f>
        <v>WorldCat Record</v>
      </c>
      <c r="AX246" s="3" t="s">
        <v>2604</v>
      </c>
      <c r="AY246" s="3" t="s">
        <v>2605</v>
      </c>
      <c r="AZ246" s="3" t="s">
        <v>2606</v>
      </c>
      <c r="BA246" s="3" t="s">
        <v>2606</v>
      </c>
      <c r="BB246" s="3" t="s">
        <v>2607</v>
      </c>
      <c r="BC246" s="3" t="s">
        <v>82</v>
      </c>
      <c r="BD246" s="3" t="s">
        <v>70</v>
      </c>
      <c r="BE246" s="3" t="s">
        <v>2608</v>
      </c>
      <c r="BF246" s="3" t="s">
        <v>2607</v>
      </c>
      <c r="BG246" s="3" t="s">
        <v>2609</v>
      </c>
    </row>
    <row r="247" spans="1:59" ht="105" x14ac:dyDescent="0.25">
      <c r="A247" s="2" t="s">
        <v>59</v>
      </c>
      <c r="B247" s="2" t="s">
        <v>60</v>
      </c>
      <c r="C247" s="2" t="s">
        <v>2610</v>
      </c>
      <c r="D247" s="2" t="s">
        <v>2611</v>
      </c>
      <c r="E247" s="2" t="s">
        <v>2612</v>
      </c>
      <c r="G247" s="3" t="s">
        <v>63</v>
      </c>
      <c r="I247" s="3" t="s">
        <v>63</v>
      </c>
      <c r="J247" s="3" t="s">
        <v>63</v>
      </c>
      <c r="K247" s="3" t="s">
        <v>64</v>
      </c>
      <c r="M247" s="2" t="s">
        <v>2613</v>
      </c>
      <c r="N247" s="3" t="s">
        <v>1557</v>
      </c>
      <c r="O247" s="2" t="s">
        <v>2614</v>
      </c>
      <c r="P247" s="3" t="s">
        <v>90</v>
      </c>
      <c r="R247" s="3" t="s">
        <v>67</v>
      </c>
      <c r="S247" s="4">
        <v>2</v>
      </c>
      <c r="T247" s="4">
        <v>2</v>
      </c>
      <c r="U247" s="5" t="s">
        <v>2615</v>
      </c>
      <c r="V247" s="5" t="s">
        <v>2615</v>
      </c>
      <c r="W247" s="5" t="s">
        <v>69</v>
      </c>
      <c r="X247" s="5" t="s">
        <v>69</v>
      </c>
      <c r="Y247" s="4">
        <v>1</v>
      </c>
      <c r="Z247" s="4">
        <v>1</v>
      </c>
      <c r="AA247" s="4">
        <v>1</v>
      </c>
      <c r="AB247" s="4">
        <v>1</v>
      </c>
      <c r="AC247" s="4">
        <v>1</v>
      </c>
      <c r="AD247" s="4">
        <v>0</v>
      </c>
      <c r="AE247" s="4">
        <v>1</v>
      </c>
      <c r="AF247" s="4">
        <v>0</v>
      </c>
      <c r="AG247" s="4">
        <v>0</v>
      </c>
      <c r="AH247" s="4">
        <v>0</v>
      </c>
      <c r="AI247" s="4">
        <v>1</v>
      </c>
      <c r="AJ247" s="4">
        <v>0</v>
      </c>
      <c r="AK247" s="4">
        <v>0</v>
      </c>
      <c r="AL247" s="4">
        <v>0</v>
      </c>
      <c r="AM247" s="4">
        <v>1</v>
      </c>
      <c r="AN247" s="4">
        <v>0</v>
      </c>
      <c r="AO247" s="4">
        <v>0</v>
      </c>
      <c r="AP247" s="4">
        <v>0</v>
      </c>
      <c r="AQ247" s="4">
        <v>0</v>
      </c>
      <c r="AR247" s="3" t="s">
        <v>63</v>
      </c>
      <c r="AS247" s="3" t="s">
        <v>63</v>
      </c>
      <c r="AT247" s="3" t="s">
        <v>63</v>
      </c>
      <c r="AV247" s="6" t="str">
        <f>HYPERLINK("http://mcgill.on.worldcat.org/oclc/1035765175","Catalog Record")</f>
        <v>Catalog Record</v>
      </c>
      <c r="AW247" s="6" t="str">
        <f>HYPERLINK("http://www.worldcat.org/oclc/1035765175","WorldCat Record")</f>
        <v>WorldCat Record</v>
      </c>
      <c r="AX247" s="3" t="s">
        <v>2616</v>
      </c>
      <c r="AY247" s="3" t="s">
        <v>2617</v>
      </c>
      <c r="AZ247" s="3" t="s">
        <v>2618</v>
      </c>
      <c r="BA247" s="3" t="s">
        <v>2618</v>
      </c>
      <c r="BB247" s="3" t="s">
        <v>2619</v>
      </c>
      <c r="BC247" s="3" t="s">
        <v>82</v>
      </c>
      <c r="BD247" s="3" t="s">
        <v>70</v>
      </c>
      <c r="BE247" s="3" t="s">
        <v>2620</v>
      </c>
      <c r="BF247" s="3" t="s">
        <v>2619</v>
      </c>
      <c r="BG247" s="3" t="s">
        <v>2621</v>
      </c>
    </row>
    <row r="248" spans="1:59" ht="75" x14ac:dyDescent="0.25">
      <c r="A248" s="2" t="s">
        <v>59</v>
      </c>
      <c r="B248" s="2" t="s">
        <v>60</v>
      </c>
      <c r="C248" s="2" t="s">
        <v>2622</v>
      </c>
      <c r="D248" s="2" t="s">
        <v>2623</v>
      </c>
      <c r="E248" s="2" t="s">
        <v>2624</v>
      </c>
      <c r="G248" s="3" t="s">
        <v>63</v>
      </c>
      <c r="I248" s="3" t="s">
        <v>63</v>
      </c>
      <c r="J248" s="3" t="s">
        <v>63</v>
      </c>
      <c r="K248" s="3" t="s">
        <v>64</v>
      </c>
      <c r="M248" s="2" t="s">
        <v>2625</v>
      </c>
      <c r="N248" s="3" t="s">
        <v>2271</v>
      </c>
      <c r="P248" s="3" t="s">
        <v>66</v>
      </c>
      <c r="R248" s="3" t="s">
        <v>67</v>
      </c>
      <c r="S248" s="4">
        <v>7</v>
      </c>
      <c r="T248" s="4">
        <v>7</v>
      </c>
      <c r="U248" s="5" t="s">
        <v>2626</v>
      </c>
      <c r="V248" s="5" t="s">
        <v>2626</v>
      </c>
      <c r="W248" s="5" t="s">
        <v>69</v>
      </c>
      <c r="X248" s="5" t="s">
        <v>69</v>
      </c>
      <c r="Y248" s="4">
        <v>129</v>
      </c>
      <c r="Z248" s="4">
        <v>12</v>
      </c>
      <c r="AA248" s="4">
        <v>15</v>
      </c>
      <c r="AB248" s="4">
        <v>2</v>
      </c>
      <c r="AC248" s="4">
        <v>4</v>
      </c>
      <c r="AD248" s="4">
        <v>48</v>
      </c>
      <c r="AE248" s="4">
        <v>51</v>
      </c>
      <c r="AF248" s="4">
        <v>1</v>
      </c>
      <c r="AG248" s="4">
        <v>3</v>
      </c>
      <c r="AH248" s="4">
        <v>40</v>
      </c>
      <c r="AI248" s="4">
        <v>42</v>
      </c>
      <c r="AJ248" s="4">
        <v>8</v>
      </c>
      <c r="AK248" s="4">
        <v>11</v>
      </c>
      <c r="AL248" s="4">
        <v>27</v>
      </c>
      <c r="AM248" s="4">
        <v>27</v>
      </c>
      <c r="AN248" s="4">
        <v>0</v>
      </c>
      <c r="AO248" s="4">
        <v>0</v>
      </c>
      <c r="AP248" s="4">
        <v>9</v>
      </c>
      <c r="AQ248" s="4">
        <v>11</v>
      </c>
      <c r="AR248" s="3" t="s">
        <v>63</v>
      </c>
      <c r="AS248" s="3" t="s">
        <v>63</v>
      </c>
      <c r="AT248" s="3" t="s">
        <v>63</v>
      </c>
      <c r="AV248" s="6" t="str">
        <f>HYPERLINK("http://mcgill.on.worldcat.org/oclc/215812","Catalog Record")</f>
        <v>Catalog Record</v>
      </c>
      <c r="AW248" s="6" t="str">
        <f>HYPERLINK("http://www.worldcat.org/oclc/215812","WorldCat Record")</f>
        <v>WorldCat Record</v>
      </c>
      <c r="AX248" s="3" t="s">
        <v>2627</v>
      </c>
      <c r="AY248" s="3" t="s">
        <v>2628</v>
      </c>
      <c r="AZ248" s="3" t="s">
        <v>2629</v>
      </c>
      <c r="BA248" s="3" t="s">
        <v>2629</v>
      </c>
      <c r="BB248" s="3" t="s">
        <v>2630</v>
      </c>
      <c r="BC248" s="3" t="s">
        <v>82</v>
      </c>
      <c r="BD248" s="3" t="s">
        <v>70</v>
      </c>
      <c r="BF248" s="3" t="s">
        <v>2630</v>
      </c>
      <c r="BG248" s="3" t="s">
        <v>2631</v>
      </c>
    </row>
    <row r="249" spans="1:59" ht="75" x14ac:dyDescent="0.25">
      <c r="A249" s="2" t="s">
        <v>59</v>
      </c>
      <c r="B249" s="2" t="s">
        <v>60</v>
      </c>
      <c r="C249" s="2" t="s">
        <v>2632</v>
      </c>
      <c r="D249" s="2" t="s">
        <v>2633</v>
      </c>
      <c r="E249" s="2" t="s">
        <v>2634</v>
      </c>
      <c r="G249" s="3" t="s">
        <v>63</v>
      </c>
      <c r="H249" s="3" t="s">
        <v>215</v>
      </c>
      <c r="I249" s="3" t="s">
        <v>63</v>
      </c>
      <c r="J249" s="3" t="s">
        <v>63</v>
      </c>
      <c r="K249" s="3" t="s">
        <v>64</v>
      </c>
      <c r="M249" s="2" t="s">
        <v>2635</v>
      </c>
      <c r="N249" s="3" t="s">
        <v>143</v>
      </c>
      <c r="O249" s="2" t="s">
        <v>1765</v>
      </c>
      <c r="P249" s="3" t="s">
        <v>90</v>
      </c>
      <c r="R249" s="3" t="s">
        <v>67</v>
      </c>
      <c r="S249" s="4">
        <v>0</v>
      </c>
      <c r="T249" s="4">
        <v>0</v>
      </c>
      <c r="W249" s="5" t="s">
        <v>1813</v>
      </c>
      <c r="X249" s="5" t="s">
        <v>1813</v>
      </c>
      <c r="Y249" s="4">
        <v>7</v>
      </c>
      <c r="Z249" s="4">
        <v>1</v>
      </c>
      <c r="AA249" s="4">
        <v>1</v>
      </c>
      <c r="AB249" s="4">
        <v>1</v>
      </c>
      <c r="AC249" s="4">
        <v>1</v>
      </c>
      <c r="AD249" s="4">
        <v>1</v>
      </c>
      <c r="AE249" s="4">
        <v>3</v>
      </c>
      <c r="AF249" s="4">
        <v>0</v>
      </c>
      <c r="AG249" s="4">
        <v>0</v>
      </c>
      <c r="AH249" s="4">
        <v>1</v>
      </c>
      <c r="AI249" s="4">
        <v>3</v>
      </c>
      <c r="AJ249" s="4">
        <v>0</v>
      </c>
      <c r="AK249" s="4">
        <v>0</v>
      </c>
      <c r="AL249" s="4">
        <v>1</v>
      </c>
      <c r="AM249" s="4">
        <v>3</v>
      </c>
      <c r="AN249" s="4">
        <v>0</v>
      </c>
      <c r="AO249" s="4">
        <v>1</v>
      </c>
      <c r="AP249" s="4">
        <v>0</v>
      </c>
      <c r="AQ249" s="4">
        <v>0</v>
      </c>
      <c r="AR249" s="3" t="s">
        <v>63</v>
      </c>
      <c r="AS249" s="3" t="s">
        <v>63</v>
      </c>
      <c r="AT249" s="3" t="s">
        <v>63</v>
      </c>
      <c r="AV249" s="6" t="str">
        <f>HYPERLINK("http://mcgill.on.worldcat.org/oclc/904958534","Catalog Record")</f>
        <v>Catalog Record</v>
      </c>
      <c r="AW249" s="6" t="str">
        <f>HYPERLINK("http://www.worldcat.org/oclc/904958534","WorldCat Record")</f>
        <v>WorldCat Record</v>
      </c>
      <c r="AX249" s="3" t="s">
        <v>2636</v>
      </c>
      <c r="AY249" s="3" t="s">
        <v>2637</v>
      </c>
      <c r="AZ249" s="3" t="s">
        <v>2638</v>
      </c>
      <c r="BA249" s="3" t="s">
        <v>2638</v>
      </c>
      <c r="BB249" s="3" t="s">
        <v>2639</v>
      </c>
      <c r="BC249" s="3" t="s">
        <v>82</v>
      </c>
      <c r="BD249" s="3" t="s">
        <v>70</v>
      </c>
      <c r="BE249" s="3" t="s">
        <v>2640</v>
      </c>
      <c r="BF249" s="3" t="s">
        <v>2639</v>
      </c>
      <c r="BG249" s="3" t="s">
        <v>2641</v>
      </c>
    </row>
    <row r="250" spans="1:59" ht="75" x14ac:dyDescent="0.25">
      <c r="A250" s="2" t="s">
        <v>59</v>
      </c>
      <c r="B250" s="2" t="s">
        <v>60</v>
      </c>
      <c r="C250" s="2" t="s">
        <v>2642</v>
      </c>
      <c r="D250" s="2" t="s">
        <v>2643</v>
      </c>
      <c r="E250" s="2" t="s">
        <v>2644</v>
      </c>
      <c r="G250" s="3" t="s">
        <v>63</v>
      </c>
      <c r="H250" s="3" t="s">
        <v>215</v>
      </c>
      <c r="I250" s="3" t="s">
        <v>63</v>
      </c>
      <c r="J250" s="3" t="s">
        <v>63</v>
      </c>
      <c r="K250" s="3" t="s">
        <v>64</v>
      </c>
      <c r="M250" s="2" t="s">
        <v>2645</v>
      </c>
      <c r="N250" s="3" t="s">
        <v>287</v>
      </c>
      <c r="P250" s="3" t="s">
        <v>90</v>
      </c>
      <c r="R250" s="3" t="s">
        <v>67</v>
      </c>
      <c r="S250" s="4">
        <v>0</v>
      </c>
      <c r="T250" s="4">
        <v>0</v>
      </c>
      <c r="W250" s="5" t="s">
        <v>1813</v>
      </c>
      <c r="X250" s="5" t="s">
        <v>1813</v>
      </c>
      <c r="Y250" s="4">
        <v>3</v>
      </c>
      <c r="Z250" s="4">
        <v>1</v>
      </c>
      <c r="AA250" s="4">
        <v>1</v>
      </c>
      <c r="AB250" s="4">
        <v>1</v>
      </c>
      <c r="AC250" s="4">
        <v>1</v>
      </c>
      <c r="AD250" s="4">
        <v>1</v>
      </c>
      <c r="AE250" s="4">
        <v>1</v>
      </c>
      <c r="AF250" s="4">
        <v>0</v>
      </c>
      <c r="AG250" s="4">
        <v>0</v>
      </c>
      <c r="AH250" s="4">
        <v>1</v>
      </c>
      <c r="AI250" s="4">
        <v>1</v>
      </c>
      <c r="AJ250" s="4">
        <v>0</v>
      </c>
      <c r="AK250" s="4">
        <v>0</v>
      </c>
      <c r="AL250" s="4">
        <v>1</v>
      </c>
      <c r="AM250" s="4">
        <v>1</v>
      </c>
      <c r="AN250" s="4">
        <v>0</v>
      </c>
      <c r="AO250" s="4">
        <v>0</v>
      </c>
      <c r="AP250" s="4">
        <v>0</v>
      </c>
      <c r="AQ250" s="4">
        <v>0</v>
      </c>
      <c r="AR250" s="3" t="s">
        <v>63</v>
      </c>
      <c r="AS250" s="3" t="s">
        <v>63</v>
      </c>
      <c r="AT250" s="3" t="s">
        <v>63</v>
      </c>
      <c r="AV250" s="6" t="str">
        <f>HYPERLINK("http://mcgill.on.worldcat.org/oclc/1124345886","Catalog Record")</f>
        <v>Catalog Record</v>
      </c>
      <c r="AW250" s="6" t="str">
        <f>HYPERLINK("http://www.worldcat.org/oclc/1124345886","WorldCat Record")</f>
        <v>WorldCat Record</v>
      </c>
      <c r="AX250" s="3" t="s">
        <v>2646</v>
      </c>
      <c r="AY250" s="3" t="s">
        <v>2647</v>
      </c>
      <c r="AZ250" s="3" t="s">
        <v>2648</v>
      </c>
      <c r="BA250" s="3" t="s">
        <v>2648</v>
      </c>
      <c r="BB250" s="3" t="s">
        <v>2649</v>
      </c>
      <c r="BC250" s="3" t="s">
        <v>82</v>
      </c>
      <c r="BD250" s="3" t="s">
        <v>70</v>
      </c>
      <c r="BE250" s="3" t="s">
        <v>2650</v>
      </c>
      <c r="BF250" s="3" t="s">
        <v>2649</v>
      </c>
      <c r="BG250" s="3" t="s">
        <v>2651</v>
      </c>
    </row>
    <row r="251" spans="1:59" ht="75" x14ac:dyDescent="0.25">
      <c r="A251" s="2" t="s">
        <v>59</v>
      </c>
      <c r="B251" s="2" t="s">
        <v>60</v>
      </c>
      <c r="C251" s="2" t="s">
        <v>2652</v>
      </c>
      <c r="D251" s="2" t="s">
        <v>2653</v>
      </c>
      <c r="E251" s="2" t="s">
        <v>2654</v>
      </c>
      <c r="G251" s="3" t="s">
        <v>63</v>
      </c>
      <c r="I251" s="3" t="s">
        <v>63</v>
      </c>
      <c r="J251" s="3" t="s">
        <v>63</v>
      </c>
      <c r="K251" s="3" t="s">
        <v>64</v>
      </c>
      <c r="M251" s="2" t="s">
        <v>2655</v>
      </c>
      <c r="N251" s="3" t="s">
        <v>326</v>
      </c>
      <c r="O251" s="2" t="s">
        <v>2656</v>
      </c>
      <c r="P251" s="3" t="s">
        <v>90</v>
      </c>
      <c r="R251" s="3" t="s">
        <v>67</v>
      </c>
      <c r="S251" s="4">
        <v>8</v>
      </c>
      <c r="T251" s="4">
        <v>8</v>
      </c>
      <c r="U251" s="5" t="s">
        <v>2657</v>
      </c>
      <c r="V251" s="5" t="s">
        <v>2657</v>
      </c>
      <c r="W251" s="5" t="s">
        <v>69</v>
      </c>
      <c r="X251" s="5" t="s">
        <v>69</v>
      </c>
      <c r="Y251" s="4">
        <v>4</v>
      </c>
      <c r="Z251" s="4">
        <v>1</v>
      </c>
      <c r="AA251" s="4">
        <v>1</v>
      </c>
      <c r="AB251" s="4">
        <v>1</v>
      </c>
      <c r="AC251" s="4">
        <v>1</v>
      </c>
      <c r="AD251" s="4">
        <v>0</v>
      </c>
      <c r="AE251" s="4">
        <v>1</v>
      </c>
      <c r="AF251" s="4">
        <v>0</v>
      </c>
      <c r="AG251" s="4">
        <v>0</v>
      </c>
      <c r="AH251" s="4">
        <v>0</v>
      </c>
      <c r="AI251" s="4">
        <v>1</v>
      </c>
      <c r="AJ251" s="4">
        <v>0</v>
      </c>
      <c r="AK251" s="4">
        <v>0</v>
      </c>
      <c r="AL251" s="4">
        <v>0</v>
      </c>
      <c r="AM251" s="4">
        <v>1</v>
      </c>
      <c r="AN251" s="4">
        <v>0</v>
      </c>
      <c r="AO251" s="4">
        <v>0</v>
      </c>
      <c r="AP251" s="4">
        <v>0</v>
      </c>
      <c r="AQ251" s="4">
        <v>0</v>
      </c>
      <c r="AR251" s="3" t="s">
        <v>63</v>
      </c>
      <c r="AS251" s="3" t="s">
        <v>63</v>
      </c>
      <c r="AT251" s="3" t="s">
        <v>63</v>
      </c>
      <c r="AV251" s="6" t="str">
        <f>HYPERLINK("http://mcgill.on.worldcat.org/oclc/493990763","Catalog Record")</f>
        <v>Catalog Record</v>
      </c>
      <c r="AW251" s="6" t="str">
        <f>HYPERLINK("http://www.worldcat.org/oclc/493990763","WorldCat Record")</f>
        <v>WorldCat Record</v>
      </c>
      <c r="AX251" s="3" t="s">
        <v>2658</v>
      </c>
      <c r="AY251" s="3" t="s">
        <v>2659</v>
      </c>
      <c r="AZ251" s="3" t="s">
        <v>2660</v>
      </c>
      <c r="BA251" s="3" t="s">
        <v>2660</v>
      </c>
      <c r="BB251" s="3" t="s">
        <v>2661</v>
      </c>
      <c r="BC251" s="3" t="s">
        <v>82</v>
      </c>
      <c r="BD251" s="3" t="s">
        <v>538</v>
      </c>
      <c r="BE251" s="3" t="s">
        <v>2662</v>
      </c>
      <c r="BF251" s="3" t="s">
        <v>2661</v>
      </c>
      <c r="BG251" s="3" t="s">
        <v>2663</v>
      </c>
    </row>
    <row r="252" spans="1:59" ht="75" x14ac:dyDescent="0.25">
      <c r="A252" s="2" t="s">
        <v>59</v>
      </c>
      <c r="B252" s="2" t="s">
        <v>60</v>
      </c>
      <c r="C252" s="2" t="s">
        <v>2664</v>
      </c>
      <c r="D252" s="2" t="s">
        <v>2665</v>
      </c>
      <c r="E252" s="2" t="s">
        <v>2666</v>
      </c>
      <c r="G252" s="3" t="s">
        <v>63</v>
      </c>
      <c r="H252" s="3" t="s">
        <v>215</v>
      </c>
      <c r="I252" s="3" t="s">
        <v>63</v>
      </c>
      <c r="J252" s="3" t="s">
        <v>62</v>
      </c>
      <c r="K252" s="3" t="s">
        <v>64</v>
      </c>
      <c r="M252" s="2" t="s">
        <v>1775</v>
      </c>
      <c r="N252" s="3" t="s">
        <v>287</v>
      </c>
      <c r="O252" s="2" t="s">
        <v>2667</v>
      </c>
      <c r="P252" s="3" t="s">
        <v>90</v>
      </c>
      <c r="R252" s="3" t="s">
        <v>67</v>
      </c>
      <c r="S252" s="4">
        <v>0</v>
      </c>
      <c r="T252" s="4">
        <v>0</v>
      </c>
      <c r="W252" s="5" t="s">
        <v>1753</v>
      </c>
      <c r="X252" s="5" t="s">
        <v>1753</v>
      </c>
      <c r="Y252" s="4">
        <v>1</v>
      </c>
      <c r="Z252" s="4">
        <v>1</v>
      </c>
      <c r="AA252" s="4">
        <v>1</v>
      </c>
      <c r="AB252" s="4">
        <v>1</v>
      </c>
      <c r="AC252" s="4">
        <v>1</v>
      </c>
      <c r="AD252" s="4">
        <v>0</v>
      </c>
      <c r="AE252" s="4">
        <v>1</v>
      </c>
      <c r="AF252" s="4">
        <v>0</v>
      </c>
      <c r="AG252" s="4">
        <v>0</v>
      </c>
      <c r="AH252" s="4">
        <v>0</v>
      </c>
      <c r="AI252" s="4">
        <v>1</v>
      </c>
      <c r="AJ252" s="4">
        <v>0</v>
      </c>
      <c r="AK252" s="4">
        <v>0</v>
      </c>
      <c r="AL252" s="4">
        <v>0</v>
      </c>
      <c r="AM252" s="4">
        <v>1</v>
      </c>
      <c r="AN252" s="4">
        <v>0</v>
      </c>
      <c r="AO252" s="4">
        <v>0</v>
      </c>
      <c r="AP252" s="4">
        <v>0</v>
      </c>
      <c r="AQ252" s="4">
        <v>0</v>
      </c>
      <c r="AR252" s="3" t="s">
        <v>63</v>
      </c>
      <c r="AS252" s="3" t="s">
        <v>63</v>
      </c>
      <c r="AT252" s="3" t="s">
        <v>63</v>
      </c>
      <c r="AV252" s="6" t="str">
        <f>HYPERLINK("http://mcgill.on.worldcat.org/oclc/1130310275","Catalog Record")</f>
        <v>Catalog Record</v>
      </c>
      <c r="AW252" s="6" t="str">
        <f>HYPERLINK("http://www.worldcat.org/oclc/1130310275","WorldCat Record")</f>
        <v>WorldCat Record</v>
      </c>
      <c r="AX252" s="3" t="s">
        <v>2668</v>
      </c>
      <c r="AY252" s="3" t="s">
        <v>2669</v>
      </c>
      <c r="AZ252" s="3" t="s">
        <v>2670</v>
      </c>
      <c r="BA252" s="3" t="s">
        <v>2670</v>
      </c>
      <c r="BB252" s="3" t="s">
        <v>2671</v>
      </c>
      <c r="BC252" s="3" t="s">
        <v>82</v>
      </c>
      <c r="BD252" s="3" t="s">
        <v>70</v>
      </c>
      <c r="BE252" s="3" t="s">
        <v>2672</v>
      </c>
      <c r="BF252" s="3" t="s">
        <v>2671</v>
      </c>
      <c r="BG252" s="3" t="s">
        <v>2673</v>
      </c>
    </row>
    <row r="253" spans="1:59" ht="60" x14ac:dyDescent="0.25">
      <c r="A253" s="2" t="s">
        <v>59</v>
      </c>
      <c r="B253" s="2" t="s">
        <v>60</v>
      </c>
      <c r="C253" s="2" t="s">
        <v>2674</v>
      </c>
      <c r="D253" s="2" t="s">
        <v>2675</v>
      </c>
      <c r="E253" s="2" t="s">
        <v>2676</v>
      </c>
      <c r="G253" s="3" t="s">
        <v>63</v>
      </c>
      <c r="I253" s="3" t="s">
        <v>63</v>
      </c>
      <c r="J253" s="3" t="s">
        <v>62</v>
      </c>
      <c r="K253" s="3" t="s">
        <v>64</v>
      </c>
      <c r="L253" s="2" t="s">
        <v>2677</v>
      </c>
      <c r="M253" s="2" t="s">
        <v>2678</v>
      </c>
      <c r="N253" s="3" t="s">
        <v>2393</v>
      </c>
      <c r="P253" s="3" t="s">
        <v>66</v>
      </c>
      <c r="R253" s="3" t="s">
        <v>67</v>
      </c>
      <c r="S253" s="4">
        <v>7</v>
      </c>
      <c r="T253" s="4">
        <v>7</v>
      </c>
      <c r="U253" s="5" t="s">
        <v>2679</v>
      </c>
      <c r="V253" s="5" t="s">
        <v>2679</v>
      </c>
      <c r="W253" s="5" t="s">
        <v>69</v>
      </c>
      <c r="X253" s="5" t="s">
        <v>69</v>
      </c>
      <c r="Y253" s="4">
        <v>369</v>
      </c>
      <c r="Z253" s="4">
        <v>19</v>
      </c>
      <c r="AA253" s="4">
        <v>28</v>
      </c>
      <c r="AB253" s="4">
        <v>2</v>
      </c>
      <c r="AC253" s="4">
        <v>4</v>
      </c>
      <c r="AD253" s="4">
        <v>93</v>
      </c>
      <c r="AE253" s="4">
        <v>112</v>
      </c>
      <c r="AF253" s="4">
        <v>0</v>
      </c>
      <c r="AG253" s="4">
        <v>1</v>
      </c>
      <c r="AH253" s="4">
        <v>82</v>
      </c>
      <c r="AI253" s="4">
        <v>100</v>
      </c>
      <c r="AJ253" s="4">
        <v>14</v>
      </c>
      <c r="AK253" s="4">
        <v>18</v>
      </c>
      <c r="AL253" s="4">
        <v>47</v>
      </c>
      <c r="AM253" s="4">
        <v>57</v>
      </c>
      <c r="AN253" s="4">
        <v>0</v>
      </c>
      <c r="AO253" s="4">
        <v>0</v>
      </c>
      <c r="AP253" s="4">
        <v>14</v>
      </c>
      <c r="AQ253" s="4">
        <v>19</v>
      </c>
      <c r="AR253" s="3" t="s">
        <v>63</v>
      </c>
      <c r="AS253" s="3" t="s">
        <v>63</v>
      </c>
      <c r="AT253" s="3" t="s">
        <v>62</v>
      </c>
      <c r="AU253" s="6" t="str">
        <f>HYPERLINK("http://catalog.hathitrust.org/Record/000015984","HathiTrust Record")</f>
        <v>HathiTrust Record</v>
      </c>
      <c r="AV253" s="6" t="str">
        <f>HYPERLINK("http://mcgill.on.worldcat.org/oclc/983699","Catalog Record")</f>
        <v>Catalog Record</v>
      </c>
      <c r="AW253" s="6" t="str">
        <f>HYPERLINK("http://www.worldcat.org/oclc/983699","WorldCat Record")</f>
        <v>WorldCat Record</v>
      </c>
      <c r="AX253" s="3" t="s">
        <v>2680</v>
      </c>
      <c r="AY253" s="3" t="s">
        <v>2681</v>
      </c>
      <c r="AZ253" s="3" t="s">
        <v>2682</v>
      </c>
      <c r="BA253" s="3" t="s">
        <v>2682</v>
      </c>
      <c r="BB253" s="3" t="s">
        <v>2683</v>
      </c>
      <c r="BC253" s="3" t="s">
        <v>82</v>
      </c>
      <c r="BD253" s="3" t="s">
        <v>70</v>
      </c>
      <c r="BE253" s="3" t="s">
        <v>2684</v>
      </c>
      <c r="BF253" s="3" t="s">
        <v>2683</v>
      </c>
      <c r="BG253" s="3" t="s">
        <v>2685</v>
      </c>
    </row>
    <row r="254" spans="1:59" ht="60" x14ac:dyDescent="0.25">
      <c r="A254" s="2" t="s">
        <v>59</v>
      </c>
      <c r="B254" s="2" t="s">
        <v>60</v>
      </c>
      <c r="C254" s="2" t="s">
        <v>2686</v>
      </c>
      <c r="D254" s="2" t="s">
        <v>2687</v>
      </c>
      <c r="E254" s="2" t="s">
        <v>2688</v>
      </c>
      <c r="F254" s="3" t="s">
        <v>626</v>
      </c>
      <c r="G254" s="3" t="s">
        <v>63</v>
      </c>
      <c r="I254" s="3" t="s">
        <v>63</v>
      </c>
      <c r="J254" s="3" t="s">
        <v>63</v>
      </c>
      <c r="K254" s="3" t="s">
        <v>64</v>
      </c>
      <c r="L254" s="2" t="s">
        <v>2689</v>
      </c>
      <c r="M254" s="2" t="s">
        <v>2690</v>
      </c>
      <c r="N254" s="3" t="s">
        <v>313</v>
      </c>
      <c r="O254" s="2" t="s">
        <v>2691</v>
      </c>
      <c r="P254" s="3" t="s">
        <v>66</v>
      </c>
      <c r="Q254" s="2" t="s">
        <v>2692</v>
      </c>
      <c r="R254" s="3" t="s">
        <v>67</v>
      </c>
      <c r="S254" s="4">
        <v>18</v>
      </c>
      <c r="T254" s="4">
        <v>18</v>
      </c>
      <c r="U254" s="5" t="s">
        <v>2693</v>
      </c>
      <c r="V254" s="5" t="s">
        <v>2693</v>
      </c>
      <c r="W254" s="5" t="s">
        <v>1690</v>
      </c>
      <c r="X254" s="5" t="s">
        <v>1690</v>
      </c>
      <c r="Y254" s="4">
        <v>74</v>
      </c>
      <c r="Z254" s="4">
        <v>3</v>
      </c>
      <c r="AA254" s="4">
        <v>50</v>
      </c>
      <c r="AB254" s="4">
        <v>1</v>
      </c>
      <c r="AC254" s="4">
        <v>4</v>
      </c>
      <c r="AD254" s="4">
        <v>15</v>
      </c>
      <c r="AE254" s="4">
        <v>56</v>
      </c>
      <c r="AF254" s="4">
        <v>0</v>
      </c>
      <c r="AG254" s="4">
        <v>0</v>
      </c>
      <c r="AH254" s="4">
        <v>14</v>
      </c>
      <c r="AI254" s="4">
        <v>47</v>
      </c>
      <c r="AJ254" s="4">
        <v>1</v>
      </c>
      <c r="AK254" s="4">
        <v>6</v>
      </c>
      <c r="AL254" s="4">
        <v>9</v>
      </c>
      <c r="AM254" s="4">
        <v>30</v>
      </c>
      <c r="AN254" s="4">
        <v>0</v>
      </c>
      <c r="AO254" s="4">
        <v>0</v>
      </c>
      <c r="AP254" s="4">
        <v>1</v>
      </c>
      <c r="AQ254" s="4">
        <v>13</v>
      </c>
      <c r="AR254" s="3" t="s">
        <v>63</v>
      </c>
      <c r="AS254" s="3" t="s">
        <v>63</v>
      </c>
      <c r="AT254" s="3" t="s">
        <v>63</v>
      </c>
      <c r="AV254" s="6" t="str">
        <f>HYPERLINK("http://mcgill.on.worldcat.org/oclc/302099335","Catalog Record")</f>
        <v>Catalog Record</v>
      </c>
      <c r="AW254" s="6" t="str">
        <f>HYPERLINK("http://www.worldcat.org/oclc/302099335","WorldCat Record")</f>
        <v>WorldCat Record</v>
      </c>
      <c r="AX254" s="3" t="s">
        <v>2694</v>
      </c>
      <c r="AY254" s="3" t="s">
        <v>2695</v>
      </c>
      <c r="AZ254" s="3" t="s">
        <v>2696</v>
      </c>
      <c r="BA254" s="3" t="s">
        <v>2696</v>
      </c>
      <c r="BB254" s="3" t="s">
        <v>2697</v>
      </c>
      <c r="BC254" s="3" t="s">
        <v>82</v>
      </c>
      <c r="BD254" s="3" t="s">
        <v>70</v>
      </c>
      <c r="BE254" s="3" t="s">
        <v>2698</v>
      </c>
      <c r="BF254" s="3" t="s">
        <v>2697</v>
      </c>
      <c r="BG254" s="3" t="s">
        <v>2699</v>
      </c>
    </row>
    <row r="255" spans="1:59" ht="60" x14ac:dyDescent="0.25">
      <c r="A255" s="2" t="s">
        <v>59</v>
      </c>
      <c r="B255" s="2" t="s">
        <v>60</v>
      </c>
      <c r="C255" s="2" t="s">
        <v>2700</v>
      </c>
      <c r="D255" s="2" t="s">
        <v>2701</v>
      </c>
      <c r="E255" s="2" t="s">
        <v>2702</v>
      </c>
      <c r="G255" s="3" t="s">
        <v>63</v>
      </c>
      <c r="I255" s="3" t="s">
        <v>63</v>
      </c>
      <c r="J255" s="3" t="s">
        <v>63</v>
      </c>
      <c r="K255" s="3" t="s">
        <v>64</v>
      </c>
      <c r="L255" s="2" t="s">
        <v>2703</v>
      </c>
      <c r="M255" s="2" t="s">
        <v>2704</v>
      </c>
      <c r="N255" s="3" t="s">
        <v>758</v>
      </c>
      <c r="P255" s="3" t="s">
        <v>90</v>
      </c>
      <c r="Q255" s="2" t="s">
        <v>2705</v>
      </c>
      <c r="R255" s="3" t="s">
        <v>67</v>
      </c>
      <c r="S255" s="4">
        <v>8</v>
      </c>
      <c r="T255" s="4">
        <v>8</v>
      </c>
      <c r="U255" s="5" t="s">
        <v>2706</v>
      </c>
      <c r="V255" s="5" t="s">
        <v>2706</v>
      </c>
      <c r="W255" s="5" t="s">
        <v>69</v>
      </c>
      <c r="X255" s="5" t="s">
        <v>69</v>
      </c>
      <c r="Y255" s="4">
        <v>185</v>
      </c>
      <c r="Z255" s="4">
        <v>8</v>
      </c>
      <c r="AA255" s="4">
        <v>8</v>
      </c>
      <c r="AB255" s="4">
        <v>1</v>
      </c>
      <c r="AC255" s="4">
        <v>1</v>
      </c>
      <c r="AD255" s="4">
        <v>61</v>
      </c>
      <c r="AE255" s="4">
        <v>61</v>
      </c>
      <c r="AF255" s="4">
        <v>0</v>
      </c>
      <c r="AG255" s="4">
        <v>0</v>
      </c>
      <c r="AH255" s="4">
        <v>57</v>
      </c>
      <c r="AI255" s="4">
        <v>57</v>
      </c>
      <c r="AJ255" s="4">
        <v>6</v>
      </c>
      <c r="AK255" s="4">
        <v>6</v>
      </c>
      <c r="AL255" s="4">
        <v>29</v>
      </c>
      <c r="AM255" s="4">
        <v>29</v>
      </c>
      <c r="AN255" s="4">
        <v>0</v>
      </c>
      <c r="AO255" s="4">
        <v>0</v>
      </c>
      <c r="AP255" s="4">
        <v>7</v>
      </c>
      <c r="AQ255" s="4">
        <v>7</v>
      </c>
      <c r="AR255" s="3" t="s">
        <v>63</v>
      </c>
      <c r="AS255" s="3" t="s">
        <v>63</v>
      </c>
      <c r="AT255" s="3" t="s">
        <v>62</v>
      </c>
      <c r="AU255" s="6" t="str">
        <f>HYPERLINK("http://catalog.hathitrust.org/Record/001059246","HathiTrust Record")</f>
        <v>HathiTrust Record</v>
      </c>
      <c r="AV255" s="6" t="str">
        <f>HYPERLINK("http://mcgill.on.worldcat.org/oclc/1210458","Catalog Record")</f>
        <v>Catalog Record</v>
      </c>
      <c r="AW255" s="6" t="str">
        <f>HYPERLINK("http://www.worldcat.org/oclc/1210458","WorldCat Record")</f>
        <v>WorldCat Record</v>
      </c>
      <c r="AX255" s="3" t="s">
        <v>2707</v>
      </c>
      <c r="AY255" s="3" t="s">
        <v>2708</v>
      </c>
      <c r="AZ255" s="3" t="s">
        <v>2709</v>
      </c>
      <c r="BA255" s="3" t="s">
        <v>2709</v>
      </c>
      <c r="BB255" s="3" t="s">
        <v>2710</v>
      </c>
      <c r="BC255" s="3" t="s">
        <v>82</v>
      </c>
      <c r="BD255" s="3" t="s">
        <v>70</v>
      </c>
      <c r="BF255" s="3" t="s">
        <v>2710</v>
      </c>
      <c r="BG255" s="3" t="s">
        <v>2711</v>
      </c>
    </row>
    <row r="256" spans="1:59" ht="60" x14ac:dyDescent="0.25">
      <c r="A256" s="2" t="s">
        <v>59</v>
      </c>
      <c r="B256" s="2" t="s">
        <v>60</v>
      </c>
      <c r="C256" s="2" t="s">
        <v>2712</v>
      </c>
      <c r="D256" s="2" t="s">
        <v>2713</v>
      </c>
      <c r="E256" s="2" t="s">
        <v>2714</v>
      </c>
      <c r="F256" s="3" t="s">
        <v>2715</v>
      </c>
      <c r="G256" s="3" t="s">
        <v>63</v>
      </c>
      <c r="I256" s="3" t="s">
        <v>63</v>
      </c>
      <c r="J256" s="3" t="s">
        <v>63</v>
      </c>
      <c r="K256" s="3" t="s">
        <v>64</v>
      </c>
      <c r="L256" s="2" t="s">
        <v>2716</v>
      </c>
      <c r="M256" s="2" t="s">
        <v>2717</v>
      </c>
      <c r="N256" s="3" t="s">
        <v>326</v>
      </c>
      <c r="O256" s="2" t="s">
        <v>2718</v>
      </c>
      <c r="P256" s="3" t="s">
        <v>90</v>
      </c>
      <c r="R256" s="3" t="s">
        <v>67</v>
      </c>
      <c r="S256" s="4">
        <v>2</v>
      </c>
      <c r="T256" s="4">
        <v>2</v>
      </c>
      <c r="U256" s="5" t="s">
        <v>2719</v>
      </c>
      <c r="V256" s="5" t="s">
        <v>2719</v>
      </c>
      <c r="W256" s="5" t="s">
        <v>69</v>
      </c>
      <c r="X256" s="5" t="s">
        <v>69</v>
      </c>
      <c r="Y256" s="4">
        <v>4</v>
      </c>
      <c r="Z256" s="4">
        <v>1</v>
      </c>
      <c r="AA256" s="4">
        <v>1</v>
      </c>
      <c r="AB256" s="4">
        <v>1</v>
      </c>
      <c r="AC256" s="4">
        <v>1</v>
      </c>
      <c r="AD256" s="4">
        <v>1</v>
      </c>
      <c r="AE256" s="4">
        <v>1</v>
      </c>
      <c r="AF256" s="4">
        <v>0</v>
      </c>
      <c r="AG256" s="4">
        <v>0</v>
      </c>
      <c r="AH256" s="4">
        <v>1</v>
      </c>
      <c r="AI256" s="4">
        <v>1</v>
      </c>
      <c r="AJ256" s="4">
        <v>0</v>
      </c>
      <c r="AK256" s="4">
        <v>0</v>
      </c>
      <c r="AL256" s="4">
        <v>1</v>
      </c>
      <c r="AM256" s="4">
        <v>1</v>
      </c>
      <c r="AN256" s="4">
        <v>0</v>
      </c>
      <c r="AO256" s="4">
        <v>0</v>
      </c>
      <c r="AP256" s="4">
        <v>0</v>
      </c>
      <c r="AQ256" s="4">
        <v>0</v>
      </c>
      <c r="AR256" s="3" t="s">
        <v>63</v>
      </c>
      <c r="AS256" s="3" t="s">
        <v>63</v>
      </c>
      <c r="AT256" s="3" t="s">
        <v>63</v>
      </c>
      <c r="AV256" s="6" t="str">
        <f>HYPERLINK("http://mcgill.on.worldcat.org/oclc/729756923","Catalog Record")</f>
        <v>Catalog Record</v>
      </c>
      <c r="AW256" s="6" t="str">
        <f>HYPERLINK("http://www.worldcat.org/oclc/729756923","WorldCat Record")</f>
        <v>WorldCat Record</v>
      </c>
      <c r="AX256" s="3" t="s">
        <v>2720</v>
      </c>
      <c r="AY256" s="3" t="s">
        <v>2721</v>
      </c>
      <c r="AZ256" s="3" t="s">
        <v>2722</v>
      </c>
      <c r="BA256" s="3" t="s">
        <v>2722</v>
      </c>
      <c r="BB256" s="3" t="s">
        <v>2723</v>
      </c>
      <c r="BC256" s="3" t="s">
        <v>82</v>
      </c>
      <c r="BD256" s="3" t="s">
        <v>70</v>
      </c>
      <c r="BE256" s="3" t="s">
        <v>2724</v>
      </c>
      <c r="BF256" s="3" t="s">
        <v>2723</v>
      </c>
      <c r="BG256" s="3" t="s">
        <v>2725</v>
      </c>
    </row>
    <row r="257" spans="1:59" ht="75" x14ac:dyDescent="0.25">
      <c r="A257" s="2" t="s">
        <v>59</v>
      </c>
      <c r="B257" s="2" t="s">
        <v>60</v>
      </c>
      <c r="C257" s="2" t="s">
        <v>2726</v>
      </c>
      <c r="D257" s="2" t="s">
        <v>2727</v>
      </c>
      <c r="E257" s="2" t="s">
        <v>2728</v>
      </c>
      <c r="G257" s="3" t="s">
        <v>63</v>
      </c>
      <c r="I257" s="3" t="s">
        <v>63</v>
      </c>
      <c r="J257" s="3" t="s">
        <v>63</v>
      </c>
      <c r="K257" s="3" t="s">
        <v>64</v>
      </c>
      <c r="L257" s="2" t="s">
        <v>2729</v>
      </c>
      <c r="M257" s="2" t="s">
        <v>2514</v>
      </c>
      <c r="N257" s="3" t="s">
        <v>1226</v>
      </c>
      <c r="O257" s="2" t="s">
        <v>2730</v>
      </c>
      <c r="P257" s="3" t="s">
        <v>90</v>
      </c>
      <c r="R257" s="3" t="s">
        <v>67</v>
      </c>
      <c r="S257" s="4">
        <v>6</v>
      </c>
      <c r="T257" s="4">
        <v>6</v>
      </c>
      <c r="U257" s="5" t="s">
        <v>2731</v>
      </c>
      <c r="V257" s="5" t="s">
        <v>2731</v>
      </c>
      <c r="W257" s="5" t="s">
        <v>69</v>
      </c>
      <c r="X257" s="5" t="s">
        <v>69</v>
      </c>
      <c r="Y257" s="4">
        <v>5</v>
      </c>
      <c r="Z257" s="4">
        <v>2</v>
      </c>
      <c r="AA257" s="4">
        <v>2</v>
      </c>
      <c r="AB257" s="4">
        <v>2</v>
      </c>
      <c r="AC257" s="4">
        <v>2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3" t="s">
        <v>63</v>
      </c>
      <c r="AS257" s="3" t="s">
        <v>63</v>
      </c>
      <c r="AT257" s="3" t="s">
        <v>63</v>
      </c>
      <c r="AV257" s="6" t="str">
        <f>HYPERLINK("http://mcgill.on.worldcat.org/oclc/429189545","Catalog Record")</f>
        <v>Catalog Record</v>
      </c>
      <c r="AW257" s="6" t="str">
        <f>HYPERLINK("http://www.worldcat.org/oclc/429189545","WorldCat Record")</f>
        <v>WorldCat Record</v>
      </c>
      <c r="AX257" s="3" t="s">
        <v>2732</v>
      </c>
      <c r="AY257" s="3" t="s">
        <v>2733</v>
      </c>
      <c r="AZ257" s="3" t="s">
        <v>2734</v>
      </c>
      <c r="BA257" s="3" t="s">
        <v>2734</v>
      </c>
      <c r="BB257" s="3" t="s">
        <v>2735</v>
      </c>
      <c r="BC257" s="3" t="s">
        <v>82</v>
      </c>
      <c r="BD257" s="3" t="s">
        <v>70</v>
      </c>
      <c r="BE257" s="3" t="s">
        <v>2736</v>
      </c>
      <c r="BF257" s="3" t="s">
        <v>2735</v>
      </c>
      <c r="BG257" s="3" t="s">
        <v>2737</v>
      </c>
    </row>
    <row r="258" spans="1:59" ht="60" x14ac:dyDescent="0.25">
      <c r="A258" s="2" t="s">
        <v>59</v>
      </c>
      <c r="B258" s="2" t="s">
        <v>60</v>
      </c>
      <c r="C258" s="2" t="s">
        <v>2738</v>
      </c>
      <c r="D258" s="2" t="s">
        <v>2739</v>
      </c>
      <c r="E258" s="2" t="s">
        <v>2740</v>
      </c>
      <c r="F258" s="3" t="s">
        <v>2715</v>
      </c>
      <c r="G258" s="3" t="s">
        <v>63</v>
      </c>
      <c r="I258" s="3" t="s">
        <v>63</v>
      </c>
      <c r="J258" s="3" t="s">
        <v>63</v>
      </c>
      <c r="K258" s="3" t="s">
        <v>64</v>
      </c>
      <c r="L258" s="2" t="s">
        <v>2741</v>
      </c>
      <c r="M258" s="2" t="s">
        <v>2491</v>
      </c>
      <c r="N258" s="3" t="s">
        <v>313</v>
      </c>
      <c r="O258" s="2" t="s">
        <v>2742</v>
      </c>
      <c r="P258" s="3" t="s">
        <v>90</v>
      </c>
      <c r="R258" s="3" t="s">
        <v>67</v>
      </c>
      <c r="S258" s="4">
        <v>2</v>
      </c>
      <c r="T258" s="4">
        <v>2</v>
      </c>
      <c r="U258" s="5" t="s">
        <v>2743</v>
      </c>
      <c r="V258" s="5" t="s">
        <v>2743</v>
      </c>
      <c r="W258" s="5" t="s">
        <v>69</v>
      </c>
      <c r="X258" s="5" t="s">
        <v>69</v>
      </c>
      <c r="Y258" s="4">
        <v>2</v>
      </c>
      <c r="Z258" s="4">
        <v>1</v>
      </c>
      <c r="AA258" s="4">
        <v>1</v>
      </c>
      <c r="AB258" s="4">
        <v>1</v>
      </c>
      <c r="AC258" s="4">
        <v>1</v>
      </c>
      <c r="AD258" s="4">
        <v>0</v>
      </c>
      <c r="AE258" s="4">
        <v>1</v>
      </c>
      <c r="AF258" s="4">
        <v>0</v>
      </c>
      <c r="AG258" s="4">
        <v>0</v>
      </c>
      <c r="AH258" s="4">
        <v>0</v>
      </c>
      <c r="AI258" s="4">
        <v>1</v>
      </c>
      <c r="AJ258" s="4">
        <v>0</v>
      </c>
      <c r="AK258" s="4">
        <v>0</v>
      </c>
      <c r="AL258" s="4">
        <v>0</v>
      </c>
      <c r="AM258" s="4">
        <v>1</v>
      </c>
      <c r="AN258" s="4">
        <v>0</v>
      </c>
      <c r="AO258" s="4">
        <v>0</v>
      </c>
      <c r="AP258" s="4">
        <v>0</v>
      </c>
      <c r="AQ258" s="4">
        <v>0</v>
      </c>
      <c r="AR258" s="3" t="s">
        <v>63</v>
      </c>
      <c r="AS258" s="3" t="s">
        <v>63</v>
      </c>
      <c r="AT258" s="3" t="s">
        <v>63</v>
      </c>
      <c r="AV258" s="6" t="str">
        <f>HYPERLINK("http://mcgill.on.worldcat.org/oclc/588533261","Catalog Record")</f>
        <v>Catalog Record</v>
      </c>
      <c r="AW258" s="6" t="str">
        <f>HYPERLINK("http://www.worldcat.org/oclc/588533261","WorldCat Record")</f>
        <v>WorldCat Record</v>
      </c>
      <c r="AX258" s="3" t="s">
        <v>2744</v>
      </c>
      <c r="AY258" s="3" t="s">
        <v>2745</v>
      </c>
      <c r="AZ258" s="3" t="s">
        <v>2746</v>
      </c>
      <c r="BA258" s="3" t="s">
        <v>2746</v>
      </c>
      <c r="BB258" s="3" t="s">
        <v>2747</v>
      </c>
      <c r="BC258" s="3" t="s">
        <v>82</v>
      </c>
      <c r="BD258" s="3" t="s">
        <v>70</v>
      </c>
      <c r="BE258" s="3" t="s">
        <v>2748</v>
      </c>
      <c r="BF258" s="3" t="s">
        <v>2747</v>
      </c>
      <c r="BG258" s="3" t="s">
        <v>2749</v>
      </c>
    </row>
    <row r="259" spans="1:59" ht="60" x14ac:dyDescent="0.25">
      <c r="A259" s="2" t="s">
        <v>59</v>
      </c>
      <c r="B259" s="2" t="s">
        <v>60</v>
      </c>
      <c r="C259" s="2" t="s">
        <v>2750</v>
      </c>
      <c r="D259" s="2" t="s">
        <v>2751</v>
      </c>
      <c r="E259" s="2" t="s">
        <v>2752</v>
      </c>
      <c r="G259" s="3" t="s">
        <v>63</v>
      </c>
      <c r="I259" s="3" t="s">
        <v>63</v>
      </c>
      <c r="J259" s="3" t="s">
        <v>63</v>
      </c>
      <c r="K259" s="3" t="s">
        <v>64</v>
      </c>
      <c r="L259" s="2" t="s">
        <v>2753</v>
      </c>
      <c r="M259" s="2" t="s">
        <v>2754</v>
      </c>
      <c r="N259" s="3" t="s">
        <v>731</v>
      </c>
      <c r="P259" s="3" t="s">
        <v>90</v>
      </c>
      <c r="R259" s="3" t="s">
        <v>67</v>
      </c>
      <c r="S259" s="4">
        <v>4</v>
      </c>
      <c r="T259" s="4">
        <v>4</v>
      </c>
      <c r="U259" s="5" t="s">
        <v>2731</v>
      </c>
      <c r="V259" s="5" t="s">
        <v>2731</v>
      </c>
      <c r="W259" s="5" t="s">
        <v>69</v>
      </c>
      <c r="X259" s="5" t="s">
        <v>69</v>
      </c>
      <c r="Y259" s="4">
        <v>64</v>
      </c>
      <c r="Z259" s="4">
        <v>7</v>
      </c>
      <c r="AA259" s="4">
        <v>7</v>
      </c>
      <c r="AB259" s="4">
        <v>1</v>
      </c>
      <c r="AC259" s="4">
        <v>1</v>
      </c>
      <c r="AD259" s="4">
        <v>37</v>
      </c>
      <c r="AE259" s="4">
        <v>37</v>
      </c>
      <c r="AF259" s="4">
        <v>0</v>
      </c>
      <c r="AG259" s="4">
        <v>0</v>
      </c>
      <c r="AH259" s="4">
        <v>34</v>
      </c>
      <c r="AI259" s="4">
        <v>34</v>
      </c>
      <c r="AJ259" s="4">
        <v>5</v>
      </c>
      <c r="AK259" s="4">
        <v>5</v>
      </c>
      <c r="AL259" s="4">
        <v>27</v>
      </c>
      <c r="AM259" s="4">
        <v>27</v>
      </c>
      <c r="AN259" s="4">
        <v>5</v>
      </c>
      <c r="AO259" s="4">
        <v>5</v>
      </c>
      <c r="AP259" s="4">
        <v>5</v>
      </c>
      <c r="AQ259" s="4">
        <v>5</v>
      </c>
      <c r="AR259" s="3" t="s">
        <v>63</v>
      </c>
      <c r="AS259" s="3" t="s">
        <v>63</v>
      </c>
      <c r="AT259" s="3" t="s">
        <v>62</v>
      </c>
      <c r="AU259" s="6" t="str">
        <f>HYPERLINK("http://catalog.hathitrust.org/Record/009850967","HathiTrust Record")</f>
        <v>HathiTrust Record</v>
      </c>
      <c r="AV259" s="6" t="str">
        <f>HYPERLINK("http://mcgill.on.worldcat.org/oclc/2600723","Catalog Record")</f>
        <v>Catalog Record</v>
      </c>
      <c r="AW259" s="6" t="str">
        <f>HYPERLINK("http://www.worldcat.org/oclc/2600723","WorldCat Record")</f>
        <v>WorldCat Record</v>
      </c>
      <c r="AX259" s="3" t="s">
        <v>2755</v>
      </c>
      <c r="AY259" s="3" t="s">
        <v>2756</v>
      </c>
      <c r="AZ259" s="3" t="s">
        <v>2757</v>
      </c>
      <c r="BA259" s="3" t="s">
        <v>2757</v>
      </c>
      <c r="BB259" s="3" t="s">
        <v>2758</v>
      </c>
      <c r="BC259" s="3" t="s">
        <v>82</v>
      </c>
      <c r="BD259" s="3" t="s">
        <v>70</v>
      </c>
      <c r="BF259" s="3" t="s">
        <v>2758</v>
      </c>
      <c r="BG259" s="3" t="s">
        <v>2759</v>
      </c>
    </row>
    <row r="260" spans="1:59" ht="60" x14ac:dyDescent="0.25">
      <c r="A260" s="2" t="s">
        <v>59</v>
      </c>
      <c r="B260" s="2" t="s">
        <v>60</v>
      </c>
      <c r="C260" s="2" t="s">
        <v>2760</v>
      </c>
      <c r="D260" s="2" t="s">
        <v>2761</v>
      </c>
      <c r="E260" s="2" t="s">
        <v>2762</v>
      </c>
      <c r="G260" s="3" t="s">
        <v>63</v>
      </c>
      <c r="I260" s="3" t="s">
        <v>62</v>
      </c>
      <c r="J260" s="3" t="s">
        <v>63</v>
      </c>
      <c r="K260" s="3" t="s">
        <v>64</v>
      </c>
      <c r="L260" s="2" t="s">
        <v>2763</v>
      </c>
      <c r="M260" s="2" t="s">
        <v>2764</v>
      </c>
      <c r="N260" s="3" t="s">
        <v>2765</v>
      </c>
      <c r="P260" s="3" t="s">
        <v>66</v>
      </c>
      <c r="R260" s="3" t="s">
        <v>67</v>
      </c>
      <c r="S260" s="4">
        <v>1</v>
      </c>
      <c r="T260" s="4">
        <v>7</v>
      </c>
      <c r="U260" s="5" t="s">
        <v>2766</v>
      </c>
      <c r="V260" s="5" t="s">
        <v>2767</v>
      </c>
      <c r="W260" s="5" t="s">
        <v>69</v>
      </c>
      <c r="X260" s="5" t="s">
        <v>69</v>
      </c>
      <c r="Y260" s="4">
        <v>60</v>
      </c>
      <c r="Z260" s="4">
        <v>1</v>
      </c>
      <c r="AA260" s="4">
        <v>3</v>
      </c>
      <c r="AB260" s="4">
        <v>1</v>
      </c>
      <c r="AC260" s="4">
        <v>3</v>
      </c>
      <c r="AD260" s="4">
        <v>16</v>
      </c>
      <c r="AE260" s="4">
        <v>17</v>
      </c>
      <c r="AF260" s="4">
        <v>0</v>
      </c>
      <c r="AG260" s="4">
        <v>0</v>
      </c>
      <c r="AH260" s="4">
        <v>16</v>
      </c>
      <c r="AI260" s="4">
        <v>17</v>
      </c>
      <c r="AJ260" s="4">
        <v>0</v>
      </c>
      <c r="AK260" s="4">
        <v>0</v>
      </c>
      <c r="AL260" s="4">
        <v>12</v>
      </c>
      <c r="AM260" s="4">
        <v>13</v>
      </c>
      <c r="AN260" s="4">
        <v>0</v>
      </c>
      <c r="AO260" s="4">
        <v>0</v>
      </c>
      <c r="AP260" s="4">
        <v>0</v>
      </c>
      <c r="AQ260" s="4">
        <v>0</v>
      </c>
      <c r="AR260" s="3" t="s">
        <v>63</v>
      </c>
      <c r="AS260" s="3" t="s">
        <v>63</v>
      </c>
      <c r="AT260" s="3" t="s">
        <v>63</v>
      </c>
      <c r="AV260" s="6" t="str">
        <f>HYPERLINK("http://mcgill.on.worldcat.org/oclc/870199365","Catalog Record")</f>
        <v>Catalog Record</v>
      </c>
      <c r="AW260" s="6" t="str">
        <f>HYPERLINK("http://www.worldcat.org/oclc/870199365","WorldCat Record")</f>
        <v>WorldCat Record</v>
      </c>
      <c r="AX260" s="3" t="s">
        <v>2768</v>
      </c>
      <c r="AY260" s="3" t="s">
        <v>2769</v>
      </c>
      <c r="AZ260" s="3" t="s">
        <v>2770</v>
      </c>
      <c r="BA260" s="3" t="s">
        <v>2770</v>
      </c>
      <c r="BB260" s="3" t="s">
        <v>2771</v>
      </c>
      <c r="BC260" s="3" t="s">
        <v>82</v>
      </c>
      <c r="BD260" s="3" t="s">
        <v>70</v>
      </c>
      <c r="BE260" s="3" t="s">
        <v>2772</v>
      </c>
      <c r="BF260" s="3" t="s">
        <v>2771</v>
      </c>
      <c r="BG260" s="3" t="s">
        <v>2773</v>
      </c>
    </row>
    <row r="261" spans="1:59" ht="60" x14ac:dyDescent="0.25">
      <c r="A261" s="2" t="s">
        <v>59</v>
      </c>
      <c r="B261" s="2" t="s">
        <v>60</v>
      </c>
      <c r="C261" s="2" t="s">
        <v>2760</v>
      </c>
      <c r="D261" s="2" t="s">
        <v>2761</v>
      </c>
      <c r="E261" s="2" t="s">
        <v>2762</v>
      </c>
      <c r="G261" s="3" t="s">
        <v>63</v>
      </c>
      <c r="I261" s="3" t="s">
        <v>62</v>
      </c>
      <c r="J261" s="3" t="s">
        <v>63</v>
      </c>
      <c r="K261" s="3" t="s">
        <v>64</v>
      </c>
      <c r="L261" s="2" t="s">
        <v>2763</v>
      </c>
      <c r="M261" s="2" t="s">
        <v>2764</v>
      </c>
      <c r="N261" s="3" t="s">
        <v>2765</v>
      </c>
      <c r="P261" s="3" t="s">
        <v>66</v>
      </c>
      <c r="R261" s="3" t="s">
        <v>67</v>
      </c>
      <c r="S261" s="4">
        <v>6</v>
      </c>
      <c r="T261" s="4">
        <v>7</v>
      </c>
      <c r="U261" s="5" t="s">
        <v>2767</v>
      </c>
      <c r="V261" s="5" t="s">
        <v>2767</v>
      </c>
      <c r="W261" s="5" t="s">
        <v>69</v>
      </c>
      <c r="X261" s="5" t="s">
        <v>69</v>
      </c>
      <c r="Y261" s="4">
        <v>60</v>
      </c>
      <c r="Z261" s="4">
        <v>1</v>
      </c>
      <c r="AA261" s="4">
        <v>3</v>
      </c>
      <c r="AB261" s="4">
        <v>1</v>
      </c>
      <c r="AC261" s="4">
        <v>3</v>
      </c>
      <c r="AD261" s="4">
        <v>16</v>
      </c>
      <c r="AE261" s="4">
        <v>17</v>
      </c>
      <c r="AF261" s="4">
        <v>0</v>
      </c>
      <c r="AG261" s="4">
        <v>0</v>
      </c>
      <c r="AH261" s="4">
        <v>16</v>
      </c>
      <c r="AI261" s="4">
        <v>17</v>
      </c>
      <c r="AJ261" s="4">
        <v>0</v>
      </c>
      <c r="AK261" s="4">
        <v>0</v>
      </c>
      <c r="AL261" s="4">
        <v>12</v>
      </c>
      <c r="AM261" s="4">
        <v>13</v>
      </c>
      <c r="AN261" s="4">
        <v>0</v>
      </c>
      <c r="AO261" s="4">
        <v>0</v>
      </c>
      <c r="AP261" s="4">
        <v>0</v>
      </c>
      <c r="AQ261" s="4">
        <v>0</v>
      </c>
      <c r="AR261" s="3" t="s">
        <v>63</v>
      </c>
      <c r="AS261" s="3" t="s">
        <v>63</v>
      </c>
      <c r="AT261" s="3" t="s">
        <v>63</v>
      </c>
      <c r="AV261" s="6" t="str">
        <f>HYPERLINK("http://mcgill.on.worldcat.org/oclc/870199365","Catalog Record")</f>
        <v>Catalog Record</v>
      </c>
      <c r="AW261" s="6" t="str">
        <f>HYPERLINK("http://www.worldcat.org/oclc/870199365","WorldCat Record")</f>
        <v>WorldCat Record</v>
      </c>
      <c r="AX261" s="3" t="s">
        <v>2768</v>
      </c>
      <c r="AY261" s="3" t="s">
        <v>2769</v>
      </c>
      <c r="AZ261" s="3" t="s">
        <v>2770</v>
      </c>
      <c r="BA261" s="3" t="s">
        <v>2770</v>
      </c>
      <c r="BB261" s="3" t="s">
        <v>2774</v>
      </c>
      <c r="BC261" s="3" t="s">
        <v>82</v>
      </c>
      <c r="BD261" s="3" t="s">
        <v>70</v>
      </c>
      <c r="BE261" s="3" t="s">
        <v>2772</v>
      </c>
      <c r="BF261" s="3" t="s">
        <v>2774</v>
      </c>
      <c r="BG261" s="3" t="s">
        <v>2775</v>
      </c>
    </row>
    <row r="262" spans="1:59" ht="60" x14ac:dyDescent="0.25">
      <c r="A262" s="2" t="s">
        <v>59</v>
      </c>
      <c r="B262" s="2" t="s">
        <v>60</v>
      </c>
      <c r="C262" s="2" t="s">
        <v>2776</v>
      </c>
      <c r="D262" s="2" t="s">
        <v>2777</v>
      </c>
      <c r="E262" s="2" t="s">
        <v>2778</v>
      </c>
      <c r="F262" s="3" t="s">
        <v>2779</v>
      </c>
      <c r="G262" s="3" t="s">
        <v>63</v>
      </c>
      <c r="I262" s="3" t="s">
        <v>63</v>
      </c>
      <c r="J262" s="3" t="s">
        <v>63</v>
      </c>
      <c r="K262" s="3" t="s">
        <v>64</v>
      </c>
      <c r="L262" s="2" t="s">
        <v>2780</v>
      </c>
      <c r="M262" s="2" t="s">
        <v>2781</v>
      </c>
      <c r="N262" s="3" t="s">
        <v>2459</v>
      </c>
      <c r="P262" s="3" t="s">
        <v>548</v>
      </c>
      <c r="Q262" s="2" t="s">
        <v>2782</v>
      </c>
      <c r="R262" s="3" t="s">
        <v>67</v>
      </c>
      <c r="S262" s="4">
        <v>1</v>
      </c>
      <c r="T262" s="4">
        <v>1</v>
      </c>
      <c r="U262" s="5" t="s">
        <v>2783</v>
      </c>
      <c r="V262" s="5" t="s">
        <v>2783</v>
      </c>
      <c r="W262" s="5" t="s">
        <v>69</v>
      </c>
      <c r="X262" s="5" t="s">
        <v>69</v>
      </c>
      <c r="Y262" s="4">
        <v>1</v>
      </c>
      <c r="Z262" s="4">
        <v>1</v>
      </c>
      <c r="AA262" s="4">
        <v>4</v>
      </c>
      <c r="AB262" s="4">
        <v>1</v>
      </c>
      <c r="AC262" s="4">
        <v>4</v>
      </c>
      <c r="AD262" s="4">
        <v>0</v>
      </c>
      <c r="AE262" s="4">
        <v>1</v>
      </c>
      <c r="AF262" s="4">
        <v>0</v>
      </c>
      <c r="AG262" s="4">
        <v>1</v>
      </c>
      <c r="AH262" s="4">
        <v>0</v>
      </c>
      <c r="AI262" s="4">
        <v>0</v>
      </c>
      <c r="AJ262" s="4">
        <v>0</v>
      </c>
      <c r="AK262" s="4">
        <v>1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1</v>
      </c>
      <c r="AR262" s="3" t="s">
        <v>63</v>
      </c>
      <c r="AS262" s="3" t="s">
        <v>63</v>
      </c>
      <c r="AT262" s="3" t="s">
        <v>63</v>
      </c>
      <c r="AV262" s="6" t="str">
        <f>HYPERLINK("http://mcgill.on.worldcat.org/oclc/959414501","Catalog Record")</f>
        <v>Catalog Record</v>
      </c>
      <c r="AW262" s="6" t="str">
        <f>HYPERLINK("http://www.worldcat.org/oclc/959414501","WorldCat Record")</f>
        <v>WorldCat Record</v>
      </c>
      <c r="AX262" s="3" t="s">
        <v>2784</v>
      </c>
      <c r="AY262" s="3" t="s">
        <v>2785</v>
      </c>
      <c r="AZ262" s="3" t="s">
        <v>2786</v>
      </c>
      <c r="BA262" s="3" t="s">
        <v>2786</v>
      </c>
      <c r="BB262" s="3" t="s">
        <v>2787</v>
      </c>
      <c r="BC262" s="3" t="s">
        <v>82</v>
      </c>
      <c r="BD262" s="3" t="s">
        <v>70</v>
      </c>
      <c r="BE262" s="3" t="s">
        <v>2788</v>
      </c>
      <c r="BF262" s="3" t="s">
        <v>2787</v>
      </c>
      <c r="BG262" s="3" t="s">
        <v>2789</v>
      </c>
    </row>
    <row r="263" spans="1:59" ht="60" x14ac:dyDescent="0.25">
      <c r="A263" s="2" t="s">
        <v>59</v>
      </c>
      <c r="B263" s="2" t="s">
        <v>60</v>
      </c>
      <c r="C263" s="2" t="s">
        <v>2790</v>
      </c>
      <c r="D263" s="2" t="s">
        <v>2791</v>
      </c>
      <c r="E263" s="2" t="s">
        <v>2792</v>
      </c>
      <c r="G263" s="3" t="s">
        <v>63</v>
      </c>
      <c r="I263" s="3" t="s">
        <v>63</v>
      </c>
      <c r="J263" s="3" t="s">
        <v>63</v>
      </c>
      <c r="K263" s="3" t="s">
        <v>64</v>
      </c>
      <c r="L263" s="2" t="s">
        <v>2793</v>
      </c>
      <c r="M263" s="2" t="s">
        <v>2794</v>
      </c>
      <c r="N263" s="3" t="s">
        <v>313</v>
      </c>
      <c r="P263" s="3" t="s">
        <v>66</v>
      </c>
      <c r="R263" s="3" t="s">
        <v>67</v>
      </c>
      <c r="S263" s="4">
        <v>16</v>
      </c>
      <c r="T263" s="4">
        <v>16</v>
      </c>
      <c r="U263" s="5" t="s">
        <v>2795</v>
      </c>
      <c r="V263" s="5" t="s">
        <v>2795</v>
      </c>
      <c r="W263" s="5" t="s">
        <v>69</v>
      </c>
      <c r="X263" s="5" t="s">
        <v>69</v>
      </c>
      <c r="Y263" s="4">
        <v>106</v>
      </c>
      <c r="Z263" s="4">
        <v>3</v>
      </c>
      <c r="AA263" s="4">
        <v>3</v>
      </c>
      <c r="AB263" s="4">
        <v>2</v>
      </c>
      <c r="AC263" s="4">
        <v>2</v>
      </c>
      <c r="AD263" s="4">
        <v>11</v>
      </c>
      <c r="AE263" s="4">
        <v>11</v>
      </c>
      <c r="AF263" s="4">
        <v>0</v>
      </c>
      <c r="AG263" s="4">
        <v>0</v>
      </c>
      <c r="AH263" s="4">
        <v>11</v>
      </c>
      <c r="AI263" s="4">
        <v>11</v>
      </c>
      <c r="AJ263" s="4">
        <v>0</v>
      </c>
      <c r="AK263" s="4">
        <v>0</v>
      </c>
      <c r="AL263" s="4">
        <v>7</v>
      </c>
      <c r="AM263" s="4">
        <v>7</v>
      </c>
      <c r="AN263" s="4">
        <v>0</v>
      </c>
      <c r="AO263" s="4">
        <v>0</v>
      </c>
      <c r="AP263" s="4">
        <v>0</v>
      </c>
      <c r="AQ263" s="4">
        <v>0</v>
      </c>
      <c r="AR263" s="3" t="s">
        <v>63</v>
      </c>
      <c r="AS263" s="3" t="s">
        <v>63</v>
      </c>
      <c r="AT263" s="3" t="s">
        <v>63</v>
      </c>
      <c r="AV263" s="6" t="str">
        <f>HYPERLINK("http://mcgill.on.worldcat.org/oclc/642510245","Catalog Record")</f>
        <v>Catalog Record</v>
      </c>
      <c r="AW263" s="6" t="str">
        <f>HYPERLINK("http://www.worldcat.org/oclc/642510245","WorldCat Record")</f>
        <v>WorldCat Record</v>
      </c>
      <c r="AX263" s="3" t="s">
        <v>2796</v>
      </c>
      <c r="AY263" s="3" t="s">
        <v>2797</v>
      </c>
      <c r="AZ263" s="3" t="s">
        <v>2798</v>
      </c>
      <c r="BA263" s="3" t="s">
        <v>2798</v>
      </c>
      <c r="BB263" s="3" t="s">
        <v>2799</v>
      </c>
      <c r="BC263" s="3" t="s">
        <v>82</v>
      </c>
      <c r="BD263" s="3" t="s">
        <v>538</v>
      </c>
      <c r="BE263" s="3" t="s">
        <v>2800</v>
      </c>
      <c r="BF263" s="3" t="s">
        <v>2799</v>
      </c>
      <c r="BG263" s="3" t="s">
        <v>2801</v>
      </c>
    </row>
    <row r="264" spans="1:59" ht="60" x14ac:dyDescent="0.25">
      <c r="A264" s="2" t="s">
        <v>59</v>
      </c>
      <c r="B264" s="2" t="s">
        <v>60</v>
      </c>
      <c r="C264" s="2" t="s">
        <v>2802</v>
      </c>
      <c r="D264" s="2" t="s">
        <v>2803</v>
      </c>
      <c r="E264" s="2" t="s">
        <v>2804</v>
      </c>
      <c r="F264" s="3" t="s">
        <v>2805</v>
      </c>
      <c r="G264" s="3" t="s">
        <v>62</v>
      </c>
      <c r="I264" s="3" t="s">
        <v>62</v>
      </c>
      <c r="J264" s="3" t="s">
        <v>63</v>
      </c>
      <c r="K264" s="3" t="s">
        <v>64</v>
      </c>
      <c r="M264" s="2" t="s">
        <v>2806</v>
      </c>
      <c r="N264" s="3" t="s">
        <v>362</v>
      </c>
      <c r="O264" s="2" t="s">
        <v>1856</v>
      </c>
      <c r="P264" s="3" t="s">
        <v>66</v>
      </c>
      <c r="R264" s="3" t="s">
        <v>67</v>
      </c>
      <c r="S264" s="4">
        <v>23</v>
      </c>
      <c r="T264" s="4">
        <v>94</v>
      </c>
      <c r="U264" s="5" t="s">
        <v>2795</v>
      </c>
      <c r="V264" s="5" t="s">
        <v>2807</v>
      </c>
      <c r="W264" s="5" t="s">
        <v>69</v>
      </c>
      <c r="X264" s="5" t="s">
        <v>69</v>
      </c>
      <c r="Y264" s="4">
        <v>37</v>
      </c>
      <c r="Z264" s="4">
        <v>3</v>
      </c>
      <c r="AA264" s="4">
        <v>3</v>
      </c>
      <c r="AB264" s="4">
        <v>2</v>
      </c>
      <c r="AC264" s="4">
        <v>2</v>
      </c>
      <c r="AD264" s="4">
        <v>12</v>
      </c>
      <c r="AE264" s="4">
        <v>12</v>
      </c>
      <c r="AF264" s="4">
        <v>1</v>
      </c>
      <c r="AG264" s="4">
        <v>1</v>
      </c>
      <c r="AH264" s="4">
        <v>10</v>
      </c>
      <c r="AI264" s="4">
        <v>10</v>
      </c>
      <c r="AJ264" s="4">
        <v>2</v>
      </c>
      <c r="AK264" s="4">
        <v>2</v>
      </c>
      <c r="AL264" s="4">
        <v>8</v>
      </c>
      <c r="AM264" s="4">
        <v>8</v>
      </c>
      <c r="AN264" s="4">
        <v>0</v>
      </c>
      <c r="AO264" s="4">
        <v>0</v>
      </c>
      <c r="AP264" s="4">
        <v>2</v>
      </c>
      <c r="AQ264" s="4">
        <v>2</v>
      </c>
      <c r="AR264" s="3" t="s">
        <v>63</v>
      </c>
      <c r="AS264" s="3" t="s">
        <v>63</v>
      </c>
      <c r="AT264" s="3" t="s">
        <v>63</v>
      </c>
      <c r="AV264" s="6" t="str">
        <f>HYPERLINK("http://mcgill.on.worldcat.org/oclc/44712976","Catalog Record")</f>
        <v>Catalog Record</v>
      </c>
      <c r="AW264" s="6" t="str">
        <f>HYPERLINK("http://www.worldcat.org/oclc/44712976","WorldCat Record")</f>
        <v>WorldCat Record</v>
      </c>
      <c r="AX264" s="3" t="s">
        <v>2808</v>
      </c>
      <c r="AY264" s="3" t="s">
        <v>2809</v>
      </c>
      <c r="AZ264" s="3" t="s">
        <v>2810</v>
      </c>
      <c r="BA264" s="3" t="s">
        <v>2810</v>
      </c>
      <c r="BB264" s="3" t="s">
        <v>2811</v>
      </c>
      <c r="BC264" s="3" t="s">
        <v>82</v>
      </c>
      <c r="BD264" s="3" t="s">
        <v>70</v>
      </c>
      <c r="BE264" s="3" t="s">
        <v>2812</v>
      </c>
      <c r="BF264" s="3" t="s">
        <v>2811</v>
      </c>
      <c r="BG264" s="3" t="s">
        <v>2813</v>
      </c>
    </row>
    <row r="265" spans="1:59" ht="60" x14ac:dyDescent="0.25">
      <c r="A265" s="2" t="s">
        <v>59</v>
      </c>
      <c r="B265" s="2" t="s">
        <v>60</v>
      </c>
      <c r="C265" s="2" t="s">
        <v>2802</v>
      </c>
      <c r="D265" s="2" t="s">
        <v>2803</v>
      </c>
      <c r="E265" s="2" t="s">
        <v>2804</v>
      </c>
      <c r="F265" s="3" t="s">
        <v>2814</v>
      </c>
      <c r="G265" s="3" t="s">
        <v>62</v>
      </c>
      <c r="I265" s="3" t="s">
        <v>62</v>
      </c>
      <c r="J265" s="3" t="s">
        <v>63</v>
      </c>
      <c r="K265" s="3" t="s">
        <v>64</v>
      </c>
      <c r="M265" s="2" t="s">
        <v>2806</v>
      </c>
      <c r="N265" s="3" t="s">
        <v>362</v>
      </c>
      <c r="O265" s="2" t="s">
        <v>1856</v>
      </c>
      <c r="P265" s="3" t="s">
        <v>66</v>
      </c>
      <c r="R265" s="3" t="s">
        <v>67</v>
      </c>
      <c r="S265" s="4">
        <v>7</v>
      </c>
      <c r="T265" s="4">
        <v>94</v>
      </c>
      <c r="U265" s="5" t="s">
        <v>2795</v>
      </c>
      <c r="V265" s="5" t="s">
        <v>2807</v>
      </c>
      <c r="W265" s="5" t="s">
        <v>69</v>
      </c>
      <c r="X265" s="5" t="s">
        <v>69</v>
      </c>
      <c r="Y265" s="4">
        <v>37</v>
      </c>
      <c r="Z265" s="4">
        <v>3</v>
      </c>
      <c r="AA265" s="4">
        <v>3</v>
      </c>
      <c r="AB265" s="4">
        <v>2</v>
      </c>
      <c r="AC265" s="4">
        <v>2</v>
      </c>
      <c r="AD265" s="4">
        <v>12</v>
      </c>
      <c r="AE265" s="4">
        <v>12</v>
      </c>
      <c r="AF265" s="4">
        <v>1</v>
      </c>
      <c r="AG265" s="4">
        <v>1</v>
      </c>
      <c r="AH265" s="4">
        <v>10</v>
      </c>
      <c r="AI265" s="4">
        <v>10</v>
      </c>
      <c r="AJ265" s="4">
        <v>2</v>
      </c>
      <c r="AK265" s="4">
        <v>2</v>
      </c>
      <c r="AL265" s="4">
        <v>8</v>
      </c>
      <c r="AM265" s="4">
        <v>8</v>
      </c>
      <c r="AN265" s="4">
        <v>0</v>
      </c>
      <c r="AO265" s="4">
        <v>0</v>
      </c>
      <c r="AP265" s="4">
        <v>2</v>
      </c>
      <c r="AQ265" s="4">
        <v>2</v>
      </c>
      <c r="AR265" s="3" t="s">
        <v>63</v>
      </c>
      <c r="AS265" s="3" t="s">
        <v>63</v>
      </c>
      <c r="AT265" s="3" t="s">
        <v>63</v>
      </c>
      <c r="AV265" s="6" t="str">
        <f>HYPERLINK("http://mcgill.on.worldcat.org/oclc/44712976","Catalog Record")</f>
        <v>Catalog Record</v>
      </c>
      <c r="AW265" s="6" t="str">
        <f>HYPERLINK("http://www.worldcat.org/oclc/44712976","WorldCat Record")</f>
        <v>WorldCat Record</v>
      </c>
      <c r="AX265" s="3" t="s">
        <v>2808</v>
      </c>
      <c r="AY265" s="3" t="s">
        <v>2809</v>
      </c>
      <c r="AZ265" s="3" t="s">
        <v>2810</v>
      </c>
      <c r="BA265" s="3" t="s">
        <v>2810</v>
      </c>
      <c r="BB265" s="3" t="s">
        <v>2815</v>
      </c>
      <c r="BC265" s="3" t="s">
        <v>82</v>
      </c>
      <c r="BD265" s="3" t="s">
        <v>70</v>
      </c>
      <c r="BE265" s="3" t="s">
        <v>2812</v>
      </c>
      <c r="BF265" s="3" t="s">
        <v>2815</v>
      </c>
      <c r="BG265" s="3" t="s">
        <v>2816</v>
      </c>
    </row>
    <row r="266" spans="1:59" ht="60" x14ac:dyDescent="0.25">
      <c r="A266" s="2" t="s">
        <v>59</v>
      </c>
      <c r="B266" s="2" t="s">
        <v>60</v>
      </c>
      <c r="C266" s="2" t="s">
        <v>2802</v>
      </c>
      <c r="D266" s="2" t="s">
        <v>2803</v>
      </c>
      <c r="E266" s="2" t="s">
        <v>2804</v>
      </c>
      <c r="F266" s="3" t="s">
        <v>2817</v>
      </c>
      <c r="G266" s="3" t="s">
        <v>62</v>
      </c>
      <c r="I266" s="3" t="s">
        <v>62</v>
      </c>
      <c r="J266" s="3" t="s">
        <v>63</v>
      </c>
      <c r="K266" s="3" t="s">
        <v>64</v>
      </c>
      <c r="M266" s="2" t="s">
        <v>2806</v>
      </c>
      <c r="N266" s="3" t="s">
        <v>362</v>
      </c>
      <c r="O266" s="2" t="s">
        <v>1856</v>
      </c>
      <c r="P266" s="3" t="s">
        <v>66</v>
      </c>
      <c r="R266" s="3" t="s">
        <v>67</v>
      </c>
      <c r="S266" s="4">
        <v>44</v>
      </c>
      <c r="T266" s="4">
        <v>94</v>
      </c>
      <c r="U266" s="5" t="s">
        <v>2807</v>
      </c>
      <c r="V266" s="5" t="s">
        <v>2807</v>
      </c>
      <c r="W266" s="5" t="s">
        <v>69</v>
      </c>
      <c r="X266" s="5" t="s">
        <v>69</v>
      </c>
      <c r="Y266" s="4">
        <v>37</v>
      </c>
      <c r="Z266" s="4">
        <v>3</v>
      </c>
      <c r="AA266" s="4">
        <v>3</v>
      </c>
      <c r="AB266" s="4">
        <v>2</v>
      </c>
      <c r="AC266" s="4">
        <v>2</v>
      </c>
      <c r="AD266" s="4">
        <v>12</v>
      </c>
      <c r="AE266" s="4">
        <v>12</v>
      </c>
      <c r="AF266" s="4">
        <v>1</v>
      </c>
      <c r="AG266" s="4">
        <v>1</v>
      </c>
      <c r="AH266" s="4">
        <v>10</v>
      </c>
      <c r="AI266" s="4">
        <v>10</v>
      </c>
      <c r="AJ266" s="4">
        <v>2</v>
      </c>
      <c r="AK266" s="4">
        <v>2</v>
      </c>
      <c r="AL266" s="4">
        <v>8</v>
      </c>
      <c r="AM266" s="4">
        <v>8</v>
      </c>
      <c r="AN266" s="4">
        <v>0</v>
      </c>
      <c r="AO266" s="4">
        <v>0</v>
      </c>
      <c r="AP266" s="4">
        <v>2</v>
      </c>
      <c r="AQ266" s="4">
        <v>2</v>
      </c>
      <c r="AR266" s="3" t="s">
        <v>63</v>
      </c>
      <c r="AS266" s="3" t="s">
        <v>63</v>
      </c>
      <c r="AT266" s="3" t="s">
        <v>63</v>
      </c>
      <c r="AV266" s="6" t="str">
        <f>HYPERLINK("http://mcgill.on.worldcat.org/oclc/44712976","Catalog Record")</f>
        <v>Catalog Record</v>
      </c>
      <c r="AW266" s="6" t="str">
        <f>HYPERLINK("http://www.worldcat.org/oclc/44712976","WorldCat Record")</f>
        <v>WorldCat Record</v>
      </c>
      <c r="AX266" s="3" t="s">
        <v>2808</v>
      </c>
      <c r="AY266" s="3" t="s">
        <v>2809</v>
      </c>
      <c r="AZ266" s="3" t="s">
        <v>2810</v>
      </c>
      <c r="BA266" s="3" t="s">
        <v>2810</v>
      </c>
      <c r="BB266" s="3" t="s">
        <v>2818</v>
      </c>
      <c r="BC266" s="3" t="s">
        <v>82</v>
      </c>
      <c r="BD266" s="3" t="s">
        <v>70</v>
      </c>
      <c r="BE266" s="3" t="s">
        <v>2812</v>
      </c>
      <c r="BF266" s="3" t="s">
        <v>2818</v>
      </c>
      <c r="BG266" s="3" t="s">
        <v>2819</v>
      </c>
    </row>
    <row r="267" spans="1:59" ht="60" x14ac:dyDescent="0.25">
      <c r="A267" s="2" t="s">
        <v>59</v>
      </c>
      <c r="B267" s="2" t="s">
        <v>60</v>
      </c>
      <c r="C267" s="2" t="s">
        <v>2802</v>
      </c>
      <c r="D267" s="2" t="s">
        <v>2803</v>
      </c>
      <c r="E267" s="2" t="s">
        <v>2804</v>
      </c>
      <c r="F267" s="3" t="s">
        <v>2820</v>
      </c>
      <c r="G267" s="3" t="s">
        <v>62</v>
      </c>
      <c r="I267" s="3" t="s">
        <v>62</v>
      </c>
      <c r="J267" s="3" t="s">
        <v>63</v>
      </c>
      <c r="K267" s="3" t="s">
        <v>64</v>
      </c>
      <c r="M267" s="2" t="s">
        <v>2806</v>
      </c>
      <c r="N267" s="3" t="s">
        <v>362</v>
      </c>
      <c r="O267" s="2" t="s">
        <v>1856</v>
      </c>
      <c r="P267" s="3" t="s">
        <v>66</v>
      </c>
      <c r="R267" s="3" t="s">
        <v>67</v>
      </c>
      <c r="S267" s="4">
        <v>10</v>
      </c>
      <c r="T267" s="4">
        <v>94</v>
      </c>
      <c r="U267" s="5" t="s">
        <v>2821</v>
      </c>
      <c r="V267" s="5" t="s">
        <v>2807</v>
      </c>
      <c r="W267" s="5" t="s">
        <v>69</v>
      </c>
      <c r="X267" s="5" t="s">
        <v>69</v>
      </c>
      <c r="Y267" s="4">
        <v>37</v>
      </c>
      <c r="Z267" s="4">
        <v>3</v>
      </c>
      <c r="AA267" s="4">
        <v>3</v>
      </c>
      <c r="AB267" s="4">
        <v>2</v>
      </c>
      <c r="AC267" s="4">
        <v>2</v>
      </c>
      <c r="AD267" s="4">
        <v>12</v>
      </c>
      <c r="AE267" s="4">
        <v>12</v>
      </c>
      <c r="AF267" s="4">
        <v>1</v>
      </c>
      <c r="AG267" s="4">
        <v>1</v>
      </c>
      <c r="AH267" s="4">
        <v>10</v>
      </c>
      <c r="AI267" s="4">
        <v>10</v>
      </c>
      <c r="AJ267" s="4">
        <v>2</v>
      </c>
      <c r="AK267" s="4">
        <v>2</v>
      </c>
      <c r="AL267" s="4">
        <v>8</v>
      </c>
      <c r="AM267" s="4">
        <v>8</v>
      </c>
      <c r="AN267" s="4">
        <v>0</v>
      </c>
      <c r="AO267" s="4">
        <v>0</v>
      </c>
      <c r="AP267" s="4">
        <v>2</v>
      </c>
      <c r="AQ267" s="4">
        <v>2</v>
      </c>
      <c r="AR267" s="3" t="s">
        <v>63</v>
      </c>
      <c r="AS267" s="3" t="s">
        <v>63</v>
      </c>
      <c r="AT267" s="3" t="s">
        <v>63</v>
      </c>
      <c r="AV267" s="6" t="str">
        <f>HYPERLINK("http://mcgill.on.worldcat.org/oclc/44712976","Catalog Record")</f>
        <v>Catalog Record</v>
      </c>
      <c r="AW267" s="6" t="str">
        <f>HYPERLINK("http://www.worldcat.org/oclc/44712976","WorldCat Record")</f>
        <v>WorldCat Record</v>
      </c>
      <c r="AX267" s="3" t="s">
        <v>2808</v>
      </c>
      <c r="AY267" s="3" t="s">
        <v>2809</v>
      </c>
      <c r="AZ267" s="3" t="s">
        <v>2810</v>
      </c>
      <c r="BA267" s="3" t="s">
        <v>2810</v>
      </c>
      <c r="BB267" s="3" t="s">
        <v>2822</v>
      </c>
      <c r="BC267" s="3" t="s">
        <v>82</v>
      </c>
      <c r="BD267" s="3" t="s">
        <v>70</v>
      </c>
      <c r="BE267" s="3" t="s">
        <v>2812</v>
      </c>
      <c r="BF267" s="3" t="s">
        <v>2822</v>
      </c>
      <c r="BG267" s="3" t="s">
        <v>2823</v>
      </c>
    </row>
    <row r="268" spans="1:59" ht="60" x14ac:dyDescent="0.25">
      <c r="A268" s="2" t="s">
        <v>59</v>
      </c>
      <c r="B268" s="2" t="s">
        <v>60</v>
      </c>
      <c r="C268" s="2" t="s">
        <v>2802</v>
      </c>
      <c r="D268" s="2" t="s">
        <v>2803</v>
      </c>
      <c r="E268" s="2" t="s">
        <v>2804</v>
      </c>
      <c r="F268" s="3" t="s">
        <v>2805</v>
      </c>
      <c r="G268" s="3" t="s">
        <v>62</v>
      </c>
      <c r="I268" s="3" t="s">
        <v>62</v>
      </c>
      <c r="J268" s="3" t="s">
        <v>63</v>
      </c>
      <c r="K268" s="3" t="s">
        <v>64</v>
      </c>
      <c r="M268" s="2" t="s">
        <v>2806</v>
      </c>
      <c r="N268" s="3" t="s">
        <v>362</v>
      </c>
      <c r="O268" s="2" t="s">
        <v>1856</v>
      </c>
      <c r="P268" s="3" t="s">
        <v>66</v>
      </c>
      <c r="R268" s="3" t="s">
        <v>67</v>
      </c>
      <c r="S268" s="4">
        <v>10</v>
      </c>
      <c r="T268" s="4">
        <v>94</v>
      </c>
      <c r="U268" s="5" t="s">
        <v>2795</v>
      </c>
      <c r="V268" s="5" t="s">
        <v>2807</v>
      </c>
      <c r="W268" s="5" t="s">
        <v>69</v>
      </c>
      <c r="X268" s="5" t="s">
        <v>69</v>
      </c>
      <c r="Y268" s="4">
        <v>37</v>
      </c>
      <c r="Z268" s="4">
        <v>3</v>
      </c>
      <c r="AA268" s="4">
        <v>3</v>
      </c>
      <c r="AB268" s="4">
        <v>2</v>
      </c>
      <c r="AC268" s="4">
        <v>2</v>
      </c>
      <c r="AD268" s="4">
        <v>12</v>
      </c>
      <c r="AE268" s="4">
        <v>12</v>
      </c>
      <c r="AF268" s="4">
        <v>1</v>
      </c>
      <c r="AG268" s="4">
        <v>1</v>
      </c>
      <c r="AH268" s="4">
        <v>10</v>
      </c>
      <c r="AI268" s="4">
        <v>10</v>
      </c>
      <c r="AJ268" s="4">
        <v>2</v>
      </c>
      <c r="AK268" s="4">
        <v>2</v>
      </c>
      <c r="AL268" s="4">
        <v>8</v>
      </c>
      <c r="AM268" s="4">
        <v>8</v>
      </c>
      <c r="AN268" s="4">
        <v>0</v>
      </c>
      <c r="AO268" s="4">
        <v>0</v>
      </c>
      <c r="AP268" s="4">
        <v>2</v>
      </c>
      <c r="AQ268" s="4">
        <v>2</v>
      </c>
      <c r="AR268" s="3" t="s">
        <v>63</v>
      </c>
      <c r="AS268" s="3" t="s">
        <v>63</v>
      </c>
      <c r="AT268" s="3" t="s">
        <v>63</v>
      </c>
      <c r="AV268" s="6" t="str">
        <f>HYPERLINK("http://mcgill.on.worldcat.org/oclc/44712976","Catalog Record")</f>
        <v>Catalog Record</v>
      </c>
      <c r="AW268" s="6" t="str">
        <f>HYPERLINK("http://www.worldcat.org/oclc/44712976","WorldCat Record")</f>
        <v>WorldCat Record</v>
      </c>
      <c r="AX268" s="3" t="s">
        <v>2808</v>
      </c>
      <c r="AY268" s="3" t="s">
        <v>2809</v>
      </c>
      <c r="AZ268" s="3" t="s">
        <v>2810</v>
      </c>
      <c r="BA268" s="3" t="s">
        <v>2810</v>
      </c>
      <c r="BB268" s="3" t="s">
        <v>2824</v>
      </c>
      <c r="BC268" s="3" t="s">
        <v>82</v>
      </c>
      <c r="BD268" s="3" t="s">
        <v>70</v>
      </c>
      <c r="BE268" s="3" t="s">
        <v>2812</v>
      </c>
      <c r="BF268" s="3" t="s">
        <v>2824</v>
      </c>
      <c r="BG268" s="3" t="s">
        <v>2825</v>
      </c>
    </row>
    <row r="269" spans="1:59" ht="60" x14ac:dyDescent="0.25">
      <c r="A269" s="2" t="s">
        <v>59</v>
      </c>
      <c r="B269" s="2" t="s">
        <v>60</v>
      </c>
      <c r="C269" s="2" t="s">
        <v>2826</v>
      </c>
      <c r="D269" s="2" t="s">
        <v>2827</v>
      </c>
      <c r="E269" s="2" t="s">
        <v>2828</v>
      </c>
      <c r="G269" s="3" t="s">
        <v>63</v>
      </c>
      <c r="I269" s="3" t="s">
        <v>63</v>
      </c>
      <c r="J269" s="3" t="s">
        <v>63</v>
      </c>
      <c r="K269" s="3" t="s">
        <v>64</v>
      </c>
      <c r="L269" s="2" t="s">
        <v>2829</v>
      </c>
      <c r="M269" s="2" t="s">
        <v>2830</v>
      </c>
      <c r="N269" s="3" t="s">
        <v>234</v>
      </c>
      <c r="P269" s="3" t="s">
        <v>66</v>
      </c>
      <c r="R269" s="3" t="s">
        <v>67</v>
      </c>
      <c r="S269" s="4">
        <v>10</v>
      </c>
      <c r="T269" s="4">
        <v>10</v>
      </c>
      <c r="U269" s="5" t="s">
        <v>2615</v>
      </c>
      <c r="V269" s="5" t="s">
        <v>2615</v>
      </c>
      <c r="W269" s="5" t="s">
        <v>69</v>
      </c>
      <c r="X269" s="5" t="s">
        <v>69</v>
      </c>
      <c r="Y269" s="4">
        <v>70</v>
      </c>
      <c r="Z269" s="4">
        <v>3</v>
      </c>
      <c r="AA269" s="4">
        <v>3</v>
      </c>
      <c r="AB269" s="4">
        <v>1</v>
      </c>
      <c r="AC269" s="4">
        <v>1</v>
      </c>
      <c r="AD269" s="4">
        <v>44</v>
      </c>
      <c r="AE269" s="4">
        <v>44</v>
      </c>
      <c r="AF269" s="4">
        <v>0</v>
      </c>
      <c r="AG269" s="4">
        <v>0</v>
      </c>
      <c r="AH269" s="4">
        <v>40</v>
      </c>
      <c r="AI269" s="4">
        <v>40</v>
      </c>
      <c r="AJ269" s="4">
        <v>2</v>
      </c>
      <c r="AK269" s="4">
        <v>2</v>
      </c>
      <c r="AL269" s="4">
        <v>33</v>
      </c>
      <c r="AM269" s="4">
        <v>33</v>
      </c>
      <c r="AN269" s="4">
        <v>0</v>
      </c>
      <c r="AO269" s="4">
        <v>0</v>
      </c>
      <c r="AP269" s="4">
        <v>2</v>
      </c>
      <c r="AQ269" s="4">
        <v>2</v>
      </c>
      <c r="AR269" s="3" t="s">
        <v>63</v>
      </c>
      <c r="AS269" s="3" t="s">
        <v>63</v>
      </c>
      <c r="AT269" s="3" t="s">
        <v>63</v>
      </c>
      <c r="AV269" s="6" t="str">
        <f>HYPERLINK("http://mcgill.on.worldcat.org/oclc/68416948","Catalog Record")</f>
        <v>Catalog Record</v>
      </c>
      <c r="AW269" s="6" t="str">
        <f>HYPERLINK("http://www.worldcat.org/oclc/68416948","WorldCat Record")</f>
        <v>WorldCat Record</v>
      </c>
      <c r="AX269" s="3" t="s">
        <v>2831</v>
      </c>
      <c r="AY269" s="3" t="s">
        <v>2832</v>
      </c>
      <c r="AZ269" s="3" t="s">
        <v>2833</v>
      </c>
      <c r="BA269" s="3" t="s">
        <v>2833</v>
      </c>
      <c r="BB269" s="3" t="s">
        <v>2834</v>
      </c>
      <c r="BC269" s="3" t="s">
        <v>82</v>
      </c>
      <c r="BD269" s="3" t="s">
        <v>70</v>
      </c>
      <c r="BE269" s="3" t="s">
        <v>2835</v>
      </c>
      <c r="BF269" s="3" t="s">
        <v>2834</v>
      </c>
      <c r="BG269" s="3" t="s">
        <v>2836</v>
      </c>
    </row>
    <row r="270" spans="1:59" ht="60" x14ac:dyDescent="0.25">
      <c r="A270" s="2" t="s">
        <v>59</v>
      </c>
      <c r="B270" s="2" t="s">
        <v>60</v>
      </c>
      <c r="C270" s="2" t="s">
        <v>2837</v>
      </c>
      <c r="D270" s="2" t="s">
        <v>2838</v>
      </c>
      <c r="E270" s="2" t="s">
        <v>2839</v>
      </c>
      <c r="G270" s="3" t="s">
        <v>63</v>
      </c>
      <c r="I270" s="3" t="s">
        <v>63</v>
      </c>
      <c r="J270" s="3" t="s">
        <v>63</v>
      </c>
      <c r="K270" s="3" t="s">
        <v>64</v>
      </c>
      <c r="L270" s="2" t="s">
        <v>2840</v>
      </c>
      <c r="M270" s="2" t="s">
        <v>2841</v>
      </c>
      <c r="N270" s="3" t="s">
        <v>2459</v>
      </c>
      <c r="O270" s="2" t="s">
        <v>2842</v>
      </c>
      <c r="P270" s="3" t="s">
        <v>90</v>
      </c>
      <c r="R270" s="3" t="s">
        <v>67</v>
      </c>
      <c r="S270" s="4">
        <v>6</v>
      </c>
      <c r="T270" s="4">
        <v>6</v>
      </c>
      <c r="U270" s="5" t="s">
        <v>2615</v>
      </c>
      <c r="V270" s="5" t="s">
        <v>2615</v>
      </c>
      <c r="W270" s="5" t="s">
        <v>69</v>
      </c>
      <c r="X270" s="5" t="s">
        <v>69</v>
      </c>
      <c r="Y270" s="4">
        <v>3</v>
      </c>
      <c r="Z270" s="4">
        <v>2</v>
      </c>
      <c r="AA270" s="4">
        <v>2</v>
      </c>
      <c r="AB270" s="4">
        <v>2</v>
      </c>
      <c r="AC270" s="4">
        <v>2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3" t="s">
        <v>63</v>
      </c>
      <c r="AS270" s="3" t="s">
        <v>63</v>
      </c>
      <c r="AT270" s="3" t="s">
        <v>63</v>
      </c>
      <c r="AV270" s="6" t="str">
        <f>HYPERLINK("http://mcgill.on.worldcat.org/oclc/436108679","Catalog Record")</f>
        <v>Catalog Record</v>
      </c>
      <c r="AW270" s="6" t="str">
        <f>HYPERLINK("http://www.worldcat.org/oclc/436108679","WorldCat Record")</f>
        <v>WorldCat Record</v>
      </c>
      <c r="AX270" s="3" t="s">
        <v>2843</v>
      </c>
      <c r="AY270" s="3" t="s">
        <v>2844</v>
      </c>
      <c r="AZ270" s="3" t="s">
        <v>2845</v>
      </c>
      <c r="BA270" s="3" t="s">
        <v>2845</v>
      </c>
      <c r="BB270" s="3" t="s">
        <v>2846</v>
      </c>
      <c r="BC270" s="3" t="s">
        <v>82</v>
      </c>
      <c r="BD270" s="3" t="s">
        <v>70</v>
      </c>
      <c r="BE270" s="3" t="s">
        <v>2847</v>
      </c>
      <c r="BF270" s="3" t="s">
        <v>2846</v>
      </c>
      <c r="BG270" s="3" t="s">
        <v>2848</v>
      </c>
    </row>
    <row r="271" spans="1:59" ht="60" x14ac:dyDescent="0.25">
      <c r="A271" s="2" t="s">
        <v>59</v>
      </c>
      <c r="B271" s="2" t="s">
        <v>60</v>
      </c>
      <c r="C271" s="2" t="s">
        <v>2849</v>
      </c>
      <c r="D271" s="2" t="s">
        <v>2850</v>
      </c>
      <c r="E271" s="2" t="s">
        <v>2851</v>
      </c>
      <c r="F271" s="3" t="s">
        <v>2852</v>
      </c>
      <c r="G271" s="3" t="s">
        <v>63</v>
      </c>
      <c r="I271" s="3" t="s">
        <v>63</v>
      </c>
      <c r="J271" s="3" t="s">
        <v>63</v>
      </c>
      <c r="K271" s="3" t="s">
        <v>64</v>
      </c>
      <c r="L271" s="2" t="s">
        <v>2853</v>
      </c>
      <c r="M271" s="2" t="s">
        <v>2854</v>
      </c>
      <c r="N271" s="3" t="s">
        <v>261</v>
      </c>
      <c r="P271" s="3" t="s">
        <v>66</v>
      </c>
      <c r="R271" s="3" t="s">
        <v>67</v>
      </c>
      <c r="S271" s="4">
        <v>6</v>
      </c>
      <c r="T271" s="4">
        <v>6</v>
      </c>
      <c r="U271" s="5" t="s">
        <v>2009</v>
      </c>
      <c r="V271" s="5" t="s">
        <v>2009</v>
      </c>
      <c r="W271" s="5" t="s">
        <v>69</v>
      </c>
      <c r="X271" s="5" t="s">
        <v>69</v>
      </c>
      <c r="Y271" s="4">
        <v>41</v>
      </c>
      <c r="Z271" s="4">
        <v>2</v>
      </c>
      <c r="AA271" s="4">
        <v>2</v>
      </c>
      <c r="AB271" s="4">
        <v>1</v>
      </c>
      <c r="AC271" s="4">
        <v>1</v>
      </c>
      <c r="AD271" s="4">
        <v>18</v>
      </c>
      <c r="AE271" s="4">
        <v>18</v>
      </c>
      <c r="AF271" s="4">
        <v>0</v>
      </c>
      <c r="AG271" s="4">
        <v>0</v>
      </c>
      <c r="AH271" s="4">
        <v>18</v>
      </c>
      <c r="AI271" s="4">
        <v>18</v>
      </c>
      <c r="AJ271" s="4">
        <v>1</v>
      </c>
      <c r="AK271" s="4">
        <v>1</v>
      </c>
      <c r="AL271" s="4">
        <v>12</v>
      </c>
      <c r="AM271" s="4">
        <v>12</v>
      </c>
      <c r="AN271" s="4">
        <v>0</v>
      </c>
      <c r="AO271" s="4">
        <v>0</v>
      </c>
      <c r="AP271" s="4">
        <v>1</v>
      </c>
      <c r="AQ271" s="4">
        <v>1</v>
      </c>
      <c r="AR271" s="3" t="s">
        <v>63</v>
      </c>
      <c r="AS271" s="3" t="s">
        <v>63</v>
      </c>
      <c r="AT271" s="3" t="s">
        <v>63</v>
      </c>
      <c r="AV271" s="6" t="str">
        <f>HYPERLINK("http://mcgill.on.worldcat.org/oclc/71347268","Catalog Record")</f>
        <v>Catalog Record</v>
      </c>
      <c r="AW271" s="6" t="str">
        <f>HYPERLINK("http://www.worldcat.org/oclc/71347268","WorldCat Record")</f>
        <v>WorldCat Record</v>
      </c>
      <c r="AX271" s="3" t="s">
        <v>2855</v>
      </c>
      <c r="AY271" s="3" t="s">
        <v>2856</v>
      </c>
      <c r="AZ271" s="3" t="s">
        <v>2857</v>
      </c>
      <c r="BA271" s="3" t="s">
        <v>2857</v>
      </c>
      <c r="BB271" s="3" t="s">
        <v>2858</v>
      </c>
      <c r="BC271" s="3" t="s">
        <v>82</v>
      </c>
      <c r="BD271" s="3" t="s">
        <v>538</v>
      </c>
      <c r="BE271" s="3" t="s">
        <v>2859</v>
      </c>
      <c r="BF271" s="3" t="s">
        <v>2858</v>
      </c>
      <c r="BG271" s="3" t="s">
        <v>2860</v>
      </c>
    </row>
    <row r="272" spans="1:59" ht="60" x14ac:dyDescent="0.25">
      <c r="A272" s="2" t="s">
        <v>59</v>
      </c>
      <c r="B272" s="2" t="s">
        <v>60</v>
      </c>
      <c r="C272" s="2" t="s">
        <v>2861</v>
      </c>
      <c r="D272" s="2" t="s">
        <v>2862</v>
      </c>
      <c r="E272" s="2" t="s">
        <v>2863</v>
      </c>
      <c r="F272" s="3" t="s">
        <v>2864</v>
      </c>
      <c r="G272" s="3" t="s">
        <v>62</v>
      </c>
      <c r="I272" s="3" t="s">
        <v>62</v>
      </c>
      <c r="J272" s="3" t="s">
        <v>63</v>
      </c>
      <c r="K272" s="3" t="s">
        <v>64</v>
      </c>
      <c r="M272" s="2" t="s">
        <v>2865</v>
      </c>
      <c r="N272" s="3" t="s">
        <v>629</v>
      </c>
      <c r="O272" s="2" t="s">
        <v>2866</v>
      </c>
      <c r="P272" s="3" t="s">
        <v>66</v>
      </c>
      <c r="R272" s="3" t="s">
        <v>67</v>
      </c>
      <c r="S272" s="4">
        <v>10</v>
      </c>
      <c r="T272" s="4">
        <v>39</v>
      </c>
      <c r="U272" s="5" t="s">
        <v>2867</v>
      </c>
      <c r="V272" s="5" t="s">
        <v>2867</v>
      </c>
      <c r="W272" s="5" t="s">
        <v>69</v>
      </c>
      <c r="X272" s="5" t="s">
        <v>69</v>
      </c>
      <c r="Y272" s="4">
        <v>8</v>
      </c>
      <c r="Z272" s="4">
        <v>1</v>
      </c>
      <c r="AA272" s="4">
        <v>13</v>
      </c>
      <c r="AB272" s="4">
        <v>1</v>
      </c>
      <c r="AC272" s="4">
        <v>1</v>
      </c>
      <c r="AD272" s="4">
        <v>1</v>
      </c>
      <c r="AE272" s="4">
        <v>31</v>
      </c>
      <c r="AF272" s="4">
        <v>0</v>
      </c>
      <c r="AG272" s="4">
        <v>0</v>
      </c>
      <c r="AH272" s="4">
        <v>1</v>
      </c>
      <c r="AI272" s="4">
        <v>28</v>
      </c>
      <c r="AJ272" s="4">
        <v>0</v>
      </c>
      <c r="AK272" s="4">
        <v>8</v>
      </c>
      <c r="AL272" s="4">
        <v>1</v>
      </c>
      <c r="AM272" s="4">
        <v>15</v>
      </c>
      <c r="AN272" s="4">
        <v>0</v>
      </c>
      <c r="AO272" s="4">
        <v>0</v>
      </c>
      <c r="AP272" s="4">
        <v>0</v>
      </c>
      <c r="AQ272" s="4">
        <v>8</v>
      </c>
      <c r="AR272" s="3" t="s">
        <v>63</v>
      </c>
      <c r="AS272" s="3" t="s">
        <v>63</v>
      </c>
      <c r="AT272" s="3" t="s">
        <v>63</v>
      </c>
      <c r="AV272" s="6" t="str">
        <f>HYPERLINK("http://mcgill.on.worldcat.org/oclc/751820519","Catalog Record")</f>
        <v>Catalog Record</v>
      </c>
      <c r="AW272" s="6" t="str">
        <f>HYPERLINK("http://www.worldcat.org/oclc/751820519","WorldCat Record")</f>
        <v>WorldCat Record</v>
      </c>
      <c r="AX272" s="3" t="s">
        <v>2868</v>
      </c>
      <c r="AY272" s="3" t="s">
        <v>2869</v>
      </c>
      <c r="AZ272" s="3" t="s">
        <v>2870</v>
      </c>
      <c r="BA272" s="3" t="s">
        <v>2870</v>
      </c>
      <c r="BB272" s="3" t="s">
        <v>2871</v>
      </c>
      <c r="BC272" s="3" t="s">
        <v>82</v>
      </c>
      <c r="BD272" s="3" t="s">
        <v>70</v>
      </c>
      <c r="BE272" s="3" t="s">
        <v>2872</v>
      </c>
      <c r="BF272" s="3" t="s">
        <v>2871</v>
      </c>
      <c r="BG272" s="3" t="s">
        <v>2873</v>
      </c>
    </row>
    <row r="273" spans="1:59" ht="60" x14ac:dyDescent="0.25">
      <c r="A273" s="2" t="s">
        <v>59</v>
      </c>
      <c r="B273" s="2" t="s">
        <v>60</v>
      </c>
      <c r="C273" s="2" t="s">
        <v>2861</v>
      </c>
      <c r="D273" s="2" t="s">
        <v>2862</v>
      </c>
      <c r="E273" s="2" t="s">
        <v>2863</v>
      </c>
      <c r="F273" s="3" t="s">
        <v>2874</v>
      </c>
      <c r="G273" s="3" t="s">
        <v>62</v>
      </c>
      <c r="I273" s="3" t="s">
        <v>62</v>
      </c>
      <c r="J273" s="3" t="s">
        <v>63</v>
      </c>
      <c r="K273" s="3" t="s">
        <v>64</v>
      </c>
      <c r="M273" s="2" t="s">
        <v>2865</v>
      </c>
      <c r="N273" s="3" t="s">
        <v>629</v>
      </c>
      <c r="O273" s="2" t="s">
        <v>2866</v>
      </c>
      <c r="P273" s="3" t="s">
        <v>66</v>
      </c>
      <c r="R273" s="3" t="s">
        <v>67</v>
      </c>
      <c r="S273" s="4">
        <v>9</v>
      </c>
      <c r="T273" s="4">
        <v>39</v>
      </c>
      <c r="U273" s="5" t="s">
        <v>2875</v>
      </c>
      <c r="V273" s="5" t="s">
        <v>2867</v>
      </c>
      <c r="W273" s="5" t="s">
        <v>69</v>
      </c>
      <c r="X273" s="5" t="s">
        <v>69</v>
      </c>
      <c r="Y273" s="4">
        <v>8</v>
      </c>
      <c r="Z273" s="4">
        <v>1</v>
      </c>
      <c r="AA273" s="4">
        <v>13</v>
      </c>
      <c r="AB273" s="4">
        <v>1</v>
      </c>
      <c r="AC273" s="4">
        <v>1</v>
      </c>
      <c r="AD273" s="4">
        <v>1</v>
      </c>
      <c r="AE273" s="4">
        <v>31</v>
      </c>
      <c r="AF273" s="4">
        <v>0</v>
      </c>
      <c r="AG273" s="4">
        <v>0</v>
      </c>
      <c r="AH273" s="4">
        <v>1</v>
      </c>
      <c r="AI273" s="4">
        <v>28</v>
      </c>
      <c r="AJ273" s="4">
        <v>0</v>
      </c>
      <c r="AK273" s="4">
        <v>8</v>
      </c>
      <c r="AL273" s="4">
        <v>1</v>
      </c>
      <c r="AM273" s="4">
        <v>15</v>
      </c>
      <c r="AN273" s="4">
        <v>0</v>
      </c>
      <c r="AO273" s="4">
        <v>0</v>
      </c>
      <c r="AP273" s="4">
        <v>0</v>
      </c>
      <c r="AQ273" s="4">
        <v>8</v>
      </c>
      <c r="AR273" s="3" t="s">
        <v>63</v>
      </c>
      <c r="AS273" s="3" t="s">
        <v>63</v>
      </c>
      <c r="AT273" s="3" t="s">
        <v>63</v>
      </c>
      <c r="AV273" s="6" t="str">
        <f>HYPERLINK("http://mcgill.on.worldcat.org/oclc/751820519","Catalog Record")</f>
        <v>Catalog Record</v>
      </c>
      <c r="AW273" s="6" t="str">
        <f>HYPERLINK("http://www.worldcat.org/oclc/751820519","WorldCat Record")</f>
        <v>WorldCat Record</v>
      </c>
      <c r="AX273" s="3" t="s">
        <v>2868</v>
      </c>
      <c r="AY273" s="3" t="s">
        <v>2869</v>
      </c>
      <c r="AZ273" s="3" t="s">
        <v>2870</v>
      </c>
      <c r="BA273" s="3" t="s">
        <v>2870</v>
      </c>
      <c r="BB273" s="3" t="s">
        <v>2876</v>
      </c>
      <c r="BC273" s="3" t="s">
        <v>82</v>
      </c>
      <c r="BD273" s="3" t="s">
        <v>70</v>
      </c>
      <c r="BE273" s="3" t="s">
        <v>2872</v>
      </c>
      <c r="BF273" s="3" t="s">
        <v>2876</v>
      </c>
      <c r="BG273" s="3" t="s">
        <v>2877</v>
      </c>
    </row>
    <row r="274" spans="1:59" ht="60" x14ac:dyDescent="0.25">
      <c r="A274" s="2" t="s">
        <v>59</v>
      </c>
      <c r="B274" s="2" t="s">
        <v>60</v>
      </c>
      <c r="C274" s="2" t="s">
        <v>2861</v>
      </c>
      <c r="D274" s="2" t="s">
        <v>2862</v>
      </c>
      <c r="E274" s="2" t="s">
        <v>2863</v>
      </c>
      <c r="F274" s="3" t="s">
        <v>2878</v>
      </c>
      <c r="G274" s="3" t="s">
        <v>62</v>
      </c>
      <c r="I274" s="3" t="s">
        <v>62</v>
      </c>
      <c r="J274" s="3" t="s">
        <v>63</v>
      </c>
      <c r="K274" s="3" t="s">
        <v>64</v>
      </c>
      <c r="M274" s="2" t="s">
        <v>2865</v>
      </c>
      <c r="N274" s="3" t="s">
        <v>629</v>
      </c>
      <c r="O274" s="2" t="s">
        <v>2866</v>
      </c>
      <c r="P274" s="3" t="s">
        <v>66</v>
      </c>
      <c r="R274" s="3" t="s">
        <v>67</v>
      </c>
      <c r="S274" s="4">
        <v>7</v>
      </c>
      <c r="T274" s="4">
        <v>39</v>
      </c>
      <c r="U274" s="5" t="s">
        <v>2879</v>
      </c>
      <c r="V274" s="5" t="s">
        <v>2867</v>
      </c>
      <c r="W274" s="5" t="s">
        <v>69</v>
      </c>
      <c r="X274" s="5" t="s">
        <v>69</v>
      </c>
      <c r="Y274" s="4">
        <v>8</v>
      </c>
      <c r="Z274" s="4">
        <v>1</v>
      </c>
      <c r="AA274" s="4">
        <v>13</v>
      </c>
      <c r="AB274" s="4">
        <v>1</v>
      </c>
      <c r="AC274" s="4">
        <v>1</v>
      </c>
      <c r="AD274" s="4">
        <v>1</v>
      </c>
      <c r="AE274" s="4">
        <v>31</v>
      </c>
      <c r="AF274" s="4">
        <v>0</v>
      </c>
      <c r="AG274" s="4">
        <v>0</v>
      </c>
      <c r="AH274" s="4">
        <v>1</v>
      </c>
      <c r="AI274" s="4">
        <v>28</v>
      </c>
      <c r="AJ274" s="4">
        <v>0</v>
      </c>
      <c r="AK274" s="4">
        <v>8</v>
      </c>
      <c r="AL274" s="4">
        <v>1</v>
      </c>
      <c r="AM274" s="4">
        <v>15</v>
      </c>
      <c r="AN274" s="4">
        <v>0</v>
      </c>
      <c r="AO274" s="4">
        <v>0</v>
      </c>
      <c r="AP274" s="4">
        <v>0</v>
      </c>
      <c r="AQ274" s="4">
        <v>8</v>
      </c>
      <c r="AR274" s="3" t="s">
        <v>63</v>
      </c>
      <c r="AS274" s="3" t="s">
        <v>63</v>
      </c>
      <c r="AT274" s="3" t="s">
        <v>63</v>
      </c>
      <c r="AV274" s="6" t="str">
        <f>HYPERLINK("http://mcgill.on.worldcat.org/oclc/751820519","Catalog Record")</f>
        <v>Catalog Record</v>
      </c>
      <c r="AW274" s="6" t="str">
        <f>HYPERLINK("http://www.worldcat.org/oclc/751820519","WorldCat Record")</f>
        <v>WorldCat Record</v>
      </c>
      <c r="AX274" s="3" t="s">
        <v>2868</v>
      </c>
      <c r="AY274" s="3" t="s">
        <v>2869</v>
      </c>
      <c r="AZ274" s="3" t="s">
        <v>2870</v>
      </c>
      <c r="BA274" s="3" t="s">
        <v>2870</v>
      </c>
      <c r="BB274" s="3" t="s">
        <v>2880</v>
      </c>
      <c r="BC274" s="3" t="s">
        <v>82</v>
      </c>
      <c r="BD274" s="3" t="s">
        <v>538</v>
      </c>
      <c r="BE274" s="3" t="s">
        <v>2872</v>
      </c>
      <c r="BF274" s="3" t="s">
        <v>2880</v>
      </c>
      <c r="BG274" s="3" t="s">
        <v>2881</v>
      </c>
    </row>
    <row r="275" spans="1:59" ht="60" x14ac:dyDescent="0.25">
      <c r="A275" s="2" t="s">
        <v>59</v>
      </c>
      <c r="B275" s="2" t="s">
        <v>60</v>
      </c>
      <c r="C275" s="2" t="s">
        <v>2861</v>
      </c>
      <c r="D275" s="2" t="s">
        <v>2862</v>
      </c>
      <c r="E275" s="2" t="s">
        <v>2863</v>
      </c>
      <c r="F275" s="3" t="s">
        <v>2878</v>
      </c>
      <c r="G275" s="3" t="s">
        <v>62</v>
      </c>
      <c r="I275" s="3" t="s">
        <v>62</v>
      </c>
      <c r="J275" s="3" t="s">
        <v>63</v>
      </c>
      <c r="K275" s="3" t="s">
        <v>64</v>
      </c>
      <c r="M275" s="2" t="s">
        <v>2865</v>
      </c>
      <c r="N275" s="3" t="s">
        <v>629</v>
      </c>
      <c r="O275" s="2" t="s">
        <v>2866</v>
      </c>
      <c r="P275" s="3" t="s">
        <v>66</v>
      </c>
      <c r="R275" s="3" t="s">
        <v>67</v>
      </c>
      <c r="S275" s="4">
        <v>1</v>
      </c>
      <c r="T275" s="4">
        <v>39</v>
      </c>
      <c r="U275" s="5" t="s">
        <v>2882</v>
      </c>
      <c r="V275" s="5" t="s">
        <v>2867</v>
      </c>
      <c r="W275" s="5" t="s">
        <v>69</v>
      </c>
      <c r="X275" s="5" t="s">
        <v>69</v>
      </c>
      <c r="Y275" s="4">
        <v>8</v>
      </c>
      <c r="Z275" s="4">
        <v>1</v>
      </c>
      <c r="AA275" s="4">
        <v>13</v>
      </c>
      <c r="AB275" s="4">
        <v>1</v>
      </c>
      <c r="AC275" s="4">
        <v>1</v>
      </c>
      <c r="AD275" s="4">
        <v>1</v>
      </c>
      <c r="AE275" s="4">
        <v>31</v>
      </c>
      <c r="AF275" s="4">
        <v>0</v>
      </c>
      <c r="AG275" s="4">
        <v>0</v>
      </c>
      <c r="AH275" s="4">
        <v>1</v>
      </c>
      <c r="AI275" s="4">
        <v>28</v>
      </c>
      <c r="AJ275" s="4">
        <v>0</v>
      </c>
      <c r="AK275" s="4">
        <v>8</v>
      </c>
      <c r="AL275" s="4">
        <v>1</v>
      </c>
      <c r="AM275" s="4">
        <v>15</v>
      </c>
      <c r="AN275" s="4">
        <v>0</v>
      </c>
      <c r="AO275" s="4">
        <v>0</v>
      </c>
      <c r="AP275" s="4">
        <v>0</v>
      </c>
      <c r="AQ275" s="4">
        <v>8</v>
      </c>
      <c r="AR275" s="3" t="s">
        <v>63</v>
      </c>
      <c r="AS275" s="3" t="s">
        <v>63</v>
      </c>
      <c r="AT275" s="3" t="s">
        <v>63</v>
      </c>
      <c r="AV275" s="6" t="str">
        <f>HYPERLINK("http://mcgill.on.worldcat.org/oclc/751820519","Catalog Record")</f>
        <v>Catalog Record</v>
      </c>
      <c r="AW275" s="6" t="str">
        <f>HYPERLINK("http://www.worldcat.org/oclc/751820519","WorldCat Record")</f>
        <v>WorldCat Record</v>
      </c>
      <c r="AX275" s="3" t="s">
        <v>2868</v>
      </c>
      <c r="AY275" s="3" t="s">
        <v>2869</v>
      </c>
      <c r="AZ275" s="3" t="s">
        <v>2870</v>
      </c>
      <c r="BA275" s="3" t="s">
        <v>2870</v>
      </c>
      <c r="BB275" s="3" t="s">
        <v>2883</v>
      </c>
      <c r="BC275" s="3" t="s">
        <v>82</v>
      </c>
      <c r="BD275" s="3" t="s">
        <v>70</v>
      </c>
      <c r="BE275" s="3" t="s">
        <v>2872</v>
      </c>
      <c r="BF275" s="3" t="s">
        <v>2883</v>
      </c>
      <c r="BG275" s="3" t="s">
        <v>2884</v>
      </c>
    </row>
    <row r="276" spans="1:59" ht="60" x14ac:dyDescent="0.25">
      <c r="A276" s="2" t="s">
        <v>59</v>
      </c>
      <c r="B276" s="2" t="s">
        <v>60</v>
      </c>
      <c r="C276" s="2" t="s">
        <v>2861</v>
      </c>
      <c r="D276" s="2" t="s">
        <v>2862</v>
      </c>
      <c r="E276" s="2" t="s">
        <v>2863</v>
      </c>
      <c r="F276" s="3" t="s">
        <v>2864</v>
      </c>
      <c r="G276" s="3" t="s">
        <v>62</v>
      </c>
      <c r="I276" s="3" t="s">
        <v>62</v>
      </c>
      <c r="J276" s="3" t="s">
        <v>63</v>
      </c>
      <c r="K276" s="3" t="s">
        <v>64</v>
      </c>
      <c r="M276" s="2" t="s">
        <v>2865</v>
      </c>
      <c r="N276" s="3" t="s">
        <v>629</v>
      </c>
      <c r="O276" s="2" t="s">
        <v>2866</v>
      </c>
      <c r="P276" s="3" t="s">
        <v>66</v>
      </c>
      <c r="R276" s="3" t="s">
        <v>67</v>
      </c>
      <c r="S276" s="4">
        <v>12</v>
      </c>
      <c r="T276" s="4">
        <v>39</v>
      </c>
      <c r="U276" s="5" t="s">
        <v>2867</v>
      </c>
      <c r="V276" s="5" t="s">
        <v>2867</v>
      </c>
      <c r="W276" s="5" t="s">
        <v>69</v>
      </c>
      <c r="X276" s="5" t="s">
        <v>69</v>
      </c>
      <c r="Y276" s="4">
        <v>8</v>
      </c>
      <c r="Z276" s="4">
        <v>1</v>
      </c>
      <c r="AA276" s="4">
        <v>13</v>
      </c>
      <c r="AB276" s="4">
        <v>1</v>
      </c>
      <c r="AC276" s="4">
        <v>1</v>
      </c>
      <c r="AD276" s="4">
        <v>1</v>
      </c>
      <c r="AE276" s="4">
        <v>31</v>
      </c>
      <c r="AF276" s="4">
        <v>0</v>
      </c>
      <c r="AG276" s="4">
        <v>0</v>
      </c>
      <c r="AH276" s="4">
        <v>1</v>
      </c>
      <c r="AI276" s="4">
        <v>28</v>
      </c>
      <c r="AJ276" s="4">
        <v>0</v>
      </c>
      <c r="AK276" s="4">
        <v>8</v>
      </c>
      <c r="AL276" s="4">
        <v>1</v>
      </c>
      <c r="AM276" s="4">
        <v>15</v>
      </c>
      <c r="AN276" s="4">
        <v>0</v>
      </c>
      <c r="AO276" s="4">
        <v>0</v>
      </c>
      <c r="AP276" s="4">
        <v>0</v>
      </c>
      <c r="AQ276" s="4">
        <v>8</v>
      </c>
      <c r="AR276" s="3" t="s">
        <v>63</v>
      </c>
      <c r="AS276" s="3" t="s">
        <v>63</v>
      </c>
      <c r="AT276" s="3" t="s">
        <v>63</v>
      </c>
      <c r="AV276" s="6" t="str">
        <f>HYPERLINK("http://mcgill.on.worldcat.org/oclc/751820519","Catalog Record")</f>
        <v>Catalog Record</v>
      </c>
      <c r="AW276" s="6" t="str">
        <f>HYPERLINK("http://www.worldcat.org/oclc/751820519","WorldCat Record")</f>
        <v>WorldCat Record</v>
      </c>
      <c r="AX276" s="3" t="s">
        <v>2868</v>
      </c>
      <c r="AY276" s="3" t="s">
        <v>2869</v>
      </c>
      <c r="AZ276" s="3" t="s">
        <v>2870</v>
      </c>
      <c r="BA276" s="3" t="s">
        <v>2870</v>
      </c>
      <c r="BB276" s="3" t="s">
        <v>2885</v>
      </c>
      <c r="BC276" s="3" t="s">
        <v>82</v>
      </c>
      <c r="BD276" s="3" t="s">
        <v>70</v>
      </c>
      <c r="BE276" s="3" t="s">
        <v>2872</v>
      </c>
      <c r="BF276" s="3" t="s">
        <v>2885</v>
      </c>
      <c r="BG276" s="3" t="s">
        <v>2886</v>
      </c>
    </row>
    <row r="277" spans="1:59" ht="60" x14ac:dyDescent="0.25">
      <c r="A277" s="2" t="s">
        <v>59</v>
      </c>
      <c r="B277" s="2" t="s">
        <v>60</v>
      </c>
      <c r="C277" s="2" t="s">
        <v>2887</v>
      </c>
      <c r="D277" s="2" t="s">
        <v>2888</v>
      </c>
      <c r="E277" s="2" t="s">
        <v>2889</v>
      </c>
      <c r="G277" s="3" t="s">
        <v>63</v>
      </c>
      <c r="I277" s="3" t="s">
        <v>63</v>
      </c>
      <c r="J277" s="3" t="s">
        <v>63</v>
      </c>
      <c r="K277" s="3" t="s">
        <v>64</v>
      </c>
      <c r="L277" s="2" t="s">
        <v>2890</v>
      </c>
      <c r="M277" s="2" t="s">
        <v>2891</v>
      </c>
      <c r="N277" s="3" t="s">
        <v>693</v>
      </c>
      <c r="P277" s="3" t="s">
        <v>66</v>
      </c>
      <c r="Q277" s="2" t="s">
        <v>2892</v>
      </c>
      <c r="R277" s="3" t="s">
        <v>67</v>
      </c>
      <c r="S277" s="4">
        <v>7</v>
      </c>
      <c r="T277" s="4">
        <v>7</v>
      </c>
      <c r="U277" s="5" t="s">
        <v>2731</v>
      </c>
      <c r="V277" s="5" t="s">
        <v>2731</v>
      </c>
      <c r="W277" s="5" t="s">
        <v>69</v>
      </c>
      <c r="X277" s="5" t="s">
        <v>69</v>
      </c>
      <c r="Y277" s="4">
        <v>91</v>
      </c>
      <c r="Z277" s="4">
        <v>9</v>
      </c>
      <c r="AA277" s="4">
        <v>9</v>
      </c>
      <c r="AB277" s="4">
        <v>1</v>
      </c>
      <c r="AC277" s="4">
        <v>1</v>
      </c>
      <c r="AD277" s="4">
        <v>40</v>
      </c>
      <c r="AE277" s="4">
        <v>40</v>
      </c>
      <c r="AF277" s="4">
        <v>0</v>
      </c>
      <c r="AG277" s="4">
        <v>0</v>
      </c>
      <c r="AH277" s="4">
        <v>36</v>
      </c>
      <c r="AI277" s="4">
        <v>36</v>
      </c>
      <c r="AJ277" s="4">
        <v>6</v>
      </c>
      <c r="AK277" s="4">
        <v>6</v>
      </c>
      <c r="AL277" s="4">
        <v>20</v>
      </c>
      <c r="AM277" s="4">
        <v>20</v>
      </c>
      <c r="AN277" s="4">
        <v>0</v>
      </c>
      <c r="AO277" s="4">
        <v>0</v>
      </c>
      <c r="AP277" s="4">
        <v>7</v>
      </c>
      <c r="AQ277" s="4">
        <v>7</v>
      </c>
      <c r="AR277" s="3" t="s">
        <v>63</v>
      </c>
      <c r="AS277" s="3" t="s">
        <v>63</v>
      </c>
      <c r="AT277" s="3" t="s">
        <v>62</v>
      </c>
      <c r="AU277" s="6" t="str">
        <f>HYPERLINK("http://catalog.hathitrust.org/Record/004923531","HathiTrust Record")</f>
        <v>HathiTrust Record</v>
      </c>
      <c r="AV277" s="6" t="str">
        <f>HYPERLINK("http://mcgill.on.worldcat.org/oclc/55495228","Catalog Record")</f>
        <v>Catalog Record</v>
      </c>
      <c r="AW277" s="6" t="str">
        <f>HYPERLINK("http://www.worldcat.org/oclc/55495228","WorldCat Record")</f>
        <v>WorldCat Record</v>
      </c>
      <c r="AX277" s="3" t="s">
        <v>2893</v>
      </c>
      <c r="AY277" s="3" t="s">
        <v>2894</v>
      </c>
      <c r="AZ277" s="3" t="s">
        <v>2895</v>
      </c>
      <c r="BA277" s="3" t="s">
        <v>2895</v>
      </c>
      <c r="BB277" s="3" t="s">
        <v>2896</v>
      </c>
      <c r="BC277" s="3" t="s">
        <v>82</v>
      </c>
      <c r="BD277" s="3" t="s">
        <v>70</v>
      </c>
      <c r="BE277" s="3" t="s">
        <v>2897</v>
      </c>
      <c r="BF277" s="3" t="s">
        <v>2896</v>
      </c>
      <c r="BG277" s="3" t="s">
        <v>2898</v>
      </c>
    </row>
    <row r="278" spans="1:59" ht="105" x14ac:dyDescent="0.25">
      <c r="A278" s="2" t="s">
        <v>59</v>
      </c>
      <c r="B278" s="2" t="s">
        <v>2899</v>
      </c>
      <c r="C278" s="2" t="s">
        <v>2900</v>
      </c>
      <c r="D278" s="2" t="s">
        <v>2901</v>
      </c>
      <c r="E278" s="2" t="s">
        <v>2902</v>
      </c>
      <c r="F278" s="3" t="s">
        <v>2903</v>
      </c>
      <c r="G278" s="3" t="s">
        <v>62</v>
      </c>
      <c r="I278" s="3" t="s">
        <v>62</v>
      </c>
      <c r="J278" s="3" t="s">
        <v>63</v>
      </c>
      <c r="K278" s="3" t="s">
        <v>64</v>
      </c>
      <c r="L278" s="2" t="s">
        <v>2904</v>
      </c>
      <c r="M278" s="2" t="s">
        <v>2905</v>
      </c>
      <c r="N278" s="3" t="s">
        <v>204</v>
      </c>
      <c r="O278" s="2" t="s">
        <v>1856</v>
      </c>
      <c r="P278" s="3" t="s">
        <v>66</v>
      </c>
      <c r="R278" s="3" t="s">
        <v>67</v>
      </c>
      <c r="S278" s="4">
        <v>1</v>
      </c>
      <c r="T278" s="4">
        <v>16</v>
      </c>
      <c r="U278" s="5" t="s">
        <v>2906</v>
      </c>
      <c r="V278" s="5" t="s">
        <v>2907</v>
      </c>
      <c r="W278" s="5" t="s">
        <v>69</v>
      </c>
      <c r="X278" s="5" t="s">
        <v>69</v>
      </c>
      <c r="Y278" s="4">
        <v>37</v>
      </c>
      <c r="Z278" s="4">
        <v>3</v>
      </c>
      <c r="AA278" s="4">
        <v>3</v>
      </c>
      <c r="AB278" s="4">
        <v>1</v>
      </c>
      <c r="AC278" s="4">
        <v>1</v>
      </c>
      <c r="AD278" s="4">
        <v>13</v>
      </c>
      <c r="AE278" s="4">
        <v>13</v>
      </c>
      <c r="AF278" s="4">
        <v>0</v>
      </c>
      <c r="AG278" s="4">
        <v>0</v>
      </c>
      <c r="AH278" s="4">
        <v>13</v>
      </c>
      <c r="AI278" s="4">
        <v>13</v>
      </c>
      <c r="AJ278" s="4">
        <v>2</v>
      </c>
      <c r="AK278" s="4">
        <v>2</v>
      </c>
      <c r="AL278" s="4">
        <v>6</v>
      </c>
      <c r="AM278" s="4">
        <v>6</v>
      </c>
      <c r="AN278" s="4">
        <v>0</v>
      </c>
      <c r="AO278" s="4">
        <v>0</v>
      </c>
      <c r="AP278" s="4">
        <v>2</v>
      </c>
      <c r="AQ278" s="4">
        <v>2</v>
      </c>
      <c r="AR278" s="3" t="s">
        <v>63</v>
      </c>
      <c r="AS278" s="3" t="s">
        <v>63</v>
      </c>
      <c r="AT278" s="3" t="s">
        <v>63</v>
      </c>
      <c r="AV278" s="6" t="str">
        <f>HYPERLINK("http://mcgill.on.worldcat.org/oclc/32853780","Catalog Record")</f>
        <v>Catalog Record</v>
      </c>
      <c r="AW278" s="6" t="str">
        <f>HYPERLINK("http://www.worldcat.org/oclc/32853780","WorldCat Record")</f>
        <v>WorldCat Record</v>
      </c>
      <c r="AX278" s="3" t="s">
        <v>2908</v>
      </c>
      <c r="AY278" s="3" t="s">
        <v>2909</v>
      </c>
      <c r="AZ278" s="3" t="s">
        <v>2910</v>
      </c>
      <c r="BA278" s="3" t="s">
        <v>2910</v>
      </c>
      <c r="BB278" s="3" t="s">
        <v>2911</v>
      </c>
      <c r="BC278" s="3" t="s">
        <v>82</v>
      </c>
      <c r="BD278" s="3" t="s">
        <v>70</v>
      </c>
      <c r="BE278" s="3" t="s">
        <v>2912</v>
      </c>
      <c r="BF278" s="3" t="s">
        <v>2911</v>
      </c>
      <c r="BG278" s="3" t="s">
        <v>2913</v>
      </c>
    </row>
    <row r="279" spans="1:59" ht="60" x14ac:dyDescent="0.25">
      <c r="A279" s="2" t="s">
        <v>59</v>
      </c>
      <c r="B279" s="2" t="s">
        <v>60</v>
      </c>
      <c r="C279" s="2" t="s">
        <v>2900</v>
      </c>
      <c r="D279" s="2" t="s">
        <v>2901</v>
      </c>
      <c r="E279" s="2" t="s">
        <v>2902</v>
      </c>
      <c r="F279" s="3" t="s">
        <v>2864</v>
      </c>
      <c r="G279" s="3" t="s">
        <v>62</v>
      </c>
      <c r="I279" s="3" t="s">
        <v>62</v>
      </c>
      <c r="J279" s="3" t="s">
        <v>63</v>
      </c>
      <c r="K279" s="3" t="s">
        <v>64</v>
      </c>
      <c r="L279" s="2" t="s">
        <v>2904</v>
      </c>
      <c r="M279" s="2" t="s">
        <v>2905</v>
      </c>
      <c r="N279" s="3" t="s">
        <v>204</v>
      </c>
      <c r="O279" s="2" t="s">
        <v>1856</v>
      </c>
      <c r="P279" s="3" t="s">
        <v>66</v>
      </c>
      <c r="R279" s="3" t="s">
        <v>67</v>
      </c>
      <c r="S279" s="4">
        <v>7</v>
      </c>
      <c r="T279" s="4">
        <v>16</v>
      </c>
      <c r="U279" s="5" t="s">
        <v>2914</v>
      </c>
      <c r="V279" s="5" t="s">
        <v>2907</v>
      </c>
      <c r="W279" s="5" t="s">
        <v>69</v>
      </c>
      <c r="X279" s="5" t="s">
        <v>69</v>
      </c>
      <c r="Y279" s="4">
        <v>37</v>
      </c>
      <c r="Z279" s="4">
        <v>3</v>
      </c>
      <c r="AA279" s="4">
        <v>3</v>
      </c>
      <c r="AB279" s="4">
        <v>1</v>
      </c>
      <c r="AC279" s="4">
        <v>1</v>
      </c>
      <c r="AD279" s="4">
        <v>13</v>
      </c>
      <c r="AE279" s="4">
        <v>13</v>
      </c>
      <c r="AF279" s="4">
        <v>0</v>
      </c>
      <c r="AG279" s="4">
        <v>0</v>
      </c>
      <c r="AH279" s="4">
        <v>13</v>
      </c>
      <c r="AI279" s="4">
        <v>13</v>
      </c>
      <c r="AJ279" s="4">
        <v>2</v>
      </c>
      <c r="AK279" s="4">
        <v>2</v>
      </c>
      <c r="AL279" s="4">
        <v>6</v>
      </c>
      <c r="AM279" s="4">
        <v>6</v>
      </c>
      <c r="AN279" s="4">
        <v>0</v>
      </c>
      <c r="AO279" s="4">
        <v>0</v>
      </c>
      <c r="AP279" s="4">
        <v>2</v>
      </c>
      <c r="AQ279" s="4">
        <v>2</v>
      </c>
      <c r="AR279" s="3" t="s">
        <v>63</v>
      </c>
      <c r="AS279" s="3" t="s">
        <v>63</v>
      </c>
      <c r="AT279" s="3" t="s">
        <v>63</v>
      </c>
      <c r="AV279" s="6" t="str">
        <f>HYPERLINK("http://mcgill.on.worldcat.org/oclc/32853780","Catalog Record")</f>
        <v>Catalog Record</v>
      </c>
      <c r="AW279" s="6" t="str">
        <f>HYPERLINK("http://www.worldcat.org/oclc/32853780","WorldCat Record")</f>
        <v>WorldCat Record</v>
      </c>
      <c r="AX279" s="3" t="s">
        <v>2908</v>
      </c>
      <c r="AY279" s="3" t="s">
        <v>2909</v>
      </c>
      <c r="AZ279" s="3" t="s">
        <v>2910</v>
      </c>
      <c r="BA279" s="3" t="s">
        <v>2910</v>
      </c>
      <c r="BB279" s="3" t="s">
        <v>2915</v>
      </c>
      <c r="BC279" s="3" t="s">
        <v>82</v>
      </c>
      <c r="BD279" s="3" t="s">
        <v>70</v>
      </c>
      <c r="BE279" s="3" t="s">
        <v>2912</v>
      </c>
      <c r="BF279" s="3" t="s">
        <v>2915</v>
      </c>
      <c r="BG279" s="3" t="s">
        <v>2916</v>
      </c>
    </row>
    <row r="280" spans="1:59" ht="60" x14ac:dyDescent="0.25">
      <c r="A280" s="2" t="s">
        <v>59</v>
      </c>
      <c r="B280" s="2" t="s">
        <v>60</v>
      </c>
      <c r="C280" s="2" t="s">
        <v>2900</v>
      </c>
      <c r="D280" s="2" t="s">
        <v>2901</v>
      </c>
      <c r="E280" s="2" t="s">
        <v>2902</v>
      </c>
      <c r="F280" s="3" t="s">
        <v>2917</v>
      </c>
      <c r="G280" s="3" t="s">
        <v>62</v>
      </c>
      <c r="I280" s="3" t="s">
        <v>62</v>
      </c>
      <c r="J280" s="3" t="s">
        <v>63</v>
      </c>
      <c r="K280" s="3" t="s">
        <v>64</v>
      </c>
      <c r="L280" s="2" t="s">
        <v>2904</v>
      </c>
      <c r="M280" s="2" t="s">
        <v>2905</v>
      </c>
      <c r="N280" s="3" t="s">
        <v>204</v>
      </c>
      <c r="O280" s="2" t="s">
        <v>1856</v>
      </c>
      <c r="P280" s="3" t="s">
        <v>66</v>
      </c>
      <c r="R280" s="3" t="s">
        <v>67</v>
      </c>
      <c r="S280" s="4">
        <v>8</v>
      </c>
      <c r="T280" s="4">
        <v>16</v>
      </c>
      <c r="U280" s="5" t="s">
        <v>2907</v>
      </c>
      <c r="V280" s="5" t="s">
        <v>2907</v>
      </c>
      <c r="W280" s="5" t="s">
        <v>69</v>
      </c>
      <c r="X280" s="5" t="s">
        <v>69</v>
      </c>
      <c r="Y280" s="4">
        <v>37</v>
      </c>
      <c r="Z280" s="4">
        <v>3</v>
      </c>
      <c r="AA280" s="4">
        <v>3</v>
      </c>
      <c r="AB280" s="4">
        <v>1</v>
      </c>
      <c r="AC280" s="4">
        <v>1</v>
      </c>
      <c r="AD280" s="4">
        <v>13</v>
      </c>
      <c r="AE280" s="4">
        <v>13</v>
      </c>
      <c r="AF280" s="4">
        <v>0</v>
      </c>
      <c r="AG280" s="4">
        <v>0</v>
      </c>
      <c r="AH280" s="4">
        <v>13</v>
      </c>
      <c r="AI280" s="4">
        <v>13</v>
      </c>
      <c r="AJ280" s="4">
        <v>2</v>
      </c>
      <c r="AK280" s="4">
        <v>2</v>
      </c>
      <c r="AL280" s="4">
        <v>6</v>
      </c>
      <c r="AM280" s="4">
        <v>6</v>
      </c>
      <c r="AN280" s="4">
        <v>0</v>
      </c>
      <c r="AO280" s="4">
        <v>0</v>
      </c>
      <c r="AP280" s="4">
        <v>2</v>
      </c>
      <c r="AQ280" s="4">
        <v>2</v>
      </c>
      <c r="AR280" s="3" t="s">
        <v>63</v>
      </c>
      <c r="AS280" s="3" t="s">
        <v>63</v>
      </c>
      <c r="AT280" s="3" t="s">
        <v>63</v>
      </c>
      <c r="AV280" s="6" t="str">
        <f>HYPERLINK("http://mcgill.on.worldcat.org/oclc/32853780","Catalog Record")</f>
        <v>Catalog Record</v>
      </c>
      <c r="AW280" s="6" t="str">
        <f>HYPERLINK("http://www.worldcat.org/oclc/32853780","WorldCat Record")</f>
        <v>WorldCat Record</v>
      </c>
      <c r="AX280" s="3" t="s">
        <v>2908</v>
      </c>
      <c r="AY280" s="3" t="s">
        <v>2909</v>
      </c>
      <c r="AZ280" s="3" t="s">
        <v>2910</v>
      </c>
      <c r="BA280" s="3" t="s">
        <v>2910</v>
      </c>
      <c r="BB280" s="3" t="s">
        <v>2918</v>
      </c>
      <c r="BC280" s="3" t="s">
        <v>82</v>
      </c>
      <c r="BD280" s="3" t="s">
        <v>70</v>
      </c>
      <c r="BE280" s="3" t="s">
        <v>2912</v>
      </c>
      <c r="BF280" s="3" t="s">
        <v>2918</v>
      </c>
      <c r="BG280" s="3" t="s">
        <v>2919</v>
      </c>
    </row>
    <row r="281" spans="1:59" ht="60" x14ac:dyDescent="0.25">
      <c r="A281" s="2" t="s">
        <v>59</v>
      </c>
      <c r="B281" s="2" t="s">
        <v>60</v>
      </c>
      <c r="C281" s="2" t="s">
        <v>2920</v>
      </c>
      <c r="D281" s="2" t="s">
        <v>2921</v>
      </c>
      <c r="E281" s="2" t="s">
        <v>2922</v>
      </c>
      <c r="F281" s="3" t="s">
        <v>2923</v>
      </c>
      <c r="G281" s="3" t="s">
        <v>63</v>
      </c>
      <c r="I281" s="3" t="s">
        <v>63</v>
      </c>
      <c r="J281" s="3" t="s">
        <v>63</v>
      </c>
      <c r="K281" s="3" t="s">
        <v>64</v>
      </c>
      <c r="L281" s="2" t="s">
        <v>2904</v>
      </c>
      <c r="M281" s="2" t="s">
        <v>2924</v>
      </c>
      <c r="N281" s="3" t="s">
        <v>261</v>
      </c>
      <c r="P281" s="3" t="s">
        <v>66</v>
      </c>
      <c r="R281" s="3" t="s">
        <v>67</v>
      </c>
      <c r="S281" s="4">
        <v>16</v>
      </c>
      <c r="T281" s="4">
        <v>16</v>
      </c>
      <c r="U281" s="5" t="s">
        <v>2925</v>
      </c>
      <c r="V281" s="5" t="s">
        <v>2925</v>
      </c>
      <c r="W281" s="5" t="s">
        <v>69</v>
      </c>
      <c r="X281" s="5" t="s">
        <v>69</v>
      </c>
      <c r="Y281" s="4">
        <v>63</v>
      </c>
      <c r="Z281" s="4">
        <v>9</v>
      </c>
      <c r="AA281" s="4">
        <v>9</v>
      </c>
      <c r="AB281" s="4">
        <v>1</v>
      </c>
      <c r="AC281" s="4">
        <v>1</v>
      </c>
      <c r="AD281" s="4">
        <v>31</v>
      </c>
      <c r="AE281" s="4">
        <v>31</v>
      </c>
      <c r="AF281" s="4">
        <v>0</v>
      </c>
      <c r="AG281" s="4">
        <v>0</v>
      </c>
      <c r="AH281" s="4">
        <v>30</v>
      </c>
      <c r="AI281" s="4">
        <v>30</v>
      </c>
      <c r="AJ281" s="4">
        <v>6</v>
      </c>
      <c r="AK281" s="4">
        <v>6</v>
      </c>
      <c r="AL281" s="4">
        <v>19</v>
      </c>
      <c r="AM281" s="4">
        <v>19</v>
      </c>
      <c r="AN281" s="4">
        <v>0</v>
      </c>
      <c r="AO281" s="4">
        <v>0</v>
      </c>
      <c r="AP281" s="4">
        <v>6</v>
      </c>
      <c r="AQ281" s="4">
        <v>6</v>
      </c>
      <c r="AR281" s="3" t="s">
        <v>63</v>
      </c>
      <c r="AS281" s="3" t="s">
        <v>63</v>
      </c>
      <c r="AT281" s="3" t="s">
        <v>63</v>
      </c>
      <c r="AV281" s="6" t="str">
        <f>HYPERLINK("http://mcgill.on.worldcat.org/oclc/62732877","Catalog Record")</f>
        <v>Catalog Record</v>
      </c>
      <c r="AW281" s="6" t="str">
        <f>HYPERLINK("http://www.worldcat.org/oclc/62732877","WorldCat Record")</f>
        <v>WorldCat Record</v>
      </c>
      <c r="AX281" s="3" t="s">
        <v>2926</v>
      </c>
      <c r="AY281" s="3" t="s">
        <v>2927</v>
      </c>
      <c r="AZ281" s="3" t="s">
        <v>2928</v>
      </c>
      <c r="BA281" s="3" t="s">
        <v>2928</v>
      </c>
      <c r="BB281" s="3" t="s">
        <v>2929</v>
      </c>
      <c r="BC281" s="3" t="s">
        <v>82</v>
      </c>
      <c r="BD281" s="3" t="s">
        <v>538</v>
      </c>
      <c r="BE281" s="3" t="s">
        <v>2930</v>
      </c>
      <c r="BF281" s="3" t="s">
        <v>2929</v>
      </c>
      <c r="BG281" s="3" t="s">
        <v>2931</v>
      </c>
    </row>
    <row r="282" spans="1:59" ht="75" x14ac:dyDescent="0.25">
      <c r="A282" s="2" t="s">
        <v>59</v>
      </c>
      <c r="B282" s="2" t="s">
        <v>60</v>
      </c>
      <c r="C282" s="2" t="s">
        <v>2932</v>
      </c>
      <c r="D282" s="2" t="s">
        <v>2933</v>
      </c>
      <c r="E282" s="2" t="s">
        <v>2934</v>
      </c>
      <c r="F282" s="3" t="s">
        <v>2935</v>
      </c>
      <c r="G282" s="3" t="s">
        <v>63</v>
      </c>
      <c r="I282" s="3" t="s">
        <v>63</v>
      </c>
      <c r="J282" s="3" t="s">
        <v>63</v>
      </c>
      <c r="K282" s="3" t="s">
        <v>64</v>
      </c>
      <c r="L282" s="2" t="s">
        <v>2936</v>
      </c>
      <c r="M282" s="2" t="s">
        <v>2937</v>
      </c>
      <c r="N282" s="3" t="s">
        <v>2459</v>
      </c>
      <c r="O282" s="2" t="s">
        <v>1856</v>
      </c>
      <c r="P282" s="3" t="s">
        <v>66</v>
      </c>
      <c r="Q282" s="2" t="s">
        <v>2938</v>
      </c>
      <c r="R282" s="3" t="s">
        <v>67</v>
      </c>
      <c r="S282" s="4">
        <v>12</v>
      </c>
      <c r="T282" s="4">
        <v>12</v>
      </c>
      <c r="U282" s="5" t="s">
        <v>2939</v>
      </c>
      <c r="V282" s="5" t="s">
        <v>2939</v>
      </c>
      <c r="W282" s="5" t="s">
        <v>69</v>
      </c>
      <c r="X282" s="5" t="s">
        <v>69</v>
      </c>
      <c r="Y282" s="4">
        <v>41</v>
      </c>
      <c r="Z282" s="4">
        <v>1</v>
      </c>
      <c r="AA282" s="4">
        <v>3</v>
      </c>
      <c r="AB282" s="4">
        <v>1</v>
      </c>
      <c r="AC282" s="4">
        <v>1</v>
      </c>
      <c r="AD282" s="4">
        <v>0</v>
      </c>
      <c r="AE282" s="4">
        <v>4</v>
      </c>
      <c r="AF282" s="4">
        <v>0</v>
      </c>
      <c r="AG282" s="4">
        <v>0</v>
      </c>
      <c r="AH282" s="4">
        <v>0</v>
      </c>
      <c r="AI282" s="4">
        <v>4</v>
      </c>
      <c r="AJ282" s="4">
        <v>0</v>
      </c>
      <c r="AK282" s="4">
        <v>1</v>
      </c>
      <c r="AL282" s="4">
        <v>0</v>
      </c>
      <c r="AM282" s="4">
        <v>2</v>
      </c>
      <c r="AN282" s="4">
        <v>0</v>
      </c>
      <c r="AO282" s="4">
        <v>0</v>
      </c>
      <c r="AP282" s="4">
        <v>0</v>
      </c>
      <c r="AQ282" s="4">
        <v>1</v>
      </c>
      <c r="AR282" s="3" t="s">
        <v>63</v>
      </c>
      <c r="AS282" s="3" t="s">
        <v>63</v>
      </c>
      <c r="AT282" s="3" t="s">
        <v>63</v>
      </c>
      <c r="AV282" s="6" t="str">
        <f>HYPERLINK("http://mcgill.on.worldcat.org/oclc/191242832","Catalog Record")</f>
        <v>Catalog Record</v>
      </c>
      <c r="AW282" s="6" t="str">
        <f>HYPERLINK("http://www.worldcat.org/oclc/191242832","WorldCat Record")</f>
        <v>WorldCat Record</v>
      </c>
      <c r="AX282" s="3" t="s">
        <v>2940</v>
      </c>
      <c r="AY282" s="3" t="s">
        <v>2941</v>
      </c>
      <c r="AZ282" s="3" t="s">
        <v>2942</v>
      </c>
      <c r="BA282" s="3" t="s">
        <v>2942</v>
      </c>
      <c r="BB282" s="3" t="s">
        <v>2943</v>
      </c>
      <c r="BC282" s="3" t="s">
        <v>82</v>
      </c>
      <c r="BD282" s="3" t="s">
        <v>70</v>
      </c>
      <c r="BE282" s="3" t="s">
        <v>2944</v>
      </c>
      <c r="BF282" s="3" t="s">
        <v>2943</v>
      </c>
      <c r="BG282" s="3" t="s">
        <v>2945</v>
      </c>
    </row>
    <row r="283" spans="1:59" ht="75" x14ac:dyDescent="0.25">
      <c r="A283" s="2" t="s">
        <v>59</v>
      </c>
      <c r="B283" s="2" t="s">
        <v>60</v>
      </c>
      <c r="C283" s="2" t="s">
        <v>2946</v>
      </c>
      <c r="D283" s="2" t="s">
        <v>2947</v>
      </c>
      <c r="E283" s="2" t="s">
        <v>2948</v>
      </c>
      <c r="G283" s="3" t="s">
        <v>63</v>
      </c>
      <c r="I283" s="3" t="s">
        <v>63</v>
      </c>
      <c r="J283" s="3" t="s">
        <v>63</v>
      </c>
      <c r="K283" s="3" t="s">
        <v>64</v>
      </c>
      <c r="L283" s="2" t="s">
        <v>2949</v>
      </c>
      <c r="M283" s="2" t="s">
        <v>2950</v>
      </c>
      <c r="N283" s="3" t="s">
        <v>2951</v>
      </c>
      <c r="P283" s="3" t="s">
        <v>66</v>
      </c>
      <c r="R283" s="3" t="s">
        <v>67</v>
      </c>
      <c r="S283" s="4">
        <v>5</v>
      </c>
      <c r="T283" s="4">
        <v>5</v>
      </c>
      <c r="U283" s="5" t="s">
        <v>988</v>
      </c>
      <c r="V283" s="5" t="s">
        <v>988</v>
      </c>
      <c r="W283" s="5" t="s">
        <v>69</v>
      </c>
      <c r="X283" s="5" t="s">
        <v>69</v>
      </c>
      <c r="Y283" s="4">
        <v>275</v>
      </c>
      <c r="Z283" s="4">
        <v>23</v>
      </c>
      <c r="AA283" s="4">
        <v>23</v>
      </c>
      <c r="AB283" s="4">
        <v>2</v>
      </c>
      <c r="AC283" s="4">
        <v>2</v>
      </c>
      <c r="AD283" s="4">
        <v>101</v>
      </c>
      <c r="AE283" s="4">
        <v>101</v>
      </c>
      <c r="AF283" s="4">
        <v>1</v>
      </c>
      <c r="AG283" s="4">
        <v>1</v>
      </c>
      <c r="AH283" s="4">
        <v>91</v>
      </c>
      <c r="AI283" s="4">
        <v>91</v>
      </c>
      <c r="AJ283" s="4">
        <v>18</v>
      </c>
      <c r="AK283" s="4">
        <v>18</v>
      </c>
      <c r="AL283" s="4">
        <v>49</v>
      </c>
      <c r="AM283" s="4">
        <v>49</v>
      </c>
      <c r="AN283" s="4">
        <v>0</v>
      </c>
      <c r="AO283" s="4">
        <v>0</v>
      </c>
      <c r="AP283" s="4">
        <v>19</v>
      </c>
      <c r="AQ283" s="4">
        <v>19</v>
      </c>
      <c r="AR283" s="3" t="s">
        <v>63</v>
      </c>
      <c r="AS283" s="3" t="s">
        <v>63</v>
      </c>
      <c r="AT283" s="3" t="s">
        <v>62</v>
      </c>
      <c r="AU283" s="6" t="str">
        <f>HYPERLINK("http://catalog.hathitrust.org/Record/000112172","HathiTrust Record")</f>
        <v>HathiTrust Record</v>
      </c>
      <c r="AV283" s="6" t="str">
        <f>HYPERLINK("http://mcgill.on.worldcat.org/oclc/6604451","Catalog Record")</f>
        <v>Catalog Record</v>
      </c>
      <c r="AW283" s="6" t="str">
        <f>HYPERLINK("http://www.worldcat.org/oclc/6604451","WorldCat Record")</f>
        <v>WorldCat Record</v>
      </c>
      <c r="AX283" s="3" t="s">
        <v>2952</v>
      </c>
      <c r="AY283" s="3" t="s">
        <v>2953</v>
      </c>
      <c r="AZ283" s="3" t="s">
        <v>2954</v>
      </c>
      <c r="BA283" s="3" t="s">
        <v>2954</v>
      </c>
      <c r="BB283" s="3" t="s">
        <v>2955</v>
      </c>
      <c r="BC283" s="3" t="s">
        <v>82</v>
      </c>
      <c r="BD283" s="3" t="s">
        <v>70</v>
      </c>
      <c r="BE283" s="3" t="s">
        <v>2956</v>
      </c>
      <c r="BF283" s="3" t="s">
        <v>2955</v>
      </c>
      <c r="BG283" s="3" t="s">
        <v>2957</v>
      </c>
    </row>
    <row r="284" spans="1:59" ht="60" x14ac:dyDescent="0.25">
      <c r="A284" s="2" t="s">
        <v>59</v>
      </c>
      <c r="B284" s="2" t="s">
        <v>60</v>
      </c>
      <c r="C284" s="2" t="s">
        <v>2958</v>
      </c>
      <c r="D284" s="2" t="s">
        <v>2959</v>
      </c>
      <c r="E284" s="2" t="s">
        <v>2960</v>
      </c>
      <c r="G284" s="3" t="s">
        <v>63</v>
      </c>
      <c r="I284" s="3" t="s">
        <v>63</v>
      </c>
      <c r="J284" s="3" t="s">
        <v>63</v>
      </c>
      <c r="K284" s="3" t="s">
        <v>64</v>
      </c>
      <c r="L284" s="2" t="s">
        <v>2961</v>
      </c>
      <c r="M284" s="2" t="s">
        <v>2950</v>
      </c>
      <c r="N284" s="3" t="s">
        <v>2951</v>
      </c>
      <c r="P284" s="3" t="s">
        <v>66</v>
      </c>
      <c r="R284" s="3" t="s">
        <v>67</v>
      </c>
      <c r="S284" s="4">
        <v>16</v>
      </c>
      <c r="T284" s="4">
        <v>16</v>
      </c>
      <c r="U284" s="5" t="s">
        <v>988</v>
      </c>
      <c r="V284" s="5" t="s">
        <v>988</v>
      </c>
      <c r="W284" s="5" t="s">
        <v>69</v>
      </c>
      <c r="X284" s="5" t="s">
        <v>69</v>
      </c>
      <c r="Y284" s="4">
        <v>279</v>
      </c>
      <c r="Z284" s="4">
        <v>21</v>
      </c>
      <c r="AA284" s="4">
        <v>21</v>
      </c>
      <c r="AB284" s="4">
        <v>1</v>
      </c>
      <c r="AC284" s="4">
        <v>1</v>
      </c>
      <c r="AD284" s="4">
        <v>105</v>
      </c>
      <c r="AE284" s="4">
        <v>105</v>
      </c>
      <c r="AF284" s="4">
        <v>0</v>
      </c>
      <c r="AG284" s="4">
        <v>0</v>
      </c>
      <c r="AH284" s="4">
        <v>96</v>
      </c>
      <c r="AI284" s="4">
        <v>96</v>
      </c>
      <c r="AJ284" s="4">
        <v>18</v>
      </c>
      <c r="AK284" s="4">
        <v>18</v>
      </c>
      <c r="AL284" s="4">
        <v>53</v>
      </c>
      <c r="AM284" s="4">
        <v>53</v>
      </c>
      <c r="AN284" s="4">
        <v>0</v>
      </c>
      <c r="AO284" s="4">
        <v>0</v>
      </c>
      <c r="AP284" s="4">
        <v>18</v>
      </c>
      <c r="AQ284" s="4">
        <v>18</v>
      </c>
      <c r="AR284" s="3" t="s">
        <v>63</v>
      </c>
      <c r="AS284" s="3" t="s">
        <v>63</v>
      </c>
      <c r="AT284" s="3" t="s">
        <v>62</v>
      </c>
      <c r="AU284" s="6" t="str">
        <f>HYPERLINK("http://catalog.hathitrust.org/Record/000236433","HathiTrust Record")</f>
        <v>HathiTrust Record</v>
      </c>
      <c r="AV284" s="6" t="str">
        <f>HYPERLINK("http://mcgill.on.worldcat.org/oclc/6604461","Catalog Record")</f>
        <v>Catalog Record</v>
      </c>
      <c r="AW284" s="6" t="str">
        <f>HYPERLINK("http://www.worldcat.org/oclc/6604461","WorldCat Record")</f>
        <v>WorldCat Record</v>
      </c>
      <c r="AX284" s="3" t="s">
        <v>2962</v>
      </c>
      <c r="AY284" s="3" t="s">
        <v>2963</v>
      </c>
      <c r="AZ284" s="3" t="s">
        <v>2964</v>
      </c>
      <c r="BA284" s="3" t="s">
        <v>2964</v>
      </c>
      <c r="BB284" s="3" t="s">
        <v>2965</v>
      </c>
      <c r="BC284" s="3" t="s">
        <v>82</v>
      </c>
      <c r="BD284" s="3" t="s">
        <v>70</v>
      </c>
      <c r="BE284" s="3" t="s">
        <v>2966</v>
      </c>
      <c r="BF284" s="3" t="s">
        <v>2965</v>
      </c>
      <c r="BG284" s="3" t="s">
        <v>2967</v>
      </c>
    </row>
    <row r="285" spans="1:59" ht="75" x14ac:dyDescent="0.25">
      <c r="A285" s="2" t="s">
        <v>59</v>
      </c>
      <c r="B285" s="2" t="s">
        <v>60</v>
      </c>
      <c r="C285" s="2" t="s">
        <v>2968</v>
      </c>
      <c r="D285" s="2" t="s">
        <v>2969</v>
      </c>
      <c r="E285" s="2" t="s">
        <v>2970</v>
      </c>
      <c r="G285" s="3" t="s">
        <v>63</v>
      </c>
      <c r="I285" s="3" t="s">
        <v>63</v>
      </c>
      <c r="J285" s="3" t="s">
        <v>63</v>
      </c>
      <c r="K285" s="3" t="s">
        <v>64</v>
      </c>
      <c r="L285" s="2" t="s">
        <v>2971</v>
      </c>
      <c r="M285" s="2" t="s">
        <v>2972</v>
      </c>
      <c r="N285" s="3" t="s">
        <v>313</v>
      </c>
      <c r="P285" s="3" t="s">
        <v>66</v>
      </c>
      <c r="R285" s="3" t="s">
        <v>67</v>
      </c>
      <c r="S285" s="4">
        <v>1</v>
      </c>
      <c r="T285" s="4">
        <v>1</v>
      </c>
      <c r="U285" s="5" t="s">
        <v>2973</v>
      </c>
      <c r="V285" s="5" t="s">
        <v>2973</v>
      </c>
      <c r="W285" s="5" t="s">
        <v>69</v>
      </c>
      <c r="X285" s="5" t="s">
        <v>69</v>
      </c>
      <c r="Y285" s="4">
        <v>58</v>
      </c>
      <c r="Z285" s="4">
        <v>8</v>
      </c>
      <c r="AA285" s="4">
        <v>9</v>
      </c>
      <c r="AB285" s="4">
        <v>1</v>
      </c>
      <c r="AC285" s="4">
        <v>1</v>
      </c>
      <c r="AD285" s="4">
        <v>35</v>
      </c>
      <c r="AE285" s="4">
        <v>38</v>
      </c>
      <c r="AF285" s="4">
        <v>0</v>
      </c>
      <c r="AG285" s="4">
        <v>0</v>
      </c>
      <c r="AH285" s="4">
        <v>32</v>
      </c>
      <c r="AI285" s="4">
        <v>34</v>
      </c>
      <c r="AJ285" s="4">
        <v>7</v>
      </c>
      <c r="AK285" s="4">
        <v>7</v>
      </c>
      <c r="AL285" s="4">
        <v>22</v>
      </c>
      <c r="AM285" s="4">
        <v>23</v>
      </c>
      <c r="AN285" s="4">
        <v>0</v>
      </c>
      <c r="AO285" s="4">
        <v>0</v>
      </c>
      <c r="AP285" s="4">
        <v>7</v>
      </c>
      <c r="AQ285" s="4">
        <v>8</v>
      </c>
      <c r="AR285" s="3" t="s">
        <v>63</v>
      </c>
      <c r="AS285" s="3" t="s">
        <v>63</v>
      </c>
      <c r="AT285" s="3" t="s">
        <v>63</v>
      </c>
      <c r="AV285" s="6" t="str">
        <f>HYPERLINK("http://mcgill.on.worldcat.org/oclc/149100572","Catalog Record")</f>
        <v>Catalog Record</v>
      </c>
      <c r="AW285" s="6" t="str">
        <f>HYPERLINK("http://www.worldcat.org/oclc/149100572","WorldCat Record")</f>
        <v>WorldCat Record</v>
      </c>
      <c r="AX285" s="3" t="s">
        <v>2974</v>
      </c>
      <c r="AY285" s="3" t="s">
        <v>2975</v>
      </c>
      <c r="AZ285" s="3" t="s">
        <v>2976</v>
      </c>
      <c r="BA285" s="3" t="s">
        <v>2976</v>
      </c>
      <c r="BB285" s="3" t="s">
        <v>2977</v>
      </c>
      <c r="BC285" s="3" t="s">
        <v>82</v>
      </c>
      <c r="BD285" s="3" t="s">
        <v>70</v>
      </c>
      <c r="BE285" s="3" t="s">
        <v>2978</v>
      </c>
      <c r="BF285" s="3" t="s">
        <v>2977</v>
      </c>
      <c r="BG285" s="3" t="s">
        <v>2979</v>
      </c>
    </row>
    <row r="286" spans="1:59" ht="60" x14ac:dyDescent="0.25">
      <c r="A286" s="2" t="s">
        <v>59</v>
      </c>
      <c r="B286" s="2" t="s">
        <v>60</v>
      </c>
      <c r="C286" s="2" t="s">
        <v>2980</v>
      </c>
      <c r="D286" s="2" t="s">
        <v>2981</v>
      </c>
      <c r="E286" s="2" t="s">
        <v>2982</v>
      </c>
      <c r="G286" s="3" t="s">
        <v>63</v>
      </c>
      <c r="I286" s="3" t="s">
        <v>63</v>
      </c>
      <c r="J286" s="3" t="s">
        <v>63</v>
      </c>
      <c r="K286" s="3" t="s">
        <v>64</v>
      </c>
      <c r="M286" s="2" t="s">
        <v>2983</v>
      </c>
      <c r="N286" s="3" t="s">
        <v>76</v>
      </c>
      <c r="P286" s="3" t="s">
        <v>66</v>
      </c>
      <c r="Q286" s="2" t="s">
        <v>2984</v>
      </c>
      <c r="R286" s="3" t="s">
        <v>67</v>
      </c>
      <c r="S286" s="4">
        <v>0</v>
      </c>
      <c r="T286" s="4">
        <v>0</v>
      </c>
      <c r="W286" s="5" t="s">
        <v>69</v>
      </c>
      <c r="X286" s="5" t="s">
        <v>69</v>
      </c>
      <c r="Y286" s="4">
        <v>72</v>
      </c>
      <c r="Z286" s="4">
        <v>10</v>
      </c>
      <c r="AA286" s="4">
        <v>44</v>
      </c>
      <c r="AB286" s="4">
        <v>1</v>
      </c>
      <c r="AC286" s="4">
        <v>8</v>
      </c>
      <c r="AD286" s="4">
        <v>42</v>
      </c>
      <c r="AE286" s="4">
        <v>77</v>
      </c>
      <c r="AF286" s="4">
        <v>0</v>
      </c>
      <c r="AG286" s="4">
        <v>1</v>
      </c>
      <c r="AH286" s="4">
        <v>38</v>
      </c>
      <c r="AI286" s="4">
        <v>62</v>
      </c>
      <c r="AJ286" s="4">
        <v>8</v>
      </c>
      <c r="AK286" s="4">
        <v>12</v>
      </c>
      <c r="AL286" s="4">
        <v>25</v>
      </c>
      <c r="AM286" s="4">
        <v>39</v>
      </c>
      <c r="AN286" s="4">
        <v>0</v>
      </c>
      <c r="AO286" s="4">
        <v>0</v>
      </c>
      <c r="AP286" s="4">
        <v>8</v>
      </c>
      <c r="AQ286" s="4">
        <v>19</v>
      </c>
      <c r="AR286" s="3" t="s">
        <v>63</v>
      </c>
      <c r="AS286" s="3" t="s">
        <v>63</v>
      </c>
      <c r="AT286" s="3" t="s">
        <v>63</v>
      </c>
      <c r="AV286" s="6" t="str">
        <f>HYPERLINK("http://mcgill.on.worldcat.org/oclc/690088378","Catalog Record")</f>
        <v>Catalog Record</v>
      </c>
      <c r="AW286" s="6" t="str">
        <f>HYPERLINK("http://www.worldcat.org/oclc/690088378","WorldCat Record")</f>
        <v>WorldCat Record</v>
      </c>
      <c r="AX286" s="3" t="s">
        <v>2985</v>
      </c>
      <c r="AY286" s="3" t="s">
        <v>2986</v>
      </c>
      <c r="AZ286" s="3" t="s">
        <v>2987</v>
      </c>
      <c r="BA286" s="3" t="s">
        <v>2987</v>
      </c>
      <c r="BB286" s="3" t="s">
        <v>2988</v>
      </c>
      <c r="BC286" s="3" t="s">
        <v>82</v>
      </c>
      <c r="BD286" s="3" t="s">
        <v>70</v>
      </c>
      <c r="BE286" s="3" t="s">
        <v>2989</v>
      </c>
      <c r="BF286" s="3" t="s">
        <v>2988</v>
      </c>
      <c r="BG286" s="3" t="s">
        <v>2990</v>
      </c>
    </row>
    <row r="287" spans="1:59" ht="60" x14ac:dyDescent="0.25">
      <c r="A287" s="2" t="s">
        <v>59</v>
      </c>
      <c r="B287" s="2" t="s">
        <v>60</v>
      </c>
      <c r="C287" s="2" t="s">
        <v>2991</v>
      </c>
      <c r="D287" s="2" t="s">
        <v>2992</v>
      </c>
      <c r="E287" s="2" t="s">
        <v>2993</v>
      </c>
      <c r="G287" s="3" t="s">
        <v>63</v>
      </c>
      <c r="I287" s="3" t="s">
        <v>62</v>
      </c>
      <c r="J287" s="3" t="s">
        <v>63</v>
      </c>
      <c r="K287" s="3" t="s">
        <v>64</v>
      </c>
      <c r="L287" s="2" t="s">
        <v>2994</v>
      </c>
      <c r="M287" s="2" t="s">
        <v>2995</v>
      </c>
      <c r="N287" s="3" t="s">
        <v>1296</v>
      </c>
      <c r="P287" s="3" t="s">
        <v>66</v>
      </c>
      <c r="R287" s="3" t="s">
        <v>67</v>
      </c>
      <c r="S287" s="4">
        <v>1</v>
      </c>
      <c r="T287" s="4">
        <v>5</v>
      </c>
      <c r="U287" s="5" t="s">
        <v>988</v>
      </c>
      <c r="V287" s="5" t="s">
        <v>988</v>
      </c>
      <c r="W287" s="5" t="s">
        <v>69</v>
      </c>
      <c r="X287" s="5" t="s">
        <v>69</v>
      </c>
      <c r="Y287" s="4">
        <v>411</v>
      </c>
      <c r="Z287" s="4">
        <v>27</v>
      </c>
      <c r="AA287" s="4">
        <v>32</v>
      </c>
      <c r="AB287" s="4">
        <v>2</v>
      </c>
      <c r="AC287" s="4">
        <v>7</v>
      </c>
      <c r="AD287" s="4">
        <v>115</v>
      </c>
      <c r="AE287" s="4">
        <v>119</v>
      </c>
      <c r="AF287" s="4">
        <v>1</v>
      </c>
      <c r="AG287" s="4">
        <v>4</v>
      </c>
      <c r="AH287" s="4">
        <v>97</v>
      </c>
      <c r="AI287" s="4">
        <v>99</v>
      </c>
      <c r="AJ287" s="4">
        <v>19</v>
      </c>
      <c r="AK287" s="4">
        <v>22</v>
      </c>
      <c r="AL287" s="4">
        <v>54</v>
      </c>
      <c r="AM287" s="4">
        <v>54</v>
      </c>
      <c r="AN287" s="4">
        <v>0</v>
      </c>
      <c r="AO287" s="4">
        <v>0</v>
      </c>
      <c r="AP287" s="4">
        <v>23</v>
      </c>
      <c r="AQ287" s="4">
        <v>25</v>
      </c>
      <c r="AR287" s="3" t="s">
        <v>63</v>
      </c>
      <c r="AS287" s="3" t="s">
        <v>63</v>
      </c>
      <c r="AT287" s="3" t="s">
        <v>63</v>
      </c>
      <c r="AV287" s="6" t="str">
        <f>HYPERLINK("http://mcgill.on.worldcat.org/oclc/59311","Catalog Record")</f>
        <v>Catalog Record</v>
      </c>
      <c r="AW287" s="6" t="str">
        <f>HYPERLINK("http://www.worldcat.org/oclc/59311","WorldCat Record")</f>
        <v>WorldCat Record</v>
      </c>
      <c r="AX287" s="3" t="s">
        <v>2996</v>
      </c>
      <c r="AY287" s="3" t="s">
        <v>2997</v>
      </c>
      <c r="AZ287" s="3" t="s">
        <v>2998</v>
      </c>
      <c r="BA287" s="3" t="s">
        <v>2998</v>
      </c>
      <c r="BB287" s="3" t="s">
        <v>2999</v>
      </c>
      <c r="BC287" s="3" t="s">
        <v>82</v>
      </c>
      <c r="BD287" s="3" t="s">
        <v>70</v>
      </c>
      <c r="BE287" s="3" t="s">
        <v>3000</v>
      </c>
      <c r="BF287" s="3" t="s">
        <v>2999</v>
      </c>
      <c r="BG287" s="3" t="s">
        <v>3001</v>
      </c>
    </row>
    <row r="288" spans="1:59" ht="60" x14ac:dyDescent="0.25">
      <c r="A288" s="2" t="s">
        <v>59</v>
      </c>
      <c r="B288" s="2" t="s">
        <v>60</v>
      </c>
      <c r="C288" s="2" t="s">
        <v>2991</v>
      </c>
      <c r="D288" s="2" t="s">
        <v>2992</v>
      </c>
      <c r="E288" s="2" t="s">
        <v>2993</v>
      </c>
      <c r="G288" s="3" t="s">
        <v>63</v>
      </c>
      <c r="I288" s="3" t="s">
        <v>62</v>
      </c>
      <c r="J288" s="3" t="s">
        <v>63</v>
      </c>
      <c r="K288" s="3" t="s">
        <v>64</v>
      </c>
      <c r="L288" s="2" t="s">
        <v>2994</v>
      </c>
      <c r="M288" s="2" t="s">
        <v>2995</v>
      </c>
      <c r="N288" s="3" t="s">
        <v>1296</v>
      </c>
      <c r="P288" s="3" t="s">
        <v>66</v>
      </c>
      <c r="R288" s="3" t="s">
        <v>67</v>
      </c>
      <c r="S288" s="4">
        <v>4</v>
      </c>
      <c r="T288" s="4">
        <v>5</v>
      </c>
      <c r="U288" s="5" t="s">
        <v>3002</v>
      </c>
      <c r="V288" s="5" t="s">
        <v>988</v>
      </c>
      <c r="W288" s="5" t="s">
        <v>69</v>
      </c>
      <c r="X288" s="5" t="s">
        <v>69</v>
      </c>
      <c r="Y288" s="4">
        <v>411</v>
      </c>
      <c r="Z288" s="4">
        <v>27</v>
      </c>
      <c r="AA288" s="4">
        <v>32</v>
      </c>
      <c r="AB288" s="4">
        <v>2</v>
      </c>
      <c r="AC288" s="4">
        <v>7</v>
      </c>
      <c r="AD288" s="4">
        <v>115</v>
      </c>
      <c r="AE288" s="4">
        <v>119</v>
      </c>
      <c r="AF288" s="4">
        <v>1</v>
      </c>
      <c r="AG288" s="4">
        <v>4</v>
      </c>
      <c r="AH288" s="4">
        <v>97</v>
      </c>
      <c r="AI288" s="4">
        <v>99</v>
      </c>
      <c r="AJ288" s="4">
        <v>19</v>
      </c>
      <c r="AK288" s="4">
        <v>22</v>
      </c>
      <c r="AL288" s="4">
        <v>54</v>
      </c>
      <c r="AM288" s="4">
        <v>54</v>
      </c>
      <c r="AN288" s="4">
        <v>0</v>
      </c>
      <c r="AO288" s="4">
        <v>0</v>
      </c>
      <c r="AP288" s="4">
        <v>23</v>
      </c>
      <c r="AQ288" s="4">
        <v>25</v>
      </c>
      <c r="AR288" s="3" t="s">
        <v>63</v>
      </c>
      <c r="AS288" s="3" t="s">
        <v>63</v>
      </c>
      <c r="AT288" s="3" t="s">
        <v>63</v>
      </c>
      <c r="AV288" s="6" t="str">
        <f>HYPERLINK("http://mcgill.on.worldcat.org/oclc/59311","Catalog Record")</f>
        <v>Catalog Record</v>
      </c>
      <c r="AW288" s="6" t="str">
        <f>HYPERLINK("http://www.worldcat.org/oclc/59311","WorldCat Record")</f>
        <v>WorldCat Record</v>
      </c>
      <c r="AX288" s="3" t="s">
        <v>2996</v>
      </c>
      <c r="AY288" s="3" t="s">
        <v>2997</v>
      </c>
      <c r="AZ288" s="3" t="s">
        <v>2998</v>
      </c>
      <c r="BA288" s="3" t="s">
        <v>2998</v>
      </c>
      <c r="BB288" s="3" t="s">
        <v>3003</v>
      </c>
      <c r="BC288" s="3" t="s">
        <v>82</v>
      </c>
      <c r="BD288" s="3" t="s">
        <v>70</v>
      </c>
      <c r="BE288" s="3" t="s">
        <v>3000</v>
      </c>
      <c r="BF288" s="3" t="s">
        <v>3003</v>
      </c>
      <c r="BG288" s="3" t="s">
        <v>3004</v>
      </c>
    </row>
    <row r="289" spans="1:59" ht="60" x14ac:dyDescent="0.25">
      <c r="A289" s="2" t="s">
        <v>59</v>
      </c>
      <c r="B289" s="2" t="s">
        <v>60</v>
      </c>
      <c r="C289" s="2" t="s">
        <v>3005</v>
      </c>
      <c r="D289" s="2" t="s">
        <v>3006</v>
      </c>
      <c r="E289" s="2" t="s">
        <v>3007</v>
      </c>
      <c r="G289" s="3" t="s">
        <v>63</v>
      </c>
      <c r="I289" s="3" t="s">
        <v>63</v>
      </c>
      <c r="J289" s="3" t="s">
        <v>63</v>
      </c>
      <c r="K289" s="3" t="s">
        <v>64</v>
      </c>
      <c r="L289" s="2" t="s">
        <v>3008</v>
      </c>
      <c r="M289" s="2" t="s">
        <v>3009</v>
      </c>
      <c r="N289" s="3" t="s">
        <v>300</v>
      </c>
      <c r="P289" s="3" t="s">
        <v>66</v>
      </c>
      <c r="Q289" s="2" t="s">
        <v>3010</v>
      </c>
      <c r="R289" s="3" t="s">
        <v>67</v>
      </c>
      <c r="S289" s="4">
        <v>5</v>
      </c>
      <c r="T289" s="4">
        <v>5</v>
      </c>
      <c r="U289" s="5" t="s">
        <v>2731</v>
      </c>
      <c r="V289" s="5" t="s">
        <v>2731</v>
      </c>
      <c r="W289" s="5" t="s">
        <v>69</v>
      </c>
      <c r="X289" s="5" t="s">
        <v>69</v>
      </c>
      <c r="Y289" s="4">
        <v>194</v>
      </c>
      <c r="Z289" s="4">
        <v>14</v>
      </c>
      <c r="AA289" s="4">
        <v>17</v>
      </c>
      <c r="AB289" s="4">
        <v>1</v>
      </c>
      <c r="AC289" s="4">
        <v>3</v>
      </c>
      <c r="AD289" s="4">
        <v>69</v>
      </c>
      <c r="AE289" s="4">
        <v>73</v>
      </c>
      <c r="AF289" s="4">
        <v>0</v>
      </c>
      <c r="AG289" s="4">
        <v>0</v>
      </c>
      <c r="AH289" s="4">
        <v>63</v>
      </c>
      <c r="AI289" s="4">
        <v>67</v>
      </c>
      <c r="AJ289" s="4">
        <v>11</v>
      </c>
      <c r="AK289" s="4">
        <v>12</v>
      </c>
      <c r="AL289" s="4">
        <v>35</v>
      </c>
      <c r="AM289" s="4">
        <v>36</v>
      </c>
      <c r="AN289" s="4">
        <v>0</v>
      </c>
      <c r="AO289" s="4">
        <v>0</v>
      </c>
      <c r="AP289" s="4">
        <v>11</v>
      </c>
      <c r="AQ289" s="4">
        <v>12</v>
      </c>
      <c r="AR289" s="3" t="s">
        <v>63</v>
      </c>
      <c r="AS289" s="3" t="s">
        <v>63</v>
      </c>
      <c r="AT289" s="3" t="s">
        <v>63</v>
      </c>
      <c r="AV289" s="6" t="str">
        <f>HYPERLINK("http://mcgill.on.worldcat.org/oclc/1675277","Catalog Record")</f>
        <v>Catalog Record</v>
      </c>
      <c r="AW289" s="6" t="str">
        <f>HYPERLINK("http://www.worldcat.org/oclc/1675277","WorldCat Record")</f>
        <v>WorldCat Record</v>
      </c>
      <c r="AX289" s="3" t="s">
        <v>3011</v>
      </c>
      <c r="AY289" s="3" t="s">
        <v>3012</v>
      </c>
      <c r="AZ289" s="3" t="s">
        <v>3013</v>
      </c>
      <c r="BA289" s="3" t="s">
        <v>3013</v>
      </c>
      <c r="BB289" s="3" t="s">
        <v>3014</v>
      </c>
      <c r="BC289" s="3" t="s">
        <v>82</v>
      </c>
      <c r="BD289" s="3" t="s">
        <v>70</v>
      </c>
      <c r="BF289" s="3" t="s">
        <v>3014</v>
      </c>
      <c r="BG289" s="3" t="s">
        <v>3015</v>
      </c>
    </row>
    <row r="290" spans="1:59" ht="60" x14ac:dyDescent="0.25">
      <c r="A290" s="2" t="s">
        <v>59</v>
      </c>
      <c r="B290" s="2" t="s">
        <v>60</v>
      </c>
      <c r="C290" s="2" t="s">
        <v>3016</v>
      </c>
      <c r="D290" s="2" t="s">
        <v>3017</v>
      </c>
      <c r="E290" s="2" t="s">
        <v>3018</v>
      </c>
      <c r="G290" s="3" t="s">
        <v>63</v>
      </c>
      <c r="I290" s="3" t="s">
        <v>63</v>
      </c>
      <c r="J290" s="3" t="s">
        <v>63</v>
      </c>
      <c r="K290" s="3" t="s">
        <v>64</v>
      </c>
      <c r="L290" s="2" t="s">
        <v>3019</v>
      </c>
      <c r="M290" s="2" t="s">
        <v>3020</v>
      </c>
      <c r="N290" s="3" t="s">
        <v>313</v>
      </c>
      <c r="P290" s="3" t="s">
        <v>90</v>
      </c>
      <c r="Q290" s="2" t="s">
        <v>3021</v>
      </c>
      <c r="R290" s="3" t="s">
        <v>67</v>
      </c>
      <c r="S290" s="4">
        <v>0</v>
      </c>
      <c r="T290" s="4">
        <v>0</v>
      </c>
      <c r="W290" s="5" t="s">
        <v>69</v>
      </c>
      <c r="X290" s="5" t="s">
        <v>69</v>
      </c>
      <c r="Y290" s="4">
        <v>2</v>
      </c>
      <c r="Z290" s="4">
        <v>1</v>
      </c>
      <c r="AA290" s="4">
        <v>1</v>
      </c>
      <c r="AB290" s="4">
        <v>1</v>
      </c>
      <c r="AC290" s="4">
        <v>1</v>
      </c>
      <c r="AD290" s="4">
        <v>1</v>
      </c>
      <c r="AE290" s="4">
        <v>1</v>
      </c>
      <c r="AF290" s="4">
        <v>0</v>
      </c>
      <c r="AG290" s="4">
        <v>0</v>
      </c>
      <c r="AH290" s="4">
        <v>1</v>
      </c>
      <c r="AI290" s="4">
        <v>1</v>
      </c>
      <c r="AJ290" s="4">
        <v>0</v>
      </c>
      <c r="AK290" s="4">
        <v>0</v>
      </c>
      <c r="AL290" s="4">
        <v>1</v>
      </c>
      <c r="AM290" s="4">
        <v>1</v>
      </c>
      <c r="AN290" s="4">
        <v>0</v>
      </c>
      <c r="AO290" s="4">
        <v>0</v>
      </c>
      <c r="AP290" s="4">
        <v>0</v>
      </c>
      <c r="AQ290" s="4">
        <v>0</v>
      </c>
      <c r="AR290" s="3" t="s">
        <v>63</v>
      </c>
      <c r="AS290" s="3" t="s">
        <v>63</v>
      </c>
      <c r="AT290" s="3" t="s">
        <v>63</v>
      </c>
      <c r="AV290" s="6" t="str">
        <f>HYPERLINK("http://mcgill.on.worldcat.org/oclc/728241536","Catalog Record")</f>
        <v>Catalog Record</v>
      </c>
      <c r="AW290" s="6" t="str">
        <f>HYPERLINK("http://www.worldcat.org/oclc/728241536","WorldCat Record")</f>
        <v>WorldCat Record</v>
      </c>
      <c r="AX290" s="3" t="s">
        <v>3022</v>
      </c>
      <c r="AY290" s="3" t="s">
        <v>3023</v>
      </c>
      <c r="AZ290" s="3" t="s">
        <v>3024</v>
      </c>
      <c r="BA290" s="3" t="s">
        <v>3024</v>
      </c>
      <c r="BB290" s="3" t="s">
        <v>3025</v>
      </c>
      <c r="BC290" s="3" t="s">
        <v>82</v>
      </c>
      <c r="BD290" s="3" t="s">
        <v>70</v>
      </c>
      <c r="BE290" s="3" t="s">
        <v>3026</v>
      </c>
      <c r="BF290" s="3" t="s">
        <v>3025</v>
      </c>
      <c r="BG290" s="3" t="s">
        <v>3027</v>
      </c>
    </row>
    <row r="291" spans="1:59" ht="60" x14ac:dyDescent="0.25">
      <c r="A291" s="2" t="s">
        <v>59</v>
      </c>
      <c r="B291" s="2" t="s">
        <v>60</v>
      </c>
      <c r="C291" s="2" t="s">
        <v>3028</v>
      </c>
      <c r="D291" s="2" t="s">
        <v>3029</v>
      </c>
      <c r="E291" s="2" t="s">
        <v>3030</v>
      </c>
      <c r="G291" s="3" t="s">
        <v>62</v>
      </c>
      <c r="I291" s="3" t="s">
        <v>63</v>
      </c>
      <c r="J291" s="3" t="s">
        <v>63</v>
      </c>
      <c r="K291" s="3" t="s">
        <v>64</v>
      </c>
      <c r="L291" s="2" t="s">
        <v>3031</v>
      </c>
      <c r="M291" s="2" t="s">
        <v>3032</v>
      </c>
      <c r="N291" s="3" t="s">
        <v>313</v>
      </c>
      <c r="P291" s="3" t="s">
        <v>66</v>
      </c>
      <c r="Q291" s="2" t="s">
        <v>3033</v>
      </c>
      <c r="R291" s="3" t="s">
        <v>67</v>
      </c>
      <c r="S291" s="4">
        <v>1</v>
      </c>
      <c r="T291" s="4">
        <v>1</v>
      </c>
      <c r="U291" s="5" t="s">
        <v>1961</v>
      </c>
      <c r="V291" s="5" t="s">
        <v>1961</v>
      </c>
      <c r="W291" s="5" t="s">
        <v>69</v>
      </c>
      <c r="X291" s="5" t="s">
        <v>69</v>
      </c>
      <c r="Y291" s="4">
        <v>17</v>
      </c>
      <c r="Z291" s="4">
        <v>1</v>
      </c>
      <c r="AA291" s="4">
        <v>1</v>
      </c>
      <c r="AB291" s="4">
        <v>1</v>
      </c>
      <c r="AC291" s="4">
        <v>1</v>
      </c>
      <c r="AD291" s="4">
        <v>12</v>
      </c>
      <c r="AE291" s="4">
        <v>12</v>
      </c>
      <c r="AF291" s="4">
        <v>0</v>
      </c>
      <c r="AG291" s="4">
        <v>0</v>
      </c>
      <c r="AH291" s="4">
        <v>11</v>
      </c>
      <c r="AI291" s="4">
        <v>11</v>
      </c>
      <c r="AJ291" s="4">
        <v>0</v>
      </c>
      <c r="AK291" s="4">
        <v>0</v>
      </c>
      <c r="AL291" s="4">
        <v>12</v>
      </c>
      <c r="AM291" s="4">
        <v>12</v>
      </c>
      <c r="AN291" s="4">
        <v>0</v>
      </c>
      <c r="AO291" s="4">
        <v>0</v>
      </c>
      <c r="AP291" s="4">
        <v>0</v>
      </c>
      <c r="AQ291" s="4">
        <v>0</v>
      </c>
      <c r="AR291" s="3" t="s">
        <v>63</v>
      </c>
      <c r="AS291" s="3" t="s">
        <v>63</v>
      </c>
      <c r="AT291" s="3" t="s">
        <v>62</v>
      </c>
      <c r="AU291" s="6" t="str">
        <f>HYPERLINK("http://catalog.hathitrust.org/Record/009459901","HathiTrust Record")</f>
        <v>HathiTrust Record</v>
      </c>
      <c r="AV291" s="6" t="str">
        <f>HYPERLINK("http://mcgill.on.worldcat.org/oclc/702676005","Catalog Record")</f>
        <v>Catalog Record</v>
      </c>
      <c r="AW291" s="6" t="str">
        <f>HYPERLINK("http://www.worldcat.org/oclc/702676005","WorldCat Record")</f>
        <v>WorldCat Record</v>
      </c>
      <c r="AX291" s="3" t="s">
        <v>3034</v>
      </c>
      <c r="AY291" s="3" t="s">
        <v>3035</v>
      </c>
      <c r="AZ291" s="3" t="s">
        <v>3036</v>
      </c>
      <c r="BA291" s="3" t="s">
        <v>3036</v>
      </c>
      <c r="BB291" s="3" t="s">
        <v>3037</v>
      </c>
      <c r="BC291" s="3" t="s">
        <v>82</v>
      </c>
      <c r="BD291" s="3" t="s">
        <v>70</v>
      </c>
      <c r="BE291" s="3" t="s">
        <v>3038</v>
      </c>
      <c r="BF291" s="3" t="s">
        <v>3037</v>
      </c>
      <c r="BG291" s="3" t="s">
        <v>3039</v>
      </c>
    </row>
    <row r="292" spans="1:59" ht="60" x14ac:dyDescent="0.25">
      <c r="A292" s="2" t="s">
        <v>59</v>
      </c>
      <c r="B292" s="2" t="s">
        <v>60</v>
      </c>
      <c r="C292" s="2" t="s">
        <v>3040</v>
      </c>
      <c r="D292" s="2" t="s">
        <v>3041</v>
      </c>
      <c r="E292" s="2" t="s">
        <v>3042</v>
      </c>
      <c r="G292" s="3" t="s">
        <v>63</v>
      </c>
      <c r="I292" s="3" t="s">
        <v>63</v>
      </c>
      <c r="J292" s="3" t="s">
        <v>63</v>
      </c>
      <c r="K292" s="3" t="s">
        <v>64</v>
      </c>
      <c r="L292" s="2" t="s">
        <v>1994</v>
      </c>
      <c r="M292" s="2" t="s">
        <v>3043</v>
      </c>
      <c r="N292" s="3" t="s">
        <v>204</v>
      </c>
      <c r="P292" s="3" t="s">
        <v>66</v>
      </c>
      <c r="Q292" s="2" t="s">
        <v>3044</v>
      </c>
      <c r="R292" s="3" t="s">
        <v>67</v>
      </c>
      <c r="S292" s="4">
        <v>6</v>
      </c>
      <c r="T292" s="4">
        <v>6</v>
      </c>
      <c r="U292" s="5" t="s">
        <v>1961</v>
      </c>
      <c r="V292" s="5" t="s">
        <v>1961</v>
      </c>
      <c r="W292" s="5" t="s">
        <v>69</v>
      </c>
      <c r="X292" s="5" t="s">
        <v>69</v>
      </c>
      <c r="Y292" s="4">
        <v>67</v>
      </c>
      <c r="Z292" s="4">
        <v>7</v>
      </c>
      <c r="AA292" s="4">
        <v>8</v>
      </c>
      <c r="AB292" s="4">
        <v>1</v>
      </c>
      <c r="AC292" s="4">
        <v>2</v>
      </c>
      <c r="AD292" s="4">
        <v>45</v>
      </c>
      <c r="AE292" s="4">
        <v>46</v>
      </c>
      <c r="AF292" s="4">
        <v>0</v>
      </c>
      <c r="AG292" s="4">
        <v>1</v>
      </c>
      <c r="AH292" s="4">
        <v>42</v>
      </c>
      <c r="AI292" s="4">
        <v>42</v>
      </c>
      <c r="AJ292" s="4">
        <v>5</v>
      </c>
      <c r="AK292" s="4">
        <v>6</v>
      </c>
      <c r="AL292" s="4">
        <v>28</v>
      </c>
      <c r="AM292" s="4">
        <v>28</v>
      </c>
      <c r="AN292" s="4">
        <v>0</v>
      </c>
      <c r="AO292" s="4">
        <v>0</v>
      </c>
      <c r="AP292" s="4">
        <v>5</v>
      </c>
      <c r="AQ292" s="4">
        <v>5</v>
      </c>
      <c r="AR292" s="3" t="s">
        <v>63</v>
      </c>
      <c r="AS292" s="3" t="s">
        <v>63</v>
      </c>
      <c r="AT292" s="3" t="s">
        <v>63</v>
      </c>
      <c r="AV292" s="6" t="str">
        <f>HYPERLINK("http://mcgill.on.worldcat.org/oclc/35314866","Catalog Record")</f>
        <v>Catalog Record</v>
      </c>
      <c r="AW292" s="6" t="str">
        <f>HYPERLINK("http://www.worldcat.org/oclc/35314866","WorldCat Record")</f>
        <v>WorldCat Record</v>
      </c>
      <c r="AX292" s="3" t="s">
        <v>3045</v>
      </c>
      <c r="AY292" s="3" t="s">
        <v>3046</v>
      </c>
      <c r="AZ292" s="3" t="s">
        <v>3047</v>
      </c>
      <c r="BA292" s="3" t="s">
        <v>3047</v>
      </c>
      <c r="BB292" s="3" t="s">
        <v>3048</v>
      </c>
      <c r="BC292" s="3" t="s">
        <v>82</v>
      </c>
      <c r="BD292" s="3" t="s">
        <v>70</v>
      </c>
      <c r="BE292" s="3" t="s">
        <v>3049</v>
      </c>
      <c r="BF292" s="3" t="s">
        <v>3048</v>
      </c>
      <c r="BG292" s="3" t="s">
        <v>3050</v>
      </c>
    </row>
    <row r="293" spans="1:59" ht="60" x14ac:dyDescent="0.25">
      <c r="A293" s="2" t="s">
        <v>59</v>
      </c>
      <c r="B293" s="2" t="s">
        <v>60</v>
      </c>
      <c r="C293" s="2" t="s">
        <v>3051</v>
      </c>
      <c r="D293" s="2" t="s">
        <v>3052</v>
      </c>
      <c r="E293" s="2" t="s">
        <v>3053</v>
      </c>
      <c r="G293" s="3" t="s">
        <v>63</v>
      </c>
      <c r="I293" s="3" t="s">
        <v>63</v>
      </c>
      <c r="J293" s="3" t="s">
        <v>63</v>
      </c>
      <c r="K293" s="3" t="s">
        <v>64</v>
      </c>
      <c r="L293" s="2" t="s">
        <v>3054</v>
      </c>
      <c r="M293" s="2" t="s">
        <v>3055</v>
      </c>
      <c r="N293" s="3" t="s">
        <v>1296</v>
      </c>
      <c r="P293" s="3" t="s">
        <v>66</v>
      </c>
      <c r="Q293" s="2" t="s">
        <v>3056</v>
      </c>
      <c r="R293" s="3" t="s">
        <v>67</v>
      </c>
      <c r="S293" s="4">
        <v>2</v>
      </c>
      <c r="T293" s="4">
        <v>2</v>
      </c>
      <c r="U293" s="5" t="s">
        <v>3057</v>
      </c>
      <c r="V293" s="5" t="s">
        <v>3057</v>
      </c>
      <c r="W293" s="5" t="s">
        <v>69</v>
      </c>
      <c r="X293" s="5" t="s">
        <v>69</v>
      </c>
      <c r="Y293" s="4">
        <v>273</v>
      </c>
      <c r="Z293" s="4">
        <v>21</v>
      </c>
      <c r="AA293" s="4">
        <v>24</v>
      </c>
      <c r="AB293" s="4">
        <v>2</v>
      </c>
      <c r="AC293" s="4">
        <v>3</v>
      </c>
      <c r="AD293" s="4">
        <v>95</v>
      </c>
      <c r="AE293" s="4">
        <v>97</v>
      </c>
      <c r="AF293" s="4">
        <v>1</v>
      </c>
      <c r="AG293" s="4">
        <v>2</v>
      </c>
      <c r="AH293" s="4">
        <v>82</v>
      </c>
      <c r="AI293" s="4">
        <v>83</v>
      </c>
      <c r="AJ293" s="4">
        <v>15</v>
      </c>
      <c r="AK293" s="4">
        <v>17</v>
      </c>
      <c r="AL293" s="4">
        <v>45</v>
      </c>
      <c r="AM293" s="4">
        <v>45</v>
      </c>
      <c r="AN293" s="4">
        <v>0</v>
      </c>
      <c r="AO293" s="4">
        <v>0</v>
      </c>
      <c r="AP293" s="4">
        <v>18</v>
      </c>
      <c r="AQ293" s="4">
        <v>19</v>
      </c>
      <c r="AR293" s="3" t="s">
        <v>63</v>
      </c>
      <c r="AS293" s="3" t="s">
        <v>63</v>
      </c>
      <c r="AT293" s="3" t="s">
        <v>62</v>
      </c>
      <c r="AU293" s="6" t="str">
        <f>HYPERLINK("http://catalog.hathitrust.org/Record/001679707","HathiTrust Record")</f>
        <v>HathiTrust Record</v>
      </c>
      <c r="AV293" s="6" t="str">
        <f>HYPERLINK("http://mcgill.on.worldcat.org/oclc/22539","Catalog Record")</f>
        <v>Catalog Record</v>
      </c>
      <c r="AW293" s="6" t="str">
        <f>HYPERLINK("http://www.worldcat.org/oclc/22539","WorldCat Record")</f>
        <v>WorldCat Record</v>
      </c>
      <c r="AX293" s="3" t="s">
        <v>3058</v>
      </c>
      <c r="AY293" s="3" t="s">
        <v>3059</v>
      </c>
      <c r="AZ293" s="3" t="s">
        <v>3060</v>
      </c>
      <c r="BA293" s="3" t="s">
        <v>3060</v>
      </c>
      <c r="BB293" s="3" t="s">
        <v>3061</v>
      </c>
      <c r="BC293" s="3" t="s">
        <v>82</v>
      </c>
      <c r="BD293" s="3" t="s">
        <v>70</v>
      </c>
      <c r="BE293" s="3" t="s">
        <v>3062</v>
      </c>
      <c r="BF293" s="3" t="s">
        <v>3061</v>
      </c>
      <c r="BG293" s="3" t="s">
        <v>3063</v>
      </c>
    </row>
    <row r="294" spans="1:59" ht="60" x14ac:dyDescent="0.25">
      <c r="A294" s="2" t="s">
        <v>59</v>
      </c>
      <c r="B294" s="2" t="s">
        <v>60</v>
      </c>
      <c r="C294" s="2" t="s">
        <v>3064</v>
      </c>
      <c r="D294" s="2" t="s">
        <v>3065</v>
      </c>
      <c r="E294" s="2" t="s">
        <v>3066</v>
      </c>
      <c r="G294" s="3" t="s">
        <v>63</v>
      </c>
      <c r="I294" s="3" t="s">
        <v>63</v>
      </c>
      <c r="J294" s="3" t="s">
        <v>63</v>
      </c>
      <c r="K294" s="3" t="s">
        <v>64</v>
      </c>
      <c r="L294" s="2" t="s">
        <v>3067</v>
      </c>
      <c r="M294" s="2" t="s">
        <v>3068</v>
      </c>
      <c r="N294" s="3" t="s">
        <v>247</v>
      </c>
      <c r="P294" s="3" t="s">
        <v>66</v>
      </c>
      <c r="R294" s="3" t="s">
        <v>67</v>
      </c>
      <c r="S294" s="4">
        <v>9</v>
      </c>
      <c r="T294" s="4">
        <v>9</v>
      </c>
      <c r="U294" s="5" t="s">
        <v>3069</v>
      </c>
      <c r="V294" s="5" t="s">
        <v>3069</v>
      </c>
      <c r="W294" s="5" t="s">
        <v>69</v>
      </c>
      <c r="X294" s="5" t="s">
        <v>69</v>
      </c>
      <c r="Y294" s="4">
        <v>208</v>
      </c>
      <c r="Z294" s="4">
        <v>18</v>
      </c>
      <c r="AA294" s="4">
        <v>18</v>
      </c>
      <c r="AB294" s="4">
        <v>2</v>
      </c>
      <c r="AC294" s="4">
        <v>2</v>
      </c>
      <c r="AD294" s="4">
        <v>87</v>
      </c>
      <c r="AE294" s="4">
        <v>87</v>
      </c>
      <c r="AF294" s="4">
        <v>1</v>
      </c>
      <c r="AG294" s="4">
        <v>1</v>
      </c>
      <c r="AH294" s="4">
        <v>78</v>
      </c>
      <c r="AI294" s="4">
        <v>78</v>
      </c>
      <c r="AJ294" s="4">
        <v>16</v>
      </c>
      <c r="AK294" s="4">
        <v>16</v>
      </c>
      <c r="AL294" s="4">
        <v>46</v>
      </c>
      <c r="AM294" s="4">
        <v>46</v>
      </c>
      <c r="AN294" s="4">
        <v>0</v>
      </c>
      <c r="AO294" s="4">
        <v>0</v>
      </c>
      <c r="AP294" s="4">
        <v>16</v>
      </c>
      <c r="AQ294" s="4">
        <v>16</v>
      </c>
      <c r="AR294" s="3" t="s">
        <v>63</v>
      </c>
      <c r="AS294" s="3" t="s">
        <v>63</v>
      </c>
      <c r="AT294" s="3" t="s">
        <v>62</v>
      </c>
      <c r="AU294" s="6" t="str">
        <f>HYPERLINK("http://catalog.hathitrust.org/Record/000647427","HathiTrust Record")</f>
        <v>HathiTrust Record</v>
      </c>
      <c r="AV294" s="6" t="str">
        <f>HYPERLINK("http://mcgill.on.worldcat.org/oclc/8666847","Catalog Record")</f>
        <v>Catalog Record</v>
      </c>
      <c r="AW294" s="6" t="str">
        <f>HYPERLINK("http://www.worldcat.org/oclc/8666847","WorldCat Record")</f>
        <v>WorldCat Record</v>
      </c>
      <c r="AX294" s="3" t="s">
        <v>3070</v>
      </c>
      <c r="AY294" s="3" t="s">
        <v>3071</v>
      </c>
      <c r="AZ294" s="3" t="s">
        <v>3072</v>
      </c>
      <c r="BA294" s="3" t="s">
        <v>3072</v>
      </c>
      <c r="BB294" s="3" t="s">
        <v>3073</v>
      </c>
      <c r="BC294" s="3" t="s">
        <v>82</v>
      </c>
      <c r="BD294" s="3" t="s">
        <v>70</v>
      </c>
      <c r="BE294" s="3" t="s">
        <v>3074</v>
      </c>
      <c r="BF294" s="3" t="s">
        <v>3073</v>
      </c>
      <c r="BG294" s="3" t="s">
        <v>3075</v>
      </c>
    </row>
    <row r="295" spans="1:59" ht="60" x14ac:dyDescent="0.25">
      <c r="A295" s="2" t="s">
        <v>59</v>
      </c>
      <c r="B295" s="2" t="s">
        <v>60</v>
      </c>
      <c r="C295" s="2" t="s">
        <v>3076</v>
      </c>
      <c r="D295" s="2" t="s">
        <v>3077</v>
      </c>
      <c r="E295" s="2" t="s">
        <v>3078</v>
      </c>
      <c r="G295" s="3" t="s">
        <v>63</v>
      </c>
      <c r="I295" s="3" t="s">
        <v>63</v>
      </c>
      <c r="J295" s="3" t="s">
        <v>63</v>
      </c>
      <c r="K295" s="3" t="s">
        <v>64</v>
      </c>
      <c r="L295" s="2" t="s">
        <v>3079</v>
      </c>
      <c r="M295" s="2" t="s">
        <v>3080</v>
      </c>
      <c r="N295" s="3" t="s">
        <v>918</v>
      </c>
      <c r="P295" s="3" t="s">
        <v>66</v>
      </c>
      <c r="Q295" s="2" t="s">
        <v>3081</v>
      </c>
      <c r="R295" s="3" t="s">
        <v>67</v>
      </c>
      <c r="S295" s="4">
        <v>2</v>
      </c>
      <c r="T295" s="4">
        <v>2</v>
      </c>
      <c r="U295" s="5" t="s">
        <v>1961</v>
      </c>
      <c r="V295" s="5" t="s">
        <v>1961</v>
      </c>
      <c r="W295" s="5" t="s">
        <v>69</v>
      </c>
      <c r="X295" s="5" t="s">
        <v>69</v>
      </c>
      <c r="Y295" s="4">
        <v>280</v>
      </c>
      <c r="Z295" s="4">
        <v>20</v>
      </c>
      <c r="AA295" s="4">
        <v>23</v>
      </c>
      <c r="AB295" s="4">
        <v>1</v>
      </c>
      <c r="AC295" s="4">
        <v>3</v>
      </c>
      <c r="AD295" s="4">
        <v>95</v>
      </c>
      <c r="AE295" s="4">
        <v>98</v>
      </c>
      <c r="AF295" s="4">
        <v>0</v>
      </c>
      <c r="AG295" s="4">
        <v>2</v>
      </c>
      <c r="AH295" s="4">
        <v>84</v>
      </c>
      <c r="AI295" s="4">
        <v>85</v>
      </c>
      <c r="AJ295" s="4">
        <v>14</v>
      </c>
      <c r="AK295" s="4">
        <v>17</v>
      </c>
      <c r="AL295" s="4">
        <v>48</v>
      </c>
      <c r="AM295" s="4">
        <v>48</v>
      </c>
      <c r="AN295" s="4">
        <v>0</v>
      </c>
      <c r="AO295" s="4">
        <v>0</v>
      </c>
      <c r="AP295" s="4">
        <v>16</v>
      </c>
      <c r="AQ295" s="4">
        <v>18</v>
      </c>
      <c r="AR295" s="3" t="s">
        <v>63</v>
      </c>
      <c r="AS295" s="3" t="s">
        <v>63</v>
      </c>
      <c r="AT295" s="3" t="s">
        <v>63</v>
      </c>
      <c r="AV295" s="6" t="str">
        <f>HYPERLINK("http://mcgill.on.worldcat.org/oclc/849566","Catalog Record")</f>
        <v>Catalog Record</v>
      </c>
      <c r="AW295" s="6" t="str">
        <f>HYPERLINK("http://www.worldcat.org/oclc/849566","WorldCat Record")</f>
        <v>WorldCat Record</v>
      </c>
      <c r="AX295" s="3" t="s">
        <v>3082</v>
      </c>
      <c r="AY295" s="3" t="s">
        <v>3083</v>
      </c>
      <c r="AZ295" s="3" t="s">
        <v>3084</v>
      </c>
      <c r="BA295" s="3" t="s">
        <v>3084</v>
      </c>
      <c r="BB295" s="3" t="s">
        <v>3085</v>
      </c>
      <c r="BC295" s="3" t="s">
        <v>82</v>
      </c>
      <c r="BD295" s="3" t="s">
        <v>70</v>
      </c>
      <c r="BF295" s="3" t="s">
        <v>3085</v>
      </c>
      <c r="BG295" s="3" t="s">
        <v>3086</v>
      </c>
    </row>
    <row r="296" spans="1:59" ht="60" x14ac:dyDescent="0.25">
      <c r="A296" s="2" t="s">
        <v>59</v>
      </c>
      <c r="B296" s="2" t="s">
        <v>60</v>
      </c>
      <c r="C296" s="2" t="s">
        <v>3087</v>
      </c>
      <c r="D296" s="2" t="s">
        <v>3088</v>
      </c>
      <c r="E296" s="2" t="s">
        <v>3089</v>
      </c>
      <c r="G296" s="3" t="s">
        <v>63</v>
      </c>
      <c r="I296" s="3" t="s">
        <v>63</v>
      </c>
      <c r="J296" s="3" t="s">
        <v>63</v>
      </c>
      <c r="K296" s="3" t="s">
        <v>64</v>
      </c>
      <c r="L296" s="2" t="s">
        <v>2579</v>
      </c>
      <c r="M296" s="2" t="s">
        <v>3090</v>
      </c>
      <c r="N296" s="3" t="s">
        <v>3091</v>
      </c>
      <c r="P296" s="3" t="s">
        <v>90</v>
      </c>
      <c r="R296" s="3" t="s">
        <v>67</v>
      </c>
      <c r="S296" s="4">
        <v>9</v>
      </c>
      <c r="T296" s="4">
        <v>9</v>
      </c>
      <c r="U296" s="5" t="s">
        <v>1961</v>
      </c>
      <c r="V296" s="5" t="s">
        <v>1961</v>
      </c>
      <c r="W296" s="5" t="s">
        <v>69</v>
      </c>
      <c r="X296" s="5" t="s">
        <v>69</v>
      </c>
      <c r="Y296" s="4">
        <v>238</v>
      </c>
      <c r="Z296" s="4">
        <v>9</v>
      </c>
      <c r="AA296" s="4">
        <v>9</v>
      </c>
      <c r="AB296" s="4">
        <v>2</v>
      </c>
      <c r="AC296" s="4">
        <v>2</v>
      </c>
      <c r="AD296" s="4">
        <v>77</v>
      </c>
      <c r="AE296" s="4">
        <v>78</v>
      </c>
      <c r="AF296" s="4">
        <v>1</v>
      </c>
      <c r="AG296" s="4">
        <v>1</v>
      </c>
      <c r="AH296" s="4">
        <v>73</v>
      </c>
      <c r="AI296" s="4">
        <v>74</v>
      </c>
      <c r="AJ296" s="4">
        <v>6</v>
      </c>
      <c r="AK296" s="4">
        <v>6</v>
      </c>
      <c r="AL296" s="4">
        <v>36</v>
      </c>
      <c r="AM296" s="4">
        <v>36</v>
      </c>
      <c r="AN296" s="4">
        <v>0</v>
      </c>
      <c r="AO296" s="4">
        <v>0</v>
      </c>
      <c r="AP296" s="4">
        <v>6</v>
      </c>
      <c r="AQ296" s="4">
        <v>6</v>
      </c>
      <c r="AR296" s="3" t="s">
        <v>63</v>
      </c>
      <c r="AS296" s="3" t="s">
        <v>62</v>
      </c>
      <c r="AT296" s="3" t="s">
        <v>63</v>
      </c>
      <c r="AU296" s="6" t="str">
        <f>HYPERLINK("http://catalog.hathitrust.org/Record/002899572","HathiTrust Record")</f>
        <v>HathiTrust Record</v>
      </c>
      <c r="AV296" s="6" t="str">
        <f>HYPERLINK("http://mcgill.on.worldcat.org/oclc/322679","Catalog Record")</f>
        <v>Catalog Record</v>
      </c>
      <c r="AW296" s="6" t="str">
        <f>HYPERLINK("http://www.worldcat.org/oclc/322679","WorldCat Record")</f>
        <v>WorldCat Record</v>
      </c>
      <c r="AX296" s="3" t="s">
        <v>3092</v>
      </c>
      <c r="AY296" s="3" t="s">
        <v>3093</v>
      </c>
      <c r="AZ296" s="3" t="s">
        <v>3094</v>
      </c>
      <c r="BA296" s="3" t="s">
        <v>3094</v>
      </c>
      <c r="BB296" s="3" t="s">
        <v>3095</v>
      </c>
      <c r="BC296" s="3" t="s">
        <v>82</v>
      </c>
      <c r="BD296" s="3" t="s">
        <v>70</v>
      </c>
      <c r="BF296" s="3" t="s">
        <v>3095</v>
      </c>
      <c r="BG296" s="3" t="s">
        <v>3096</v>
      </c>
    </row>
    <row r="297" spans="1:59" ht="60" x14ac:dyDescent="0.25">
      <c r="A297" s="2" t="s">
        <v>59</v>
      </c>
      <c r="B297" s="2" t="s">
        <v>60</v>
      </c>
      <c r="C297" s="2" t="s">
        <v>3097</v>
      </c>
      <c r="D297" s="2" t="s">
        <v>3098</v>
      </c>
      <c r="E297" s="2" t="s">
        <v>3099</v>
      </c>
      <c r="G297" s="3" t="s">
        <v>63</v>
      </c>
      <c r="I297" s="3" t="s">
        <v>62</v>
      </c>
      <c r="J297" s="3" t="s">
        <v>63</v>
      </c>
      <c r="K297" s="3" t="s">
        <v>64</v>
      </c>
      <c r="L297" s="2" t="s">
        <v>3100</v>
      </c>
      <c r="M297" s="2" t="s">
        <v>3101</v>
      </c>
      <c r="N297" s="3" t="s">
        <v>731</v>
      </c>
      <c r="P297" s="3" t="s">
        <v>66</v>
      </c>
      <c r="R297" s="3" t="s">
        <v>67</v>
      </c>
      <c r="S297" s="4">
        <v>4</v>
      </c>
      <c r="T297" s="4">
        <v>22</v>
      </c>
      <c r="U297" s="5" t="s">
        <v>3102</v>
      </c>
      <c r="V297" s="5" t="s">
        <v>3102</v>
      </c>
      <c r="W297" s="5" t="s">
        <v>69</v>
      </c>
      <c r="X297" s="5" t="s">
        <v>69</v>
      </c>
      <c r="Y297" s="4">
        <v>161</v>
      </c>
      <c r="Z297" s="4">
        <v>14</v>
      </c>
      <c r="AA297" s="4">
        <v>33</v>
      </c>
      <c r="AB297" s="4">
        <v>2</v>
      </c>
      <c r="AC297" s="4">
        <v>3</v>
      </c>
      <c r="AD297" s="4">
        <v>65</v>
      </c>
      <c r="AE297" s="4">
        <v>121</v>
      </c>
      <c r="AF297" s="4">
        <v>1</v>
      </c>
      <c r="AG297" s="4">
        <v>1</v>
      </c>
      <c r="AH297" s="4">
        <v>55</v>
      </c>
      <c r="AI297" s="4">
        <v>104</v>
      </c>
      <c r="AJ297" s="4">
        <v>12</v>
      </c>
      <c r="AK297" s="4">
        <v>20</v>
      </c>
      <c r="AL297" s="4">
        <v>40</v>
      </c>
      <c r="AM297" s="4">
        <v>58</v>
      </c>
      <c r="AN297" s="4">
        <v>0</v>
      </c>
      <c r="AO297" s="4">
        <v>0</v>
      </c>
      <c r="AP297" s="4">
        <v>13</v>
      </c>
      <c r="AQ297" s="4">
        <v>25</v>
      </c>
      <c r="AR297" s="3" t="s">
        <v>63</v>
      </c>
      <c r="AS297" s="3" t="s">
        <v>63</v>
      </c>
      <c r="AT297" s="3" t="s">
        <v>62</v>
      </c>
      <c r="AU297" s="6" t="str">
        <f>HYPERLINK("http://catalog.hathitrust.org/Record/000028605","HathiTrust Record")</f>
        <v>HathiTrust Record</v>
      </c>
      <c r="AV297" s="6" t="str">
        <f>HYPERLINK("http://mcgill.on.worldcat.org/oclc/1562079","Catalog Record")</f>
        <v>Catalog Record</v>
      </c>
      <c r="AW297" s="6" t="str">
        <f>HYPERLINK("http://www.worldcat.org/oclc/1562079","WorldCat Record")</f>
        <v>WorldCat Record</v>
      </c>
      <c r="AX297" s="3" t="s">
        <v>3103</v>
      </c>
      <c r="AY297" s="3" t="s">
        <v>3104</v>
      </c>
      <c r="AZ297" s="3" t="s">
        <v>3105</v>
      </c>
      <c r="BA297" s="3" t="s">
        <v>3105</v>
      </c>
      <c r="BB297" s="3" t="s">
        <v>3106</v>
      </c>
      <c r="BC297" s="3" t="s">
        <v>82</v>
      </c>
      <c r="BD297" s="3" t="s">
        <v>70</v>
      </c>
      <c r="BE297" s="3" t="s">
        <v>3107</v>
      </c>
      <c r="BF297" s="3" t="s">
        <v>3106</v>
      </c>
      <c r="BG297" s="3" t="s">
        <v>3108</v>
      </c>
    </row>
    <row r="298" spans="1:59" ht="60" x14ac:dyDescent="0.25">
      <c r="A298" s="2" t="s">
        <v>59</v>
      </c>
      <c r="B298" s="2" t="s">
        <v>60</v>
      </c>
      <c r="C298" s="2" t="s">
        <v>3097</v>
      </c>
      <c r="D298" s="2" t="s">
        <v>3098</v>
      </c>
      <c r="E298" s="2" t="s">
        <v>3099</v>
      </c>
      <c r="G298" s="3" t="s">
        <v>63</v>
      </c>
      <c r="I298" s="3" t="s">
        <v>62</v>
      </c>
      <c r="J298" s="3" t="s">
        <v>63</v>
      </c>
      <c r="K298" s="3" t="s">
        <v>64</v>
      </c>
      <c r="L298" s="2" t="s">
        <v>3100</v>
      </c>
      <c r="M298" s="2" t="s">
        <v>3101</v>
      </c>
      <c r="N298" s="3" t="s">
        <v>731</v>
      </c>
      <c r="P298" s="3" t="s">
        <v>66</v>
      </c>
      <c r="R298" s="3" t="s">
        <v>67</v>
      </c>
      <c r="S298" s="4">
        <v>18</v>
      </c>
      <c r="T298" s="4">
        <v>22</v>
      </c>
      <c r="U298" s="5" t="s">
        <v>3109</v>
      </c>
      <c r="V298" s="5" t="s">
        <v>3102</v>
      </c>
      <c r="W298" s="5" t="s">
        <v>69</v>
      </c>
      <c r="X298" s="5" t="s">
        <v>69</v>
      </c>
      <c r="Y298" s="4">
        <v>161</v>
      </c>
      <c r="Z298" s="4">
        <v>14</v>
      </c>
      <c r="AA298" s="4">
        <v>33</v>
      </c>
      <c r="AB298" s="4">
        <v>2</v>
      </c>
      <c r="AC298" s="4">
        <v>3</v>
      </c>
      <c r="AD298" s="4">
        <v>65</v>
      </c>
      <c r="AE298" s="4">
        <v>121</v>
      </c>
      <c r="AF298" s="4">
        <v>1</v>
      </c>
      <c r="AG298" s="4">
        <v>1</v>
      </c>
      <c r="AH298" s="4">
        <v>55</v>
      </c>
      <c r="AI298" s="4">
        <v>104</v>
      </c>
      <c r="AJ298" s="4">
        <v>12</v>
      </c>
      <c r="AK298" s="4">
        <v>20</v>
      </c>
      <c r="AL298" s="4">
        <v>40</v>
      </c>
      <c r="AM298" s="4">
        <v>58</v>
      </c>
      <c r="AN298" s="4">
        <v>0</v>
      </c>
      <c r="AO298" s="4">
        <v>0</v>
      </c>
      <c r="AP298" s="4">
        <v>13</v>
      </c>
      <c r="AQ298" s="4">
        <v>25</v>
      </c>
      <c r="AR298" s="3" t="s">
        <v>63</v>
      </c>
      <c r="AS298" s="3" t="s">
        <v>63</v>
      </c>
      <c r="AT298" s="3" t="s">
        <v>62</v>
      </c>
      <c r="AU298" s="6" t="str">
        <f>HYPERLINK("http://catalog.hathitrust.org/Record/000028605","HathiTrust Record")</f>
        <v>HathiTrust Record</v>
      </c>
      <c r="AV298" s="6" t="str">
        <f>HYPERLINK("http://mcgill.on.worldcat.org/oclc/1562079","Catalog Record")</f>
        <v>Catalog Record</v>
      </c>
      <c r="AW298" s="6" t="str">
        <f>HYPERLINK("http://www.worldcat.org/oclc/1562079","WorldCat Record")</f>
        <v>WorldCat Record</v>
      </c>
      <c r="AX298" s="3" t="s">
        <v>3103</v>
      </c>
      <c r="AY298" s="3" t="s">
        <v>3104</v>
      </c>
      <c r="AZ298" s="3" t="s">
        <v>3105</v>
      </c>
      <c r="BA298" s="3" t="s">
        <v>3105</v>
      </c>
      <c r="BB298" s="3" t="s">
        <v>3110</v>
      </c>
      <c r="BC298" s="3" t="s">
        <v>82</v>
      </c>
      <c r="BD298" s="3" t="s">
        <v>70</v>
      </c>
      <c r="BE298" s="3" t="s">
        <v>3107</v>
      </c>
      <c r="BF298" s="3" t="s">
        <v>3110</v>
      </c>
      <c r="BG298" s="3" t="s">
        <v>3111</v>
      </c>
    </row>
    <row r="299" spans="1:59" ht="60" x14ac:dyDescent="0.25">
      <c r="A299" s="2" t="s">
        <v>59</v>
      </c>
      <c r="B299" s="2" t="s">
        <v>60</v>
      </c>
      <c r="C299" s="2" t="s">
        <v>3112</v>
      </c>
      <c r="D299" s="2" t="s">
        <v>3113</v>
      </c>
      <c r="E299" s="2" t="s">
        <v>3114</v>
      </c>
      <c r="G299" s="3" t="s">
        <v>63</v>
      </c>
      <c r="I299" s="3" t="s">
        <v>62</v>
      </c>
      <c r="J299" s="3" t="s">
        <v>63</v>
      </c>
      <c r="K299" s="3" t="s">
        <v>64</v>
      </c>
      <c r="L299" s="2" t="s">
        <v>3115</v>
      </c>
      <c r="M299" s="2" t="s">
        <v>3116</v>
      </c>
      <c r="N299" s="3" t="s">
        <v>1023</v>
      </c>
      <c r="P299" s="3" t="s">
        <v>66</v>
      </c>
      <c r="R299" s="3" t="s">
        <v>67</v>
      </c>
      <c r="S299" s="4">
        <v>11</v>
      </c>
      <c r="T299" s="4">
        <v>15</v>
      </c>
      <c r="U299" s="5" t="s">
        <v>3117</v>
      </c>
      <c r="V299" s="5" t="s">
        <v>3117</v>
      </c>
      <c r="W299" s="5" t="s">
        <v>69</v>
      </c>
      <c r="X299" s="5" t="s">
        <v>69</v>
      </c>
      <c r="Y299" s="4">
        <v>340</v>
      </c>
      <c r="Z299" s="4">
        <v>19</v>
      </c>
      <c r="AA299" s="4">
        <v>20</v>
      </c>
      <c r="AB299" s="4">
        <v>1</v>
      </c>
      <c r="AC299" s="4">
        <v>2</v>
      </c>
      <c r="AD299" s="4">
        <v>108</v>
      </c>
      <c r="AE299" s="4">
        <v>109</v>
      </c>
      <c r="AF299" s="4">
        <v>0</v>
      </c>
      <c r="AG299" s="4">
        <v>1</v>
      </c>
      <c r="AH299" s="4">
        <v>101</v>
      </c>
      <c r="AI299" s="4">
        <v>102</v>
      </c>
      <c r="AJ299" s="4">
        <v>15</v>
      </c>
      <c r="AK299" s="4">
        <v>16</v>
      </c>
      <c r="AL299" s="4">
        <v>55</v>
      </c>
      <c r="AM299" s="4">
        <v>55</v>
      </c>
      <c r="AN299" s="4">
        <v>0</v>
      </c>
      <c r="AO299" s="4">
        <v>0</v>
      </c>
      <c r="AP299" s="4">
        <v>16</v>
      </c>
      <c r="AQ299" s="4">
        <v>17</v>
      </c>
      <c r="AR299" s="3" t="s">
        <v>63</v>
      </c>
      <c r="AS299" s="3" t="s">
        <v>63</v>
      </c>
      <c r="AT299" s="3" t="s">
        <v>62</v>
      </c>
      <c r="AU299" s="6" t="str">
        <f>HYPERLINK("http://catalog.hathitrust.org/Record/002967776","HathiTrust Record")</f>
        <v>HathiTrust Record</v>
      </c>
      <c r="AV299" s="6" t="str">
        <f>HYPERLINK("http://mcgill.on.worldcat.org/oclc/30318484","Catalog Record")</f>
        <v>Catalog Record</v>
      </c>
      <c r="AW299" s="6" t="str">
        <f>HYPERLINK("http://www.worldcat.org/oclc/30318484","WorldCat Record")</f>
        <v>WorldCat Record</v>
      </c>
      <c r="AX299" s="3" t="s">
        <v>3118</v>
      </c>
      <c r="AY299" s="3" t="s">
        <v>3119</v>
      </c>
      <c r="AZ299" s="3" t="s">
        <v>3120</v>
      </c>
      <c r="BA299" s="3" t="s">
        <v>3120</v>
      </c>
      <c r="BB299" s="3" t="s">
        <v>3121</v>
      </c>
      <c r="BC299" s="3" t="s">
        <v>82</v>
      </c>
      <c r="BD299" s="3" t="s">
        <v>70</v>
      </c>
      <c r="BE299" s="3" t="s">
        <v>3122</v>
      </c>
      <c r="BF299" s="3" t="s">
        <v>3121</v>
      </c>
      <c r="BG299" s="3" t="s">
        <v>3123</v>
      </c>
    </row>
    <row r="300" spans="1:59" ht="60" x14ac:dyDescent="0.25">
      <c r="A300" s="2" t="s">
        <v>59</v>
      </c>
      <c r="B300" s="2" t="s">
        <v>60</v>
      </c>
      <c r="C300" s="2" t="s">
        <v>3112</v>
      </c>
      <c r="D300" s="2" t="s">
        <v>3113</v>
      </c>
      <c r="E300" s="2" t="s">
        <v>3114</v>
      </c>
      <c r="G300" s="3" t="s">
        <v>63</v>
      </c>
      <c r="I300" s="3" t="s">
        <v>62</v>
      </c>
      <c r="J300" s="3" t="s">
        <v>63</v>
      </c>
      <c r="K300" s="3" t="s">
        <v>64</v>
      </c>
      <c r="L300" s="2" t="s">
        <v>3115</v>
      </c>
      <c r="M300" s="2" t="s">
        <v>3116</v>
      </c>
      <c r="N300" s="3" t="s">
        <v>1023</v>
      </c>
      <c r="P300" s="3" t="s">
        <v>66</v>
      </c>
      <c r="R300" s="3" t="s">
        <v>67</v>
      </c>
      <c r="S300" s="4">
        <v>4</v>
      </c>
      <c r="T300" s="4">
        <v>15</v>
      </c>
      <c r="U300" s="5" t="s">
        <v>3124</v>
      </c>
      <c r="V300" s="5" t="s">
        <v>3117</v>
      </c>
      <c r="W300" s="5" t="s">
        <v>69</v>
      </c>
      <c r="X300" s="5" t="s">
        <v>69</v>
      </c>
      <c r="Y300" s="4">
        <v>340</v>
      </c>
      <c r="Z300" s="4">
        <v>19</v>
      </c>
      <c r="AA300" s="4">
        <v>20</v>
      </c>
      <c r="AB300" s="4">
        <v>1</v>
      </c>
      <c r="AC300" s="4">
        <v>2</v>
      </c>
      <c r="AD300" s="4">
        <v>108</v>
      </c>
      <c r="AE300" s="4">
        <v>109</v>
      </c>
      <c r="AF300" s="4">
        <v>0</v>
      </c>
      <c r="AG300" s="4">
        <v>1</v>
      </c>
      <c r="AH300" s="4">
        <v>101</v>
      </c>
      <c r="AI300" s="4">
        <v>102</v>
      </c>
      <c r="AJ300" s="4">
        <v>15</v>
      </c>
      <c r="AK300" s="4">
        <v>16</v>
      </c>
      <c r="AL300" s="4">
        <v>55</v>
      </c>
      <c r="AM300" s="4">
        <v>55</v>
      </c>
      <c r="AN300" s="4">
        <v>0</v>
      </c>
      <c r="AO300" s="4">
        <v>0</v>
      </c>
      <c r="AP300" s="4">
        <v>16</v>
      </c>
      <c r="AQ300" s="4">
        <v>17</v>
      </c>
      <c r="AR300" s="3" t="s">
        <v>63</v>
      </c>
      <c r="AS300" s="3" t="s">
        <v>63</v>
      </c>
      <c r="AT300" s="3" t="s">
        <v>62</v>
      </c>
      <c r="AU300" s="6" t="str">
        <f>HYPERLINK("http://catalog.hathitrust.org/Record/002967776","HathiTrust Record")</f>
        <v>HathiTrust Record</v>
      </c>
      <c r="AV300" s="6" t="str">
        <f>HYPERLINK("http://mcgill.on.worldcat.org/oclc/30318484","Catalog Record")</f>
        <v>Catalog Record</v>
      </c>
      <c r="AW300" s="6" t="str">
        <f>HYPERLINK("http://www.worldcat.org/oclc/30318484","WorldCat Record")</f>
        <v>WorldCat Record</v>
      </c>
      <c r="AX300" s="3" t="s">
        <v>3118</v>
      </c>
      <c r="AY300" s="3" t="s">
        <v>3119</v>
      </c>
      <c r="AZ300" s="3" t="s">
        <v>3120</v>
      </c>
      <c r="BA300" s="3" t="s">
        <v>3120</v>
      </c>
      <c r="BB300" s="3" t="s">
        <v>3125</v>
      </c>
      <c r="BC300" s="3" t="s">
        <v>82</v>
      </c>
      <c r="BD300" s="3" t="s">
        <v>70</v>
      </c>
      <c r="BE300" s="3" t="s">
        <v>3122</v>
      </c>
      <c r="BF300" s="3" t="s">
        <v>3125</v>
      </c>
      <c r="BG300" s="3" t="s">
        <v>3126</v>
      </c>
    </row>
    <row r="301" spans="1:59" ht="60" x14ac:dyDescent="0.25">
      <c r="A301" s="2" t="s">
        <v>59</v>
      </c>
      <c r="B301" s="2" t="s">
        <v>60</v>
      </c>
      <c r="C301" s="2" t="s">
        <v>3112</v>
      </c>
      <c r="D301" s="2" t="s">
        <v>3113</v>
      </c>
      <c r="E301" s="2" t="s">
        <v>3114</v>
      </c>
      <c r="G301" s="3" t="s">
        <v>63</v>
      </c>
      <c r="I301" s="3" t="s">
        <v>62</v>
      </c>
      <c r="J301" s="3" t="s">
        <v>63</v>
      </c>
      <c r="K301" s="3" t="s">
        <v>64</v>
      </c>
      <c r="L301" s="2" t="s">
        <v>3115</v>
      </c>
      <c r="M301" s="2" t="s">
        <v>3116</v>
      </c>
      <c r="N301" s="3" t="s">
        <v>1023</v>
      </c>
      <c r="P301" s="3" t="s">
        <v>66</v>
      </c>
      <c r="R301" s="3" t="s">
        <v>67</v>
      </c>
      <c r="S301" s="4">
        <v>0</v>
      </c>
      <c r="T301" s="4">
        <v>15</v>
      </c>
      <c r="V301" s="5" t="s">
        <v>3117</v>
      </c>
      <c r="W301" s="5" t="s">
        <v>69</v>
      </c>
      <c r="X301" s="5" t="s">
        <v>69</v>
      </c>
      <c r="Y301" s="4">
        <v>340</v>
      </c>
      <c r="Z301" s="4">
        <v>19</v>
      </c>
      <c r="AA301" s="4">
        <v>20</v>
      </c>
      <c r="AB301" s="4">
        <v>1</v>
      </c>
      <c r="AC301" s="4">
        <v>2</v>
      </c>
      <c r="AD301" s="4">
        <v>108</v>
      </c>
      <c r="AE301" s="4">
        <v>109</v>
      </c>
      <c r="AF301" s="4">
        <v>0</v>
      </c>
      <c r="AG301" s="4">
        <v>1</v>
      </c>
      <c r="AH301" s="4">
        <v>101</v>
      </c>
      <c r="AI301" s="4">
        <v>102</v>
      </c>
      <c r="AJ301" s="4">
        <v>15</v>
      </c>
      <c r="AK301" s="4">
        <v>16</v>
      </c>
      <c r="AL301" s="4">
        <v>55</v>
      </c>
      <c r="AM301" s="4">
        <v>55</v>
      </c>
      <c r="AN301" s="4">
        <v>0</v>
      </c>
      <c r="AO301" s="4">
        <v>0</v>
      </c>
      <c r="AP301" s="4">
        <v>16</v>
      </c>
      <c r="AQ301" s="4">
        <v>17</v>
      </c>
      <c r="AR301" s="3" t="s">
        <v>63</v>
      </c>
      <c r="AS301" s="3" t="s">
        <v>63</v>
      </c>
      <c r="AT301" s="3" t="s">
        <v>62</v>
      </c>
      <c r="AU301" s="6" t="str">
        <f>HYPERLINK("http://catalog.hathitrust.org/Record/002967776","HathiTrust Record")</f>
        <v>HathiTrust Record</v>
      </c>
      <c r="AV301" s="6" t="str">
        <f>HYPERLINK("http://mcgill.on.worldcat.org/oclc/30318484","Catalog Record")</f>
        <v>Catalog Record</v>
      </c>
      <c r="AW301" s="6" t="str">
        <f>HYPERLINK("http://www.worldcat.org/oclc/30318484","WorldCat Record")</f>
        <v>WorldCat Record</v>
      </c>
      <c r="AX301" s="3" t="s">
        <v>3118</v>
      </c>
      <c r="AY301" s="3" t="s">
        <v>3119</v>
      </c>
      <c r="AZ301" s="3" t="s">
        <v>3120</v>
      </c>
      <c r="BA301" s="3" t="s">
        <v>3120</v>
      </c>
      <c r="BB301" s="3" t="s">
        <v>3127</v>
      </c>
      <c r="BC301" s="3" t="s">
        <v>82</v>
      </c>
      <c r="BD301" s="3" t="s">
        <v>70</v>
      </c>
      <c r="BE301" s="3" t="s">
        <v>3122</v>
      </c>
      <c r="BF301" s="3" t="s">
        <v>3127</v>
      </c>
      <c r="BG301" s="3" t="s">
        <v>3128</v>
      </c>
    </row>
    <row r="302" spans="1:59" ht="60" x14ac:dyDescent="0.25">
      <c r="A302" s="2" t="s">
        <v>59</v>
      </c>
      <c r="B302" s="2" t="s">
        <v>60</v>
      </c>
      <c r="C302" s="2" t="s">
        <v>3129</v>
      </c>
      <c r="D302" s="2" t="s">
        <v>3130</v>
      </c>
      <c r="E302" s="2" t="s">
        <v>3131</v>
      </c>
      <c r="G302" s="3" t="s">
        <v>63</v>
      </c>
      <c r="I302" s="3" t="s">
        <v>63</v>
      </c>
      <c r="J302" s="3" t="s">
        <v>62</v>
      </c>
      <c r="K302" s="3" t="s">
        <v>64</v>
      </c>
      <c r="L302" s="2" t="s">
        <v>3132</v>
      </c>
      <c r="M302" s="2" t="s">
        <v>3133</v>
      </c>
      <c r="N302" s="3" t="s">
        <v>2459</v>
      </c>
      <c r="O302" s="2" t="s">
        <v>3134</v>
      </c>
      <c r="P302" s="3" t="s">
        <v>66</v>
      </c>
      <c r="Q302" s="2" t="s">
        <v>3135</v>
      </c>
      <c r="R302" s="3" t="s">
        <v>67</v>
      </c>
      <c r="S302" s="4">
        <v>1</v>
      </c>
      <c r="T302" s="4">
        <v>1</v>
      </c>
      <c r="U302" s="5" t="s">
        <v>3136</v>
      </c>
      <c r="V302" s="5" t="s">
        <v>3136</v>
      </c>
      <c r="W302" s="5" t="s">
        <v>69</v>
      </c>
      <c r="X302" s="5" t="s">
        <v>69</v>
      </c>
      <c r="Y302" s="4">
        <v>271</v>
      </c>
      <c r="Z302" s="4">
        <v>11</v>
      </c>
      <c r="AA302" s="4">
        <v>28</v>
      </c>
      <c r="AB302" s="4">
        <v>2</v>
      </c>
      <c r="AC302" s="4">
        <v>6</v>
      </c>
      <c r="AD302" s="4">
        <v>28</v>
      </c>
      <c r="AE302" s="4">
        <v>73</v>
      </c>
      <c r="AF302" s="4">
        <v>0</v>
      </c>
      <c r="AG302" s="4">
        <v>2</v>
      </c>
      <c r="AH302" s="4">
        <v>27</v>
      </c>
      <c r="AI302" s="4">
        <v>68</v>
      </c>
      <c r="AJ302" s="4">
        <v>3</v>
      </c>
      <c r="AK302" s="4">
        <v>8</v>
      </c>
      <c r="AL302" s="4">
        <v>16</v>
      </c>
      <c r="AM302" s="4">
        <v>40</v>
      </c>
      <c r="AN302" s="4">
        <v>0</v>
      </c>
      <c r="AO302" s="4">
        <v>0</v>
      </c>
      <c r="AP302" s="4">
        <v>3</v>
      </c>
      <c r="AQ302" s="4">
        <v>10</v>
      </c>
      <c r="AR302" s="3" t="s">
        <v>63</v>
      </c>
      <c r="AS302" s="3" t="s">
        <v>63</v>
      </c>
      <c r="AT302" s="3" t="s">
        <v>62</v>
      </c>
      <c r="AU302" s="6" t="str">
        <f>HYPERLINK("http://catalog.hathitrust.org/Record/006308472","HathiTrust Record")</f>
        <v>HathiTrust Record</v>
      </c>
      <c r="AV302" s="6" t="str">
        <f>HYPERLINK("http://mcgill.on.worldcat.org/oclc/124074974","Catalog Record")</f>
        <v>Catalog Record</v>
      </c>
      <c r="AW302" s="6" t="str">
        <f>HYPERLINK("http://www.worldcat.org/oclc/124074974","WorldCat Record")</f>
        <v>WorldCat Record</v>
      </c>
      <c r="AX302" s="3" t="s">
        <v>3137</v>
      </c>
      <c r="AY302" s="3" t="s">
        <v>3138</v>
      </c>
      <c r="AZ302" s="3" t="s">
        <v>3139</v>
      </c>
      <c r="BA302" s="3" t="s">
        <v>3139</v>
      </c>
      <c r="BB302" s="3" t="s">
        <v>3140</v>
      </c>
      <c r="BC302" s="3" t="s">
        <v>82</v>
      </c>
      <c r="BD302" s="3" t="s">
        <v>70</v>
      </c>
      <c r="BE302" s="3" t="s">
        <v>3141</v>
      </c>
      <c r="BF302" s="3" t="s">
        <v>3140</v>
      </c>
      <c r="BG302" s="3" t="s">
        <v>3142</v>
      </c>
    </row>
    <row r="303" spans="1:59" ht="60" x14ac:dyDescent="0.25">
      <c r="A303" s="2" t="s">
        <v>59</v>
      </c>
      <c r="B303" s="2" t="s">
        <v>60</v>
      </c>
      <c r="C303" s="2" t="s">
        <v>3143</v>
      </c>
      <c r="D303" s="2" t="s">
        <v>3144</v>
      </c>
      <c r="E303" s="2" t="s">
        <v>3145</v>
      </c>
      <c r="G303" s="3" t="s">
        <v>63</v>
      </c>
      <c r="I303" s="3" t="s">
        <v>63</v>
      </c>
      <c r="J303" s="3" t="s">
        <v>63</v>
      </c>
      <c r="K303" s="3" t="s">
        <v>64</v>
      </c>
      <c r="L303" s="2" t="s">
        <v>3146</v>
      </c>
      <c r="M303" s="2" t="s">
        <v>3147</v>
      </c>
      <c r="N303" s="3" t="s">
        <v>681</v>
      </c>
      <c r="P303" s="3" t="s">
        <v>66</v>
      </c>
      <c r="Q303" s="2" t="s">
        <v>3148</v>
      </c>
      <c r="R303" s="3" t="s">
        <v>67</v>
      </c>
      <c r="S303" s="4">
        <v>21</v>
      </c>
      <c r="T303" s="4">
        <v>21</v>
      </c>
      <c r="U303" s="5" t="s">
        <v>3057</v>
      </c>
      <c r="V303" s="5" t="s">
        <v>3057</v>
      </c>
      <c r="W303" s="5" t="s">
        <v>69</v>
      </c>
      <c r="X303" s="5" t="s">
        <v>69</v>
      </c>
      <c r="Y303" s="4">
        <v>356</v>
      </c>
      <c r="Z303" s="4">
        <v>28</v>
      </c>
      <c r="AA303" s="4">
        <v>32</v>
      </c>
      <c r="AB303" s="4">
        <v>1</v>
      </c>
      <c r="AC303" s="4">
        <v>4</v>
      </c>
      <c r="AD303" s="4">
        <v>109</v>
      </c>
      <c r="AE303" s="4">
        <v>113</v>
      </c>
      <c r="AF303" s="4">
        <v>0</v>
      </c>
      <c r="AG303" s="4">
        <v>3</v>
      </c>
      <c r="AH303" s="4">
        <v>93</v>
      </c>
      <c r="AI303" s="4">
        <v>95</v>
      </c>
      <c r="AJ303" s="4">
        <v>18</v>
      </c>
      <c r="AK303" s="4">
        <v>22</v>
      </c>
      <c r="AL303" s="4">
        <v>53</v>
      </c>
      <c r="AM303" s="4">
        <v>53</v>
      </c>
      <c r="AN303" s="4">
        <v>0</v>
      </c>
      <c r="AO303" s="4">
        <v>0</v>
      </c>
      <c r="AP303" s="4">
        <v>23</v>
      </c>
      <c r="AQ303" s="4">
        <v>26</v>
      </c>
      <c r="AR303" s="3" t="s">
        <v>63</v>
      </c>
      <c r="AS303" s="3" t="s">
        <v>63</v>
      </c>
      <c r="AT303" s="3" t="s">
        <v>63</v>
      </c>
      <c r="AV303" s="6" t="str">
        <f>HYPERLINK("http://mcgill.on.worldcat.org/oclc/100770","Catalog Record")</f>
        <v>Catalog Record</v>
      </c>
      <c r="AW303" s="6" t="str">
        <f>HYPERLINK("http://www.worldcat.org/oclc/100770","WorldCat Record")</f>
        <v>WorldCat Record</v>
      </c>
      <c r="AX303" s="3" t="s">
        <v>3149</v>
      </c>
      <c r="AY303" s="3" t="s">
        <v>3150</v>
      </c>
      <c r="AZ303" s="3" t="s">
        <v>3151</v>
      </c>
      <c r="BA303" s="3" t="s">
        <v>3151</v>
      </c>
      <c r="BB303" s="3" t="s">
        <v>3152</v>
      </c>
      <c r="BC303" s="3" t="s">
        <v>82</v>
      </c>
      <c r="BD303" s="3" t="s">
        <v>70</v>
      </c>
      <c r="BE303" s="3" t="s">
        <v>3153</v>
      </c>
      <c r="BF303" s="3" t="s">
        <v>3152</v>
      </c>
      <c r="BG303" s="3" t="s">
        <v>3154</v>
      </c>
    </row>
    <row r="304" spans="1:59" ht="60" x14ac:dyDescent="0.25">
      <c r="A304" s="2" t="s">
        <v>59</v>
      </c>
      <c r="B304" s="2" t="s">
        <v>60</v>
      </c>
      <c r="C304" s="2" t="s">
        <v>3155</v>
      </c>
      <c r="D304" s="2" t="s">
        <v>3156</v>
      </c>
      <c r="E304" s="2" t="s">
        <v>3157</v>
      </c>
      <c r="G304" s="3" t="s">
        <v>62</v>
      </c>
      <c r="I304" s="3" t="s">
        <v>63</v>
      </c>
      <c r="J304" s="3" t="s">
        <v>63</v>
      </c>
      <c r="K304" s="3" t="s">
        <v>64</v>
      </c>
      <c r="L304" s="2" t="s">
        <v>2169</v>
      </c>
      <c r="M304" s="2" t="s">
        <v>3158</v>
      </c>
      <c r="N304" s="3" t="s">
        <v>546</v>
      </c>
      <c r="O304" s="2" t="s">
        <v>1856</v>
      </c>
      <c r="P304" s="3" t="s">
        <v>66</v>
      </c>
      <c r="R304" s="3" t="s">
        <v>67</v>
      </c>
      <c r="S304" s="4">
        <v>5</v>
      </c>
      <c r="T304" s="4">
        <v>5</v>
      </c>
      <c r="U304" s="5" t="s">
        <v>3159</v>
      </c>
      <c r="V304" s="5" t="s">
        <v>3159</v>
      </c>
      <c r="W304" s="5" t="s">
        <v>69</v>
      </c>
      <c r="X304" s="5" t="s">
        <v>69</v>
      </c>
      <c r="Y304" s="4">
        <v>1</v>
      </c>
      <c r="Z304" s="4">
        <v>1</v>
      </c>
      <c r="AA304" s="4">
        <v>16</v>
      </c>
      <c r="AB304" s="4">
        <v>1</v>
      </c>
      <c r="AC304" s="4">
        <v>1</v>
      </c>
      <c r="AD304" s="4">
        <v>0</v>
      </c>
      <c r="AE304" s="4">
        <v>71</v>
      </c>
      <c r="AF304" s="4">
        <v>0</v>
      </c>
      <c r="AG304" s="4">
        <v>0</v>
      </c>
      <c r="AH304" s="4">
        <v>0</v>
      </c>
      <c r="AI304" s="4">
        <v>65</v>
      </c>
      <c r="AJ304" s="4">
        <v>0</v>
      </c>
      <c r="AK304" s="4">
        <v>13</v>
      </c>
      <c r="AL304" s="4">
        <v>0</v>
      </c>
      <c r="AM304" s="4">
        <v>30</v>
      </c>
      <c r="AN304" s="4">
        <v>0</v>
      </c>
      <c r="AO304" s="4">
        <v>0</v>
      </c>
      <c r="AP304" s="4">
        <v>0</v>
      </c>
      <c r="AQ304" s="4">
        <v>14</v>
      </c>
      <c r="AR304" s="3" t="s">
        <v>63</v>
      </c>
      <c r="AS304" s="3" t="s">
        <v>63</v>
      </c>
      <c r="AT304" s="3" t="s">
        <v>63</v>
      </c>
      <c r="AV304" s="6" t="str">
        <f>HYPERLINK("http://mcgill.on.worldcat.org/oclc/427546566","Catalog Record")</f>
        <v>Catalog Record</v>
      </c>
      <c r="AW304" s="6" t="str">
        <f>HYPERLINK("http://www.worldcat.org/oclc/427546566","WorldCat Record")</f>
        <v>WorldCat Record</v>
      </c>
      <c r="AX304" s="3" t="s">
        <v>3160</v>
      </c>
      <c r="AY304" s="3" t="s">
        <v>3161</v>
      </c>
      <c r="AZ304" s="3" t="s">
        <v>3162</v>
      </c>
      <c r="BA304" s="3" t="s">
        <v>3162</v>
      </c>
      <c r="BB304" s="3" t="s">
        <v>3163</v>
      </c>
      <c r="BC304" s="3" t="s">
        <v>82</v>
      </c>
      <c r="BD304" s="3" t="s">
        <v>70</v>
      </c>
      <c r="BF304" s="3" t="s">
        <v>3163</v>
      </c>
      <c r="BG304" s="3" t="s">
        <v>3164</v>
      </c>
    </row>
    <row r="305" spans="1:59" ht="60" x14ac:dyDescent="0.25">
      <c r="A305" s="2" t="s">
        <v>59</v>
      </c>
      <c r="B305" s="2" t="s">
        <v>60</v>
      </c>
      <c r="C305" s="2" t="s">
        <v>3165</v>
      </c>
      <c r="D305" s="2" t="s">
        <v>3166</v>
      </c>
      <c r="E305" s="2" t="s">
        <v>3167</v>
      </c>
      <c r="G305" s="3" t="s">
        <v>63</v>
      </c>
      <c r="I305" s="3" t="s">
        <v>63</v>
      </c>
      <c r="J305" s="3" t="s">
        <v>63</v>
      </c>
      <c r="K305" s="3" t="s">
        <v>64</v>
      </c>
      <c r="L305" s="2" t="s">
        <v>3168</v>
      </c>
      <c r="M305" s="2" t="s">
        <v>3169</v>
      </c>
      <c r="N305" s="3" t="s">
        <v>204</v>
      </c>
      <c r="P305" s="3" t="s">
        <v>66</v>
      </c>
      <c r="Q305" s="2" t="s">
        <v>205</v>
      </c>
      <c r="R305" s="3" t="s">
        <v>67</v>
      </c>
      <c r="S305" s="4">
        <v>15</v>
      </c>
      <c r="T305" s="4">
        <v>15</v>
      </c>
      <c r="U305" s="5" t="s">
        <v>3170</v>
      </c>
      <c r="V305" s="5" t="s">
        <v>3170</v>
      </c>
      <c r="W305" s="5" t="s">
        <v>69</v>
      </c>
      <c r="X305" s="5" t="s">
        <v>69</v>
      </c>
      <c r="Y305" s="4">
        <v>151</v>
      </c>
      <c r="Z305" s="4">
        <v>17</v>
      </c>
      <c r="AA305" s="4">
        <v>17</v>
      </c>
      <c r="AB305" s="4">
        <v>1</v>
      </c>
      <c r="AC305" s="4">
        <v>1</v>
      </c>
      <c r="AD305" s="4">
        <v>62</v>
      </c>
      <c r="AE305" s="4">
        <v>62</v>
      </c>
      <c r="AF305" s="4">
        <v>0</v>
      </c>
      <c r="AG305" s="4">
        <v>0</v>
      </c>
      <c r="AH305" s="4">
        <v>56</v>
      </c>
      <c r="AI305" s="4">
        <v>56</v>
      </c>
      <c r="AJ305" s="4">
        <v>14</v>
      </c>
      <c r="AK305" s="4">
        <v>14</v>
      </c>
      <c r="AL305" s="4">
        <v>30</v>
      </c>
      <c r="AM305" s="4">
        <v>30</v>
      </c>
      <c r="AN305" s="4">
        <v>0</v>
      </c>
      <c r="AO305" s="4">
        <v>0</v>
      </c>
      <c r="AP305" s="4">
        <v>15</v>
      </c>
      <c r="AQ305" s="4">
        <v>15</v>
      </c>
      <c r="AR305" s="3" t="s">
        <v>63</v>
      </c>
      <c r="AS305" s="3" t="s">
        <v>63</v>
      </c>
      <c r="AT305" s="3" t="s">
        <v>63</v>
      </c>
      <c r="AV305" s="6" t="str">
        <f>HYPERLINK("http://mcgill.on.worldcat.org/oclc/33440397","Catalog Record")</f>
        <v>Catalog Record</v>
      </c>
      <c r="AW305" s="6" t="str">
        <f>HYPERLINK("http://www.worldcat.org/oclc/33440397","WorldCat Record")</f>
        <v>WorldCat Record</v>
      </c>
      <c r="AX305" s="3" t="s">
        <v>3171</v>
      </c>
      <c r="AY305" s="3" t="s">
        <v>3172</v>
      </c>
      <c r="AZ305" s="3" t="s">
        <v>3173</v>
      </c>
      <c r="BA305" s="3" t="s">
        <v>3173</v>
      </c>
      <c r="BB305" s="3" t="s">
        <v>3174</v>
      </c>
      <c r="BC305" s="3" t="s">
        <v>82</v>
      </c>
      <c r="BD305" s="3" t="s">
        <v>70</v>
      </c>
      <c r="BE305" s="3" t="s">
        <v>3175</v>
      </c>
      <c r="BF305" s="3" t="s">
        <v>3174</v>
      </c>
      <c r="BG305" s="3" t="s">
        <v>3176</v>
      </c>
    </row>
    <row r="306" spans="1:59" ht="60" x14ac:dyDescent="0.25">
      <c r="A306" s="2" t="s">
        <v>59</v>
      </c>
      <c r="B306" s="2" t="s">
        <v>60</v>
      </c>
      <c r="C306" s="2" t="s">
        <v>3177</v>
      </c>
      <c r="D306" s="2" t="s">
        <v>3178</v>
      </c>
      <c r="E306" s="2" t="s">
        <v>3179</v>
      </c>
      <c r="G306" s="3" t="s">
        <v>63</v>
      </c>
      <c r="I306" s="3" t="s">
        <v>63</v>
      </c>
      <c r="J306" s="3" t="s">
        <v>63</v>
      </c>
      <c r="K306" s="3" t="s">
        <v>64</v>
      </c>
      <c r="L306" s="2" t="s">
        <v>3180</v>
      </c>
      <c r="M306" s="2" t="s">
        <v>3181</v>
      </c>
      <c r="N306" s="3" t="s">
        <v>427</v>
      </c>
      <c r="O306" s="2" t="s">
        <v>3182</v>
      </c>
      <c r="P306" s="3" t="s">
        <v>66</v>
      </c>
      <c r="R306" s="3" t="s">
        <v>67</v>
      </c>
      <c r="S306" s="4">
        <v>4</v>
      </c>
      <c r="T306" s="4">
        <v>4</v>
      </c>
      <c r="U306" s="5" t="s">
        <v>3183</v>
      </c>
      <c r="V306" s="5" t="s">
        <v>3183</v>
      </c>
      <c r="W306" s="5" t="s">
        <v>69</v>
      </c>
      <c r="X306" s="5" t="s">
        <v>69</v>
      </c>
      <c r="Y306" s="4">
        <v>108</v>
      </c>
      <c r="Z306" s="4">
        <v>9</v>
      </c>
      <c r="AA306" s="4">
        <v>10</v>
      </c>
      <c r="AB306" s="4">
        <v>1</v>
      </c>
      <c r="AC306" s="4">
        <v>1</v>
      </c>
      <c r="AD306" s="4">
        <v>50</v>
      </c>
      <c r="AE306" s="4">
        <v>51</v>
      </c>
      <c r="AF306" s="4">
        <v>0</v>
      </c>
      <c r="AG306" s="4">
        <v>0</v>
      </c>
      <c r="AH306" s="4">
        <v>47</v>
      </c>
      <c r="AI306" s="4">
        <v>48</v>
      </c>
      <c r="AJ306" s="4">
        <v>6</v>
      </c>
      <c r="AK306" s="4">
        <v>7</v>
      </c>
      <c r="AL306" s="4">
        <v>36</v>
      </c>
      <c r="AM306" s="4">
        <v>36</v>
      </c>
      <c r="AN306" s="4">
        <v>0</v>
      </c>
      <c r="AO306" s="4">
        <v>0</v>
      </c>
      <c r="AP306" s="4">
        <v>6</v>
      </c>
      <c r="AQ306" s="4">
        <v>7</v>
      </c>
      <c r="AR306" s="3" t="s">
        <v>63</v>
      </c>
      <c r="AS306" s="3" t="s">
        <v>63</v>
      </c>
      <c r="AT306" s="3" t="s">
        <v>62</v>
      </c>
      <c r="AU306" s="6" t="str">
        <f>HYPERLINK("http://catalog.hathitrust.org/Record/000923234","HathiTrust Record")</f>
        <v>HathiTrust Record</v>
      </c>
      <c r="AV306" s="6" t="str">
        <f>HYPERLINK("http://mcgill.on.worldcat.org/oclc/18235359","Catalog Record")</f>
        <v>Catalog Record</v>
      </c>
      <c r="AW306" s="6" t="str">
        <f>HYPERLINK("http://www.worldcat.org/oclc/18235359","WorldCat Record")</f>
        <v>WorldCat Record</v>
      </c>
      <c r="AX306" s="3" t="s">
        <v>3184</v>
      </c>
      <c r="AY306" s="3" t="s">
        <v>3185</v>
      </c>
      <c r="AZ306" s="3" t="s">
        <v>3186</v>
      </c>
      <c r="BA306" s="3" t="s">
        <v>3186</v>
      </c>
      <c r="BB306" s="3" t="s">
        <v>3187</v>
      </c>
      <c r="BC306" s="3" t="s">
        <v>82</v>
      </c>
      <c r="BD306" s="3" t="s">
        <v>70</v>
      </c>
      <c r="BE306" s="3" t="s">
        <v>3188</v>
      </c>
      <c r="BF306" s="3" t="s">
        <v>3187</v>
      </c>
      <c r="BG306" s="3" t="s">
        <v>3189</v>
      </c>
    </row>
    <row r="307" spans="1:59" ht="60" x14ac:dyDescent="0.25">
      <c r="A307" s="2" t="s">
        <v>59</v>
      </c>
      <c r="B307" s="2" t="s">
        <v>60</v>
      </c>
      <c r="C307" s="2" t="s">
        <v>3190</v>
      </c>
      <c r="D307" s="2" t="s">
        <v>3191</v>
      </c>
      <c r="E307" s="2" t="s">
        <v>3192</v>
      </c>
      <c r="G307" s="3" t="s">
        <v>63</v>
      </c>
      <c r="I307" s="3" t="s">
        <v>63</v>
      </c>
      <c r="J307" s="3" t="s">
        <v>63</v>
      </c>
      <c r="K307" s="3" t="s">
        <v>64</v>
      </c>
      <c r="L307" s="2" t="s">
        <v>3193</v>
      </c>
      <c r="M307" s="2" t="s">
        <v>3194</v>
      </c>
      <c r="N307" s="3" t="s">
        <v>176</v>
      </c>
      <c r="P307" s="3" t="s">
        <v>66</v>
      </c>
      <c r="Q307" s="2" t="s">
        <v>3195</v>
      </c>
      <c r="R307" s="3" t="s">
        <v>67</v>
      </c>
      <c r="S307" s="4">
        <v>4</v>
      </c>
      <c r="T307" s="4">
        <v>4</v>
      </c>
      <c r="U307" s="5" t="s">
        <v>1961</v>
      </c>
      <c r="V307" s="5" t="s">
        <v>1961</v>
      </c>
      <c r="W307" s="5" t="s">
        <v>69</v>
      </c>
      <c r="X307" s="5" t="s">
        <v>69</v>
      </c>
      <c r="Y307" s="4">
        <v>84</v>
      </c>
      <c r="Z307" s="4">
        <v>9</v>
      </c>
      <c r="AA307" s="4">
        <v>10</v>
      </c>
      <c r="AB307" s="4">
        <v>1</v>
      </c>
      <c r="AC307" s="4">
        <v>2</v>
      </c>
      <c r="AD307" s="4">
        <v>42</v>
      </c>
      <c r="AE307" s="4">
        <v>43</v>
      </c>
      <c r="AF307" s="4">
        <v>0</v>
      </c>
      <c r="AG307" s="4">
        <v>1</v>
      </c>
      <c r="AH307" s="4">
        <v>39</v>
      </c>
      <c r="AI307" s="4">
        <v>39</v>
      </c>
      <c r="AJ307" s="4">
        <v>7</v>
      </c>
      <c r="AK307" s="4">
        <v>8</v>
      </c>
      <c r="AL307" s="4">
        <v>25</v>
      </c>
      <c r="AM307" s="4">
        <v>25</v>
      </c>
      <c r="AN307" s="4">
        <v>0</v>
      </c>
      <c r="AO307" s="4">
        <v>0</v>
      </c>
      <c r="AP307" s="4">
        <v>7</v>
      </c>
      <c r="AQ307" s="4">
        <v>7</v>
      </c>
      <c r="AR307" s="3" t="s">
        <v>63</v>
      </c>
      <c r="AS307" s="3" t="s">
        <v>63</v>
      </c>
      <c r="AT307" s="3" t="s">
        <v>62</v>
      </c>
      <c r="AU307" s="6" t="str">
        <f>HYPERLINK("http://catalog.hathitrust.org/Record/004236383","HathiTrust Record")</f>
        <v>HathiTrust Record</v>
      </c>
      <c r="AV307" s="6" t="str">
        <f>HYPERLINK("http://mcgill.on.worldcat.org/oclc/39926618","Catalog Record")</f>
        <v>Catalog Record</v>
      </c>
      <c r="AW307" s="6" t="str">
        <f>HYPERLINK("http://www.worldcat.org/oclc/39926618","WorldCat Record")</f>
        <v>WorldCat Record</v>
      </c>
      <c r="AX307" s="3" t="s">
        <v>3196</v>
      </c>
      <c r="AY307" s="3" t="s">
        <v>3197</v>
      </c>
      <c r="AZ307" s="3" t="s">
        <v>3198</v>
      </c>
      <c r="BA307" s="3" t="s">
        <v>3198</v>
      </c>
      <c r="BB307" s="3" t="s">
        <v>3199</v>
      </c>
      <c r="BC307" s="3" t="s">
        <v>82</v>
      </c>
      <c r="BD307" s="3" t="s">
        <v>70</v>
      </c>
      <c r="BE307" s="3" t="s">
        <v>3200</v>
      </c>
      <c r="BF307" s="3" t="s">
        <v>3199</v>
      </c>
      <c r="BG307" s="3" t="s">
        <v>3201</v>
      </c>
    </row>
    <row r="308" spans="1:59" ht="60" x14ac:dyDescent="0.25">
      <c r="A308" s="2" t="s">
        <v>59</v>
      </c>
      <c r="B308" s="2" t="s">
        <v>60</v>
      </c>
      <c r="C308" s="2" t="s">
        <v>3202</v>
      </c>
      <c r="D308" s="2" t="s">
        <v>3203</v>
      </c>
      <c r="E308" s="2" t="s">
        <v>3204</v>
      </c>
      <c r="G308" s="3" t="s">
        <v>63</v>
      </c>
      <c r="I308" s="3" t="s">
        <v>63</v>
      </c>
      <c r="J308" s="3" t="s">
        <v>63</v>
      </c>
      <c r="K308" s="3" t="s">
        <v>64</v>
      </c>
      <c r="L308" s="2" t="s">
        <v>3205</v>
      </c>
      <c r="M308" s="2" t="s">
        <v>3206</v>
      </c>
      <c r="N308" s="3" t="s">
        <v>274</v>
      </c>
      <c r="P308" s="3" t="s">
        <v>66</v>
      </c>
      <c r="Q308" s="2" t="s">
        <v>3207</v>
      </c>
      <c r="R308" s="3" t="s">
        <v>67</v>
      </c>
      <c r="S308" s="4">
        <v>7</v>
      </c>
      <c r="T308" s="4">
        <v>7</v>
      </c>
      <c r="U308" s="5" t="s">
        <v>3208</v>
      </c>
      <c r="V308" s="5" t="s">
        <v>3208</v>
      </c>
      <c r="W308" s="5" t="s">
        <v>69</v>
      </c>
      <c r="X308" s="5" t="s">
        <v>69</v>
      </c>
      <c r="Y308" s="4">
        <v>157</v>
      </c>
      <c r="Z308" s="4">
        <v>14</v>
      </c>
      <c r="AA308" s="4">
        <v>15</v>
      </c>
      <c r="AB308" s="4">
        <v>1</v>
      </c>
      <c r="AC308" s="4">
        <v>2</v>
      </c>
      <c r="AD308" s="4">
        <v>85</v>
      </c>
      <c r="AE308" s="4">
        <v>86</v>
      </c>
      <c r="AF308" s="4">
        <v>0</v>
      </c>
      <c r="AG308" s="4">
        <v>1</v>
      </c>
      <c r="AH308" s="4">
        <v>78</v>
      </c>
      <c r="AI308" s="4">
        <v>79</v>
      </c>
      <c r="AJ308" s="4">
        <v>12</v>
      </c>
      <c r="AK308" s="4">
        <v>13</v>
      </c>
      <c r="AL308" s="4">
        <v>46</v>
      </c>
      <c r="AM308" s="4">
        <v>46</v>
      </c>
      <c r="AN308" s="4">
        <v>0</v>
      </c>
      <c r="AO308" s="4">
        <v>0</v>
      </c>
      <c r="AP308" s="4">
        <v>12</v>
      </c>
      <c r="AQ308" s="4">
        <v>13</v>
      </c>
      <c r="AR308" s="3" t="s">
        <v>63</v>
      </c>
      <c r="AS308" s="3" t="s">
        <v>63</v>
      </c>
      <c r="AT308" s="3" t="s">
        <v>62</v>
      </c>
      <c r="AU308" s="6" t="str">
        <f>HYPERLINK("http://catalog.hathitrust.org/Record/004027872","HathiTrust Record")</f>
        <v>HathiTrust Record</v>
      </c>
      <c r="AV308" s="6" t="str">
        <f>HYPERLINK("http://mcgill.on.worldcat.org/oclc/40723746","Catalog Record")</f>
        <v>Catalog Record</v>
      </c>
      <c r="AW308" s="6" t="str">
        <f>HYPERLINK("http://www.worldcat.org/oclc/40723746","WorldCat Record")</f>
        <v>WorldCat Record</v>
      </c>
      <c r="AX308" s="3" t="s">
        <v>3209</v>
      </c>
      <c r="AY308" s="3" t="s">
        <v>3210</v>
      </c>
      <c r="AZ308" s="3" t="s">
        <v>3211</v>
      </c>
      <c r="BA308" s="3" t="s">
        <v>3211</v>
      </c>
      <c r="BB308" s="3" t="s">
        <v>3212</v>
      </c>
      <c r="BC308" s="3" t="s">
        <v>82</v>
      </c>
      <c r="BD308" s="3" t="s">
        <v>70</v>
      </c>
      <c r="BE308" s="3" t="s">
        <v>3213</v>
      </c>
      <c r="BF308" s="3" t="s">
        <v>3212</v>
      </c>
      <c r="BG308" s="3" t="s">
        <v>3214</v>
      </c>
    </row>
    <row r="309" spans="1:59" ht="60" x14ac:dyDescent="0.25">
      <c r="A309" s="2" t="s">
        <v>59</v>
      </c>
      <c r="B309" s="2" t="s">
        <v>60</v>
      </c>
      <c r="C309" s="2" t="s">
        <v>3215</v>
      </c>
      <c r="D309" s="2" t="s">
        <v>3216</v>
      </c>
      <c r="E309" s="2" t="s">
        <v>3217</v>
      </c>
      <c r="G309" s="3" t="s">
        <v>63</v>
      </c>
      <c r="I309" s="3" t="s">
        <v>63</v>
      </c>
      <c r="J309" s="3" t="s">
        <v>63</v>
      </c>
      <c r="K309" s="3" t="s">
        <v>64</v>
      </c>
      <c r="L309" s="2" t="s">
        <v>3218</v>
      </c>
      <c r="M309" s="2" t="s">
        <v>3219</v>
      </c>
      <c r="N309" s="3" t="s">
        <v>76</v>
      </c>
      <c r="P309" s="3" t="s">
        <v>66</v>
      </c>
      <c r="Q309" s="2" t="s">
        <v>3220</v>
      </c>
      <c r="R309" s="3" t="s">
        <v>67</v>
      </c>
      <c r="S309" s="4">
        <v>11</v>
      </c>
      <c r="T309" s="4">
        <v>11</v>
      </c>
      <c r="U309" s="5" t="s">
        <v>3208</v>
      </c>
      <c r="V309" s="5" t="s">
        <v>3208</v>
      </c>
      <c r="W309" s="5" t="s">
        <v>69</v>
      </c>
      <c r="X309" s="5" t="s">
        <v>69</v>
      </c>
      <c r="Y309" s="4">
        <v>127</v>
      </c>
      <c r="Z309" s="4">
        <v>12</v>
      </c>
      <c r="AA309" s="4">
        <v>12</v>
      </c>
      <c r="AB309" s="4">
        <v>1</v>
      </c>
      <c r="AC309" s="4">
        <v>1</v>
      </c>
      <c r="AD309" s="4">
        <v>67</v>
      </c>
      <c r="AE309" s="4">
        <v>67</v>
      </c>
      <c r="AF309" s="4">
        <v>0</v>
      </c>
      <c r="AG309" s="4">
        <v>0</v>
      </c>
      <c r="AH309" s="4">
        <v>63</v>
      </c>
      <c r="AI309" s="4">
        <v>63</v>
      </c>
      <c r="AJ309" s="4">
        <v>10</v>
      </c>
      <c r="AK309" s="4">
        <v>10</v>
      </c>
      <c r="AL309" s="4">
        <v>38</v>
      </c>
      <c r="AM309" s="4">
        <v>38</v>
      </c>
      <c r="AN309" s="4">
        <v>0</v>
      </c>
      <c r="AO309" s="4">
        <v>0</v>
      </c>
      <c r="AP309" s="4">
        <v>10</v>
      </c>
      <c r="AQ309" s="4">
        <v>10</v>
      </c>
      <c r="AR309" s="3" t="s">
        <v>63</v>
      </c>
      <c r="AS309" s="3" t="s">
        <v>63</v>
      </c>
      <c r="AT309" s="3" t="s">
        <v>63</v>
      </c>
      <c r="AV309" s="6" t="str">
        <f>HYPERLINK("http://mcgill.on.worldcat.org/oclc/762680183","Catalog Record")</f>
        <v>Catalog Record</v>
      </c>
      <c r="AW309" s="6" t="str">
        <f>HYPERLINK("http://www.worldcat.org/oclc/762680183","WorldCat Record")</f>
        <v>WorldCat Record</v>
      </c>
      <c r="AX309" s="3" t="s">
        <v>3221</v>
      </c>
      <c r="AY309" s="3" t="s">
        <v>3222</v>
      </c>
      <c r="AZ309" s="3" t="s">
        <v>3223</v>
      </c>
      <c r="BA309" s="3" t="s">
        <v>3223</v>
      </c>
      <c r="BB309" s="3" t="s">
        <v>3224</v>
      </c>
      <c r="BC309" s="3" t="s">
        <v>82</v>
      </c>
      <c r="BD309" s="3" t="s">
        <v>70</v>
      </c>
      <c r="BE309" s="3" t="s">
        <v>3225</v>
      </c>
      <c r="BF309" s="3" t="s">
        <v>3224</v>
      </c>
      <c r="BG309" s="3" t="s">
        <v>3226</v>
      </c>
    </row>
    <row r="310" spans="1:59" ht="60" x14ac:dyDescent="0.25">
      <c r="A310" s="2" t="s">
        <v>59</v>
      </c>
      <c r="B310" s="2" t="s">
        <v>60</v>
      </c>
      <c r="C310" s="2" t="s">
        <v>3227</v>
      </c>
      <c r="D310" s="2" t="s">
        <v>3228</v>
      </c>
      <c r="E310" s="2" t="s">
        <v>3229</v>
      </c>
      <c r="G310" s="3" t="s">
        <v>63</v>
      </c>
      <c r="I310" s="3" t="s">
        <v>63</v>
      </c>
      <c r="J310" s="3" t="s">
        <v>63</v>
      </c>
      <c r="K310" s="3" t="s">
        <v>64</v>
      </c>
      <c r="L310" s="2" t="s">
        <v>3230</v>
      </c>
      <c r="M310" s="2" t="s">
        <v>3231</v>
      </c>
      <c r="N310" s="3" t="s">
        <v>204</v>
      </c>
      <c r="P310" s="3" t="s">
        <v>66</v>
      </c>
      <c r="R310" s="3" t="s">
        <v>67</v>
      </c>
      <c r="S310" s="4">
        <v>15</v>
      </c>
      <c r="T310" s="4">
        <v>15</v>
      </c>
      <c r="U310" s="5" t="s">
        <v>3232</v>
      </c>
      <c r="V310" s="5" t="s">
        <v>3232</v>
      </c>
      <c r="W310" s="5" t="s">
        <v>69</v>
      </c>
      <c r="X310" s="5" t="s">
        <v>69</v>
      </c>
      <c r="Y310" s="4">
        <v>323</v>
      </c>
      <c r="Z310" s="4">
        <v>18</v>
      </c>
      <c r="AA310" s="4">
        <v>85</v>
      </c>
      <c r="AB310" s="4">
        <v>1</v>
      </c>
      <c r="AC310" s="4">
        <v>15</v>
      </c>
      <c r="AD310" s="4">
        <v>92</v>
      </c>
      <c r="AE310" s="4">
        <v>137</v>
      </c>
      <c r="AF310" s="4">
        <v>0</v>
      </c>
      <c r="AG310" s="4">
        <v>8</v>
      </c>
      <c r="AH310" s="4">
        <v>83</v>
      </c>
      <c r="AI310" s="4">
        <v>102</v>
      </c>
      <c r="AJ310" s="4">
        <v>11</v>
      </c>
      <c r="AK310" s="4">
        <v>24</v>
      </c>
      <c r="AL310" s="4">
        <v>49</v>
      </c>
      <c r="AM310" s="4">
        <v>54</v>
      </c>
      <c r="AN310" s="4">
        <v>0</v>
      </c>
      <c r="AO310" s="4">
        <v>0</v>
      </c>
      <c r="AP310" s="4">
        <v>14</v>
      </c>
      <c r="AQ310" s="4">
        <v>44</v>
      </c>
      <c r="AR310" s="3" t="s">
        <v>63</v>
      </c>
      <c r="AS310" s="3" t="s">
        <v>63</v>
      </c>
      <c r="AT310" s="3" t="s">
        <v>63</v>
      </c>
      <c r="AV310" s="6" t="str">
        <f>HYPERLINK("http://mcgill.on.worldcat.org/oclc/36036905","Catalog Record")</f>
        <v>Catalog Record</v>
      </c>
      <c r="AW310" s="6" t="str">
        <f>HYPERLINK("http://www.worldcat.org/oclc/36036905","WorldCat Record")</f>
        <v>WorldCat Record</v>
      </c>
      <c r="AX310" s="3" t="s">
        <v>3233</v>
      </c>
      <c r="AY310" s="3" t="s">
        <v>3234</v>
      </c>
      <c r="AZ310" s="3" t="s">
        <v>3235</v>
      </c>
      <c r="BA310" s="3" t="s">
        <v>3235</v>
      </c>
      <c r="BB310" s="3" t="s">
        <v>3236</v>
      </c>
      <c r="BC310" s="3" t="s">
        <v>82</v>
      </c>
      <c r="BD310" s="3" t="s">
        <v>70</v>
      </c>
      <c r="BE310" s="3" t="s">
        <v>3237</v>
      </c>
      <c r="BF310" s="3" t="s">
        <v>3236</v>
      </c>
      <c r="BG310" s="3" t="s">
        <v>3238</v>
      </c>
    </row>
    <row r="311" spans="1:59" ht="210" x14ac:dyDescent="0.25">
      <c r="A311" s="2" t="s">
        <v>59</v>
      </c>
      <c r="B311" s="2" t="s">
        <v>60</v>
      </c>
      <c r="C311" s="2" t="s">
        <v>3239</v>
      </c>
      <c r="D311" s="2" t="s">
        <v>3240</v>
      </c>
      <c r="E311" s="2" t="s">
        <v>3241</v>
      </c>
      <c r="F311" s="3" t="s">
        <v>3242</v>
      </c>
      <c r="G311" s="3" t="s">
        <v>62</v>
      </c>
      <c r="I311" s="3" t="s">
        <v>63</v>
      </c>
      <c r="J311" s="3" t="s">
        <v>63</v>
      </c>
      <c r="K311" s="3" t="s">
        <v>64</v>
      </c>
      <c r="M311" s="2" t="s">
        <v>3243</v>
      </c>
      <c r="N311" s="3" t="s">
        <v>758</v>
      </c>
      <c r="P311" s="3" t="s">
        <v>90</v>
      </c>
      <c r="R311" s="3" t="s">
        <v>67</v>
      </c>
      <c r="S311" s="4">
        <v>1</v>
      </c>
      <c r="T311" s="4">
        <v>1</v>
      </c>
      <c r="U311" s="5" t="s">
        <v>3244</v>
      </c>
      <c r="V311" s="5" t="s">
        <v>3244</v>
      </c>
      <c r="W311" s="5" t="s">
        <v>69</v>
      </c>
      <c r="X311" s="5" t="s">
        <v>69</v>
      </c>
      <c r="Y311" s="4">
        <v>88</v>
      </c>
      <c r="Z311" s="4">
        <v>7</v>
      </c>
      <c r="AA311" s="4">
        <v>10</v>
      </c>
      <c r="AB311" s="4">
        <v>2</v>
      </c>
      <c r="AC311" s="4">
        <v>2</v>
      </c>
      <c r="AD311" s="4">
        <v>50</v>
      </c>
      <c r="AE311" s="4">
        <v>61</v>
      </c>
      <c r="AF311" s="4">
        <v>1</v>
      </c>
      <c r="AG311" s="4">
        <v>1</v>
      </c>
      <c r="AH311" s="4">
        <v>45</v>
      </c>
      <c r="AI311" s="4">
        <v>55</v>
      </c>
      <c r="AJ311" s="4">
        <v>5</v>
      </c>
      <c r="AK311" s="4">
        <v>8</v>
      </c>
      <c r="AL311" s="4">
        <v>28</v>
      </c>
      <c r="AM311" s="4">
        <v>35</v>
      </c>
      <c r="AN311" s="4">
        <v>0</v>
      </c>
      <c r="AO311" s="4">
        <v>0</v>
      </c>
      <c r="AP311" s="4">
        <v>6</v>
      </c>
      <c r="AQ311" s="4">
        <v>9</v>
      </c>
      <c r="AR311" s="3" t="s">
        <v>63</v>
      </c>
      <c r="AS311" s="3" t="s">
        <v>63</v>
      </c>
      <c r="AT311" s="3" t="s">
        <v>62</v>
      </c>
      <c r="AU311" s="6" t="str">
        <f>HYPERLINK("http://catalog.hathitrust.org/Record/007015049","HathiTrust Record")</f>
        <v>HathiTrust Record</v>
      </c>
      <c r="AV311" s="6" t="str">
        <f>HYPERLINK("http://mcgill.on.worldcat.org/oclc/6246103","Catalog Record")</f>
        <v>Catalog Record</v>
      </c>
      <c r="AW311" s="6" t="str">
        <f>HYPERLINK("http://www.worldcat.org/oclc/6246103","WorldCat Record")</f>
        <v>WorldCat Record</v>
      </c>
      <c r="AX311" s="3" t="s">
        <v>3245</v>
      </c>
      <c r="AY311" s="3" t="s">
        <v>3246</v>
      </c>
      <c r="AZ311" s="3" t="s">
        <v>3247</v>
      </c>
      <c r="BA311" s="3" t="s">
        <v>3247</v>
      </c>
      <c r="BB311" s="3" t="s">
        <v>3248</v>
      </c>
      <c r="BC311" s="3" t="s">
        <v>82</v>
      </c>
      <c r="BD311" s="3" t="s">
        <v>70</v>
      </c>
      <c r="BF311" s="3" t="s">
        <v>3248</v>
      </c>
      <c r="BG311" s="3" t="s">
        <v>3249</v>
      </c>
    </row>
    <row r="312" spans="1:59" ht="210" x14ac:dyDescent="0.25">
      <c r="A312" s="2" t="s">
        <v>59</v>
      </c>
      <c r="B312" s="2" t="s">
        <v>60</v>
      </c>
      <c r="C312" s="2" t="s">
        <v>3239</v>
      </c>
      <c r="D312" s="2" t="s">
        <v>3240</v>
      </c>
      <c r="E312" s="2" t="s">
        <v>3241</v>
      </c>
      <c r="F312" s="3" t="s">
        <v>3250</v>
      </c>
      <c r="G312" s="3" t="s">
        <v>62</v>
      </c>
      <c r="I312" s="3" t="s">
        <v>63</v>
      </c>
      <c r="J312" s="3" t="s">
        <v>63</v>
      </c>
      <c r="K312" s="3" t="s">
        <v>64</v>
      </c>
      <c r="M312" s="2" t="s">
        <v>3243</v>
      </c>
      <c r="N312" s="3" t="s">
        <v>758</v>
      </c>
      <c r="P312" s="3" t="s">
        <v>90</v>
      </c>
      <c r="R312" s="3" t="s">
        <v>67</v>
      </c>
      <c r="S312" s="4">
        <v>0</v>
      </c>
      <c r="T312" s="4">
        <v>1</v>
      </c>
      <c r="V312" s="5" t="s">
        <v>3244</v>
      </c>
      <c r="W312" s="5" t="s">
        <v>69</v>
      </c>
      <c r="X312" s="5" t="s">
        <v>69</v>
      </c>
      <c r="Y312" s="4">
        <v>88</v>
      </c>
      <c r="Z312" s="4">
        <v>7</v>
      </c>
      <c r="AA312" s="4">
        <v>10</v>
      </c>
      <c r="AB312" s="4">
        <v>2</v>
      </c>
      <c r="AC312" s="4">
        <v>2</v>
      </c>
      <c r="AD312" s="4">
        <v>50</v>
      </c>
      <c r="AE312" s="4">
        <v>61</v>
      </c>
      <c r="AF312" s="4">
        <v>1</v>
      </c>
      <c r="AG312" s="4">
        <v>1</v>
      </c>
      <c r="AH312" s="4">
        <v>45</v>
      </c>
      <c r="AI312" s="4">
        <v>55</v>
      </c>
      <c r="AJ312" s="4">
        <v>5</v>
      </c>
      <c r="AK312" s="4">
        <v>8</v>
      </c>
      <c r="AL312" s="4">
        <v>28</v>
      </c>
      <c r="AM312" s="4">
        <v>35</v>
      </c>
      <c r="AN312" s="4">
        <v>0</v>
      </c>
      <c r="AO312" s="4">
        <v>0</v>
      </c>
      <c r="AP312" s="4">
        <v>6</v>
      </c>
      <c r="AQ312" s="4">
        <v>9</v>
      </c>
      <c r="AR312" s="3" t="s">
        <v>63</v>
      </c>
      <c r="AS312" s="3" t="s">
        <v>63</v>
      </c>
      <c r="AT312" s="3" t="s">
        <v>62</v>
      </c>
      <c r="AU312" s="6" t="str">
        <f>HYPERLINK("http://catalog.hathitrust.org/Record/007015049","HathiTrust Record")</f>
        <v>HathiTrust Record</v>
      </c>
      <c r="AV312" s="6" t="str">
        <f>HYPERLINK("http://mcgill.on.worldcat.org/oclc/6246103","Catalog Record")</f>
        <v>Catalog Record</v>
      </c>
      <c r="AW312" s="6" t="str">
        <f>HYPERLINK("http://www.worldcat.org/oclc/6246103","WorldCat Record")</f>
        <v>WorldCat Record</v>
      </c>
      <c r="AX312" s="3" t="s">
        <v>3245</v>
      </c>
      <c r="AY312" s="3" t="s">
        <v>3246</v>
      </c>
      <c r="AZ312" s="3" t="s">
        <v>3247</v>
      </c>
      <c r="BA312" s="3" t="s">
        <v>3247</v>
      </c>
      <c r="BB312" s="3" t="s">
        <v>3251</v>
      </c>
      <c r="BC312" s="3" t="s">
        <v>82</v>
      </c>
      <c r="BD312" s="3" t="s">
        <v>70</v>
      </c>
      <c r="BF312" s="3" t="s">
        <v>3251</v>
      </c>
      <c r="BG312" s="3" t="s">
        <v>3252</v>
      </c>
    </row>
    <row r="313" spans="1:59" ht="60" x14ac:dyDescent="0.25">
      <c r="A313" s="2" t="s">
        <v>59</v>
      </c>
      <c r="B313" s="2" t="s">
        <v>60</v>
      </c>
      <c r="C313" s="2" t="s">
        <v>3253</v>
      </c>
      <c r="D313" s="2" t="s">
        <v>3254</v>
      </c>
      <c r="E313" s="2" t="s">
        <v>3255</v>
      </c>
      <c r="G313" s="3" t="s">
        <v>63</v>
      </c>
      <c r="I313" s="3" t="s">
        <v>63</v>
      </c>
      <c r="J313" s="3" t="s">
        <v>63</v>
      </c>
      <c r="K313" s="3" t="s">
        <v>64</v>
      </c>
      <c r="L313" s="2" t="s">
        <v>3256</v>
      </c>
      <c r="M313" s="2" t="s">
        <v>3257</v>
      </c>
      <c r="N313" s="3" t="s">
        <v>480</v>
      </c>
      <c r="P313" s="3" t="s">
        <v>90</v>
      </c>
      <c r="R313" s="3" t="s">
        <v>67</v>
      </c>
      <c r="S313" s="4">
        <v>1</v>
      </c>
      <c r="T313" s="4">
        <v>1</v>
      </c>
      <c r="U313" s="5" t="s">
        <v>3232</v>
      </c>
      <c r="V313" s="5" t="s">
        <v>3232</v>
      </c>
      <c r="W313" s="5" t="s">
        <v>69</v>
      </c>
      <c r="X313" s="5" t="s">
        <v>69</v>
      </c>
      <c r="Y313" s="4">
        <v>43</v>
      </c>
      <c r="Z313" s="4">
        <v>1</v>
      </c>
      <c r="AA313" s="4">
        <v>4</v>
      </c>
      <c r="AB313" s="4">
        <v>1</v>
      </c>
      <c r="AC313" s="4">
        <v>1</v>
      </c>
      <c r="AD313" s="4">
        <v>32</v>
      </c>
      <c r="AE313" s="4">
        <v>34</v>
      </c>
      <c r="AF313" s="4">
        <v>0</v>
      </c>
      <c r="AG313" s="4">
        <v>0</v>
      </c>
      <c r="AH313" s="4">
        <v>31</v>
      </c>
      <c r="AI313" s="4">
        <v>33</v>
      </c>
      <c r="AJ313" s="4">
        <v>0</v>
      </c>
      <c r="AK313" s="4">
        <v>2</v>
      </c>
      <c r="AL313" s="4">
        <v>27</v>
      </c>
      <c r="AM313" s="4">
        <v>28</v>
      </c>
      <c r="AN313" s="4">
        <v>0</v>
      </c>
      <c r="AO313" s="4">
        <v>0</v>
      </c>
      <c r="AP313" s="4">
        <v>0</v>
      </c>
      <c r="AQ313" s="4">
        <v>2</v>
      </c>
      <c r="AR313" s="3" t="s">
        <v>63</v>
      </c>
      <c r="AS313" s="3" t="s">
        <v>63</v>
      </c>
      <c r="AT313" s="3" t="s">
        <v>62</v>
      </c>
      <c r="AU313" s="6" t="str">
        <f>HYPERLINK("http://catalog.hathitrust.org/Record/002650360","HathiTrust Record")</f>
        <v>HathiTrust Record</v>
      </c>
      <c r="AV313" s="6" t="str">
        <f>HYPERLINK("http://mcgill.on.worldcat.org/oclc/27209335","Catalog Record")</f>
        <v>Catalog Record</v>
      </c>
      <c r="AW313" s="6" t="str">
        <f>HYPERLINK("http://www.worldcat.org/oclc/27209335","WorldCat Record")</f>
        <v>WorldCat Record</v>
      </c>
      <c r="AX313" s="3" t="s">
        <v>3258</v>
      </c>
      <c r="AY313" s="3" t="s">
        <v>3259</v>
      </c>
      <c r="AZ313" s="3" t="s">
        <v>3260</v>
      </c>
      <c r="BA313" s="3" t="s">
        <v>3260</v>
      </c>
      <c r="BB313" s="3" t="s">
        <v>3261</v>
      </c>
      <c r="BC313" s="3" t="s">
        <v>82</v>
      </c>
      <c r="BD313" s="3" t="s">
        <v>70</v>
      </c>
      <c r="BE313" s="3" t="s">
        <v>3262</v>
      </c>
      <c r="BF313" s="3" t="s">
        <v>3261</v>
      </c>
      <c r="BG313" s="3" t="s">
        <v>3263</v>
      </c>
    </row>
    <row r="314" spans="1:59" ht="90" x14ac:dyDescent="0.25">
      <c r="A314" s="2" t="s">
        <v>59</v>
      </c>
      <c r="B314" s="2" t="s">
        <v>60</v>
      </c>
      <c r="C314" s="2" t="s">
        <v>3264</v>
      </c>
      <c r="D314" s="2" t="s">
        <v>3265</v>
      </c>
      <c r="E314" s="2" t="s">
        <v>3266</v>
      </c>
      <c r="G314" s="3" t="s">
        <v>63</v>
      </c>
      <c r="I314" s="3" t="s">
        <v>63</v>
      </c>
      <c r="J314" s="3" t="s">
        <v>63</v>
      </c>
      <c r="K314" s="3" t="s">
        <v>64</v>
      </c>
      <c r="L314" s="2" t="s">
        <v>2716</v>
      </c>
      <c r="M314" s="2" t="s">
        <v>3267</v>
      </c>
      <c r="N314" s="3" t="s">
        <v>313</v>
      </c>
      <c r="P314" s="3" t="s">
        <v>90</v>
      </c>
      <c r="R314" s="3" t="s">
        <v>67</v>
      </c>
      <c r="S314" s="4">
        <v>0</v>
      </c>
      <c r="T314" s="4">
        <v>0</v>
      </c>
      <c r="W314" s="5" t="s">
        <v>69</v>
      </c>
      <c r="X314" s="5" t="s">
        <v>69</v>
      </c>
      <c r="Y314" s="4">
        <v>2</v>
      </c>
      <c r="Z314" s="4">
        <v>1</v>
      </c>
      <c r="AA314" s="4">
        <v>1</v>
      </c>
      <c r="AB314" s="4">
        <v>1</v>
      </c>
      <c r="AC314" s="4">
        <v>1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3" t="s">
        <v>63</v>
      </c>
      <c r="AS314" s="3" t="s">
        <v>63</v>
      </c>
      <c r="AT314" s="3" t="s">
        <v>62</v>
      </c>
      <c r="AU314" s="6" t="str">
        <f>HYPERLINK("http://catalog.hathitrust.org/Record/011810170","HathiTrust Record")</f>
        <v>HathiTrust Record</v>
      </c>
      <c r="AV314" s="6" t="str">
        <f>HYPERLINK("http://mcgill.on.worldcat.org/oclc/541765516","Catalog Record")</f>
        <v>Catalog Record</v>
      </c>
      <c r="AW314" s="6" t="str">
        <f>HYPERLINK("http://www.worldcat.org/oclc/541765516","WorldCat Record")</f>
        <v>WorldCat Record</v>
      </c>
      <c r="AX314" s="3" t="s">
        <v>3268</v>
      </c>
      <c r="AY314" s="3" t="s">
        <v>3269</v>
      </c>
      <c r="AZ314" s="3" t="s">
        <v>3270</v>
      </c>
      <c r="BA314" s="3" t="s">
        <v>3270</v>
      </c>
      <c r="BB314" s="3" t="s">
        <v>3271</v>
      </c>
      <c r="BC314" s="3" t="s">
        <v>82</v>
      </c>
      <c r="BD314" s="3" t="s">
        <v>70</v>
      </c>
      <c r="BE314" s="3" t="s">
        <v>3272</v>
      </c>
      <c r="BF314" s="3" t="s">
        <v>3271</v>
      </c>
      <c r="BG314" s="3" t="s">
        <v>3273</v>
      </c>
    </row>
    <row r="315" spans="1:59" ht="60" x14ac:dyDescent="0.25">
      <c r="A315" s="2" t="s">
        <v>59</v>
      </c>
      <c r="B315" s="2" t="s">
        <v>60</v>
      </c>
      <c r="C315" s="2" t="s">
        <v>3274</v>
      </c>
      <c r="D315" s="2" t="s">
        <v>3275</v>
      </c>
      <c r="E315" s="2" t="s">
        <v>3276</v>
      </c>
      <c r="F315" s="3" t="s">
        <v>3277</v>
      </c>
      <c r="G315" s="3" t="s">
        <v>63</v>
      </c>
      <c r="I315" s="3" t="s">
        <v>63</v>
      </c>
      <c r="J315" s="3" t="s">
        <v>63</v>
      </c>
      <c r="K315" s="3" t="s">
        <v>64</v>
      </c>
      <c r="L315" s="2" t="s">
        <v>3278</v>
      </c>
      <c r="M315" s="2" t="s">
        <v>3279</v>
      </c>
      <c r="N315" s="3" t="s">
        <v>313</v>
      </c>
      <c r="P315" s="3" t="s">
        <v>90</v>
      </c>
      <c r="R315" s="3" t="s">
        <v>67</v>
      </c>
      <c r="S315" s="4">
        <v>1</v>
      </c>
      <c r="T315" s="4">
        <v>1</v>
      </c>
      <c r="U315" s="5" t="s">
        <v>3280</v>
      </c>
      <c r="V315" s="5" t="s">
        <v>3280</v>
      </c>
      <c r="W315" s="5" t="s">
        <v>69</v>
      </c>
      <c r="X315" s="5" t="s">
        <v>69</v>
      </c>
      <c r="Y315" s="4">
        <v>11</v>
      </c>
      <c r="Z315" s="4">
        <v>1</v>
      </c>
      <c r="AA315" s="4">
        <v>1</v>
      </c>
      <c r="AB315" s="4">
        <v>1</v>
      </c>
      <c r="AC315" s="4">
        <v>1</v>
      </c>
      <c r="AD315" s="4">
        <v>3</v>
      </c>
      <c r="AE315" s="4">
        <v>3</v>
      </c>
      <c r="AF315" s="4">
        <v>0</v>
      </c>
      <c r="AG315" s="4">
        <v>0</v>
      </c>
      <c r="AH315" s="4">
        <v>3</v>
      </c>
      <c r="AI315" s="4">
        <v>3</v>
      </c>
      <c r="AJ315" s="4">
        <v>0</v>
      </c>
      <c r="AK315" s="4">
        <v>0</v>
      </c>
      <c r="AL315" s="4">
        <v>2</v>
      </c>
      <c r="AM315" s="4">
        <v>2</v>
      </c>
      <c r="AN315" s="4">
        <v>0</v>
      </c>
      <c r="AO315" s="4">
        <v>0</v>
      </c>
      <c r="AP315" s="4">
        <v>0</v>
      </c>
      <c r="AQ315" s="4">
        <v>0</v>
      </c>
      <c r="AR315" s="3" t="s">
        <v>63</v>
      </c>
      <c r="AS315" s="3" t="s">
        <v>63</v>
      </c>
      <c r="AT315" s="3" t="s">
        <v>63</v>
      </c>
      <c r="AV315" s="6" t="str">
        <f>HYPERLINK("http://mcgill.on.worldcat.org/oclc/709594922","Catalog Record")</f>
        <v>Catalog Record</v>
      </c>
      <c r="AW315" s="6" t="str">
        <f>HYPERLINK("http://www.worldcat.org/oclc/709594922","WorldCat Record")</f>
        <v>WorldCat Record</v>
      </c>
      <c r="AX315" s="3" t="s">
        <v>3281</v>
      </c>
      <c r="AY315" s="3" t="s">
        <v>3282</v>
      </c>
      <c r="AZ315" s="3" t="s">
        <v>3283</v>
      </c>
      <c r="BA315" s="3" t="s">
        <v>3283</v>
      </c>
      <c r="BB315" s="3" t="s">
        <v>3284</v>
      </c>
      <c r="BC315" s="3" t="s">
        <v>82</v>
      </c>
      <c r="BD315" s="3" t="s">
        <v>70</v>
      </c>
      <c r="BE315" s="3" t="s">
        <v>3285</v>
      </c>
      <c r="BF315" s="3" t="s">
        <v>3284</v>
      </c>
      <c r="BG315" s="3" t="s">
        <v>3286</v>
      </c>
    </row>
    <row r="316" spans="1:59" ht="60" x14ac:dyDescent="0.25">
      <c r="A316" s="2" t="s">
        <v>59</v>
      </c>
      <c r="B316" s="2" t="s">
        <v>60</v>
      </c>
      <c r="C316" s="2" t="s">
        <v>3287</v>
      </c>
      <c r="D316" s="2" t="s">
        <v>3288</v>
      </c>
      <c r="E316" s="2" t="s">
        <v>3289</v>
      </c>
      <c r="G316" s="3" t="s">
        <v>63</v>
      </c>
      <c r="I316" s="3" t="s">
        <v>63</v>
      </c>
      <c r="J316" s="3" t="s">
        <v>63</v>
      </c>
      <c r="K316" s="3" t="s">
        <v>64</v>
      </c>
      <c r="L316" s="2" t="s">
        <v>2689</v>
      </c>
      <c r="M316" s="2" t="s">
        <v>3290</v>
      </c>
      <c r="N316" s="3" t="s">
        <v>204</v>
      </c>
      <c r="P316" s="3" t="s">
        <v>66</v>
      </c>
      <c r="R316" s="3" t="s">
        <v>67</v>
      </c>
      <c r="S316" s="4">
        <v>12</v>
      </c>
      <c r="T316" s="4">
        <v>12</v>
      </c>
      <c r="U316" s="5" t="s">
        <v>1961</v>
      </c>
      <c r="V316" s="5" t="s">
        <v>1961</v>
      </c>
      <c r="W316" s="5" t="s">
        <v>69</v>
      </c>
      <c r="X316" s="5" t="s">
        <v>69</v>
      </c>
      <c r="Y316" s="4">
        <v>89</v>
      </c>
      <c r="Z316" s="4">
        <v>6</v>
      </c>
      <c r="AA316" s="4">
        <v>6</v>
      </c>
      <c r="AB316" s="4">
        <v>1</v>
      </c>
      <c r="AC316" s="4">
        <v>1</v>
      </c>
      <c r="AD316" s="4">
        <v>34</v>
      </c>
      <c r="AE316" s="4">
        <v>34</v>
      </c>
      <c r="AF316" s="4">
        <v>0</v>
      </c>
      <c r="AG316" s="4">
        <v>0</v>
      </c>
      <c r="AH316" s="4">
        <v>31</v>
      </c>
      <c r="AI316" s="4">
        <v>31</v>
      </c>
      <c r="AJ316" s="4">
        <v>5</v>
      </c>
      <c r="AK316" s="4">
        <v>5</v>
      </c>
      <c r="AL316" s="4">
        <v>19</v>
      </c>
      <c r="AM316" s="4">
        <v>19</v>
      </c>
      <c r="AN316" s="4">
        <v>0</v>
      </c>
      <c r="AO316" s="4">
        <v>0</v>
      </c>
      <c r="AP316" s="4">
        <v>5</v>
      </c>
      <c r="AQ316" s="4">
        <v>5</v>
      </c>
      <c r="AR316" s="3" t="s">
        <v>63</v>
      </c>
      <c r="AS316" s="3" t="s">
        <v>63</v>
      </c>
      <c r="AT316" s="3" t="s">
        <v>63</v>
      </c>
      <c r="AV316" s="6" t="str">
        <f>HYPERLINK("http://mcgill.on.worldcat.org/oclc/36418652","Catalog Record")</f>
        <v>Catalog Record</v>
      </c>
      <c r="AW316" s="6" t="str">
        <f>HYPERLINK("http://www.worldcat.org/oclc/36418652","WorldCat Record")</f>
        <v>WorldCat Record</v>
      </c>
      <c r="AX316" s="3" t="s">
        <v>3291</v>
      </c>
      <c r="AY316" s="3" t="s">
        <v>3292</v>
      </c>
      <c r="AZ316" s="3" t="s">
        <v>3293</v>
      </c>
      <c r="BA316" s="3" t="s">
        <v>3293</v>
      </c>
      <c r="BB316" s="3" t="s">
        <v>3294</v>
      </c>
      <c r="BC316" s="3" t="s">
        <v>82</v>
      </c>
      <c r="BD316" s="3" t="s">
        <v>70</v>
      </c>
      <c r="BE316" s="3" t="s">
        <v>3295</v>
      </c>
      <c r="BF316" s="3" t="s">
        <v>3294</v>
      </c>
      <c r="BG316" s="3" t="s">
        <v>3296</v>
      </c>
    </row>
    <row r="317" spans="1:59" ht="60" x14ac:dyDescent="0.25">
      <c r="A317" s="2" t="s">
        <v>59</v>
      </c>
      <c r="B317" s="2" t="s">
        <v>60</v>
      </c>
      <c r="C317" s="2" t="s">
        <v>3297</v>
      </c>
      <c r="D317" s="2" t="s">
        <v>3298</v>
      </c>
      <c r="E317" s="2" t="s">
        <v>3299</v>
      </c>
      <c r="G317" s="3" t="s">
        <v>63</v>
      </c>
      <c r="I317" s="3" t="s">
        <v>63</v>
      </c>
      <c r="J317" s="3" t="s">
        <v>63</v>
      </c>
      <c r="K317" s="3" t="s">
        <v>64</v>
      </c>
      <c r="L317" s="2" t="s">
        <v>2064</v>
      </c>
      <c r="M317" s="2" t="s">
        <v>3300</v>
      </c>
      <c r="N317" s="3" t="s">
        <v>693</v>
      </c>
      <c r="P317" s="3" t="s">
        <v>66</v>
      </c>
      <c r="R317" s="3" t="s">
        <v>67</v>
      </c>
      <c r="S317" s="4">
        <v>5</v>
      </c>
      <c r="T317" s="4">
        <v>5</v>
      </c>
      <c r="U317" s="5" t="s">
        <v>3301</v>
      </c>
      <c r="V317" s="5" t="s">
        <v>3301</v>
      </c>
      <c r="W317" s="5" t="s">
        <v>69</v>
      </c>
      <c r="X317" s="5" t="s">
        <v>69</v>
      </c>
      <c r="Y317" s="4">
        <v>176</v>
      </c>
      <c r="Z317" s="4">
        <v>13</v>
      </c>
      <c r="AA317" s="4">
        <v>16</v>
      </c>
      <c r="AB317" s="4">
        <v>1</v>
      </c>
      <c r="AC317" s="4">
        <v>3</v>
      </c>
      <c r="AD317" s="4">
        <v>76</v>
      </c>
      <c r="AE317" s="4">
        <v>79</v>
      </c>
      <c r="AF317" s="4">
        <v>0</v>
      </c>
      <c r="AG317" s="4">
        <v>2</v>
      </c>
      <c r="AH317" s="4">
        <v>72</v>
      </c>
      <c r="AI317" s="4">
        <v>72</v>
      </c>
      <c r="AJ317" s="4">
        <v>11</v>
      </c>
      <c r="AK317" s="4">
        <v>14</v>
      </c>
      <c r="AL317" s="4">
        <v>41</v>
      </c>
      <c r="AM317" s="4">
        <v>41</v>
      </c>
      <c r="AN317" s="4">
        <v>0</v>
      </c>
      <c r="AO317" s="4">
        <v>0</v>
      </c>
      <c r="AP317" s="4">
        <v>11</v>
      </c>
      <c r="AQ317" s="4">
        <v>13</v>
      </c>
      <c r="AR317" s="3" t="s">
        <v>63</v>
      </c>
      <c r="AS317" s="3" t="s">
        <v>63</v>
      </c>
      <c r="AT317" s="3" t="s">
        <v>63</v>
      </c>
      <c r="AV317" s="6" t="str">
        <f>HYPERLINK("http://mcgill.on.worldcat.org/oclc/51569214","Catalog Record")</f>
        <v>Catalog Record</v>
      </c>
      <c r="AW317" s="6" t="str">
        <f>HYPERLINK("http://www.worldcat.org/oclc/51569214","WorldCat Record")</f>
        <v>WorldCat Record</v>
      </c>
      <c r="AX317" s="3" t="s">
        <v>3302</v>
      </c>
      <c r="AY317" s="3" t="s">
        <v>3303</v>
      </c>
      <c r="AZ317" s="3" t="s">
        <v>3304</v>
      </c>
      <c r="BA317" s="3" t="s">
        <v>3304</v>
      </c>
      <c r="BB317" s="3" t="s">
        <v>3305</v>
      </c>
      <c r="BC317" s="3" t="s">
        <v>82</v>
      </c>
      <c r="BD317" s="3" t="s">
        <v>70</v>
      </c>
      <c r="BE317" s="3" t="s">
        <v>3306</v>
      </c>
      <c r="BF317" s="3" t="s">
        <v>3305</v>
      </c>
      <c r="BG317" s="3" t="s">
        <v>3307</v>
      </c>
    </row>
    <row r="318" spans="1:59" ht="60" x14ac:dyDescent="0.25">
      <c r="A318" s="2" t="s">
        <v>59</v>
      </c>
      <c r="B318" s="2" t="s">
        <v>60</v>
      </c>
      <c r="C318" s="2" t="s">
        <v>3308</v>
      </c>
      <c r="D318" s="2" t="s">
        <v>3309</v>
      </c>
      <c r="E318" s="2" t="s">
        <v>3310</v>
      </c>
      <c r="G318" s="3" t="s">
        <v>63</v>
      </c>
      <c r="I318" s="3" t="s">
        <v>63</v>
      </c>
      <c r="J318" s="3" t="s">
        <v>63</v>
      </c>
      <c r="K318" s="3" t="s">
        <v>64</v>
      </c>
      <c r="L318" s="2" t="s">
        <v>3311</v>
      </c>
      <c r="M318" s="2" t="s">
        <v>3312</v>
      </c>
      <c r="N318" s="3" t="s">
        <v>693</v>
      </c>
      <c r="P318" s="3" t="s">
        <v>66</v>
      </c>
      <c r="R318" s="3" t="s">
        <v>67</v>
      </c>
      <c r="S318" s="4">
        <v>8</v>
      </c>
      <c r="T318" s="4">
        <v>8</v>
      </c>
      <c r="U318" s="5" t="s">
        <v>3301</v>
      </c>
      <c r="V318" s="5" t="s">
        <v>3301</v>
      </c>
      <c r="W318" s="5" t="s">
        <v>69</v>
      </c>
      <c r="X318" s="5" t="s">
        <v>69</v>
      </c>
      <c r="Y318" s="4">
        <v>70</v>
      </c>
      <c r="Z318" s="4">
        <v>5</v>
      </c>
      <c r="AA318" s="4">
        <v>5</v>
      </c>
      <c r="AB318" s="4">
        <v>1</v>
      </c>
      <c r="AC318" s="4">
        <v>1</v>
      </c>
      <c r="AD318" s="4">
        <v>37</v>
      </c>
      <c r="AE318" s="4">
        <v>37</v>
      </c>
      <c r="AF318" s="4">
        <v>0</v>
      </c>
      <c r="AG318" s="4">
        <v>0</v>
      </c>
      <c r="AH318" s="4">
        <v>34</v>
      </c>
      <c r="AI318" s="4">
        <v>34</v>
      </c>
      <c r="AJ318" s="4">
        <v>3</v>
      </c>
      <c r="AK318" s="4">
        <v>3</v>
      </c>
      <c r="AL318" s="4">
        <v>24</v>
      </c>
      <c r="AM318" s="4">
        <v>24</v>
      </c>
      <c r="AN318" s="4">
        <v>0</v>
      </c>
      <c r="AO318" s="4">
        <v>0</v>
      </c>
      <c r="AP318" s="4">
        <v>3</v>
      </c>
      <c r="AQ318" s="4">
        <v>3</v>
      </c>
      <c r="AR318" s="3" t="s">
        <v>63</v>
      </c>
      <c r="AS318" s="3" t="s">
        <v>63</v>
      </c>
      <c r="AT318" s="3" t="s">
        <v>63</v>
      </c>
      <c r="AV318" s="6" t="str">
        <f>HYPERLINK("http://mcgill.on.worldcat.org/oclc/53356628","Catalog Record")</f>
        <v>Catalog Record</v>
      </c>
      <c r="AW318" s="6" t="str">
        <f>HYPERLINK("http://www.worldcat.org/oclc/53356628","WorldCat Record")</f>
        <v>WorldCat Record</v>
      </c>
      <c r="AX318" s="3" t="s">
        <v>3313</v>
      </c>
      <c r="AY318" s="3" t="s">
        <v>3314</v>
      </c>
      <c r="AZ318" s="3" t="s">
        <v>3315</v>
      </c>
      <c r="BA318" s="3" t="s">
        <v>3315</v>
      </c>
      <c r="BB318" s="3" t="s">
        <v>3316</v>
      </c>
      <c r="BC318" s="3" t="s">
        <v>82</v>
      </c>
      <c r="BD318" s="3" t="s">
        <v>538</v>
      </c>
      <c r="BE318" s="3" t="s">
        <v>3317</v>
      </c>
      <c r="BF318" s="3" t="s">
        <v>3316</v>
      </c>
      <c r="BG318" s="3" t="s">
        <v>3318</v>
      </c>
    </row>
    <row r="319" spans="1:59" ht="60" x14ac:dyDescent="0.25">
      <c r="A319" s="2" t="s">
        <v>59</v>
      </c>
      <c r="B319" s="2" t="s">
        <v>60</v>
      </c>
      <c r="C319" s="2" t="s">
        <v>3319</v>
      </c>
      <c r="D319" s="2" t="s">
        <v>3320</v>
      </c>
      <c r="E319" s="2" t="s">
        <v>3321</v>
      </c>
      <c r="G319" s="3" t="s">
        <v>63</v>
      </c>
      <c r="I319" s="3" t="s">
        <v>63</v>
      </c>
      <c r="J319" s="3" t="s">
        <v>63</v>
      </c>
      <c r="K319" s="3" t="s">
        <v>64</v>
      </c>
      <c r="L319" s="2" t="s">
        <v>3322</v>
      </c>
      <c r="M319" s="2" t="s">
        <v>3323</v>
      </c>
      <c r="N319" s="3" t="s">
        <v>261</v>
      </c>
      <c r="P319" s="3" t="s">
        <v>66</v>
      </c>
      <c r="Q319" s="2" t="s">
        <v>3324</v>
      </c>
      <c r="R319" s="3" t="s">
        <v>67</v>
      </c>
      <c r="S319" s="4">
        <v>2</v>
      </c>
      <c r="T319" s="4">
        <v>2</v>
      </c>
      <c r="U319" s="5" t="s">
        <v>3325</v>
      </c>
      <c r="V319" s="5" t="s">
        <v>3325</v>
      </c>
      <c r="W319" s="5" t="s">
        <v>69</v>
      </c>
      <c r="X319" s="5" t="s">
        <v>69</v>
      </c>
      <c r="Y319" s="4">
        <v>27</v>
      </c>
      <c r="Z319" s="4">
        <v>2</v>
      </c>
      <c r="AA319" s="4">
        <v>2</v>
      </c>
      <c r="AB319" s="4">
        <v>1</v>
      </c>
      <c r="AC319" s="4">
        <v>1</v>
      </c>
      <c r="AD319" s="4">
        <v>11</v>
      </c>
      <c r="AE319" s="4">
        <v>11</v>
      </c>
      <c r="AF319" s="4">
        <v>0</v>
      </c>
      <c r="AG319" s="4">
        <v>0</v>
      </c>
      <c r="AH319" s="4">
        <v>10</v>
      </c>
      <c r="AI319" s="4">
        <v>10</v>
      </c>
      <c r="AJ319" s="4">
        <v>1</v>
      </c>
      <c r="AK319" s="4">
        <v>1</v>
      </c>
      <c r="AL319" s="4">
        <v>10</v>
      </c>
      <c r="AM319" s="4">
        <v>10</v>
      </c>
      <c r="AN319" s="4">
        <v>0</v>
      </c>
      <c r="AO319" s="4">
        <v>0</v>
      </c>
      <c r="AP319" s="4">
        <v>1</v>
      </c>
      <c r="AQ319" s="4">
        <v>1</v>
      </c>
      <c r="AR319" s="3" t="s">
        <v>63</v>
      </c>
      <c r="AS319" s="3" t="s">
        <v>63</v>
      </c>
      <c r="AT319" s="3" t="s">
        <v>63</v>
      </c>
      <c r="AV319" s="6" t="str">
        <f>HYPERLINK("http://mcgill.on.worldcat.org/oclc/163613796","Catalog Record")</f>
        <v>Catalog Record</v>
      </c>
      <c r="AW319" s="6" t="str">
        <f>HYPERLINK("http://www.worldcat.org/oclc/163613796","WorldCat Record")</f>
        <v>WorldCat Record</v>
      </c>
      <c r="AX319" s="3" t="s">
        <v>3326</v>
      </c>
      <c r="AY319" s="3" t="s">
        <v>3327</v>
      </c>
      <c r="AZ319" s="3" t="s">
        <v>3328</v>
      </c>
      <c r="BA319" s="3" t="s">
        <v>3328</v>
      </c>
      <c r="BB319" s="3" t="s">
        <v>3329</v>
      </c>
      <c r="BC319" s="3" t="s">
        <v>82</v>
      </c>
      <c r="BD319" s="3" t="s">
        <v>70</v>
      </c>
      <c r="BE319" s="3" t="s">
        <v>3330</v>
      </c>
      <c r="BF319" s="3" t="s">
        <v>3329</v>
      </c>
      <c r="BG319" s="3" t="s">
        <v>3331</v>
      </c>
    </row>
    <row r="320" spans="1:59" ht="60" x14ac:dyDescent="0.25">
      <c r="A320" s="2" t="s">
        <v>59</v>
      </c>
      <c r="B320" s="2" t="s">
        <v>60</v>
      </c>
      <c r="C320" s="2" t="s">
        <v>3332</v>
      </c>
      <c r="D320" s="2" t="s">
        <v>3333</v>
      </c>
      <c r="E320" s="2" t="s">
        <v>3334</v>
      </c>
      <c r="G320" s="3" t="s">
        <v>63</v>
      </c>
      <c r="I320" s="3" t="s">
        <v>63</v>
      </c>
      <c r="J320" s="3" t="s">
        <v>62</v>
      </c>
      <c r="K320" s="3" t="s">
        <v>64</v>
      </c>
      <c r="L320" s="2" t="s">
        <v>3335</v>
      </c>
      <c r="M320" s="2" t="s">
        <v>3336</v>
      </c>
      <c r="N320" s="3" t="s">
        <v>2043</v>
      </c>
      <c r="O320" s="2" t="s">
        <v>3337</v>
      </c>
      <c r="P320" s="3" t="s">
        <v>90</v>
      </c>
      <c r="R320" s="3" t="s">
        <v>67</v>
      </c>
      <c r="S320" s="4">
        <v>3</v>
      </c>
      <c r="T320" s="4">
        <v>3</v>
      </c>
      <c r="U320" s="5" t="s">
        <v>3232</v>
      </c>
      <c r="V320" s="5" t="s">
        <v>3232</v>
      </c>
      <c r="W320" s="5" t="s">
        <v>69</v>
      </c>
      <c r="X320" s="5" t="s">
        <v>69</v>
      </c>
      <c r="Y320" s="4">
        <v>17</v>
      </c>
      <c r="Z320" s="4">
        <v>2</v>
      </c>
      <c r="AA320" s="4">
        <v>12</v>
      </c>
      <c r="AB320" s="4">
        <v>1</v>
      </c>
      <c r="AC320" s="4">
        <v>1</v>
      </c>
      <c r="AD320" s="4">
        <v>13</v>
      </c>
      <c r="AE320" s="4">
        <v>61</v>
      </c>
      <c r="AF320" s="4">
        <v>0</v>
      </c>
      <c r="AG320" s="4">
        <v>0</v>
      </c>
      <c r="AH320" s="4">
        <v>11</v>
      </c>
      <c r="AI320" s="4">
        <v>56</v>
      </c>
      <c r="AJ320" s="4">
        <v>1</v>
      </c>
      <c r="AK320" s="4">
        <v>8</v>
      </c>
      <c r="AL320" s="4">
        <v>11</v>
      </c>
      <c r="AM320" s="4">
        <v>38</v>
      </c>
      <c r="AN320" s="4">
        <v>0</v>
      </c>
      <c r="AO320" s="4">
        <v>0</v>
      </c>
      <c r="AP320" s="4">
        <v>1</v>
      </c>
      <c r="AQ320" s="4">
        <v>9</v>
      </c>
      <c r="AR320" s="3" t="s">
        <v>63</v>
      </c>
      <c r="AS320" s="3" t="s">
        <v>63</v>
      </c>
      <c r="AT320" s="3" t="s">
        <v>63</v>
      </c>
      <c r="AV320" s="6" t="str">
        <f>HYPERLINK("http://mcgill.on.worldcat.org/oclc/8788416","Catalog Record")</f>
        <v>Catalog Record</v>
      </c>
      <c r="AW320" s="6" t="str">
        <f>HYPERLINK("http://www.worldcat.org/oclc/8788416","WorldCat Record")</f>
        <v>WorldCat Record</v>
      </c>
      <c r="AX320" s="3" t="s">
        <v>3338</v>
      </c>
      <c r="AY320" s="3" t="s">
        <v>3339</v>
      </c>
      <c r="AZ320" s="3" t="s">
        <v>3340</v>
      </c>
      <c r="BA320" s="3" t="s">
        <v>3340</v>
      </c>
      <c r="BB320" s="3" t="s">
        <v>3341</v>
      </c>
      <c r="BC320" s="3" t="s">
        <v>82</v>
      </c>
      <c r="BD320" s="3" t="s">
        <v>70</v>
      </c>
      <c r="BF320" s="3" t="s">
        <v>3341</v>
      </c>
      <c r="BG320" s="3" t="s">
        <v>3342</v>
      </c>
    </row>
    <row r="321" spans="1:59" ht="60" x14ac:dyDescent="0.25">
      <c r="A321" s="2" t="s">
        <v>59</v>
      </c>
      <c r="B321" s="2" t="s">
        <v>60</v>
      </c>
      <c r="C321" s="2" t="s">
        <v>3343</v>
      </c>
      <c r="D321" s="2" t="s">
        <v>3344</v>
      </c>
      <c r="E321" s="2" t="s">
        <v>3345</v>
      </c>
      <c r="G321" s="3" t="s">
        <v>63</v>
      </c>
      <c r="I321" s="3" t="s">
        <v>63</v>
      </c>
      <c r="J321" s="3" t="s">
        <v>63</v>
      </c>
      <c r="K321" s="3" t="s">
        <v>64</v>
      </c>
      <c r="L321" s="2" t="s">
        <v>3346</v>
      </c>
      <c r="M321" s="2" t="s">
        <v>3347</v>
      </c>
      <c r="N321" s="3" t="s">
        <v>176</v>
      </c>
      <c r="P321" s="3" t="s">
        <v>66</v>
      </c>
      <c r="R321" s="3" t="s">
        <v>67</v>
      </c>
      <c r="S321" s="4">
        <v>9</v>
      </c>
      <c r="T321" s="4">
        <v>9</v>
      </c>
      <c r="U321" s="5" t="s">
        <v>3232</v>
      </c>
      <c r="V321" s="5" t="s">
        <v>3232</v>
      </c>
      <c r="W321" s="5" t="s">
        <v>69</v>
      </c>
      <c r="X321" s="5" t="s">
        <v>69</v>
      </c>
      <c r="Y321" s="4">
        <v>148</v>
      </c>
      <c r="Z321" s="4">
        <v>10</v>
      </c>
      <c r="AA321" s="4">
        <v>10</v>
      </c>
      <c r="AB321" s="4">
        <v>1</v>
      </c>
      <c r="AC321" s="4">
        <v>1</v>
      </c>
      <c r="AD321" s="4">
        <v>65</v>
      </c>
      <c r="AE321" s="4">
        <v>65</v>
      </c>
      <c r="AF321" s="4">
        <v>0</v>
      </c>
      <c r="AG321" s="4">
        <v>0</v>
      </c>
      <c r="AH321" s="4">
        <v>60</v>
      </c>
      <c r="AI321" s="4">
        <v>60</v>
      </c>
      <c r="AJ321" s="4">
        <v>8</v>
      </c>
      <c r="AK321" s="4">
        <v>8</v>
      </c>
      <c r="AL321" s="4">
        <v>33</v>
      </c>
      <c r="AM321" s="4">
        <v>33</v>
      </c>
      <c r="AN321" s="4">
        <v>0</v>
      </c>
      <c r="AO321" s="4">
        <v>0</v>
      </c>
      <c r="AP321" s="4">
        <v>8</v>
      </c>
      <c r="AQ321" s="4">
        <v>8</v>
      </c>
      <c r="AR321" s="3" t="s">
        <v>63</v>
      </c>
      <c r="AS321" s="3" t="s">
        <v>63</v>
      </c>
      <c r="AT321" s="3" t="s">
        <v>62</v>
      </c>
      <c r="AU321" s="6" t="str">
        <f>HYPERLINK("http://catalog.hathitrust.org/Record/003987736","HathiTrust Record")</f>
        <v>HathiTrust Record</v>
      </c>
      <c r="AV321" s="6" t="str">
        <f>HYPERLINK("http://mcgill.on.worldcat.org/oclc/38993110","Catalog Record")</f>
        <v>Catalog Record</v>
      </c>
      <c r="AW321" s="6" t="str">
        <f>HYPERLINK("http://www.worldcat.org/oclc/38993110","WorldCat Record")</f>
        <v>WorldCat Record</v>
      </c>
      <c r="AX321" s="3" t="s">
        <v>3348</v>
      </c>
      <c r="AY321" s="3" t="s">
        <v>3349</v>
      </c>
      <c r="AZ321" s="3" t="s">
        <v>3350</v>
      </c>
      <c r="BA321" s="3" t="s">
        <v>3350</v>
      </c>
      <c r="BB321" s="3" t="s">
        <v>3351</v>
      </c>
      <c r="BC321" s="3" t="s">
        <v>82</v>
      </c>
      <c r="BD321" s="3" t="s">
        <v>70</v>
      </c>
      <c r="BE321" s="3" t="s">
        <v>3352</v>
      </c>
      <c r="BF321" s="3" t="s">
        <v>3351</v>
      </c>
      <c r="BG321" s="3" t="s">
        <v>3353</v>
      </c>
    </row>
    <row r="322" spans="1:59" ht="60" x14ac:dyDescent="0.25">
      <c r="A322" s="2" t="s">
        <v>59</v>
      </c>
      <c r="B322" s="2" t="s">
        <v>60</v>
      </c>
      <c r="C322" s="2" t="s">
        <v>3354</v>
      </c>
      <c r="D322" s="2" t="s">
        <v>3355</v>
      </c>
      <c r="E322" s="2" t="s">
        <v>3356</v>
      </c>
      <c r="G322" s="3" t="s">
        <v>63</v>
      </c>
      <c r="I322" s="3" t="s">
        <v>63</v>
      </c>
      <c r="J322" s="3" t="s">
        <v>63</v>
      </c>
      <c r="K322" s="3" t="s">
        <v>64</v>
      </c>
      <c r="L322" s="2" t="s">
        <v>3357</v>
      </c>
      <c r="M322" s="2" t="s">
        <v>3358</v>
      </c>
      <c r="N322" s="3" t="s">
        <v>480</v>
      </c>
      <c r="P322" s="3" t="s">
        <v>66</v>
      </c>
      <c r="R322" s="3" t="s">
        <v>67</v>
      </c>
      <c r="S322" s="4">
        <v>22</v>
      </c>
      <c r="T322" s="4">
        <v>22</v>
      </c>
      <c r="U322" s="5" t="s">
        <v>3232</v>
      </c>
      <c r="V322" s="5" t="s">
        <v>3232</v>
      </c>
      <c r="W322" s="5" t="s">
        <v>69</v>
      </c>
      <c r="X322" s="5" t="s">
        <v>69</v>
      </c>
      <c r="Y322" s="4">
        <v>137</v>
      </c>
      <c r="Z322" s="4">
        <v>14</v>
      </c>
      <c r="AA322" s="4">
        <v>16</v>
      </c>
      <c r="AB322" s="4">
        <v>2</v>
      </c>
      <c r="AC322" s="4">
        <v>3</v>
      </c>
      <c r="AD322" s="4">
        <v>66</v>
      </c>
      <c r="AE322" s="4">
        <v>72</v>
      </c>
      <c r="AF322" s="4">
        <v>0</v>
      </c>
      <c r="AG322" s="4">
        <v>1</v>
      </c>
      <c r="AH322" s="4">
        <v>62</v>
      </c>
      <c r="AI322" s="4">
        <v>66</v>
      </c>
      <c r="AJ322" s="4">
        <v>11</v>
      </c>
      <c r="AK322" s="4">
        <v>13</v>
      </c>
      <c r="AL322" s="4">
        <v>36</v>
      </c>
      <c r="AM322" s="4">
        <v>36</v>
      </c>
      <c r="AN322" s="4">
        <v>0</v>
      </c>
      <c r="AO322" s="4">
        <v>0</v>
      </c>
      <c r="AP322" s="4">
        <v>11</v>
      </c>
      <c r="AQ322" s="4">
        <v>12</v>
      </c>
      <c r="AR322" s="3" t="s">
        <v>63</v>
      </c>
      <c r="AS322" s="3" t="s">
        <v>63</v>
      </c>
      <c r="AT322" s="3" t="s">
        <v>62</v>
      </c>
      <c r="AU322" s="6" t="str">
        <f>HYPERLINK("http://catalog.hathitrust.org/Record/002473960","HathiTrust Record")</f>
        <v>HathiTrust Record</v>
      </c>
      <c r="AV322" s="6" t="str">
        <f>HYPERLINK("http://mcgill.on.worldcat.org/oclc/23213960","Catalog Record")</f>
        <v>Catalog Record</v>
      </c>
      <c r="AW322" s="6" t="str">
        <f>HYPERLINK("http://www.worldcat.org/oclc/23213960","WorldCat Record")</f>
        <v>WorldCat Record</v>
      </c>
      <c r="AX322" s="3" t="s">
        <v>3359</v>
      </c>
      <c r="AY322" s="3" t="s">
        <v>3360</v>
      </c>
      <c r="AZ322" s="3" t="s">
        <v>3361</v>
      </c>
      <c r="BA322" s="3" t="s">
        <v>3361</v>
      </c>
      <c r="BB322" s="3" t="s">
        <v>3362</v>
      </c>
      <c r="BC322" s="3" t="s">
        <v>82</v>
      </c>
      <c r="BD322" s="3" t="s">
        <v>70</v>
      </c>
      <c r="BE322" s="3" t="s">
        <v>3363</v>
      </c>
      <c r="BF322" s="3" t="s">
        <v>3362</v>
      </c>
      <c r="BG322" s="3" t="s">
        <v>3364</v>
      </c>
    </row>
    <row r="323" spans="1:59" ht="60" x14ac:dyDescent="0.25">
      <c r="A323" s="2" t="s">
        <v>59</v>
      </c>
      <c r="B323" s="2" t="s">
        <v>60</v>
      </c>
      <c r="C323" s="2" t="s">
        <v>199</v>
      </c>
      <c r="D323" s="2" t="s">
        <v>200</v>
      </c>
      <c r="E323" s="2" t="s">
        <v>201</v>
      </c>
      <c r="G323" s="3" t="s">
        <v>63</v>
      </c>
      <c r="I323" s="3" t="s">
        <v>63</v>
      </c>
      <c r="J323" s="3" t="s">
        <v>63</v>
      </c>
      <c r="K323" s="3" t="s">
        <v>64</v>
      </c>
      <c r="L323" s="2" t="s">
        <v>202</v>
      </c>
      <c r="M323" s="2" t="s">
        <v>203</v>
      </c>
      <c r="N323" s="3" t="s">
        <v>204</v>
      </c>
      <c r="P323" s="3" t="s">
        <v>66</v>
      </c>
      <c r="Q323" s="2" t="s">
        <v>205</v>
      </c>
      <c r="R323" s="3" t="s">
        <v>67</v>
      </c>
      <c r="S323" s="4">
        <v>7</v>
      </c>
      <c r="T323" s="4">
        <v>7</v>
      </c>
      <c r="U323" s="5" t="s">
        <v>206</v>
      </c>
      <c r="V323" s="5" t="s">
        <v>206</v>
      </c>
      <c r="W323" s="5" t="s">
        <v>69</v>
      </c>
      <c r="X323" s="5" t="s">
        <v>69</v>
      </c>
      <c r="Y323" s="4">
        <v>24</v>
      </c>
      <c r="Z323" s="4">
        <v>2</v>
      </c>
      <c r="AA323" s="4">
        <v>20</v>
      </c>
      <c r="AB323" s="4">
        <v>1</v>
      </c>
      <c r="AC323" s="4">
        <v>2</v>
      </c>
      <c r="AD323" s="4">
        <v>1</v>
      </c>
      <c r="AE323" s="4">
        <v>106</v>
      </c>
      <c r="AF323" s="4">
        <v>0</v>
      </c>
      <c r="AG323" s="4">
        <v>1</v>
      </c>
      <c r="AH323" s="4">
        <v>1</v>
      </c>
      <c r="AI323" s="4">
        <v>96</v>
      </c>
      <c r="AJ323" s="4">
        <v>0</v>
      </c>
      <c r="AK323" s="4">
        <v>16</v>
      </c>
      <c r="AL323" s="4">
        <v>1</v>
      </c>
      <c r="AM323" s="4">
        <v>51</v>
      </c>
      <c r="AN323" s="4">
        <v>0</v>
      </c>
      <c r="AO323" s="4">
        <v>0</v>
      </c>
      <c r="AP323" s="4">
        <v>0</v>
      </c>
      <c r="AQ323" s="4">
        <v>16</v>
      </c>
      <c r="AR323" s="3" t="s">
        <v>63</v>
      </c>
      <c r="AS323" s="3" t="s">
        <v>63</v>
      </c>
      <c r="AT323" s="3" t="s">
        <v>63</v>
      </c>
      <c r="AV323" s="6" t="str">
        <f>HYPERLINK("http://mcgill.on.worldcat.org/oclc/59619598","Catalog Record")</f>
        <v>Catalog Record</v>
      </c>
      <c r="AW323" s="6" t="str">
        <f>HYPERLINK("http://www.worldcat.org/oclc/59619598","WorldCat Record")</f>
        <v>WorldCat Record</v>
      </c>
      <c r="AX323" s="3" t="s">
        <v>207</v>
      </c>
      <c r="AY323" s="3" t="s">
        <v>208</v>
      </c>
      <c r="AZ323" s="3" t="s">
        <v>209</v>
      </c>
      <c r="BA323" s="3" t="s">
        <v>209</v>
      </c>
      <c r="BB323" s="3" t="s">
        <v>210</v>
      </c>
      <c r="BC323" s="3" t="s">
        <v>82</v>
      </c>
      <c r="BD323" s="3" t="s">
        <v>70</v>
      </c>
      <c r="BE323" s="3" t="s">
        <v>211</v>
      </c>
      <c r="BF323" s="3" t="s">
        <v>210</v>
      </c>
      <c r="BG323" s="3" t="s">
        <v>212</v>
      </c>
    </row>
    <row r="324" spans="1:59" ht="60" x14ac:dyDescent="0.25">
      <c r="A324" s="2" t="s">
        <v>59</v>
      </c>
      <c r="B324" s="2" t="s">
        <v>60</v>
      </c>
      <c r="C324" s="2" t="s">
        <v>3365</v>
      </c>
      <c r="D324" s="2" t="s">
        <v>3366</v>
      </c>
      <c r="E324" s="2" t="s">
        <v>3367</v>
      </c>
      <c r="G324" s="3" t="s">
        <v>62</v>
      </c>
      <c r="I324" s="3" t="s">
        <v>63</v>
      </c>
      <c r="J324" s="3" t="s">
        <v>63</v>
      </c>
      <c r="K324" s="3" t="s">
        <v>64</v>
      </c>
      <c r="M324" s="2" t="s">
        <v>3368</v>
      </c>
      <c r="N324" s="3" t="s">
        <v>130</v>
      </c>
      <c r="P324" s="3" t="s">
        <v>90</v>
      </c>
      <c r="R324" s="3" t="s">
        <v>67</v>
      </c>
      <c r="S324" s="4">
        <v>0</v>
      </c>
      <c r="T324" s="4">
        <v>0</v>
      </c>
      <c r="W324" s="5" t="s">
        <v>69</v>
      </c>
      <c r="X324" s="5" t="s">
        <v>69</v>
      </c>
      <c r="Y324" s="4">
        <v>32</v>
      </c>
      <c r="Z324" s="4">
        <v>5</v>
      </c>
      <c r="AA324" s="4">
        <v>5</v>
      </c>
      <c r="AB324" s="4">
        <v>1</v>
      </c>
      <c r="AC324" s="4">
        <v>1</v>
      </c>
      <c r="AD324" s="4">
        <v>21</v>
      </c>
      <c r="AE324" s="4">
        <v>21</v>
      </c>
      <c r="AF324" s="4">
        <v>0</v>
      </c>
      <c r="AG324" s="4">
        <v>0</v>
      </c>
      <c r="AH324" s="4">
        <v>20</v>
      </c>
      <c r="AI324" s="4">
        <v>20</v>
      </c>
      <c r="AJ324" s="4">
        <v>3</v>
      </c>
      <c r="AK324" s="4">
        <v>3</v>
      </c>
      <c r="AL324" s="4">
        <v>16</v>
      </c>
      <c r="AM324" s="4">
        <v>16</v>
      </c>
      <c r="AN324" s="4">
        <v>0</v>
      </c>
      <c r="AO324" s="4">
        <v>0</v>
      </c>
      <c r="AP324" s="4">
        <v>3</v>
      </c>
      <c r="AQ324" s="4">
        <v>3</v>
      </c>
      <c r="AR324" s="3" t="s">
        <v>63</v>
      </c>
      <c r="AS324" s="3" t="s">
        <v>63</v>
      </c>
      <c r="AT324" s="3" t="s">
        <v>63</v>
      </c>
      <c r="AV324" s="6" t="str">
        <f>HYPERLINK("http://mcgill.on.worldcat.org/oclc/834453892","Catalog Record")</f>
        <v>Catalog Record</v>
      </c>
      <c r="AW324" s="6" t="str">
        <f>HYPERLINK("http://www.worldcat.org/oclc/834453892","WorldCat Record")</f>
        <v>WorldCat Record</v>
      </c>
      <c r="AX324" s="3" t="s">
        <v>3369</v>
      </c>
      <c r="AY324" s="3" t="s">
        <v>3370</v>
      </c>
      <c r="AZ324" s="3" t="s">
        <v>3371</v>
      </c>
      <c r="BA324" s="3" t="s">
        <v>3371</v>
      </c>
      <c r="BB324" s="3" t="s">
        <v>3372</v>
      </c>
      <c r="BC324" s="3" t="s">
        <v>82</v>
      </c>
      <c r="BD324" s="3" t="s">
        <v>70</v>
      </c>
      <c r="BE324" s="3" t="s">
        <v>3373</v>
      </c>
      <c r="BF324" s="3" t="s">
        <v>3372</v>
      </c>
      <c r="BG324" s="3" t="s">
        <v>3374</v>
      </c>
    </row>
    <row r="325" spans="1:59" ht="60" x14ac:dyDescent="0.25">
      <c r="A325" s="2" t="s">
        <v>59</v>
      </c>
      <c r="B325" s="2" t="s">
        <v>60</v>
      </c>
      <c r="C325" s="2" t="s">
        <v>3375</v>
      </c>
      <c r="D325" s="2" t="s">
        <v>3376</v>
      </c>
      <c r="E325" s="2" t="s">
        <v>3377</v>
      </c>
      <c r="G325" s="3" t="s">
        <v>63</v>
      </c>
      <c r="I325" s="3" t="s">
        <v>63</v>
      </c>
      <c r="J325" s="3" t="s">
        <v>63</v>
      </c>
      <c r="K325" s="3" t="s">
        <v>64</v>
      </c>
      <c r="M325" s="2" t="s">
        <v>3378</v>
      </c>
      <c r="N325" s="3" t="s">
        <v>76</v>
      </c>
      <c r="P325" s="3" t="s">
        <v>90</v>
      </c>
      <c r="Q325" s="2" t="s">
        <v>3379</v>
      </c>
      <c r="R325" s="3" t="s">
        <v>67</v>
      </c>
      <c r="S325" s="4">
        <v>0</v>
      </c>
      <c r="T325" s="4">
        <v>0</v>
      </c>
      <c r="W325" s="5" t="s">
        <v>69</v>
      </c>
      <c r="X325" s="5" t="s">
        <v>69</v>
      </c>
      <c r="Y325" s="4">
        <v>30</v>
      </c>
      <c r="Z325" s="4">
        <v>3</v>
      </c>
      <c r="AA325" s="4">
        <v>3</v>
      </c>
      <c r="AB325" s="4">
        <v>1</v>
      </c>
      <c r="AC325" s="4">
        <v>1</v>
      </c>
      <c r="AD325" s="4">
        <v>20</v>
      </c>
      <c r="AE325" s="4">
        <v>20</v>
      </c>
      <c r="AF325" s="4">
        <v>0</v>
      </c>
      <c r="AG325" s="4">
        <v>0</v>
      </c>
      <c r="AH325" s="4">
        <v>19</v>
      </c>
      <c r="AI325" s="4">
        <v>19</v>
      </c>
      <c r="AJ325" s="4">
        <v>1</v>
      </c>
      <c r="AK325" s="4">
        <v>1</v>
      </c>
      <c r="AL325" s="4">
        <v>16</v>
      </c>
      <c r="AM325" s="4">
        <v>16</v>
      </c>
      <c r="AN325" s="4">
        <v>0</v>
      </c>
      <c r="AO325" s="4">
        <v>0</v>
      </c>
      <c r="AP325" s="4">
        <v>1</v>
      </c>
      <c r="AQ325" s="4">
        <v>1</v>
      </c>
      <c r="AR325" s="3" t="s">
        <v>63</v>
      </c>
      <c r="AS325" s="3" t="s">
        <v>63</v>
      </c>
      <c r="AT325" s="3" t="s">
        <v>63</v>
      </c>
      <c r="AV325" s="6" t="str">
        <f>HYPERLINK("http://mcgill.on.worldcat.org/oclc/816554611","Catalog Record")</f>
        <v>Catalog Record</v>
      </c>
      <c r="AW325" s="6" t="str">
        <f>HYPERLINK("http://www.worldcat.org/oclc/816554611","WorldCat Record")</f>
        <v>WorldCat Record</v>
      </c>
      <c r="AX325" s="3" t="s">
        <v>3380</v>
      </c>
      <c r="AY325" s="3" t="s">
        <v>3381</v>
      </c>
      <c r="AZ325" s="3" t="s">
        <v>3382</v>
      </c>
      <c r="BA325" s="3" t="s">
        <v>3382</v>
      </c>
      <c r="BB325" s="3" t="s">
        <v>3383</v>
      </c>
      <c r="BC325" s="3" t="s">
        <v>82</v>
      </c>
      <c r="BD325" s="3" t="s">
        <v>70</v>
      </c>
      <c r="BE325" s="3" t="s">
        <v>3384</v>
      </c>
      <c r="BF325" s="3" t="s">
        <v>3383</v>
      </c>
      <c r="BG325" s="3" t="s">
        <v>3385</v>
      </c>
    </row>
    <row r="326" spans="1:59" ht="60" x14ac:dyDescent="0.25">
      <c r="A326" s="2" t="s">
        <v>59</v>
      </c>
      <c r="B326" s="2" t="s">
        <v>60</v>
      </c>
      <c r="C326" s="2" t="s">
        <v>3386</v>
      </c>
      <c r="D326" s="2" t="s">
        <v>3387</v>
      </c>
      <c r="E326" s="2" t="s">
        <v>3388</v>
      </c>
      <c r="G326" s="3" t="s">
        <v>63</v>
      </c>
      <c r="I326" s="3" t="s">
        <v>62</v>
      </c>
      <c r="J326" s="3" t="s">
        <v>63</v>
      </c>
      <c r="K326" s="3" t="s">
        <v>64</v>
      </c>
      <c r="L326" s="2" t="s">
        <v>2076</v>
      </c>
      <c r="M326" s="2" t="s">
        <v>3389</v>
      </c>
      <c r="N326" s="3" t="s">
        <v>204</v>
      </c>
      <c r="P326" s="3" t="s">
        <v>66</v>
      </c>
      <c r="Q326" s="2" t="s">
        <v>2556</v>
      </c>
      <c r="R326" s="3" t="s">
        <v>67</v>
      </c>
      <c r="S326" s="4">
        <v>2</v>
      </c>
      <c r="T326" s="4">
        <v>7</v>
      </c>
      <c r="U326" s="5" t="s">
        <v>3390</v>
      </c>
      <c r="V326" s="5" t="s">
        <v>3390</v>
      </c>
      <c r="W326" s="5" t="s">
        <v>69</v>
      </c>
      <c r="X326" s="5" t="s">
        <v>69</v>
      </c>
      <c r="Y326" s="4">
        <v>123</v>
      </c>
      <c r="Z326" s="4">
        <v>12</v>
      </c>
      <c r="AA326" s="4">
        <v>13</v>
      </c>
      <c r="AB326" s="4">
        <v>1</v>
      </c>
      <c r="AC326" s="4">
        <v>1</v>
      </c>
      <c r="AD326" s="4">
        <v>51</v>
      </c>
      <c r="AE326" s="4">
        <v>52</v>
      </c>
      <c r="AF326" s="4">
        <v>0</v>
      </c>
      <c r="AG326" s="4">
        <v>0</v>
      </c>
      <c r="AH326" s="4">
        <v>46</v>
      </c>
      <c r="AI326" s="4">
        <v>47</v>
      </c>
      <c r="AJ326" s="4">
        <v>9</v>
      </c>
      <c r="AK326" s="4">
        <v>10</v>
      </c>
      <c r="AL326" s="4">
        <v>29</v>
      </c>
      <c r="AM326" s="4">
        <v>29</v>
      </c>
      <c r="AN326" s="4">
        <v>0</v>
      </c>
      <c r="AO326" s="4">
        <v>0</v>
      </c>
      <c r="AP326" s="4">
        <v>9</v>
      </c>
      <c r="AQ326" s="4">
        <v>10</v>
      </c>
      <c r="AR326" s="3" t="s">
        <v>63</v>
      </c>
      <c r="AS326" s="3" t="s">
        <v>63</v>
      </c>
      <c r="AT326" s="3" t="s">
        <v>62</v>
      </c>
      <c r="AU326" s="6" t="str">
        <f>HYPERLINK("http://catalog.hathitrust.org/Record/003057611","HathiTrust Record")</f>
        <v>HathiTrust Record</v>
      </c>
      <c r="AV326" s="6" t="str">
        <f>HYPERLINK("http://mcgill.on.worldcat.org/oclc/34686688","Catalog Record")</f>
        <v>Catalog Record</v>
      </c>
      <c r="AW326" s="6" t="str">
        <f>HYPERLINK("http://www.worldcat.org/oclc/34686688","WorldCat Record")</f>
        <v>WorldCat Record</v>
      </c>
      <c r="AX326" s="3" t="s">
        <v>3391</v>
      </c>
      <c r="AY326" s="3" t="s">
        <v>3392</v>
      </c>
      <c r="AZ326" s="3" t="s">
        <v>3393</v>
      </c>
      <c r="BA326" s="3" t="s">
        <v>3393</v>
      </c>
      <c r="BB326" s="3" t="s">
        <v>3394</v>
      </c>
      <c r="BC326" s="3" t="s">
        <v>82</v>
      </c>
      <c r="BD326" s="3" t="s">
        <v>70</v>
      </c>
      <c r="BE326" s="3" t="s">
        <v>3395</v>
      </c>
      <c r="BF326" s="3" t="s">
        <v>3394</v>
      </c>
      <c r="BG326" s="3" t="s">
        <v>3396</v>
      </c>
    </row>
    <row r="327" spans="1:59" ht="60" x14ac:dyDescent="0.25">
      <c r="A327" s="2" t="s">
        <v>59</v>
      </c>
      <c r="B327" s="2" t="s">
        <v>60</v>
      </c>
      <c r="C327" s="2" t="s">
        <v>3386</v>
      </c>
      <c r="D327" s="2" t="s">
        <v>3387</v>
      </c>
      <c r="E327" s="2" t="s">
        <v>3388</v>
      </c>
      <c r="G327" s="3" t="s">
        <v>63</v>
      </c>
      <c r="I327" s="3" t="s">
        <v>62</v>
      </c>
      <c r="J327" s="3" t="s">
        <v>63</v>
      </c>
      <c r="K327" s="3" t="s">
        <v>64</v>
      </c>
      <c r="L327" s="2" t="s">
        <v>2076</v>
      </c>
      <c r="M327" s="2" t="s">
        <v>3389</v>
      </c>
      <c r="N327" s="3" t="s">
        <v>204</v>
      </c>
      <c r="P327" s="3" t="s">
        <v>66</v>
      </c>
      <c r="Q327" s="2" t="s">
        <v>2556</v>
      </c>
      <c r="R327" s="3" t="s">
        <v>67</v>
      </c>
      <c r="S327" s="4">
        <v>5</v>
      </c>
      <c r="T327" s="4">
        <v>7</v>
      </c>
      <c r="U327" s="5" t="s">
        <v>3397</v>
      </c>
      <c r="V327" s="5" t="s">
        <v>3390</v>
      </c>
      <c r="W327" s="5" t="s">
        <v>69</v>
      </c>
      <c r="X327" s="5" t="s">
        <v>69</v>
      </c>
      <c r="Y327" s="4">
        <v>123</v>
      </c>
      <c r="Z327" s="4">
        <v>12</v>
      </c>
      <c r="AA327" s="4">
        <v>13</v>
      </c>
      <c r="AB327" s="4">
        <v>1</v>
      </c>
      <c r="AC327" s="4">
        <v>1</v>
      </c>
      <c r="AD327" s="4">
        <v>51</v>
      </c>
      <c r="AE327" s="4">
        <v>52</v>
      </c>
      <c r="AF327" s="4">
        <v>0</v>
      </c>
      <c r="AG327" s="4">
        <v>0</v>
      </c>
      <c r="AH327" s="4">
        <v>46</v>
      </c>
      <c r="AI327" s="4">
        <v>47</v>
      </c>
      <c r="AJ327" s="4">
        <v>9</v>
      </c>
      <c r="AK327" s="4">
        <v>10</v>
      </c>
      <c r="AL327" s="4">
        <v>29</v>
      </c>
      <c r="AM327" s="4">
        <v>29</v>
      </c>
      <c r="AN327" s="4">
        <v>0</v>
      </c>
      <c r="AO327" s="4">
        <v>0</v>
      </c>
      <c r="AP327" s="4">
        <v>9</v>
      </c>
      <c r="AQ327" s="4">
        <v>10</v>
      </c>
      <c r="AR327" s="3" t="s">
        <v>63</v>
      </c>
      <c r="AS327" s="3" t="s">
        <v>63</v>
      </c>
      <c r="AT327" s="3" t="s">
        <v>62</v>
      </c>
      <c r="AU327" s="6" t="str">
        <f>HYPERLINK("http://catalog.hathitrust.org/Record/003057611","HathiTrust Record")</f>
        <v>HathiTrust Record</v>
      </c>
      <c r="AV327" s="6" t="str">
        <f>HYPERLINK("http://mcgill.on.worldcat.org/oclc/34686688","Catalog Record")</f>
        <v>Catalog Record</v>
      </c>
      <c r="AW327" s="6" t="str">
        <f>HYPERLINK("http://www.worldcat.org/oclc/34686688","WorldCat Record")</f>
        <v>WorldCat Record</v>
      </c>
      <c r="AX327" s="3" t="s">
        <v>3391</v>
      </c>
      <c r="AY327" s="3" t="s">
        <v>3392</v>
      </c>
      <c r="AZ327" s="3" t="s">
        <v>3393</v>
      </c>
      <c r="BA327" s="3" t="s">
        <v>3393</v>
      </c>
      <c r="BB327" s="3" t="s">
        <v>3398</v>
      </c>
      <c r="BC327" s="3" t="s">
        <v>82</v>
      </c>
      <c r="BD327" s="3" t="s">
        <v>70</v>
      </c>
      <c r="BE327" s="3" t="s">
        <v>3395</v>
      </c>
      <c r="BF327" s="3" t="s">
        <v>3398</v>
      </c>
      <c r="BG327" s="3" t="s">
        <v>3399</v>
      </c>
    </row>
    <row r="328" spans="1:59" ht="60" x14ac:dyDescent="0.25">
      <c r="A328" s="2" t="s">
        <v>59</v>
      </c>
      <c r="B328" s="2" t="s">
        <v>60</v>
      </c>
      <c r="C328" s="2" t="s">
        <v>3400</v>
      </c>
      <c r="D328" s="2" t="s">
        <v>3401</v>
      </c>
      <c r="E328" s="2" t="s">
        <v>3402</v>
      </c>
      <c r="G328" s="3" t="s">
        <v>63</v>
      </c>
      <c r="I328" s="3" t="s">
        <v>63</v>
      </c>
      <c r="J328" s="3" t="s">
        <v>63</v>
      </c>
      <c r="K328" s="3" t="s">
        <v>64</v>
      </c>
      <c r="L328" s="2" t="s">
        <v>3403</v>
      </c>
      <c r="M328" s="2" t="s">
        <v>3404</v>
      </c>
      <c r="N328" s="3" t="s">
        <v>2393</v>
      </c>
      <c r="P328" s="3" t="s">
        <v>66</v>
      </c>
      <c r="Q328" s="2" t="s">
        <v>3405</v>
      </c>
      <c r="R328" s="3" t="s">
        <v>67</v>
      </c>
      <c r="S328" s="4">
        <v>8</v>
      </c>
      <c r="T328" s="4">
        <v>8</v>
      </c>
      <c r="U328" s="5" t="s">
        <v>616</v>
      </c>
      <c r="V328" s="5" t="s">
        <v>616</v>
      </c>
      <c r="W328" s="5" t="s">
        <v>69</v>
      </c>
      <c r="X328" s="5" t="s">
        <v>69</v>
      </c>
      <c r="Y328" s="4">
        <v>99</v>
      </c>
      <c r="Z328" s="4">
        <v>10</v>
      </c>
      <c r="AA328" s="4">
        <v>10</v>
      </c>
      <c r="AB328" s="4">
        <v>1</v>
      </c>
      <c r="AC328" s="4">
        <v>1</v>
      </c>
      <c r="AD328" s="4">
        <v>45</v>
      </c>
      <c r="AE328" s="4">
        <v>45</v>
      </c>
      <c r="AF328" s="4">
        <v>0</v>
      </c>
      <c r="AG328" s="4">
        <v>0</v>
      </c>
      <c r="AH328" s="4">
        <v>42</v>
      </c>
      <c r="AI328" s="4">
        <v>42</v>
      </c>
      <c r="AJ328" s="4">
        <v>8</v>
      </c>
      <c r="AK328" s="4">
        <v>8</v>
      </c>
      <c r="AL328" s="4">
        <v>27</v>
      </c>
      <c r="AM328" s="4">
        <v>27</v>
      </c>
      <c r="AN328" s="4">
        <v>0</v>
      </c>
      <c r="AO328" s="4">
        <v>0</v>
      </c>
      <c r="AP328" s="4">
        <v>8</v>
      </c>
      <c r="AQ328" s="4">
        <v>8</v>
      </c>
      <c r="AR328" s="3" t="s">
        <v>63</v>
      </c>
      <c r="AS328" s="3" t="s">
        <v>63</v>
      </c>
      <c r="AT328" s="3" t="s">
        <v>62</v>
      </c>
      <c r="AU328" s="6" t="str">
        <f>HYPERLINK("http://catalog.hathitrust.org/Record/001648297","HathiTrust Record")</f>
        <v>HathiTrust Record</v>
      </c>
      <c r="AV328" s="6" t="str">
        <f>HYPERLINK("http://mcgill.on.worldcat.org/oclc/1120267","Catalog Record")</f>
        <v>Catalog Record</v>
      </c>
      <c r="AW328" s="6" t="str">
        <f>HYPERLINK("http://www.worldcat.org/oclc/1120267","WorldCat Record")</f>
        <v>WorldCat Record</v>
      </c>
      <c r="AX328" s="3" t="s">
        <v>3406</v>
      </c>
      <c r="AY328" s="3" t="s">
        <v>3407</v>
      </c>
      <c r="AZ328" s="3" t="s">
        <v>3408</v>
      </c>
      <c r="BA328" s="3" t="s">
        <v>3408</v>
      </c>
      <c r="BB328" s="3" t="s">
        <v>3409</v>
      </c>
      <c r="BC328" s="3" t="s">
        <v>82</v>
      </c>
      <c r="BD328" s="3" t="s">
        <v>70</v>
      </c>
      <c r="BE328" s="3" t="s">
        <v>3410</v>
      </c>
      <c r="BF328" s="3" t="s">
        <v>3409</v>
      </c>
      <c r="BG328" s="3" t="s">
        <v>3411</v>
      </c>
    </row>
    <row r="329" spans="1:59" ht="60" x14ac:dyDescent="0.25">
      <c r="A329" s="2" t="s">
        <v>59</v>
      </c>
      <c r="B329" s="2" t="s">
        <v>60</v>
      </c>
      <c r="C329" s="2" t="s">
        <v>3412</v>
      </c>
      <c r="D329" s="2" t="s">
        <v>3413</v>
      </c>
      <c r="E329" s="2" t="s">
        <v>3414</v>
      </c>
      <c r="G329" s="3" t="s">
        <v>63</v>
      </c>
      <c r="I329" s="3" t="s">
        <v>63</v>
      </c>
      <c r="J329" s="3" t="s">
        <v>63</v>
      </c>
      <c r="K329" s="3" t="s">
        <v>64</v>
      </c>
      <c r="L329" s="2" t="s">
        <v>3415</v>
      </c>
      <c r="M329" s="2" t="s">
        <v>3416</v>
      </c>
      <c r="N329" s="3" t="s">
        <v>1296</v>
      </c>
      <c r="O329" s="2" t="s">
        <v>976</v>
      </c>
      <c r="P329" s="3" t="s">
        <v>66</v>
      </c>
      <c r="Q329" s="2" t="s">
        <v>3417</v>
      </c>
      <c r="R329" s="3" t="s">
        <v>67</v>
      </c>
      <c r="S329" s="4">
        <v>9</v>
      </c>
      <c r="T329" s="4">
        <v>9</v>
      </c>
      <c r="U329" s="5" t="s">
        <v>3136</v>
      </c>
      <c r="V329" s="5" t="s">
        <v>3136</v>
      </c>
      <c r="W329" s="5" t="s">
        <v>69</v>
      </c>
      <c r="X329" s="5" t="s">
        <v>69</v>
      </c>
      <c r="Y329" s="4">
        <v>153</v>
      </c>
      <c r="Z329" s="4">
        <v>14</v>
      </c>
      <c r="AA329" s="4">
        <v>15</v>
      </c>
      <c r="AB329" s="4">
        <v>1</v>
      </c>
      <c r="AC329" s="4">
        <v>1</v>
      </c>
      <c r="AD329" s="4">
        <v>69</v>
      </c>
      <c r="AE329" s="4">
        <v>70</v>
      </c>
      <c r="AF329" s="4">
        <v>0</v>
      </c>
      <c r="AG329" s="4">
        <v>0</v>
      </c>
      <c r="AH329" s="4">
        <v>62</v>
      </c>
      <c r="AI329" s="4">
        <v>63</v>
      </c>
      <c r="AJ329" s="4">
        <v>11</v>
      </c>
      <c r="AK329" s="4">
        <v>12</v>
      </c>
      <c r="AL329" s="4">
        <v>38</v>
      </c>
      <c r="AM329" s="4">
        <v>38</v>
      </c>
      <c r="AN329" s="4">
        <v>0</v>
      </c>
      <c r="AO329" s="4">
        <v>0</v>
      </c>
      <c r="AP329" s="4">
        <v>11</v>
      </c>
      <c r="AQ329" s="4">
        <v>12</v>
      </c>
      <c r="AR329" s="3" t="s">
        <v>63</v>
      </c>
      <c r="AS329" s="3" t="s">
        <v>63</v>
      </c>
      <c r="AT329" s="3" t="s">
        <v>62</v>
      </c>
      <c r="AU329" s="6" t="str">
        <f>HYPERLINK("http://catalog.hathitrust.org/Record/007124202","HathiTrust Record")</f>
        <v>HathiTrust Record</v>
      </c>
      <c r="AV329" s="6" t="str">
        <f>HYPERLINK("http://mcgill.on.worldcat.org/oclc/322772","Catalog Record")</f>
        <v>Catalog Record</v>
      </c>
      <c r="AW329" s="6" t="str">
        <f>HYPERLINK("http://www.worldcat.org/oclc/322772","WorldCat Record")</f>
        <v>WorldCat Record</v>
      </c>
      <c r="AX329" s="3" t="s">
        <v>3418</v>
      </c>
      <c r="AY329" s="3" t="s">
        <v>3419</v>
      </c>
      <c r="AZ329" s="3" t="s">
        <v>3420</v>
      </c>
      <c r="BA329" s="3" t="s">
        <v>3420</v>
      </c>
      <c r="BB329" s="3" t="s">
        <v>3421</v>
      </c>
      <c r="BC329" s="3" t="s">
        <v>82</v>
      </c>
      <c r="BD329" s="3" t="s">
        <v>70</v>
      </c>
      <c r="BE329" s="3" t="s">
        <v>3422</v>
      </c>
      <c r="BF329" s="3" t="s">
        <v>3421</v>
      </c>
      <c r="BG329" s="3" t="s">
        <v>3423</v>
      </c>
    </row>
    <row r="330" spans="1:59" ht="60" x14ac:dyDescent="0.25">
      <c r="A330" s="2" t="s">
        <v>59</v>
      </c>
      <c r="B330" s="2" t="s">
        <v>60</v>
      </c>
      <c r="C330" s="2" t="s">
        <v>3424</v>
      </c>
      <c r="D330" s="2" t="s">
        <v>3425</v>
      </c>
      <c r="E330" s="2" t="s">
        <v>3426</v>
      </c>
      <c r="G330" s="3" t="s">
        <v>63</v>
      </c>
      <c r="I330" s="3" t="s">
        <v>63</v>
      </c>
      <c r="J330" s="3" t="s">
        <v>63</v>
      </c>
      <c r="K330" s="3" t="s">
        <v>64</v>
      </c>
      <c r="L330" s="2" t="s">
        <v>3427</v>
      </c>
      <c r="M330" s="2" t="s">
        <v>3428</v>
      </c>
      <c r="N330" s="3" t="s">
        <v>76</v>
      </c>
      <c r="P330" s="3" t="s">
        <v>90</v>
      </c>
      <c r="Q330" s="2" t="s">
        <v>3429</v>
      </c>
      <c r="R330" s="3" t="s">
        <v>67</v>
      </c>
      <c r="S330" s="4">
        <v>0</v>
      </c>
      <c r="T330" s="4">
        <v>0</v>
      </c>
      <c r="W330" s="5" t="s">
        <v>69</v>
      </c>
      <c r="X330" s="5" t="s">
        <v>69</v>
      </c>
      <c r="Y330" s="4">
        <v>38</v>
      </c>
      <c r="Z330" s="4">
        <v>4</v>
      </c>
      <c r="AA330" s="4">
        <v>4</v>
      </c>
      <c r="AB330" s="4">
        <v>1</v>
      </c>
      <c r="AC330" s="4">
        <v>1</v>
      </c>
      <c r="AD330" s="4">
        <v>26</v>
      </c>
      <c r="AE330" s="4">
        <v>26</v>
      </c>
      <c r="AF330" s="4">
        <v>0</v>
      </c>
      <c r="AG330" s="4">
        <v>0</v>
      </c>
      <c r="AH330" s="4">
        <v>25</v>
      </c>
      <c r="AI330" s="4">
        <v>25</v>
      </c>
      <c r="AJ330" s="4">
        <v>2</v>
      </c>
      <c r="AK330" s="4">
        <v>2</v>
      </c>
      <c r="AL330" s="4">
        <v>21</v>
      </c>
      <c r="AM330" s="4">
        <v>21</v>
      </c>
      <c r="AN330" s="4">
        <v>0</v>
      </c>
      <c r="AO330" s="4">
        <v>0</v>
      </c>
      <c r="AP330" s="4">
        <v>2</v>
      </c>
      <c r="AQ330" s="4">
        <v>2</v>
      </c>
      <c r="AR330" s="3" t="s">
        <v>63</v>
      </c>
      <c r="AS330" s="3" t="s">
        <v>63</v>
      </c>
      <c r="AT330" s="3" t="s">
        <v>63</v>
      </c>
      <c r="AV330" s="6" t="str">
        <f>HYPERLINK("http://mcgill.on.worldcat.org/oclc/793187408","Catalog Record")</f>
        <v>Catalog Record</v>
      </c>
      <c r="AW330" s="6" t="str">
        <f>HYPERLINK("http://www.worldcat.org/oclc/793187408","WorldCat Record")</f>
        <v>WorldCat Record</v>
      </c>
      <c r="AX330" s="3" t="s">
        <v>3430</v>
      </c>
      <c r="AY330" s="3" t="s">
        <v>3431</v>
      </c>
      <c r="AZ330" s="3" t="s">
        <v>3432</v>
      </c>
      <c r="BA330" s="3" t="s">
        <v>3432</v>
      </c>
      <c r="BB330" s="3" t="s">
        <v>3433</v>
      </c>
      <c r="BC330" s="3" t="s">
        <v>82</v>
      </c>
      <c r="BD330" s="3" t="s">
        <v>70</v>
      </c>
      <c r="BE330" s="3" t="s">
        <v>3434</v>
      </c>
      <c r="BF330" s="3" t="s">
        <v>3433</v>
      </c>
      <c r="BG330" s="3" t="s">
        <v>3435</v>
      </c>
    </row>
    <row r="331" spans="1:59" ht="60" x14ac:dyDescent="0.25">
      <c r="A331" s="2" t="s">
        <v>59</v>
      </c>
      <c r="B331" s="2" t="s">
        <v>60</v>
      </c>
      <c r="C331" s="2" t="s">
        <v>3436</v>
      </c>
      <c r="D331" s="2" t="s">
        <v>3437</v>
      </c>
      <c r="E331" s="2" t="s">
        <v>3438</v>
      </c>
      <c r="F331" s="3" t="s">
        <v>3439</v>
      </c>
      <c r="G331" s="3" t="s">
        <v>63</v>
      </c>
      <c r="I331" s="3" t="s">
        <v>63</v>
      </c>
      <c r="J331" s="3" t="s">
        <v>63</v>
      </c>
      <c r="K331" s="3" t="s">
        <v>64</v>
      </c>
      <c r="M331" s="2" t="s">
        <v>3440</v>
      </c>
      <c r="N331" s="3" t="s">
        <v>629</v>
      </c>
      <c r="P331" s="3" t="s">
        <v>66</v>
      </c>
      <c r="R331" s="3" t="s">
        <v>67</v>
      </c>
      <c r="S331" s="4">
        <v>7</v>
      </c>
      <c r="T331" s="4">
        <v>7</v>
      </c>
      <c r="U331" s="5" t="s">
        <v>3441</v>
      </c>
      <c r="V331" s="5" t="s">
        <v>3441</v>
      </c>
      <c r="W331" s="5" t="s">
        <v>69</v>
      </c>
      <c r="X331" s="5" t="s">
        <v>69</v>
      </c>
      <c r="Y331" s="4">
        <v>63</v>
      </c>
      <c r="Z331" s="4">
        <v>4</v>
      </c>
      <c r="AA331" s="4">
        <v>4</v>
      </c>
      <c r="AB331" s="4">
        <v>1</v>
      </c>
      <c r="AC331" s="4">
        <v>1</v>
      </c>
      <c r="AD331" s="4">
        <v>7</v>
      </c>
      <c r="AE331" s="4">
        <v>7</v>
      </c>
      <c r="AF331" s="4">
        <v>0</v>
      </c>
      <c r="AG331" s="4">
        <v>0</v>
      </c>
      <c r="AH331" s="4">
        <v>7</v>
      </c>
      <c r="AI331" s="4">
        <v>7</v>
      </c>
      <c r="AJ331" s="4">
        <v>1</v>
      </c>
      <c r="AK331" s="4">
        <v>1</v>
      </c>
      <c r="AL331" s="4">
        <v>1</v>
      </c>
      <c r="AM331" s="4">
        <v>1</v>
      </c>
      <c r="AN331" s="4">
        <v>0</v>
      </c>
      <c r="AO331" s="4">
        <v>0</v>
      </c>
      <c r="AP331" s="4">
        <v>1</v>
      </c>
      <c r="AQ331" s="4">
        <v>1</v>
      </c>
      <c r="AR331" s="3" t="s">
        <v>63</v>
      </c>
      <c r="AS331" s="3" t="s">
        <v>63</v>
      </c>
      <c r="AT331" s="3" t="s">
        <v>63</v>
      </c>
      <c r="AV331" s="6" t="str">
        <f>HYPERLINK("http://mcgill.on.worldcat.org/oclc/714728191","Catalog Record")</f>
        <v>Catalog Record</v>
      </c>
      <c r="AW331" s="6" t="str">
        <f>HYPERLINK("http://www.worldcat.org/oclc/714728191","WorldCat Record")</f>
        <v>WorldCat Record</v>
      </c>
      <c r="AX331" s="3" t="s">
        <v>3442</v>
      </c>
      <c r="AY331" s="3" t="s">
        <v>3443</v>
      </c>
      <c r="AZ331" s="3" t="s">
        <v>3444</v>
      </c>
      <c r="BA331" s="3" t="s">
        <v>3444</v>
      </c>
      <c r="BB331" s="3" t="s">
        <v>3445</v>
      </c>
      <c r="BC331" s="3" t="s">
        <v>82</v>
      </c>
      <c r="BD331" s="3" t="s">
        <v>70</v>
      </c>
      <c r="BE331" s="3" t="s">
        <v>3446</v>
      </c>
      <c r="BF331" s="3" t="s">
        <v>3445</v>
      </c>
      <c r="BG331" s="3" t="s">
        <v>3447</v>
      </c>
    </row>
    <row r="332" spans="1:59" ht="105" x14ac:dyDescent="0.25">
      <c r="A332" s="2" t="s">
        <v>59</v>
      </c>
      <c r="B332" s="2" t="s">
        <v>3448</v>
      </c>
      <c r="C332" s="2" t="s">
        <v>3449</v>
      </c>
      <c r="D332" s="2" t="s">
        <v>3450</v>
      </c>
      <c r="E332" s="2" t="s">
        <v>3451</v>
      </c>
      <c r="G332" s="3" t="s">
        <v>63</v>
      </c>
      <c r="I332" s="3" t="s">
        <v>63</v>
      </c>
      <c r="J332" s="3" t="s">
        <v>63</v>
      </c>
      <c r="K332" s="3" t="s">
        <v>64</v>
      </c>
      <c r="M332" s="2" t="s">
        <v>3452</v>
      </c>
      <c r="N332" s="3" t="s">
        <v>130</v>
      </c>
      <c r="O332" s="2" t="s">
        <v>590</v>
      </c>
      <c r="P332" s="3" t="s">
        <v>66</v>
      </c>
      <c r="R332" s="3" t="s">
        <v>67</v>
      </c>
      <c r="S332" s="4">
        <v>2</v>
      </c>
      <c r="T332" s="4">
        <v>2</v>
      </c>
      <c r="U332" s="5" t="s">
        <v>3453</v>
      </c>
      <c r="V332" s="5" t="s">
        <v>3453</v>
      </c>
      <c r="W332" s="5" t="s">
        <v>69</v>
      </c>
      <c r="X332" s="5" t="s">
        <v>69</v>
      </c>
      <c r="Y332" s="4">
        <v>203</v>
      </c>
      <c r="Z332" s="4">
        <v>13</v>
      </c>
      <c r="AA332" s="4">
        <v>15</v>
      </c>
      <c r="AB332" s="4">
        <v>1</v>
      </c>
      <c r="AC332" s="4">
        <v>3</v>
      </c>
      <c r="AD332" s="4">
        <v>14</v>
      </c>
      <c r="AE332" s="4">
        <v>15</v>
      </c>
      <c r="AF332" s="4">
        <v>0</v>
      </c>
      <c r="AG332" s="4">
        <v>1</v>
      </c>
      <c r="AH332" s="4">
        <v>13</v>
      </c>
      <c r="AI332" s="4">
        <v>13</v>
      </c>
      <c r="AJ332" s="4">
        <v>3</v>
      </c>
      <c r="AK332" s="4">
        <v>4</v>
      </c>
      <c r="AL332" s="4">
        <v>7</v>
      </c>
      <c r="AM332" s="4">
        <v>7</v>
      </c>
      <c r="AN332" s="4">
        <v>0</v>
      </c>
      <c r="AO332" s="4">
        <v>0</v>
      </c>
      <c r="AP332" s="4">
        <v>3</v>
      </c>
      <c r="AQ332" s="4">
        <v>3</v>
      </c>
      <c r="AR332" s="3" t="s">
        <v>63</v>
      </c>
      <c r="AS332" s="3" t="s">
        <v>63</v>
      </c>
      <c r="AT332" s="3" t="s">
        <v>63</v>
      </c>
      <c r="AV332" s="6" t="str">
        <f>HYPERLINK("http://mcgill.on.worldcat.org/oclc/824180055","Catalog Record")</f>
        <v>Catalog Record</v>
      </c>
      <c r="AW332" s="6" t="str">
        <f>HYPERLINK("http://www.worldcat.org/oclc/824180055","WorldCat Record")</f>
        <v>WorldCat Record</v>
      </c>
      <c r="AX332" s="3" t="s">
        <v>3454</v>
      </c>
      <c r="AY332" s="3" t="s">
        <v>3455</v>
      </c>
      <c r="AZ332" s="3" t="s">
        <v>3456</v>
      </c>
      <c r="BA332" s="3" t="s">
        <v>3456</v>
      </c>
      <c r="BB332" s="3" t="s">
        <v>3457</v>
      </c>
      <c r="BC332" s="3" t="s">
        <v>82</v>
      </c>
      <c r="BD332" s="3" t="s">
        <v>70</v>
      </c>
      <c r="BE332" s="3" t="s">
        <v>3458</v>
      </c>
      <c r="BF332" s="3" t="s">
        <v>3457</v>
      </c>
      <c r="BG332" s="3" t="s">
        <v>3459</v>
      </c>
    </row>
    <row r="333" spans="1:59" ht="60" x14ac:dyDescent="0.25">
      <c r="A333" s="2" t="s">
        <v>3460</v>
      </c>
      <c r="B333" s="2" t="s">
        <v>3461</v>
      </c>
      <c r="C333" s="2" t="s">
        <v>3462</v>
      </c>
      <c r="D333" s="2" t="s">
        <v>3463</v>
      </c>
      <c r="E333" s="2" t="s">
        <v>3464</v>
      </c>
      <c r="G333" s="3" t="s">
        <v>63</v>
      </c>
      <c r="I333" s="3" t="s">
        <v>63</v>
      </c>
      <c r="J333" s="3" t="s">
        <v>62</v>
      </c>
      <c r="K333" s="3" t="s">
        <v>64</v>
      </c>
      <c r="M333" s="2" t="s">
        <v>3465</v>
      </c>
      <c r="N333" s="3" t="s">
        <v>2535</v>
      </c>
      <c r="O333" s="2" t="s">
        <v>744</v>
      </c>
      <c r="P333" s="3" t="s">
        <v>66</v>
      </c>
      <c r="R333" s="3" t="s">
        <v>67</v>
      </c>
      <c r="S333" s="4">
        <v>1</v>
      </c>
      <c r="T333" s="4">
        <v>1</v>
      </c>
      <c r="U333" s="5" t="s">
        <v>3466</v>
      </c>
      <c r="V333" s="5" t="s">
        <v>3466</v>
      </c>
      <c r="W333" s="5" t="s">
        <v>69</v>
      </c>
      <c r="X333" s="5" t="s">
        <v>69</v>
      </c>
      <c r="Y333" s="4">
        <v>45</v>
      </c>
      <c r="Z333" s="4">
        <v>9</v>
      </c>
      <c r="AA333" s="4">
        <v>23</v>
      </c>
      <c r="AB333" s="4">
        <v>1</v>
      </c>
      <c r="AC333" s="4">
        <v>3</v>
      </c>
      <c r="AD333" s="4">
        <v>17</v>
      </c>
      <c r="AE333" s="4">
        <v>43</v>
      </c>
      <c r="AF333" s="4">
        <v>0</v>
      </c>
      <c r="AG333" s="4">
        <v>2</v>
      </c>
      <c r="AH333" s="4">
        <v>12</v>
      </c>
      <c r="AI333" s="4">
        <v>34</v>
      </c>
      <c r="AJ333" s="4">
        <v>6</v>
      </c>
      <c r="AK333" s="4">
        <v>12</v>
      </c>
      <c r="AL333" s="4">
        <v>5</v>
      </c>
      <c r="AM333" s="4">
        <v>18</v>
      </c>
      <c r="AN333" s="4">
        <v>0</v>
      </c>
      <c r="AO333" s="4">
        <v>0</v>
      </c>
      <c r="AP333" s="4">
        <v>7</v>
      </c>
      <c r="AQ333" s="4">
        <v>13</v>
      </c>
      <c r="AR333" s="3" t="s">
        <v>63</v>
      </c>
      <c r="AS333" s="3" t="s">
        <v>63</v>
      </c>
      <c r="AT333" s="3" t="s">
        <v>63</v>
      </c>
      <c r="AV333" s="6" t="str">
        <f>HYPERLINK("http://mcgill.on.worldcat.org/oclc/2912856","Catalog Record")</f>
        <v>Catalog Record</v>
      </c>
      <c r="AW333" s="6" t="str">
        <f>HYPERLINK("http://www.worldcat.org/oclc/2912856","WorldCat Record")</f>
        <v>WorldCat Record</v>
      </c>
      <c r="AX333" s="3" t="s">
        <v>3467</v>
      </c>
      <c r="AY333" s="3" t="s">
        <v>3468</v>
      </c>
      <c r="AZ333" s="3" t="s">
        <v>3469</v>
      </c>
      <c r="BA333" s="3" t="s">
        <v>3469</v>
      </c>
      <c r="BB333" s="3" t="s">
        <v>3470</v>
      </c>
      <c r="BC333" s="3" t="s">
        <v>82</v>
      </c>
      <c r="BD333" s="3" t="s">
        <v>70</v>
      </c>
      <c r="BF333" s="3" t="s">
        <v>3470</v>
      </c>
      <c r="BG333" s="3" t="s">
        <v>3471</v>
      </c>
    </row>
    <row r="334" spans="1:59" ht="60" x14ac:dyDescent="0.25">
      <c r="A334" s="2" t="s">
        <v>59</v>
      </c>
      <c r="B334" s="2" t="s">
        <v>60</v>
      </c>
      <c r="C334" s="2" t="s">
        <v>3472</v>
      </c>
      <c r="D334" s="2" t="s">
        <v>3473</v>
      </c>
      <c r="E334" s="2" t="s">
        <v>3474</v>
      </c>
      <c r="G334" s="3" t="s">
        <v>63</v>
      </c>
      <c r="I334" s="3" t="s">
        <v>63</v>
      </c>
      <c r="J334" s="3" t="s">
        <v>63</v>
      </c>
      <c r="K334" s="3" t="s">
        <v>64</v>
      </c>
      <c r="L334" s="2" t="s">
        <v>3475</v>
      </c>
      <c r="M334" s="2" t="s">
        <v>3476</v>
      </c>
      <c r="N334" s="3" t="s">
        <v>2535</v>
      </c>
      <c r="P334" s="3" t="s">
        <v>66</v>
      </c>
      <c r="R334" s="3" t="s">
        <v>67</v>
      </c>
      <c r="S334" s="4">
        <v>10</v>
      </c>
      <c r="T334" s="4">
        <v>10</v>
      </c>
      <c r="U334" s="5" t="s">
        <v>3477</v>
      </c>
      <c r="V334" s="5" t="s">
        <v>3477</v>
      </c>
      <c r="W334" s="5" t="s">
        <v>69</v>
      </c>
      <c r="X334" s="5" t="s">
        <v>69</v>
      </c>
      <c r="Y334" s="4">
        <v>202</v>
      </c>
      <c r="Z334" s="4">
        <v>10</v>
      </c>
      <c r="AA334" s="4">
        <v>14</v>
      </c>
      <c r="AB334" s="4">
        <v>1</v>
      </c>
      <c r="AC334" s="4">
        <v>3</v>
      </c>
      <c r="AD334" s="4">
        <v>36</v>
      </c>
      <c r="AE334" s="4">
        <v>43</v>
      </c>
      <c r="AF334" s="4">
        <v>0</v>
      </c>
      <c r="AG334" s="4">
        <v>1</v>
      </c>
      <c r="AH334" s="4">
        <v>30</v>
      </c>
      <c r="AI334" s="4">
        <v>37</v>
      </c>
      <c r="AJ334" s="4">
        <v>6</v>
      </c>
      <c r="AK334" s="4">
        <v>7</v>
      </c>
      <c r="AL334" s="4">
        <v>22</v>
      </c>
      <c r="AM334" s="4">
        <v>25</v>
      </c>
      <c r="AN334" s="4">
        <v>0</v>
      </c>
      <c r="AO334" s="4">
        <v>0</v>
      </c>
      <c r="AP334" s="4">
        <v>8</v>
      </c>
      <c r="AQ334" s="4">
        <v>9</v>
      </c>
      <c r="AR334" s="3" t="s">
        <v>63</v>
      </c>
      <c r="AS334" s="3" t="s">
        <v>63</v>
      </c>
      <c r="AT334" s="3" t="s">
        <v>63</v>
      </c>
      <c r="AV334" s="6" t="str">
        <f>HYPERLINK("http://mcgill.on.worldcat.org/oclc/667802","Catalog Record")</f>
        <v>Catalog Record</v>
      </c>
      <c r="AW334" s="6" t="str">
        <f>HYPERLINK("http://www.worldcat.org/oclc/667802","WorldCat Record")</f>
        <v>WorldCat Record</v>
      </c>
      <c r="AX334" s="3" t="s">
        <v>3478</v>
      </c>
      <c r="AY334" s="3" t="s">
        <v>3479</v>
      </c>
      <c r="AZ334" s="3" t="s">
        <v>3480</v>
      </c>
      <c r="BA334" s="3" t="s">
        <v>3480</v>
      </c>
      <c r="BB334" s="3" t="s">
        <v>3481</v>
      </c>
      <c r="BC334" s="3" t="s">
        <v>82</v>
      </c>
      <c r="BD334" s="3" t="s">
        <v>70</v>
      </c>
      <c r="BE334" s="3" t="s">
        <v>3482</v>
      </c>
      <c r="BF334" s="3" t="s">
        <v>3481</v>
      </c>
      <c r="BG334" s="3" t="s">
        <v>3483</v>
      </c>
    </row>
    <row r="335" spans="1:59" ht="60" x14ac:dyDescent="0.25">
      <c r="A335" s="2" t="s">
        <v>59</v>
      </c>
      <c r="B335" s="2" t="s">
        <v>60</v>
      </c>
      <c r="C335" s="2" t="s">
        <v>3484</v>
      </c>
      <c r="D335" s="2" t="s">
        <v>3485</v>
      </c>
      <c r="E335" s="2" t="s">
        <v>3486</v>
      </c>
      <c r="G335" s="3" t="s">
        <v>63</v>
      </c>
      <c r="I335" s="3" t="s">
        <v>63</v>
      </c>
      <c r="J335" s="3" t="s">
        <v>63</v>
      </c>
      <c r="K335" s="3" t="s">
        <v>64</v>
      </c>
      <c r="M335" s="2" t="s">
        <v>3487</v>
      </c>
      <c r="N335" s="3" t="s">
        <v>326</v>
      </c>
      <c r="P335" s="3" t="s">
        <v>66</v>
      </c>
      <c r="R335" s="3" t="s">
        <v>67</v>
      </c>
      <c r="S335" s="4">
        <v>20</v>
      </c>
      <c r="T335" s="4">
        <v>20</v>
      </c>
      <c r="U335" s="5" t="s">
        <v>3488</v>
      </c>
      <c r="V335" s="5" t="s">
        <v>3488</v>
      </c>
      <c r="W335" s="5" t="s">
        <v>69</v>
      </c>
      <c r="X335" s="5" t="s">
        <v>69</v>
      </c>
      <c r="Y335" s="4">
        <v>52</v>
      </c>
      <c r="Z335" s="4">
        <v>9</v>
      </c>
      <c r="AA335" s="4">
        <v>9</v>
      </c>
      <c r="AB335" s="4">
        <v>3</v>
      </c>
      <c r="AC335" s="4">
        <v>3</v>
      </c>
      <c r="AD335" s="4">
        <v>7</v>
      </c>
      <c r="AE335" s="4">
        <v>7</v>
      </c>
      <c r="AF335" s="4">
        <v>0</v>
      </c>
      <c r="AG335" s="4">
        <v>0</v>
      </c>
      <c r="AH335" s="4">
        <v>6</v>
      </c>
      <c r="AI335" s="4">
        <v>6</v>
      </c>
      <c r="AJ335" s="4">
        <v>2</v>
      </c>
      <c r="AK335" s="4">
        <v>2</v>
      </c>
      <c r="AL335" s="4">
        <v>3</v>
      </c>
      <c r="AM335" s="4">
        <v>3</v>
      </c>
      <c r="AN335" s="4">
        <v>0</v>
      </c>
      <c r="AO335" s="4">
        <v>0</v>
      </c>
      <c r="AP335" s="4">
        <v>2</v>
      </c>
      <c r="AQ335" s="4">
        <v>2</v>
      </c>
      <c r="AR335" s="3" t="s">
        <v>63</v>
      </c>
      <c r="AS335" s="3" t="s">
        <v>63</v>
      </c>
      <c r="AT335" s="3" t="s">
        <v>63</v>
      </c>
      <c r="AV335" s="6" t="str">
        <f>HYPERLINK("http://mcgill.on.worldcat.org/oclc/502676920","Catalog Record")</f>
        <v>Catalog Record</v>
      </c>
      <c r="AW335" s="6" t="str">
        <f>HYPERLINK("http://www.worldcat.org/oclc/502676920","WorldCat Record")</f>
        <v>WorldCat Record</v>
      </c>
      <c r="AX335" s="3" t="s">
        <v>3489</v>
      </c>
      <c r="AY335" s="3" t="s">
        <v>3490</v>
      </c>
      <c r="AZ335" s="3" t="s">
        <v>3491</v>
      </c>
      <c r="BA335" s="3" t="s">
        <v>3491</v>
      </c>
      <c r="BB335" s="3" t="s">
        <v>3492</v>
      </c>
      <c r="BC335" s="3" t="s">
        <v>82</v>
      </c>
      <c r="BD335" s="3" t="s">
        <v>538</v>
      </c>
      <c r="BE335" s="3" t="s">
        <v>3493</v>
      </c>
      <c r="BF335" s="3" t="s">
        <v>3492</v>
      </c>
      <c r="BG335" s="3" t="s">
        <v>3494</v>
      </c>
    </row>
    <row r="336" spans="1:59" ht="60" x14ac:dyDescent="0.25">
      <c r="A336" s="2" t="s">
        <v>59</v>
      </c>
      <c r="B336" s="2" t="s">
        <v>60</v>
      </c>
      <c r="C336" s="2" t="s">
        <v>3495</v>
      </c>
      <c r="D336" s="2" t="s">
        <v>3496</v>
      </c>
      <c r="E336" s="2" t="s">
        <v>3497</v>
      </c>
      <c r="G336" s="3" t="s">
        <v>63</v>
      </c>
      <c r="I336" s="3" t="s">
        <v>63</v>
      </c>
      <c r="J336" s="3" t="s">
        <v>63</v>
      </c>
      <c r="K336" s="3" t="s">
        <v>64</v>
      </c>
      <c r="M336" s="2" t="s">
        <v>3498</v>
      </c>
      <c r="N336" s="3" t="s">
        <v>234</v>
      </c>
      <c r="O336" s="2" t="s">
        <v>590</v>
      </c>
      <c r="P336" s="3" t="s">
        <v>66</v>
      </c>
      <c r="R336" s="3" t="s">
        <v>67</v>
      </c>
      <c r="S336" s="4">
        <v>16</v>
      </c>
      <c r="T336" s="4">
        <v>16</v>
      </c>
      <c r="U336" s="5" t="s">
        <v>3499</v>
      </c>
      <c r="V336" s="5" t="s">
        <v>3499</v>
      </c>
      <c r="W336" s="5" t="s">
        <v>69</v>
      </c>
      <c r="X336" s="5" t="s">
        <v>69</v>
      </c>
      <c r="Y336" s="4">
        <v>211</v>
      </c>
      <c r="Z336" s="4">
        <v>15</v>
      </c>
      <c r="AA336" s="4">
        <v>15</v>
      </c>
      <c r="AB336" s="4">
        <v>3</v>
      </c>
      <c r="AC336" s="4">
        <v>3</v>
      </c>
      <c r="AD336" s="4">
        <v>14</v>
      </c>
      <c r="AE336" s="4">
        <v>14</v>
      </c>
      <c r="AF336" s="4">
        <v>1</v>
      </c>
      <c r="AG336" s="4">
        <v>1</v>
      </c>
      <c r="AH336" s="4">
        <v>11</v>
      </c>
      <c r="AI336" s="4">
        <v>11</v>
      </c>
      <c r="AJ336" s="4">
        <v>5</v>
      </c>
      <c r="AK336" s="4">
        <v>5</v>
      </c>
      <c r="AL336" s="4">
        <v>3</v>
      </c>
      <c r="AM336" s="4">
        <v>3</v>
      </c>
      <c r="AN336" s="4">
        <v>0</v>
      </c>
      <c r="AO336" s="4">
        <v>0</v>
      </c>
      <c r="AP336" s="4">
        <v>5</v>
      </c>
      <c r="AQ336" s="4">
        <v>5</v>
      </c>
      <c r="AR336" s="3" t="s">
        <v>63</v>
      </c>
      <c r="AS336" s="3" t="s">
        <v>63</v>
      </c>
      <c r="AT336" s="3" t="s">
        <v>63</v>
      </c>
      <c r="AV336" s="6" t="str">
        <f>HYPERLINK("http://mcgill.on.worldcat.org/oclc/65203012","Catalog Record")</f>
        <v>Catalog Record</v>
      </c>
      <c r="AW336" s="6" t="str">
        <f>HYPERLINK("http://www.worldcat.org/oclc/65203012","WorldCat Record")</f>
        <v>WorldCat Record</v>
      </c>
      <c r="AX336" s="3" t="s">
        <v>3500</v>
      </c>
      <c r="AY336" s="3" t="s">
        <v>3501</v>
      </c>
      <c r="AZ336" s="3" t="s">
        <v>3502</v>
      </c>
      <c r="BA336" s="3" t="s">
        <v>3502</v>
      </c>
      <c r="BB336" s="3" t="s">
        <v>3503</v>
      </c>
      <c r="BC336" s="3" t="s">
        <v>82</v>
      </c>
      <c r="BD336" s="3" t="s">
        <v>538</v>
      </c>
      <c r="BE336" s="3" t="s">
        <v>3504</v>
      </c>
      <c r="BF336" s="3" t="s">
        <v>3503</v>
      </c>
      <c r="BG336" s="3" t="s">
        <v>3505</v>
      </c>
    </row>
    <row r="337" spans="1:59" ht="60" x14ac:dyDescent="0.25">
      <c r="A337" s="2" t="s">
        <v>59</v>
      </c>
      <c r="B337" s="2" t="s">
        <v>60</v>
      </c>
      <c r="C337" s="2" t="s">
        <v>3506</v>
      </c>
      <c r="D337" s="2" t="s">
        <v>3507</v>
      </c>
      <c r="E337" s="2" t="s">
        <v>3508</v>
      </c>
      <c r="F337" s="3" t="s">
        <v>2852</v>
      </c>
      <c r="G337" s="3" t="s">
        <v>63</v>
      </c>
      <c r="I337" s="3" t="s">
        <v>63</v>
      </c>
      <c r="J337" s="3" t="s">
        <v>63</v>
      </c>
      <c r="K337" s="3" t="s">
        <v>64</v>
      </c>
      <c r="L337" s="2" t="s">
        <v>3509</v>
      </c>
      <c r="M337" s="2" t="s">
        <v>3510</v>
      </c>
      <c r="N337" s="3" t="s">
        <v>693</v>
      </c>
      <c r="P337" s="3" t="s">
        <v>90</v>
      </c>
      <c r="R337" s="3" t="s">
        <v>67</v>
      </c>
      <c r="S337" s="4">
        <v>14</v>
      </c>
      <c r="T337" s="4">
        <v>14</v>
      </c>
      <c r="U337" s="5" t="s">
        <v>3511</v>
      </c>
      <c r="V337" s="5" t="s">
        <v>3511</v>
      </c>
      <c r="W337" s="5" t="s">
        <v>69</v>
      </c>
      <c r="X337" s="5" t="s">
        <v>69</v>
      </c>
      <c r="Y337" s="4">
        <v>27</v>
      </c>
      <c r="Z337" s="4">
        <v>4</v>
      </c>
      <c r="AA337" s="4">
        <v>4</v>
      </c>
      <c r="AB337" s="4">
        <v>2</v>
      </c>
      <c r="AC337" s="4">
        <v>2</v>
      </c>
      <c r="AD337" s="4">
        <v>13</v>
      </c>
      <c r="AE337" s="4">
        <v>14</v>
      </c>
      <c r="AF337" s="4">
        <v>1</v>
      </c>
      <c r="AG337" s="4">
        <v>1</v>
      </c>
      <c r="AH337" s="4">
        <v>12</v>
      </c>
      <c r="AI337" s="4">
        <v>13</v>
      </c>
      <c r="AJ337" s="4">
        <v>3</v>
      </c>
      <c r="AK337" s="4">
        <v>3</v>
      </c>
      <c r="AL337" s="4">
        <v>6</v>
      </c>
      <c r="AM337" s="4">
        <v>7</v>
      </c>
      <c r="AN337" s="4">
        <v>0</v>
      </c>
      <c r="AO337" s="4">
        <v>0</v>
      </c>
      <c r="AP337" s="4">
        <v>3</v>
      </c>
      <c r="AQ337" s="4">
        <v>3</v>
      </c>
      <c r="AR337" s="3" t="s">
        <v>63</v>
      </c>
      <c r="AS337" s="3" t="s">
        <v>63</v>
      </c>
      <c r="AT337" s="3" t="s">
        <v>62</v>
      </c>
      <c r="AU337" s="6" t="str">
        <f>HYPERLINK("http://catalog.hathitrust.org/Record/005024811","HathiTrust Record")</f>
        <v>HathiTrust Record</v>
      </c>
      <c r="AV337" s="6" t="str">
        <f>HYPERLINK("http://mcgill.on.worldcat.org/oclc/57209105","Catalog Record")</f>
        <v>Catalog Record</v>
      </c>
      <c r="AW337" s="6" t="str">
        <f>HYPERLINK("http://www.worldcat.org/oclc/57209105","WorldCat Record")</f>
        <v>WorldCat Record</v>
      </c>
      <c r="AX337" s="3" t="s">
        <v>3512</v>
      </c>
      <c r="AY337" s="3" t="s">
        <v>3513</v>
      </c>
      <c r="AZ337" s="3" t="s">
        <v>3514</v>
      </c>
      <c r="BA337" s="3" t="s">
        <v>3514</v>
      </c>
      <c r="BB337" s="3" t="s">
        <v>3515</v>
      </c>
      <c r="BC337" s="3" t="s">
        <v>82</v>
      </c>
      <c r="BD337" s="3" t="s">
        <v>70</v>
      </c>
      <c r="BE337" s="3" t="s">
        <v>3516</v>
      </c>
      <c r="BF337" s="3" t="s">
        <v>3515</v>
      </c>
      <c r="BG337" s="3" t="s">
        <v>3517</v>
      </c>
    </row>
    <row r="338" spans="1:59" ht="135" x14ac:dyDescent="0.25">
      <c r="A338" s="2" t="s">
        <v>59</v>
      </c>
      <c r="B338" s="2" t="s">
        <v>60</v>
      </c>
      <c r="C338" s="2" t="s">
        <v>3518</v>
      </c>
      <c r="D338" s="2" t="s">
        <v>3519</v>
      </c>
      <c r="E338" s="2" t="s">
        <v>3520</v>
      </c>
      <c r="G338" s="3" t="s">
        <v>63</v>
      </c>
      <c r="I338" s="3" t="s">
        <v>63</v>
      </c>
      <c r="J338" s="3" t="s">
        <v>63</v>
      </c>
      <c r="K338" s="3" t="s">
        <v>64</v>
      </c>
      <c r="M338" s="2" t="s">
        <v>3521</v>
      </c>
      <c r="N338" s="3" t="s">
        <v>1010</v>
      </c>
      <c r="O338" s="2" t="s">
        <v>3522</v>
      </c>
      <c r="P338" s="3" t="s">
        <v>90</v>
      </c>
      <c r="R338" s="3" t="s">
        <v>67</v>
      </c>
      <c r="S338" s="4">
        <v>25</v>
      </c>
      <c r="T338" s="4">
        <v>25</v>
      </c>
      <c r="U338" s="5" t="s">
        <v>3523</v>
      </c>
      <c r="V338" s="5" t="s">
        <v>3523</v>
      </c>
      <c r="W338" s="5" t="s">
        <v>69</v>
      </c>
      <c r="X338" s="5" t="s">
        <v>69</v>
      </c>
      <c r="Y338" s="4">
        <v>341</v>
      </c>
      <c r="Z338" s="4">
        <v>8</v>
      </c>
      <c r="AA338" s="4">
        <v>37</v>
      </c>
      <c r="AB338" s="4">
        <v>1</v>
      </c>
      <c r="AC338" s="4">
        <v>5</v>
      </c>
      <c r="AD338" s="4">
        <v>74</v>
      </c>
      <c r="AE338" s="4">
        <v>120</v>
      </c>
      <c r="AF338" s="4">
        <v>0</v>
      </c>
      <c r="AG338" s="4">
        <v>3</v>
      </c>
      <c r="AH338" s="4">
        <v>69</v>
      </c>
      <c r="AI338" s="4">
        <v>102</v>
      </c>
      <c r="AJ338" s="4">
        <v>4</v>
      </c>
      <c r="AK338" s="4">
        <v>17</v>
      </c>
      <c r="AL338" s="4">
        <v>39</v>
      </c>
      <c r="AM338" s="4">
        <v>59</v>
      </c>
      <c r="AN338" s="4">
        <v>0</v>
      </c>
      <c r="AO338" s="4">
        <v>1</v>
      </c>
      <c r="AP338" s="4">
        <v>7</v>
      </c>
      <c r="AQ338" s="4">
        <v>21</v>
      </c>
      <c r="AR338" s="3" t="s">
        <v>63</v>
      </c>
      <c r="AS338" s="3" t="s">
        <v>63</v>
      </c>
      <c r="AT338" s="3" t="s">
        <v>62</v>
      </c>
      <c r="AU338" s="6" t="str">
        <f>HYPERLINK("http://catalog.hathitrust.org/Record/001692880","HathiTrust Record")</f>
        <v>HathiTrust Record</v>
      </c>
      <c r="AV338" s="6" t="str">
        <f>HYPERLINK("http://mcgill.on.worldcat.org/oclc/1073147","Catalog Record")</f>
        <v>Catalog Record</v>
      </c>
      <c r="AW338" s="6" t="str">
        <f>HYPERLINK("http://www.worldcat.org/oclc/1073147","WorldCat Record")</f>
        <v>WorldCat Record</v>
      </c>
      <c r="AX338" s="3" t="s">
        <v>3524</v>
      </c>
      <c r="AY338" s="3" t="s">
        <v>3525</v>
      </c>
      <c r="AZ338" s="3" t="s">
        <v>3526</v>
      </c>
      <c r="BA338" s="3" t="s">
        <v>3526</v>
      </c>
      <c r="BB338" s="3" t="s">
        <v>3527</v>
      </c>
      <c r="BC338" s="3" t="s">
        <v>82</v>
      </c>
      <c r="BD338" s="3" t="s">
        <v>70</v>
      </c>
      <c r="BF338" s="3" t="s">
        <v>3527</v>
      </c>
      <c r="BG338" s="3" t="s">
        <v>3528</v>
      </c>
    </row>
    <row r="339" spans="1:59" ht="60" x14ac:dyDescent="0.25">
      <c r="A339" s="2" t="s">
        <v>59</v>
      </c>
      <c r="B339" s="2" t="s">
        <v>60</v>
      </c>
      <c r="C339" s="2" t="s">
        <v>3529</v>
      </c>
      <c r="D339" s="2" t="s">
        <v>3530</v>
      </c>
      <c r="E339" s="2" t="s">
        <v>3531</v>
      </c>
      <c r="G339" s="3" t="s">
        <v>63</v>
      </c>
      <c r="I339" s="3" t="s">
        <v>62</v>
      </c>
      <c r="J339" s="3" t="s">
        <v>63</v>
      </c>
      <c r="K339" s="3" t="s">
        <v>64</v>
      </c>
      <c r="L339" s="2" t="s">
        <v>3532</v>
      </c>
      <c r="M339" s="2" t="s">
        <v>3533</v>
      </c>
      <c r="N339" s="3" t="s">
        <v>2182</v>
      </c>
      <c r="P339" s="3" t="s">
        <v>66</v>
      </c>
      <c r="R339" s="3" t="s">
        <v>67</v>
      </c>
      <c r="S339" s="4">
        <v>3</v>
      </c>
      <c r="T339" s="4">
        <v>3</v>
      </c>
      <c r="U339" s="5" t="s">
        <v>3534</v>
      </c>
      <c r="V339" s="5" t="s">
        <v>3534</v>
      </c>
      <c r="W339" s="5" t="s">
        <v>69</v>
      </c>
      <c r="X339" s="5" t="s">
        <v>69</v>
      </c>
      <c r="Y339" s="4">
        <v>441</v>
      </c>
      <c r="Z339" s="4">
        <v>18</v>
      </c>
      <c r="AA339" s="4">
        <v>21</v>
      </c>
      <c r="AB339" s="4">
        <v>2</v>
      </c>
      <c r="AC339" s="4">
        <v>3</v>
      </c>
      <c r="AD339" s="4">
        <v>72</v>
      </c>
      <c r="AE339" s="4">
        <v>74</v>
      </c>
      <c r="AF339" s="4">
        <v>0</v>
      </c>
      <c r="AG339" s="4">
        <v>0</v>
      </c>
      <c r="AH339" s="4">
        <v>62</v>
      </c>
      <c r="AI339" s="4">
        <v>62</v>
      </c>
      <c r="AJ339" s="4">
        <v>9</v>
      </c>
      <c r="AK339" s="4">
        <v>9</v>
      </c>
      <c r="AL339" s="4">
        <v>36</v>
      </c>
      <c r="AM339" s="4">
        <v>36</v>
      </c>
      <c r="AN339" s="4">
        <v>0</v>
      </c>
      <c r="AO339" s="4">
        <v>0</v>
      </c>
      <c r="AP339" s="4">
        <v>12</v>
      </c>
      <c r="AQ339" s="4">
        <v>14</v>
      </c>
      <c r="AR339" s="3" t="s">
        <v>63</v>
      </c>
      <c r="AS339" s="3" t="s">
        <v>63</v>
      </c>
      <c r="AT339" s="3" t="s">
        <v>62</v>
      </c>
      <c r="AU339" s="6" t="str">
        <f>HYPERLINK("http://catalog.hathitrust.org/Record/004568204","HathiTrust Record")</f>
        <v>HathiTrust Record</v>
      </c>
      <c r="AV339" s="6" t="str">
        <f>HYPERLINK("http://mcgill.on.worldcat.org/oclc/322311","Catalog Record")</f>
        <v>Catalog Record</v>
      </c>
      <c r="AW339" s="6" t="str">
        <f>HYPERLINK("http://www.worldcat.org/oclc/322311","WorldCat Record")</f>
        <v>WorldCat Record</v>
      </c>
      <c r="AX339" s="3" t="s">
        <v>3535</v>
      </c>
      <c r="AY339" s="3" t="s">
        <v>3536</v>
      </c>
      <c r="AZ339" s="3" t="s">
        <v>3537</v>
      </c>
      <c r="BA339" s="3" t="s">
        <v>3537</v>
      </c>
      <c r="BB339" s="3" t="s">
        <v>3538</v>
      </c>
      <c r="BC339" s="3" t="s">
        <v>82</v>
      </c>
      <c r="BD339" s="3" t="s">
        <v>70</v>
      </c>
      <c r="BE339" s="3" t="s">
        <v>3539</v>
      </c>
      <c r="BF339" s="3" t="s">
        <v>3538</v>
      </c>
      <c r="BG339" s="3" t="s">
        <v>3540</v>
      </c>
    </row>
    <row r="340" spans="1:59" ht="75" x14ac:dyDescent="0.25">
      <c r="A340" s="2" t="s">
        <v>59</v>
      </c>
      <c r="B340" s="2" t="s">
        <v>3541</v>
      </c>
      <c r="C340" s="2" t="s">
        <v>3529</v>
      </c>
      <c r="D340" s="2" t="s">
        <v>3530</v>
      </c>
      <c r="E340" s="2" t="s">
        <v>3531</v>
      </c>
      <c r="G340" s="3" t="s">
        <v>63</v>
      </c>
      <c r="I340" s="3" t="s">
        <v>62</v>
      </c>
      <c r="J340" s="3" t="s">
        <v>63</v>
      </c>
      <c r="K340" s="3" t="s">
        <v>64</v>
      </c>
      <c r="L340" s="2" t="s">
        <v>3532</v>
      </c>
      <c r="M340" s="2" t="s">
        <v>3533</v>
      </c>
      <c r="N340" s="3" t="s">
        <v>2182</v>
      </c>
      <c r="P340" s="3" t="s">
        <v>66</v>
      </c>
      <c r="R340" s="3" t="s">
        <v>67</v>
      </c>
      <c r="S340" s="4">
        <v>0</v>
      </c>
      <c r="T340" s="4">
        <v>3</v>
      </c>
      <c r="V340" s="5" t="s">
        <v>3534</v>
      </c>
      <c r="W340" s="5" t="s">
        <v>69</v>
      </c>
      <c r="X340" s="5" t="s">
        <v>69</v>
      </c>
      <c r="Y340" s="4">
        <v>441</v>
      </c>
      <c r="Z340" s="4">
        <v>18</v>
      </c>
      <c r="AA340" s="4">
        <v>21</v>
      </c>
      <c r="AB340" s="4">
        <v>2</v>
      </c>
      <c r="AC340" s="4">
        <v>3</v>
      </c>
      <c r="AD340" s="4">
        <v>72</v>
      </c>
      <c r="AE340" s="4">
        <v>74</v>
      </c>
      <c r="AF340" s="4">
        <v>0</v>
      </c>
      <c r="AG340" s="4">
        <v>0</v>
      </c>
      <c r="AH340" s="4">
        <v>62</v>
      </c>
      <c r="AI340" s="4">
        <v>62</v>
      </c>
      <c r="AJ340" s="4">
        <v>9</v>
      </c>
      <c r="AK340" s="4">
        <v>9</v>
      </c>
      <c r="AL340" s="4">
        <v>36</v>
      </c>
      <c r="AM340" s="4">
        <v>36</v>
      </c>
      <c r="AN340" s="4">
        <v>0</v>
      </c>
      <c r="AO340" s="4">
        <v>0</v>
      </c>
      <c r="AP340" s="4">
        <v>12</v>
      </c>
      <c r="AQ340" s="4">
        <v>14</v>
      </c>
      <c r="AR340" s="3" t="s">
        <v>63</v>
      </c>
      <c r="AS340" s="3" t="s">
        <v>63</v>
      </c>
      <c r="AT340" s="3" t="s">
        <v>62</v>
      </c>
      <c r="AU340" s="6" t="str">
        <f>HYPERLINK("http://catalog.hathitrust.org/Record/004568204","HathiTrust Record")</f>
        <v>HathiTrust Record</v>
      </c>
      <c r="AV340" s="6" t="str">
        <f>HYPERLINK("http://mcgill.on.worldcat.org/oclc/322311","Catalog Record")</f>
        <v>Catalog Record</v>
      </c>
      <c r="AW340" s="6" t="str">
        <f>HYPERLINK("http://www.worldcat.org/oclc/322311","WorldCat Record")</f>
        <v>WorldCat Record</v>
      </c>
      <c r="AX340" s="3" t="s">
        <v>3535</v>
      </c>
      <c r="AY340" s="3" t="s">
        <v>3536</v>
      </c>
      <c r="AZ340" s="3" t="s">
        <v>3537</v>
      </c>
      <c r="BA340" s="3" t="s">
        <v>3537</v>
      </c>
      <c r="BB340" s="3" t="s">
        <v>3542</v>
      </c>
      <c r="BC340" s="3" t="s">
        <v>82</v>
      </c>
      <c r="BD340" s="3" t="s">
        <v>70</v>
      </c>
      <c r="BE340" s="3" t="s">
        <v>3539</v>
      </c>
      <c r="BF340" s="3" t="s">
        <v>3542</v>
      </c>
      <c r="BG340" s="3" t="s">
        <v>3543</v>
      </c>
    </row>
    <row r="341" spans="1:59" ht="75" x14ac:dyDescent="0.25">
      <c r="A341" s="2" t="s">
        <v>59</v>
      </c>
      <c r="B341" s="2" t="s">
        <v>60</v>
      </c>
      <c r="C341" s="2" t="s">
        <v>3544</v>
      </c>
      <c r="D341" s="2" t="s">
        <v>3545</v>
      </c>
      <c r="E341" s="2" t="s">
        <v>3546</v>
      </c>
      <c r="G341" s="3" t="s">
        <v>63</v>
      </c>
      <c r="I341" s="3" t="s">
        <v>63</v>
      </c>
      <c r="J341" s="3" t="s">
        <v>62</v>
      </c>
      <c r="K341" s="3" t="s">
        <v>64</v>
      </c>
      <c r="M341" s="2" t="s">
        <v>3547</v>
      </c>
      <c r="N341" s="3" t="s">
        <v>1343</v>
      </c>
      <c r="O341" s="2" t="s">
        <v>3134</v>
      </c>
      <c r="P341" s="3" t="s">
        <v>66</v>
      </c>
      <c r="R341" s="3" t="s">
        <v>67</v>
      </c>
      <c r="S341" s="4">
        <v>26</v>
      </c>
      <c r="T341" s="4">
        <v>26</v>
      </c>
      <c r="U341" s="5" t="s">
        <v>3548</v>
      </c>
      <c r="V341" s="5" t="s">
        <v>3548</v>
      </c>
      <c r="W341" s="5" t="s">
        <v>69</v>
      </c>
      <c r="X341" s="5" t="s">
        <v>69</v>
      </c>
      <c r="Y341" s="4">
        <v>1080</v>
      </c>
      <c r="Z341" s="4">
        <v>36</v>
      </c>
      <c r="AA341" s="4">
        <v>78</v>
      </c>
      <c r="AB341" s="4">
        <v>4</v>
      </c>
      <c r="AC341" s="4">
        <v>14</v>
      </c>
      <c r="AD341" s="4">
        <v>113</v>
      </c>
      <c r="AE341" s="4">
        <v>142</v>
      </c>
      <c r="AF341" s="4">
        <v>1</v>
      </c>
      <c r="AG341" s="4">
        <v>5</v>
      </c>
      <c r="AH341" s="4">
        <v>99</v>
      </c>
      <c r="AI341" s="4">
        <v>116</v>
      </c>
      <c r="AJ341" s="4">
        <v>15</v>
      </c>
      <c r="AK341" s="4">
        <v>21</v>
      </c>
      <c r="AL341" s="4">
        <v>54</v>
      </c>
      <c r="AM341" s="4">
        <v>63</v>
      </c>
      <c r="AN341" s="4">
        <v>0</v>
      </c>
      <c r="AO341" s="4">
        <v>5</v>
      </c>
      <c r="AP341" s="4">
        <v>19</v>
      </c>
      <c r="AQ341" s="4">
        <v>34</v>
      </c>
      <c r="AR341" s="3" t="s">
        <v>63</v>
      </c>
      <c r="AS341" s="3" t="s">
        <v>63</v>
      </c>
      <c r="AT341" s="3" t="s">
        <v>63</v>
      </c>
      <c r="AV341" s="6" t="str">
        <f>HYPERLINK("http://mcgill.on.worldcat.org/oclc/42745273","Catalog Record")</f>
        <v>Catalog Record</v>
      </c>
      <c r="AW341" s="6" t="str">
        <f>HYPERLINK("http://www.worldcat.org/oclc/42745273","WorldCat Record")</f>
        <v>WorldCat Record</v>
      </c>
      <c r="AX341" s="3" t="s">
        <v>3549</v>
      </c>
      <c r="AY341" s="3" t="s">
        <v>3550</v>
      </c>
      <c r="AZ341" s="3" t="s">
        <v>3551</v>
      </c>
      <c r="BA341" s="3" t="s">
        <v>3551</v>
      </c>
      <c r="BB341" s="3" t="s">
        <v>3552</v>
      </c>
      <c r="BC341" s="3" t="s">
        <v>82</v>
      </c>
      <c r="BD341" s="3" t="s">
        <v>70</v>
      </c>
      <c r="BE341" s="3" t="s">
        <v>3553</v>
      </c>
      <c r="BF341" s="3" t="s">
        <v>3552</v>
      </c>
      <c r="BG341" s="3" t="s">
        <v>3554</v>
      </c>
    </row>
    <row r="342" spans="1:59" ht="75" x14ac:dyDescent="0.25">
      <c r="A342" s="2" t="s">
        <v>59</v>
      </c>
      <c r="B342" s="2" t="s">
        <v>60</v>
      </c>
      <c r="C342" s="2" t="s">
        <v>3555</v>
      </c>
      <c r="D342" s="2" t="s">
        <v>3556</v>
      </c>
      <c r="E342" s="2" t="s">
        <v>3557</v>
      </c>
      <c r="G342" s="3" t="s">
        <v>63</v>
      </c>
      <c r="I342" s="3" t="s">
        <v>63</v>
      </c>
      <c r="J342" s="3" t="s">
        <v>62</v>
      </c>
      <c r="K342" s="3" t="s">
        <v>64</v>
      </c>
      <c r="M342" s="2" t="s">
        <v>3558</v>
      </c>
      <c r="N342" s="3" t="s">
        <v>261</v>
      </c>
      <c r="O342" s="2" t="s">
        <v>402</v>
      </c>
      <c r="P342" s="3" t="s">
        <v>66</v>
      </c>
      <c r="R342" s="3" t="s">
        <v>67</v>
      </c>
      <c r="S342" s="4">
        <v>10</v>
      </c>
      <c r="T342" s="4">
        <v>10</v>
      </c>
      <c r="U342" s="5" t="s">
        <v>3453</v>
      </c>
      <c r="V342" s="5" t="s">
        <v>3453</v>
      </c>
      <c r="W342" s="5" t="s">
        <v>69</v>
      </c>
      <c r="X342" s="5" t="s">
        <v>69</v>
      </c>
      <c r="Y342" s="4">
        <v>698</v>
      </c>
      <c r="Z342" s="4">
        <v>30</v>
      </c>
      <c r="AA342" s="4">
        <v>78</v>
      </c>
      <c r="AB342" s="4">
        <v>3</v>
      </c>
      <c r="AC342" s="4">
        <v>14</v>
      </c>
      <c r="AD342" s="4">
        <v>76</v>
      </c>
      <c r="AE342" s="4">
        <v>142</v>
      </c>
      <c r="AF342" s="4">
        <v>1</v>
      </c>
      <c r="AG342" s="4">
        <v>5</v>
      </c>
      <c r="AH342" s="4">
        <v>68</v>
      </c>
      <c r="AI342" s="4">
        <v>116</v>
      </c>
      <c r="AJ342" s="4">
        <v>7</v>
      </c>
      <c r="AK342" s="4">
        <v>21</v>
      </c>
      <c r="AL342" s="4">
        <v>44</v>
      </c>
      <c r="AM342" s="4">
        <v>63</v>
      </c>
      <c r="AN342" s="4">
        <v>0</v>
      </c>
      <c r="AO342" s="4">
        <v>5</v>
      </c>
      <c r="AP342" s="4">
        <v>10</v>
      </c>
      <c r="AQ342" s="4">
        <v>34</v>
      </c>
      <c r="AR342" s="3" t="s">
        <v>63</v>
      </c>
      <c r="AS342" s="3" t="s">
        <v>63</v>
      </c>
      <c r="AT342" s="3" t="s">
        <v>63</v>
      </c>
      <c r="AV342" s="6" t="str">
        <f>HYPERLINK("http://mcgill.on.worldcat.org/oclc/81452841","Catalog Record")</f>
        <v>Catalog Record</v>
      </c>
      <c r="AW342" s="6" t="str">
        <f>HYPERLINK("http://www.worldcat.org/oclc/81452841","WorldCat Record")</f>
        <v>WorldCat Record</v>
      </c>
      <c r="AX342" s="3" t="s">
        <v>3549</v>
      </c>
      <c r="AY342" s="3" t="s">
        <v>3559</v>
      </c>
      <c r="AZ342" s="3" t="s">
        <v>3560</v>
      </c>
      <c r="BA342" s="3" t="s">
        <v>3560</v>
      </c>
      <c r="BB342" s="3" t="s">
        <v>3561</v>
      </c>
      <c r="BC342" s="3" t="s">
        <v>82</v>
      </c>
      <c r="BD342" s="3" t="s">
        <v>70</v>
      </c>
      <c r="BE342" s="3" t="s">
        <v>3562</v>
      </c>
      <c r="BF342" s="3" t="s">
        <v>3561</v>
      </c>
      <c r="BG342" s="3" t="s">
        <v>3563</v>
      </c>
    </row>
    <row r="343" spans="1:59" ht="60" x14ac:dyDescent="0.25">
      <c r="A343" s="2" t="s">
        <v>59</v>
      </c>
      <c r="B343" s="2" t="s">
        <v>60</v>
      </c>
      <c r="C343" s="2" t="s">
        <v>3564</v>
      </c>
      <c r="D343" s="2" t="s">
        <v>3565</v>
      </c>
      <c r="E343" s="2" t="s">
        <v>3566</v>
      </c>
      <c r="G343" s="3" t="s">
        <v>63</v>
      </c>
      <c r="I343" s="3" t="s">
        <v>63</v>
      </c>
      <c r="J343" s="3" t="s">
        <v>63</v>
      </c>
      <c r="K343" s="3" t="s">
        <v>64</v>
      </c>
      <c r="L343" s="2" t="s">
        <v>3567</v>
      </c>
      <c r="M343" s="2" t="s">
        <v>3568</v>
      </c>
      <c r="N343" s="3" t="s">
        <v>693</v>
      </c>
      <c r="P343" s="3" t="s">
        <v>548</v>
      </c>
      <c r="R343" s="3" t="s">
        <v>67</v>
      </c>
      <c r="S343" s="4">
        <v>2</v>
      </c>
      <c r="T343" s="4">
        <v>2</v>
      </c>
      <c r="U343" s="5" t="s">
        <v>3569</v>
      </c>
      <c r="V343" s="5" t="s">
        <v>3569</v>
      </c>
      <c r="W343" s="5" t="s">
        <v>69</v>
      </c>
      <c r="X343" s="5" t="s">
        <v>69</v>
      </c>
      <c r="Y343" s="4">
        <v>4</v>
      </c>
      <c r="Z343" s="4">
        <v>2</v>
      </c>
      <c r="AA343" s="4">
        <v>2</v>
      </c>
      <c r="AB343" s="4">
        <v>1</v>
      </c>
      <c r="AC343" s="4">
        <v>1</v>
      </c>
      <c r="AD343" s="4">
        <v>3</v>
      </c>
      <c r="AE343" s="4">
        <v>3</v>
      </c>
      <c r="AF343" s="4">
        <v>0</v>
      </c>
      <c r="AG343" s="4">
        <v>0</v>
      </c>
      <c r="AH343" s="4">
        <v>3</v>
      </c>
      <c r="AI343" s="4">
        <v>3</v>
      </c>
      <c r="AJ343" s="4">
        <v>1</v>
      </c>
      <c r="AK343" s="4">
        <v>1</v>
      </c>
      <c r="AL343" s="4">
        <v>1</v>
      </c>
      <c r="AM343" s="4">
        <v>1</v>
      </c>
      <c r="AN343" s="4">
        <v>0</v>
      </c>
      <c r="AO343" s="4">
        <v>0</v>
      </c>
      <c r="AP343" s="4">
        <v>1</v>
      </c>
      <c r="AQ343" s="4">
        <v>1</v>
      </c>
      <c r="AR343" s="3" t="s">
        <v>63</v>
      </c>
      <c r="AS343" s="3" t="s">
        <v>63</v>
      </c>
      <c r="AT343" s="3" t="s">
        <v>63</v>
      </c>
      <c r="AV343" s="6" t="str">
        <f>HYPERLINK("http://mcgill.on.worldcat.org/oclc/74826881","Catalog Record")</f>
        <v>Catalog Record</v>
      </c>
      <c r="AW343" s="6" t="str">
        <f>HYPERLINK("http://www.worldcat.org/oclc/74826881","WorldCat Record")</f>
        <v>WorldCat Record</v>
      </c>
      <c r="AX343" s="3" t="s">
        <v>3570</v>
      </c>
      <c r="AY343" s="3" t="s">
        <v>3571</v>
      </c>
      <c r="AZ343" s="3" t="s">
        <v>3572</v>
      </c>
      <c r="BA343" s="3" t="s">
        <v>3572</v>
      </c>
      <c r="BB343" s="3" t="s">
        <v>3573</v>
      </c>
      <c r="BC343" s="3" t="s">
        <v>82</v>
      </c>
      <c r="BD343" s="3" t="s">
        <v>70</v>
      </c>
      <c r="BE343" s="3" t="s">
        <v>3574</v>
      </c>
      <c r="BF343" s="3" t="s">
        <v>3573</v>
      </c>
      <c r="BG343" s="3" t="s">
        <v>3575</v>
      </c>
    </row>
    <row r="344" spans="1:59" ht="60" x14ac:dyDescent="0.25">
      <c r="A344" s="2" t="s">
        <v>59</v>
      </c>
      <c r="B344" s="2" t="s">
        <v>60</v>
      </c>
      <c r="C344" s="2" t="s">
        <v>3576</v>
      </c>
      <c r="D344" s="2" t="s">
        <v>3577</v>
      </c>
      <c r="E344" s="2" t="s">
        <v>3578</v>
      </c>
      <c r="G344" s="3" t="s">
        <v>63</v>
      </c>
      <c r="I344" s="3" t="s">
        <v>63</v>
      </c>
      <c r="J344" s="3" t="s">
        <v>63</v>
      </c>
      <c r="K344" s="3" t="s">
        <v>64</v>
      </c>
      <c r="L344" s="2" t="s">
        <v>3579</v>
      </c>
      <c r="M344" s="2" t="s">
        <v>3580</v>
      </c>
      <c r="N344" s="3" t="s">
        <v>531</v>
      </c>
      <c r="P344" s="3" t="s">
        <v>90</v>
      </c>
      <c r="R344" s="3" t="s">
        <v>67</v>
      </c>
      <c r="S344" s="4">
        <v>4</v>
      </c>
      <c r="T344" s="4">
        <v>4</v>
      </c>
      <c r="U344" s="5" t="s">
        <v>3499</v>
      </c>
      <c r="V344" s="5" t="s">
        <v>3499</v>
      </c>
      <c r="W344" s="5" t="s">
        <v>69</v>
      </c>
      <c r="X344" s="5" t="s">
        <v>69</v>
      </c>
      <c r="Y344" s="4">
        <v>3</v>
      </c>
      <c r="Z344" s="4">
        <v>1</v>
      </c>
      <c r="AA344" s="4">
        <v>1</v>
      </c>
      <c r="AB344" s="4">
        <v>1</v>
      </c>
      <c r="AC344" s="4">
        <v>1</v>
      </c>
      <c r="AD344" s="4">
        <v>2</v>
      </c>
      <c r="AE344" s="4">
        <v>2</v>
      </c>
      <c r="AF344" s="4">
        <v>0</v>
      </c>
      <c r="AG344" s="4">
        <v>0</v>
      </c>
      <c r="AH344" s="4">
        <v>2</v>
      </c>
      <c r="AI344" s="4">
        <v>2</v>
      </c>
      <c r="AJ344" s="4">
        <v>0</v>
      </c>
      <c r="AK344" s="4">
        <v>0</v>
      </c>
      <c r="AL344" s="4">
        <v>2</v>
      </c>
      <c r="AM344" s="4">
        <v>2</v>
      </c>
      <c r="AN344" s="4">
        <v>0</v>
      </c>
      <c r="AO344" s="4">
        <v>0</v>
      </c>
      <c r="AP344" s="4">
        <v>0</v>
      </c>
      <c r="AQ344" s="4">
        <v>0</v>
      </c>
      <c r="AR344" s="3" t="s">
        <v>63</v>
      </c>
      <c r="AS344" s="3" t="s">
        <v>63</v>
      </c>
      <c r="AT344" s="3" t="s">
        <v>63</v>
      </c>
      <c r="AV344" s="6" t="str">
        <f>HYPERLINK("http://mcgill.on.worldcat.org/oclc/37165218","Catalog Record")</f>
        <v>Catalog Record</v>
      </c>
      <c r="AW344" s="6" t="str">
        <f>HYPERLINK("http://www.worldcat.org/oclc/37165218","WorldCat Record")</f>
        <v>WorldCat Record</v>
      </c>
      <c r="AX344" s="3" t="s">
        <v>3581</v>
      </c>
      <c r="AY344" s="3" t="s">
        <v>3582</v>
      </c>
      <c r="AZ344" s="3" t="s">
        <v>3583</v>
      </c>
      <c r="BA344" s="3" t="s">
        <v>3583</v>
      </c>
      <c r="BB344" s="3" t="s">
        <v>3584</v>
      </c>
      <c r="BC344" s="3" t="s">
        <v>82</v>
      </c>
      <c r="BD344" s="3" t="s">
        <v>70</v>
      </c>
      <c r="BE344" s="3" t="s">
        <v>3585</v>
      </c>
      <c r="BF344" s="3" t="s">
        <v>3584</v>
      </c>
      <c r="BG344" s="3" t="s">
        <v>3586</v>
      </c>
    </row>
    <row r="345" spans="1:59" ht="105" x14ac:dyDescent="0.25">
      <c r="A345" s="2" t="s">
        <v>59</v>
      </c>
      <c r="B345" s="2" t="s">
        <v>3448</v>
      </c>
      <c r="C345" s="2" t="s">
        <v>3587</v>
      </c>
      <c r="D345" s="2" t="s">
        <v>3588</v>
      </c>
      <c r="E345" s="2" t="s">
        <v>3589</v>
      </c>
      <c r="G345" s="3" t="s">
        <v>63</v>
      </c>
      <c r="I345" s="3" t="s">
        <v>63</v>
      </c>
      <c r="J345" s="3" t="s">
        <v>63</v>
      </c>
      <c r="K345" s="3" t="s">
        <v>64</v>
      </c>
      <c r="M345" s="2" t="s">
        <v>3590</v>
      </c>
      <c r="N345" s="3" t="s">
        <v>106</v>
      </c>
      <c r="P345" s="3" t="s">
        <v>548</v>
      </c>
      <c r="R345" s="3" t="s">
        <v>67</v>
      </c>
      <c r="S345" s="4">
        <v>1</v>
      </c>
      <c r="T345" s="4">
        <v>1</v>
      </c>
      <c r="U345" s="5" t="s">
        <v>3591</v>
      </c>
      <c r="V345" s="5" t="s">
        <v>3591</v>
      </c>
      <c r="W345" s="5" t="s">
        <v>69</v>
      </c>
      <c r="X345" s="5" t="s">
        <v>69</v>
      </c>
      <c r="Y345" s="4">
        <v>1</v>
      </c>
      <c r="Z345" s="4">
        <v>1</v>
      </c>
      <c r="AA345" s="4">
        <v>1</v>
      </c>
      <c r="AB345" s="4">
        <v>1</v>
      </c>
      <c r="AC345" s="4">
        <v>1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3" t="s">
        <v>63</v>
      </c>
      <c r="AS345" s="3" t="s">
        <v>63</v>
      </c>
      <c r="AT345" s="3" t="s">
        <v>63</v>
      </c>
      <c r="AV345" s="6" t="str">
        <f>HYPERLINK("http://mcgill.on.worldcat.org/oclc/1005934225","Catalog Record")</f>
        <v>Catalog Record</v>
      </c>
      <c r="AW345" s="6" t="str">
        <f>HYPERLINK("http://www.worldcat.org/oclc/1005934225","WorldCat Record")</f>
        <v>WorldCat Record</v>
      </c>
      <c r="AX345" s="3" t="s">
        <v>3592</v>
      </c>
      <c r="AY345" s="3" t="s">
        <v>3593</v>
      </c>
      <c r="AZ345" s="3" t="s">
        <v>3594</v>
      </c>
      <c r="BA345" s="3" t="s">
        <v>3594</v>
      </c>
      <c r="BB345" s="3" t="s">
        <v>3595</v>
      </c>
      <c r="BC345" s="3" t="s">
        <v>82</v>
      </c>
      <c r="BD345" s="3" t="s">
        <v>70</v>
      </c>
      <c r="BE345" s="3" t="s">
        <v>3596</v>
      </c>
      <c r="BF345" s="3" t="s">
        <v>3595</v>
      </c>
      <c r="BG345" s="3" t="s">
        <v>3597</v>
      </c>
    </row>
    <row r="346" spans="1:59" ht="60" x14ac:dyDescent="0.25">
      <c r="A346" s="2" t="s">
        <v>59</v>
      </c>
      <c r="B346" s="2" t="s">
        <v>60</v>
      </c>
      <c r="C346" s="2" t="s">
        <v>3598</v>
      </c>
      <c r="D346" s="2" t="s">
        <v>3599</v>
      </c>
      <c r="E346" s="2" t="s">
        <v>3600</v>
      </c>
      <c r="G346" s="3" t="s">
        <v>63</v>
      </c>
      <c r="I346" s="3" t="s">
        <v>63</v>
      </c>
      <c r="J346" s="3" t="s">
        <v>63</v>
      </c>
      <c r="K346" s="3" t="s">
        <v>64</v>
      </c>
      <c r="L346" s="2" t="s">
        <v>3601</v>
      </c>
      <c r="M346" s="2" t="s">
        <v>3602</v>
      </c>
      <c r="N346" s="3" t="s">
        <v>204</v>
      </c>
      <c r="P346" s="3" t="s">
        <v>66</v>
      </c>
      <c r="R346" s="3" t="s">
        <v>67</v>
      </c>
      <c r="S346" s="4">
        <v>21</v>
      </c>
      <c r="T346" s="4">
        <v>21</v>
      </c>
      <c r="U346" s="5" t="s">
        <v>3603</v>
      </c>
      <c r="V346" s="5" t="s">
        <v>3603</v>
      </c>
      <c r="W346" s="5" t="s">
        <v>69</v>
      </c>
      <c r="X346" s="5" t="s">
        <v>69</v>
      </c>
      <c r="Y346" s="4">
        <v>205</v>
      </c>
      <c r="Z346" s="4">
        <v>11</v>
      </c>
      <c r="AA346" s="4">
        <v>15</v>
      </c>
      <c r="AB346" s="4">
        <v>1</v>
      </c>
      <c r="AC346" s="4">
        <v>4</v>
      </c>
      <c r="AD346" s="4">
        <v>69</v>
      </c>
      <c r="AE346" s="4">
        <v>70</v>
      </c>
      <c r="AF346" s="4">
        <v>0</v>
      </c>
      <c r="AG346" s="4">
        <v>0</v>
      </c>
      <c r="AH346" s="4">
        <v>64</v>
      </c>
      <c r="AI346" s="4">
        <v>65</v>
      </c>
      <c r="AJ346" s="4">
        <v>7</v>
      </c>
      <c r="AK346" s="4">
        <v>7</v>
      </c>
      <c r="AL346" s="4">
        <v>39</v>
      </c>
      <c r="AM346" s="4">
        <v>39</v>
      </c>
      <c r="AN346" s="4">
        <v>0</v>
      </c>
      <c r="AO346" s="4">
        <v>0</v>
      </c>
      <c r="AP346" s="4">
        <v>8</v>
      </c>
      <c r="AQ346" s="4">
        <v>8</v>
      </c>
      <c r="AR346" s="3" t="s">
        <v>63</v>
      </c>
      <c r="AS346" s="3" t="s">
        <v>63</v>
      </c>
      <c r="AT346" s="3" t="s">
        <v>62</v>
      </c>
      <c r="AU346" s="6" t="str">
        <f>HYPERLINK("http://catalog.hathitrust.org/Record/003092710","HathiTrust Record")</f>
        <v>HathiTrust Record</v>
      </c>
      <c r="AV346" s="6" t="str">
        <f>HYPERLINK("http://mcgill.on.worldcat.org/oclc/33044963","Catalog Record")</f>
        <v>Catalog Record</v>
      </c>
      <c r="AW346" s="6" t="str">
        <f>HYPERLINK("http://www.worldcat.org/oclc/33044963","WorldCat Record")</f>
        <v>WorldCat Record</v>
      </c>
      <c r="AX346" s="3" t="s">
        <v>3604</v>
      </c>
      <c r="AY346" s="3" t="s">
        <v>3605</v>
      </c>
      <c r="AZ346" s="3" t="s">
        <v>3606</v>
      </c>
      <c r="BA346" s="3" t="s">
        <v>3606</v>
      </c>
      <c r="BB346" s="3" t="s">
        <v>3607</v>
      </c>
      <c r="BC346" s="3" t="s">
        <v>82</v>
      </c>
      <c r="BD346" s="3" t="s">
        <v>70</v>
      </c>
      <c r="BE346" s="3" t="s">
        <v>3608</v>
      </c>
      <c r="BF346" s="3" t="s">
        <v>3607</v>
      </c>
      <c r="BG346" s="3" t="s">
        <v>3609</v>
      </c>
    </row>
    <row r="347" spans="1:59" ht="75" x14ac:dyDescent="0.25">
      <c r="A347" s="2" t="s">
        <v>59</v>
      </c>
      <c r="B347" s="2" t="s">
        <v>60</v>
      </c>
      <c r="C347" s="2" t="s">
        <v>3610</v>
      </c>
      <c r="D347" s="2" t="s">
        <v>3611</v>
      </c>
      <c r="E347" s="2" t="s">
        <v>3612</v>
      </c>
      <c r="G347" s="3" t="s">
        <v>63</v>
      </c>
      <c r="I347" s="3" t="s">
        <v>63</v>
      </c>
      <c r="J347" s="3" t="s">
        <v>63</v>
      </c>
      <c r="K347" s="3" t="s">
        <v>64</v>
      </c>
      <c r="L347" s="2" t="s">
        <v>3613</v>
      </c>
      <c r="M347" s="2" t="s">
        <v>3614</v>
      </c>
      <c r="N347" s="3" t="s">
        <v>531</v>
      </c>
      <c r="P347" s="3" t="s">
        <v>66</v>
      </c>
      <c r="R347" s="3" t="s">
        <v>67</v>
      </c>
      <c r="S347" s="4">
        <v>7</v>
      </c>
      <c r="T347" s="4">
        <v>7</v>
      </c>
      <c r="U347" s="5" t="s">
        <v>3615</v>
      </c>
      <c r="V347" s="5" t="s">
        <v>3615</v>
      </c>
      <c r="W347" s="5" t="s">
        <v>69</v>
      </c>
      <c r="X347" s="5" t="s">
        <v>69</v>
      </c>
      <c r="Y347" s="4">
        <v>269</v>
      </c>
      <c r="Z347" s="4">
        <v>19</v>
      </c>
      <c r="AA347" s="4">
        <v>24</v>
      </c>
      <c r="AB347" s="4">
        <v>1</v>
      </c>
      <c r="AC347" s="4">
        <v>3</v>
      </c>
      <c r="AD347" s="4">
        <v>103</v>
      </c>
      <c r="AE347" s="4">
        <v>107</v>
      </c>
      <c r="AF347" s="4">
        <v>0</v>
      </c>
      <c r="AG347" s="4">
        <v>1</v>
      </c>
      <c r="AH347" s="4">
        <v>95</v>
      </c>
      <c r="AI347" s="4">
        <v>97</v>
      </c>
      <c r="AJ347" s="4">
        <v>16</v>
      </c>
      <c r="AK347" s="4">
        <v>18</v>
      </c>
      <c r="AL347" s="4">
        <v>52</v>
      </c>
      <c r="AM347" s="4">
        <v>54</v>
      </c>
      <c r="AN347" s="4">
        <v>0</v>
      </c>
      <c r="AO347" s="4">
        <v>1</v>
      </c>
      <c r="AP347" s="4">
        <v>16</v>
      </c>
      <c r="AQ347" s="4">
        <v>17</v>
      </c>
      <c r="AR347" s="3" t="s">
        <v>63</v>
      </c>
      <c r="AS347" s="3" t="s">
        <v>62</v>
      </c>
      <c r="AT347" s="3" t="s">
        <v>63</v>
      </c>
      <c r="AU347" s="6" t="str">
        <f>HYPERLINK("http://catalog.hathitrust.org/Record/002543478","HathiTrust Record")</f>
        <v>HathiTrust Record</v>
      </c>
      <c r="AV347" s="6" t="str">
        <f>HYPERLINK("http://mcgill.on.worldcat.org/oclc/24377280","Catalog Record")</f>
        <v>Catalog Record</v>
      </c>
      <c r="AW347" s="6" t="str">
        <f>HYPERLINK("http://www.worldcat.org/oclc/24377280","WorldCat Record")</f>
        <v>WorldCat Record</v>
      </c>
      <c r="AX347" s="3" t="s">
        <v>3616</v>
      </c>
      <c r="AY347" s="3" t="s">
        <v>3617</v>
      </c>
      <c r="AZ347" s="3" t="s">
        <v>3618</v>
      </c>
      <c r="BA347" s="3" t="s">
        <v>3618</v>
      </c>
      <c r="BB347" s="3" t="s">
        <v>3619</v>
      </c>
      <c r="BC347" s="3" t="s">
        <v>82</v>
      </c>
      <c r="BD347" s="3" t="s">
        <v>70</v>
      </c>
      <c r="BE347" s="3" t="s">
        <v>3620</v>
      </c>
      <c r="BF347" s="3" t="s">
        <v>3619</v>
      </c>
      <c r="BG347" s="3" t="s">
        <v>3621</v>
      </c>
    </row>
    <row r="348" spans="1:59" ht="60" x14ac:dyDescent="0.25">
      <c r="A348" s="2" t="s">
        <v>59</v>
      </c>
      <c r="B348" s="2" t="s">
        <v>60</v>
      </c>
      <c r="C348" s="2" t="s">
        <v>3622</v>
      </c>
      <c r="D348" s="2" t="s">
        <v>3623</v>
      </c>
      <c r="E348" s="2" t="s">
        <v>3624</v>
      </c>
      <c r="G348" s="3" t="s">
        <v>63</v>
      </c>
      <c r="I348" s="3" t="s">
        <v>63</v>
      </c>
      <c r="J348" s="3" t="s">
        <v>63</v>
      </c>
      <c r="K348" s="3" t="s">
        <v>64</v>
      </c>
      <c r="L348" s="2" t="s">
        <v>3625</v>
      </c>
      <c r="M348" s="2" t="s">
        <v>3626</v>
      </c>
      <c r="N348" s="3" t="s">
        <v>2951</v>
      </c>
      <c r="P348" s="3" t="s">
        <v>66</v>
      </c>
      <c r="Q348" s="2" t="s">
        <v>3627</v>
      </c>
      <c r="R348" s="3" t="s">
        <v>67</v>
      </c>
      <c r="S348" s="4">
        <v>11</v>
      </c>
      <c r="T348" s="4">
        <v>11</v>
      </c>
      <c r="U348" s="5" t="s">
        <v>3628</v>
      </c>
      <c r="V348" s="5" t="s">
        <v>3628</v>
      </c>
      <c r="W348" s="5" t="s">
        <v>69</v>
      </c>
      <c r="X348" s="5" t="s">
        <v>69</v>
      </c>
      <c r="Y348" s="4">
        <v>16</v>
      </c>
      <c r="Z348" s="4">
        <v>4</v>
      </c>
      <c r="AA348" s="4">
        <v>9</v>
      </c>
      <c r="AB348" s="4">
        <v>1</v>
      </c>
      <c r="AC348" s="4">
        <v>1</v>
      </c>
      <c r="AD348" s="4">
        <v>3</v>
      </c>
      <c r="AE348" s="4">
        <v>69</v>
      </c>
      <c r="AF348" s="4">
        <v>0</v>
      </c>
      <c r="AG348" s="4">
        <v>0</v>
      </c>
      <c r="AH348" s="4">
        <v>2</v>
      </c>
      <c r="AI348" s="4">
        <v>62</v>
      </c>
      <c r="AJ348" s="4">
        <v>2</v>
      </c>
      <c r="AK348" s="4">
        <v>6</v>
      </c>
      <c r="AL348" s="4">
        <v>0</v>
      </c>
      <c r="AM348" s="4">
        <v>39</v>
      </c>
      <c r="AN348" s="4">
        <v>0</v>
      </c>
      <c r="AO348" s="4">
        <v>0</v>
      </c>
      <c r="AP348" s="4">
        <v>2</v>
      </c>
      <c r="AQ348" s="4">
        <v>7</v>
      </c>
      <c r="AR348" s="3" t="s">
        <v>63</v>
      </c>
      <c r="AS348" s="3" t="s">
        <v>63</v>
      </c>
      <c r="AT348" s="3" t="s">
        <v>63</v>
      </c>
      <c r="AV348" s="6" t="str">
        <f>HYPERLINK("http://mcgill.on.worldcat.org/oclc/63011102","Catalog Record")</f>
        <v>Catalog Record</v>
      </c>
      <c r="AW348" s="6" t="str">
        <f>HYPERLINK("http://www.worldcat.org/oclc/63011102","WorldCat Record")</f>
        <v>WorldCat Record</v>
      </c>
      <c r="AX348" s="3" t="s">
        <v>3629</v>
      </c>
      <c r="AY348" s="3" t="s">
        <v>3630</v>
      </c>
      <c r="AZ348" s="3" t="s">
        <v>3631</v>
      </c>
      <c r="BA348" s="3" t="s">
        <v>3631</v>
      </c>
      <c r="BB348" s="3" t="s">
        <v>3632</v>
      </c>
      <c r="BC348" s="3" t="s">
        <v>82</v>
      </c>
      <c r="BD348" s="3" t="s">
        <v>70</v>
      </c>
      <c r="BE348" s="3" t="s">
        <v>3633</v>
      </c>
      <c r="BF348" s="3" t="s">
        <v>3632</v>
      </c>
      <c r="BG348" s="3" t="s">
        <v>3634</v>
      </c>
    </row>
    <row r="349" spans="1:59" ht="60" x14ac:dyDescent="0.25">
      <c r="A349" s="2" t="s">
        <v>59</v>
      </c>
      <c r="B349" s="2" t="s">
        <v>60</v>
      </c>
      <c r="C349" s="2" t="s">
        <v>3635</v>
      </c>
      <c r="D349" s="2" t="s">
        <v>3636</v>
      </c>
      <c r="E349" s="2" t="s">
        <v>3637</v>
      </c>
      <c r="F349" s="3" t="s">
        <v>3638</v>
      </c>
      <c r="G349" s="3" t="s">
        <v>62</v>
      </c>
      <c r="I349" s="3" t="s">
        <v>63</v>
      </c>
      <c r="J349" s="3" t="s">
        <v>63</v>
      </c>
      <c r="K349" s="3" t="s">
        <v>64</v>
      </c>
      <c r="M349" s="2" t="s">
        <v>3639</v>
      </c>
      <c r="N349" s="3" t="s">
        <v>3640</v>
      </c>
      <c r="P349" s="3" t="s">
        <v>90</v>
      </c>
      <c r="R349" s="3" t="s">
        <v>67</v>
      </c>
      <c r="S349" s="4">
        <v>1</v>
      </c>
      <c r="T349" s="4">
        <v>1</v>
      </c>
      <c r="U349" s="5" t="s">
        <v>3641</v>
      </c>
      <c r="V349" s="5" t="s">
        <v>3641</v>
      </c>
      <c r="W349" s="5" t="s">
        <v>69</v>
      </c>
      <c r="X349" s="5" t="s">
        <v>69</v>
      </c>
      <c r="Y349" s="4">
        <v>10</v>
      </c>
      <c r="Z349" s="4">
        <v>4</v>
      </c>
      <c r="AA349" s="4">
        <v>8</v>
      </c>
      <c r="AB349" s="4">
        <v>1</v>
      </c>
      <c r="AC349" s="4">
        <v>1</v>
      </c>
      <c r="AD349" s="4">
        <v>6</v>
      </c>
      <c r="AE349" s="4">
        <v>19</v>
      </c>
      <c r="AF349" s="4">
        <v>0</v>
      </c>
      <c r="AG349" s="4">
        <v>0</v>
      </c>
      <c r="AH349" s="4">
        <v>5</v>
      </c>
      <c r="AI349" s="4">
        <v>17</v>
      </c>
      <c r="AJ349" s="4">
        <v>3</v>
      </c>
      <c r="AK349" s="4">
        <v>6</v>
      </c>
      <c r="AL349" s="4">
        <v>2</v>
      </c>
      <c r="AM349" s="4">
        <v>9</v>
      </c>
      <c r="AN349" s="4">
        <v>0</v>
      </c>
      <c r="AO349" s="4">
        <v>0</v>
      </c>
      <c r="AP349" s="4">
        <v>3</v>
      </c>
      <c r="AQ349" s="4">
        <v>6</v>
      </c>
      <c r="AR349" s="3" t="s">
        <v>63</v>
      </c>
      <c r="AS349" s="3" t="s">
        <v>63</v>
      </c>
      <c r="AT349" s="3" t="s">
        <v>63</v>
      </c>
      <c r="AV349" s="6" t="str">
        <f>HYPERLINK("http://mcgill.on.worldcat.org/oclc/54180523","Catalog Record")</f>
        <v>Catalog Record</v>
      </c>
      <c r="AW349" s="6" t="str">
        <f>HYPERLINK("http://www.worldcat.org/oclc/54180523","WorldCat Record")</f>
        <v>WorldCat Record</v>
      </c>
      <c r="AX349" s="3" t="s">
        <v>3642</v>
      </c>
      <c r="AY349" s="3" t="s">
        <v>3643</v>
      </c>
      <c r="AZ349" s="3" t="s">
        <v>3644</v>
      </c>
      <c r="BA349" s="3" t="s">
        <v>3644</v>
      </c>
      <c r="BB349" s="3" t="s">
        <v>3645</v>
      </c>
      <c r="BC349" s="3" t="s">
        <v>82</v>
      </c>
      <c r="BD349" s="3" t="s">
        <v>70</v>
      </c>
      <c r="BF349" s="3" t="s">
        <v>3645</v>
      </c>
      <c r="BG349" s="3" t="s">
        <v>3646</v>
      </c>
    </row>
    <row r="350" spans="1:59" ht="60" x14ac:dyDescent="0.25">
      <c r="A350" s="2" t="s">
        <v>59</v>
      </c>
      <c r="B350" s="2" t="s">
        <v>60</v>
      </c>
      <c r="C350" s="2" t="s">
        <v>3635</v>
      </c>
      <c r="D350" s="2" t="s">
        <v>3636</v>
      </c>
      <c r="E350" s="2" t="s">
        <v>3637</v>
      </c>
      <c r="F350" s="3" t="s">
        <v>3647</v>
      </c>
      <c r="G350" s="3" t="s">
        <v>62</v>
      </c>
      <c r="I350" s="3" t="s">
        <v>63</v>
      </c>
      <c r="J350" s="3" t="s">
        <v>63</v>
      </c>
      <c r="K350" s="3" t="s">
        <v>64</v>
      </c>
      <c r="M350" s="2" t="s">
        <v>3639</v>
      </c>
      <c r="N350" s="3" t="s">
        <v>3640</v>
      </c>
      <c r="P350" s="3" t="s">
        <v>90</v>
      </c>
      <c r="R350" s="3" t="s">
        <v>67</v>
      </c>
      <c r="S350" s="4">
        <v>0</v>
      </c>
      <c r="T350" s="4">
        <v>1</v>
      </c>
      <c r="V350" s="5" t="s">
        <v>3641</v>
      </c>
      <c r="W350" s="5" t="s">
        <v>69</v>
      </c>
      <c r="X350" s="5" t="s">
        <v>69</v>
      </c>
      <c r="Y350" s="4">
        <v>10</v>
      </c>
      <c r="Z350" s="4">
        <v>4</v>
      </c>
      <c r="AA350" s="4">
        <v>8</v>
      </c>
      <c r="AB350" s="4">
        <v>1</v>
      </c>
      <c r="AC350" s="4">
        <v>1</v>
      </c>
      <c r="AD350" s="4">
        <v>6</v>
      </c>
      <c r="AE350" s="4">
        <v>19</v>
      </c>
      <c r="AF350" s="4">
        <v>0</v>
      </c>
      <c r="AG350" s="4">
        <v>0</v>
      </c>
      <c r="AH350" s="4">
        <v>5</v>
      </c>
      <c r="AI350" s="4">
        <v>17</v>
      </c>
      <c r="AJ350" s="4">
        <v>3</v>
      </c>
      <c r="AK350" s="4">
        <v>6</v>
      </c>
      <c r="AL350" s="4">
        <v>2</v>
      </c>
      <c r="AM350" s="4">
        <v>9</v>
      </c>
      <c r="AN350" s="4">
        <v>0</v>
      </c>
      <c r="AO350" s="4">
        <v>0</v>
      </c>
      <c r="AP350" s="4">
        <v>3</v>
      </c>
      <c r="AQ350" s="4">
        <v>6</v>
      </c>
      <c r="AR350" s="3" t="s">
        <v>63</v>
      </c>
      <c r="AS350" s="3" t="s">
        <v>63</v>
      </c>
      <c r="AT350" s="3" t="s">
        <v>63</v>
      </c>
      <c r="AV350" s="6" t="str">
        <f>HYPERLINK("http://mcgill.on.worldcat.org/oclc/54180523","Catalog Record")</f>
        <v>Catalog Record</v>
      </c>
      <c r="AW350" s="6" t="str">
        <f>HYPERLINK("http://www.worldcat.org/oclc/54180523","WorldCat Record")</f>
        <v>WorldCat Record</v>
      </c>
      <c r="AX350" s="3" t="s">
        <v>3642</v>
      </c>
      <c r="AY350" s="3" t="s">
        <v>3643</v>
      </c>
      <c r="AZ350" s="3" t="s">
        <v>3644</v>
      </c>
      <c r="BA350" s="3" t="s">
        <v>3644</v>
      </c>
      <c r="BB350" s="3" t="s">
        <v>3648</v>
      </c>
      <c r="BC350" s="3" t="s">
        <v>82</v>
      </c>
      <c r="BD350" s="3" t="s">
        <v>70</v>
      </c>
      <c r="BF350" s="3" t="s">
        <v>3648</v>
      </c>
      <c r="BG350" s="3" t="s">
        <v>3649</v>
      </c>
    </row>
    <row r="351" spans="1:59" ht="60" x14ac:dyDescent="0.25">
      <c r="A351" s="2" t="s">
        <v>59</v>
      </c>
      <c r="B351" s="2" t="s">
        <v>60</v>
      </c>
      <c r="C351" s="2" t="s">
        <v>3635</v>
      </c>
      <c r="D351" s="2" t="s">
        <v>3636</v>
      </c>
      <c r="E351" s="2" t="s">
        <v>3637</v>
      </c>
      <c r="F351" s="3" t="s">
        <v>3650</v>
      </c>
      <c r="G351" s="3" t="s">
        <v>62</v>
      </c>
      <c r="I351" s="3" t="s">
        <v>63</v>
      </c>
      <c r="J351" s="3" t="s">
        <v>63</v>
      </c>
      <c r="K351" s="3" t="s">
        <v>64</v>
      </c>
      <c r="M351" s="2" t="s">
        <v>3639</v>
      </c>
      <c r="N351" s="3" t="s">
        <v>3640</v>
      </c>
      <c r="P351" s="3" t="s">
        <v>90</v>
      </c>
      <c r="R351" s="3" t="s">
        <v>67</v>
      </c>
      <c r="S351" s="4">
        <v>0</v>
      </c>
      <c r="T351" s="4">
        <v>1</v>
      </c>
      <c r="V351" s="5" t="s">
        <v>3641</v>
      </c>
      <c r="W351" s="5" t="s">
        <v>69</v>
      </c>
      <c r="X351" s="5" t="s">
        <v>69</v>
      </c>
      <c r="Y351" s="4">
        <v>10</v>
      </c>
      <c r="Z351" s="4">
        <v>4</v>
      </c>
      <c r="AA351" s="4">
        <v>8</v>
      </c>
      <c r="AB351" s="4">
        <v>1</v>
      </c>
      <c r="AC351" s="4">
        <v>1</v>
      </c>
      <c r="AD351" s="4">
        <v>6</v>
      </c>
      <c r="AE351" s="4">
        <v>19</v>
      </c>
      <c r="AF351" s="4">
        <v>0</v>
      </c>
      <c r="AG351" s="4">
        <v>0</v>
      </c>
      <c r="AH351" s="4">
        <v>5</v>
      </c>
      <c r="AI351" s="4">
        <v>17</v>
      </c>
      <c r="AJ351" s="4">
        <v>3</v>
      </c>
      <c r="AK351" s="4">
        <v>6</v>
      </c>
      <c r="AL351" s="4">
        <v>2</v>
      </c>
      <c r="AM351" s="4">
        <v>9</v>
      </c>
      <c r="AN351" s="4">
        <v>0</v>
      </c>
      <c r="AO351" s="4">
        <v>0</v>
      </c>
      <c r="AP351" s="4">
        <v>3</v>
      </c>
      <c r="AQ351" s="4">
        <v>6</v>
      </c>
      <c r="AR351" s="3" t="s">
        <v>63</v>
      </c>
      <c r="AS351" s="3" t="s">
        <v>63</v>
      </c>
      <c r="AT351" s="3" t="s">
        <v>63</v>
      </c>
      <c r="AV351" s="6" t="str">
        <f>HYPERLINK("http://mcgill.on.worldcat.org/oclc/54180523","Catalog Record")</f>
        <v>Catalog Record</v>
      </c>
      <c r="AW351" s="6" t="str">
        <f>HYPERLINK("http://www.worldcat.org/oclc/54180523","WorldCat Record")</f>
        <v>WorldCat Record</v>
      </c>
      <c r="AX351" s="3" t="s">
        <v>3642</v>
      </c>
      <c r="AY351" s="3" t="s">
        <v>3643</v>
      </c>
      <c r="AZ351" s="3" t="s">
        <v>3644</v>
      </c>
      <c r="BA351" s="3" t="s">
        <v>3644</v>
      </c>
      <c r="BB351" s="3" t="s">
        <v>3651</v>
      </c>
      <c r="BC351" s="3" t="s">
        <v>82</v>
      </c>
      <c r="BD351" s="3" t="s">
        <v>70</v>
      </c>
      <c r="BF351" s="3" t="s">
        <v>3651</v>
      </c>
      <c r="BG351" s="3" t="s">
        <v>3652</v>
      </c>
    </row>
    <row r="352" spans="1:59" ht="60" x14ac:dyDescent="0.25">
      <c r="A352" s="2" t="s">
        <v>59</v>
      </c>
      <c r="B352" s="2" t="s">
        <v>60</v>
      </c>
      <c r="C352" s="2" t="s">
        <v>3635</v>
      </c>
      <c r="D352" s="2" t="s">
        <v>3636</v>
      </c>
      <c r="E352" s="2" t="s">
        <v>3637</v>
      </c>
      <c r="F352" s="3" t="s">
        <v>3653</v>
      </c>
      <c r="G352" s="3" t="s">
        <v>62</v>
      </c>
      <c r="I352" s="3" t="s">
        <v>63</v>
      </c>
      <c r="J352" s="3" t="s">
        <v>63</v>
      </c>
      <c r="K352" s="3" t="s">
        <v>64</v>
      </c>
      <c r="M352" s="2" t="s">
        <v>3639</v>
      </c>
      <c r="N352" s="3" t="s">
        <v>3640</v>
      </c>
      <c r="P352" s="3" t="s">
        <v>90</v>
      </c>
      <c r="R352" s="3" t="s">
        <v>67</v>
      </c>
      <c r="S352" s="4">
        <v>0</v>
      </c>
      <c r="T352" s="4">
        <v>1</v>
      </c>
      <c r="V352" s="5" t="s">
        <v>3641</v>
      </c>
      <c r="W352" s="5" t="s">
        <v>69</v>
      </c>
      <c r="X352" s="5" t="s">
        <v>69</v>
      </c>
      <c r="Y352" s="4">
        <v>10</v>
      </c>
      <c r="Z352" s="4">
        <v>4</v>
      </c>
      <c r="AA352" s="4">
        <v>8</v>
      </c>
      <c r="AB352" s="4">
        <v>1</v>
      </c>
      <c r="AC352" s="4">
        <v>1</v>
      </c>
      <c r="AD352" s="4">
        <v>6</v>
      </c>
      <c r="AE352" s="4">
        <v>19</v>
      </c>
      <c r="AF352" s="4">
        <v>0</v>
      </c>
      <c r="AG352" s="4">
        <v>0</v>
      </c>
      <c r="AH352" s="4">
        <v>5</v>
      </c>
      <c r="AI352" s="4">
        <v>17</v>
      </c>
      <c r="AJ352" s="4">
        <v>3</v>
      </c>
      <c r="AK352" s="4">
        <v>6</v>
      </c>
      <c r="AL352" s="4">
        <v>2</v>
      </c>
      <c r="AM352" s="4">
        <v>9</v>
      </c>
      <c r="AN352" s="4">
        <v>0</v>
      </c>
      <c r="AO352" s="4">
        <v>0</v>
      </c>
      <c r="AP352" s="4">
        <v>3</v>
      </c>
      <c r="AQ352" s="4">
        <v>6</v>
      </c>
      <c r="AR352" s="3" t="s">
        <v>63</v>
      </c>
      <c r="AS352" s="3" t="s">
        <v>63</v>
      </c>
      <c r="AT352" s="3" t="s">
        <v>63</v>
      </c>
      <c r="AV352" s="6" t="str">
        <f>HYPERLINK("http://mcgill.on.worldcat.org/oclc/54180523","Catalog Record")</f>
        <v>Catalog Record</v>
      </c>
      <c r="AW352" s="6" t="str">
        <f>HYPERLINK("http://www.worldcat.org/oclc/54180523","WorldCat Record")</f>
        <v>WorldCat Record</v>
      </c>
      <c r="AX352" s="3" t="s">
        <v>3642</v>
      </c>
      <c r="AY352" s="3" t="s">
        <v>3643</v>
      </c>
      <c r="AZ352" s="3" t="s">
        <v>3644</v>
      </c>
      <c r="BA352" s="3" t="s">
        <v>3644</v>
      </c>
      <c r="BB352" s="3" t="s">
        <v>3654</v>
      </c>
      <c r="BC352" s="3" t="s">
        <v>82</v>
      </c>
      <c r="BD352" s="3" t="s">
        <v>70</v>
      </c>
      <c r="BF352" s="3" t="s">
        <v>3654</v>
      </c>
      <c r="BG352" s="3" t="s">
        <v>3655</v>
      </c>
    </row>
    <row r="353" spans="1:59" ht="75" x14ac:dyDescent="0.25">
      <c r="A353" s="2" t="s">
        <v>59</v>
      </c>
      <c r="B353" s="2" t="s">
        <v>60</v>
      </c>
      <c r="C353" s="2" t="s">
        <v>3656</v>
      </c>
      <c r="D353" s="2" t="s">
        <v>3657</v>
      </c>
      <c r="E353" s="2" t="s">
        <v>3658</v>
      </c>
      <c r="G353" s="3" t="s">
        <v>63</v>
      </c>
      <c r="I353" s="3" t="s">
        <v>63</v>
      </c>
      <c r="J353" s="3" t="s">
        <v>63</v>
      </c>
      <c r="K353" s="3" t="s">
        <v>64</v>
      </c>
      <c r="L353" s="2" t="s">
        <v>3659</v>
      </c>
      <c r="M353" s="2" t="s">
        <v>3660</v>
      </c>
      <c r="N353" s="3" t="s">
        <v>374</v>
      </c>
      <c r="O353" s="2" t="s">
        <v>3661</v>
      </c>
      <c r="P353" s="3" t="s">
        <v>90</v>
      </c>
      <c r="R353" s="3" t="s">
        <v>67</v>
      </c>
      <c r="S353" s="4">
        <v>2</v>
      </c>
      <c r="T353" s="4">
        <v>2</v>
      </c>
      <c r="U353" s="5" t="s">
        <v>3662</v>
      </c>
      <c r="V353" s="5" t="s">
        <v>3662</v>
      </c>
      <c r="W353" s="5" t="s">
        <v>69</v>
      </c>
      <c r="X353" s="5" t="s">
        <v>69</v>
      </c>
      <c r="Y353" s="4">
        <v>19</v>
      </c>
      <c r="Z353" s="4">
        <v>2</v>
      </c>
      <c r="AA353" s="4">
        <v>2</v>
      </c>
      <c r="AB353" s="4">
        <v>1</v>
      </c>
      <c r="AC353" s="4">
        <v>1</v>
      </c>
      <c r="AD353" s="4">
        <v>11</v>
      </c>
      <c r="AE353" s="4">
        <v>11</v>
      </c>
      <c r="AF353" s="4">
        <v>0</v>
      </c>
      <c r="AG353" s="4">
        <v>0</v>
      </c>
      <c r="AH353" s="4">
        <v>11</v>
      </c>
      <c r="AI353" s="4">
        <v>11</v>
      </c>
      <c r="AJ353" s="4">
        <v>1</v>
      </c>
      <c r="AK353" s="4">
        <v>1</v>
      </c>
      <c r="AL353" s="4">
        <v>7</v>
      </c>
      <c r="AM353" s="4">
        <v>7</v>
      </c>
      <c r="AN353" s="4">
        <v>0</v>
      </c>
      <c r="AO353" s="4">
        <v>0</v>
      </c>
      <c r="AP353" s="4">
        <v>1</v>
      </c>
      <c r="AQ353" s="4">
        <v>1</v>
      </c>
      <c r="AR353" s="3" t="s">
        <v>63</v>
      </c>
      <c r="AS353" s="3" t="s">
        <v>63</v>
      </c>
      <c r="AT353" s="3" t="s">
        <v>63</v>
      </c>
      <c r="AV353" s="6" t="str">
        <f>HYPERLINK("http://mcgill.on.worldcat.org/oclc/39000504","Catalog Record")</f>
        <v>Catalog Record</v>
      </c>
      <c r="AW353" s="6" t="str">
        <f>HYPERLINK("http://www.worldcat.org/oclc/39000504","WorldCat Record")</f>
        <v>WorldCat Record</v>
      </c>
      <c r="AX353" s="3" t="s">
        <v>3663</v>
      </c>
      <c r="AY353" s="3" t="s">
        <v>3664</v>
      </c>
      <c r="AZ353" s="3" t="s">
        <v>3665</v>
      </c>
      <c r="BA353" s="3" t="s">
        <v>3665</v>
      </c>
      <c r="BB353" s="3" t="s">
        <v>3666</v>
      </c>
      <c r="BC353" s="3" t="s">
        <v>82</v>
      </c>
      <c r="BD353" s="3" t="s">
        <v>70</v>
      </c>
      <c r="BE353" s="3" t="s">
        <v>3667</v>
      </c>
      <c r="BF353" s="3" t="s">
        <v>3666</v>
      </c>
      <c r="BG353" s="3" t="s">
        <v>3668</v>
      </c>
    </row>
    <row r="354" spans="1:59" ht="60" x14ac:dyDescent="0.25">
      <c r="A354" s="2" t="s">
        <v>59</v>
      </c>
      <c r="B354" s="2" t="s">
        <v>60</v>
      </c>
      <c r="C354" s="2" t="s">
        <v>3669</v>
      </c>
      <c r="D354" s="2" t="s">
        <v>3670</v>
      </c>
      <c r="E354" s="2" t="s">
        <v>3671</v>
      </c>
      <c r="G354" s="3" t="s">
        <v>63</v>
      </c>
      <c r="I354" s="3" t="s">
        <v>63</v>
      </c>
      <c r="J354" s="3" t="s">
        <v>63</v>
      </c>
      <c r="K354" s="3" t="s">
        <v>64</v>
      </c>
      <c r="L354" s="2" t="s">
        <v>3672</v>
      </c>
      <c r="M354" s="2" t="s">
        <v>3673</v>
      </c>
      <c r="N354" s="3" t="s">
        <v>531</v>
      </c>
      <c r="P354" s="3" t="s">
        <v>90</v>
      </c>
      <c r="R354" s="3" t="s">
        <v>67</v>
      </c>
      <c r="S354" s="4">
        <v>2</v>
      </c>
      <c r="T354" s="4">
        <v>2</v>
      </c>
      <c r="U354" s="5" t="s">
        <v>3641</v>
      </c>
      <c r="V354" s="5" t="s">
        <v>3641</v>
      </c>
      <c r="W354" s="5" t="s">
        <v>69</v>
      </c>
      <c r="X354" s="5" t="s">
        <v>69</v>
      </c>
      <c r="Y354" s="4">
        <v>37</v>
      </c>
      <c r="Z354" s="4">
        <v>4</v>
      </c>
      <c r="AA354" s="4">
        <v>4</v>
      </c>
      <c r="AB354" s="4">
        <v>1</v>
      </c>
      <c r="AC354" s="4">
        <v>1</v>
      </c>
      <c r="AD354" s="4">
        <v>23</v>
      </c>
      <c r="AE354" s="4">
        <v>23</v>
      </c>
      <c r="AF354" s="4">
        <v>0</v>
      </c>
      <c r="AG354" s="4">
        <v>0</v>
      </c>
      <c r="AH354" s="4">
        <v>22</v>
      </c>
      <c r="AI354" s="4">
        <v>22</v>
      </c>
      <c r="AJ354" s="4">
        <v>2</v>
      </c>
      <c r="AK354" s="4">
        <v>2</v>
      </c>
      <c r="AL354" s="4">
        <v>18</v>
      </c>
      <c r="AM354" s="4">
        <v>18</v>
      </c>
      <c r="AN354" s="4">
        <v>0</v>
      </c>
      <c r="AO354" s="4">
        <v>0</v>
      </c>
      <c r="AP354" s="4">
        <v>2</v>
      </c>
      <c r="AQ354" s="4">
        <v>2</v>
      </c>
      <c r="AR354" s="3" t="s">
        <v>63</v>
      </c>
      <c r="AS354" s="3" t="s">
        <v>63</v>
      </c>
      <c r="AT354" s="3" t="s">
        <v>63</v>
      </c>
      <c r="AV354" s="6" t="str">
        <f>HYPERLINK("http://mcgill.on.worldcat.org/oclc/28923120","Catalog Record")</f>
        <v>Catalog Record</v>
      </c>
      <c r="AW354" s="6" t="str">
        <f>HYPERLINK("http://www.worldcat.org/oclc/28923120","WorldCat Record")</f>
        <v>WorldCat Record</v>
      </c>
      <c r="AX354" s="3" t="s">
        <v>3674</v>
      </c>
      <c r="AY354" s="3" t="s">
        <v>3675</v>
      </c>
      <c r="AZ354" s="3" t="s">
        <v>3676</v>
      </c>
      <c r="BA354" s="3" t="s">
        <v>3676</v>
      </c>
      <c r="BB354" s="3" t="s">
        <v>3677</v>
      </c>
      <c r="BC354" s="3" t="s">
        <v>82</v>
      </c>
      <c r="BD354" s="3" t="s">
        <v>70</v>
      </c>
      <c r="BE354" s="3" t="s">
        <v>3678</v>
      </c>
      <c r="BF354" s="3" t="s">
        <v>3677</v>
      </c>
      <c r="BG354" s="3" t="s">
        <v>3679</v>
      </c>
    </row>
    <row r="355" spans="1:59" ht="60" x14ac:dyDescent="0.25">
      <c r="A355" s="2" t="s">
        <v>59</v>
      </c>
      <c r="B355" s="2" t="s">
        <v>60</v>
      </c>
      <c r="C355" s="2" t="s">
        <v>3680</v>
      </c>
      <c r="D355" s="2" t="s">
        <v>3681</v>
      </c>
      <c r="E355" s="2" t="s">
        <v>3682</v>
      </c>
      <c r="G355" s="3" t="s">
        <v>63</v>
      </c>
      <c r="I355" s="3" t="s">
        <v>63</v>
      </c>
      <c r="J355" s="3" t="s">
        <v>63</v>
      </c>
      <c r="K355" s="3" t="s">
        <v>64</v>
      </c>
      <c r="L355" s="2" t="s">
        <v>3683</v>
      </c>
      <c r="M355" s="2" t="s">
        <v>3684</v>
      </c>
      <c r="N355" s="3" t="s">
        <v>1557</v>
      </c>
      <c r="P355" s="3" t="s">
        <v>90</v>
      </c>
      <c r="Q355" s="2" t="s">
        <v>3685</v>
      </c>
      <c r="R355" s="3" t="s">
        <v>67</v>
      </c>
      <c r="S355" s="4">
        <v>0</v>
      </c>
      <c r="T355" s="4">
        <v>0</v>
      </c>
      <c r="W355" s="5" t="s">
        <v>69</v>
      </c>
      <c r="X355" s="5" t="s">
        <v>69</v>
      </c>
      <c r="Y355" s="4">
        <v>6</v>
      </c>
      <c r="Z355" s="4">
        <v>1</v>
      </c>
      <c r="AA355" s="4">
        <v>1</v>
      </c>
      <c r="AB355" s="4">
        <v>1</v>
      </c>
      <c r="AC355" s="4">
        <v>1</v>
      </c>
      <c r="AD355" s="4">
        <v>5</v>
      </c>
      <c r="AE355" s="4">
        <v>14</v>
      </c>
      <c r="AF355" s="4">
        <v>0</v>
      </c>
      <c r="AG355" s="4">
        <v>0</v>
      </c>
      <c r="AH355" s="4">
        <v>5</v>
      </c>
      <c r="AI355" s="4">
        <v>13</v>
      </c>
      <c r="AJ355" s="4">
        <v>0</v>
      </c>
      <c r="AK355" s="4">
        <v>0</v>
      </c>
      <c r="AL355" s="4">
        <v>5</v>
      </c>
      <c r="AM355" s="4">
        <v>13</v>
      </c>
      <c r="AN355" s="4">
        <v>0</v>
      </c>
      <c r="AO355" s="4">
        <v>0</v>
      </c>
      <c r="AP355" s="4">
        <v>0</v>
      </c>
      <c r="AQ355" s="4">
        <v>0</v>
      </c>
      <c r="AR355" s="3" t="s">
        <v>63</v>
      </c>
      <c r="AS355" s="3" t="s">
        <v>63</v>
      </c>
      <c r="AT355" s="3" t="s">
        <v>63</v>
      </c>
      <c r="AV355" s="6" t="str">
        <f>HYPERLINK("http://mcgill.on.worldcat.org/oclc/959567858","Catalog Record")</f>
        <v>Catalog Record</v>
      </c>
      <c r="AW355" s="6" t="str">
        <f>HYPERLINK("http://www.worldcat.org/oclc/959567858","WorldCat Record")</f>
        <v>WorldCat Record</v>
      </c>
      <c r="AX355" s="3" t="s">
        <v>3686</v>
      </c>
      <c r="AY355" s="3" t="s">
        <v>3687</v>
      </c>
      <c r="AZ355" s="3" t="s">
        <v>3688</v>
      </c>
      <c r="BA355" s="3" t="s">
        <v>3688</v>
      </c>
      <c r="BB355" s="3" t="s">
        <v>3689</v>
      </c>
      <c r="BC355" s="3" t="s">
        <v>82</v>
      </c>
      <c r="BD355" s="3" t="s">
        <v>70</v>
      </c>
      <c r="BE355" s="3" t="s">
        <v>3690</v>
      </c>
      <c r="BF355" s="3" t="s">
        <v>3689</v>
      </c>
      <c r="BG355" s="3" t="s">
        <v>3691</v>
      </c>
    </row>
    <row r="356" spans="1:59" ht="90" x14ac:dyDescent="0.25">
      <c r="A356" s="2" t="s">
        <v>3460</v>
      </c>
      <c r="B356" s="2" t="s">
        <v>3461</v>
      </c>
      <c r="C356" s="2" t="s">
        <v>3692</v>
      </c>
      <c r="D356" s="2" t="s">
        <v>3693</v>
      </c>
      <c r="E356" s="2" t="s">
        <v>3694</v>
      </c>
      <c r="G356" s="3" t="s">
        <v>63</v>
      </c>
      <c r="I356" s="3" t="s">
        <v>62</v>
      </c>
      <c r="J356" s="3" t="s">
        <v>63</v>
      </c>
      <c r="K356" s="3" t="s">
        <v>64</v>
      </c>
      <c r="L356" s="2" t="s">
        <v>3695</v>
      </c>
      <c r="M356" s="2" t="s">
        <v>3696</v>
      </c>
      <c r="N356" s="3" t="s">
        <v>939</v>
      </c>
      <c r="P356" s="3" t="s">
        <v>66</v>
      </c>
      <c r="R356" s="3" t="s">
        <v>67</v>
      </c>
      <c r="S356" s="4">
        <v>1</v>
      </c>
      <c r="T356" s="4">
        <v>1</v>
      </c>
      <c r="U356" s="5" t="s">
        <v>1961</v>
      </c>
      <c r="V356" s="5" t="s">
        <v>1961</v>
      </c>
      <c r="W356" s="5" t="s">
        <v>69</v>
      </c>
      <c r="X356" s="5" t="s">
        <v>69</v>
      </c>
      <c r="Y356" s="4">
        <v>310</v>
      </c>
      <c r="Z356" s="4">
        <v>13</v>
      </c>
      <c r="AA356" s="4">
        <v>29</v>
      </c>
      <c r="AB356" s="4">
        <v>1</v>
      </c>
      <c r="AC356" s="4">
        <v>2</v>
      </c>
      <c r="AD356" s="4">
        <v>85</v>
      </c>
      <c r="AE356" s="4">
        <v>111</v>
      </c>
      <c r="AF356" s="4">
        <v>0</v>
      </c>
      <c r="AG356" s="4">
        <v>1</v>
      </c>
      <c r="AH356" s="4">
        <v>77</v>
      </c>
      <c r="AI356" s="4">
        <v>94</v>
      </c>
      <c r="AJ356" s="4">
        <v>6</v>
      </c>
      <c r="AK356" s="4">
        <v>17</v>
      </c>
      <c r="AL356" s="4">
        <v>48</v>
      </c>
      <c r="AM356" s="4">
        <v>53</v>
      </c>
      <c r="AN356" s="4">
        <v>0</v>
      </c>
      <c r="AO356" s="4">
        <v>2</v>
      </c>
      <c r="AP356" s="4">
        <v>8</v>
      </c>
      <c r="AQ356" s="4">
        <v>23</v>
      </c>
      <c r="AR356" s="3" t="s">
        <v>63</v>
      </c>
      <c r="AS356" s="3" t="s">
        <v>63</v>
      </c>
      <c r="AT356" s="3" t="s">
        <v>62</v>
      </c>
      <c r="AU356" s="6" t="str">
        <f>HYPERLINK("http://catalog.hathitrust.org/Record/000344051","HathiTrust Record")</f>
        <v>HathiTrust Record</v>
      </c>
      <c r="AV356" s="6" t="str">
        <f>HYPERLINK("http://mcgill.on.worldcat.org/oclc/322821","Catalog Record")</f>
        <v>Catalog Record</v>
      </c>
      <c r="AW356" s="6" t="str">
        <f>HYPERLINK("http://www.worldcat.org/oclc/322821","WorldCat Record")</f>
        <v>WorldCat Record</v>
      </c>
      <c r="AX356" s="3" t="s">
        <v>3697</v>
      </c>
      <c r="AY356" s="3" t="s">
        <v>3698</v>
      </c>
      <c r="AZ356" s="3" t="s">
        <v>3699</v>
      </c>
      <c r="BA356" s="3" t="s">
        <v>3699</v>
      </c>
      <c r="BB356" s="3" t="s">
        <v>3700</v>
      </c>
      <c r="BC356" s="3" t="s">
        <v>82</v>
      </c>
      <c r="BD356" s="3" t="s">
        <v>70</v>
      </c>
      <c r="BF356" s="3" t="s">
        <v>3700</v>
      </c>
      <c r="BG356" s="3" t="s">
        <v>3701</v>
      </c>
    </row>
    <row r="357" spans="1:59" ht="60" x14ac:dyDescent="0.25">
      <c r="A357" s="2" t="s">
        <v>59</v>
      </c>
      <c r="B357" s="2" t="s">
        <v>60</v>
      </c>
      <c r="C357" s="2" t="s">
        <v>3702</v>
      </c>
      <c r="D357" s="2" t="s">
        <v>3703</v>
      </c>
      <c r="E357" s="2" t="s">
        <v>3704</v>
      </c>
      <c r="G357" s="3" t="s">
        <v>63</v>
      </c>
      <c r="I357" s="3" t="s">
        <v>63</v>
      </c>
      <c r="J357" s="3" t="s">
        <v>63</v>
      </c>
      <c r="K357" s="3" t="s">
        <v>64</v>
      </c>
      <c r="L357" s="2" t="s">
        <v>3705</v>
      </c>
      <c r="M357" s="2" t="s">
        <v>3706</v>
      </c>
      <c r="N357" s="3" t="s">
        <v>629</v>
      </c>
      <c r="P357" s="3" t="s">
        <v>66</v>
      </c>
      <c r="Q357" s="2" t="s">
        <v>3707</v>
      </c>
      <c r="R357" s="3" t="s">
        <v>67</v>
      </c>
      <c r="S357" s="4">
        <v>0</v>
      </c>
      <c r="T357" s="4">
        <v>0</v>
      </c>
      <c r="W357" s="5" t="s">
        <v>69</v>
      </c>
      <c r="X357" s="5" t="s">
        <v>69</v>
      </c>
      <c r="Y357" s="4">
        <v>62</v>
      </c>
      <c r="Z357" s="4">
        <v>5</v>
      </c>
      <c r="AA357" s="4">
        <v>89</v>
      </c>
      <c r="AB357" s="4">
        <v>1</v>
      </c>
      <c r="AC357" s="4">
        <v>17</v>
      </c>
      <c r="AD357" s="4">
        <v>36</v>
      </c>
      <c r="AE357" s="4">
        <v>113</v>
      </c>
      <c r="AF357" s="4">
        <v>0</v>
      </c>
      <c r="AG357" s="4">
        <v>8</v>
      </c>
      <c r="AH357" s="4">
        <v>35</v>
      </c>
      <c r="AI357" s="4">
        <v>79</v>
      </c>
      <c r="AJ357" s="4">
        <v>3</v>
      </c>
      <c r="AK357" s="4">
        <v>20</v>
      </c>
      <c r="AL357" s="4">
        <v>24</v>
      </c>
      <c r="AM357" s="4">
        <v>42</v>
      </c>
      <c r="AN357" s="4">
        <v>0</v>
      </c>
      <c r="AO357" s="4">
        <v>0</v>
      </c>
      <c r="AP357" s="4">
        <v>3</v>
      </c>
      <c r="AQ357" s="4">
        <v>41</v>
      </c>
      <c r="AR357" s="3" t="s">
        <v>63</v>
      </c>
      <c r="AS357" s="3" t="s">
        <v>63</v>
      </c>
      <c r="AT357" s="3" t="s">
        <v>63</v>
      </c>
      <c r="AV357" s="6" t="str">
        <f>HYPERLINK("http://mcgill.on.worldcat.org/oclc/747314114","Catalog Record")</f>
        <v>Catalog Record</v>
      </c>
      <c r="AW357" s="6" t="str">
        <f>HYPERLINK("http://www.worldcat.org/oclc/747314114","WorldCat Record")</f>
        <v>WorldCat Record</v>
      </c>
      <c r="AX357" s="3" t="s">
        <v>3708</v>
      </c>
      <c r="AY357" s="3" t="s">
        <v>3709</v>
      </c>
      <c r="AZ357" s="3" t="s">
        <v>3710</v>
      </c>
      <c r="BA357" s="3" t="s">
        <v>3710</v>
      </c>
      <c r="BB357" s="3" t="s">
        <v>3711</v>
      </c>
      <c r="BC357" s="3" t="s">
        <v>82</v>
      </c>
      <c r="BD357" s="3" t="s">
        <v>70</v>
      </c>
      <c r="BE357" s="3" t="s">
        <v>3712</v>
      </c>
      <c r="BF357" s="3" t="s">
        <v>3711</v>
      </c>
      <c r="BG357" s="3" t="s">
        <v>3713</v>
      </c>
    </row>
    <row r="358" spans="1:59" ht="60" x14ac:dyDescent="0.25">
      <c r="A358" s="2" t="s">
        <v>59</v>
      </c>
      <c r="B358" s="2" t="s">
        <v>60</v>
      </c>
      <c r="C358" s="2" t="s">
        <v>3714</v>
      </c>
      <c r="D358" s="2" t="s">
        <v>3715</v>
      </c>
      <c r="E358" s="2" t="s">
        <v>3716</v>
      </c>
      <c r="G358" s="3" t="s">
        <v>63</v>
      </c>
      <c r="I358" s="3" t="s">
        <v>63</v>
      </c>
      <c r="J358" s="3" t="s">
        <v>63</v>
      </c>
      <c r="K358" s="3" t="s">
        <v>64</v>
      </c>
      <c r="M358" s="2" t="s">
        <v>3717</v>
      </c>
      <c r="N358" s="3" t="s">
        <v>143</v>
      </c>
      <c r="P358" s="3" t="s">
        <v>90</v>
      </c>
      <c r="Q358" s="2" t="s">
        <v>3718</v>
      </c>
      <c r="R358" s="3" t="s">
        <v>67</v>
      </c>
      <c r="S358" s="4">
        <v>0</v>
      </c>
      <c r="T358" s="4">
        <v>0</v>
      </c>
      <c r="W358" s="5" t="s">
        <v>69</v>
      </c>
      <c r="X358" s="5" t="s">
        <v>69</v>
      </c>
      <c r="Y358" s="4">
        <v>28</v>
      </c>
      <c r="Z358" s="4">
        <v>3</v>
      </c>
      <c r="AA358" s="4">
        <v>3</v>
      </c>
      <c r="AB358" s="4">
        <v>1</v>
      </c>
      <c r="AC358" s="4">
        <v>1</v>
      </c>
      <c r="AD358" s="4">
        <v>19</v>
      </c>
      <c r="AE358" s="4">
        <v>19</v>
      </c>
      <c r="AF358" s="4">
        <v>0</v>
      </c>
      <c r="AG358" s="4">
        <v>0</v>
      </c>
      <c r="AH358" s="4">
        <v>18</v>
      </c>
      <c r="AI358" s="4">
        <v>18</v>
      </c>
      <c r="AJ358" s="4">
        <v>1</v>
      </c>
      <c r="AK358" s="4">
        <v>1</v>
      </c>
      <c r="AL358" s="4">
        <v>16</v>
      </c>
      <c r="AM358" s="4">
        <v>16</v>
      </c>
      <c r="AN358" s="4">
        <v>0</v>
      </c>
      <c r="AO358" s="4">
        <v>0</v>
      </c>
      <c r="AP358" s="4">
        <v>1</v>
      </c>
      <c r="AQ358" s="4">
        <v>1</v>
      </c>
      <c r="AR358" s="3" t="s">
        <v>63</v>
      </c>
      <c r="AS358" s="3" t="s">
        <v>63</v>
      </c>
      <c r="AT358" s="3" t="s">
        <v>63</v>
      </c>
      <c r="AV358" s="6" t="str">
        <f>HYPERLINK("http://mcgill.on.worldcat.org/oclc/875257501","Catalog Record")</f>
        <v>Catalog Record</v>
      </c>
      <c r="AW358" s="6" t="str">
        <f>HYPERLINK("http://www.worldcat.org/oclc/875257501","WorldCat Record")</f>
        <v>WorldCat Record</v>
      </c>
      <c r="AX358" s="3" t="s">
        <v>3719</v>
      </c>
      <c r="AY358" s="3" t="s">
        <v>3720</v>
      </c>
      <c r="AZ358" s="3" t="s">
        <v>3721</v>
      </c>
      <c r="BA358" s="3" t="s">
        <v>3721</v>
      </c>
      <c r="BB358" s="3" t="s">
        <v>3722</v>
      </c>
      <c r="BC358" s="3" t="s">
        <v>82</v>
      </c>
      <c r="BD358" s="3" t="s">
        <v>70</v>
      </c>
      <c r="BE358" s="3" t="s">
        <v>3723</v>
      </c>
      <c r="BF358" s="3" t="s">
        <v>3722</v>
      </c>
      <c r="BG358" s="3" t="s">
        <v>3724</v>
      </c>
    </row>
    <row r="359" spans="1:59" ht="105" x14ac:dyDescent="0.25">
      <c r="A359" s="2" t="s">
        <v>59</v>
      </c>
      <c r="B359" s="2" t="s">
        <v>60</v>
      </c>
      <c r="C359" s="2" t="s">
        <v>3725</v>
      </c>
      <c r="D359" s="2" t="s">
        <v>3726</v>
      </c>
      <c r="E359" s="2" t="s">
        <v>3727</v>
      </c>
      <c r="G359" s="3" t="s">
        <v>63</v>
      </c>
      <c r="I359" s="3" t="s">
        <v>63</v>
      </c>
      <c r="J359" s="3" t="s">
        <v>63</v>
      </c>
      <c r="K359" s="3" t="s">
        <v>64</v>
      </c>
      <c r="L359" s="2" t="s">
        <v>3728</v>
      </c>
      <c r="M359" s="2" t="s">
        <v>3729</v>
      </c>
      <c r="N359" s="3" t="s">
        <v>1023</v>
      </c>
      <c r="P359" s="3" t="s">
        <v>90</v>
      </c>
      <c r="Q359" s="2" t="s">
        <v>3730</v>
      </c>
      <c r="R359" s="3" t="s">
        <v>67</v>
      </c>
      <c r="S359" s="4">
        <v>1</v>
      </c>
      <c r="T359" s="4">
        <v>1</v>
      </c>
      <c r="U359" s="5" t="s">
        <v>3731</v>
      </c>
      <c r="V359" s="5" t="s">
        <v>3731</v>
      </c>
      <c r="W359" s="5" t="s">
        <v>69</v>
      </c>
      <c r="X359" s="5" t="s">
        <v>69</v>
      </c>
      <c r="Y359" s="4">
        <v>42</v>
      </c>
      <c r="Z359" s="4">
        <v>4</v>
      </c>
      <c r="AA359" s="4">
        <v>4</v>
      </c>
      <c r="AB359" s="4">
        <v>1</v>
      </c>
      <c r="AC359" s="4">
        <v>1</v>
      </c>
      <c r="AD359" s="4">
        <v>31</v>
      </c>
      <c r="AE359" s="4">
        <v>31</v>
      </c>
      <c r="AF359" s="4">
        <v>0</v>
      </c>
      <c r="AG359" s="4">
        <v>0</v>
      </c>
      <c r="AH359" s="4">
        <v>30</v>
      </c>
      <c r="AI359" s="4">
        <v>30</v>
      </c>
      <c r="AJ359" s="4">
        <v>2</v>
      </c>
      <c r="AK359" s="4">
        <v>2</v>
      </c>
      <c r="AL359" s="4">
        <v>24</v>
      </c>
      <c r="AM359" s="4">
        <v>24</v>
      </c>
      <c r="AN359" s="4">
        <v>0</v>
      </c>
      <c r="AO359" s="4">
        <v>0</v>
      </c>
      <c r="AP359" s="4">
        <v>2</v>
      </c>
      <c r="AQ359" s="4">
        <v>2</v>
      </c>
      <c r="AR359" s="3" t="s">
        <v>63</v>
      </c>
      <c r="AS359" s="3" t="s">
        <v>63</v>
      </c>
      <c r="AT359" s="3" t="s">
        <v>63</v>
      </c>
      <c r="AV359" s="6" t="str">
        <f>HYPERLINK("http://mcgill.on.worldcat.org/oclc/31932680","Catalog Record")</f>
        <v>Catalog Record</v>
      </c>
      <c r="AW359" s="6" t="str">
        <f>HYPERLINK("http://www.worldcat.org/oclc/31932680","WorldCat Record")</f>
        <v>WorldCat Record</v>
      </c>
      <c r="AX359" s="3" t="s">
        <v>3732</v>
      </c>
      <c r="AY359" s="3" t="s">
        <v>3733</v>
      </c>
      <c r="AZ359" s="3" t="s">
        <v>3734</v>
      </c>
      <c r="BA359" s="3" t="s">
        <v>3734</v>
      </c>
      <c r="BB359" s="3" t="s">
        <v>3735</v>
      </c>
      <c r="BC359" s="3" t="s">
        <v>524</v>
      </c>
      <c r="BD359" s="3" t="s">
        <v>70</v>
      </c>
      <c r="BE359" s="3" t="s">
        <v>3736</v>
      </c>
      <c r="BF359" s="3" t="s">
        <v>3735</v>
      </c>
      <c r="BG359" s="3" t="s">
        <v>3737</v>
      </c>
    </row>
    <row r="360" spans="1:59" ht="60" x14ac:dyDescent="0.25">
      <c r="A360" s="2" t="s">
        <v>59</v>
      </c>
      <c r="B360" s="2" t="s">
        <v>60</v>
      </c>
      <c r="C360" s="2" t="s">
        <v>3738</v>
      </c>
      <c r="D360" s="2" t="s">
        <v>3739</v>
      </c>
      <c r="E360" s="2" t="s">
        <v>3740</v>
      </c>
      <c r="G360" s="3" t="s">
        <v>63</v>
      </c>
      <c r="I360" s="3" t="s">
        <v>63</v>
      </c>
      <c r="J360" s="3" t="s">
        <v>63</v>
      </c>
      <c r="K360" s="3" t="s">
        <v>64</v>
      </c>
      <c r="L360" s="2" t="s">
        <v>3741</v>
      </c>
      <c r="M360" s="2" t="s">
        <v>3742</v>
      </c>
      <c r="N360" s="3" t="s">
        <v>130</v>
      </c>
      <c r="P360" s="3" t="s">
        <v>66</v>
      </c>
      <c r="R360" s="3" t="s">
        <v>67</v>
      </c>
      <c r="S360" s="4">
        <v>0</v>
      </c>
      <c r="T360" s="4">
        <v>0</v>
      </c>
      <c r="W360" s="5" t="s">
        <v>69</v>
      </c>
      <c r="X360" s="5" t="s">
        <v>69</v>
      </c>
      <c r="Y360" s="4">
        <v>8</v>
      </c>
      <c r="Z360" s="4">
        <v>2</v>
      </c>
      <c r="AA360" s="4">
        <v>3</v>
      </c>
      <c r="AB360" s="4">
        <v>1</v>
      </c>
      <c r="AC360" s="4">
        <v>2</v>
      </c>
      <c r="AD360" s="4">
        <v>2</v>
      </c>
      <c r="AE360" s="4">
        <v>2</v>
      </c>
      <c r="AF360" s="4">
        <v>0</v>
      </c>
      <c r="AG360" s="4">
        <v>0</v>
      </c>
      <c r="AH360" s="4">
        <v>2</v>
      </c>
      <c r="AI360" s="4">
        <v>2</v>
      </c>
      <c r="AJ360" s="4">
        <v>1</v>
      </c>
      <c r="AK360" s="4">
        <v>1</v>
      </c>
      <c r="AL360" s="4">
        <v>1</v>
      </c>
      <c r="AM360" s="4">
        <v>1</v>
      </c>
      <c r="AN360" s="4">
        <v>0</v>
      </c>
      <c r="AO360" s="4">
        <v>0</v>
      </c>
      <c r="AP360" s="4">
        <v>1</v>
      </c>
      <c r="AQ360" s="4">
        <v>1</v>
      </c>
      <c r="AR360" s="3" t="s">
        <v>63</v>
      </c>
      <c r="AS360" s="3" t="s">
        <v>63</v>
      </c>
      <c r="AT360" s="3" t="s">
        <v>63</v>
      </c>
      <c r="AV360" s="6" t="str">
        <f>HYPERLINK("http://mcgill.on.worldcat.org/oclc/843811698","Catalog Record")</f>
        <v>Catalog Record</v>
      </c>
      <c r="AW360" s="6" t="str">
        <f>HYPERLINK("http://www.worldcat.org/oclc/843811698","WorldCat Record")</f>
        <v>WorldCat Record</v>
      </c>
      <c r="AX360" s="3" t="s">
        <v>3743</v>
      </c>
      <c r="AY360" s="3" t="s">
        <v>3744</v>
      </c>
      <c r="AZ360" s="3" t="s">
        <v>3745</v>
      </c>
      <c r="BA360" s="3" t="s">
        <v>3745</v>
      </c>
      <c r="BB360" s="3" t="s">
        <v>3746</v>
      </c>
      <c r="BC360" s="3" t="s">
        <v>82</v>
      </c>
      <c r="BD360" s="3" t="s">
        <v>70</v>
      </c>
      <c r="BE360" s="3" t="s">
        <v>3747</v>
      </c>
      <c r="BF360" s="3" t="s">
        <v>3746</v>
      </c>
      <c r="BG360" s="3" t="s">
        <v>3748</v>
      </c>
    </row>
    <row r="361" spans="1:59" ht="60" x14ac:dyDescent="0.25">
      <c r="A361" s="2" t="s">
        <v>59</v>
      </c>
      <c r="B361" s="2" t="s">
        <v>60</v>
      </c>
      <c r="C361" s="2" t="s">
        <v>3749</v>
      </c>
      <c r="D361" s="2" t="s">
        <v>3750</v>
      </c>
      <c r="E361" s="2" t="s">
        <v>3751</v>
      </c>
      <c r="G361" s="3" t="s">
        <v>63</v>
      </c>
      <c r="I361" s="3" t="s">
        <v>63</v>
      </c>
      <c r="J361" s="3" t="s">
        <v>63</v>
      </c>
      <c r="K361" s="3" t="s">
        <v>64</v>
      </c>
      <c r="L361" s="2" t="s">
        <v>3752</v>
      </c>
      <c r="M361" s="2" t="s">
        <v>3753</v>
      </c>
      <c r="N361" s="3" t="s">
        <v>1113</v>
      </c>
      <c r="P361" s="3" t="s">
        <v>90</v>
      </c>
      <c r="Q361" s="2" t="s">
        <v>3754</v>
      </c>
      <c r="R361" s="3" t="s">
        <v>67</v>
      </c>
      <c r="S361" s="4">
        <v>3</v>
      </c>
      <c r="T361" s="4">
        <v>3</v>
      </c>
      <c r="U361" s="5" t="s">
        <v>3755</v>
      </c>
      <c r="V361" s="5" t="s">
        <v>3755</v>
      </c>
      <c r="W361" s="5" t="s">
        <v>69</v>
      </c>
      <c r="X361" s="5" t="s">
        <v>69</v>
      </c>
      <c r="Y361" s="4">
        <v>51</v>
      </c>
      <c r="Z361" s="4">
        <v>1</v>
      </c>
      <c r="AA361" s="4">
        <v>3</v>
      </c>
      <c r="AB361" s="4">
        <v>1</v>
      </c>
      <c r="AC361" s="4">
        <v>1</v>
      </c>
      <c r="AD361" s="4">
        <v>33</v>
      </c>
      <c r="AE361" s="4">
        <v>35</v>
      </c>
      <c r="AF361" s="4">
        <v>0</v>
      </c>
      <c r="AG361" s="4">
        <v>0</v>
      </c>
      <c r="AH361" s="4">
        <v>32</v>
      </c>
      <c r="AI361" s="4">
        <v>34</v>
      </c>
      <c r="AJ361" s="4">
        <v>0</v>
      </c>
      <c r="AK361" s="4">
        <v>1</v>
      </c>
      <c r="AL361" s="4">
        <v>25</v>
      </c>
      <c r="AM361" s="4">
        <v>27</v>
      </c>
      <c r="AN361" s="4">
        <v>0</v>
      </c>
      <c r="AO361" s="4">
        <v>0</v>
      </c>
      <c r="AP361" s="4">
        <v>0</v>
      </c>
      <c r="AQ361" s="4">
        <v>1</v>
      </c>
      <c r="AR361" s="3" t="s">
        <v>63</v>
      </c>
      <c r="AS361" s="3" t="s">
        <v>63</v>
      </c>
      <c r="AT361" s="3" t="s">
        <v>63</v>
      </c>
      <c r="AV361" s="6" t="str">
        <f>HYPERLINK("http://mcgill.on.worldcat.org/oclc/37596988","Catalog Record")</f>
        <v>Catalog Record</v>
      </c>
      <c r="AW361" s="6" t="str">
        <f>HYPERLINK("http://www.worldcat.org/oclc/37596988","WorldCat Record")</f>
        <v>WorldCat Record</v>
      </c>
      <c r="AX361" s="3" t="s">
        <v>3756</v>
      </c>
      <c r="AY361" s="3" t="s">
        <v>3757</v>
      </c>
      <c r="AZ361" s="3" t="s">
        <v>3758</v>
      </c>
      <c r="BA361" s="3" t="s">
        <v>3758</v>
      </c>
      <c r="BB361" s="3" t="s">
        <v>3759</v>
      </c>
      <c r="BC361" s="3" t="s">
        <v>82</v>
      </c>
      <c r="BD361" s="3" t="s">
        <v>70</v>
      </c>
      <c r="BE361" s="3" t="s">
        <v>3760</v>
      </c>
      <c r="BF361" s="3" t="s">
        <v>3759</v>
      </c>
      <c r="BG361" s="3" t="s">
        <v>3761</v>
      </c>
    </row>
    <row r="362" spans="1:59" ht="60" x14ac:dyDescent="0.25">
      <c r="A362" s="2" t="s">
        <v>59</v>
      </c>
      <c r="B362" s="2" t="s">
        <v>60</v>
      </c>
      <c r="C362" s="2" t="s">
        <v>3762</v>
      </c>
      <c r="D362" s="2" t="s">
        <v>3763</v>
      </c>
      <c r="E362" s="2" t="s">
        <v>3764</v>
      </c>
      <c r="G362" s="3" t="s">
        <v>63</v>
      </c>
      <c r="I362" s="3" t="s">
        <v>63</v>
      </c>
      <c r="J362" s="3" t="s">
        <v>63</v>
      </c>
      <c r="K362" s="3" t="s">
        <v>64</v>
      </c>
      <c r="L362" s="2" t="s">
        <v>3765</v>
      </c>
      <c r="M362" s="2" t="s">
        <v>3766</v>
      </c>
      <c r="N362" s="3" t="s">
        <v>1226</v>
      </c>
      <c r="P362" s="3" t="s">
        <v>90</v>
      </c>
      <c r="R362" s="3" t="s">
        <v>67</v>
      </c>
      <c r="S362" s="4">
        <v>1</v>
      </c>
      <c r="T362" s="4">
        <v>1</v>
      </c>
      <c r="U362" s="5" t="s">
        <v>3755</v>
      </c>
      <c r="V362" s="5" t="s">
        <v>3755</v>
      </c>
      <c r="W362" s="5" t="s">
        <v>69</v>
      </c>
      <c r="X362" s="5" t="s">
        <v>69</v>
      </c>
      <c r="Y362" s="4">
        <v>27</v>
      </c>
      <c r="Z362" s="4">
        <v>3</v>
      </c>
      <c r="AA362" s="4">
        <v>3</v>
      </c>
      <c r="AB362" s="4">
        <v>1</v>
      </c>
      <c r="AC362" s="4">
        <v>1</v>
      </c>
      <c r="AD362" s="4">
        <v>22</v>
      </c>
      <c r="AE362" s="4">
        <v>22</v>
      </c>
      <c r="AF362" s="4">
        <v>0</v>
      </c>
      <c r="AG362" s="4">
        <v>0</v>
      </c>
      <c r="AH362" s="4">
        <v>21</v>
      </c>
      <c r="AI362" s="4">
        <v>21</v>
      </c>
      <c r="AJ362" s="4">
        <v>1</v>
      </c>
      <c r="AK362" s="4">
        <v>1</v>
      </c>
      <c r="AL362" s="4">
        <v>18</v>
      </c>
      <c r="AM362" s="4">
        <v>18</v>
      </c>
      <c r="AN362" s="4">
        <v>0</v>
      </c>
      <c r="AO362" s="4">
        <v>0</v>
      </c>
      <c r="AP362" s="4">
        <v>1</v>
      </c>
      <c r="AQ362" s="4">
        <v>1</v>
      </c>
      <c r="AR362" s="3" t="s">
        <v>63</v>
      </c>
      <c r="AS362" s="3" t="s">
        <v>63</v>
      </c>
      <c r="AT362" s="3" t="s">
        <v>62</v>
      </c>
      <c r="AU362" s="6" t="str">
        <f>HYPERLINK("http://catalog.hathitrust.org/Record/007016622","HathiTrust Record")</f>
        <v>HathiTrust Record</v>
      </c>
      <c r="AV362" s="6" t="str">
        <f>HYPERLINK("http://mcgill.on.worldcat.org/oclc/55646700","Catalog Record")</f>
        <v>Catalog Record</v>
      </c>
      <c r="AW362" s="6" t="str">
        <f>HYPERLINK("http://www.worldcat.org/oclc/55646700","WorldCat Record")</f>
        <v>WorldCat Record</v>
      </c>
      <c r="AX362" s="3" t="s">
        <v>3767</v>
      </c>
      <c r="AY362" s="3" t="s">
        <v>3768</v>
      </c>
      <c r="AZ362" s="3" t="s">
        <v>3769</v>
      </c>
      <c r="BA362" s="3" t="s">
        <v>3769</v>
      </c>
      <c r="BB362" s="3" t="s">
        <v>3770</v>
      </c>
      <c r="BC362" s="3" t="s">
        <v>82</v>
      </c>
      <c r="BD362" s="3" t="s">
        <v>70</v>
      </c>
      <c r="BF362" s="3" t="s">
        <v>3770</v>
      </c>
      <c r="BG362" s="3" t="s">
        <v>3771</v>
      </c>
    </row>
    <row r="363" spans="1:59" ht="60" x14ac:dyDescent="0.25">
      <c r="A363" s="2" t="s">
        <v>59</v>
      </c>
      <c r="B363" s="2" t="s">
        <v>60</v>
      </c>
      <c r="C363" s="2" t="s">
        <v>3772</v>
      </c>
      <c r="D363" s="2" t="s">
        <v>3773</v>
      </c>
      <c r="E363" s="2" t="s">
        <v>3774</v>
      </c>
      <c r="G363" s="3" t="s">
        <v>63</v>
      </c>
      <c r="I363" s="3" t="s">
        <v>63</v>
      </c>
      <c r="J363" s="3" t="s">
        <v>63</v>
      </c>
      <c r="K363" s="3" t="s">
        <v>64</v>
      </c>
      <c r="L363" s="2" t="s">
        <v>3775</v>
      </c>
      <c r="M363" s="2" t="s">
        <v>3776</v>
      </c>
      <c r="N363" s="3" t="s">
        <v>1343</v>
      </c>
      <c r="P363" s="3" t="s">
        <v>90</v>
      </c>
      <c r="R363" s="3" t="s">
        <v>67</v>
      </c>
      <c r="S363" s="4">
        <v>1</v>
      </c>
      <c r="T363" s="4">
        <v>1</v>
      </c>
      <c r="U363" s="5" t="s">
        <v>3755</v>
      </c>
      <c r="V363" s="5" t="s">
        <v>3755</v>
      </c>
      <c r="W363" s="5" t="s">
        <v>69</v>
      </c>
      <c r="X363" s="5" t="s">
        <v>69</v>
      </c>
      <c r="Y363" s="4">
        <v>83</v>
      </c>
      <c r="Z363" s="4">
        <v>6</v>
      </c>
      <c r="AA363" s="4">
        <v>7</v>
      </c>
      <c r="AB363" s="4">
        <v>1</v>
      </c>
      <c r="AC363" s="4">
        <v>1</v>
      </c>
      <c r="AD363" s="4">
        <v>55</v>
      </c>
      <c r="AE363" s="4">
        <v>57</v>
      </c>
      <c r="AF363" s="4">
        <v>0</v>
      </c>
      <c r="AG363" s="4">
        <v>0</v>
      </c>
      <c r="AH363" s="4">
        <v>53</v>
      </c>
      <c r="AI363" s="4">
        <v>54</v>
      </c>
      <c r="AJ363" s="4">
        <v>4</v>
      </c>
      <c r="AK363" s="4">
        <v>5</v>
      </c>
      <c r="AL363" s="4">
        <v>41</v>
      </c>
      <c r="AM363" s="4">
        <v>41</v>
      </c>
      <c r="AN363" s="4">
        <v>0</v>
      </c>
      <c r="AO363" s="4">
        <v>0</v>
      </c>
      <c r="AP363" s="4">
        <v>4</v>
      </c>
      <c r="AQ363" s="4">
        <v>5</v>
      </c>
      <c r="AR363" s="3" t="s">
        <v>63</v>
      </c>
      <c r="AS363" s="3" t="s">
        <v>63</v>
      </c>
      <c r="AT363" s="3" t="s">
        <v>62</v>
      </c>
      <c r="AU363" s="6" t="str">
        <f>HYPERLINK("http://catalog.hathitrust.org/Record/004165286","HathiTrust Record")</f>
        <v>HathiTrust Record</v>
      </c>
      <c r="AV363" s="6" t="str">
        <f>HYPERLINK("http://mcgill.on.worldcat.org/oclc/45368039","Catalog Record")</f>
        <v>Catalog Record</v>
      </c>
      <c r="AW363" s="6" t="str">
        <f>HYPERLINK("http://www.worldcat.org/oclc/45368039","WorldCat Record")</f>
        <v>WorldCat Record</v>
      </c>
      <c r="AX363" s="3" t="s">
        <v>3777</v>
      </c>
      <c r="AY363" s="3" t="s">
        <v>3778</v>
      </c>
      <c r="AZ363" s="3" t="s">
        <v>3779</v>
      </c>
      <c r="BA363" s="3" t="s">
        <v>3779</v>
      </c>
      <c r="BB363" s="3" t="s">
        <v>3780</v>
      </c>
      <c r="BC363" s="3" t="s">
        <v>82</v>
      </c>
      <c r="BD363" s="3" t="s">
        <v>70</v>
      </c>
      <c r="BE363" s="3" t="s">
        <v>3781</v>
      </c>
      <c r="BF363" s="3" t="s">
        <v>3780</v>
      </c>
      <c r="BG363" s="3" t="s">
        <v>3782</v>
      </c>
    </row>
    <row r="364" spans="1:59" ht="60" x14ac:dyDescent="0.25">
      <c r="A364" s="2" t="s">
        <v>59</v>
      </c>
      <c r="B364" s="2" t="s">
        <v>60</v>
      </c>
      <c r="C364" s="2" t="s">
        <v>3783</v>
      </c>
      <c r="D364" s="2" t="s">
        <v>3784</v>
      </c>
      <c r="E364" s="2" t="s">
        <v>3785</v>
      </c>
      <c r="G364" s="3" t="s">
        <v>63</v>
      </c>
      <c r="I364" s="3" t="s">
        <v>63</v>
      </c>
      <c r="J364" s="3" t="s">
        <v>63</v>
      </c>
      <c r="K364" s="3" t="s">
        <v>64</v>
      </c>
      <c r="L364" s="2" t="s">
        <v>3786</v>
      </c>
      <c r="M364" s="2" t="s">
        <v>3787</v>
      </c>
      <c r="N364" s="3" t="s">
        <v>190</v>
      </c>
      <c r="P364" s="3" t="s">
        <v>90</v>
      </c>
      <c r="Q364" s="2" t="s">
        <v>3788</v>
      </c>
      <c r="R364" s="3" t="s">
        <v>67</v>
      </c>
      <c r="S364" s="4">
        <v>1</v>
      </c>
      <c r="T364" s="4">
        <v>1</v>
      </c>
      <c r="U364" s="5" t="s">
        <v>3789</v>
      </c>
      <c r="V364" s="5" t="s">
        <v>3789</v>
      </c>
      <c r="W364" s="5" t="s">
        <v>69</v>
      </c>
      <c r="X364" s="5" t="s">
        <v>69</v>
      </c>
      <c r="Y364" s="4">
        <v>17</v>
      </c>
      <c r="Z364" s="4">
        <v>3</v>
      </c>
      <c r="AA364" s="4">
        <v>3</v>
      </c>
      <c r="AB364" s="4">
        <v>1</v>
      </c>
      <c r="AC364" s="4">
        <v>1</v>
      </c>
      <c r="AD364" s="4">
        <v>12</v>
      </c>
      <c r="AE364" s="4">
        <v>12</v>
      </c>
      <c r="AF364" s="4">
        <v>0</v>
      </c>
      <c r="AG364" s="4">
        <v>0</v>
      </c>
      <c r="AH364" s="4">
        <v>11</v>
      </c>
      <c r="AI364" s="4">
        <v>11</v>
      </c>
      <c r="AJ364" s="4">
        <v>1</v>
      </c>
      <c r="AK364" s="4">
        <v>1</v>
      </c>
      <c r="AL364" s="4">
        <v>9</v>
      </c>
      <c r="AM364" s="4">
        <v>9</v>
      </c>
      <c r="AN364" s="4">
        <v>0</v>
      </c>
      <c r="AO364" s="4">
        <v>0</v>
      </c>
      <c r="AP364" s="4">
        <v>1</v>
      </c>
      <c r="AQ364" s="4">
        <v>1</v>
      </c>
      <c r="AR364" s="3" t="s">
        <v>63</v>
      </c>
      <c r="AS364" s="3" t="s">
        <v>63</v>
      </c>
      <c r="AT364" s="3" t="s">
        <v>62</v>
      </c>
      <c r="AU364" s="6" t="str">
        <f>HYPERLINK("http://catalog.hathitrust.org/Record/005104108","HathiTrust Record")</f>
        <v>HathiTrust Record</v>
      </c>
      <c r="AV364" s="6" t="str">
        <f>HYPERLINK("http://mcgill.on.worldcat.org/oclc/64191791","Catalog Record")</f>
        <v>Catalog Record</v>
      </c>
      <c r="AW364" s="6" t="str">
        <f>HYPERLINK("http://www.worldcat.org/oclc/64191791","WorldCat Record")</f>
        <v>WorldCat Record</v>
      </c>
      <c r="AX364" s="3" t="s">
        <v>3790</v>
      </c>
      <c r="AY364" s="3" t="s">
        <v>3791</v>
      </c>
      <c r="AZ364" s="3" t="s">
        <v>3792</v>
      </c>
      <c r="BA364" s="3" t="s">
        <v>3792</v>
      </c>
      <c r="BB364" s="3" t="s">
        <v>3793</v>
      </c>
      <c r="BC364" s="3" t="s">
        <v>82</v>
      </c>
      <c r="BD364" s="3" t="s">
        <v>70</v>
      </c>
      <c r="BE364" s="3" t="s">
        <v>3794</v>
      </c>
      <c r="BF364" s="3" t="s">
        <v>3793</v>
      </c>
      <c r="BG364" s="3" t="s">
        <v>3795</v>
      </c>
    </row>
    <row r="365" spans="1:59" ht="60" x14ac:dyDescent="0.25">
      <c r="A365" s="2" t="s">
        <v>59</v>
      </c>
      <c r="B365" s="2" t="s">
        <v>60</v>
      </c>
      <c r="C365" s="2" t="s">
        <v>3796</v>
      </c>
      <c r="D365" s="2" t="s">
        <v>3797</v>
      </c>
      <c r="E365" s="2" t="s">
        <v>3798</v>
      </c>
      <c r="G365" s="3" t="s">
        <v>63</v>
      </c>
      <c r="I365" s="3" t="s">
        <v>63</v>
      </c>
      <c r="J365" s="3" t="s">
        <v>63</v>
      </c>
      <c r="K365" s="3" t="s">
        <v>64</v>
      </c>
      <c r="L365" s="2" t="s">
        <v>3799</v>
      </c>
      <c r="M365" s="2" t="s">
        <v>3800</v>
      </c>
      <c r="N365" s="3" t="s">
        <v>65</v>
      </c>
      <c r="O365" s="2" t="s">
        <v>3661</v>
      </c>
      <c r="P365" s="3" t="s">
        <v>66</v>
      </c>
      <c r="Q365" s="2" t="s">
        <v>3801</v>
      </c>
      <c r="R365" s="3" t="s">
        <v>67</v>
      </c>
      <c r="S365" s="4">
        <v>2</v>
      </c>
      <c r="T365" s="4">
        <v>2</v>
      </c>
      <c r="U365" s="5" t="s">
        <v>3802</v>
      </c>
      <c r="V365" s="5" t="s">
        <v>3802</v>
      </c>
      <c r="W365" s="5" t="s">
        <v>69</v>
      </c>
      <c r="X365" s="5" t="s">
        <v>69</v>
      </c>
      <c r="Y365" s="4">
        <v>94</v>
      </c>
      <c r="Z365" s="4">
        <v>12</v>
      </c>
      <c r="AA365" s="4">
        <v>12</v>
      </c>
      <c r="AB365" s="4">
        <v>1</v>
      </c>
      <c r="AC365" s="4">
        <v>1</v>
      </c>
      <c r="AD365" s="4">
        <v>47</v>
      </c>
      <c r="AE365" s="4">
        <v>47</v>
      </c>
      <c r="AF365" s="4">
        <v>0</v>
      </c>
      <c r="AG365" s="4">
        <v>0</v>
      </c>
      <c r="AH365" s="4">
        <v>43</v>
      </c>
      <c r="AI365" s="4">
        <v>43</v>
      </c>
      <c r="AJ365" s="4">
        <v>10</v>
      </c>
      <c r="AK365" s="4">
        <v>10</v>
      </c>
      <c r="AL365" s="4">
        <v>30</v>
      </c>
      <c r="AM365" s="4">
        <v>30</v>
      </c>
      <c r="AN365" s="4">
        <v>0</v>
      </c>
      <c r="AO365" s="4">
        <v>0</v>
      </c>
      <c r="AP365" s="4">
        <v>10</v>
      </c>
      <c r="AQ365" s="4">
        <v>10</v>
      </c>
      <c r="AR365" s="3" t="s">
        <v>63</v>
      </c>
      <c r="AS365" s="3" t="s">
        <v>63</v>
      </c>
      <c r="AT365" s="3" t="s">
        <v>62</v>
      </c>
      <c r="AU365" s="6" t="str">
        <f>HYPERLINK("http://catalog.hathitrust.org/Record/000214816","HathiTrust Record")</f>
        <v>HathiTrust Record</v>
      </c>
      <c r="AV365" s="6" t="str">
        <f>HYPERLINK("http://mcgill.on.worldcat.org/oclc/4141833","Catalog Record")</f>
        <v>Catalog Record</v>
      </c>
      <c r="AW365" s="6" t="str">
        <f>HYPERLINK("http://www.worldcat.org/oclc/4141833","WorldCat Record")</f>
        <v>WorldCat Record</v>
      </c>
      <c r="AX365" s="3" t="s">
        <v>3803</v>
      </c>
      <c r="AY365" s="3" t="s">
        <v>3804</v>
      </c>
      <c r="AZ365" s="3" t="s">
        <v>3805</v>
      </c>
      <c r="BA365" s="3" t="s">
        <v>3805</v>
      </c>
      <c r="BB365" s="3" t="s">
        <v>3806</v>
      </c>
      <c r="BC365" s="3" t="s">
        <v>82</v>
      </c>
      <c r="BD365" s="3" t="s">
        <v>70</v>
      </c>
      <c r="BE365" s="3" t="s">
        <v>3807</v>
      </c>
      <c r="BF365" s="3" t="s">
        <v>3806</v>
      </c>
      <c r="BG365" s="3" t="s">
        <v>3808</v>
      </c>
    </row>
    <row r="366" spans="1:59" ht="60" x14ac:dyDescent="0.25">
      <c r="A366" s="2" t="s">
        <v>59</v>
      </c>
      <c r="B366" s="2" t="s">
        <v>60</v>
      </c>
      <c r="C366" s="2" t="s">
        <v>3809</v>
      </c>
      <c r="D366" s="2" t="s">
        <v>3810</v>
      </c>
      <c r="E366" s="2" t="s">
        <v>3811</v>
      </c>
      <c r="G366" s="3" t="s">
        <v>63</v>
      </c>
      <c r="I366" s="3" t="s">
        <v>63</v>
      </c>
      <c r="J366" s="3" t="s">
        <v>63</v>
      </c>
      <c r="K366" s="3" t="s">
        <v>64</v>
      </c>
      <c r="L366" s="2" t="s">
        <v>3812</v>
      </c>
      <c r="M366" s="2" t="s">
        <v>3813</v>
      </c>
      <c r="N366" s="3" t="s">
        <v>531</v>
      </c>
      <c r="P366" s="3" t="s">
        <v>66</v>
      </c>
      <c r="Q366" s="2" t="s">
        <v>3814</v>
      </c>
      <c r="R366" s="3" t="s">
        <v>67</v>
      </c>
      <c r="S366" s="4">
        <v>3</v>
      </c>
      <c r="T366" s="4">
        <v>3</v>
      </c>
      <c r="U366" s="5" t="s">
        <v>3802</v>
      </c>
      <c r="V366" s="5" t="s">
        <v>3802</v>
      </c>
      <c r="W366" s="5" t="s">
        <v>69</v>
      </c>
      <c r="X366" s="5" t="s">
        <v>69</v>
      </c>
      <c r="Y366" s="4">
        <v>201</v>
      </c>
      <c r="Z366" s="4">
        <v>22</v>
      </c>
      <c r="AA366" s="4">
        <v>22</v>
      </c>
      <c r="AB366" s="4">
        <v>3</v>
      </c>
      <c r="AC366" s="4">
        <v>3</v>
      </c>
      <c r="AD366" s="4">
        <v>45</v>
      </c>
      <c r="AE366" s="4">
        <v>45</v>
      </c>
      <c r="AF366" s="4">
        <v>1</v>
      </c>
      <c r="AG366" s="4">
        <v>1</v>
      </c>
      <c r="AH366" s="4">
        <v>41</v>
      </c>
      <c r="AI366" s="4">
        <v>41</v>
      </c>
      <c r="AJ366" s="4">
        <v>9</v>
      </c>
      <c r="AK366" s="4">
        <v>9</v>
      </c>
      <c r="AL366" s="4">
        <v>25</v>
      </c>
      <c r="AM366" s="4">
        <v>25</v>
      </c>
      <c r="AN366" s="4">
        <v>0</v>
      </c>
      <c r="AO366" s="4">
        <v>0</v>
      </c>
      <c r="AP366" s="4">
        <v>9</v>
      </c>
      <c r="AQ366" s="4">
        <v>9</v>
      </c>
      <c r="AR366" s="3" t="s">
        <v>63</v>
      </c>
      <c r="AS366" s="3" t="s">
        <v>63</v>
      </c>
      <c r="AT366" s="3" t="s">
        <v>63</v>
      </c>
      <c r="AV366" s="6" t="str">
        <f>HYPERLINK("http://mcgill.on.worldcat.org/oclc/25487197","Catalog Record")</f>
        <v>Catalog Record</v>
      </c>
      <c r="AW366" s="6" t="str">
        <f>HYPERLINK("http://www.worldcat.org/oclc/25487197","WorldCat Record")</f>
        <v>WorldCat Record</v>
      </c>
      <c r="AX366" s="3" t="s">
        <v>3815</v>
      </c>
      <c r="AY366" s="3" t="s">
        <v>3816</v>
      </c>
      <c r="AZ366" s="3" t="s">
        <v>3817</v>
      </c>
      <c r="BA366" s="3" t="s">
        <v>3817</v>
      </c>
      <c r="BB366" s="3" t="s">
        <v>3818</v>
      </c>
      <c r="BC366" s="3" t="s">
        <v>82</v>
      </c>
      <c r="BD366" s="3" t="s">
        <v>70</v>
      </c>
      <c r="BE366" s="3" t="s">
        <v>3819</v>
      </c>
      <c r="BF366" s="3" t="s">
        <v>3818</v>
      </c>
      <c r="BG366" s="3" t="s">
        <v>3820</v>
      </c>
    </row>
    <row r="367" spans="1:59" ht="60" x14ac:dyDescent="0.25">
      <c r="A367" s="2" t="s">
        <v>59</v>
      </c>
      <c r="B367" s="2" t="s">
        <v>60</v>
      </c>
      <c r="C367" s="2" t="s">
        <v>3821</v>
      </c>
      <c r="D367" s="2" t="s">
        <v>3822</v>
      </c>
      <c r="E367" s="2" t="s">
        <v>3823</v>
      </c>
      <c r="G367" s="3" t="s">
        <v>63</v>
      </c>
      <c r="I367" s="3" t="s">
        <v>63</v>
      </c>
      <c r="J367" s="3" t="s">
        <v>63</v>
      </c>
      <c r="K367" s="3" t="s">
        <v>64</v>
      </c>
      <c r="L367" s="2" t="s">
        <v>3824</v>
      </c>
      <c r="M367" s="2" t="s">
        <v>3825</v>
      </c>
      <c r="N367" s="3" t="s">
        <v>2182</v>
      </c>
      <c r="P367" s="3" t="s">
        <v>66</v>
      </c>
      <c r="Q367" s="2" t="s">
        <v>3826</v>
      </c>
      <c r="R367" s="3" t="s">
        <v>67</v>
      </c>
      <c r="S367" s="4">
        <v>2</v>
      </c>
      <c r="T367" s="4">
        <v>2</v>
      </c>
      <c r="U367" s="5" t="s">
        <v>3827</v>
      </c>
      <c r="V367" s="5" t="s">
        <v>3827</v>
      </c>
      <c r="W367" s="5" t="s">
        <v>69</v>
      </c>
      <c r="X367" s="5" t="s">
        <v>69</v>
      </c>
      <c r="Y367" s="4">
        <v>181</v>
      </c>
      <c r="Z367" s="4">
        <v>6</v>
      </c>
      <c r="AA367" s="4">
        <v>12</v>
      </c>
      <c r="AB367" s="4">
        <v>1</v>
      </c>
      <c r="AC367" s="4">
        <v>1</v>
      </c>
      <c r="AD367" s="4">
        <v>74</v>
      </c>
      <c r="AE367" s="4">
        <v>87</v>
      </c>
      <c r="AF367" s="4">
        <v>0</v>
      </c>
      <c r="AG367" s="4">
        <v>0</v>
      </c>
      <c r="AH367" s="4">
        <v>71</v>
      </c>
      <c r="AI367" s="4">
        <v>83</v>
      </c>
      <c r="AJ367" s="4">
        <v>5</v>
      </c>
      <c r="AK367" s="4">
        <v>9</v>
      </c>
      <c r="AL367" s="4">
        <v>43</v>
      </c>
      <c r="AM367" s="4">
        <v>49</v>
      </c>
      <c r="AN367" s="4">
        <v>0</v>
      </c>
      <c r="AO367" s="4">
        <v>0</v>
      </c>
      <c r="AP367" s="4">
        <v>5</v>
      </c>
      <c r="AQ367" s="4">
        <v>9</v>
      </c>
      <c r="AR367" s="3" t="s">
        <v>63</v>
      </c>
      <c r="AS367" s="3" t="s">
        <v>63</v>
      </c>
      <c r="AT367" s="3" t="s">
        <v>62</v>
      </c>
      <c r="AU367" s="6" t="str">
        <f>HYPERLINK("http://catalog.hathitrust.org/Record/001058897","HathiTrust Record")</f>
        <v>HathiTrust Record</v>
      </c>
      <c r="AV367" s="6" t="str">
        <f>HYPERLINK("http://mcgill.on.worldcat.org/oclc/2125628","Catalog Record")</f>
        <v>Catalog Record</v>
      </c>
      <c r="AW367" s="6" t="str">
        <f>HYPERLINK("http://www.worldcat.org/oclc/2125628","WorldCat Record")</f>
        <v>WorldCat Record</v>
      </c>
      <c r="AX367" s="3" t="s">
        <v>3828</v>
      </c>
      <c r="AY367" s="3" t="s">
        <v>3829</v>
      </c>
      <c r="AZ367" s="3" t="s">
        <v>3830</v>
      </c>
      <c r="BA367" s="3" t="s">
        <v>3830</v>
      </c>
      <c r="BB367" s="3" t="s">
        <v>3831</v>
      </c>
      <c r="BC367" s="3" t="s">
        <v>82</v>
      </c>
      <c r="BD367" s="3" t="s">
        <v>70</v>
      </c>
      <c r="BF367" s="3" t="s">
        <v>3831</v>
      </c>
      <c r="BG367" s="3" t="s">
        <v>3832</v>
      </c>
    </row>
    <row r="368" spans="1:59" ht="60" x14ac:dyDescent="0.25">
      <c r="A368" s="2" t="s">
        <v>59</v>
      </c>
      <c r="B368" s="2" t="s">
        <v>60</v>
      </c>
      <c r="C368" s="2" t="s">
        <v>3833</v>
      </c>
      <c r="D368" s="2" t="s">
        <v>3834</v>
      </c>
      <c r="E368" s="2" t="s">
        <v>3835</v>
      </c>
      <c r="G368" s="3" t="s">
        <v>63</v>
      </c>
      <c r="I368" s="3" t="s">
        <v>63</v>
      </c>
      <c r="J368" s="3" t="s">
        <v>62</v>
      </c>
      <c r="K368" s="3" t="s">
        <v>64</v>
      </c>
      <c r="M368" s="2" t="s">
        <v>3836</v>
      </c>
      <c r="N368" s="3" t="s">
        <v>76</v>
      </c>
      <c r="O368" s="2" t="s">
        <v>2019</v>
      </c>
      <c r="P368" s="3" t="s">
        <v>66</v>
      </c>
      <c r="Q368" s="2" t="s">
        <v>3837</v>
      </c>
      <c r="R368" s="3" t="s">
        <v>67</v>
      </c>
      <c r="S368" s="4">
        <v>1</v>
      </c>
      <c r="T368" s="4">
        <v>1</v>
      </c>
      <c r="U368" s="5" t="s">
        <v>3838</v>
      </c>
      <c r="V368" s="5" t="s">
        <v>3838</v>
      </c>
      <c r="W368" s="5" t="s">
        <v>69</v>
      </c>
      <c r="X368" s="5" t="s">
        <v>69</v>
      </c>
      <c r="Y368" s="4">
        <v>71</v>
      </c>
      <c r="Z368" s="4">
        <v>3</v>
      </c>
      <c r="AA368" s="4">
        <v>12</v>
      </c>
      <c r="AB368" s="4">
        <v>1</v>
      </c>
      <c r="AC368" s="4">
        <v>3</v>
      </c>
      <c r="AD368" s="4">
        <v>33</v>
      </c>
      <c r="AE368" s="4">
        <v>76</v>
      </c>
      <c r="AF368" s="4">
        <v>0</v>
      </c>
      <c r="AG368" s="4">
        <v>1</v>
      </c>
      <c r="AH368" s="4">
        <v>32</v>
      </c>
      <c r="AI368" s="4">
        <v>71</v>
      </c>
      <c r="AJ368" s="4">
        <v>2</v>
      </c>
      <c r="AK368" s="4">
        <v>9</v>
      </c>
      <c r="AL368" s="4">
        <v>23</v>
      </c>
      <c r="AM368" s="4">
        <v>45</v>
      </c>
      <c r="AN368" s="4">
        <v>0</v>
      </c>
      <c r="AO368" s="4">
        <v>0</v>
      </c>
      <c r="AP368" s="4">
        <v>2</v>
      </c>
      <c r="AQ368" s="4">
        <v>9</v>
      </c>
      <c r="AR368" s="3" t="s">
        <v>63</v>
      </c>
      <c r="AS368" s="3" t="s">
        <v>63</v>
      </c>
      <c r="AT368" s="3" t="s">
        <v>63</v>
      </c>
      <c r="AV368" s="6" t="str">
        <f>HYPERLINK("http://mcgill.on.worldcat.org/oclc/775442177","Catalog Record")</f>
        <v>Catalog Record</v>
      </c>
      <c r="AW368" s="6" t="str">
        <f>HYPERLINK("http://www.worldcat.org/oclc/775442177","WorldCat Record")</f>
        <v>WorldCat Record</v>
      </c>
      <c r="AX368" s="3" t="s">
        <v>3839</v>
      </c>
      <c r="AY368" s="3" t="s">
        <v>3840</v>
      </c>
      <c r="AZ368" s="3" t="s">
        <v>3841</v>
      </c>
      <c r="BA368" s="3" t="s">
        <v>3841</v>
      </c>
      <c r="BB368" s="3" t="s">
        <v>3842</v>
      </c>
      <c r="BC368" s="3" t="s">
        <v>82</v>
      </c>
      <c r="BD368" s="3" t="s">
        <v>70</v>
      </c>
      <c r="BE368" s="3" t="s">
        <v>3843</v>
      </c>
      <c r="BF368" s="3" t="s">
        <v>3842</v>
      </c>
      <c r="BG368" s="3" t="s">
        <v>3844</v>
      </c>
    </row>
    <row r="369" spans="1:59" ht="60" x14ac:dyDescent="0.25">
      <c r="A369" s="2" t="s">
        <v>59</v>
      </c>
      <c r="B369" s="2" t="s">
        <v>60</v>
      </c>
      <c r="C369" s="2" t="s">
        <v>3845</v>
      </c>
      <c r="D369" s="2" t="s">
        <v>3846</v>
      </c>
      <c r="E369" s="2" t="s">
        <v>3847</v>
      </c>
      <c r="G369" s="3" t="s">
        <v>63</v>
      </c>
      <c r="I369" s="3" t="s">
        <v>63</v>
      </c>
      <c r="J369" s="3" t="s">
        <v>63</v>
      </c>
      <c r="K369" s="3" t="s">
        <v>64</v>
      </c>
      <c r="L369" s="2" t="s">
        <v>3848</v>
      </c>
      <c r="M369" s="2" t="s">
        <v>3849</v>
      </c>
      <c r="N369" s="3" t="s">
        <v>668</v>
      </c>
      <c r="P369" s="3" t="s">
        <v>66</v>
      </c>
      <c r="R369" s="3" t="s">
        <v>67</v>
      </c>
      <c r="S369" s="4">
        <v>3</v>
      </c>
      <c r="T369" s="4">
        <v>3</v>
      </c>
      <c r="U369" s="5" t="s">
        <v>3838</v>
      </c>
      <c r="V369" s="5" t="s">
        <v>3838</v>
      </c>
      <c r="W369" s="5" t="s">
        <v>69</v>
      </c>
      <c r="X369" s="5" t="s">
        <v>69</v>
      </c>
      <c r="Y369" s="4">
        <v>293</v>
      </c>
      <c r="Z369" s="4">
        <v>13</v>
      </c>
      <c r="AA369" s="4">
        <v>13</v>
      </c>
      <c r="AB369" s="4">
        <v>1</v>
      </c>
      <c r="AC369" s="4">
        <v>1</v>
      </c>
      <c r="AD369" s="4">
        <v>76</v>
      </c>
      <c r="AE369" s="4">
        <v>76</v>
      </c>
      <c r="AF369" s="4">
        <v>0</v>
      </c>
      <c r="AG369" s="4">
        <v>0</v>
      </c>
      <c r="AH369" s="4">
        <v>70</v>
      </c>
      <c r="AI369" s="4">
        <v>70</v>
      </c>
      <c r="AJ369" s="4">
        <v>11</v>
      </c>
      <c r="AK369" s="4">
        <v>11</v>
      </c>
      <c r="AL369" s="4">
        <v>42</v>
      </c>
      <c r="AM369" s="4">
        <v>42</v>
      </c>
      <c r="AN369" s="4">
        <v>0</v>
      </c>
      <c r="AO369" s="4">
        <v>0</v>
      </c>
      <c r="AP369" s="4">
        <v>11</v>
      </c>
      <c r="AQ369" s="4">
        <v>11</v>
      </c>
      <c r="AR369" s="3" t="s">
        <v>63</v>
      </c>
      <c r="AS369" s="3" t="s">
        <v>63</v>
      </c>
      <c r="AT369" s="3" t="s">
        <v>62</v>
      </c>
      <c r="AU369" s="6" t="str">
        <f>HYPERLINK("http://catalog.hathitrust.org/Record/002229663","HathiTrust Record")</f>
        <v>HathiTrust Record</v>
      </c>
      <c r="AV369" s="6" t="str">
        <f>HYPERLINK("http://mcgill.on.worldcat.org/oclc/20566808","Catalog Record")</f>
        <v>Catalog Record</v>
      </c>
      <c r="AW369" s="6" t="str">
        <f>HYPERLINK("http://www.worldcat.org/oclc/20566808","WorldCat Record")</f>
        <v>WorldCat Record</v>
      </c>
      <c r="AX369" s="3" t="s">
        <v>3850</v>
      </c>
      <c r="AY369" s="3" t="s">
        <v>3851</v>
      </c>
      <c r="AZ369" s="3" t="s">
        <v>3852</v>
      </c>
      <c r="BA369" s="3" t="s">
        <v>3852</v>
      </c>
      <c r="BB369" s="3" t="s">
        <v>3853</v>
      </c>
      <c r="BC369" s="3" t="s">
        <v>82</v>
      </c>
      <c r="BD369" s="3" t="s">
        <v>70</v>
      </c>
      <c r="BE369" s="3" t="s">
        <v>3854</v>
      </c>
      <c r="BF369" s="3" t="s">
        <v>3853</v>
      </c>
      <c r="BG369" s="3" t="s">
        <v>3855</v>
      </c>
    </row>
    <row r="370" spans="1:59" ht="75" x14ac:dyDescent="0.25">
      <c r="A370" s="2" t="s">
        <v>59</v>
      </c>
      <c r="B370" s="2" t="s">
        <v>60</v>
      </c>
      <c r="C370" s="2" t="s">
        <v>3856</v>
      </c>
      <c r="D370" s="2" t="s">
        <v>3857</v>
      </c>
      <c r="E370" s="2" t="s">
        <v>3858</v>
      </c>
      <c r="G370" s="3" t="s">
        <v>63</v>
      </c>
      <c r="I370" s="3" t="s">
        <v>63</v>
      </c>
      <c r="J370" s="3" t="s">
        <v>63</v>
      </c>
      <c r="K370" s="3" t="s">
        <v>64</v>
      </c>
      <c r="L370" s="2" t="s">
        <v>3859</v>
      </c>
      <c r="M370" s="2" t="s">
        <v>3860</v>
      </c>
      <c r="N370" s="3" t="s">
        <v>629</v>
      </c>
      <c r="P370" s="3" t="s">
        <v>90</v>
      </c>
      <c r="R370" s="3" t="s">
        <v>67</v>
      </c>
      <c r="S370" s="4">
        <v>1</v>
      </c>
      <c r="T370" s="4">
        <v>1</v>
      </c>
      <c r="U370" s="5" t="s">
        <v>3861</v>
      </c>
      <c r="V370" s="5" t="s">
        <v>3861</v>
      </c>
      <c r="W370" s="5" t="s">
        <v>69</v>
      </c>
      <c r="X370" s="5" t="s">
        <v>69</v>
      </c>
      <c r="Y370" s="4">
        <v>17</v>
      </c>
      <c r="Z370" s="4">
        <v>2</v>
      </c>
      <c r="AA370" s="4">
        <v>3</v>
      </c>
      <c r="AB370" s="4">
        <v>1</v>
      </c>
      <c r="AC370" s="4">
        <v>1</v>
      </c>
      <c r="AD370" s="4">
        <v>11</v>
      </c>
      <c r="AE370" s="4">
        <v>23</v>
      </c>
      <c r="AF370" s="4">
        <v>0</v>
      </c>
      <c r="AG370" s="4">
        <v>0</v>
      </c>
      <c r="AH370" s="4">
        <v>11</v>
      </c>
      <c r="AI370" s="4">
        <v>23</v>
      </c>
      <c r="AJ370" s="4">
        <v>1</v>
      </c>
      <c r="AK370" s="4">
        <v>1</v>
      </c>
      <c r="AL370" s="4">
        <v>6</v>
      </c>
      <c r="AM370" s="4">
        <v>17</v>
      </c>
      <c r="AN370" s="4">
        <v>0</v>
      </c>
      <c r="AO370" s="4">
        <v>0</v>
      </c>
      <c r="AP370" s="4">
        <v>1</v>
      </c>
      <c r="AQ370" s="4">
        <v>1</v>
      </c>
      <c r="AR370" s="3" t="s">
        <v>63</v>
      </c>
      <c r="AS370" s="3" t="s">
        <v>63</v>
      </c>
      <c r="AT370" s="3" t="s">
        <v>63</v>
      </c>
      <c r="AV370" s="6" t="str">
        <f>HYPERLINK("http://mcgill.on.worldcat.org/oclc/739837304","Catalog Record")</f>
        <v>Catalog Record</v>
      </c>
      <c r="AW370" s="6" t="str">
        <f>HYPERLINK("http://www.worldcat.org/oclc/739837304","WorldCat Record")</f>
        <v>WorldCat Record</v>
      </c>
      <c r="AX370" s="3" t="s">
        <v>3862</v>
      </c>
      <c r="AY370" s="3" t="s">
        <v>3863</v>
      </c>
      <c r="AZ370" s="3" t="s">
        <v>3864</v>
      </c>
      <c r="BA370" s="3" t="s">
        <v>3864</v>
      </c>
      <c r="BB370" s="3" t="s">
        <v>3865</v>
      </c>
      <c r="BC370" s="3" t="s">
        <v>82</v>
      </c>
      <c r="BD370" s="3" t="s">
        <v>70</v>
      </c>
      <c r="BE370" s="3" t="s">
        <v>3866</v>
      </c>
      <c r="BF370" s="3" t="s">
        <v>3865</v>
      </c>
      <c r="BG370" s="3" t="s">
        <v>3867</v>
      </c>
    </row>
    <row r="371" spans="1:59" ht="60" x14ac:dyDescent="0.25">
      <c r="A371" s="2" t="s">
        <v>59</v>
      </c>
      <c r="B371" s="2" t="s">
        <v>60</v>
      </c>
      <c r="C371" s="2" t="s">
        <v>3868</v>
      </c>
      <c r="D371" s="2" t="s">
        <v>3869</v>
      </c>
      <c r="E371" s="2" t="s">
        <v>3870</v>
      </c>
      <c r="G371" s="3" t="s">
        <v>63</v>
      </c>
      <c r="I371" s="3" t="s">
        <v>63</v>
      </c>
      <c r="J371" s="3" t="s">
        <v>63</v>
      </c>
      <c r="K371" s="3" t="s">
        <v>64</v>
      </c>
      <c r="L371" s="2" t="s">
        <v>3871</v>
      </c>
      <c r="M371" s="2" t="s">
        <v>3872</v>
      </c>
      <c r="N371" s="3" t="s">
        <v>2103</v>
      </c>
      <c r="P371" s="3" t="s">
        <v>66</v>
      </c>
      <c r="Q371" s="2" t="s">
        <v>3873</v>
      </c>
      <c r="R371" s="3" t="s">
        <v>67</v>
      </c>
      <c r="S371" s="4">
        <v>2</v>
      </c>
      <c r="T371" s="4">
        <v>2</v>
      </c>
      <c r="U371" s="5" t="s">
        <v>3874</v>
      </c>
      <c r="V371" s="5" t="s">
        <v>3874</v>
      </c>
      <c r="W371" s="5" t="s">
        <v>69</v>
      </c>
      <c r="X371" s="5" t="s">
        <v>69</v>
      </c>
      <c r="Y371" s="4">
        <v>49</v>
      </c>
      <c r="Z371" s="4">
        <v>4</v>
      </c>
      <c r="AA371" s="4">
        <v>5</v>
      </c>
      <c r="AB371" s="4">
        <v>1</v>
      </c>
      <c r="AC371" s="4">
        <v>1</v>
      </c>
      <c r="AD371" s="4">
        <v>38</v>
      </c>
      <c r="AE371" s="4">
        <v>42</v>
      </c>
      <c r="AF371" s="4">
        <v>0</v>
      </c>
      <c r="AG371" s="4">
        <v>0</v>
      </c>
      <c r="AH371" s="4">
        <v>38</v>
      </c>
      <c r="AI371" s="4">
        <v>42</v>
      </c>
      <c r="AJ371" s="4">
        <v>2</v>
      </c>
      <c r="AK371" s="4">
        <v>3</v>
      </c>
      <c r="AL371" s="4">
        <v>31</v>
      </c>
      <c r="AM371" s="4">
        <v>33</v>
      </c>
      <c r="AN371" s="4">
        <v>0</v>
      </c>
      <c r="AO371" s="4">
        <v>0</v>
      </c>
      <c r="AP371" s="4">
        <v>2</v>
      </c>
      <c r="AQ371" s="4">
        <v>3</v>
      </c>
      <c r="AR371" s="3" t="s">
        <v>63</v>
      </c>
      <c r="AS371" s="3" t="s">
        <v>63</v>
      </c>
      <c r="AT371" s="3" t="s">
        <v>62</v>
      </c>
      <c r="AU371" s="6" t="str">
        <f>HYPERLINK("http://catalog.hathitrust.org/Record/003827960","HathiTrust Record")</f>
        <v>HathiTrust Record</v>
      </c>
      <c r="AV371" s="6" t="str">
        <f>HYPERLINK("http://mcgill.on.worldcat.org/oclc/50158285","Catalog Record")</f>
        <v>Catalog Record</v>
      </c>
      <c r="AW371" s="6" t="str">
        <f>HYPERLINK("http://www.worldcat.org/oclc/50158285","WorldCat Record")</f>
        <v>WorldCat Record</v>
      </c>
      <c r="AX371" s="3" t="s">
        <v>3875</v>
      </c>
      <c r="AY371" s="3" t="s">
        <v>3876</v>
      </c>
      <c r="AZ371" s="3" t="s">
        <v>3877</v>
      </c>
      <c r="BA371" s="3" t="s">
        <v>3877</v>
      </c>
      <c r="BB371" s="3" t="s">
        <v>3878</v>
      </c>
      <c r="BC371" s="3" t="s">
        <v>82</v>
      </c>
      <c r="BD371" s="3" t="s">
        <v>70</v>
      </c>
      <c r="BE371" s="3" t="s">
        <v>3879</v>
      </c>
      <c r="BF371" s="3" t="s">
        <v>3878</v>
      </c>
      <c r="BG371" s="3" t="s">
        <v>3880</v>
      </c>
    </row>
    <row r="372" spans="1:59" ht="60" x14ac:dyDescent="0.25">
      <c r="A372" s="2" t="s">
        <v>59</v>
      </c>
      <c r="B372" s="2" t="s">
        <v>60</v>
      </c>
      <c r="C372" s="2" t="s">
        <v>3886</v>
      </c>
      <c r="D372" s="2" t="s">
        <v>3887</v>
      </c>
      <c r="E372" s="2" t="s">
        <v>3888</v>
      </c>
      <c r="G372" s="3" t="s">
        <v>63</v>
      </c>
      <c r="I372" s="3" t="s">
        <v>63</v>
      </c>
      <c r="J372" s="3" t="s">
        <v>62</v>
      </c>
      <c r="K372" s="3" t="s">
        <v>64</v>
      </c>
      <c r="L372" s="2" t="s">
        <v>3889</v>
      </c>
      <c r="M372" s="2" t="s">
        <v>3890</v>
      </c>
      <c r="N372" s="3" t="s">
        <v>3891</v>
      </c>
      <c r="P372" s="3" t="s">
        <v>66</v>
      </c>
      <c r="R372" s="3" t="s">
        <v>67</v>
      </c>
      <c r="S372" s="4">
        <v>8</v>
      </c>
      <c r="T372" s="4">
        <v>8</v>
      </c>
      <c r="U372" s="5" t="s">
        <v>3892</v>
      </c>
      <c r="V372" s="5" t="s">
        <v>3892</v>
      </c>
      <c r="W372" s="5" t="s">
        <v>69</v>
      </c>
      <c r="X372" s="5" t="s">
        <v>69</v>
      </c>
      <c r="Y372" s="4">
        <v>9</v>
      </c>
      <c r="Z372" s="4">
        <v>2</v>
      </c>
      <c r="AA372" s="4">
        <v>21</v>
      </c>
      <c r="AB372" s="4">
        <v>1</v>
      </c>
      <c r="AC372" s="4">
        <v>2</v>
      </c>
      <c r="AD372" s="4">
        <v>1</v>
      </c>
      <c r="AE372" s="4">
        <v>89</v>
      </c>
      <c r="AF372" s="4">
        <v>0</v>
      </c>
      <c r="AG372" s="4">
        <v>1</v>
      </c>
      <c r="AH372" s="4">
        <v>1</v>
      </c>
      <c r="AI372" s="4">
        <v>80</v>
      </c>
      <c r="AJ372" s="4">
        <v>1</v>
      </c>
      <c r="AK372" s="4">
        <v>18</v>
      </c>
      <c r="AL372" s="4">
        <v>0</v>
      </c>
      <c r="AM372" s="4">
        <v>42</v>
      </c>
      <c r="AN372" s="4">
        <v>0</v>
      </c>
      <c r="AO372" s="4">
        <v>0</v>
      </c>
      <c r="AP372" s="4">
        <v>1</v>
      </c>
      <c r="AQ372" s="4">
        <v>18</v>
      </c>
      <c r="AR372" s="3" t="s">
        <v>63</v>
      </c>
      <c r="AS372" s="3" t="s">
        <v>63</v>
      </c>
      <c r="AT372" s="3" t="s">
        <v>63</v>
      </c>
      <c r="AV372" s="6" t="str">
        <f>HYPERLINK("http://mcgill.on.worldcat.org/oclc/1086971607","Catalog Record")</f>
        <v>Catalog Record</v>
      </c>
      <c r="AW372" s="6" t="str">
        <f>HYPERLINK("http://www.worldcat.org/oclc/1086971607","WorldCat Record")</f>
        <v>WorldCat Record</v>
      </c>
      <c r="AX372" s="3" t="s">
        <v>3893</v>
      </c>
      <c r="AY372" s="3" t="s">
        <v>3894</v>
      </c>
      <c r="AZ372" s="3" t="s">
        <v>3895</v>
      </c>
      <c r="BA372" s="3" t="s">
        <v>3895</v>
      </c>
      <c r="BB372" s="3" t="s">
        <v>3896</v>
      </c>
      <c r="BC372" s="3" t="s">
        <v>82</v>
      </c>
      <c r="BD372" s="3" t="s">
        <v>70</v>
      </c>
      <c r="BF372" s="3" t="s">
        <v>3896</v>
      </c>
      <c r="BG372" s="3" t="s">
        <v>3897</v>
      </c>
    </row>
    <row r="373" spans="1:59" ht="60" x14ac:dyDescent="0.25">
      <c r="A373" s="2" t="s">
        <v>59</v>
      </c>
      <c r="B373" s="2" t="s">
        <v>60</v>
      </c>
      <c r="C373" s="2" t="s">
        <v>3898</v>
      </c>
      <c r="D373" s="2" t="s">
        <v>3899</v>
      </c>
      <c r="E373" s="2" t="s">
        <v>3900</v>
      </c>
      <c r="G373" s="3" t="s">
        <v>63</v>
      </c>
      <c r="I373" s="3" t="s">
        <v>62</v>
      </c>
      <c r="J373" s="3" t="s">
        <v>63</v>
      </c>
      <c r="K373" s="3" t="s">
        <v>64</v>
      </c>
      <c r="M373" s="2" t="s">
        <v>3901</v>
      </c>
      <c r="N373" s="3" t="s">
        <v>374</v>
      </c>
      <c r="P373" s="3" t="s">
        <v>66</v>
      </c>
      <c r="Q373" s="2" t="s">
        <v>3902</v>
      </c>
      <c r="R373" s="3" t="s">
        <v>67</v>
      </c>
      <c r="S373" s="4">
        <v>1</v>
      </c>
      <c r="T373" s="4">
        <v>6</v>
      </c>
      <c r="U373" s="5" t="s">
        <v>3903</v>
      </c>
      <c r="V373" s="5" t="s">
        <v>3904</v>
      </c>
      <c r="W373" s="5" t="s">
        <v>69</v>
      </c>
      <c r="X373" s="5" t="s">
        <v>69</v>
      </c>
      <c r="Y373" s="4">
        <v>195</v>
      </c>
      <c r="Z373" s="4">
        <v>16</v>
      </c>
      <c r="AA373" s="4">
        <v>16</v>
      </c>
      <c r="AB373" s="4">
        <v>1</v>
      </c>
      <c r="AC373" s="4">
        <v>1</v>
      </c>
      <c r="AD373" s="4">
        <v>87</v>
      </c>
      <c r="AE373" s="4">
        <v>89</v>
      </c>
      <c r="AF373" s="4">
        <v>0</v>
      </c>
      <c r="AG373" s="4">
        <v>0</v>
      </c>
      <c r="AH373" s="4">
        <v>81</v>
      </c>
      <c r="AI373" s="4">
        <v>83</v>
      </c>
      <c r="AJ373" s="4">
        <v>13</v>
      </c>
      <c r="AK373" s="4">
        <v>13</v>
      </c>
      <c r="AL373" s="4">
        <v>48</v>
      </c>
      <c r="AM373" s="4">
        <v>50</v>
      </c>
      <c r="AN373" s="4">
        <v>0</v>
      </c>
      <c r="AO373" s="4">
        <v>0</v>
      </c>
      <c r="AP373" s="4">
        <v>13</v>
      </c>
      <c r="AQ373" s="4">
        <v>13</v>
      </c>
      <c r="AR373" s="3" t="s">
        <v>63</v>
      </c>
      <c r="AS373" s="3" t="s">
        <v>63</v>
      </c>
      <c r="AT373" s="3" t="s">
        <v>63</v>
      </c>
      <c r="AV373" s="6" t="str">
        <f>HYPERLINK("http://mcgill.on.worldcat.org/oclc/31239449","Catalog Record")</f>
        <v>Catalog Record</v>
      </c>
      <c r="AW373" s="6" t="str">
        <f>HYPERLINK("http://www.worldcat.org/oclc/31239449","WorldCat Record")</f>
        <v>WorldCat Record</v>
      </c>
      <c r="AX373" s="3" t="s">
        <v>3905</v>
      </c>
      <c r="AY373" s="3" t="s">
        <v>3906</v>
      </c>
      <c r="AZ373" s="3" t="s">
        <v>3907</v>
      </c>
      <c r="BA373" s="3" t="s">
        <v>3907</v>
      </c>
      <c r="BB373" s="3" t="s">
        <v>3908</v>
      </c>
      <c r="BC373" s="3" t="s">
        <v>82</v>
      </c>
      <c r="BD373" s="3" t="s">
        <v>70</v>
      </c>
      <c r="BE373" s="3" t="s">
        <v>3909</v>
      </c>
      <c r="BF373" s="3" t="s">
        <v>3908</v>
      </c>
      <c r="BG373" s="3" t="s">
        <v>3910</v>
      </c>
    </row>
    <row r="374" spans="1:59" ht="60" x14ac:dyDescent="0.25">
      <c r="A374" s="2" t="s">
        <v>59</v>
      </c>
      <c r="B374" s="2" t="s">
        <v>60</v>
      </c>
      <c r="C374" s="2" t="s">
        <v>3898</v>
      </c>
      <c r="D374" s="2" t="s">
        <v>3899</v>
      </c>
      <c r="E374" s="2" t="s">
        <v>3900</v>
      </c>
      <c r="G374" s="3" t="s">
        <v>63</v>
      </c>
      <c r="I374" s="3" t="s">
        <v>62</v>
      </c>
      <c r="J374" s="3" t="s">
        <v>63</v>
      </c>
      <c r="K374" s="3" t="s">
        <v>64</v>
      </c>
      <c r="M374" s="2" t="s">
        <v>3901</v>
      </c>
      <c r="N374" s="3" t="s">
        <v>374</v>
      </c>
      <c r="P374" s="3" t="s">
        <v>66</v>
      </c>
      <c r="Q374" s="2" t="s">
        <v>3902</v>
      </c>
      <c r="R374" s="3" t="s">
        <v>67</v>
      </c>
      <c r="S374" s="4">
        <v>5</v>
      </c>
      <c r="T374" s="4">
        <v>6</v>
      </c>
      <c r="U374" s="5" t="s">
        <v>3904</v>
      </c>
      <c r="V374" s="5" t="s">
        <v>3904</v>
      </c>
      <c r="W374" s="5" t="s">
        <v>69</v>
      </c>
      <c r="X374" s="5" t="s">
        <v>69</v>
      </c>
      <c r="Y374" s="4">
        <v>195</v>
      </c>
      <c r="Z374" s="4">
        <v>16</v>
      </c>
      <c r="AA374" s="4">
        <v>16</v>
      </c>
      <c r="AB374" s="4">
        <v>1</v>
      </c>
      <c r="AC374" s="4">
        <v>1</v>
      </c>
      <c r="AD374" s="4">
        <v>87</v>
      </c>
      <c r="AE374" s="4">
        <v>89</v>
      </c>
      <c r="AF374" s="4">
        <v>0</v>
      </c>
      <c r="AG374" s="4">
        <v>0</v>
      </c>
      <c r="AH374" s="4">
        <v>81</v>
      </c>
      <c r="AI374" s="4">
        <v>83</v>
      </c>
      <c r="AJ374" s="4">
        <v>13</v>
      </c>
      <c r="AK374" s="4">
        <v>13</v>
      </c>
      <c r="AL374" s="4">
        <v>48</v>
      </c>
      <c r="AM374" s="4">
        <v>50</v>
      </c>
      <c r="AN374" s="4">
        <v>0</v>
      </c>
      <c r="AO374" s="4">
        <v>0</v>
      </c>
      <c r="AP374" s="4">
        <v>13</v>
      </c>
      <c r="AQ374" s="4">
        <v>13</v>
      </c>
      <c r="AR374" s="3" t="s">
        <v>63</v>
      </c>
      <c r="AS374" s="3" t="s">
        <v>63</v>
      </c>
      <c r="AT374" s="3" t="s">
        <v>63</v>
      </c>
      <c r="AV374" s="6" t="str">
        <f>HYPERLINK("http://mcgill.on.worldcat.org/oclc/31239449","Catalog Record")</f>
        <v>Catalog Record</v>
      </c>
      <c r="AW374" s="6" t="str">
        <f>HYPERLINK("http://www.worldcat.org/oclc/31239449","WorldCat Record")</f>
        <v>WorldCat Record</v>
      </c>
      <c r="AX374" s="3" t="s">
        <v>3905</v>
      </c>
      <c r="AY374" s="3" t="s">
        <v>3906</v>
      </c>
      <c r="AZ374" s="3" t="s">
        <v>3907</v>
      </c>
      <c r="BA374" s="3" t="s">
        <v>3907</v>
      </c>
      <c r="BB374" s="3" t="s">
        <v>3911</v>
      </c>
      <c r="BC374" s="3" t="s">
        <v>82</v>
      </c>
      <c r="BD374" s="3" t="s">
        <v>70</v>
      </c>
      <c r="BE374" s="3" t="s">
        <v>3909</v>
      </c>
      <c r="BF374" s="3" t="s">
        <v>3911</v>
      </c>
      <c r="BG374" s="3" t="s">
        <v>3912</v>
      </c>
    </row>
    <row r="375" spans="1:59" ht="60" x14ac:dyDescent="0.25">
      <c r="A375" s="2" t="s">
        <v>59</v>
      </c>
      <c r="B375" s="2" t="s">
        <v>60</v>
      </c>
      <c r="C375" s="2" t="s">
        <v>3913</v>
      </c>
      <c r="D375" s="2" t="s">
        <v>3914</v>
      </c>
      <c r="E375" s="2" t="s">
        <v>3915</v>
      </c>
      <c r="G375" s="3" t="s">
        <v>63</v>
      </c>
      <c r="I375" s="3" t="s">
        <v>62</v>
      </c>
      <c r="J375" s="3" t="s">
        <v>63</v>
      </c>
      <c r="K375" s="3" t="s">
        <v>64</v>
      </c>
      <c r="M375" s="2" t="s">
        <v>3916</v>
      </c>
      <c r="N375" s="3" t="s">
        <v>1046</v>
      </c>
      <c r="P375" s="3" t="s">
        <v>66</v>
      </c>
      <c r="R375" s="3" t="s">
        <v>67</v>
      </c>
      <c r="S375" s="4">
        <v>17</v>
      </c>
      <c r="T375" s="4">
        <v>24</v>
      </c>
      <c r="U375" s="5" t="s">
        <v>3244</v>
      </c>
      <c r="V375" s="5" t="s">
        <v>3244</v>
      </c>
      <c r="W375" s="5" t="s">
        <v>69</v>
      </c>
      <c r="X375" s="5" t="s">
        <v>69</v>
      </c>
      <c r="Y375" s="4">
        <v>372</v>
      </c>
      <c r="Z375" s="4">
        <v>29</v>
      </c>
      <c r="AA375" s="4">
        <v>37</v>
      </c>
      <c r="AB375" s="4">
        <v>2</v>
      </c>
      <c r="AC375" s="4">
        <v>4</v>
      </c>
      <c r="AD375" s="4">
        <v>87</v>
      </c>
      <c r="AE375" s="4">
        <v>122</v>
      </c>
      <c r="AF375" s="4">
        <v>1</v>
      </c>
      <c r="AG375" s="4">
        <v>2</v>
      </c>
      <c r="AH375" s="4">
        <v>69</v>
      </c>
      <c r="AI375" s="4">
        <v>100</v>
      </c>
      <c r="AJ375" s="4">
        <v>14</v>
      </c>
      <c r="AK375" s="4">
        <v>19</v>
      </c>
      <c r="AL375" s="4">
        <v>41</v>
      </c>
      <c r="AM375" s="4">
        <v>55</v>
      </c>
      <c r="AN375" s="4">
        <v>5</v>
      </c>
      <c r="AO375" s="4">
        <v>5</v>
      </c>
      <c r="AP375" s="4">
        <v>20</v>
      </c>
      <c r="AQ375" s="4">
        <v>27</v>
      </c>
      <c r="AR375" s="3" t="s">
        <v>63</v>
      </c>
      <c r="AS375" s="3" t="s">
        <v>63</v>
      </c>
      <c r="AT375" s="3" t="s">
        <v>63</v>
      </c>
      <c r="AU375" s="6" t="str">
        <f>HYPERLINK("http://catalog.hathitrust.org/Record/001061839","HathiTrust Record")</f>
        <v>HathiTrust Record</v>
      </c>
      <c r="AV375" s="6" t="str">
        <f>HYPERLINK("http://mcgill.on.worldcat.org/oclc/11796729","Catalog Record")</f>
        <v>Catalog Record</v>
      </c>
      <c r="AW375" s="6" t="str">
        <f>HYPERLINK("http://www.worldcat.org/oclc/11796729","WorldCat Record")</f>
        <v>WorldCat Record</v>
      </c>
      <c r="AX375" s="3" t="s">
        <v>3917</v>
      </c>
      <c r="AY375" s="3" t="s">
        <v>3918</v>
      </c>
      <c r="AZ375" s="3" t="s">
        <v>3919</v>
      </c>
      <c r="BA375" s="3" t="s">
        <v>3919</v>
      </c>
      <c r="BB375" s="3" t="s">
        <v>3920</v>
      </c>
      <c r="BC375" s="3" t="s">
        <v>82</v>
      </c>
      <c r="BD375" s="3" t="s">
        <v>70</v>
      </c>
      <c r="BF375" s="3" t="s">
        <v>3920</v>
      </c>
      <c r="BG375" s="3" t="s">
        <v>3921</v>
      </c>
    </row>
    <row r="376" spans="1:59" ht="60" x14ac:dyDescent="0.25">
      <c r="A376" s="2" t="s">
        <v>59</v>
      </c>
      <c r="B376" s="2" t="s">
        <v>60</v>
      </c>
      <c r="C376" s="2" t="s">
        <v>3913</v>
      </c>
      <c r="D376" s="2" t="s">
        <v>3914</v>
      </c>
      <c r="E376" s="2" t="s">
        <v>3915</v>
      </c>
      <c r="G376" s="3" t="s">
        <v>63</v>
      </c>
      <c r="I376" s="3" t="s">
        <v>62</v>
      </c>
      <c r="J376" s="3" t="s">
        <v>63</v>
      </c>
      <c r="K376" s="3" t="s">
        <v>64</v>
      </c>
      <c r="M376" s="2" t="s">
        <v>3916</v>
      </c>
      <c r="N376" s="3" t="s">
        <v>1046</v>
      </c>
      <c r="P376" s="3" t="s">
        <v>66</v>
      </c>
      <c r="R376" s="3" t="s">
        <v>67</v>
      </c>
      <c r="S376" s="4">
        <v>7</v>
      </c>
      <c r="T376" s="4">
        <v>24</v>
      </c>
      <c r="U376" s="5" t="s">
        <v>3922</v>
      </c>
      <c r="V376" s="5" t="s">
        <v>3244</v>
      </c>
      <c r="W376" s="5" t="s">
        <v>69</v>
      </c>
      <c r="X376" s="5" t="s">
        <v>69</v>
      </c>
      <c r="Y376" s="4">
        <v>372</v>
      </c>
      <c r="Z376" s="4">
        <v>29</v>
      </c>
      <c r="AA376" s="4">
        <v>37</v>
      </c>
      <c r="AB376" s="4">
        <v>2</v>
      </c>
      <c r="AC376" s="4">
        <v>4</v>
      </c>
      <c r="AD376" s="4">
        <v>87</v>
      </c>
      <c r="AE376" s="4">
        <v>122</v>
      </c>
      <c r="AF376" s="4">
        <v>1</v>
      </c>
      <c r="AG376" s="4">
        <v>2</v>
      </c>
      <c r="AH376" s="4">
        <v>69</v>
      </c>
      <c r="AI376" s="4">
        <v>100</v>
      </c>
      <c r="AJ376" s="4">
        <v>14</v>
      </c>
      <c r="AK376" s="4">
        <v>19</v>
      </c>
      <c r="AL376" s="4">
        <v>41</v>
      </c>
      <c r="AM376" s="4">
        <v>55</v>
      </c>
      <c r="AN376" s="4">
        <v>5</v>
      </c>
      <c r="AO376" s="4">
        <v>5</v>
      </c>
      <c r="AP376" s="4">
        <v>20</v>
      </c>
      <c r="AQ376" s="4">
        <v>27</v>
      </c>
      <c r="AR376" s="3" t="s">
        <v>63</v>
      </c>
      <c r="AS376" s="3" t="s">
        <v>63</v>
      </c>
      <c r="AT376" s="3" t="s">
        <v>63</v>
      </c>
      <c r="AU376" s="6" t="str">
        <f>HYPERLINK("http://catalog.hathitrust.org/Record/001061839","HathiTrust Record")</f>
        <v>HathiTrust Record</v>
      </c>
      <c r="AV376" s="6" t="str">
        <f>HYPERLINK("http://mcgill.on.worldcat.org/oclc/11796729","Catalog Record")</f>
        <v>Catalog Record</v>
      </c>
      <c r="AW376" s="6" t="str">
        <f>HYPERLINK("http://www.worldcat.org/oclc/11796729","WorldCat Record")</f>
        <v>WorldCat Record</v>
      </c>
      <c r="AX376" s="3" t="s">
        <v>3917</v>
      </c>
      <c r="AY376" s="3" t="s">
        <v>3918</v>
      </c>
      <c r="AZ376" s="3" t="s">
        <v>3919</v>
      </c>
      <c r="BA376" s="3" t="s">
        <v>3919</v>
      </c>
      <c r="BB376" s="3" t="s">
        <v>3923</v>
      </c>
      <c r="BC376" s="3" t="s">
        <v>82</v>
      </c>
      <c r="BD376" s="3" t="s">
        <v>70</v>
      </c>
      <c r="BF376" s="3" t="s">
        <v>3923</v>
      </c>
      <c r="BG376" s="3" t="s">
        <v>3924</v>
      </c>
    </row>
    <row r="377" spans="1:59" ht="60" x14ac:dyDescent="0.25">
      <c r="A377" s="2" t="s">
        <v>59</v>
      </c>
      <c r="B377" s="2" t="s">
        <v>60</v>
      </c>
      <c r="C377" s="2" t="s">
        <v>3925</v>
      </c>
      <c r="D377" s="2" t="s">
        <v>3926</v>
      </c>
      <c r="E377" s="2" t="s">
        <v>3927</v>
      </c>
      <c r="G377" s="3" t="s">
        <v>63</v>
      </c>
      <c r="I377" s="3" t="s">
        <v>62</v>
      </c>
      <c r="J377" s="3" t="s">
        <v>63</v>
      </c>
      <c r="K377" s="3" t="s">
        <v>64</v>
      </c>
      <c r="M377" s="2" t="s">
        <v>3928</v>
      </c>
      <c r="N377" s="3" t="s">
        <v>731</v>
      </c>
      <c r="P377" s="3" t="s">
        <v>66</v>
      </c>
      <c r="R377" s="3" t="s">
        <v>67</v>
      </c>
      <c r="S377" s="4">
        <v>22</v>
      </c>
      <c r="T377" s="4">
        <v>37</v>
      </c>
      <c r="U377" s="5" t="s">
        <v>3244</v>
      </c>
      <c r="V377" s="5" t="s">
        <v>3244</v>
      </c>
      <c r="W377" s="5" t="s">
        <v>69</v>
      </c>
      <c r="X377" s="5" t="s">
        <v>69</v>
      </c>
      <c r="Y377" s="4">
        <v>875</v>
      </c>
      <c r="Z377" s="4">
        <v>37</v>
      </c>
      <c r="AA377" s="4">
        <v>50</v>
      </c>
      <c r="AB377" s="4">
        <v>3</v>
      </c>
      <c r="AC377" s="4">
        <v>6</v>
      </c>
      <c r="AD377" s="4">
        <v>125</v>
      </c>
      <c r="AE377" s="4">
        <v>139</v>
      </c>
      <c r="AF377" s="4">
        <v>1</v>
      </c>
      <c r="AG377" s="4">
        <v>4</v>
      </c>
      <c r="AH377" s="4">
        <v>105</v>
      </c>
      <c r="AI377" s="4">
        <v>110</v>
      </c>
      <c r="AJ377" s="4">
        <v>14</v>
      </c>
      <c r="AK377" s="4">
        <v>25</v>
      </c>
      <c r="AL377" s="4">
        <v>58</v>
      </c>
      <c r="AM377" s="4">
        <v>58</v>
      </c>
      <c r="AN377" s="4">
        <v>0</v>
      </c>
      <c r="AO377" s="4">
        <v>0</v>
      </c>
      <c r="AP377" s="4">
        <v>25</v>
      </c>
      <c r="AQ377" s="4">
        <v>36</v>
      </c>
      <c r="AR377" s="3" t="s">
        <v>63</v>
      </c>
      <c r="AS377" s="3" t="s">
        <v>63</v>
      </c>
      <c r="AT377" s="3" t="s">
        <v>62</v>
      </c>
      <c r="AU377" s="6" t="str">
        <f>HYPERLINK("http://catalog.hathitrust.org/Record/000036945","HathiTrust Record")</f>
        <v>HathiTrust Record</v>
      </c>
      <c r="AV377" s="6" t="str">
        <f>HYPERLINK("http://mcgill.on.worldcat.org/oclc/1730146","Catalog Record")</f>
        <v>Catalog Record</v>
      </c>
      <c r="AW377" s="6" t="str">
        <f>HYPERLINK("http://www.worldcat.org/oclc/1730146","WorldCat Record")</f>
        <v>WorldCat Record</v>
      </c>
      <c r="AX377" s="3" t="s">
        <v>3929</v>
      </c>
      <c r="AY377" s="3" t="s">
        <v>3930</v>
      </c>
      <c r="AZ377" s="3" t="s">
        <v>3931</v>
      </c>
      <c r="BA377" s="3" t="s">
        <v>3931</v>
      </c>
      <c r="BB377" s="3" t="s">
        <v>3932</v>
      </c>
      <c r="BC377" s="3" t="s">
        <v>82</v>
      </c>
      <c r="BD377" s="3" t="s">
        <v>70</v>
      </c>
      <c r="BE377" s="3" t="s">
        <v>3933</v>
      </c>
      <c r="BF377" s="3" t="s">
        <v>3932</v>
      </c>
      <c r="BG377" s="3" t="s">
        <v>3934</v>
      </c>
    </row>
    <row r="378" spans="1:59" ht="60" x14ac:dyDescent="0.25">
      <c r="A378" s="2" t="s">
        <v>59</v>
      </c>
      <c r="B378" s="2" t="s">
        <v>60</v>
      </c>
      <c r="C378" s="2" t="s">
        <v>3925</v>
      </c>
      <c r="D378" s="2" t="s">
        <v>3926</v>
      </c>
      <c r="E378" s="2" t="s">
        <v>3927</v>
      </c>
      <c r="G378" s="3" t="s">
        <v>63</v>
      </c>
      <c r="I378" s="3" t="s">
        <v>62</v>
      </c>
      <c r="J378" s="3" t="s">
        <v>63</v>
      </c>
      <c r="K378" s="3" t="s">
        <v>64</v>
      </c>
      <c r="M378" s="2" t="s">
        <v>3928</v>
      </c>
      <c r="N378" s="3" t="s">
        <v>731</v>
      </c>
      <c r="P378" s="3" t="s">
        <v>66</v>
      </c>
      <c r="R378" s="3" t="s">
        <v>67</v>
      </c>
      <c r="S378" s="4">
        <v>15</v>
      </c>
      <c r="T378" s="4">
        <v>37</v>
      </c>
      <c r="U378" s="5" t="s">
        <v>3935</v>
      </c>
      <c r="V378" s="5" t="s">
        <v>3244</v>
      </c>
      <c r="W378" s="5" t="s">
        <v>69</v>
      </c>
      <c r="X378" s="5" t="s">
        <v>69</v>
      </c>
      <c r="Y378" s="4">
        <v>875</v>
      </c>
      <c r="Z378" s="4">
        <v>37</v>
      </c>
      <c r="AA378" s="4">
        <v>50</v>
      </c>
      <c r="AB378" s="4">
        <v>3</v>
      </c>
      <c r="AC378" s="4">
        <v>6</v>
      </c>
      <c r="AD378" s="4">
        <v>125</v>
      </c>
      <c r="AE378" s="4">
        <v>139</v>
      </c>
      <c r="AF378" s="4">
        <v>1</v>
      </c>
      <c r="AG378" s="4">
        <v>4</v>
      </c>
      <c r="AH378" s="4">
        <v>105</v>
      </c>
      <c r="AI378" s="4">
        <v>110</v>
      </c>
      <c r="AJ378" s="4">
        <v>14</v>
      </c>
      <c r="AK378" s="4">
        <v>25</v>
      </c>
      <c r="AL378" s="4">
        <v>58</v>
      </c>
      <c r="AM378" s="4">
        <v>58</v>
      </c>
      <c r="AN378" s="4">
        <v>0</v>
      </c>
      <c r="AO378" s="4">
        <v>0</v>
      </c>
      <c r="AP378" s="4">
        <v>25</v>
      </c>
      <c r="AQ378" s="4">
        <v>36</v>
      </c>
      <c r="AR378" s="3" t="s">
        <v>63</v>
      </c>
      <c r="AS378" s="3" t="s">
        <v>63</v>
      </c>
      <c r="AT378" s="3" t="s">
        <v>62</v>
      </c>
      <c r="AU378" s="6" t="str">
        <f>HYPERLINK("http://catalog.hathitrust.org/Record/000036945","HathiTrust Record")</f>
        <v>HathiTrust Record</v>
      </c>
      <c r="AV378" s="6" t="str">
        <f>HYPERLINK("http://mcgill.on.worldcat.org/oclc/1730146","Catalog Record")</f>
        <v>Catalog Record</v>
      </c>
      <c r="AW378" s="6" t="str">
        <f>HYPERLINK("http://www.worldcat.org/oclc/1730146","WorldCat Record")</f>
        <v>WorldCat Record</v>
      </c>
      <c r="AX378" s="3" t="s">
        <v>3929</v>
      </c>
      <c r="AY378" s="3" t="s">
        <v>3930</v>
      </c>
      <c r="AZ378" s="3" t="s">
        <v>3931</v>
      </c>
      <c r="BA378" s="3" t="s">
        <v>3931</v>
      </c>
      <c r="BB378" s="3" t="s">
        <v>3936</v>
      </c>
      <c r="BC378" s="3" t="s">
        <v>82</v>
      </c>
      <c r="BD378" s="3" t="s">
        <v>70</v>
      </c>
      <c r="BE378" s="3" t="s">
        <v>3933</v>
      </c>
      <c r="BF378" s="3" t="s">
        <v>3936</v>
      </c>
      <c r="BG378" s="3" t="s">
        <v>3937</v>
      </c>
    </row>
    <row r="379" spans="1:59" ht="60" x14ac:dyDescent="0.25">
      <c r="A379" s="2" t="s">
        <v>59</v>
      </c>
      <c r="B379" s="2" t="s">
        <v>60</v>
      </c>
      <c r="C379" s="2" t="s">
        <v>3938</v>
      </c>
      <c r="D379" s="2" t="s">
        <v>3939</v>
      </c>
      <c r="E379" s="2" t="s">
        <v>3940</v>
      </c>
      <c r="G379" s="3" t="s">
        <v>63</v>
      </c>
      <c r="I379" s="3" t="s">
        <v>63</v>
      </c>
      <c r="J379" s="3" t="s">
        <v>63</v>
      </c>
      <c r="K379" s="3" t="s">
        <v>64</v>
      </c>
      <c r="M379" s="2" t="s">
        <v>3941</v>
      </c>
      <c r="N379" s="3" t="s">
        <v>287</v>
      </c>
      <c r="P379" s="3" t="s">
        <v>66</v>
      </c>
      <c r="R379" s="3" t="s">
        <v>67</v>
      </c>
      <c r="S379" s="4">
        <v>0</v>
      </c>
      <c r="T379" s="4">
        <v>0</v>
      </c>
      <c r="W379" s="5" t="s">
        <v>69</v>
      </c>
      <c r="X379" s="5" t="s">
        <v>69</v>
      </c>
      <c r="Y379" s="4">
        <v>41</v>
      </c>
      <c r="Z379" s="4">
        <v>3</v>
      </c>
      <c r="AA379" s="4">
        <v>6</v>
      </c>
      <c r="AB379" s="4">
        <v>1</v>
      </c>
      <c r="AC379" s="4">
        <v>3</v>
      </c>
      <c r="AD379" s="4">
        <v>27</v>
      </c>
      <c r="AE379" s="4">
        <v>28</v>
      </c>
      <c r="AF379" s="4">
        <v>0</v>
      </c>
      <c r="AG379" s="4">
        <v>0</v>
      </c>
      <c r="AH379" s="4">
        <v>25</v>
      </c>
      <c r="AI379" s="4">
        <v>26</v>
      </c>
      <c r="AJ379" s="4">
        <v>2</v>
      </c>
      <c r="AK379" s="4">
        <v>3</v>
      </c>
      <c r="AL379" s="4">
        <v>20</v>
      </c>
      <c r="AM379" s="4">
        <v>20</v>
      </c>
      <c r="AN379" s="4">
        <v>0</v>
      </c>
      <c r="AO379" s="4">
        <v>0</v>
      </c>
      <c r="AP379" s="4">
        <v>2</v>
      </c>
      <c r="AQ379" s="4">
        <v>3</v>
      </c>
      <c r="AR379" s="3" t="s">
        <v>63</v>
      </c>
      <c r="AS379" s="3" t="s">
        <v>63</v>
      </c>
      <c r="AT379" s="3" t="s">
        <v>63</v>
      </c>
      <c r="AV379" s="6" t="str">
        <f>HYPERLINK("http://mcgill.on.worldcat.org/oclc/1007507992","Catalog Record")</f>
        <v>Catalog Record</v>
      </c>
      <c r="AW379" s="6" t="str">
        <f>HYPERLINK("http://www.worldcat.org/oclc/1007507992","WorldCat Record")</f>
        <v>WorldCat Record</v>
      </c>
      <c r="AX379" s="3" t="s">
        <v>3942</v>
      </c>
      <c r="AY379" s="3" t="s">
        <v>3943</v>
      </c>
      <c r="AZ379" s="3" t="s">
        <v>3944</v>
      </c>
      <c r="BA379" s="3" t="s">
        <v>3944</v>
      </c>
      <c r="BB379" s="3" t="s">
        <v>3945</v>
      </c>
      <c r="BC379" s="3" t="s">
        <v>82</v>
      </c>
      <c r="BD379" s="3" t="s">
        <v>70</v>
      </c>
      <c r="BE379" s="3" t="s">
        <v>3946</v>
      </c>
      <c r="BF379" s="3" t="s">
        <v>3945</v>
      </c>
      <c r="BG379" s="3" t="s">
        <v>3947</v>
      </c>
    </row>
    <row r="380" spans="1:59" ht="60" x14ac:dyDescent="0.25">
      <c r="A380" s="2" t="s">
        <v>59</v>
      </c>
      <c r="B380" s="2" t="s">
        <v>60</v>
      </c>
      <c r="C380" s="2" t="s">
        <v>3948</v>
      </c>
      <c r="D380" s="2" t="s">
        <v>3949</v>
      </c>
      <c r="E380" s="2" t="s">
        <v>3950</v>
      </c>
      <c r="G380" s="3" t="s">
        <v>63</v>
      </c>
      <c r="I380" s="3" t="s">
        <v>63</v>
      </c>
      <c r="J380" s="3" t="s">
        <v>63</v>
      </c>
      <c r="K380" s="3" t="s">
        <v>64</v>
      </c>
      <c r="L380" s="2" t="s">
        <v>3951</v>
      </c>
      <c r="M380" s="2" t="s">
        <v>3952</v>
      </c>
      <c r="N380" s="3" t="s">
        <v>65</v>
      </c>
      <c r="P380" s="3" t="s">
        <v>66</v>
      </c>
      <c r="Q380" s="2" t="s">
        <v>3953</v>
      </c>
      <c r="R380" s="3" t="s">
        <v>67</v>
      </c>
      <c r="S380" s="4">
        <v>5</v>
      </c>
      <c r="T380" s="4">
        <v>5</v>
      </c>
      <c r="U380" s="5" t="s">
        <v>3954</v>
      </c>
      <c r="V380" s="5" t="s">
        <v>3954</v>
      </c>
      <c r="W380" s="5" t="s">
        <v>69</v>
      </c>
      <c r="X380" s="5" t="s">
        <v>69</v>
      </c>
      <c r="Y380" s="4">
        <v>542</v>
      </c>
      <c r="Z380" s="4">
        <v>25</v>
      </c>
      <c r="AA380" s="4">
        <v>26</v>
      </c>
      <c r="AB380" s="4">
        <v>1</v>
      </c>
      <c r="AC380" s="4">
        <v>2</v>
      </c>
      <c r="AD380" s="4">
        <v>116</v>
      </c>
      <c r="AE380" s="4">
        <v>116</v>
      </c>
      <c r="AF380" s="4">
        <v>0</v>
      </c>
      <c r="AG380" s="4">
        <v>0</v>
      </c>
      <c r="AH380" s="4">
        <v>101</v>
      </c>
      <c r="AI380" s="4">
        <v>101</v>
      </c>
      <c r="AJ380" s="4">
        <v>16</v>
      </c>
      <c r="AK380" s="4">
        <v>16</v>
      </c>
      <c r="AL380" s="4">
        <v>56</v>
      </c>
      <c r="AM380" s="4">
        <v>56</v>
      </c>
      <c r="AN380" s="4">
        <v>0</v>
      </c>
      <c r="AO380" s="4">
        <v>0</v>
      </c>
      <c r="AP380" s="4">
        <v>18</v>
      </c>
      <c r="AQ380" s="4">
        <v>18</v>
      </c>
      <c r="AR380" s="3" t="s">
        <v>63</v>
      </c>
      <c r="AS380" s="3" t="s">
        <v>63</v>
      </c>
      <c r="AT380" s="3" t="s">
        <v>62</v>
      </c>
      <c r="AU380" s="6" t="str">
        <f>HYPERLINK("http://catalog.hathitrust.org/Record/000739411","HathiTrust Record")</f>
        <v>HathiTrust Record</v>
      </c>
      <c r="AV380" s="6" t="str">
        <f>HYPERLINK("http://mcgill.on.worldcat.org/oclc/2331489","Catalog Record")</f>
        <v>Catalog Record</v>
      </c>
      <c r="AW380" s="6" t="str">
        <f>HYPERLINK("http://www.worldcat.org/oclc/2331489","WorldCat Record")</f>
        <v>WorldCat Record</v>
      </c>
      <c r="AX380" s="3" t="s">
        <v>3955</v>
      </c>
      <c r="AY380" s="3" t="s">
        <v>3956</v>
      </c>
      <c r="AZ380" s="3" t="s">
        <v>3957</v>
      </c>
      <c r="BA380" s="3" t="s">
        <v>3957</v>
      </c>
      <c r="BB380" s="3" t="s">
        <v>3958</v>
      </c>
      <c r="BC380" s="3" t="s">
        <v>82</v>
      </c>
      <c r="BD380" s="3" t="s">
        <v>70</v>
      </c>
      <c r="BE380" s="3" t="s">
        <v>3959</v>
      </c>
      <c r="BF380" s="3" t="s">
        <v>3958</v>
      </c>
      <c r="BG380" s="3" t="s">
        <v>3960</v>
      </c>
    </row>
    <row r="381" spans="1:59" ht="60" x14ac:dyDescent="0.25">
      <c r="A381" s="2" t="s">
        <v>59</v>
      </c>
      <c r="B381" s="2" t="s">
        <v>60</v>
      </c>
      <c r="C381" s="2" t="s">
        <v>3961</v>
      </c>
      <c r="D381" s="2" t="s">
        <v>3962</v>
      </c>
      <c r="E381" s="2" t="s">
        <v>3963</v>
      </c>
      <c r="G381" s="3" t="s">
        <v>63</v>
      </c>
      <c r="I381" s="3" t="s">
        <v>63</v>
      </c>
      <c r="J381" s="3" t="s">
        <v>63</v>
      </c>
      <c r="K381" s="3" t="s">
        <v>64</v>
      </c>
      <c r="L381" s="2" t="s">
        <v>3964</v>
      </c>
      <c r="M381" s="2" t="s">
        <v>3965</v>
      </c>
      <c r="N381" s="3" t="s">
        <v>1296</v>
      </c>
      <c r="P381" s="3" t="s">
        <v>66</v>
      </c>
      <c r="R381" s="3" t="s">
        <v>67</v>
      </c>
      <c r="S381" s="4">
        <v>6</v>
      </c>
      <c r="T381" s="4">
        <v>6</v>
      </c>
      <c r="U381" s="5" t="s">
        <v>3244</v>
      </c>
      <c r="V381" s="5" t="s">
        <v>3244</v>
      </c>
      <c r="W381" s="5" t="s">
        <v>69</v>
      </c>
      <c r="X381" s="5" t="s">
        <v>69</v>
      </c>
      <c r="Y381" s="4">
        <v>488</v>
      </c>
      <c r="Z381" s="4">
        <v>32</v>
      </c>
      <c r="AA381" s="4">
        <v>33</v>
      </c>
      <c r="AB381" s="4">
        <v>2</v>
      </c>
      <c r="AC381" s="4">
        <v>2</v>
      </c>
      <c r="AD381" s="4">
        <v>112</v>
      </c>
      <c r="AE381" s="4">
        <v>113</v>
      </c>
      <c r="AF381" s="4">
        <v>1</v>
      </c>
      <c r="AG381" s="4">
        <v>1</v>
      </c>
      <c r="AH381" s="4">
        <v>96</v>
      </c>
      <c r="AI381" s="4">
        <v>96</v>
      </c>
      <c r="AJ381" s="4">
        <v>16</v>
      </c>
      <c r="AK381" s="4">
        <v>17</v>
      </c>
      <c r="AL381" s="4">
        <v>52</v>
      </c>
      <c r="AM381" s="4">
        <v>52</v>
      </c>
      <c r="AN381" s="4">
        <v>0</v>
      </c>
      <c r="AO381" s="4">
        <v>0</v>
      </c>
      <c r="AP381" s="4">
        <v>23</v>
      </c>
      <c r="AQ381" s="4">
        <v>24</v>
      </c>
      <c r="AR381" s="3" t="s">
        <v>63</v>
      </c>
      <c r="AS381" s="3" t="s">
        <v>63</v>
      </c>
      <c r="AT381" s="3" t="s">
        <v>62</v>
      </c>
      <c r="AU381" s="6" t="str">
        <f>HYPERLINK("http://catalog.hathitrust.org/Record/000980736","HathiTrust Record")</f>
        <v>HathiTrust Record</v>
      </c>
      <c r="AV381" s="6" t="str">
        <f>HYPERLINK("http://mcgill.on.worldcat.org/oclc/24541","Catalog Record")</f>
        <v>Catalog Record</v>
      </c>
      <c r="AW381" s="6" t="str">
        <f>HYPERLINK("http://www.worldcat.org/oclc/24541","WorldCat Record")</f>
        <v>WorldCat Record</v>
      </c>
      <c r="AX381" s="3" t="s">
        <v>3966</v>
      </c>
      <c r="AY381" s="3" t="s">
        <v>3967</v>
      </c>
      <c r="AZ381" s="3" t="s">
        <v>3968</v>
      </c>
      <c r="BA381" s="3" t="s">
        <v>3968</v>
      </c>
      <c r="BB381" s="3" t="s">
        <v>3969</v>
      </c>
      <c r="BC381" s="3" t="s">
        <v>82</v>
      </c>
      <c r="BD381" s="3" t="s">
        <v>70</v>
      </c>
      <c r="BF381" s="3" t="s">
        <v>3969</v>
      </c>
      <c r="BG381" s="3" t="s">
        <v>3970</v>
      </c>
    </row>
    <row r="382" spans="1:59" ht="60" x14ac:dyDescent="0.25">
      <c r="A382" s="2" t="s">
        <v>59</v>
      </c>
      <c r="B382" s="2" t="s">
        <v>60</v>
      </c>
      <c r="C382" s="2" t="s">
        <v>3971</v>
      </c>
      <c r="D382" s="2" t="s">
        <v>3972</v>
      </c>
      <c r="E382" s="2" t="s">
        <v>3973</v>
      </c>
      <c r="G382" s="3" t="s">
        <v>63</v>
      </c>
      <c r="I382" s="3" t="s">
        <v>63</v>
      </c>
      <c r="J382" s="3" t="s">
        <v>63</v>
      </c>
      <c r="K382" s="3" t="s">
        <v>64</v>
      </c>
      <c r="M382" s="2" t="s">
        <v>3974</v>
      </c>
      <c r="N382" s="3" t="s">
        <v>1916</v>
      </c>
      <c r="O382" s="2" t="s">
        <v>1605</v>
      </c>
      <c r="P382" s="3" t="s">
        <v>66</v>
      </c>
      <c r="R382" s="3" t="s">
        <v>67</v>
      </c>
      <c r="S382" s="4">
        <v>1</v>
      </c>
      <c r="T382" s="4">
        <v>1</v>
      </c>
      <c r="U382" s="5" t="s">
        <v>3975</v>
      </c>
      <c r="V382" s="5" t="s">
        <v>3975</v>
      </c>
      <c r="W382" s="5" t="s">
        <v>69</v>
      </c>
      <c r="X382" s="5" t="s">
        <v>69</v>
      </c>
      <c r="Y382" s="4">
        <v>1567</v>
      </c>
      <c r="Z382" s="4">
        <v>65</v>
      </c>
      <c r="AA382" s="4">
        <v>67</v>
      </c>
      <c r="AB382" s="4">
        <v>3</v>
      </c>
      <c r="AC382" s="4">
        <v>5</v>
      </c>
      <c r="AD382" s="4">
        <v>138</v>
      </c>
      <c r="AE382" s="4">
        <v>140</v>
      </c>
      <c r="AF382" s="4">
        <v>1</v>
      </c>
      <c r="AG382" s="4">
        <v>3</v>
      </c>
      <c r="AH382" s="4">
        <v>112</v>
      </c>
      <c r="AI382" s="4">
        <v>113</v>
      </c>
      <c r="AJ382" s="4">
        <v>22</v>
      </c>
      <c r="AK382" s="4">
        <v>24</v>
      </c>
      <c r="AL382" s="4">
        <v>60</v>
      </c>
      <c r="AM382" s="4">
        <v>60</v>
      </c>
      <c r="AN382" s="4">
        <v>0</v>
      </c>
      <c r="AO382" s="4">
        <v>0</v>
      </c>
      <c r="AP382" s="4">
        <v>33</v>
      </c>
      <c r="AQ382" s="4">
        <v>34</v>
      </c>
      <c r="AR382" s="3" t="s">
        <v>63</v>
      </c>
      <c r="AS382" s="3" t="s">
        <v>63</v>
      </c>
      <c r="AT382" s="3" t="s">
        <v>63</v>
      </c>
      <c r="AV382" s="6" t="str">
        <f>HYPERLINK("http://mcgill.on.worldcat.org/oclc/10824864","Catalog Record")</f>
        <v>Catalog Record</v>
      </c>
      <c r="AW382" s="6" t="str">
        <f>HYPERLINK("http://www.worldcat.org/oclc/10824864","WorldCat Record")</f>
        <v>WorldCat Record</v>
      </c>
      <c r="AX382" s="3" t="s">
        <v>3976</v>
      </c>
      <c r="AY382" s="3" t="s">
        <v>3977</v>
      </c>
      <c r="AZ382" s="3" t="s">
        <v>3978</v>
      </c>
      <c r="BA382" s="3" t="s">
        <v>3978</v>
      </c>
      <c r="BB382" s="3" t="s">
        <v>3979</v>
      </c>
      <c r="BC382" s="3" t="s">
        <v>82</v>
      </c>
      <c r="BD382" s="3" t="s">
        <v>70</v>
      </c>
      <c r="BE382" s="3" t="s">
        <v>3980</v>
      </c>
      <c r="BF382" s="3" t="s">
        <v>3979</v>
      </c>
      <c r="BG382" s="3" t="s">
        <v>3981</v>
      </c>
    </row>
    <row r="383" spans="1:59" ht="60" x14ac:dyDescent="0.25">
      <c r="A383" s="2" t="s">
        <v>59</v>
      </c>
      <c r="B383" s="2" t="s">
        <v>60</v>
      </c>
      <c r="C383" s="2" t="s">
        <v>3982</v>
      </c>
      <c r="D383" s="2" t="s">
        <v>3983</v>
      </c>
      <c r="E383" s="2" t="s">
        <v>3984</v>
      </c>
      <c r="G383" s="3" t="s">
        <v>63</v>
      </c>
      <c r="I383" s="3" t="s">
        <v>63</v>
      </c>
      <c r="J383" s="3" t="s">
        <v>63</v>
      </c>
      <c r="K383" s="3" t="s">
        <v>64</v>
      </c>
      <c r="L383" s="2" t="s">
        <v>3985</v>
      </c>
      <c r="M383" s="2" t="s">
        <v>3986</v>
      </c>
      <c r="N383" s="3" t="s">
        <v>313</v>
      </c>
      <c r="P383" s="3" t="s">
        <v>90</v>
      </c>
      <c r="Q383" s="2" t="s">
        <v>3987</v>
      </c>
      <c r="R383" s="3" t="s">
        <v>67</v>
      </c>
      <c r="S383" s="4">
        <v>0</v>
      </c>
      <c r="T383" s="4">
        <v>0</v>
      </c>
      <c r="W383" s="5" t="s">
        <v>69</v>
      </c>
      <c r="X383" s="5" t="s">
        <v>69</v>
      </c>
      <c r="Y383" s="4">
        <v>36</v>
      </c>
      <c r="Z383" s="4">
        <v>5</v>
      </c>
      <c r="AA383" s="4">
        <v>5</v>
      </c>
      <c r="AB383" s="4">
        <v>1</v>
      </c>
      <c r="AC383" s="4">
        <v>1</v>
      </c>
      <c r="AD383" s="4">
        <v>29</v>
      </c>
      <c r="AE383" s="4">
        <v>29</v>
      </c>
      <c r="AF383" s="4">
        <v>0</v>
      </c>
      <c r="AG383" s="4">
        <v>0</v>
      </c>
      <c r="AH383" s="4">
        <v>27</v>
      </c>
      <c r="AI383" s="4">
        <v>27</v>
      </c>
      <c r="AJ383" s="4">
        <v>3</v>
      </c>
      <c r="AK383" s="4">
        <v>3</v>
      </c>
      <c r="AL383" s="4">
        <v>22</v>
      </c>
      <c r="AM383" s="4">
        <v>22</v>
      </c>
      <c r="AN383" s="4">
        <v>0</v>
      </c>
      <c r="AO383" s="4">
        <v>0</v>
      </c>
      <c r="AP383" s="4">
        <v>3</v>
      </c>
      <c r="AQ383" s="4">
        <v>3</v>
      </c>
      <c r="AR383" s="3" t="s">
        <v>63</v>
      </c>
      <c r="AS383" s="3" t="s">
        <v>63</v>
      </c>
      <c r="AT383" s="3" t="s">
        <v>63</v>
      </c>
      <c r="AV383" s="6" t="str">
        <f>HYPERLINK("http://mcgill.on.worldcat.org/oclc/656165833","Catalog Record")</f>
        <v>Catalog Record</v>
      </c>
      <c r="AW383" s="6" t="str">
        <f>HYPERLINK("http://www.worldcat.org/oclc/656165833","WorldCat Record")</f>
        <v>WorldCat Record</v>
      </c>
      <c r="AX383" s="3" t="s">
        <v>3988</v>
      </c>
      <c r="AY383" s="3" t="s">
        <v>3989</v>
      </c>
      <c r="AZ383" s="3" t="s">
        <v>3990</v>
      </c>
      <c r="BA383" s="3" t="s">
        <v>3990</v>
      </c>
      <c r="BB383" s="3" t="s">
        <v>3991</v>
      </c>
      <c r="BC383" s="3" t="s">
        <v>82</v>
      </c>
      <c r="BD383" s="3" t="s">
        <v>70</v>
      </c>
      <c r="BE383" s="3" t="s">
        <v>3992</v>
      </c>
      <c r="BF383" s="3" t="s">
        <v>3991</v>
      </c>
      <c r="BG383" s="3" t="s">
        <v>3993</v>
      </c>
    </row>
    <row r="384" spans="1:59" ht="60" x14ac:dyDescent="0.25">
      <c r="A384" s="2" t="s">
        <v>59</v>
      </c>
      <c r="B384" s="2" t="s">
        <v>60</v>
      </c>
      <c r="C384" s="2" t="s">
        <v>3994</v>
      </c>
      <c r="D384" s="2" t="s">
        <v>3995</v>
      </c>
      <c r="E384" s="2" t="s">
        <v>3996</v>
      </c>
      <c r="G384" s="3" t="s">
        <v>63</v>
      </c>
      <c r="I384" s="3" t="s">
        <v>63</v>
      </c>
      <c r="J384" s="3" t="s">
        <v>63</v>
      </c>
      <c r="K384" s="3" t="s">
        <v>64</v>
      </c>
      <c r="L384" s="2" t="s">
        <v>3997</v>
      </c>
      <c r="M384" s="2" t="s">
        <v>3998</v>
      </c>
      <c r="N384" s="3" t="s">
        <v>143</v>
      </c>
      <c r="P384" s="3" t="s">
        <v>90</v>
      </c>
      <c r="R384" s="3" t="s">
        <v>67</v>
      </c>
      <c r="S384" s="4">
        <v>0</v>
      </c>
      <c r="T384" s="4">
        <v>0</v>
      </c>
      <c r="W384" s="5" t="s">
        <v>69</v>
      </c>
      <c r="X384" s="5" t="s">
        <v>69</v>
      </c>
      <c r="Y384" s="4">
        <v>34</v>
      </c>
      <c r="Z384" s="4">
        <v>4</v>
      </c>
      <c r="AA384" s="4">
        <v>4</v>
      </c>
      <c r="AB384" s="4">
        <v>1</v>
      </c>
      <c r="AC384" s="4">
        <v>1</v>
      </c>
      <c r="AD384" s="4">
        <v>27</v>
      </c>
      <c r="AE384" s="4">
        <v>27</v>
      </c>
      <c r="AF384" s="4">
        <v>0</v>
      </c>
      <c r="AG384" s="4">
        <v>0</v>
      </c>
      <c r="AH384" s="4">
        <v>26</v>
      </c>
      <c r="AI384" s="4">
        <v>26</v>
      </c>
      <c r="AJ384" s="4">
        <v>2</v>
      </c>
      <c r="AK384" s="4">
        <v>2</v>
      </c>
      <c r="AL384" s="4">
        <v>21</v>
      </c>
      <c r="AM384" s="4">
        <v>21</v>
      </c>
      <c r="AN384" s="4">
        <v>0</v>
      </c>
      <c r="AO384" s="4">
        <v>0</v>
      </c>
      <c r="AP384" s="4">
        <v>2</v>
      </c>
      <c r="AQ384" s="4">
        <v>2</v>
      </c>
      <c r="AR384" s="3" t="s">
        <v>63</v>
      </c>
      <c r="AS384" s="3" t="s">
        <v>63</v>
      </c>
      <c r="AT384" s="3" t="s">
        <v>63</v>
      </c>
      <c r="AV384" s="6" t="str">
        <f>HYPERLINK("http://mcgill.on.worldcat.org/oclc/889864572","Catalog Record")</f>
        <v>Catalog Record</v>
      </c>
      <c r="AW384" s="6" t="str">
        <f>HYPERLINK("http://www.worldcat.org/oclc/889864572","WorldCat Record")</f>
        <v>WorldCat Record</v>
      </c>
      <c r="AX384" s="3" t="s">
        <v>3999</v>
      </c>
      <c r="AY384" s="3" t="s">
        <v>4000</v>
      </c>
      <c r="AZ384" s="3" t="s">
        <v>4001</v>
      </c>
      <c r="BA384" s="3" t="s">
        <v>4001</v>
      </c>
      <c r="BB384" s="3" t="s">
        <v>4002</v>
      </c>
      <c r="BC384" s="3" t="s">
        <v>82</v>
      </c>
      <c r="BD384" s="3" t="s">
        <v>70</v>
      </c>
      <c r="BE384" s="3" t="s">
        <v>4003</v>
      </c>
      <c r="BF384" s="3" t="s">
        <v>4002</v>
      </c>
      <c r="BG384" s="3" t="s">
        <v>4004</v>
      </c>
    </row>
    <row r="385" spans="1:59" ht="60" x14ac:dyDescent="0.25">
      <c r="A385" s="2" t="s">
        <v>59</v>
      </c>
      <c r="B385" s="2" t="s">
        <v>60</v>
      </c>
      <c r="C385" s="2" t="s">
        <v>4005</v>
      </c>
      <c r="D385" s="2" t="s">
        <v>4006</v>
      </c>
      <c r="E385" s="2" t="s">
        <v>4007</v>
      </c>
      <c r="G385" s="3" t="s">
        <v>63</v>
      </c>
      <c r="I385" s="3" t="s">
        <v>63</v>
      </c>
      <c r="J385" s="3" t="s">
        <v>63</v>
      </c>
      <c r="K385" s="3" t="s">
        <v>64</v>
      </c>
      <c r="L385" s="2" t="s">
        <v>4008</v>
      </c>
      <c r="M385" s="2" t="s">
        <v>4009</v>
      </c>
      <c r="N385" s="3" t="s">
        <v>2765</v>
      </c>
      <c r="P385" s="3" t="s">
        <v>66</v>
      </c>
      <c r="R385" s="3" t="s">
        <v>67</v>
      </c>
      <c r="S385" s="4">
        <v>0</v>
      </c>
      <c r="T385" s="4">
        <v>0</v>
      </c>
      <c r="W385" s="5" t="s">
        <v>69</v>
      </c>
      <c r="X385" s="5" t="s">
        <v>69</v>
      </c>
      <c r="Y385" s="4">
        <v>100</v>
      </c>
      <c r="Z385" s="4">
        <v>9</v>
      </c>
      <c r="AA385" s="4">
        <v>13</v>
      </c>
      <c r="AB385" s="4">
        <v>1</v>
      </c>
      <c r="AC385" s="4">
        <v>4</v>
      </c>
      <c r="AD385" s="4">
        <v>47</v>
      </c>
      <c r="AE385" s="4">
        <v>56</v>
      </c>
      <c r="AF385" s="4">
        <v>0</v>
      </c>
      <c r="AG385" s="4">
        <v>1</v>
      </c>
      <c r="AH385" s="4">
        <v>44</v>
      </c>
      <c r="AI385" s="4">
        <v>52</v>
      </c>
      <c r="AJ385" s="4">
        <v>6</v>
      </c>
      <c r="AK385" s="4">
        <v>8</v>
      </c>
      <c r="AL385" s="4">
        <v>30</v>
      </c>
      <c r="AM385" s="4">
        <v>35</v>
      </c>
      <c r="AN385" s="4">
        <v>0</v>
      </c>
      <c r="AO385" s="4">
        <v>0</v>
      </c>
      <c r="AP385" s="4">
        <v>6</v>
      </c>
      <c r="AQ385" s="4">
        <v>8</v>
      </c>
      <c r="AR385" s="3" t="s">
        <v>63</v>
      </c>
      <c r="AS385" s="3" t="s">
        <v>63</v>
      </c>
      <c r="AT385" s="3" t="s">
        <v>63</v>
      </c>
      <c r="AV385" s="6" t="str">
        <f>HYPERLINK("http://mcgill.on.worldcat.org/oclc/893099348","Catalog Record")</f>
        <v>Catalog Record</v>
      </c>
      <c r="AW385" s="6" t="str">
        <f>HYPERLINK("http://www.worldcat.org/oclc/893099348","WorldCat Record")</f>
        <v>WorldCat Record</v>
      </c>
      <c r="AX385" s="3" t="s">
        <v>4010</v>
      </c>
      <c r="AY385" s="3" t="s">
        <v>4011</v>
      </c>
      <c r="AZ385" s="3" t="s">
        <v>4012</v>
      </c>
      <c r="BA385" s="3" t="s">
        <v>4012</v>
      </c>
      <c r="BB385" s="3" t="s">
        <v>4013</v>
      </c>
      <c r="BC385" s="3" t="s">
        <v>82</v>
      </c>
      <c r="BD385" s="3" t="s">
        <v>70</v>
      </c>
      <c r="BE385" s="3" t="s">
        <v>4014</v>
      </c>
      <c r="BF385" s="3" t="s">
        <v>4013</v>
      </c>
      <c r="BG385" s="3" t="s">
        <v>4015</v>
      </c>
    </row>
    <row r="386" spans="1:59" ht="60" x14ac:dyDescent="0.25">
      <c r="A386" s="2" t="s">
        <v>59</v>
      </c>
      <c r="B386" s="2" t="s">
        <v>60</v>
      </c>
      <c r="C386" s="2" t="s">
        <v>4016</v>
      </c>
      <c r="D386" s="2" t="s">
        <v>4017</v>
      </c>
      <c r="E386" s="2" t="s">
        <v>4018</v>
      </c>
      <c r="G386" s="3" t="s">
        <v>63</v>
      </c>
      <c r="I386" s="3" t="s">
        <v>63</v>
      </c>
      <c r="J386" s="3" t="s">
        <v>63</v>
      </c>
      <c r="K386" s="3" t="s">
        <v>64</v>
      </c>
      <c r="L386" s="2" t="s">
        <v>4019</v>
      </c>
      <c r="M386" s="2" t="s">
        <v>4020</v>
      </c>
      <c r="N386" s="3" t="s">
        <v>261</v>
      </c>
      <c r="P386" s="3" t="s">
        <v>66</v>
      </c>
      <c r="Q386" s="2" t="s">
        <v>4021</v>
      </c>
      <c r="R386" s="3" t="s">
        <v>67</v>
      </c>
      <c r="S386" s="4">
        <v>2</v>
      </c>
      <c r="T386" s="4">
        <v>2</v>
      </c>
      <c r="U386" s="5" t="s">
        <v>4022</v>
      </c>
      <c r="V386" s="5" t="s">
        <v>4022</v>
      </c>
      <c r="W386" s="5" t="s">
        <v>69</v>
      </c>
      <c r="X386" s="5" t="s">
        <v>69</v>
      </c>
      <c r="Y386" s="4">
        <v>99</v>
      </c>
      <c r="Z386" s="4">
        <v>7</v>
      </c>
      <c r="AA386" s="4">
        <v>12</v>
      </c>
      <c r="AB386" s="4">
        <v>1</v>
      </c>
      <c r="AC386" s="4">
        <v>5</v>
      </c>
      <c r="AD386" s="4">
        <v>59</v>
      </c>
      <c r="AE386" s="4">
        <v>62</v>
      </c>
      <c r="AF386" s="4">
        <v>0</v>
      </c>
      <c r="AG386" s="4">
        <v>1</v>
      </c>
      <c r="AH386" s="4">
        <v>56</v>
      </c>
      <c r="AI386" s="4">
        <v>59</v>
      </c>
      <c r="AJ386" s="4">
        <v>6</v>
      </c>
      <c r="AK386" s="4">
        <v>8</v>
      </c>
      <c r="AL386" s="4">
        <v>35</v>
      </c>
      <c r="AM386" s="4">
        <v>35</v>
      </c>
      <c r="AN386" s="4">
        <v>0</v>
      </c>
      <c r="AO386" s="4">
        <v>0</v>
      </c>
      <c r="AP386" s="4">
        <v>6</v>
      </c>
      <c r="AQ386" s="4">
        <v>8</v>
      </c>
      <c r="AR386" s="3" t="s">
        <v>63</v>
      </c>
      <c r="AS386" s="3" t="s">
        <v>63</v>
      </c>
      <c r="AT386" s="3" t="s">
        <v>63</v>
      </c>
      <c r="AV386" s="6" t="str">
        <f>HYPERLINK("http://mcgill.on.worldcat.org/oclc/192026605","Catalog Record")</f>
        <v>Catalog Record</v>
      </c>
      <c r="AW386" s="6" t="str">
        <f>HYPERLINK("http://www.worldcat.org/oclc/192026605","WorldCat Record")</f>
        <v>WorldCat Record</v>
      </c>
      <c r="AX386" s="3" t="s">
        <v>4023</v>
      </c>
      <c r="AY386" s="3" t="s">
        <v>4024</v>
      </c>
      <c r="AZ386" s="3" t="s">
        <v>4025</v>
      </c>
      <c r="BA386" s="3" t="s">
        <v>4025</v>
      </c>
      <c r="BB386" s="3" t="s">
        <v>4026</v>
      </c>
      <c r="BC386" s="3" t="s">
        <v>82</v>
      </c>
      <c r="BD386" s="3" t="s">
        <v>70</v>
      </c>
      <c r="BE386" s="3" t="s">
        <v>4027</v>
      </c>
      <c r="BF386" s="3" t="s">
        <v>4026</v>
      </c>
      <c r="BG386" s="3" t="s">
        <v>4028</v>
      </c>
    </row>
    <row r="387" spans="1:59" ht="60" x14ac:dyDescent="0.25">
      <c r="A387" s="2" t="s">
        <v>59</v>
      </c>
      <c r="B387" s="2" t="s">
        <v>60</v>
      </c>
      <c r="C387" s="2" t="s">
        <v>4029</v>
      </c>
      <c r="D387" s="2" t="s">
        <v>4030</v>
      </c>
      <c r="E387" s="2" t="s">
        <v>4031</v>
      </c>
      <c r="F387" s="3" t="s">
        <v>4032</v>
      </c>
      <c r="G387" s="3" t="s">
        <v>62</v>
      </c>
      <c r="I387" s="3" t="s">
        <v>63</v>
      </c>
      <c r="J387" s="3" t="s">
        <v>63</v>
      </c>
      <c r="K387" s="3" t="s">
        <v>64</v>
      </c>
      <c r="L387" s="2" t="s">
        <v>4033</v>
      </c>
      <c r="M387" s="2" t="s">
        <v>4034</v>
      </c>
      <c r="N387" s="3" t="s">
        <v>204</v>
      </c>
      <c r="P387" s="3" t="s">
        <v>90</v>
      </c>
      <c r="Q387" s="2" t="s">
        <v>4035</v>
      </c>
      <c r="R387" s="3" t="s">
        <v>67</v>
      </c>
      <c r="S387" s="4">
        <v>6</v>
      </c>
      <c r="T387" s="4">
        <v>12</v>
      </c>
      <c r="U387" s="5" t="s">
        <v>4036</v>
      </c>
      <c r="V387" s="5" t="s">
        <v>4037</v>
      </c>
      <c r="W387" s="5" t="s">
        <v>69</v>
      </c>
      <c r="X387" s="5" t="s">
        <v>69</v>
      </c>
      <c r="Y387" s="4">
        <v>103</v>
      </c>
      <c r="Z387" s="4">
        <v>4</v>
      </c>
      <c r="AA387" s="4">
        <v>4</v>
      </c>
      <c r="AB387" s="4">
        <v>1</v>
      </c>
      <c r="AC387" s="4">
        <v>1</v>
      </c>
      <c r="AD387" s="4">
        <v>65</v>
      </c>
      <c r="AE387" s="4">
        <v>65</v>
      </c>
      <c r="AF387" s="4">
        <v>0</v>
      </c>
      <c r="AG387" s="4">
        <v>0</v>
      </c>
      <c r="AH387" s="4">
        <v>64</v>
      </c>
      <c r="AI387" s="4">
        <v>64</v>
      </c>
      <c r="AJ387" s="4">
        <v>3</v>
      </c>
      <c r="AK387" s="4">
        <v>3</v>
      </c>
      <c r="AL387" s="4">
        <v>44</v>
      </c>
      <c r="AM387" s="4">
        <v>44</v>
      </c>
      <c r="AN387" s="4">
        <v>0</v>
      </c>
      <c r="AO387" s="4">
        <v>0</v>
      </c>
      <c r="AP387" s="4">
        <v>3</v>
      </c>
      <c r="AQ387" s="4">
        <v>3</v>
      </c>
      <c r="AR387" s="3" t="s">
        <v>63</v>
      </c>
      <c r="AS387" s="3" t="s">
        <v>63</v>
      </c>
      <c r="AT387" s="3" t="s">
        <v>62</v>
      </c>
      <c r="AU387" s="6" t="str">
        <f>HYPERLINK("http://catalog.hathitrust.org/Record/003189731","HathiTrust Record")</f>
        <v>HathiTrust Record</v>
      </c>
      <c r="AV387" s="6" t="str">
        <f>HYPERLINK("http://mcgill.on.worldcat.org/oclc/40491509","Catalog Record")</f>
        <v>Catalog Record</v>
      </c>
      <c r="AW387" s="6" t="str">
        <f>HYPERLINK("http://www.worldcat.org/oclc/40491509","WorldCat Record")</f>
        <v>WorldCat Record</v>
      </c>
      <c r="AX387" s="3" t="s">
        <v>4038</v>
      </c>
      <c r="AY387" s="3" t="s">
        <v>4039</v>
      </c>
      <c r="AZ387" s="3" t="s">
        <v>4040</v>
      </c>
      <c r="BA387" s="3" t="s">
        <v>4040</v>
      </c>
      <c r="BB387" s="3" t="s">
        <v>4041</v>
      </c>
      <c r="BC387" s="3" t="s">
        <v>82</v>
      </c>
      <c r="BD387" s="3" t="s">
        <v>70</v>
      </c>
      <c r="BE387" s="3" t="s">
        <v>4042</v>
      </c>
      <c r="BF387" s="3" t="s">
        <v>4041</v>
      </c>
      <c r="BG387" s="3" t="s">
        <v>4043</v>
      </c>
    </row>
    <row r="388" spans="1:59" ht="60" x14ac:dyDescent="0.25">
      <c r="A388" s="2" t="s">
        <v>59</v>
      </c>
      <c r="B388" s="2" t="s">
        <v>60</v>
      </c>
      <c r="C388" s="2" t="s">
        <v>4029</v>
      </c>
      <c r="D388" s="2" t="s">
        <v>4030</v>
      </c>
      <c r="E388" s="2" t="s">
        <v>4031</v>
      </c>
      <c r="F388" s="3" t="s">
        <v>582</v>
      </c>
      <c r="G388" s="3" t="s">
        <v>62</v>
      </c>
      <c r="I388" s="3" t="s">
        <v>63</v>
      </c>
      <c r="J388" s="3" t="s">
        <v>63</v>
      </c>
      <c r="K388" s="3" t="s">
        <v>64</v>
      </c>
      <c r="L388" s="2" t="s">
        <v>4033</v>
      </c>
      <c r="M388" s="2" t="s">
        <v>4034</v>
      </c>
      <c r="N388" s="3" t="s">
        <v>204</v>
      </c>
      <c r="P388" s="3" t="s">
        <v>90</v>
      </c>
      <c r="Q388" s="2" t="s">
        <v>4035</v>
      </c>
      <c r="R388" s="3" t="s">
        <v>67</v>
      </c>
      <c r="S388" s="4">
        <v>2</v>
      </c>
      <c r="T388" s="4">
        <v>12</v>
      </c>
      <c r="U388" s="5" t="s">
        <v>4044</v>
      </c>
      <c r="V388" s="5" t="s">
        <v>4037</v>
      </c>
      <c r="W388" s="5" t="s">
        <v>69</v>
      </c>
      <c r="X388" s="5" t="s">
        <v>69</v>
      </c>
      <c r="Y388" s="4">
        <v>103</v>
      </c>
      <c r="Z388" s="4">
        <v>4</v>
      </c>
      <c r="AA388" s="4">
        <v>4</v>
      </c>
      <c r="AB388" s="4">
        <v>1</v>
      </c>
      <c r="AC388" s="4">
        <v>1</v>
      </c>
      <c r="AD388" s="4">
        <v>65</v>
      </c>
      <c r="AE388" s="4">
        <v>65</v>
      </c>
      <c r="AF388" s="4">
        <v>0</v>
      </c>
      <c r="AG388" s="4">
        <v>0</v>
      </c>
      <c r="AH388" s="4">
        <v>64</v>
      </c>
      <c r="AI388" s="4">
        <v>64</v>
      </c>
      <c r="AJ388" s="4">
        <v>3</v>
      </c>
      <c r="AK388" s="4">
        <v>3</v>
      </c>
      <c r="AL388" s="4">
        <v>44</v>
      </c>
      <c r="AM388" s="4">
        <v>44</v>
      </c>
      <c r="AN388" s="4">
        <v>0</v>
      </c>
      <c r="AO388" s="4">
        <v>0</v>
      </c>
      <c r="AP388" s="4">
        <v>3</v>
      </c>
      <c r="AQ388" s="4">
        <v>3</v>
      </c>
      <c r="AR388" s="3" t="s">
        <v>63</v>
      </c>
      <c r="AS388" s="3" t="s">
        <v>63</v>
      </c>
      <c r="AT388" s="3" t="s">
        <v>62</v>
      </c>
      <c r="AU388" s="6" t="str">
        <f>HYPERLINK("http://catalog.hathitrust.org/Record/003189731","HathiTrust Record")</f>
        <v>HathiTrust Record</v>
      </c>
      <c r="AV388" s="6" t="str">
        <f>HYPERLINK("http://mcgill.on.worldcat.org/oclc/40491509","Catalog Record")</f>
        <v>Catalog Record</v>
      </c>
      <c r="AW388" s="6" t="str">
        <f>HYPERLINK("http://www.worldcat.org/oclc/40491509","WorldCat Record")</f>
        <v>WorldCat Record</v>
      </c>
      <c r="AX388" s="3" t="s">
        <v>4038</v>
      </c>
      <c r="AY388" s="3" t="s">
        <v>4039</v>
      </c>
      <c r="AZ388" s="3" t="s">
        <v>4040</v>
      </c>
      <c r="BA388" s="3" t="s">
        <v>4040</v>
      </c>
      <c r="BB388" s="3" t="s">
        <v>4045</v>
      </c>
      <c r="BC388" s="3" t="s">
        <v>82</v>
      </c>
      <c r="BD388" s="3" t="s">
        <v>70</v>
      </c>
      <c r="BE388" s="3" t="s">
        <v>4042</v>
      </c>
      <c r="BF388" s="3" t="s">
        <v>4045</v>
      </c>
      <c r="BG388" s="3" t="s">
        <v>4046</v>
      </c>
    </row>
    <row r="389" spans="1:59" ht="60" x14ac:dyDescent="0.25">
      <c r="A389" s="2" t="s">
        <v>59</v>
      </c>
      <c r="B389" s="2" t="s">
        <v>60</v>
      </c>
      <c r="C389" s="2" t="s">
        <v>4029</v>
      </c>
      <c r="D389" s="2" t="s">
        <v>4030</v>
      </c>
      <c r="E389" s="2" t="s">
        <v>4031</v>
      </c>
      <c r="F389" s="3" t="s">
        <v>571</v>
      </c>
      <c r="G389" s="3" t="s">
        <v>62</v>
      </c>
      <c r="I389" s="3" t="s">
        <v>63</v>
      </c>
      <c r="J389" s="3" t="s">
        <v>63</v>
      </c>
      <c r="K389" s="3" t="s">
        <v>64</v>
      </c>
      <c r="L389" s="2" t="s">
        <v>4033</v>
      </c>
      <c r="M389" s="2" t="s">
        <v>4034</v>
      </c>
      <c r="N389" s="3" t="s">
        <v>204</v>
      </c>
      <c r="P389" s="3" t="s">
        <v>90</v>
      </c>
      <c r="Q389" s="2" t="s">
        <v>4035</v>
      </c>
      <c r="R389" s="3" t="s">
        <v>67</v>
      </c>
      <c r="S389" s="4">
        <v>3</v>
      </c>
      <c r="T389" s="4">
        <v>12</v>
      </c>
      <c r="U389" s="5" t="s">
        <v>4037</v>
      </c>
      <c r="V389" s="5" t="s">
        <v>4037</v>
      </c>
      <c r="W389" s="5" t="s">
        <v>69</v>
      </c>
      <c r="X389" s="5" t="s">
        <v>69</v>
      </c>
      <c r="Y389" s="4">
        <v>103</v>
      </c>
      <c r="Z389" s="4">
        <v>4</v>
      </c>
      <c r="AA389" s="4">
        <v>4</v>
      </c>
      <c r="AB389" s="4">
        <v>1</v>
      </c>
      <c r="AC389" s="4">
        <v>1</v>
      </c>
      <c r="AD389" s="4">
        <v>65</v>
      </c>
      <c r="AE389" s="4">
        <v>65</v>
      </c>
      <c r="AF389" s="4">
        <v>0</v>
      </c>
      <c r="AG389" s="4">
        <v>0</v>
      </c>
      <c r="AH389" s="4">
        <v>64</v>
      </c>
      <c r="AI389" s="4">
        <v>64</v>
      </c>
      <c r="AJ389" s="4">
        <v>3</v>
      </c>
      <c r="AK389" s="4">
        <v>3</v>
      </c>
      <c r="AL389" s="4">
        <v>44</v>
      </c>
      <c r="AM389" s="4">
        <v>44</v>
      </c>
      <c r="AN389" s="4">
        <v>0</v>
      </c>
      <c r="AO389" s="4">
        <v>0</v>
      </c>
      <c r="AP389" s="4">
        <v>3</v>
      </c>
      <c r="AQ389" s="4">
        <v>3</v>
      </c>
      <c r="AR389" s="3" t="s">
        <v>63</v>
      </c>
      <c r="AS389" s="3" t="s">
        <v>63</v>
      </c>
      <c r="AT389" s="3" t="s">
        <v>62</v>
      </c>
      <c r="AU389" s="6" t="str">
        <f>HYPERLINK("http://catalog.hathitrust.org/Record/003189731","HathiTrust Record")</f>
        <v>HathiTrust Record</v>
      </c>
      <c r="AV389" s="6" t="str">
        <f>HYPERLINK("http://mcgill.on.worldcat.org/oclc/40491509","Catalog Record")</f>
        <v>Catalog Record</v>
      </c>
      <c r="AW389" s="6" t="str">
        <f>HYPERLINK("http://www.worldcat.org/oclc/40491509","WorldCat Record")</f>
        <v>WorldCat Record</v>
      </c>
      <c r="AX389" s="3" t="s">
        <v>4038</v>
      </c>
      <c r="AY389" s="3" t="s">
        <v>4039</v>
      </c>
      <c r="AZ389" s="3" t="s">
        <v>4040</v>
      </c>
      <c r="BA389" s="3" t="s">
        <v>4040</v>
      </c>
      <c r="BB389" s="3" t="s">
        <v>4047</v>
      </c>
      <c r="BC389" s="3" t="s">
        <v>82</v>
      </c>
      <c r="BD389" s="3" t="s">
        <v>70</v>
      </c>
      <c r="BE389" s="3" t="s">
        <v>4042</v>
      </c>
      <c r="BF389" s="3" t="s">
        <v>4047</v>
      </c>
      <c r="BG389" s="3" t="s">
        <v>4048</v>
      </c>
    </row>
    <row r="390" spans="1:59" ht="60" x14ac:dyDescent="0.25">
      <c r="A390" s="2" t="s">
        <v>59</v>
      </c>
      <c r="B390" s="2" t="s">
        <v>60</v>
      </c>
      <c r="C390" s="2" t="s">
        <v>4029</v>
      </c>
      <c r="D390" s="2" t="s">
        <v>4030</v>
      </c>
      <c r="E390" s="2" t="s">
        <v>4031</v>
      </c>
      <c r="F390" s="3" t="s">
        <v>4049</v>
      </c>
      <c r="G390" s="3" t="s">
        <v>62</v>
      </c>
      <c r="I390" s="3" t="s">
        <v>63</v>
      </c>
      <c r="J390" s="3" t="s">
        <v>63</v>
      </c>
      <c r="K390" s="3" t="s">
        <v>64</v>
      </c>
      <c r="L390" s="2" t="s">
        <v>4033</v>
      </c>
      <c r="M390" s="2" t="s">
        <v>4034</v>
      </c>
      <c r="N390" s="3" t="s">
        <v>204</v>
      </c>
      <c r="P390" s="3" t="s">
        <v>90</v>
      </c>
      <c r="Q390" s="2" t="s">
        <v>4035</v>
      </c>
      <c r="R390" s="3" t="s">
        <v>67</v>
      </c>
      <c r="S390" s="4">
        <v>1</v>
      </c>
      <c r="T390" s="4">
        <v>12</v>
      </c>
      <c r="U390" s="5" t="s">
        <v>4050</v>
      </c>
      <c r="V390" s="5" t="s">
        <v>4037</v>
      </c>
      <c r="W390" s="5" t="s">
        <v>69</v>
      </c>
      <c r="X390" s="5" t="s">
        <v>69</v>
      </c>
      <c r="Y390" s="4">
        <v>103</v>
      </c>
      <c r="Z390" s="4">
        <v>4</v>
      </c>
      <c r="AA390" s="4">
        <v>4</v>
      </c>
      <c r="AB390" s="4">
        <v>1</v>
      </c>
      <c r="AC390" s="4">
        <v>1</v>
      </c>
      <c r="AD390" s="4">
        <v>65</v>
      </c>
      <c r="AE390" s="4">
        <v>65</v>
      </c>
      <c r="AF390" s="4">
        <v>0</v>
      </c>
      <c r="AG390" s="4">
        <v>0</v>
      </c>
      <c r="AH390" s="4">
        <v>64</v>
      </c>
      <c r="AI390" s="4">
        <v>64</v>
      </c>
      <c r="AJ390" s="4">
        <v>3</v>
      </c>
      <c r="AK390" s="4">
        <v>3</v>
      </c>
      <c r="AL390" s="4">
        <v>44</v>
      </c>
      <c r="AM390" s="4">
        <v>44</v>
      </c>
      <c r="AN390" s="4">
        <v>0</v>
      </c>
      <c r="AO390" s="4">
        <v>0</v>
      </c>
      <c r="AP390" s="4">
        <v>3</v>
      </c>
      <c r="AQ390" s="4">
        <v>3</v>
      </c>
      <c r="AR390" s="3" t="s">
        <v>63</v>
      </c>
      <c r="AS390" s="3" t="s">
        <v>63</v>
      </c>
      <c r="AT390" s="3" t="s">
        <v>62</v>
      </c>
      <c r="AU390" s="6" t="str">
        <f>HYPERLINK("http://catalog.hathitrust.org/Record/003189731","HathiTrust Record")</f>
        <v>HathiTrust Record</v>
      </c>
      <c r="AV390" s="6" t="str">
        <f>HYPERLINK("http://mcgill.on.worldcat.org/oclc/40491509","Catalog Record")</f>
        <v>Catalog Record</v>
      </c>
      <c r="AW390" s="6" t="str">
        <f>HYPERLINK("http://www.worldcat.org/oclc/40491509","WorldCat Record")</f>
        <v>WorldCat Record</v>
      </c>
      <c r="AX390" s="3" t="s">
        <v>4038</v>
      </c>
      <c r="AY390" s="3" t="s">
        <v>4039</v>
      </c>
      <c r="AZ390" s="3" t="s">
        <v>4040</v>
      </c>
      <c r="BA390" s="3" t="s">
        <v>4040</v>
      </c>
      <c r="BB390" s="3" t="s">
        <v>4051</v>
      </c>
      <c r="BC390" s="3" t="s">
        <v>82</v>
      </c>
      <c r="BD390" s="3" t="s">
        <v>70</v>
      </c>
      <c r="BE390" s="3" t="s">
        <v>4042</v>
      </c>
      <c r="BF390" s="3" t="s">
        <v>4051</v>
      </c>
      <c r="BG390" s="3" t="s">
        <v>4052</v>
      </c>
    </row>
    <row r="391" spans="1:59" ht="60" x14ac:dyDescent="0.25">
      <c r="A391" s="2" t="s">
        <v>59</v>
      </c>
      <c r="B391" s="2" t="s">
        <v>60</v>
      </c>
      <c r="C391" s="2" t="s">
        <v>4053</v>
      </c>
      <c r="D391" s="2" t="s">
        <v>4054</v>
      </c>
      <c r="E391" s="2" t="s">
        <v>4055</v>
      </c>
      <c r="G391" s="3" t="s">
        <v>63</v>
      </c>
      <c r="I391" s="3" t="s">
        <v>63</v>
      </c>
      <c r="J391" s="3" t="s">
        <v>62</v>
      </c>
      <c r="K391" s="3" t="s">
        <v>64</v>
      </c>
      <c r="M391" s="2" t="s">
        <v>4056</v>
      </c>
      <c r="N391" s="3" t="s">
        <v>362</v>
      </c>
      <c r="O391" s="2" t="s">
        <v>4057</v>
      </c>
      <c r="P391" s="3" t="s">
        <v>66</v>
      </c>
      <c r="R391" s="3" t="s">
        <v>67</v>
      </c>
      <c r="S391" s="4">
        <v>27</v>
      </c>
      <c r="T391" s="4">
        <v>27</v>
      </c>
      <c r="U391" s="5" t="s">
        <v>4058</v>
      </c>
      <c r="V391" s="5" t="s">
        <v>4058</v>
      </c>
      <c r="W391" s="5" t="s">
        <v>69</v>
      </c>
      <c r="X391" s="5" t="s">
        <v>69</v>
      </c>
      <c r="Y391" s="4">
        <v>233</v>
      </c>
      <c r="Z391" s="4">
        <v>19</v>
      </c>
      <c r="AA391" s="4">
        <v>46</v>
      </c>
      <c r="AB391" s="4">
        <v>2</v>
      </c>
      <c r="AC391" s="4">
        <v>6</v>
      </c>
      <c r="AD391" s="4">
        <v>87</v>
      </c>
      <c r="AE391" s="4">
        <v>136</v>
      </c>
      <c r="AF391" s="4">
        <v>0</v>
      </c>
      <c r="AG391" s="4">
        <v>4</v>
      </c>
      <c r="AH391" s="4">
        <v>79</v>
      </c>
      <c r="AI391" s="4">
        <v>109</v>
      </c>
      <c r="AJ391" s="4">
        <v>13</v>
      </c>
      <c r="AK391" s="4">
        <v>25</v>
      </c>
      <c r="AL391" s="4">
        <v>46</v>
      </c>
      <c r="AM391" s="4">
        <v>57</v>
      </c>
      <c r="AN391" s="4">
        <v>0</v>
      </c>
      <c r="AO391" s="4">
        <v>0</v>
      </c>
      <c r="AP391" s="4">
        <v>15</v>
      </c>
      <c r="AQ391" s="4">
        <v>36</v>
      </c>
      <c r="AR391" s="3" t="s">
        <v>63</v>
      </c>
      <c r="AS391" s="3" t="s">
        <v>63</v>
      </c>
      <c r="AT391" s="3" t="s">
        <v>63</v>
      </c>
      <c r="AV391" s="6" t="str">
        <f>HYPERLINK("http://mcgill.on.worldcat.org/oclc/45845562","Catalog Record")</f>
        <v>Catalog Record</v>
      </c>
      <c r="AW391" s="6" t="str">
        <f>HYPERLINK("http://www.worldcat.org/oclc/45845562","WorldCat Record")</f>
        <v>WorldCat Record</v>
      </c>
      <c r="AX391" s="3" t="s">
        <v>4059</v>
      </c>
      <c r="AY391" s="3" t="s">
        <v>4060</v>
      </c>
      <c r="AZ391" s="3" t="s">
        <v>4061</v>
      </c>
      <c r="BA391" s="3" t="s">
        <v>4061</v>
      </c>
      <c r="BB391" s="3" t="s">
        <v>4062</v>
      </c>
      <c r="BC391" s="3" t="s">
        <v>82</v>
      </c>
      <c r="BD391" s="3" t="s">
        <v>70</v>
      </c>
      <c r="BE391" s="3" t="s">
        <v>4063</v>
      </c>
      <c r="BF391" s="3" t="s">
        <v>4062</v>
      </c>
      <c r="BG391" s="3" t="s">
        <v>4064</v>
      </c>
    </row>
    <row r="392" spans="1:59" ht="60" x14ac:dyDescent="0.25">
      <c r="A392" s="2" t="s">
        <v>59</v>
      </c>
      <c r="B392" s="2" t="s">
        <v>60</v>
      </c>
      <c r="C392" s="2" t="s">
        <v>4065</v>
      </c>
      <c r="D392" s="2" t="s">
        <v>4066</v>
      </c>
      <c r="E392" s="2" t="s">
        <v>4067</v>
      </c>
      <c r="G392" s="3" t="s">
        <v>63</v>
      </c>
      <c r="I392" s="3" t="s">
        <v>63</v>
      </c>
      <c r="J392" s="3" t="s">
        <v>63</v>
      </c>
      <c r="K392" s="3" t="s">
        <v>64</v>
      </c>
      <c r="M392" s="2" t="s">
        <v>4068</v>
      </c>
      <c r="N392" s="3" t="s">
        <v>130</v>
      </c>
      <c r="P392" s="3" t="s">
        <v>66</v>
      </c>
      <c r="Q392" s="2" t="s">
        <v>2984</v>
      </c>
      <c r="R392" s="3" t="s">
        <v>67</v>
      </c>
      <c r="S392" s="4">
        <v>6</v>
      </c>
      <c r="T392" s="4">
        <v>6</v>
      </c>
      <c r="U392" s="5" t="s">
        <v>4069</v>
      </c>
      <c r="V392" s="5" t="s">
        <v>4069</v>
      </c>
      <c r="W392" s="5" t="s">
        <v>69</v>
      </c>
      <c r="X392" s="5" t="s">
        <v>69</v>
      </c>
      <c r="Y392" s="4">
        <v>77</v>
      </c>
      <c r="Z392" s="4">
        <v>11</v>
      </c>
      <c r="AA392" s="4">
        <v>44</v>
      </c>
      <c r="AB392" s="4">
        <v>1</v>
      </c>
      <c r="AC392" s="4">
        <v>6</v>
      </c>
      <c r="AD392" s="4">
        <v>43</v>
      </c>
      <c r="AE392" s="4">
        <v>89</v>
      </c>
      <c r="AF392" s="4">
        <v>0</v>
      </c>
      <c r="AG392" s="4">
        <v>2</v>
      </c>
      <c r="AH392" s="4">
        <v>40</v>
      </c>
      <c r="AI392" s="4">
        <v>72</v>
      </c>
      <c r="AJ392" s="4">
        <v>8</v>
      </c>
      <c r="AK392" s="4">
        <v>15</v>
      </c>
      <c r="AL392" s="4">
        <v>28</v>
      </c>
      <c r="AM392" s="4">
        <v>42</v>
      </c>
      <c r="AN392" s="4">
        <v>0</v>
      </c>
      <c r="AO392" s="4">
        <v>0</v>
      </c>
      <c r="AP392" s="4">
        <v>8</v>
      </c>
      <c r="AQ392" s="4">
        <v>23</v>
      </c>
      <c r="AR392" s="3" t="s">
        <v>63</v>
      </c>
      <c r="AS392" s="3" t="s">
        <v>63</v>
      </c>
      <c r="AT392" s="3" t="s">
        <v>63</v>
      </c>
      <c r="AV392" s="6" t="str">
        <f>HYPERLINK("http://mcgill.on.worldcat.org/oclc/843946301","Catalog Record")</f>
        <v>Catalog Record</v>
      </c>
      <c r="AW392" s="6" t="str">
        <f>HYPERLINK("http://www.worldcat.org/oclc/843946301","WorldCat Record")</f>
        <v>WorldCat Record</v>
      </c>
      <c r="AX392" s="3" t="s">
        <v>4070</v>
      </c>
      <c r="AY392" s="3" t="s">
        <v>4071</v>
      </c>
      <c r="AZ392" s="3" t="s">
        <v>4072</v>
      </c>
      <c r="BA392" s="3" t="s">
        <v>4072</v>
      </c>
      <c r="BB392" s="3" t="s">
        <v>4073</v>
      </c>
      <c r="BC392" s="3" t="s">
        <v>82</v>
      </c>
      <c r="BD392" s="3" t="s">
        <v>70</v>
      </c>
      <c r="BE392" s="3" t="s">
        <v>4074</v>
      </c>
      <c r="BF392" s="3" t="s">
        <v>4073</v>
      </c>
      <c r="BG392" s="3" t="s">
        <v>4075</v>
      </c>
    </row>
    <row r="393" spans="1:59" ht="60" x14ac:dyDescent="0.25">
      <c r="A393" s="2" t="s">
        <v>59</v>
      </c>
      <c r="B393" s="2" t="s">
        <v>60</v>
      </c>
      <c r="C393" s="2" t="s">
        <v>4076</v>
      </c>
      <c r="D393" s="2" t="s">
        <v>4077</v>
      </c>
      <c r="E393" s="2" t="s">
        <v>4078</v>
      </c>
      <c r="G393" s="3" t="s">
        <v>63</v>
      </c>
      <c r="I393" s="3" t="s">
        <v>63</v>
      </c>
      <c r="J393" s="3" t="s">
        <v>63</v>
      </c>
      <c r="K393" s="3" t="s">
        <v>64</v>
      </c>
      <c r="L393" s="2" t="s">
        <v>4079</v>
      </c>
      <c r="M393" s="2" t="s">
        <v>4080</v>
      </c>
      <c r="N393" s="3" t="s">
        <v>261</v>
      </c>
      <c r="P393" s="3" t="s">
        <v>66</v>
      </c>
      <c r="R393" s="3" t="s">
        <v>67</v>
      </c>
      <c r="S393" s="4">
        <v>10</v>
      </c>
      <c r="T393" s="4">
        <v>10</v>
      </c>
      <c r="U393" s="5" t="s">
        <v>4081</v>
      </c>
      <c r="V393" s="5" t="s">
        <v>4081</v>
      </c>
      <c r="W393" s="5" t="s">
        <v>69</v>
      </c>
      <c r="X393" s="5" t="s">
        <v>69</v>
      </c>
      <c r="Y393" s="4">
        <v>188</v>
      </c>
      <c r="Z393" s="4">
        <v>17</v>
      </c>
      <c r="AA393" s="4">
        <v>25</v>
      </c>
      <c r="AB393" s="4">
        <v>1</v>
      </c>
      <c r="AC393" s="4">
        <v>4</v>
      </c>
      <c r="AD393" s="4">
        <v>86</v>
      </c>
      <c r="AE393" s="4">
        <v>93</v>
      </c>
      <c r="AF393" s="4">
        <v>0</v>
      </c>
      <c r="AG393" s="4">
        <v>1</v>
      </c>
      <c r="AH393" s="4">
        <v>78</v>
      </c>
      <c r="AI393" s="4">
        <v>80</v>
      </c>
      <c r="AJ393" s="4">
        <v>14</v>
      </c>
      <c r="AK393" s="4">
        <v>17</v>
      </c>
      <c r="AL393" s="4">
        <v>48</v>
      </c>
      <c r="AM393" s="4">
        <v>49</v>
      </c>
      <c r="AN393" s="4">
        <v>1</v>
      </c>
      <c r="AO393" s="4">
        <v>1</v>
      </c>
      <c r="AP393" s="4">
        <v>14</v>
      </c>
      <c r="AQ393" s="4">
        <v>20</v>
      </c>
      <c r="AR393" s="3" t="s">
        <v>63</v>
      </c>
      <c r="AS393" s="3" t="s">
        <v>63</v>
      </c>
      <c r="AT393" s="3" t="s">
        <v>62</v>
      </c>
      <c r="AU393" s="6" t="str">
        <f>HYPERLINK("http://catalog.hathitrust.org/Record/005654168","HathiTrust Record")</f>
        <v>HathiTrust Record</v>
      </c>
      <c r="AV393" s="6" t="str">
        <f>HYPERLINK("http://mcgill.on.worldcat.org/oclc/181368779","Catalog Record")</f>
        <v>Catalog Record</v>
      </c>
      <c r="AW393" s="6" t="str">
        <f>HYPERLINK("http://www.worldcat.org/oclc/181368779","WorldCat Record")</f>
        <v>WorldCat Record</v>
      </c>
      <c r="AX393" s="3" t="s">
        <v>4082</v>
      </c>
      <c r="AY393" s="3" t="s">
        <v>4083</v>
      </c>
      <c r="AZ393" s="3" t="s">
        <v>4084</v>
      </c>
      <c r="BA393" s="3" t="s">
        <v>4084</v>
      </c>
      <c r="BB393" s="3" t="s">
        <v>4085</v>
      </c>
      <c r="BC393" s="3" t="s">
        <v>82</v>
      </c>
      <c r="BD393" s="3" t="s">
        <v>70</v>
      </c>
      <c r="BE393" s="3" t="s">
        <v>4086</v>
      </c>
      <c r="BF393" s="3" t="s">
        <v>4085</v>
      </c>
      <c r="BG393" s="3" t="s">
        <v>4087</v>
      </c>
    </row>
    <row r="394" spans="1:59" ht="60" x14ac:dyDescent="0.25">
      <c r="A394" s="2" t="s">
        <v>59</v>
      </c>
      <c r="B394" s="2" t="s">
        <v>60</v>
      </c>
      <c r="C394" s="2" t="s">
        <v>4088</v>
      </c>
      <c r="D394" s="2" t="s">
        <v>4089</v>
      </c>
      <c r="E394" s="2" t="s">
        <v>4090</v>
      </c>
      <c r="G394" s="3" t="s">
        <v>63</v>
      </c>
      <c r="I394" s="3" t="s">
        <v>63</v>
      </c>
      <c r="J394" s="3" t="s">
        <v>63</v>
      </c>
      <c r="K394" s="3" t="s">
        <v>64</v>
      </c>
      <c r="L394" s="2" t="s">
        <v>4091</v>
      </c>
      <c r="M394" s="2" t="s">
        <v>4092</v>
      </c>
      <c r="N394" s="3" t="s">
        <v>629</v>
      </c>
      <c r="P394" s="3" t="s">
        <v>548</v>
      </c>
      <c r="Q394" s="2" t="s">
        <v>4093</v>
      </c>
      <c r="R394" s="3" t="s">
        <v>67</v>
      </c>
      <c r="S394" s="4">
        <v>0</v>
      </c>
      <c r="T394" s="4">
        <v>0</v>
      </c>
      <c r="W394" s="5" t="s">
        <v>69</v>
      </c>
      <c r="X394" s="5" t="s">
        <v>69</v>
      </c>
      <c r="Y394" s="4">
        <v>24</v>
      </c>
      <c r="Z394" s="4">
        <v>8</v>
      </c>
      <c r="AA394" s="4">
        <v>15</v>
      </c>
      <c r="AB394" s="4">
        <v>1</v>
      </c>
      <c r="AC394" s="4">
        <v>6</v>
      </c>
      <c r="AD394" s="4">
        <v>14</v>
      </c>
      <c r="AE394" s="4">
        <v>21</v>
      </c>
      <c r="AF394" s="4">
        <v>0</v>
      </c>
      <c r="AG394" s="4">
        <v>4</v>
      </c>
      <c r="AH394" s="4">
        <v>12</v>
      </c>
      <c r="AI394" s="4">
        <v>14</v>
      </c>
      <c r="AJ394" s="4">
        <v>5</v>
      </c>
      <c r="AK394" s="4">
        <v>10</v>
      </c>
      <c r="AL394" s="4">
        <v>8</v>
      </c>
      <c r="AM394" s="4">
        <v>9</v>
      </c>
      <c r="AN394" s="4">
        <v>0</v>
      </c>
      <c r="AO394" s="4">
        <v>0</v>
      </c>
      <c r="AP394" s="4">
        <v>6</v>
      </c>
      <c r="AQ394" s="4">
        <v>11</v>
      </c>
      <c r="AR394" s="3" t="s">
        <v>63</v>
      </c>
      <c r="AS394" s="3" t="s">
        <v>63</v>
      </c>
      <c r="AT394" s="3" t="s">
        <v>63</v>
      </c>
      <c r="AV394" s="6" t="str">
        <f>HYPERLINK("http://mcgill.on.worldcat.org/oclc/759903292","Catalog Record")</f>
        <v>Catalog Record</v>
      </c>
      <c r="AW394" s="6" t="str">
        <f>HYPERLINK("http://www.worldcat.org/oclc/759903292","WorldCat Record")</f>
        <v>WorldCat Record</v>
      </c>
      <c r="AX394" s="3" t="s">
        <v>4094</v>
      </c>
      <c r="AY394" s="3" t="s">
        <v>4095</v>
      </c>
      <c r="AZ394" s="3" t="s">
        <v>4096</v>
      </c>
      <c r="BA394" s="3" t="s">
        <v>4096</v>
      </c>
      <c r="BB394" s="3" t="s">
        <v>4097</v>
      </c>
      <c r="BC394" s="3" t="s">
        <v>82</v>
      </c>
      <c r="BD394" s="3" t="s">
        <v>70</v>
      </c>
      <c r="BE394" s="3" t="s">
        <v>4098</v>
      </c>
      <c r="BF394" s="3" t="s">
        <v>4097</v>
      </c>
      <c r="BG394" s="3" t="s">
        <v>4099</v>
      </c>
    </row>
    <row r="395" spans="1:59" ht="60" x14ac:dyDescent="0.25">
      <c r="A395" s="2" t="s">
        <v>59</v>
      </c>
      <c r="B395" s="2" t="s">
        <v>60</v>
      </c>
      <c r="C395" s="2" t="s">
        <v>4100</v>
      </c>
      <c r="D395" s="2" t="s">
        <v>4101</v>
      </c>
      <c r="E395" s="2" t="s">
        <v>4102</v>
      </c>
      <c r="G395" s="3" t="s">
        <v>63</v>
      </c>
      <c r="I395" s="3" t="s">
        <v>62</v>
      </c>
      <c r="J395" s="3" t="s">
        <v>63</v>
      </c>
      <c r="K395" s="3" t="s">
        <v>64</v>
      </c>
      <c r="L395" s="2" t="s">
        <v>4103</v>
      </c>
      <c r="M395" s="2" t="s">
        <v>4104</v>
      </c>
      <c r="N395" s="3" t="s">
        <v>455</v>
      </c>
      <c r="P395" s="3" t="s">
        <v>66</v>
      </c>
      <c r="R395" s="3" t="s">
        <v>67</v>
      </c>
      <c r="S395" s="4">
        <v>1</v>
      </c>
      <c r="T395" s="4">
        <v>76</v>
      </c>
      <c r="U395" s="5" t="s">
        <v>4105</v>
      </c>
      <c r="V395" s="5" t="s">
        <v>4106</v>
      </c>
      <c r="W395" s="5" t="s">
        <v>69</v>
      </c>
      <c r="X395" s="5" t="s">
        <v>69</v>
      </c>
      <c r="Y395" s="4">
        <v>821</v>
      </c>
      <c r="Z395" s="4">
        <v>44</v>
      </c>
      <c r="AA395" s="4">
        <v>44</v>
      </c>
      <c r="AB395" s="4">
        <v>1</v>
      </c>
      <c r="AC395" s="4">
        <v>1</v>
      </c>
      <c r="AD395" s="4">
        <v>137</v>
      </c>
      <c r="AE395" s="4">
        <v>137</v>
      </c>
      <c r="AF395" s="4">
        <v>0</v>
      </c>
      <c r="AG395" s="4">
        <v>0</v>
      </c>
      <c r="AH395" s="4">
        <v>111</v>
      </c>
      <c r="AI395" s="4">
        <v>111</v>
      </c>
      <c r="AJ395" s="4">
        <v>23</v>
      </c>
      <c r="AK395" s="4">
        <v>23</v>
      </c>
      <c r="AL395" s="4">
        <v>60</v>
      </c>
      <c r="AM395" s="4">
        <v>60</v>
      </c>
      <c r="AN395" s="4">
        <v>0</v>
      </c>
      <c r="AO395" s="4">
        <v>0</v>
      </c>
      <c r="AP395" s="4">
        <v>34</v>
      </c>
      <c r="AQ395" s="4">
        <v>34</v>
      </c>
      <c r="AR395" s="3" t="s">
        <v>63</v>
      </c>
      <c r="AS395" s="3" t="s">
        <v>63</v>
      </c>
      <c r="AT395" s="3" t="s">
        <v>62</v>
      </c>
      <c r="AU395" s="6" t="str">
        <f>HYPERLINK("http://catalog.hathitrust.org/Record/000332854","HathiTrust Record")</f>
        <v>HathiTrust Record</v>
      </c>
      <c r="AV395" s="6" t="str">
        <f>HYPERLINK("http://mcgill.on.worldcat.org/oclc/10727282","Catalog Record")</f>
        <v>Catalog Record</v>
      </c>
      <c r="AW395" s="6" t="str">
        <f>HYPERLINK("http://www.worldcat.org/oclc/10727282","WorldCat Record")</f>
        <v>WorldCat Record</v>
      </c>
      <c r="AX395" s="3" t="s">
        <v>4107</v>
      </c>
      <c r="AY395" s="3" t="s">
        <v>4108</v>
      </c>
      <c r="AZ395" s="3" t="s">
        <v>4109</v>
      </c>
      <c r="BA395" s="3" t="s">
        <v>4109</v>
      </c>
      <c r="BB395" s="3" t="s">
        <v>4110</v>
      </c>
      <c r="BC395" s="3" t="s">
        <v>82</v>
      </c>
      <c r="BD395" s="3" t="s">
        <v>70</v>
      </c>
      <c r="BE395" s="3" t="s">
        <v>4111</v>
      </c>
      <c r="BF395" s="3" t="s">
        <v>4110</v>
      </c>
      <c r="BG395" s="3" t="s">
        <v>4112</v>
      </c>
    </row>
    <row r="396" spans="1:59" ht="60" x14ac:dyDescent="0.25">
      <c r="A396" s="2" t="s">
        <v>59</v>
      </c>
      <c r="B396" s="2" t="s">
        <v>60</v>
      </c>
      <c r="C396" s="2" t="s">
        <v>4100</v>
      </c>
      <c r="D396" s="2" t="s">
        <v>4101</v>
      </c>
      <c r="E396" s="2" t="s">
        <v>4102</v>
      </c>
      <c r="G396" s="3" t="s">
        <v>63</v>
      </c>
      <c r="I396" s="3" t="s">
        <v>62</v>
      </c>
      <c r="J396" s="3" t="s">
        <v>63</v>
      </c>
      <c r="K396" s="3" t="s">
        <v>64</v>
      </c>
      <c r="L396" s="2" t="s">
        <v>4103</v>
      </c>
      <c r="M396" s="2" t="s">
        <v>4104</v>
      </c>
      <c r="N396" s="3" t="s">
        <v>455</v>
      </c>
      <c r="P396" s="3" t="s">
        <v>66</v>
      </c>
      <c r="R396" s="3" t="s">
        <v>67</v>
      </c>
      <c r="S396" s="4">
        <v>37</v>
      </c>
      <c r="T396" s="4">
        <v>76</v>
      </c>
      <c r="U396" s="5" t="s">
        <v>4113</v>
      </c>
      <c r="V396" s="5" t="s">
        <v>4106</v>
      </c>
      <c r="W396" s="5" t="s">
        <v>69</v>
      </c>
      <c r="X396" s="5" t="s">
        <v>69</v>
      </c>
      <c r="Y396" s="4">
        <v>821</v>
      </c>
      <c r="Z396" s="4">
        <v>44</v>
      </c>
      <c r="AA396" s="4">
        <v>44</v>
      </c>
      <c r="AB396" s="4">
        <v>1</v>
      </c>
      <c r="AC396" s="4">
        <v>1</v>
      </c>
      <c r="AD396" s="4">
        <v>137</v>
      </c>
      <c r="AE396" s="4">
        <v>137</v>
      </c>
      <c r="AF396" s="4">
        <v>0</v>
      </c>
      <c r="AG396" s="4">
        <v>0</v>
      </c>
      <c r="AH396" s="4">
        <v>111</v>
      </c>
      <c r="AI396" s="4">
        <v>111</v>
      </c>
      <c r="AJ396" s="4">
        <v>23</v>
      </c>
      <c r="AK396" s="4">
        <v>23</v>
      </c>
      <c r="AL396" s="4">
        <v>60</v>
      </c>
      <c r="AM396" s="4">
        <v>60</v>
      </c>
      <c r="AN396" s="4">
        <v>0</v>
      </c>
      <c r="AO396" s="4">
        <v>0</v>
      </c>
      <c r="AP396" s="4">
        <v>34</v>
      </c>
      <c r="AQ396" s="4">
        <v>34</v>
      </c>
      <c r="AR396" s="3" t="s">
        <v>63</v>
      </c>
      <c r="AS396" s="3" t="s">
        <v>63</v>
      </c>
      <c r="AT396" s="3" t="s">
        <v>62</v>
      </c>
      <c r="AU396" s="6" t="str">
        <f>HYPERLINK("http://catalog.hathitrust.org/Record/000332854","HathiTrust Record")</f>
        <v>HathiTrust Record</v>
      </c>
      <c r="AV396" s="6" t="str">
        <f>HYPERLINK("http://mcgill.on.worldcat.org/oclc/10727282","Catalog Record")</f>
        <v>Catalog Record</v>
      </c>
      <c r="AW396" s="6" t="str">
        <f>HYPERLINK("http://www.worldcat.org/oclc/10727282","WorldCat Record")</f>
        <v>WorldCat Record</v>
      </c>
      <c r="AX396" s="3" t="s">
        <v>4107</v>
      </c>
      <c r="AY396" s="3" t="s">
        <v>4108</v>
      </c>
      <c r="AZ396" s="3" t="s">
        <v>4109</v>
      </c>
      <c r="BA396" s="3" t="s">
        <v>4109</v>
      </c>
      <c r="BB396" s="3" t="s">
        <v>4114</v>
      </c>
      <c r="BC396" s="3" t="s">
        <v>82</v>
      </c>
      <c r="BD396" s="3" t="s">
        <v>70</v>
      </c>
      <c r="BE396" s="3" t="s">
        <v>4111</v>
      </c>
      <c r="BF396" s="3" t="s">
        <v>4114</v>
      </c>
      <c r="BG396" s="3" t="s">
        <v>4115</v>
      </c>
    </row>
    <row r="397" spans="1:59" ht="60" x14ac:dyDescent="0.25">
      <c r="A397" s="2" t="s">
        <v>59</v>
      </c>
      <c r="B397" s="2" t="s">
        <v>60</v>
      </c>
      <c r="C397" s="2" t="s">
        <v>4100</v>
      </c>
      <c r="D397" s="2" t="s">
        <v>4101</v>
      </c>
      <c r="E397" s="2" t="s">
        <v>4102</v>
      </c>
      <c r="G397" s="3" t="s">
        <v>63</v>
      </c>
      <c r="I397" s="3" t="s">
        <v>62</v>
      </c>
      <c r="J397" s="3" t="s">
        <v>63</v>
      </c>
      <c r="K397" s="3" t="s">
        <v>64</v>
      </c>
      <c r="L397" s="2" t="s">
        <v>4103</v>
      </c>
      <c r="M397" s="2" t="s">
        <v>4104</v>
      </c>
      <c r="N397" s="3" t="s">
        <v>455</v>
      </c>
      <c r="P397" s="3" t="s">
        <v>66</v>
      </c>
      <c r="R397" s="3" t="s">
        <v>67</v>
      </c>
      <c r="S397" s="4">
        <v>38</v>
      </c>
      <c r="T397" s="4">
        <v>76</v>
      </c>
      <c r="U397" s="5" t="s">
        <v>4106</v>
      </c>
      <c r="V397" s="5" t="s">
        <v>4106</v>
      </c>
      <c r="W397" s="5" t="s">
        <v>69</v>
      </c>
      <c r="X397" s="5" t="s">
        <v>69</v>
      </c>
      <c r="Y397" s="4">
        <v>821</v>
      </c>
      <c r="Z397" s="4">
        <v>44</v>
      </c>
      <c r="AA397" s="4">
        <v>44</v>
      </c>
      <c r="AB397" s="4">
        <v>1</v>
      </c>
      <c r="AC397" s="4">
        <v>1</v>
      </c>
      <c r="AD397" s="4">
        <v>137</v>
      </c>
      <c r="AE397" s="4">
        <v>137</v>
      </c>
      <c r="AF397" s="4">
        <v>0</v>
      </c>
      <c r="AG397" s="4">
        <v>0</v>
      </c>
      <c r="AH397" s="4">
        <v>111</v>
      </c>
      <c r="AI397" s="4">
        <v>111</v>
      </c>
      <c r="AJ397" s="4">
        <v>23</v>
      </c>
      <c r="AK397" s="4">
        <v>23</v>
      </c>
      <c r="AL397" s="4">
        <v>60</v>
      </c>
      <c r="AM397" s="4">
        <v>60</v>
      </c>
      <c r="AN397" s="4">
        <v>0</v>
      </c>
      <c r="AO397" s="4">
        <v>0</v>
      </c>
      <c r="AP397" s="4">
        <v>34</v>
      </c>
      <c r="AQ397" s="4">
        <v>34</v>
      </c>
      <c r="AR397" s="3" t="s">
        <v>63</v>
      </c>
      <c r="AS397" s="3" t="s">
        <v>63</v>
      </c>
      <c r="AT397" s="3" t="s">
        <v>62</v>
      </c>
      <c r="AU397" s="6" t="str">
        <f>HYPERLINK("http://catalog.hathitrust.org/Record/000332854","HathiTrust Record")</f>
        <v>HathiTrust Record</v>
      </c>
      <c r="AV397" s="6" t="str">
        <f>HYPERLINK("http://mcgill.on.worldcat.org/oclc/10727282","Catalog Record")</f>
        <v>Catalog Record</v>
      </c>
      <c r="AW397" s="6" t="str">
        <f>HYPERLINK("http://www.worldcat.org/oclc/10727282","WorldCat Record")</f>
        <v>WorldCat Record</v>
      </c>
      <c r="AX397" s="3" t="s">
        <v>4107</v>
      </c>
      <c r="AY397" s="3" t="s">
        <v>4108</v>
      </c>
      <c r="AZ397" s="3" t="s">
        <v>4109</v>
      </c>
      <c r="BA397" s="3" t="s">
        <v>4109</v>
      </c>
      <c r="BB397" s="3" t="s">
        <v>4116</v>
      </c>
      <c r="BC397" s="3" t="s">
        <v>82</v>
      </c>
      <c r="BD397" s="3" t="s">
        <v>70</v>
      </c>
      <c r="BE397" s="3" t="s">
        <v>4111</v>
      </c>
      <c r="BF397" s="3" t="s">
        <v>4116</v>
      </c>
      <c r="BG397" s="3" t="s">
        <v>4117</v>
      </c>
    </row>
    <row r="398" spans="1:59" ht="60" x14ac:dyDescent="0.25">
      <c r="A398" s="2" t="s">
        <v>59</v>
      </c>
      <c r="B398" s="2" t="s">
        <v>60</v>
      </c>
      <c r="C398" s="2" t="s">
        <v>4118</v>
      </c>
      <c r="D398" s="2" t="s">
        <v>4119</v>
      </c>
      <c r="E398" s="2" t="s">
        <v>4120</v>
      </c>
      <c r="G398" s="3" t="s">
        <v>63</v>
      </c>
      <c r="I398" s="3" t="s">
        <v>63</v>
      </c>
      <c r="J398" s="3" t="s">
        <v>63</v>
      </c>
      <c r="K398" s="3" t="s">
        <v>64</v>
      </c>
      <c r="M398" s="2" t="s">
        <v>4121</v>
      </c>
      <c r="N398" s="3" t="s">
        <v>1113</v>
      </c>
      <c r="P398" s="3" t="s">
        <v>548</v>
      </c>
      <c r="Q398" s="2" t="s">
        <v>4122</v>
      </c>
      <c r="R398" s="3" t="s">
        <v>67</v>
      </c>
      <c r="S398" s="4">
        <v>37</v>
      </c>
      <c r="T398" s="4">
        <v>37</v>
      </c>
      <c r="U398" s="5" t="s">
        <v>2066</v>
      </c>
      <c r="V398" s="5" t="s">
        <v>2066</v>
      </c>
      <c r="W398" s="5" t="s">
        <v>69</v>
      </c>
      <c r="X398" s="5" t="s">
        <v>69</v>
      </c>
      <c r="Y398" s="4">
        <v>40</v>
      </c>
      <c r="Z398" s="4">
        <v>1</v>
      </c>
      <c r="AA398" s="4">
        <v>9</v>
      </c>
      <c r="AB398" s="4">
        <v>1</v>
      </c>
      <c r="AC398" s="4">
        <v>5</v>
      </c>
      <c r="AD398" s="4">
        <v>22</v>
      </c>
      <c r="AE398" s="4">
        <v>32</v>
      </c>
      <c r="AF398" s="4">
        <v>0</v>
      </c>
      <c r="AG398" s="4">
        <v>3</v>
      </c>
      <c r="AH398" s="4">
        <v>20</v>
      </c>
      <c r="AI398" s="4">
        <v>28</v>
      </c>
      <c r="AJ398" s="4">
        <v>0</v>
      </c>
      <c r="AK398" s="4">
        <v>6</v>
      </c>
      <c r="AL398" s="4">
        <v>16</v>
      </c>
      <c r="AM398" s="4">
        <v>21</v>
      </c>
      <c r="AN398" s="4">
        <v>0</v>
      </c>
      <c r="AO398" s="4">
        <v>0</v>
      </c>
      <c r="AP398" s="4">
        <v>0</v>
      </c>
      <c r="AQ398" s="4">
        <v>5</v>
      </c>
      <c r="AR398" s="3" t="s">
        <v>63</v>
      </c>
      <c r="AS398" s="3" t="s">
        <v>63</v>
      </c>
      <c r="AT398" s="3" t="s">
        <v>62</v>
      </c>
      <c r="AU398" s="6" t="str">
        <f>HYPERLINK("http://catalog.hathitrust.org/Record/003946314","HathiTrust Record")</f>
        <v>HathiTrust Record</v>
      </c>
      <c r="AV398" s="6" t="str">
        <f>HYPERLINK("http://mcgill.on.worldcat.org/oclc/37648708","Catalog Record")</f>
        <v>Catalog Record</v>
      </c>
      <c r="AW398" s="6" t="str">
        <f>HYPERLINK("http://www.worldcat.org/oclc/37648708","WorldCat Record")</f>
        <v>WorldCat Record</v>
      </c>
      <c r="AX398" s="3" t="s">
        <v>4123</v>
      </c>
      <c r="AY398" s="3" t="s">
        <v>4124</v>
      </c>
      <c r="AZ398" s="3" t="s">
        <v>4125</v>
      </c>
      <c r="BA398" s="3" t="s">
        <v>4125</v>
      </c>
      <c r="BB398" s="3" t="s">
        <v>4126</v>
      </c>
      <c r="BC398" s="3" t="s">
        <v>82</v>
      </c>
      <c r="BD398" s="3" t="s">
        <v>70</v>
      </c>
      <c r="BE398" s="3" t="s">
        <v>4127</v>
      </c>
      <c r="BF398" s="3" t="s">
        <v>4126</v>
      </c>
      <c r="BG398" s="3" t="s">
        <v>4128</v>
      </c>
    </row>
    <row r="399" spans="1:59" ht="60" x14ac:dyDescent="0.25">
      <c r="A399" s="2" t="s">
        <v>59</v>
      </c>
      <c r="B399" s="2" t="s">
        <v>60</v>
      </c>
      <c r="C399" s="2" t="s">
        <v>4129</v>
      </c>
      <c r="D399" s="2" t="s">
        <v>4130</v>
      </c>
      <c r="E399" s="2" t="s">
        <v>4131</v>
      </c>
      <c r="G399" s="3" t="s">
        <v>63</v>
      </c>
      <c r="I399" s="3" t="s">
        <v>63</v>
      </c>
      <c r="J399" s="3" t="s">
        <v>62</v>
      </c>
      <c r="K399" s="3" t="s">
        <v>64</v>
      </c>
      <c r="L399" s="2" t="s">
        <v>4132</v>
      </c>
      <c r="M399" s="2" t="s">
        <v>4133</v>
      </c>
      <c r="N399" s="3" t="s">
        <v>2103</v>
      </c>
      <c r="O399" s="2" t="s">
        <v>1856</v>
      </c>
      <c r="P399" s="3" t="s">
        <v>66</v>
      </c>
      <c r="Q399" s="2" t="s">
        <v>4134</v>
      </c>
      <c r="R399" s="3" t="s">
        <v>67</v>
      </c>
      <c r="S399" s="4">
        <v>38</v>
      </c>
      <c r="T399" s="4">
        <v>38</v>
      </c>
      <c r="U399" s="5" t="s">
        <v>4135</v>
      </c>
      <c r="V399" s="5" t="s">
        <v>4135</v>
      </c>
      <c r="W399" s="5" t="s">
        <v>69</v>
      </c>
      <c r="X399" s="5" t="s">
        <v>69</v>
      </c>
      <c r="Y399" s="4">
        <v>294</v>
      </c>
      <c r="Z399" s="4">
        <v>28</v>
      </c>
      <c r="AA399" s="4">
        <v>79</v>
      </c>
      <c r="AB399" s="4">
        <v>1</v>
      </c>
      <c r="AC399" s="4">
        <v>18</v>
      </c>
      <c r="AD399" s="4">
        <v>94</v>
      </c>
      <c r="AE399" s="4">
        <v>158</v>
      </c>
      <c r="AF399" s="4">
        <v>0</v>
      </c>
      <c r="AG399" s="4">
        <v>9</v>
      </c>
      <c r="AH399" s="4">
        <v>81</v>
      </c>
      <c r="AI399" s="4">
        <v>111</v>
      </c>
      <c r="AJ399" s="4">
        <v>14</v>
      </c>
      <c r="AK399" s="4">
        <v>26</v>
      </c>
      <c r="AL399" s="4">
        <v>43</v>
      </c>
      <c r="AM399" s="4">
        <v>59</v>
      </c>
      <c r="AN399" s="4">
        <v>0</v>
      </c>
      <c r="AO399" s="4">
        <v>5</v>
      </c>
      <c r="AP399" s="4">
        <v>21</v>
      </c>
      <c r="AQ399" s="4">
        <v>54</v>
      </c>
      <c r="AR399" s="3" t="s">
        <v>63</v>
      </c>
      <c r="AS399" s="3" t="s">
        <v>63</v>
      </c>
      <c r="AT399" s="3" t="s">
        <v>63</v>
      </c>
      <c r="AV399" s="6" t="str">
        <f>HYPERLINK("http://mcgill.on.worldcat.org/oclc/49593835","Catalog Record")</f>
        <v>Catalog Record</v>
      </c>
      <c r="AW399" s="6" t="str">
        <f>HYPERLINK("http://www.worldcat.org/oclc/49593835","WorldCat Record")</f>
        <v>WorldCat Record</v>
      </c>
      <c r="AX399" s="3" t="s">
        <v>4136</v>
      </c>
      <c r="AY399" s="3" t="s">
        <v>4137</v>
      </c>
      <c r="AZ399" s="3" t="s">
        <v>4138</v>
      </c>
      <c r="BA399" s="3" t="s">
        <v>4138</v>
      </c>
      <c r="BB399" s="3" t="s">
        <v>4139</v>
      </c>
      <c r="BC399" s="3" t="s">
        <v>82</v>
      </c>
      <c r="BD399" s="3" t="s">
        <v>70</v>
      </c>
      <c r="BE399" s="3" t="s">
        <v>4140</v>
      </c>
      <c r="BF399" s="3" t="s">
        <v>4139</v>
      </c>
      <c r="BG399" s="3" t="s">
        <v>4141</v>
      </c>
    </row>
    <row r="400" spans="1:59" ht="60" x14ac:dyDescent="0.25">
      <c r="A400" s="2" t="s">
        <v>59</v>
      </c>
      <c r="B400" s="2" t="s">
        <v>60</v>
      </c>
      <c r="C400" s="2" t="s">
        <v>4142</v>
      </c>
      <c r="D400" s="2" t="s">
        <v>4143</v>
      </c>
      <c r="E400" s="2" t="s">
        <v>4144</v>
      </c>
      <c r="G400" s="3" t="s">
        <v>63</v>
      </c>
      <c r="I400" s="3" t="s">
        <v>63</v>
      </c>
      <c r="J400" s="3" t="s">
        <v>63</v>
      </c>
      <c r="K400" s="3" t="s">
        <v>64</v>
      </c>
      <c r="L400" s="2" t="s">
        <v>4145</v>
      </c>
      <c r="M400" s="2" t="s">
        <v>4146</v>
      </c>
      <c r="N400" s="3" t="s">
        <v>313</v>
      </c>
      <c r="P400" s="3" t="s">
        <v>90</v>
      </c>
      <c r="R400" s="3" t="s">
        <v>67</v>
      </c>
      <c r="S400" s="4">
        <v>0</v>
      </c>
      <c r="T400" s="4">
        <v>0</v>
      </c>
      <c r="W400" s="5" t="s">
        <v>69</v>
      </c>
      <c r="X400" s="5" t="s">
        <v>69</v>
      </c>
      <c r="Y400" s="4">
        <v>40</v>
      </c>
      <c r="Z400" s="4">
        <v>4</v>
      </c>
      <c r="AA400" s="4">
        <v>4</v>
      </c>
      <c r="AB400" s="4">
        <v>1</v>
      </c>
      <c r="AC400" s="4">
        <v>1</v>
      </c>
      <c r="AD400" s="4">
        <v>31</v>
      </c>
      <c r="AE400" s="4">
        <v>31</v>
      </c>
      <c r="AF400" s="4">
        <v>0</v>
      </c>
      <c r="AG400" s="4">
        <v>0</v>
      </c>
      <c r="AH400" s="4">
        <v>30</v>
      </c>
      <c r="AI400" s="4">
        <v>30</v>
      </c>
      <c r="AJ400" s="4">
        <v>2</v>
      </c>
      <c r="AK400" s="4">
        <v>2</v>
      </c>
      <c r="AL400" s="4">
        <v>26</v>
      </c>
      <c r="AM400" s="4">
        <v>26</v>
      </c>
      <c r="AN400" s="4">
        <v>0</v>
      </c>
      <c r="AO400" s="4">
        <v>0</v>
      </c>
      <c r="AP400" s="4">
        <v>2</v>
      </c>
      <c r="AQ400" s="4">
        <v>2</v>
      </c>
      <c r="AR400" s="3" t="s">
        <v>63</v>
      </c>
      <c r="AS400" s="3" t="s">
        <v>63</v>
      </c>
      <c r="AT400" s="3" t="s">
        <v>62</v>
      </c>
      <c r="AU400" s="6" t="str">
        <f>HYPERLINK("http://catalog.hathitrust.org/Record/008906083","HathiTrust Record")</f>
        <v>HathiTrust Record</v>
      </c>
      <c r="AV400" s="6" t="str">
        <f>HYPERLINK("http://mcgill.on.worldcat.org/oclc/635865112","Catalog Record")</f>
        <v>Catalog Record</v>
      </c>
      <c r="AW400" s="6" t="str">
        <f>HYPERLINK("http://www.worldcat.org/oclc/635865112","WorldCat Record")</f>
        <v>WorldCat Record</v>
      </c>
      <c r="AX400" s="3" t="s">
        <v>4147</v>
      </c>
      <c r="AY400" s="3" t="s">
        <v>4148</v>
      </c>
      <c r="AZ400" s="3" t="s">
        <v>4149</v>
      </c>
      <c r="BA400" s="3" t="s">
        <v>4149</v>
      </c>
      <c r="BB400" s="3" t="s">
        <v>4150</v>
      </c>
      <c r="BC400" s="3" t="s">
        <v>82</v>
      </c>
      <c r="BD400" s="3" t="s">
        <v>70</v>
      </c>
      <c r="BE400" s="3" t="s">
        <v>4151</v>
      </c>
      <c r="BF400" s="3" t="s">
        <v>4150</v>
      </c>
      <c r="BG400" s="3" t="s">
        <v>4152</v>
      </c>
    </row>
    <row r="401" spans="1:59" ht="60" x14ac:dyDescent="0.25">
      <c r="A401" s="2" t="s">
        <v>59</v>
      </c>
      <c r="B401" s="2" t="s">
        <v>60</v>
      </c>
      <c r="C401" s="2" t="s">
        <v>4153</v>
      </c>
      <c r="D401" s="2" t="s">
        <v>4154</v>
      </c>
      <c r="E401" s="2" t="s">
        <v>4155</v>
      </c>
      <c r="G401" s="3" t="s">
        <v>63</v>
      </c>
      <c r="I401" s="3" t="s">
        <v>63</v>
      </c>
      <c r="J401" s="3" t="s">
        <v>63</v>
      </c>
      <c r="K401" s="3" t="s">
        <v>64</v>
      </c>
      <c r="L401" s="2" t="s">
        <v>4156</v>
      </c>
      <c r="M401" s="2" t="s">
        <v>4157</v>
      </c>
      <c r="N401" s="3" t="s">
        <v>668</v>
      </c>
      <c r="P401" s="3" t="s">
        <v>66</v>
      </c>
      <c r="R401" s="3" t="s">
        <v>67</v>
      </c>
      <c r="S401" s="4">
        <v>69</v>
      </c>
      <c r="T401" s="4">
        <v>69</v>
      </c>
      <c r="U401" s="5" t="s">
        <v>4158</v>
      </c>
      <c r="V401" s="5" t="s">
        <v>4158</v>
      </c>
      <c r="W401" s="5" t="s">
        <v>69</v>
      </c>
      <c r="X401" s="5" t="s">
        <v>69</v>
      </c>
      <c r="Y401" s="4">
        <v>669</v>
      </c>
      <c r="Z401" s="4">
        <v>48</v>
      </c>
      <c r="AA401" s="4">
        <v>50</v>
      </c>
      <c r="AB401" s="4">
        <v>2</v>
      </c>
      <c r="AC401" s="4">
        <v>3</v>
      </c>
      <c r="AD401" s="4">
        <v>132</v>
      </c>
      <c r="AE401" s="4">
        <v>134</v>
      </c>
      <c r="AF401" s="4">
        <v>1</v>
      </c>
      <c r="AG401" s="4">
        <v>2</v>
      </c>
      <c r="AH401" s="4">
        <v>105</v>
      </c>
      <c r="AI401" s="4">
        <v>105</v>
      </c>
      <c r="AJ401" s="4">
        <v>21</v>
      </c>
      <c r="AK401" s="4">
        <v>22</v>
      </c>
      <c r="AL401" s="4">
        <v>58</v>
      </c>
      <c r="AM401" s="4">
        <v>58</v>
      </c>
      <c r="AN401" s="4">
        <v>0</v>
      </c>
      <c r="AO401" s="4">
        <v>0</v>
      </c>
      <c r="AP401" s="4">
        <v>36</v>
      </c>
      <c r="AQ401" s="4">
        <v>37</v>
      </c>
      <c r="AR401" s="3" t="s">
        <v>63</v>
      </c>
      <c r="AS401" s="3" t="s">
        <v>63</v>
      </c>
      <c r="AT401" s="3" t="s">
        <v>63</v>
      </c>
      <c r="AV401" s="6" t="str">
        <f>HYPERLINK("http://mcgill.on.worldcat.org/oclc/20799043","Catalog Record")</f>
        <v>Catalog Record</v>
      </c>
      <c r="AW401" s="6" t="str">
        <f>HYPERLINK("http://www.worldcat.org/oclc/20799043","WorldCat Record")</f>
        <v>WorldCat Record</v>
      </c>
      <c r="AX401" s="3" t="s">
        <v>4159</v>
      </c>
      <c r="AY401" s="3" t="s">
        <v>4160</v>
      </c>
      <c r="AZ401" s="3" t="s">
        <v>4161</v>
      </c>
      <c r="BA401" s="3" t="s">
        <v>4161</v>
      </c>
      <c r="BB401" s="3" t="s">
        <v>4162</v>
      </c>
      <c r="BC401" s="3" t="s">
        <v>82</v>
      </c>
      <c r="BD401" s="3" t="s">
        <v>70</v>
      </c>
      <c r="BE401" s="3" t="s">
        <v>4163</v>
      </c>
      <c r="BF401" s="3" t="s">
        <v>4162</v>
      </c>
      <c r="BG401" s="3" t="s">
        <v>4164</v>
      </c>
    </row>
    <row r="402" spans="1:59" ht="60" x14ac:dyDescent="0.25">
      <c r="A402" s="2" t="s">
        <v>59</v>
      </c>
      <c r="B402" s="2" t="s">
        <v>60</v>
      </c>
      <c r="C402" s="2" t="s">
        <v>4165</v>
      </c>
      <c r="D402" s="2" t="s">
        <v>4166</v>
      </c>
      <c r="E402" s="2" t="s">
        <v>4167</v>
      </c>
      <c r="F402" s="3" t="s">
        <v>4168</v>
      </c>
      <c r="G402" s="3" t="s">
        <v>62</v>
      </c>
      <c r="I402" s="3" t="s">
        <v>63</v>
      </c>
      <c r="J402" s="3" t="s">
        <v>63</v>
      </c>
      <c r="K402" s="3" t="s">
        <v>64</v>
      </c>
      <c r="M402" s="2" t="s">
        <v>4169</v>
      </c>
      <c r="N402" s="3" t="s">
        <v>1226</v>
      </c>
      <c r="P402" s="3" t="s">
        <v>66</v>
      </c>
      <c r="Q402" s="2" t="s">
        <v>4170</v>
      </c>
      <c r="R402" s="3" t="s">
        <v>67</v>
      </c>
      <c r="S402" s="4">
        <v>7</v>
      </c>
      <c r="T402" s="4">
        <v>31</v>
      </c>
      <c r="U402" s="5" t="s">
        <v>4171</v>
      </c>
      <c r="V402" s="5" t="s">
        <v>4172</v>
      </c>
      <c r="W402" s="5" t="s">
        <v>69</v>
      </c>
      <c r="X402" s="5" t="s">
        <v>69</v>
      </c>
      <c r="Y402" s="4">
        <v>80</v>
      </c>
      <c r="Z402" s="4">
        <v>7</v>
      </c>
      <c r="AA402" s="4">
        <v>11</v>
      </c>
      <c r="AB402" s="4">
        <v>1</v>
      </c>
      <c r="AC402" s="4">
        <v>1</v>
      </c>
      <c r="AD402" s="4">
        <v>33</v>
      </c>
      <c r="AE402" s="4">
        <v>40</v>
      </c>
      <c r="AF402" s="4">
        <v>0</v>
      </c>
      <c r="AG402" s="4">
        <v>0</v>
      </c>
      <c r="AH402" s="4">
        <v>31</v>
      </c>
      <c r="AI402" s="4">
        <v>35</v>
      </c>
      <c r="AJ402" s="4">
        <v>4</v>
      </c>
      <c r="AK402" s="4">
        <v>7</v>
      </c>
      <c r="AL402" s="4">
        <v>22</v>
      </c>
      <c r="AM402" s="4">
        <v>24</v>
      </c>
      <c r="AN402" s="4">
        <v>0</v>
      </c>
      <c r="AO402" s="4">
        <v>0</v>
      </c>
      <c r="AP402" s="4">
        <v>4</v>
      </c>
      <c r="AQ402" s="4">
        <v>8</v>
      </c>
      <c r="AR402" s="3" t="s">
        <v>63</v>
      </c>
      <c r="AS402" s="3" t="s">
        <v>63</v>
      </c>
      <c r="AT402" s="3" t="s">
        <v>62</v>
      </c>
      <c r="AU402" s="6" t="str">
        <f>HYPERLINK("http://catalog.hathitrust.org/Record/102026762","HathiTrust Record")</f>
        <v>HathiTrust Record</v>
      </c>
      <c r="AV402" s="6" t="str">
        <f>HYPERLINK("http://mcgill.on.worldcat.org/oclc/50614517","Catalog Record")</f>
        <v>Catalog Record</v>
      </c>
      <c r="AW402" s="6" t="str">
        <f>HYPERLINK("http://www.worldcat.org/oclc/50614517","WorldCat Record")</f>
        <v>WorldCat Record</v>
      </c>
      <c r="AX402" s="3" t="s">
        <v>4173</v>
      </c>
      <c r="AY402" s="3" t="s">
        <v>4174</v>
      </c>
      <c r="AZ402" s="3" t="s">
        <v>4175</v>
      </c>
      <c r="BA402" s="3" t="s">
        <v>4175</v>
      </c>
      <c r="BB402" s="3" t="s">
        <v>4176</v>
      </c>
      <c r="BC402" s="3" t="s">
        <v>82</v>
      </c>
      <c r="BD402" s="3" t="s">
        <v>70</v>
      </c>
      <c r="BE402" s="3" t="s">
        <v>4177</v>
      </c>
      <c r="BF402" s="3" t="s">
        <v>4176</v>
      </c>
      <c r="BG402" s="3" t="s">
        <v>4178</v>
      </c>
    </row>
    <row r="403" spans="1:59" ht="60" x14ac:dyDescent="0.25">
      <c r="A403" s="2" t="s">
        <v>59</v>
      </c>
      <c r="B403" s="2" t="s">
        <v>60</v>
      </c>
      <c r="C403" s="2" t="s">
        <v>4165</v>
      </c>
      <c r="D403" s="2" t="s">
        <v>4166</v>
      </c>
      <c r="E403" s="2" t="s">
        <v>4167</v>
      </c>
      <c r="F403" s="3" t="s">
        <v>2601</v>
      </c>
      <c r="G403" s="3" t="s">
        <v>62</v>
      </c>
      <c r="I403" s="3" t="s">
        <v>63</v>
      </c>
      <c r="J403" s="3" t="s">
        <v>63</v>
      </c>
      <c r="K403" s="3" t="s">
        <v>64</v>
      </c>
      <c r="M403" s="2" t="s">
        <v>4169</v>
      </c>
      <c r="N403" s="3" t="s">
        <v>1226</v>
      </c>
      <c r="P403" s="3" t="s">
        <v>66</v>
      </c>
      <c r="Q403" s="2" t="s">
        <v>4170</v>
      </c>
      <c r="R403" s="3" t="s">
        <v>67</v>
      </c>
      <c r="S403" s="4">
        <v>6</v>
      </c>
      <c r="T403" s="4">
        <v>31</v>
      </c>
      <c r="U403" s="5" t="s">
        <v>4171</v>
      </c>
      <c r="V403" s="5" t="s">
        <v>4172</v>
      </c>
      <c r="W403" s="5" t="s">
        <v>69</v>
      </c>
      <c r="X403" s="5" t="s">
        <v>69</v>
      </c>
      <c r="Y403" s="4">
        <v>80</v>
      </c>
      <c r="Z403" s="4">
        <v>7</v>
      </c>
      <c r="AA403" s="4">
        <v>11</v>
      </c>
      <c r="AB403" s="4">
        <v>1</v>
      </c>
      <c r="AC403" s="4">
        <v>1</v>
      </c>
      <c r="AD403" s="4">
        <v>33</v>
      </c>
      <c r="AE403" s="4">
        <v>40</v>
      </c>
      <c r="AF403" s="4">
        <v>0</v>
      </c>
      <c r="AG403" s="4">
        <v>0</v>
      </c>
      <c r="AH403" s="4">
        <v>31</v>
      </c>
      <c r="AI403" s="4">
        <v>35</v>
      </c>
      <c r="AJ403" s="4">
        <v>4</v>
      </c>
      <c r="AK403" s="4">
        <v>7</v>
      </c>
      <c r="AL403" s="4">
        <v>22</v>
      </c>
      <c r="AM403" s="4">
        <v>24</v>
      </c>
      <c r="AN403" s="4">
        <v>0</v>
      </c>
      <c r="AO403" s="4">
        <v>0</v>
      </c>
      <c r="AP403" s="4">
        <v>4</v>
      </c>
      <c r="AQ403" s="4">
        <v>8</v>
      </c>
      <c r="AR403" s="3" t="s">
        <v>63</v>
      </c>
      <c r="AS403" s="3" t="s">
        <v>63</v>
      </c>
      <c r="AT403" s="3" t="s">
        <v>62</v>
      </c>
      <c r="AU403" s="6" t="str">
        <f>HYPERLINK("http://catalog.hathitrust.org/Record/102026762","HathiTrust Record")</f>
        <v>HathiTrust Record</v>
      </c>
      <c r="AV403" s="6" t="str">
        <f>HYPERLINK("http://mcgill.on.worldcat.org/oclc/50614517","Catalog Record")</f>
        <v>Catalog Record</v>
      </c>
      <c r="AW403" s="6" t="str">
        <f>HYPERLINK("http://www.worldcat.org/oclc/50614517","WorldCat Record")</f>
        <v>WorldCat Record</v>
      </c>
      <c r="AX403" s="3" t="s">
        <v>4173</v>
      </c>
      <c r="AY403" s="3" t="s">
        <v>4174</v>
      </c>
      <c r="AZ403" s="3" t="s">
        <v>4175</v>
      </c>
      <c r="BA403" s="3" t="s">
        <v>4175</v>
      </c>
      <c r="BB403" s="3" t="s">
        <v>4179</v>
      </c>
      <c r="BC403" s="3" t="s">
        <v>82</v>
      </c>
      <c r="BD403" s="3" t="s">
        <v>70</v>
      </c>
      <c r="BE403" s="3" t="s">
        <v>4177</v>
      </c>
      <c r="BF403" s="3" t="s">
        <v>4179</v>
      </c>
      <c r="BG403" s="3" t="s">
        <v>4180</v>
      </c>
    </row>
    <row r="404" spans="1:59" ht="60" x14ac:dyDescent="0.25">
      <c r="A404" s="2" t="s">
        <v>59</v>
      </c>
      <c r="B404" s="2" t="s">
        <v>60</v>
      </c>
      <c r="C404" s="2" t="s">
        <v>4165</v>
      </c>
      <c r="D404" s="2" t="s">
        <v>4166</v>
      </c>
      <c r="E404" s="2" t="s">
        <v>4167</v>
      </c>
      <c r="F404" s="3" t="s">
        <v>4181</v>
      </c>
      <c r="G404" s="3" t="s">
        <v>62</v>
      </c>
      <c r="I404" s="3" t="s">
        <v>63</v>
      </c>
      <c r="J404" s="3" t="s">
        <v>63</v>
      </c>
      <c r="K404" s="3" t="s">
        <v>64</v>
      </c>
      <c r="M404" s="2" t="s">
        <v>4169</v>
      </c>
      <c r="N404" s="3" t="s">
        <v>1226</v>
      </c>
      <c r="P404" s="3" t="s">
        <v>66</v>
      </c>
      <c r="Q404" s="2" t="s">
        <v>4170</v>
      </c>
      <c r="R404" s="3" t="s">
        <v>67</v>
      </c>
      <c r="S404" s="4">
        <v>9</v>
      </c>
      <c r="T404" s="4">
        <v>31</v>
      </c>
      <c r="U404" s="5" t="s">
        <v>4172</v>
      </c>
      <c r="V404" s="5" t="s">
        <v>4172</v>
      </c>
      <c r="W404" s="5" t="s">
        <v>69</v>
      </c>
      <c r="X404" s="5" t="s">
        <v>69</v>
      </c>
      <c r="Y404" s="4">
        <v>80</v>
      </c>
      <c r="Z404" s="4">
        <v>7</v>
      </c>
      <c r="AA404" s="4">
        <v>11</v>
      </c>
      <c r="AB404" s="4">
        <v>1</v>
      </c>
      <c r="AC404" s="4">
        <v>1</v>
      </c>
      <c r="AD404" s="4">
        <v>33</v>
      </c>
      <c r="AE404" s="4">
        <v>40</v>
      </c>
      <c r="AF404" s="4">
        <v>0</v>
      </c>
      <c r="AG404" s="4">
        <v>0</v>
      </c>
      <c r="AH404" s="4">
        <v>31</v>
      </c>
      <c r="AI404" s="4">
        <v>35</v>
      </c>
      <c r="AJ404" s="4">
        <v>4</v>
      </c>
      <c r="AK404" s="4">
        <v>7</v>
      </c>
      <c r="AL404" s="4">
        <v>22</v>
      </c>
      <c r="AM404" s="4">
        <v>24</v>
      </c>
      <c r="AN404" s="4">
        <v>0</v>
      </c>
      <c r="AO404" s="4">
        <v>0</v>
      </c>
      <c r="AP404" s="4">
        <v>4</v>
      </c>
      <c r="AQ404" s="4">
        <v>8</v>
      </c>
      <c r="AR404" s="3" t="s">
        <v>63</v>
      </c>
      <c r="AS404" s="3" t="s">
        <v>63</v>
      </c>
      <c r="AT404" s="3" t="s">
        <v>62</v>
      </c>
      <c r="AU404" s="6" t="str">
        <f>HYPERLINK("http://catalog.hathitrust.org/Record/102026762","HathiTrust Record")</f>
        <v>HathiTrust Record</v>
      </c>
      <c r="AV404" s="6" t="str">
        <f>HYPERLINK("http://mcgill.on.worldcat.org/oclc/50614517","Catalog Record")</f>
        <v>Catalog Record</v>
      </c>
      <c r="AW404" s="6" t="str">
        <f>HYPERLINK("http://www.worldcat.org/oclc/50614517","WorldCat Record")</f>
        <v>WorldCat Record</v>
      </c>
      <c r="AX404" s="3" t="s">
        <v>4173</v>
      </c>
      <c r="AY404" s="3" t="s">
        <v>4174</v>
      </c>
      <c r="AZ404" s="3" t="s">
        <v>4175</v>
      </c>
      <c r="BA404" s="3" t="s">
        <v>4175</v>
      </c>
      <c r="BB404" s="3" t="s">
        <v>4182</v>
      </c>
      <c r="BC404" s="3" t="s">
        <v>82</v>
      </c>
      <c r="BD404" s="3" t="s">
        <v>70</v>
      </c>
      <c r="BE404" s="3" t="s">
        <v>4177</v>
      </c>
      <c r="BF404" s="3" t="s">
        <v>4182</v>
      </c>
      <c r="BG404" s="3" t="s">
        <v>4183</v>
      </c>
    </row>
    <row r="405" spans="1:59" ht="60" x14ac:dyDescent="0.25">
      <c r="A405" s="2" t="s">
        <v>59</v>
      </c>
      <c r="B405" s="2" t="s">
        <v>60</v>
      </c>
      <c r="C405" s="2" t="s">
        <v>4165</v>
      </c>
      <c r="D405" s="2" t="s">
        <v>4166</v>
      </c>
      <c r="E405" s="2" t="s">
        <v>4167</v>
      </c>
      <c r="F405" s="3" t="s">
        <v>4184</v>
      </c>
      <c r="G405" s="3" t="s">
        <v>62</v>
      </c>
      <c r="I405" s="3" t="s">
        <v>63</v>
      </c>
      <c r="J405" s="3" t="s">
        <v>63</v>
      </c>
      <c r="K405" s="3" t="s">
        <v>64</v>
      </c>
      <c r="M405" s="2" t="s">
        <v>4169</v>
      </c>
      <c r="N405" s="3" t="s">
        <v>1226</v>
      </c>
      <c r="P405" s="3" t="s">
        <v>66</v>
      </c>
      <c r="Q405" s="2" t="s">
        <v>4170</v>
      </c>
      <c r="R405" s="3" t="s">
        <v>67</v>
      </c>
      <c r="S405" s="4">
        <v>9</v>
      </c>
      <c r="T405" s="4">
        <v>31</v>
      </c>
      <c r="U405" s="5" t="s">
        <v>4171</v>
      </c>
      <c r="V405" s="5" t="s">
        <v>4172</v>
      </c>
      <c r="W405" s="5" t="s">
        <v>69</v>
      </c>
      <c r="X405" s="5" t="s">
        <v>69</v>
      </c>
      <c r="Y405" s="4">
        <v>80</v>
      </c>
      <c r="Z405" s="4">
        <v>7</v>
      </c>
      <c r="AA405" s="4">
        <v>11</v>
      </c>
      <c r="AB405" s="4">
        <v>1</v>
      </c>
      <c r="AC405" s="4">
        <v>1</v>
      </c>
      <c r="AD405" s="4">
        <v>33</v>
      </c>
      <c r="AE405" s="4">
        <v>40</v>
      </c>
      <c r="AF405" s="4">
        <v>0</v>
      </c>
      <c r="AG405" s="4">
        <v>0</v>
      </c>
      <c r="AH405" s="4">
        <v>31</v>
      </c>
      <c r="AI405" s="4">
        <v>35</v>
      </c>
      <c r="AJ405" s="4">
        <v>4</v>
      </c>
      <c r="AK405" s="4">
        <v>7</v>
      </c>
      <c r="AL405" s="4">
        <v>22</v>
      </c>
      <c r="AM405" s="4">
        <v>24</v>
      </c>
      <c r="AN405" s="4">
        <v>0</v>
      </c>
      <c r="AO405" s="4">
        <v>0</v>
      </c>
      <c r="AP405" s="4">
        <v>4</v>
      </c>
      <c r="AQ405" s="4">
        <v>8</v>
      </c>
      <c r="AR405" s="3" t="s">
        <v>63</v>
      </c>
      <c r="AS405" s="3" t="s">
        <v>63</v>
      </c>
      <c r="AT405" s="3" t="s">
        <v>62</v>
      </c>
      <c r="AU405" s="6" t="str">
        <f>HYPERLINK("http://catalog.hathitrust.org/Record/102026762","HathiTrust Record")</f>
        <v>HathiTrust Record</v>
      </c>
      <c r="AV405" s="6" t="str">
        <f>HYPERLINK("http://mcgill.on.worldcat.org/oclc/50614517","Catalog Record")</f>
        <v>Catalog Record</v>
      </c>
      <c r="AW405" s="6" t="str">
        <f>HYPERLINK("http://www.worldcat.org/oclc/50614517","WorldCat Record")</f>
        <v>WorldCat Record</v>
      </c>
      <c r="AX405" s="3" t="s">
        <v>4173</v>
      </c>
      <c r="AY405" s="3" t="s">
        <v>4174</v>
      </c>
      <c r="AZ405" s="3" t="s">
        <v>4175</v>
      </c>
      <c r="BA405" s="3" t="s">
        <v>4175</v>
      </c>
      <c r="BB405" s="3" t="s">
        <v>4185</v>
      </c>
      <c r="BC405" s="3" t="s">
        <v>82</v>
      </c>
      <c r="BD405" s="3" t="s">
        <v>70</v>
      </c>
      <c r="BE405" s="3" t="s">
        <v>4177</v>
      </c>
      <c r="BF405" s="3" t="s">
        <v>4185</v>
      </c>
      <c r="BG405" s="3" t="s">
        <v>4186</v>
      </c>
    </row>
    <row r="406" spans="1:59" ht="60" x14ac:dyDescent="0.25">
      <c r="A406" s="2" t="s">
        <v>59</v>
      </c>
      <c r="B406" s="2" t="s">
        <v>60</v>
      </c>
      <c r="C406" s="2" t="s">
        <v>4187</v>
      </c>
      <c r="D406" s="2" t="s">
        <v>4188</v>
      </c>
      <c r="E406" s="2" t="s">
        <v>4189</v>
      </c>
      <c r="G406" s="3" t="s">
        <v>63</v>
      </c>
      <c r="I406" s="3" t="s">
        <v>62</v>
      </c>
      <c r="J406" s="3" t="s">
        <v>63</v>
      </c>
      <c r="K406" s="3" t="s">
        <v>64</v>
      </c>
      <c r="L406" s="2" t="s">
        <v>4190</v>
      </c>
      <c r="M406" s="2" t="s">
        <v>4191</v>
      </c>
      <c r="N406" s="3" t="s">
        <v>668</v>
      </c>
      <c r="P406" s="3" t="s">
        <v>66</v>
      </c>
      <c r="R406" s="3" t="s">
        <v>67</v>
      </c>
      <c r="S406" s="4">
        <v>86</v>
      </c>
      <c r="T406" s="4">
        <v>90</v>
      </c>
      <c r="U406" s="5" t="s">
        <v>519</v>
      </c>
      <c r="V406" s="5" t="s">
        <v>4192</v>
      </c>
      <c r="W406" s="5" t="s">
        <v>69</v>
      </c>
      <c r="X406" s="5" t="s">
        <v>69</v>
      </c>
      <c r="Y406" s="4">
        <v>665</v>
      </c>
      <c r="Z406" s="4">
        <v>40</v>
      </c>
      <c r="AA406" s="4">
        <v>43</v>
      </c>
      <c r="AB406" s="4">
        <v>2</v>
      </c>
      <c r="AC406" s="4">
        <v>5</v>
      </c>
      <c r="AD406" s="4">
        <v>132</v>
      </c>
      <c r="AE406" s="4">
        <v>135</v>
      </c>
      <c r="AF406" s="4">
        <v>1</v>
      </c>
      <c r="AG406" s="4">
        <v>4</v>
      </c>
      <c r="AH406" s="4">
        <v>108</v>
      </c>
      <c r="AI406" s="4">
        <v>109</v>
      </c>
      <c r="AJ406" s="4">
        <v>19</v>
      </c>
      <c r="AK406" s="4">
        <v>22</v>
      </c>
      <c r="AL406" s="4">
        <v>58</v>
      </c>
      <c r="AM406" s="4">
        <v>58</v>
      </c>
      <c r="AN406" s="4">
        <v>0</v>
      </c>
      <c r="AO406" s="4">
        <v>0</v>
      </c>
      <c r="AP406" s="4">
        <v>30</v>
      </c>
      <c r="AQ406" s="4">
        <v>32</v>
      </c>
      <c r="AR406" s="3" t="s">
        <v>63</v>
      </c>
      <c r="AS406" s="3" t="s">
        <v>63</v>
      </c>
      <c r="AT406" s="3" t="s">
        <v>63</v>
      </c>
      <c r="AV406" s="6" t="str">
        <f>HYPERLINK("http://mcgill.on.worldcat.org/oclc/21876199","Catalog Record")</f>
        <v>Catalog Record</v>
      </c>
      <c r="AW406" s="6" t="str">
        <f>HYPERLINK("http://www.worldcat.org/oclc/21876199","WorldCat Record")</f>
        <v>WorldCat Record</v>
      </c>
      <c r="AX406" s="3" t="s">
        <v>4193</v>
      </c>
      <c r="AY406" s="3" t="s">
        <v>4194</v>
      </c>
      <c r="AZ406" s="3" t="s">
        <v>4195</v>
      </c>
      <c r="BA406" s="3" t="s">
        <v>4195</v>
      </c>
      <c r="BB406" s="3" t="s">
        <v>4196</v>
      </c>
      <c r="BC406" s="3" t="s">
        <v>82</v>
      </c>
      <c r="BD406" s="3" t="s">
        <v>70</v>
      </c>
      <c r="BE406" s="3" t="s">
        <v>4197</v>
      </c>
      <c r="BF406" s="3" t="s">
        <v>4196</v>
      </c>
      <c r="BG406" s="3" t="s">
        <v>4198</v>
      </c>
    </row>
    <row r="407" spans="1:59" ht="60" x14ac:dyDescent="0.25">
      <c r="A407" s="2" t="s">
        <v>59</v>
      </c>
      <c r="B407" s="2" t="s">
        <v>60</v>
      </c>
      <c r="C407" s="2" t="s">
        <v>4187</v>
      </c>
      <c r="D407" s="2" t="s">
        <v>4188</v>
      </c>
      <c r="E407" s="2" t="s">
        <v>4189</v>
      </c>
      <c r="G407" s="3" t="s">
        <v>63</v>
      </c>
      <c r="I407" s="3" t="s">
        <v>62</v>
      </c>
      <c r="J407" s="3" t="s">
        <v>63</v>
      </c>
      <c r="K407" s="3" t="s">
        <v>64</v>
      </c>
      <c r="L407" s="2" t="s">
        <v>4190</v>
      </c>
      <c r="M407" s="2" t="s">
        <v>4191</v>
      </c>
      <c r="N407" s="3" t="s">
        <v>668</v>
      </c>
      <c r="P407" s="3" t="s">
        <v>66</v>
      </c>
      <c r="R407" s="3" t="s">
        <v>67</v>
      </c>
      <c r="S407" s="4">
        <v>4</v>
      </c>
      <c r="T407" s="4">
        <v>90</v>
      </c>
      <c r="U407" s="5" t="s">
        <v>4192</v>
      </c>
      <c r="V407" s="5" t="s">
        <v>4192</v>
      </c>
      <c r="W407" s="5" t="s">
        <v>69</v>
      </c>
      <c r="X407" s="5" t="s">
        <v>69</v>
      </c>
      <c r="Y407" s="4">
        <v>665</v>
      </c>
      <c r="Z407" s="4">
        <v>40</v>
      </c>
      <c r="AA407" s="4">
        <v>43</v>
      </c>
      <c r="AB407" s="4">
        <v>2</v>
      </c>
      <c r="AC407" s="4">
        <v>5</v>
      </c>
      <c r="AD407" s="4">
        <v>132</v>
      </c>
      <c r="AE407" s="4">
        <v>135</v>
      </c>
      <c r="AF407" s="4">
        <v>1</v>
      </c>
      <c r="AG407" s="4">
        <v>4</v>
      </c>
      <c r="AH407" s="4">
        <v>108</v>
      </c>
      <c r="AI407" s="4">
        <v>109</v>
      </c>
      <c r="AJ407" s="4">
        <v>19</v>
      </c>
      <c r="AK407" s="4">
        <v>22</v>
      </c>
      <c r="AL407" s="4">
        <v>58</v>
      </c>
      <c r="AM407" s="4">
        <v>58</v>
      </c>
      <c r="AN407" s="4">
        <v>0</v>
      </c>
      <c r="AO407" s="4">
        <v>0</v>
      </c>
      <c r="AP407" s="4">
        <v>30</v>
      </c>
      <c r="AQ407" s="4">
        <v>32</v>
      </c>
      <c r="AR407" s="3" t="s">
        <v>63</v>
      </c>
      <c r="AS407" s="3" t="s">
        <v>63</v>
      </c>
      <c r="AT407" s="3" t="s">
        <v>63</v>
      </c>
      <c r="AV407" s="6" t="str">
        <f>HYPERLINK("http://mcgill.on.worldcat.org/oclc/21876199","Catalog Record")</f>
        <v>Catalog Record</v>
      </c>
      <c r="AW407" s="6" t="str">
        <f>HYPERLINK("http://www.worldcat.org/oclc/21876199","WorldCat Record")</f>
        <v>WorldCat Record</v>
      </c>
      <c r="AX407" s="3" t="s">
        <v>4193</v>
      </c>
      <c r="AY407" s="3" t="s">
        <v>4194</v>
      </c>
      <c r="AZ407" s="3" t="s">
        <v>4195</v>
      </c>
      <c r="BA407" s="3" t="s">
        <v>4195</v>
      </c>
      <c r="BB407" s="3" t="s">
        <v>4199</v>
      </c>
      <c r="BC407" s="3" t="s">
        <v>82</v>
      </c>
      <c r="BD407" s="3" t="s">
        <v>70</v>
      </c>
      <c r="BE407" s="3" t="s">
        <v>4197</v>
      </c>
      <c r="BF407" s="3" t="s">
        <v>4199</v>
      </c>
      <c r="BG407" s="3" t="s">
        <v>4200</v>
      </c>
    </row>
    <row r="408" spans="1:59" ht="60" x14ac:dyDescent="0.25">
      <c r="A408" s="2" t="s">
        <v>59</v>
      </c>
      <c r="B408" s="2" t="s">
        <v>60</v>
      </c>
      <c r="C408" s="2" t="s">
        <v>4201</v>
      </c>
      <c r="D408" s="2" t="s">
        <v>4202</v>
      </c>
      <c r="E408" s="2" t="s">
        <v>4203</v>
      </c>
      <c r="G408" s="3" t="s">
        <v>63</v>
      </c>
      <c r="I408" s="3" t="s">
        <v>63</v>
      </c>
      <c r="J408" s="3" t="s">
        <v>63</v>
      </c>
      <c r="K408" s="3" t="s">
        <v>64</v>
      </c>
      <c r="L408" s="2" t="s">
        <v>4204</v>
      </c>
      <c r="M408" s="2" t="s">
        <v>4205</v>
      </c>
      <c r="N408" s="3" t="s">
        <v>313</v>
      </c>
      <c r="P408" s="3" t="s">
        <v>90</v>
      </c>
      <c r="R408" s="3" t="s">
        <v>67</v>
      </c>
      <c r="S408" s="4">
        <v>0</v>
      </c>
      <c r="T408" s="4">
        <v>0</v>
      </c>
      <c r="W408" s="5" t="s">
        <v>69</v>
      </c>
      <c r="X408" s="5" t="s">
        <v>69</v>
      </c>
      <c r="Y408" s="4">
        <v>18</v>
      </c>
      <c r="Z408" s="4">
        <v>1</v>
      </c>
      <c r="AA408" s="4">
        <v>3</v>
      </c>
      <c r="AB408" s="4">
        <v>1</v>
      </c>
      <c r="AC408" s="4">
        <v>1</v>
      </c>
      <c r="AD408" s="4">
        <v>15</v>
      </c>
      <c r="AE408" s="4">
        <v>38</v>
      </c>
      <c r="AF408" s="4">
        <v>0</v>
      </c>
      <c r="AG408" s="4">
        <v>0</v>
      </c>
      <c r="AH408" s="4">
        <v>15</v>
      </c>
      <c r="AI408" s="4">
        <v>37</v>
      </c>
      <c r="AJ408" s="4">
        <v>0</v>
      </c>
      <c r="AK408" s="4">
        <v>2</v>
      </c>
      <c r="AL408" s="4">
        <v>12</v>
      </c>
      <c r="AM408" s="4">
        <v>29</v>
      </c>
      <c r="AN408" s="4">
        <v>0</v>
      </c>
      <c r="AO408" s="4">
        <v>0</v>
      </c>
      <c r="AP408" s="4">
        <v>0</v>
      </c>
      <c r="AQ408" s="4">
        <v>2</v>
      </c>
      <c r="AR408" s="3" t="s">
        <v>63</v>
      </c>
      <c r="AS408" s="3" t="s">
        <v>63</v>
      </c>
      <c r="AT408" s="3" t="s">
        <v>63</v>
      </c>
      <c r="AV408" s="6" t="str">
        <f>HYPERLINK("http://mcgill.on.worldcat.org/oclc/645891450","Catalog Record")</f>
        <v>Catalog Record</v>
      </c>
      <c r="AW408" s="6" t="str">
        <f>HYPERLINK("http://www.worldcat.org/oclc/645891450","WorldCat Record")</f>
        <v>WorldCat Record</v>
      </c>
      <c r="AX408" s="3" t="s">
        <v>4206</v>
      </c>
      <c r="AY408" s="3" t="s">
        <v>4207</v>
      </c>
      <c r="AZ408" s="3" t="s">
        <v>4208</v>
      </c>
      <c r="BA408" s="3" t="s">
        <v>4208</v>
      </c>
      <c r="BB408" s="3" t="s">
        <v>4209</v>
      </c>
      <c r="BC408" s="3" t="s">
        <v>82</v>
      </c>
      <c r="BD408" s="3" t="s">
        <v>70</v>
      </c>
      <c r="BE408" s="3" t="s">
        <v>4210</v>
      </c>
      <c r="BF408" s="3" t="s">
        <v>4209</v>
      </c>
      <c r="BG408" s="3" t="s">
        <v>4211</v>
      </c>
    </row>
    <row r="409" spans="1:59" ht="60" x14ac:dyDescent="0.25">
      <c r="A409" s="2" t="s">
        <v>59</v>
      </c>
      <c r="B409" s="2" t="s">
        <v>60</v>
      </c>
      <c r="C409" s="2" t="s">
        <v>4212</v>
      </c>
      <c r="D409" s="2" t="s">
        <v>4213</v>
      </c>
      <c r="E409" s="2" t="s">
        <v>4214</v>
      </c>
      <c r="G409" s="3" t="s">
        <v>63</v>
      </c>
      <c r="I409" s="3" t="s">
        <v>63</v>
      </c>
      <c r="J409" s="3" t="s">
        <v>63</v>
      </c>
      <c r="K409" s="3" t="s">
        <v>64</v>
      </c>
      <c r="L409" s="2" t="s">
        <v>4215</v>
      </c>
      <c r="M409" s="2" t="s">
        <v>4216</v>
      </c>
      <c r="N409" s="3" t="s">
        <v>2459</v>
      </c>
      <c r="P409" s="3" t="s">
        <v>66</v>
      </c>
      <c r="Q409" s="2" t="s">
        <v>4217</v>
      </c>
      <c r="R409" s="3" t="s">
        <v>67</v>
      </c>
      <c r="S409" s="4">
        <v>14</v>
      </c>
      <c r="T409" s="4">
        <v>14</v>
      </c>
      <c r="U409" s="5" t="s">
        <v>4218</v>
      </c>
      <c r="V409" s="5" t="s">
        <v>4218</v>
      </c>
      <c r="W409" s="5" t="s">
        <v>69</v>
      </c>
      <c r="X409" s="5" t="s">
        <v>69</v>
      </c>
      <c r="Y409" s="4">
        <v>184</v>
      </c>
      <c r="Z409" s="4">
        <v>14</v>
      </c>
      <c r="AA409" s="4">
        <v>17</v>
      </c>
      <c r="AB409" s="4">
        <v>1</v>
      </c>
      <c r="AC409" s="4">
        <v>1</v>
      </c>
      <c r="AD409" s="4">
        <v>79</v>
      </c>
      <c r="AE409" s="4">
        <v>80</v>
      </c>
      <c r="AF409" s="4">
        <v>0</v>
      </c>
      <c r="AG409" s="4">
        <v>0</v>
      </c>
      <c r="AH409" s="4">
        <v>71</v>
      </c>
      <c r="AI409" s="4">
        <v>72</v>
      </c>
      <c r="AJ409" s="4">
        <v>11</v>
      </c>
      <c r="AK409" s="4">
        <v>12</v>
      </c>
      <c r="AL409" s="4">
        <v>47</v>
      </c>
      <c r="AM409" s="4">
        <v>48</v>
      </c>
      <c r="AN409" s="4">
        <v>0</v>
      </c>
      <c r="AO409" s="4">
        <v>0</v>
      </c>
      <c r="AP409" s="4">
        <v>13</v>
      </c>
      <c r="AQ409" s="4">
        <v>14</v>
      </c>
      <c r="AR409" s="3" t="s">
        <v>63</v>
      </c>
      <c r="AS409" s="3" t="s">
        <v>63</v>
      </c>
      <c r="AT409" s="3" t="s">
        <v>62</v>
      </c>
      <c r="AU409" s="6" t="str">
        <f>HYPERLINK("http://catalog.hathitrust.org/Record/005616441","HathiTrust Record")</f>
        <v>HathiTrust Record</v>
      </c>
      <c r="AV409" s="6" t="str">
        <f>HYPERLINK("http://mcgill.on.worldcat.org/oclc/123284921","Catalog Record")</f>
        <v>Catalog Record</v>
      </c>
      <c r="AW409" s="6" t="str">
        <f>HYPERLINK("http://www.worldcat.org/oclc/123284921","WorldCat Record")</f>
        <v>WorldCat Record</v>
      </c>
      <c r="AX409" s="3" t="s">
        <v>4219</v>
      </c>
      <c r="AY409" s="3" t="s">
        <v>4220</v>
      </c>
      <c r="AZ409" s="3" t="s">
        <v>4221</v>
      </c>
      <c r="BA409" s="3" t="s">
        <v>4221</v>
      </c>
      <c r="BB409" s="3" t="s">
        <v>4222</v>
      </c>
      <c r="BC409" s="3" t="s">
        <v>82</v>
      </c>
      <c r="BD409" s="3" t="s">
        <v>70</v>
      </c>
      <c r="BE409" s="3" t="s">
        <v>4223</v>
      </c>
      <c r="BF409" s="3" t="s">
        <v>4222</v>
      </c>
      <c r="BG409" s="3" t="s">
        <v>4224</v>
      </c>
    </row>
    <row r="410" spans="1:59" ht="60" x14ac:dyDescent="0.25">
      <c r="A410" s="2" t="s">
        <v>59</v>
      </c>
      <c r="B410" s="2" t="s">
        <v>60</v>
      </c>
      <c r="C410" s="2" t="s">
        <v>4225</v>
      </c>
      <c r="D410" s="2" t="s">
        <v>4226</v>
      </c>
      <c r="E410" s="2" t="s">
        <v>4227</v>
      </c>
      <c r="G410" s="3" t="s">
        <v>63</v>
      </c>
      <c r="I410" s="3" t="s">
        <v>63</v>
      </c>
      <c r="J410" s="3" t="s">
        <v>63</v>
      </c>
      <c r="K410" s="3" t="s">
        <v>64</v>
      </c>
      <c r="L410" s="2" t="s">
        <v>4228</v>
      </c>
      <c r="M410" s="2" t="s">
        <v>4229</v>
      </c>
      <c r="N410" s="3" t="s">
        <v>374</v>
      </c>
      <c r="P410" s="3" t="s">
        <v>548</v>
      </c>
      <c r="Q410" s="2" t="s">
        <v>4230</v>
      </c>
      <c r="R410" s="3" t="s">
        <v>67</v>
      </c>
      <c r="S410" s="4">
        <v>23</v>
      </c>
      <c r="T410" s="4">
        <v>23</v>
      </c>
      <c r="U410" s="5" t="s">
        <v>2306</v>
      </c>
      <c r="V410" s="5" t="s">
        <v>2306</v>
      </c>
      <c r="W410" s="5" t="s">
        <v>69</v>
      </c>
      <c r="X410" s="5" t="s">
        <v>69</v>
      </c>
      <c r="Y410" s="4">
        <v>41</v>
      </c>
      <c r="Z410" s="4">
        <v>6</v>
      </c>
      <c r="AA410" s="4">
        <v>6</v>
      </c>
      <c r="AB410" s="4">
        <v>4</v>
      </c>
      <c r="AC410" s="4">
        <v>4</v>
      </c>
      <c r="AD410" s="4">
        <v>5</v>
      </c>
      <c r="AE410" s="4">
        <v>8</v>
      </c>
      <c r="AF410" s="4">
        <v>2</v>
      </c>
      <c r="AG410" s="4">
        <v>2</v>
      </c>
      <c r="AH410" s="4">
        <v>3</v>
      </c>
      <c r="AI410" s="4">
        <v>6</v>
      </c>
      <c r="AJ410" s="4">
        <v>3</v>
      </c>
      <c r="AK410" s="4">
        <v>3</v>
      </c>
      <c r="AL410" s="4">
        <v>2</v>
      </c>
      <c r="AM410" s="4">
        <v>5</v>
      </c>
      <c r="AN410" s="4">
        <v>0</v>
      </c>
      <c r="AO410" s="4">
        <v>0</v>
      </c>
      <c r="AP410" s="4">
        <v>2</v>
      </c>
      <c r="AQ410" s="4">
        <v>2</v>
      </c>
      <c r="AR410" s="3" t="s">
        <v>63</v>
      </c>
      <c r="AS410" s="3" t="s">
        <v>63</v>
      </c>
      <c r="AT410" s="3" t="s">
        <v>63</v>
      </c>
      <c r="AV410" s="6" t="str">
        <f>HYPERLINK("http://mcgill.on.worldcat.org/oclc/239751993","Catalog Record")</f>
        <v>Catalog Record</v>
      </c>
      <c r="AW410" s="6" t="str">
        <f>HYPERLINK("http://www.worldcat.org/oclc/239751993","WorldCat Record")</f>
        <v>WorldCat Record</v>
      </c>
      <c r="AX410" s="3" t="s">
        <v>4231</v>
      </c>
      <c r="AY410" s="3" t="s">
        <v>4232</v>
      </c>
      <c r="AZ410" s="3" t="s">
        <v>4233</v>
      </c>
      <c r="BA410" s="3" t="s">
        <v>4233</v>
      </c>
      <c r="BB410" s="3" t="s">
        <v>4234</v>
      </c>
      <c r="BC410" s="3" t="s">
        <v>82</v>
      </c>
      <c r="BD410" s="3" t="s">
        <v>70</v>
      </c>
      <c r="BE410" s="3" t="s">
        <v>4235</v>
      </c>
      <c r="BF410" s="3" t="s">
        <v>4234</v>
      </c>
      <c r="BG410" s="3" t="s">
        <v>4236</v>
      </c>
    </row>
    <row r="411" spans="1:59" ht="60" x14ac:dyDescent="0.25">
      <c r="A411" s="2" t="s">
        <v>59</v>
      </c>
      <c r="B411" s="2" t="s">
        <v>60</v>
      </c>
      <c r="C411" s="2" t="s">
        <v>4237</v>
      </c>
      <c r="D411" s="2" t="s">
        <v>4238</v>
      </c>
      <c r="E411" s="2" t="s">
        <v>4239</v>
      </c>
      <c r="G411" s="3" t="s">
        <v>63</v>
      </c>
      <c r="I411" s="3" t="s">
        <v>63</v>
      </c>
      <c r="J411" s="3" t="s">
        <v>63</v>
      </c>
      <c r="K411" s="3" t="s">
        <v>64</v>
      </c>
      <c r="L411" s="2" t="s">
        <v>4240</v>
      </c>
      <c r="M411" s="2" t="s">
        <v>4241</v>
      </c>
      <c r="N411" s="3" t="s">
        <v>668</v>
      </c>
      <c r="P411" s="3" t="s">
        <v>66</v>
      </c>
      <c r="Q411" s="2" t="s">
        <v>4242</v>
      </c>
      <c r="R411" s="3" t="s">
        <v>67</v>
      </c>
      <c r="S411" s="4">
        <v>16</v>
      </c>
      <c r="T411" s="4">
        <v>16</v>
      </c>
      <c r="U411" s="5" t="s">
        <v>1128</v>
      </c>
      <c r="V411" s="5" t="s">
        <v>1128</v>
      </c>
      <c r="W411" s="5" t="s">
        <v>69</v>
      </c>
      <c r="X411" s="5" t="s">
        <v>69</v>
      </c>
      <c r="Y411" s="4">
        <v>103</v>
      </c>
      <c r="Z411" s="4">
        <v>17</v>
      </c>
      <c r="AA411" s="4">
        <v>22</v>
      </c>
      <c r="AB411" s="4">
        <v>2</v>
      </c>
      <c r="AC411" s="4">
        <v>6</v>
      </c>
      <c r="AD411" s="4">
        <v>55</v>
      </c>
      <c r="AE411" s="4">
        <v>61</v>
      </c>
      <c r="AF411" s="4">
        <v>0</v>
      </c>
      <c r="AG411" s="4">
        <v>1</v>
      </c>
      <c r="AH411" s="4">
        <v>49</v>
      </c>
      <c r="AI411" s="4">
        <v>54</v>
      </c>
      <c r="AJ411" s="4">
        <v>11</v>
      </c>
      <c r="AK411" s="4">
        <v>13</v>
      </c>
      <c r="AL411" s="4">
        <v>23</v>
      </c>
      <c r="AM411" s="4">
        <v>26</v>
      </c>
      <c r="AN411" s="4">
        <v>0</v>
      </c>
      <c r="AO411" s="4">
        <v>0</v>
      </c>
      <c r="AP411" s="4">
        <v>14</v>
      </c>
      <c r="AQ411" s="4">
        <v>15</v>
      </c>
      <c r="AR411" s="3" t="s">
        <v>63</v>
      </c>
      <c r="AS411" s="3" t="s">
        <v>63</v>
      </c>
      <c r="AT411" s="3" t="s">
        <v>63</v>
      </c>
      <c r="AV411" s="6" t="str">
        <f>HYPERLINK("http://mcgill.on.worldcat.org/oclc/21909760","Catalog Record")</f>
        <v>Catalog Record</v>
      </c>
      <c r="AW411" s="6" t="str">
        <f>HYPERLINK("http://www.worldcat.org/oclc/21909760","WorldCat Record")</f>
        <v>WorldCat Record</v>
      </c>
      <c r="AX411" s="3" t="s">
        <v>4243</v>
      </c>
      <c r="AY411" s="3" t="s">
        <v>4244</v>
      </c>
      <c r="AZ411" s="3" t="s">
        <v>4245</v>
      </c>
      <c r="BA411" s="3" t="s">
        <v>4245</v>
      </c>
      <c r="BB411" s="3" t="s">
        <v>4246</v>
      </c>
      <c r="BC411" s="3" t="s">
        <v>82</v>
      </c>
      <c r="BD411" s="3" t="s">
        <v>70</v>
      </c>
      <c r="BE411" s="3" t="s">
        <v>4247</v>
      </c>
      <c r="BF411" s="3" t="s">
        <v>4246</v>
      </c>
      <c r="BG411" s="3" t="s">
        <v>4248</v>
      </c>
    </row>
    <row r="412" spans="1:59" ht="60" x14ac:dyDescent="0.25">
      <c r="A412" s="2" t="s">
        <v>59</v>
      </c>
      <c r="B412" s="2" t="s">
        <v>60</v>
      </c>
      <c r="C412" s="2" t="s">
        <v>4249</v>
      </c>
      <c r="D412" s="2" t="s">
        <v>4250</v>
      </c>
      <c r="E412" s="2" t="s">
        <v>4251</v>
      </c>
      <c r="G412" s="3" t="s">
        <v>63</v>
      </c>
      <c r="I412" s="3" t="s">
        <v>62</v>
      </c>
      <c r="J412" s="3" t="s">
        <v>63</v>
      </c>
      <c r="K412" s="3" t="s">
        <v>64</v>
      </c>
      <c r="M412" s="2" t="s">
        <v>4252</v>
      </c>
      <c r="N412" s="3" t="s">
        <v>161</v>
      </c>
      <c r="P412" s="3" t="s">
        <v>66</v>
      </c>
      <c r="Q412" s="2" t="s">
        <v>4253</v>
      </c>
      <c r="R412" s="3" t="s">
        <v>67</v>
      </c>
      <c r="S412" s="4">
        <v>44</v>
      </c>
      <c r="T412" s="4">
        <v>103</v>
      </c>
      <c r="U412" s="5" t="s">
        <v>4254</v>
      </c>
      <c r="V412" s="5" t="s">
        <v>4135</v>
      </c>
      <c r="W412" s="5" t="s">
        <v>69</v>
      </c>
      <c r="X412" s="5" t="s">
        <v>69</v>
      </c>
      <c r="Y412" s="4">
        <v>440</v>
      </c>
      <c r="Z412" s="4">
        <v>31</v>
      </c>
      <c r="AA412" s="4">
        <v>32</v>
      </c>
      <c r="AB412" s="4">
        <v>2</v>
      </c>
      <c r="AC412" s="4">
        <v>3</v>
      </c>
      <c r="AD412" s="4">
        <v>121</v>
      </c>
      <c r="AE412" s="4">
        <v>122</v>
      </c>
      <c r="AF412" s="4">
        <v>1</v>
      </c>
      <c r="AG412" s="4">
        <v>2</v>
      </c>
      <c r="AH412" s="4">
        <v>104</v>
      </c>
      <c r="AI412" s="4">
        <v>104</v>
      </c>
      <c r="AJ412" s="4">
        <v>22</v>
      </c>
      <c r="AK412" s="4">
        <v>23</v>
      </c>
      <c r="AL412" s="4">
        <v>57</v>
      </c>
      <c r="AM412" s="4">
        <v>57</v>
      </c>
      <c r="AN412" s="4">
        <v>0</v>
      </c>
      <c r="AO412" s="4">
        <v>0</v>
      </c>
      <c r="AP412" s="4">
        <v>25</v>
      </c>
      <c r="AQ412" s="4">
        <v>25</v>
      </c>
      <c r="AR412" s="3" t="s">
        <v>63</v>
      </c>
      <c r="AS412" s="3" t="s">
        <v>63</v>
      </c>
      <c r="AT412" s="3" t="s">
        <v>62</v>
      </c>
      <c r="AU412" s="6" t="str">
        <f>HYPERLINK("http://catalog.hathitrust.org/Record/001289292","HathiTrust Record")</f>
        <v>HathiTrust Record</v>
      </c>
      <c r="AV412" s="6" t="str">
        <f>HYPERLINK("http://mcgill.on.worldcat.org/oclc/18833123","Catalog Record")</f>
        <v>Catalog Record</v>
      </c>
      <c r="AW412" s="6" t="str">
        <f>HYPERLINK("http://www.worldcat.org/oclc/18833123","WorldCat Record")</f>
        <v>WorldCat Record</v>
      </c>
      <c r="AX412" s="3" t="s">
        <v>4255</v>
      </c>
      <c r="AY412" s="3" t="s">
        <v>4256</v>
      </c>
      <c r="AZ412" s="3" t="s">
        <v>4257</v>
      </c>
      <c r="BA412" s="3" t="s">
        <v>4257</v>
      </c>
      <c r="BB412" s="3" t="s">
        <v>4258</v>
      </c>
      <c r="BC412" s="3" t="s">
        <v>82</v>
      </c>
      <c r="BD412" s="3" t="s">
        <v>70</v>
      </c>
      <c r="BE412" s="3" t="s">
        <v>4259</v>
      </c>
      <c r="BF412" s="3" t="s">
        <v>4258</v>
      </c>
      <c r="BG412" s="3" t="s">
        <v>4260</v>
      </c>
    </row>
    <row r="413" spans="1:59" ht="60" x14ac:dyDescent="0.25">
      <c r="A413" s="2" t="s">
        <v>59</v>
      </c>
      <c r="B413" s="2" t="s">
        <v>60</v>
      </c>
      <c r="C413" s="2" t="s">
        <v>4249</v>
      </c>
      <c r="D413" s="2" t="s">
        <v>4250</v>
      </c>
      <c r="E413" s="2" t="s">
        <v>4251</v>
      </c>
      <c r="G413" s="3" t="s">
        <v>63</v>
      </c>
      <c r="I413" s="3" t="s">
        <v>62</v>
      </c>
      <c r="J413" s="3" t="s">
        <v>63</v>
      </c>
      <c r="K413" s="3" t="s">
        <v>64</v>
      </c>
      <c r="M413" s="2" t="s">
        <v>4252</v>
      </c>
      <c r="N413" s="3" t="s">
        <v>161</v>
      </c>
      <c r="P413" s="3" t="s">
        <v>66</v>
      </c>
      <c r="Q413" s="2" t="s">
        <v>4253</v>
      </c>
      <c r="R413" s="3" t="s">
        <v>67</v>
      </c>
      <c r="S413" s="4">
        <v>59</v>
      </c>
      <c r="T413" s="4">
        <v>103</v>
      </c>
      <c r="U413" s="5" t="s">
        <v>4135</v>
      </c>
      <c r="V413" s="5" t="s">
        <v>4135</v>
      </c>
      <c r="W413" s="5" t="s">
        <v>69</v>
      </c>
      <c r="X413" s="5" t="s">
        <v>69</v>
      </c>
      <c r="Y413" s="4">
        <v>440</v>
      </c>
      <c r="Z413" s="4">
        <v>31</v>
      </c>
      <c r="AA413" s="4">
        <v>32</v>
      </c>
      <c r="AB413" s="4">
        <v>2</v>
      </c>
      <c r="AC413" s="4">
        <v>3</v>
      </c>
      <c r="AD413" s="4">
        <v>121</v>
      </c>
      <c r="AE413" s="4">
        <v>122</v>
      </c>
      <c r="AF413" s="4">
        <v>1</v>
      </c>
      <c r="AG413" s="4">
        <v>2</v>
      </c>
      <c r="AH413" s="4">
        <v>104</v>
      </c>
      <c r="AI413" s="4">
        <v>104</v>
      </c>
      <c r="AJ413" s="4">
        <v>22</v>
      </c>
      <c r="AK413" s="4">
        <v>23</v>
      </c>
      <c r="AL413" s="4">
        <v>57</v>
      </c>
      <c r="AM413" s="4">
        <v>57</v>
      </c>
      <c r="AN413" s="4">
        <v>0</v>
      </c>
      <c r="AO413" s="4">
        <v>0</v>
      </c>
      <c r="AP413" s="4">
        <v>25</v>
      </c>
      <c r="AQ413" s="4">
        <v>25</v>
      </c>
      <c r="AR413" s="3" t="s">
        <v>63</v>
      </c>
      <c r="AS413" s="3" t="s">
        <v>63</v>
      </c>
      <c r="AT413" s="3" t="s">
        <v>62</v>
      </c>
      <c r="AU413" s="6" t="str">
        <f>HYPERLINK("http://catalog.hathitrust.org/Record/001289292","HathiTrust Record")</f>
        <v>HathiTrust Record</v>
      </c>
      <c r="AV413" s="6" t="str">
        <f>HYPERLINK("http://mcgill.on.worldcat.org/oclc/18833123","Catalog Record")</f>
        <v>Catalog Record</v>
      </c>
      <c r="AW413" s="6" t="str">
        <f>HYPERLINK("http://www.worldcat.org/oclc/18833123","WorldCat Record")</f>
        <v>WorldCat Record</v>
      </c>
      <c r="AX413" s="3" t="s">
        <v>4255</v>
      </c>
      <c r="AY413" s="3" t="s">
        <v>4256</v>
      </c>
      <c r="AZ413" s="3" t="s">
        <v>4257</v>
      </c>
      <c r="BA413" s="3" t="s">
        <v>4257</v>
      </c>
      <c r="BB413" s="3" t="s">
        <v>4261</v>
      </c>
      <c r="BC413" s="3" t="s">
        <v>82</v>
      </c>
      <c r="BD413" s="3" t="s">
        <v>70</v>
      </c>
      <c r="BE413" s="3" t="s">
        <v>4259</v>
      </c>
      <c r="BF413" s="3" t="s">
        <v>4261</v>
      </c>
      <c r="BG413" s="3" t="s">
        <v>4262</v>
      </c>
    </row>
    <row r="414" spans="1:59" ht="60" x14ac:dyDescent="0.25">
      <c r="A414" s="2" t="s">
        <v>59</v>
      </c>
      <c r="B414" s="2" t="s">
        <v>60</v>
      </c>
      <c r="C414" s="2" t="s">
        <v>4263</v>
      </c>
      <c r="D414" s="2" t="s">
        <v>4264</v>
      </c>
      <c r="E414" s="2" t="s">
        <v>4265</v>
      </c>
      <c r="G414" s="3" t="s">
        <v>63</v>
      </c>
      <c r="I414" s="3" t="s">
        <v>63</v>
      </c>
      <c r="J414" s="3" t="s">
        <v>63</v>
      </c>
      <c r="K414" s="3" t="s">
        <v>64</v>
      </c>
      <c r="L414" s="2" t="s">
        <v>4266</v>
      </c>
      <c r="M414" s="2" t="s">
        <v>4267</v>
      </c>
      <c r="N414" s="3" t="s">
        <v>313</v>
      </c>
      <c r="P414" s="3" t="s">
        <v>442</v>
      </c>
      <c r="Q414" s="2" t="s">
        <v>4268</v>
      </c>
      <c r="R414" s="3" t="s">
        <v>67</v>
      </c>
      <c r="S414" s="4">
        <v>0</v>
      </c>
      <c r="T414" s="4">
        <v>0</v>
      </c>
      <c r="W414" s="5" t="s">
        <v>69</v>
      </c>
      <c r="X414" s="5" t="s">
        <v>69</v>
      </c>
      <c r="Y414" s="4">
        <v>39</v>
      </c>
      <c r="Z414" s="4">
        <v>5</v>
      </c>
      <c r="AA414" s="4">
        <v>5</v>
      </c>
      <c r="AB414" s="4">
        <v>1</v>
      </c>
      <c r="AC414" s="4">
        <v>1</v>
      </c>
      <c r="AD414" s="4">
        <v>29</v>
      </c>
      <c r="AE414" s="4">
        <v>29</v>
      </c>
      <c r="AF414" s="4">
        <v>0</v>
      </c>
      <c r="AG414" s="4">
        <v>0</v>
      </c>
      <c r="AH414" s="4">
        <v>28</v>
      </c>
      <c r="AI414" s="4">
        <v>28</v>
      </c>
      <c r="AJ414" s="4">
        <v>2</v>
      </c>
      <c r="AK414" s="4">
        <v>2</v>
      </c>
      <c r="AL414" s="4">
        <v>21</v>
      </c>
      <c r="AM414" s="4">
        <v>21</v>
      </c>
      <c r="AN414" s="4">
        <v>0</v>
      </c>
      <c r="AO414" s="4">
        <v>0</v>
      </c>
      <c r="AP414" s="4">
        <v>2</v>
      </c>
      <c r="AQ414" s="4">
        <v>2</v>
      </c>
      <c r="AR414" s="3" t="s">
        <v>63</v>
      </c>
      <c r="AS414" s="3" t="s">
        <v>63</v>
      </c>
      <c r="AT414" s="3" t="s">
        <v>63</v>
      </c>
      <c r="AV414" s="6" t="str">
        <f>HYPERLINK("http://mcgill.on.worldcat.org/oclc/555636905","Catalog Record")</f>
        <v>Catalog Record</v>
      </c>
      <c r="AW414" s="6" t="str">
        <f>HYPERLINK("http://www.worldcat.org/oclc/555636905","WorldCat Record")</f>
        <v>WorldCat Record</v>
      </c>
      <c r="AX414" s="3" t="s">
        <v>4269</v>
      </c>
      <c r="AY414" s="3" t="s">
        <v>4270</v>
      </c>
      <c r="AZ414" s="3" t="s">
        <v>4271</v>
      </c>
      <c r="BA414" s="3" t="s">
        <v>4271</v>
      </c>
      <c r="BB414" s="3" t="s">
        <v>4272</v>
      </c>
      <c r="BC414" s="3" t="s">
        <v>82</v>
      </c>
      <c r="BD414" s="3" t="s">
        <v>70</v>
      </c>
      <c r="BE414" s="3" t="s">
        <v>4273</v>
      </c>
      <c r="BF414" s="3" t="s">
        <v>4272</v>
      </c>
      <c r="BG414" s="3" t="s">
        <v>4274</v>
      </c>
    </row>
    <row r="415" spans="1:59" ht="60" x14ac:dyDescent="0.25">
      <c r="A415" s="2" t="s">
        <v>59</v>
      </c>
      <c r="B415" s="2" t="s">
        <v>60</v>
      </c>
      <c r="C415" s="2" t="s">
        <v>4275</v>
      </c>
      <c r="D415" s="2" t="s">
        <v>4276</v>
      </c>
      <c r="E415" s="2" t="s">
        <v>4277</v>
      </c>
      <c r="G415" s="3" t="s">
        <v>63</v>
      </c>
      <c r="I415" s="3" t="s">
        <v>62</v>
      </c>
      <c r="J415" s="3" t="s">
        <v>63</v>
      </c>
      <c r="K415" s="3" t="s">
        <v>64</v>
      </c>
      <c r="L415" s="2" t="s">
        <v>4278</v>
      </c>
      <c r="M415" s="2" t="s">
        <v>4279</v>
      </c>
      <c r="N415" s="3" t="s">
        <v>455</v>
      </c>
      <c r="P415" s="3" t="s">
        <v>66</v>
      </c>
      <c r="Q415" s="2" t="s">
        <v>4280</v>
      </c>
      <c r="R415" s="3" t="s">
        <v>67</v>
      </c>
      <c r="S415" s="4">
        <v>85</v>
      </c>
      <c r="T415" s="4">
        <v>88</v>
      </c>
      <c r="U415" s="5" t="s">
        <v>4281</v>
      </c>
      <c r="V415" s="5" t="s">
        <v>4282</v>
      </c>
      <c r="W415" s="5" t="s">
        <v>69</v>
      </c>
      <c r="X415" s="5" t="s">
        <v>69</v>
      </c>
      <c r="Y415" s="4">
        <v>520</v>
      </c>
      <c r="Z415" s="4">
        <v>40</v>
      </c>
      <c r="AA415" s="4">
        <v>42</v>
      </c>
      <c r="AB415" s="4">
        <v>2</v>
      </c>
      <c r="AC415" s="4">
        <v>3</v>
      </c>
      <c r="AD415" s="4">
        <v>132</v>
      </c>
      <c r="AE415" s="4">
        <v>134</v>
      </c>
      <c r="AF415" s="4">
        <v>1</v>
      </c>
      <c r="AG415" s="4">
        <v>2</v>
      </c>
      <c r="AH415" s="4">
        <v>107</v>
      </c>
      <c r="AI415" s="4">
        <v>109</v>
      </c>
      <c r="AJ415" s="4">
        <v>20</v>
      </c>
      <c r="AK415" s="4">
        <v>22</v>
      </c>
      <c r="AL415" s="4">
        <v>59</v>
      </c>
      <c r="AM415" s="4">
        <v>59</v>
      </c>
      <c r="AN415" s="4">
        <v>0</v>
      </c>
      <c r="AO415" s="4">
        <v>0</v>
      </c>
      <c r="AP415" s="4">
        <v>32</v>
      </c>
      <c r="AQ415" s="4">
        <v>34</v>
      </c>
      <c r="AR415" s="3" t="s">
        <v>63</v>
      </c>
      <c r="AS415" s="3" t="s">
        <v>63</v>
      </c>
      <c r="AT415" s="3" t="s">
        <v>63</v>
      </c>
      <c r="AV415" s="6" t="str">
        <f>HYPERLINK("http://mcgill.on.worldcat.org/oclc/10484277","Catalog Record")</f>
        <v>Catalog Record</v>
      </c>
      <c r="AW415" s="6" t="str">
        <f>HYPERLINK("http://www.worldcat.org/oclc/10484277","WorldCat Record")</f>
        <v>WorldCat Record</v>
      </c>
      <c r="AX415" s="3" t="s">
        <v>4283</v>
      </c>
      <c r="AY415" s="3" t="s">
        <v>4284</v>
      </c>
      <c r="AZ415" s="3" t="s">
        <v>4285</v>
      </c>
      <c r="BA415" s="3" t="s">
        <v>4285</v>
      </c>
      <c r="BB415" s="3" t="s">
        <v>4286</v>
      </c>
      <c r="BC415" s="3" t="s">
        <v>82</v>
      </c>
      <c r="BD415" s="3" t="s">
        <v>70</v>
      </c>
      <c r="BE415" s="3" t="s">
        <v>4287</v>
      </c>
      <c r="BF415" s="3" t="s">
        <v>4286</v>
      </c>
      <c r="BG415" s="3" t="s">
        <v>4288</v>
      </c>
    </row>
    <row r="416" spans="1:59" ht="60" x14ac:dyDescent="0.25">
      <c r="A416" s="2" t="s">
        <v>59</v>
      </c>
      <c r="B416" s="2" t="s">
        <v>60</v>
      </c>
      <c r="C416" s="2" t="s">
        <v>4275</v>
      </c>
      <c r="D416" s="2" t="s">
        <v>4276</v>
      </c>
      <c r="E416" s="2" t="s">
        <v>4277</v>
      </c>
      <c r="G416" s="3" t="s">
        <v>63</v>
      </c>
      <c r="I416" s="3" t="s">
        <v>62</v>
      </c>
      <c r="J416" s="3" t="s">
        <v>63</v>
      </c>
      <c r="K416" s="3" t="s">
        <v>64</v>
      </c>
      <c r="L416" s="2" t="s">
        <v>4278</v>
      </c>
      <c r="M416" s="2" t="s">
        <v>4279</v>
      </c>
      <c r="N416" s="3" t="s">
        <v>455</v>
      </c>
      <c r="P416" s="3" t="s">
        <v>66</v>
      </c>
      <c r="Q416" s="2" t="s">
        <v>4280</v>
      </c>
      <c r="R416" s="3" t="s">
        <v>67</v>
      </c>
      <c r="S416" s="4">
        <v>3</v>
      </c>
      <c r="T416" s="4">
        <v>88</v>
      </c>
      <c r="U416" s="5" t="s">
        <v>4282</v>
      </c>
      <c r="V416" s="5" t="s">
        <v>4282</v>
      </c>
      <c r="W416" s="5" t="s">
        <v>69</v>
      </c>
      <c r="X416" s="5" t="s">
        <v>69</v>
      </c>
      <c r="Y416" s="4">
        <v>520</v>
      </c>
      <c r="Z416" s="4">
        <v>40</v>
      </c>
      <c r="AA416" s="4">
        <v>42</v>
      </c>
      <c r="AB416" s="4">
        <v>2</v>
      </c>
      <c r="AC416" s="4">
        <v>3</v>
      </c>
      <c r="AD416" s="4">
        <v>132</v>
      </c>
      <c r="AE416" s="4">
        <v>134</v>
      </c>
      <c r="AF416" s="4">
        <v>1</v>
      </c>
      <c r="AG416" s="4">
        <v>2</v>
      </c>
      <c r="AH416" s="4">
        <v>107</v>
      </c>
      <c r="AI416" s="4">
        <v>109</v>
      </c>
      <c r="AJ416" s="4">
        <v>20</v>
      </c>
      <c r="AK416" s="4">
        <v>22</v>
      </c>
      <c r="AL416" s="4">
        <v>59</v>
      </c>
      <c r="AM416" s="4">
        <v>59</v>
      </c>
      <c r="AN416" s="4">
        <v>0</v>
      </c>
      <c r="AO416" s="4">
        <v>0</v>
      </c>
      <c r="AP416" s="4">
        <v>32</v>
      </c>
      <c r="AQ416" s="4">
        <v>34</v>
      </c>
      <c r="AR416" s="3" t="s">
        <v>63</v>
      </c>
      <c r="AS416" s="3" t="s">
        <v>63</v>
      </c>
      <c r="AT416" s="3" t="s">
        <v>63</v>
      </c>
      <c r="AV416" s="6" t="str">
        <f>HYPERLINK("http://mcgill.on.worldcat.org/oclc/10484277","Catalog Record")</f>
        <v>Catalog Record</v>
      </c>
      <c r="AW416" s="6" t="str">
        <f>HYPERLINK("http://www.worldcat.org/oclc/10484277","WorldCat Record")</f>
        <v>WorldCat Record</v>
      </c>
      <c r="AX416" s="3" t="s">
        <v>4283</v>
      </c>
      <c r="AY416" s="3" t="s">
        <v>4284</v>
      </c>
      <c r="AZ416" s="3" t="s">
        <v>4285</v>
      </c>
      <c r="BA416" s="3" t="s">
        <v>4285</v>
      </c>
      <c r="BB416" s="3" t="s">
        <v>4289</v>
      </c>
      <c r="BC416" s="3" t="s">
        <v>82</v>
      </c>
      <c r="BD416" s="3" t="s">
        <v>70</v>
      </c>
      <c r="BE416" s="3" t="s">
        <v>4287</v>
      </c>
      <c r="BF416" s="3" t="s">
        <v>4289</v>
      </c>
      <c r="BG416" s="3" t="s">
        <v>4290</v>
      </c>
    </row>
    <row r="417" spans="1:59" ht="60" x14ac:dyDescent="0.25">
      <c r="A417" s="2" t="s">
        <v>59</v>
      </c>
      <c r="B417" s="2" t="s">
        <v>60</v>
      </c>
      <c r="C417" s="2" t="s">
        <v>4291</v>
      </c>
      <c r="D417" s="2" t="s">
        <v>4292</v>
      </c>
      <c r="E417" s="2" t="s">
        <v>4293</v>
      </c>
      <c r="G417" s="3" t="s">
        <v>63</v>
      </c>
      <c r="I417" s="3" t="s">
        <v>62</v>
      </c>
      <c r="J417" s="3" t="s">
        <v>63</v>
      </c>
      <c r="K417" s="3" t="s">
        <v>64</v>
      </c>
      <c r="L417" s="2" t="s">
        <v>4294</v>
      </c>
      <c r="M417" s="2" t="s">
        <v>4295</v>
      </c>
      <c r="N417" s="3" t="s">
        <v>2393</v>
      </c>
      <c r="P417" s="3" t="s">
        <v>66</v>
      </c>
      <c r="R417" s="3" t="s">
        <v>67</v>
      </c>
      <c r="S417" s="4">
        <v>8</v>
      </c>
      <c r="T417" s="4">
        <v>23</v>
      </c>
      <c r="U417" s="5" t="s">
        <v>4296</v>
      </c>
      <c r="V417" s="5" t="s">
        <v>4297</v>
      </c>
      <c r="W417" s="5" t="s">
        <v>69</v>
      </c>
      <c r="X417" s="5" t="s">
        <v>69</v>
      </c>
      <c r="Y417" s="4">
        <v>573</v>
      </c>
      <c r="Z417" s="4">
        <v>32</v>
      </c>
      <c r="AA417" s="4">
        <v>33</v>
      </c>
      <c r="AB417" s="4">
        <v>2</v>
      </c>
      <c r="AC417" s="4">
        <v>3</v>
      </c>
      <c r="AD417" s="4">
        <v>124</v>
      </c>
      <c r="AE417" s="4">
        <v>125</v>
      </c>
      <c r="AF417" s="4">
        <v>1</v>
      </c>
      <c r="AG417" s="4">
        <v>2</v>
      </c>
      <c r="AH417" s="4">
        <v>105</v>
      </c>
      <c r="AI417" s="4">
        <v>105</v>
      </c>
      <c r="AJ417" s="4">
        <v>21</v>
      </c>
      <c r="AK417" s="4">
        <v>22</v>
      </c>
      <c r="AL417" s="4">
        <v>59</v>
      </c>
      <c r="AM417" s="4">
        <v>59</v>
      </c>
      <c r="AN417" s="4">
        <v>0</v>
      </c>
      <c r="AO417" s="4">
        <v>0</v>
      </c>
      <c r="AP417" s="4">
        <v>25</v>
      </c>
      <c r="AQ417" s="4">
        <v>26</v>
      </c>
      <c r="AR417" s="3" t="s">
        <v>63</v>
      </c>
      <c r="AS417" s="3" t="s">
        <v>63</v>
      </c>
      <c r="AT417" s="3" t="s">
        <v>62</v>
      </c>
      <c r="AU417" s="6" t="str">
        <f>HYPERLINK("http://catalog.hathitrust.org/Record/001224006","HathiTrust Record")</f>
        <v>HathiTrust Record</v>
      </c>
      <c r="AV417" s="6" t="str">
        <f>HYPERLINK("http://mcgill.on.worldcat.org/oclc/724193","Catalog Record")</f>
        <v>Catalog Record</v>
      </c>
      <c r="AW417" s="6" t="str">
        <f>HYPERLINK("http://www.worldcat.org/oclc/724193","WorldCat Record")</f>
        <v>WorldCat Record</v>
      </c>
      <c r="AX417" s="3" t="s">
        <v>4298</v>
      </c>
      <c r="AY417" s="3" t="s">
        <v>4299</v>
      </c>
      <c r="AZ417" s="3" t="s">
        <v>4300</v>
      </c>
      <c r="BA417" s="3" t="s">
        <v>4300</v>
      </c>
      <c r="BB417" s="3" t="s">
        <v>4301</v>
      </c>
      <c r="BC417" s="3" t="s">
        <v>82</v>
      </c>
      <c r="BD417" s="3" t="s">
        <v>70</v>
      </c>
      <c r="BE417" s="3" t="s">
        <v>4302</v>
      </c>
      <c r="BF417" s="3" t="s">
        <v>4301</v>
      </c>
      <c r="BG417" s="3" t="s">
        <v>4303</v>
      </c>
    </row>
    <row r="418" spans="1:59" ht="60" x14ac:dyDescent="0.25">
      <c r="A418" s="2" t="s">
        <v>59</v>
      </c>
      <c r="B418" s="2" t="s">
        <v>60</v>
      </c>
      <c r="C418" s="2" t="s">
        <v>4291</v>
      </c>
      <c r="D418" s="2" t="s">
        <v>4292</v>
      </c>
      <c r="E418" s="2" t="s">
        <v>4293</v>
      </c>
      <c r="G418" s="3" t="s">
        <v>63</v>
      </c>
      <c r="I418" s="3" t="s">
        <v>62</v>
      </c>
      <c r="J418" s="3" t="s">
        <v>63</v>
      </c>
      <c r="K418" s="3" t="s">
        <v>64</v>
      </c>
      <c r="L418" s="2" t="s">
        <v>4294</v>
      </c>
      <c r="M418" s="2" t="s">
        <v>4295</v>
      </c>
      <c r="N418" s="3" t="s">
        <v>2393</v>
      </c>
      <c r="P418" s="3" t="s">
        <v>66</v>
      </c>
      <c r="R418" s="3" t="s">
        <v>67</v>
      </c>
      <c r="S418" s="4">
        <v>5</v>
      </c>
      <c r="T418" s="4">
        <v>23</v>
      </c>
      <c r="U418" s="5" t="s">
        <v>4304</v>
      </c>
      <c r="V418" s="5" t="s">
        <v>4297</v>
      </c>
      <c r="W418" s="5" t="s">
        <v>69</v>
      </c>
      <c r="X418" s="5" t="s">
        <v>69</v>
      </c>
      <c r="Y418" s="4">
        <v>573</v>
      </c>
      <c r="Z418" s="4">
        <v>32</v>
      </c>
      <c r="AA418" s="4">
        <v>33</v>
      </c>
      <c r="AB418" s="4">
        <v>2</v>
      </c>
      <c r="AC418" s="4">
        <v>3</v>
      </c>
      <c r="AD418" s="4">
        <v>124</v>
      </c>
      <c r="AE418" s="4">
        <v>125</v>
      </c>
      <c r="AF418" s="4">
        <v>1</v>
      </c>
      <c r="AG418" s="4">
        <v>2</v>
      </c>
      <c r="AH418" s="4">
        <v>105</v>
      </c>
      <c r="AI418" s="4">
        <v>105</v>
      </c>
      <c r="AJ418" s="4">
        <v>21</v>
      </c>
      <c r="AK418" s="4">
        <v>22</v>
      </c>
      <c r="AL418" s="4">
        <v>59</v>
      </c>
      <c r="AM418" s="4">
        <v>59</v>
      </c>
      <c r="AN418" s="4">
        <v>0</v>
      </c>
      <c r="AO418" s="4">
        <v>0</v>
      </c>
      <c r="AP418" s="4">
        <v>25</v>
      </c>
      <c r="AQ418" s="4">
        <v>26</v>
      </c>
      <c r="AR418" s="3" t="s">
        <v>63</v>
      </c>
      <c r="AS418" s="3" t="s">
        <v>63</v>
      </c>
      <c r="AT418" s="3" t="s">
        <v>62</v>
      </c>
      <c r="AU418" s="6" t="str">
        <f>HYPERLINK("http://catalog.hathitrust.org/Record/001224006","HathiTrust Record")</f>
        <v>HathiTrust Record</v>
      </c>
      <c r="AV418" s="6" t="str">
        <f>HYPERLINK("http://mcgill.on.worldcat.org/oclc/724193","Catalog Record")</f>
        <v>Catalog Record</v>
      </c>
      <c r="AW418" s="6" t="str">
        <f>HYPERLINK("http://www.worldcat.org/oclc/724193","WorldCat Record")</f>
        <v>WorldCat Record</v>
      </c>
      <c r="AX418" s="3" t="s">
        <v>4298</v>
      </c>
      <c r="AY418" s="3" t="s">
        <v>4299</v>
      </c>
      <c r="AZ418" s="3" t="s">
        <v>4300</v>
      </c>
      <c r="BA418" s="3" t="s">
        <v>4300</v>
      </c>
      <c r="BB418" s="3" t="s">
        <v>4305</v>
      </c>
      <c r="BC418" s="3" t="s">
        <v>82</v>
      </c>
      <c r="BD418" s="3" t="s">
        <v>70</v>
      </c>
      <c r="BE418" s="3" t="s">
        <v>4302</v>
      </c>
      <c r="BF418" s="3" t="s">
        <v>4305</v>
      </c>
      <c r="BG418" s="3" t="s">
        <v>4306</v>
      </c>
    </row>
    <row r="419" spans="1:59" ht="60" x14ac:dyDescent="0.25">
      <c r="A419" s="2" t="s">
        <v>59</v>
      </c>
      <c r="B419" s="2" t="s">
        <v>60</v>
      </c>
      <c r="C419" s="2" t="s">
        <v>4291</v>
      </c>
      <c r="D419" s="2" t="s">
        <v>4292</v>
      </c>
      <c r="E419" s="2" t="s">
        <v>4293</v>
      </c>
      <c r="G419" s="3" t="s">
        <v>63</v>
      </c>
      <c r="I419" s="3" t="s">
        <v>62</v>
      </c>
      <c r="J419" s="3" t="s">
        <v>63</v>
      </c>
      <c r="K419" s="3" t="s">
        <v>64</v>
      </c>
      <c r="L419" s="2" t="s">
        <v>4294</v>
      </c>
      <c r="M419" s="2" t="s">
        <v>4295</v>
      </c>
      <c r="N419" s="3" t="s">
        <v>2393</v>
      </c>
      <c r="P419" s="3" t="s">
        <v>66</v>
      </c>
      <c r="R419" s="3" t="s">
        <v>67</v>
      </c>
      <c r="S419" s="4">
        <v>10</v>
      </c>
      <c r="T419" s="4">
        <v>23</v>
      </c>
      <c r="U419" s="5" t="s">
        <v>4297</v>
      </c>
      <c r="V419" s="5" t="s">
        <v>4297</v>
      </c>
      <c r="W419" s="5" t="s">
        <v>69</v>
      </c>
      <c r="X419" s="5" t="s">
        <v>69</v>
      </c>
      <c r="Y419" s="4">
        <v>573</v>
      </c>
      <c r="Z419" s="4">
        <v>32</v>
      </c>
      <c r="AA419" s="4">
        <v>33</v>
      </c>
      <c r="AB419" s="4">
        <v>2</v>
      </c>
      <c r="AC419" s="4">
        <v>3</v>
      </c>
      <c r="AD419" s="4">
        <v>124</v>
      </c>
      <c r="AE419" s="4">
        <v>125</v>
      </c>
      <c r="AF419" s="4">
        <v>1</v>
      </c>
      <c r="AG419" s="4">
        <v>2</v>
      </c>
      <c r="AH419" s="4">
        <v>105</v>
      </c>
      <c r="AI419" s="4">
        <v>105</v>
      </c>
      <c r="AJ419" s="4">
        <v>21</v>
      </c>
      <c r="AK419" s="4">
        <v>22</v>
      </c>
      <c r="AL419" s="4">
        <v>59</v>
      </c>
      <c r="AM419" s="4">
        <v>59</v>
      </c>
      <c r="AN419" s="4">
        <v>0</v>
      </c>
      <c r="AO419" s="4">
        <v>0</v>
      </c>
      <c r="AP419" s="4">
        <v>25</v>
      </c>
      <c r="AQ419" s="4">
        <v>26</v>
      </c>
      <c r="AR419" s="3" t="s">
        <v>63</v>
      </c>
      <c r="AS419" s="3" t="s">
        <v>63</v>
      </c>
      <c r="AT419" s="3" t="s">
        <v>62</v>
      </c>
      <c r="AU419" s="6" t="str">
        <f>HYPERLINK("http://catalog.hathitrust.org/Record/001224006","HathiTrust Record")</f>
        <v>HathiTrust Record</v>
      </c>
      <c r="AV419" s="6" t="str">
        <f>HYPERLINK("http://mcgill.on.worldcat.org/oclc/724193","Catalog Record")</f>
        <v>Catalog Record</v>
      </c>
      <c r="AW419" s="6" t="str">
        <f>HYPERLINK("http://www.worldcat.org/oclc/724193","WorldCat Record")</f>
        <v>WorldCat Record</v>
      </c>
      <c r="AX419" s="3" t="s">
        <v>4298</v>
      </c>
      <c r="AY419" s="3" t="s">
        <v>4299</v>
      </c>
      <c r="AZ419" s="3" t="s">
        <v>4300</v>
      </c>
      <c r="BA419" s="3" t="s">
        <v>4300</v>
      </c>
      <c r="BB419" s="3" t="s">
        <v>4307</v>
      </c>
      <c r="BC419" s="3" t="s">
        <v>82</v>
      </c>
      <c r="BD419" s="3" t="s">
        <v>70</v>
      </c>
      <c r="BE419" s="3" t="s">
        <v>4302</v>
      </c>
      <c r="BF419" s="3" t="s">
        <v>4307</v>
      </c>
      <c r="BG419" s="3" t="s">
        <v>4308</v>
      </c>
    </row>
    <row r="420" spans="1:59" ht="60" x14ac:dyDescent="0.25">
      <c r="A420" s="2" t="s">
        <v>59</v>
      </c>
      <c r="B420" s="2" t="s">
        <v>60</v>
      </c>
      <c r="C420" s="2" t="s">
        <v>4309</v>
      </c>
      <c r="D420" s="2" t="s">
        <v>4310</v>
      </c>
      <c r="E420" s="2" t="s">
        <v>4311</v>
      </c>
      <c r="G420" s="3" t="s">
        <v>63</v>
      </c>
      <c r="I420" s="3" t="s">
        <v>63</v>
      </c>
      <c r="J420" s="3" t="s">
        <v>63</v>
      </c>
      <c r="K420" s="3" t="s">
        <v>64</v>
      </c>
      <c r="L420" s="2" t="s">
        <v>4312</v>
      </c>
      <c r="M420" s="2" t="s">
        <v>4313</v>
      </c>
      <c r="N420" s="3" t="s">
        <v>427</v>
      </c>
      <c r="P420" s="3" t="s">
        <v>66</v>
      </c>
      <c r="R420" s="3" t="s">
        <v>67</v>
      </c>
      <c r="S420" s="4">
        <v>32</v>
      </c>
      <c r="T420" s="4">
        <v>32</v>
      </c>
      <c r="U420" s="5" t="s">
        <v>4314</v>
      </c>
      <c r="V420" s="5" t="s">
        <v>4314</v>
      </c>
      <c r="W420" s="5" t="s">
        <v>69</v>
      </c>
      <c r="X420" s="5" t="s">
        <v>69</v>
      </c>
      <c r="Y420" s="4">
        <v>314</v>
      </c>
      <c r="Z420" s="4">
        <v>19</v>
      </c>
      <c r="AA420" s="4">
        <v>20</v>
      </c>
      <c r="AB420" s="4">
        <v>1</v>
      </c>
      <c r="AC420" s="4">
        <v>2</v>
      </c>
      <c r="AD420" s="4">
        <v>112</v>
      </c>
      <c r="AE420" s="4">
        <v>113</v>
      </c>
      <c r="AF420" s="4">
        <v>0</v>
      </c>
      <c r="AG420" s="4">
        <v>1</v>
      </c>
      <c r="AH420" s="4">
        <v>102</v>
      </c>
      <c r="AI420" s="4">
        <v>103</v>
      </c>
      <c r="AJ420" s="4">
        <v>17</v>
      </c>
      <c r="AK420" s="4">
        <v>18</v>
      </c>
      <c r="AL420" s="4">
        <v>55</v>
      </c>
      <c r="AM420" s="4">
        <v>55</v>
      </c>
      <c r="AN420" s="4">
        <v>0</v>
      </c>
      <c r="AO420" s="4">
        <v>0</v>
      </c>
      <c r="AP420" s="4">
        <v>17</v>
      </c>
      <c r="AQ420" s="4">
        <v>18</v>
      </c>
      <c r="AR420" s="3" t="s">
        <v>63</v>
      </c>
      <c r="AS420" s="3" t="s">
        <v>63</v>
      </c>
      <c r="AT420" s="3" t="s">
        <v>62</v>
      </c>
      <c r="AU420" s="6" t="str">
        <f>HYPERLINK("http://catalog.hathitrust.org/Record/001093197","HathiTrust Record")</f>
        <v>HathiTrust Record</v>
      </c>
      <c r="AV420" s="6" t="str">
        <f>HYPERLINK("http://mcgill.on.worldcat.org/oclc/17621740","Catalog Record")</f>
        <v>Catalog Record</v>
      </c>
      <c r="AW420" s="6" t="str">
        <f>HYPERLINK("http://www.worldcat.org/oclc/17621740","WorldCat Record")</f>
        <v>WorldCat Record</v>
      </c>
      <c r="AX420" s="3" t="s">
        <v>4315</v>
      </c>
      <c r="AY420" s="3" t="s">
        <v>4316</v>
      </c>
      <c r="AZ420" s="3" t="s">
        <v>4317</v>
      </c>
      <c r="BA420" s="3" t="s">
        <v>4317</v>
      </c>
      <c r="BB420" s="3" t="s">
        <v>4318</v>
      </c>
      <c r="BC420" s="3" t="s">
        <v>82</v>
      </c>
      <c r="BD420" s="3" t="s">
        <v>70</v>
      </c>
      <c r="BE420" s="3" t="s">
        <v>4319</v>
      </c>
      <c r="BF420" s="3" t="s">
        <v>4318</v>
      </c>
      <c r="BG420" s="3" t="s">
        <v>4320</v>
      </c>
    </row>
    <row r="421" spans="1:59" ht="75" x14ac:dyDescent="0.25">
      <c r="A421" s="2" t="s">
        <v>59</v>
      </c>
      <c r="B421" s="2" t="s">
        <v>60</v>
      </c>
      <c r="C421" s="2" t="s">
        <v>4321</v>
      </c>
      <c r="D421" s="2" t="s">
        <v>4322</v>
      </c>
      <c r="E421" s="2" t="s">
        <v>4323</v>
      </c>
      <c r="G421" s="3" t="s">
        <v>63</v>
      </c>
      <c r="I421" s="3" t="s">
        <v>63</v>
      </c>
      <c r="J421" s="3" t="s">
        <v>62</v>
      </c>
      <c r="K421" s="3" t="s">
        <v>64</v>
      </c>
      <c r="L421" s="2" t="s">
        <v>4324</v>
      </c>
      <c r="M421" s="2" t="s">
        <v>4325</v>
      </c>
      <c r="N421" s="3" t="s">
        <v>1226</v>
      </c>
      <c r="P421" s="3" t="s">
        <v>66</v>
      </c>
      <c r="R421" s="3" t="s">
        <v>67</v>
      </c>
      <c r="S421" s="4">
        <v>7</v>
      </c>
      <c r="T421" s="4">
        <v>7</v>
      </c>
      <c r="U421" s="5" t="s">
        <v>4326</v>
      </c>
      <c r="V421" s="5" t="s">
        <v>4326</v>
      </c>
      <c r="W421" s="5" t="s">
        <v>69</v>
      </c>
      <c r="X421" s="5" t="s">
        <v>69</v>
      </c>
      <c r="Y421" s="4">
        <v>35</v>
      </c>
      <c r="Z421" s="4">
        <v>2</v>
      </c>
      <c r="AA421" s="4">
        <v>21</v>
      </c>
      <c r="AB421" s="4">
        <v>1</v>
      </c>
      <c r="AC421" s="4">
        <v>3</v>
      </c>
      <c r="AD421" s="4">
        <v>25</v>
      </c>
      <c r="AE421" s="4">
        <v>96</v>
      </c>
      <c r="AF421" s="4">
        <v>0</v>
      </c>
      <c r="AG421" s="4">
        <v>1</v>
      </c>
      <c r="AH421" s="4">
        <v>24</v>
      </c>
      <c r="AI421" s="4">
        <v>87</v>
      </c>
      <c r="AJ421" s="4">
        <v>1</v>
      </c>
      <c r="AK421" s="4">
        <v>11</v>
      </c>
      <c r="AL421" s="4">
        <v>21</v>
      </c>
      <c r="AM421" s="4">
        <v>50</v>
      </c>
      <c r="AN421" s="4">
        <v>0</v>
      </c>
      <c r="AO421" s="4">
        <v>0</v>
      </c>
      <c r="AP421" s="4">
        <v>1</v>
      </c>
      <c r="AQ421" s="4">
        <v>11</v>
      </c>
      <c r="AR421" s="3" t="s">
        <v>63</v>
      </c>
      <c r="AS421" s="3" t="s">
        <v>63</v>
      </c>
      <c r="AT421" s="3" t="s">
        <v>62</v>
      </c>
      <c r="AU421" s="6" t="str">
        <f>HYPERLINK("http://catalog.hathitrust.org/Record/004721734","HathiTrust Record")</f>
        <v>HathiTrust Record</v>
      </c>
      <c r="AV421" s="6" t="str">
        <f>HYPERLINK("http://mcgill.on.worldcat.org/oclc/52829501","Catalog Record")</f>
        <v>Catalog Record</v>
      </c>
      <c r="AW421" s="6" t="str">
        <f>HYPERLINK("http://www.worldcat.org/oclc/52829501","WorldCat Record")</f>
        <v>WorldCat Record</v>
      </c>
      <c r="AX421" s="3" t="s">
        <v>4327</v>
      </c>
      <c r="AY421" s="3" t="s">
        <v>4328</v>
      </c>
      <c r="AZ421" s="3" t="s">
        <v>4329</v>
      </c>
      <c r="BA421" s="3" t="s">
        <v>4329</v>
      </c>
      <c r="BB421" s="3" t="s">
        <v>4330</v>
      </c>
      <c r="BC421" s="3" t="s">
        <v>82</v>
      </c>
      <c r="BD421" s="3" t="s">
        <v>70</v>
      </c>
      <c r="BE421" s="3" t="s">
        <v>4331</v>
      </c>
      <c r="BF421" s="3" t="s">
        <v>4330</v>
      </c>
      <c r="BG421" s="3" t="s">
        <v>4332</v>
      </c>
    </row>
    <row r="422" spans="1:59" ht="60" x14ac:dyDescent="0.25">
      <c r="A422" s="2" t="s">
        <v>59</v>
      </c>
      <c r="B422" s="2" t="s">
        <v>60</v>
      </c>
      <c r="C422" s="2" t="s">
        <v>4333</v>
      </c>
      <c r="D422" s="2" t="s">
        <v>4334</v>
      </c>
      <c r="E422" s="2" t="s">
        <v>4335</v>
      </c>
      <c r="G422" s="3" t="s">
        <v>63</v>
      </c>
      <c r="I422" s="3" t="s">
        <v>63</v>
      </c>
      <c r="J422" s="3" t="s">
        <v>63</v>
      </c>
      <c r="K422" s="3" t="s">
        <v>64</v>
      </c>
      <c r="L422" s="2" t="s">
        <v>4336</v>
      </c>
      <c r="M422" s="2" t="s">
        <v>4337</v>
      </c>
      <c r="N422" s="3" t="s">
        <v>362</v>
      </c>
      <c r="P422" s="3" t="s">
        <v>66</v>
      </c>
      <c r="R422" s="3" t="s">
        <v>67</v>
      </c>
      <c r="S422" s="4">
        <v>14</v>
      </c>
      <c r="T422" s="4">
        <v>14</v>
      </c>
      <c r="U422" s="5" t="s">
        <v>4338</v>
      </c>
      <c r="V422" s="5" t="s">
        <v>4338</v>
      </c>
      <c r="W422" s="5" t="s">
        <v>69</v>
      </c>
      <c r="X422" s="5" t="s">
        <v>69</v>
      </c>
      <c r="Y422" s="4">
        <v>408</v>
      </c>
      <c r="Z422" s="4">
        <v>21</v>
      </c>
      <c r="AA422" s="4">
        <v>114</v>
      </c>
      <c r="AB422" s="4">
        <v>2</v>
      </c>
      <c r="AC422" s="4">
        <v>19</v>
      </c>
      <c r="AD422" s="4">
        <v>104</v>
      </c>
      <c r="AE422" s="4">
        <v>146</v>
      </c>
      <c r="AF422" s="4">
        <v>0</v>
      </c>
      <c r="AG422" s="4">
        <v>8</v>
      </c>
      <c r="AH422" s="4">
        <v>95</v>
      </c>
      <c r="AI422" s="4">
        <v>106</v>
      </c>
      <c r="AJ422" s="4">
        <v>11</v>
      </c>
      <c r="AK422" s="4">
        <v>23</v>
      </c>
      <c r="AL422" s="4">
        <v>51</v>
      </c>
      <c r="AM422" s="4">
        <v>56</v>
      </c>
      <c r="AN422" s="4">
        <v>0</v>
      </c>
      <c r="AO422" s="4">
        <v>0</v>
      </c>
      <c r="AP422" s="4">
        <v>15</v>
      </c>
      <c r="AQ422" s="4">
        <v>47</v>
      </c>
      <c r="AR422" s="3" t="s">
        <v>63</v>
      </c>
      <c r="AS422" s="3" t="s">
        <v>63</v>
      </c>
      <c r="AT422" s="3" t="s">
        <v>63</v>
      </c>
      <c r="AV422" s="6" t="str">
        <f>HYPERLINK("http://mcgill.on.worldcat.org/oclc/44868881","Catalog Record")</f>
        <v>Catalog Record</v>
      </c>
      <c r="AW422" s="6" t="str">
        <f>HYPERLINK("http://www.worldcat.org/oclc/44868881","WorldCat Record")</f>
        <v>WorldCat Record</v>
      </c>
      <c r="AX422" s="3" t="s">
        <v>4339</v>
      </c>
      <c r="AY422" s="3" t="s">
        <v>4340</v>
      </c>
      <c r="AZ422" s="3" t="s">
        <v>4341</v>
      </c>
      <c r="BA422" s="3" t="s">
        <v>4341</v>
      </c>
      <c r="BB422" s="3" t="s">
        <v>4342</v>
      </c>
      <c r="BC422" s="3" t="s">
        <v>82</v>
      </c>
      <c r="BD422" s="3" t="s">
        <v>70</v>
      </c>
      <c r="BE422" s="3" t="s">
        <v>4343</v>
      </c>
      <c r="BF422" s="3" t="s">
        <v>4342</v>
      </c>
      <c r="BG422" s="3" t="s">
        <v>4344</v>
      </c>
    </row>
    <row r="423" spans="1:59" ht="60" x14ac:dyDescent="0.25">
      <c r="A423" s="2" t="s">
        <v>59</v>
      </c>
      <c r="B423" s="2" t="s">
        <v>60</v>
      </c>
      <c r="C423" s="2" t="s">
        <v>4345</v>
      </c>
      <c r="D423" s="2" t="s">
        <v>4346</v>
      </c>
      <c r="E423" s="2" t="s">
        <v>4347</v>
      </c>
      <c r="G423" s="3" t="s">
        <v>63</v>
      </c>
      <c r="I423" s="3" t="s">
        <v>63</v>
      </c>
      <c r="J423" s="3" t="s">
        <v>63</v>
      </c>
      <c r="K423" s="3" t="s">
        <v>64</v>
      </c>
      <c r="L423" s="2" t="s">
        <v>4348</v>
      </c>
      <c r="M423" s="2" t="s">
        <v>4349</v>
      </c>
      <c r="N423" s="3" t="s">
        <v>826</v>
      </c>
      <c r="P423" s="3" t="s">
        <v>66</v>
      </c>
      <c r="Q423" s="2" t="s">
        <v>4350</v>
      </c>
      <c r="R423" s="3" t="s">
        <v>67</v>
      </c>
      <c r="S423" s="4">
        <v>1</v>
      </c>
      <c r="T423" s="4">
        <v>1</v>
      </c>
      <c r="U423" s="5" t="s">
        <v>4351</v>
      </c>
      <c r="V423" s="5" t="s">
        <v>4351</v>
      </c>
      <c r="W423" s="5" t="s">
        <v>69</v>
      </c>
      <c r="X423" s="5" t="s">
        <v>69</v>
      </c>
      <c r="Y423" s="4">
        <v>465</v>
      </c>
      <c r="Z423" s="4">
        <v>28</v>
      </c>
      <c r="AA423" s="4">
        <v>29</v>
      </c>
      <c r="AB423" s="4">
        <v>2</v>
      </c>
      <c r="AC423" s="4">
        <v>3</v>
      </c>
      <c r="AD423" s="4">
        <v>115</v>
      </c>
      <c r="AE423" s="4">
        <v>116</v>
      </c>
      <c r="AF423" s="4">
        <v>1</v>
      </c>
      <c r="AG423" s="4">
        <v>1</v>
      </c>
      <c r="AH423" s="4">
        <v>96</v>
      </c>
      <c r="AI423" s="4">
        <v>97</v>
      </c>
      <c r="AJ423" s="4">
        <v>17</v>
      </c>
      <c r="AK423" s="4">
        <v>17</v>
      </c>
      <c r="AL423" s="4">
        <v>53</v>
      </c>
      <c r="AM423" s="4">
        <v>53</v>
      </c>
      <c r="AN423" s="4">
        <v>0</v>
      </c>
      <c r="AO423" s="4">
        <v>0</v>
      </c>
      <c r="AP423" s="4">
        <v>23</v>
      </c>
      <c r="AQ423" s="4">
        <v>23</v>
      </c>
      <c r="AR423" s="3" t="s">
        <v>63</v>
      </c>
      <c r="AS423" s="3" t="s">
        <v>63</v>
      </c>
      <c r="AT423" s="3" t="s">
        <v>62</v>
      </c>
      <c r="AU423" s="6" t="str">
        <f>HYPERLINK("http://catalog.hathitrust.org/Record/001060925","HathiTrust Record")</f>
        <v>HathiTrust Record</v>
      </c>
      <c r="AV423" s="6" t="str">
        <f>HYPERLINK("http://mcgill.on.worldcat.org/oclc/136101","Catalog Record")</f>
        <v>Catalog Record</v>
      </c>
      <c r="AW423" s="6" t="str">
        <f>HYPERLINK("http://www.worldcat.org/oclc/136101","WorldCat Record")</f>
        <v>WorldCat Record</v>
      </c>
      <c r="AX423" s="3" t="s">
        <v>4352</v>
      </c>
      <c r="AY423" s="3" t="s">
        <v>4353</v>
      </c>
      <c r="AZ423" s="3" t="s">
        <v>4354</v>
      </c>
      <c r="BA423" s="3" t="s">
        <v>4354</v>
      </c>
      <c r="BB423" s="3" t="s">
        <v>4355</v>
      </c>
      <c r="BC423" s="3" t="s">
        <v>82</v>
      </c>
      <c r="BD423" s="3" t="s">
        <v>70</v>
      </c>
      <c r="BE423" s="3" t="s">
        <v>4356</v>
      </c>
      <c r="BF423" s="3" t="s">
        <v>4355</v>
      </c>
      <c r="BG423" s="3" t="s">
        <v>4357</v>
      </c>
    </row>
    <row r="424" spans="1:59" ht="60" x14ac:dyDescent="0.25">
      <c r="A424" s="2" t="s">
        <v>59</v>
      </c>
      <c r="B424" s="2" t="s">
        <v>60</v>
      </c>
      <c r="C424" s="2" t="s">
        <v>4358</v>
      </c>
      <c r="D424" s="2" t="s">
        <v>4359</v>
      </c>
      <c r="E424" s="2" t="s">
        <v>4360</v>
      </c>
      <c r="G424" s="3" t="s">
        <v>63</v>
      </c>
      <c r="I424" s="3" t="s">
        <v>63</v>
      </c>
      <c r="J424" s="3" t="s">
        <v>63</v>
      </c>
      <c r="K424" s="3" t="s">
        <v>64</v>
      </c>
      <c r="L424" s="2" t="s">
        <v>4361</v>
      </c>
      <c r="M424" s="2" t="s">
        <v>4362</v>
      </c>
      <c r="N424" s="3" t="s">
        <v>668</v>
      </c>
      <c r="O424" s="2" t="s">
        <v>3661</v>
      </c>
      <c r="P424" s="3" t="s">
        <v>442</v>
      </c>
      <c r="R424" s="3" t="s">
        <v>67</v>
      </c>
      <c r="S424" s="4">
        <v>7</v>
      </c>
      <c r="T424" s="4">
        <v>7</v>
      </c>
      <c r="U424" s="5" t="s">
        <v>1929</v>
      </c>
      <c r="V424" s="5" t="s">
        <v>1929</v>
      </c>
      <c r="W424" s="5" t="s">
        <v>69</v>
      </c>
      <c r="X424" s="5" t="s">
        <v>69</v>
      </c>
      <c r="Y424" s="4">
        <v>98</v>
      </c>
      <c r="Z424" s="4">
        <v>6</v>
      </c>
      <c r="AA424" s="4">
        <v>6</v>
      </c>
      <c r="AB424" s="4">
        <v>2</v>
      </c>
      <c r="AC424" s="4">
        <v>2</v>
      </c>
      <c r="AD424" s="4">
        <v>32</v>
      </c>
      <c r="AE424" s="4">
        <v>32</v>
      </c>
      <c r="AF424" s="4">
        <v>0</v>
      </c>
      <c r="AG424" s="4">
        <v>0</v>
      </c>
      <c r="AH424" s="4">
        <v>29</v>
      </c>
      <c r="AI424" s="4">
        <v>29</v>
      </c>
      <c r="AJ424" s="4">
        <v>3</v>
      </c>
      <c r="AK424" s="4">
        <v>3</v>
      </c>
      <c r="AL424" s="4">
        <v>26</v>
      </c>
      <c r="AM424" s="4">
        <v>26</v>
      </c>
      <c r="AN424" s="4">
        <v>0</v>
      </c>
      <c r="AO424" s="4">
        <v>0</v>
      </c>
      <c r="AP424" s="4">
        <v>3</v>
      </c>
      <c r="AQ424" s="4">
        <v>3</v>
      </c>
      <c r="AR424" s="3" t="s">
        <v>63</v>
      </c>
      <c r="AS424" s="3" t="s">
        <v>63</v>
      </c>
      <c r="AT424" s="3" t="s">
        <v>63</v>
      </c>
      <c r="AV424" s="6" t="str">
        <f>HYPERLINK("http://mcgill.on.worldcat.org/oclc/22837228","Catalog Record")</f>
        <v>Catalog Record</v>
      </c>
      <c r="AW424" s="6" t="str">
        <f>HYPERLINK("http://www.worldcat.org/oclc/22837228","WorldCat Record")</f>
        <v>WorldCat Record</v>
      </c>
      <c r="AX424" s="3" t="s">
        <v>4363</v>
      </c>
      <c r="AY424" s="3" t="s">
        <v>4364</v>
      </c>
      <c r="AZ424" s="3" t="s">
        <v>4365</v>
      </c>
      <c r="BA424" s="3" t="s">
        <v>4365</v>
      </c>
      <c r="BB424" s="3" t="s">
        <v>4366</v>
      </c>
      <c r="BC424" s="3" t="s">
        <v>82</v>
      </c>
      <c r="BD424" s="3" t="s">
        <v>70</v>
      </c>
      <c r="BE424" s="3" t="s">
        <v>4367</v>
      </c>
      <c r="BF424" s="3" t="s">
        <v>4366</v>
      </c>
      <c r="BG424" s="3" t="s">
        <v>4368</v>
      </c>
    </row>
    <row r="425" spans="1:59" ht="75" x14ac:dyDescent="0.25">
      <c r="A425" s="2" t="s">
        <v>59</v>
      </c>
      <c r="B425" s="2" t="s">
        <v>60</v>
      </c>
      <c r="C425" s="2" t="s">
        <v>4369</v>
      </c>
      <c r="D425" s="2" t="s">
        <v>4370</v>
      </c>
      <c r="E425" s="2" t="s">
        <v>4371</v>
      </c>
      <c r="G425" s="3" t="s">
        <v>63</v>
      </c>
      <c r="I425" s="3" t="s">
        <v>63</v>
      </c>
      <c r="J425" s="3" t="s">
        <v>63</v>
      </c>
      <c r="K425" s="3" t="s">
        <v>64</v>
      </c>
      <c r="L425" s="2" t="s">
        <v>4361</v>
      </c>
      <c r="M425" s="2" t="s">
        <v>4372</v>
      </c>
      <c r="N425" s="3" t="s">
        <v>1113</v>
      </c>
      <c r="P425" s="3" t="s">
        <v>66</v>
      </c>
      <c r="Q425" s="2" t="s">
        <v>4373</v>
      </c>
      <c r="R425" s="3" t="s">
        <v>67</v>
      </c>
      <c r="S425" s="4">
        <v>21</v>
      </c>
      <c r="T425" s="4">
        <v>21</v>
      </c>
      <c r="U425" s="5" t="s">
        <v>4374</v>
      </c>
      <c r="V425" s="5" t="s">
        <v>4374</v>
      </c>
      <c r="W425" s="5" t="s">
        <v>69</v>
      </c>
      <c r="X425" s="5" t="s">
        <v>69</v>
      </c>
      <c r="Y425" s="4">
        <v>256</v>
      </c>
      <c r="Z425" s="4">
        <v>21</v>
      </c>
      <c r="AA425" s="4">
        <v>24</v>
      </c>
      <c r="AB425" s="4">
        <v>1</v>
      </c>
      <c r="AC425" s="4">
        <v>4</v>
      </c>
      <c r="AD425" s="4">
        <v>107</v>
      </c>
      <c r="AE425" s="4">
        <v>110</v>
      </c>
      <c r="AF425" s="4">
        <v>0</v>
      </c>
      <c r="AG425" s="4">
        <v>3</v>
      </c>
      <c r="AH425" s="4">
        <v>97</v>
      </c>
      <c r="AI425" s="4">
        <v>98</v>
      </c>
      <c r="AJ425" s="4">
        <v>16</v>
      </c>
      <c r="AK425" s="4">
        <v>19</v>
      </c>
      <c r="AL425" s="4">
        <v>54</v>
      </c>
      <c r="AM425" s="4">
        <v>54</v>
      </c>
      <c r="AN425" s="4">
        <v>0</v>
      </c>
      <c r="AO425" s="4">
        <v>0</v>
      </c>
      <c r="AP425" s="4">
        <v>18</v>
      </c>
      <c r="AQ425" s="4">
        <v>20</v>
      </c>
      <c r="AR425" s="3" t="s">
        <v>63</v>
      </c>
      <c r="AS425" s="3" t="s">
        <v>63</v>
      </c>
      <c r="AT425" s="3" t="s">
        <v>63</v>
      </c>
      <c r="AV425" s="6" t="str">
        <f>HYPERLINK("http://mcgill.on.worldcat.org/oclc/35986424","Catalog Record")</f>
        <v>Catalog Record</v>
      </c>
      <c r="AW425" s="6" t="str">
        <f>HYPERLINK("http://www.worldcat.org/oclc/35986424","WorldCat Record")</f>
        <v>WorldCat Record</v>
      </c>
      <c r="AX425" s="3" t="s">
        <v>4375</v>
      </c>
      <c r="AY425" s="3" t="s">
        <v>4376</v>
      </c>
      <c r="AZ425" s="3" t="s">
        <v>4377</v>
      </c>
      <c r="BA425" s="3" t="s">
        <v>4377</v>
      </c>
      <c r="BB425" s="3" t="s">
        <v>4378</v>
      </c>
      <c r="BC425" s="3" t="s">
        <v>82</v>
      </c>
      <c r="BD425" s="3" t="s">
        <v>70</v>
      </c>
      <c r="BE425" s="3" t="s">
        <v>4379</v>
      </c>
      <c r="BF425" s="3" t="s">
        <v>4378</v>
      </c>
      <c r="BG425" s="3" t="s">
        <v>4380</v>
      </c>
    </row>
    <row r="426" spans="1:59" ht="135" x14ac:dyDescent="0.25">
      <c r="A426" s="2" t="s">
        <v>59</v>
      </c>
      <c r="B426" s="2" t="s">
        <v>60</v>
      </c>
      <c r="C426" s="2" t="s">
        <v>4381</v>
      </c>
      <c r="D426" s="2" t="s">
        <v>4382</v>
      </c>
      <c r="E426" s="2" t="s">
        <v>4383</v>
      </c>
      <c r="G426" s="3" t="s">
        <v>63</v>
      </c>
      <c r="I426" s="3" t="s">
        <v>63</v>
      </c>
      <c r="J426" s="3" t="s">
        <v>63</v>
      </c>
      <c r="K426" s="3" t="s">
        <v>64</v>
      </c>
      <c r="L426" s="2" t="s">
        <v>4384</v>
      </c>
      <c r="M426" s="2" t="s">
        <v>4385</v>
      </c>
      <c r="N426" s="3" t="s">
        <v>130</v>
      </c>
      <c r="P426" s="3" t="s">
        <v>90</v>
      </c>
      <c r="R426" s="3" t="s">
        <v>67</v>
      </c>
      <c r="S426" s="4">
        <v>0</v>
      </c>
      <c r="T426" s="4">
        <v>0</v>
      </c>
      <c r="W426" s="5" t="s">
        <v>69</v>
      </c>
      <c r="X426" s="5" t="s">
        <v>69</v>
      </c>
      <c r="Y426" s="4">
        <v>35</v>
      </c>
      <c r="Z426" s="4">
        <v>3</v>
      </c>
      <c r="AA426" s="4">
        <v>5</v>
      </c>
      <c r="AB426" s="4">
        <v>1</v>
      </c>
      <c r="AC426" s="4">
        <v>1</v>
      </c>
      <c r="AD426" s="4">
        <v>27</v>
      </c>
      <c r="AE426" s="4">
        <v>28</v>
      </c>
      <c r="AF426" s="4">
        <v>0</v>
      </c>
      <c r="AG426" s="4">
        <v>0</v>
      </c>
      <c r="AH426" s="4">
        <v>26</v>
      </c>
      <c r="AI426" s="4">
        <v>27</v>
      </c>
      <c r="AJ426" s="4">
        <v>2</v>
      </c>
      <c r="AK426" s="4">
        <v>3</v>
      </c>
      <c r="AL426" s="4">
        <v>21</v>
      </c>
      <c r="AM426" s="4">
        <v>22</v>
      </c>
      <c r="AN426" s="4">
        <v>0</v>
      </c>
      <c r="AO426" s="4">
        <v>0</v>
      </c>
      <c r="AP426" s="4">
        <v>2</v>
      </c>
      <c r="AQ426" s="4">
        <v>3</v>
      </c>
      <c r="AR426" s="3" t="s">
        <v>63</v>
      </c>
      <c r="AS426" s="3" t="s">
        <v>63</v>
      </c>
      <c r="AT426" s="3" t="s">
        <v>63</v>
      </c>
      <c r="AV426" s="6" t="str">
        <f>HYPERLINK("http://mcgill.on.worldcat.org/oclc/846816030","Catalog Record")</f>
        <v>Catalog Record</v>
      </c>
      <c r="AW426" s="6" t="str">
        <f>HYPERLINK("http://www.worldcat.org/oclc/846816030","WorldCat Record")</f>
        <v>WorldCat Record</v>
      </c>
      <c r="AX426" s="3" t="s">
        <v>4386</v>
      </c>
      <c r="AY426" s="3" t="s">
        <v>4387</v>
      </c>
      <c r="AZ426" s="3" t="s">
        <v>4388</v>
      </c>
      <c r="BA426" s="3" t="s">
        <v>4388</v>
      </c>
      <c r="BB426" s="3" t="s">
        <v>4389</v>
      </c>
      <c r="BC426" s="3" t="s">
        <v>82</v>
      </c>
      <c r="BD426" s="3" t="s">
        <v>70</v>
      </c>
      <c r="BE426" s="3" t="s">
        <v>4390</v>
      </c>
      <c r="BF426" s="3" t="s">
        <v>4389</v>
      </c>
      <c r="BG426" s="3" t="s">
        <v>4391</v>
      </c>
    </row>
    <row r="427" spans="1:59" ht="60" x14ac:dyDescent="0.25">
      <c r="A427" s="2" t="s">
        <v>59</v>
      </c>
      <c r="B427" s="2" t="s">
        <v>60</v>
      </c>
      <c r="C427" s="2" t="s">
        <v>4392</v>
      </c>
      <c r="D427" s="2" t="s">
        <v>4393</v>
      </c>
      <c r="E427" s="2" t="s">
        <v>4394</v>
      </c>
      <c r="G427" s="3" t="s">
        <v>63</v>
      </c>
      <c r="I427" s="3" t="s">
        <v>63</v>
      </c>
      <c r="J427" s="3" t="s">
        <v>63</v>
      </c>
      <c r="K427" s="3" t="s">
        <v>64</v>
      </c>
      <c r="M427" s="2" t="s">
        <v>4395</v>
      </c>
      <c r="N427" s="3" t="s">
        <v>629</v>
      </c>
      <c r="P427" s="3" t="s">
        <v>66</v>
      </c>
      <c r="Q427" s="2" t="s">
        <v>1443</v>
      </c>
      <c r="R427" s="3" t="s">
        <v>67</v>
      </c>
      <c r="S427" s="4">
        <v>5</v>
      </c>
      <c r="T427" s="4">
        <v>5</v>
      </c>
      <c r="U427" s="5" t="s">
        <v>4396</v>
      </c>
      <c r="V427" s="5" t="s">
        <v>4396</v>
      </c>
      <c r="W427" s="5" t="s">
        <v>69</v>
      </c>
      <c r="X427" s="5" t="s">
        <v>69</v>
      </c>
      <c r="Y427" s="4">
        <v>248</v>
      </c>
      <c r="Z427" s="4">
        <v>18</v>
      </c>
      <c r="AA427" s="4">
        <v>89</v>
      </c>
      <c r="AB427" s="4">
        <v>1</v>
      </c>
      <c r="AC427" s="4">
        <v>16</v>
      </c>
      <c r="AD427" s="4">
        <v>93</v>
      </c>
      <c r="AE427" s="4">
        <v>141</v>
      </c>
      <c r="AF427" s="4">
        <v>0</v>
      </c>
      <c r="AG427" s="4">
        <v>8</v>
      </c>
      <c r="AH427" s="4">
        <v>85</v>
      </c>
      <c r="AI427" s="4">
        <v>105</v>
      </c>
      <c r="AJ427" s="4">
        <v>14</v>
      </c>
      <c r="AK427" s="4">
        <v>24</v>
      </c>
      <c r="AL427" s="4">
        <v>48</v>
      </c>
      <c r="AM427" s="4">
        <v>59</v>
      </c>
      <c r="AN427" s="4">
        <v>0</v>
      </c>
      <c r="AO427" s="4">
        <v>0</v>
      </c>
      <c r="AP427" s="4">
        <v>15</v>
      </c>
      <c r="AQ427" s="4">
        <v>44</v>
      </c>
      <c r="AR427" s="3" t="s">
        <v>63</v>
      </c>
      <c r="AS427" s="3" t="s">
        <v>63</v>
      </c>
      <c r="AT427" s="3" t="s">
        <v>63</v>
      </c>
      <c r="AV427" s="6" t="str">
        <f>HYPERLINK("http://mcgill.on.worldcat.org/oclc/727357058","Catalog Record")</f>
        <v>Catalog Record</v>
      </c>
      <c r="AW427" s="6" t="str">
        <f>HYPERLINK("http://www.worldcat.org/oclc/727357058","WorldCat Record")</f>
        <v>WorldCat Record</v>
      </c>
      <c r="AX427" s="3" t="s">
        <v>4397</v>
      </c>
      <c r="AY427" s="3" t="s">
        <v>4398</v>
      </c>
      <c r="AZ427" s="3" t="s">
        <v>4399</v>
      </c>
      <c r="BA427" s="3" t="s">
        <v>4399</v>
      </c>
      <c r="BB427" s="3" t="s">
        <v>4400</v>
      </c>
      <c r="BC427" s="3" t="s">
        <v>82</v>
      </c>
      <c r="BD427" s="3" t="s">
        <v>70</v>
      </c>
      <c r="BE427" s="3" t="s">
        <v>4401</v>
      </c>
      <c r="BF427" s="3" t="s">
        <v>4400</v>
      </c>
      <c r="BG427" s="3" t="s">
        <v>4402</v>
      </c>
    </row>
    <row r="428" spans="1:59" ht="60" x14ac:dyDescent="0.25">
      <c r="A428" s="2" t="s">
        <v>59</v>
      </c>
      <c r="B428" s="2" t="s">
        <v>60</v>
      </c>
      <c r="C428" s="2" t="s">
        <v>4403</v>
      </c>
      <c r="D428" s="2" t="s">
        <v>4404</v>
      </c>
      <c r="E428" s="2" t="s">
        <v>4405</v>
      </c>
      <c r="G428" s="3" t="s">
        <v>63</v>
      </c>
      <c r="I428" s="3" t="s">
        <v>63</v>
      </c>
      <c r="J428" s="3" t="s">
        <v>63</v>
      </c>
      <c r="K428" s="3" t="s">
        <v>64</v>
      </c>
      <c r="L428" s="2" t="s">
        <v>4406</v>
      </c>
      <c r="M428" s="2" t="s">
        <v>4407</v>
      </c>
      <c r="N428" s="3" t="s">
        <v>313</v>
      </c>
      <c r="P428" s="3" t="s">
        <v>90</v>
      </c>
      <c r="R428" s="3" t="s">
        <v>67</v>
      </c>
      <c r="S428" s="4">
        <v>0</v>
      </c>
      <c r="T428" s="4">
        <v>0</v>
      </c>
      <c r="W428" s="5" t="s">
        <v>69</v>
      </c>
      <c r="X428" s="5" t="s">
        <v>69</v>
      </c>
      <c r="Y428" s="4">
        <v>24</v>
      </c>
      <c r="Z428" s="4">
        <v>4</v>
      </c>
      <c r="AA428" s="4">
        <v>4</v>
      </c>
      <c r="AB428" s="4">
        <v>1</v>
      </c>
      <c r="AC428" s="4">
        <v>1</v>
      </c>
      <c r="AD428" s="4">
        <v>20</v>
      </c>
      <c r="AE428" s="4">
        <v>20</v>
      </c>
      <c r="AF428" s="4">
        <v>0</v>
      </c>
      <c r="AG428" s="4">
        <v>0</v>
      </c>
      <c r="AH428" s="4">
        <v>19</v>
      </c>
      <c r="AI428" s="4">
        <v>19</v>
      </c>
      <c r="AJ428" s="4">
        <v>3</v>
      </c>
      <c r="AK428" s="4">
        <v>3</v>
      </c>
      <c r="AL428" s="4">
        <v>13</v>
      </c>
      <c r="AM428" s="4">
        <v>13</v>
      </c>
      <c r="AN428" s="4">
        <v>0</v>
      </c>
      <c r="AO428" s="4">
        <v>0</v>
      </c>
      <c r="AP428" s="4">
        <v>3</v>
      </c>
      <c r="AQ428" s="4">
        <v>3</v>
      </c>
      <c r="AR428" s="3" t="s">
        <v>63</v>
      </c>
      <c r="AS428" s="3" t="s">
        <v>63</v>
      </c>
      <c r="AT428" s="3" t="s">
        <v>63</v>
      </c>
      <c r="AV428" s="6" t="str">
        <f>HYPERLINK("http://mcgill.on.worldcat.org/oclc/593259912","Catalog Record")</f>
        <v>Catalog Record</v>
      </c>
      <c r="AW428" s="6" t="str">
        <f>HYPERLINK("http://www.worldcat.org/oclc/593259912","WorldCat Record")</f>
        <v>WorldCat Record</v>
      </c>
      <c r="AX428" s="3" t="s">
        <v>4408</v>
      </c>
      <c r="AY428" s="3" t="s">
        <v>4409</v>
      </c>
      <c r="AZ428" s="3" t="s">
        <v>4410</v>
      </c>
      <c r="BA428" s="3" t="s">
        <v>4410</v>
      </c>
      <c r="BB428" s="3" t="s">
        <v>4411</v>
      </c>
      <c r="BC428" s="3" t="s">
        <v>82</v>
      </c>
      <c r="BD428" s="3" t="s">
        <v>70</v>
      </c>
      <c r="BE428" s="3" t="s">
        <v>4412</v>
      </c>
      <c r="BF428" s="3" t="s">
        <v>4411</v>
      </c>
      <c r="BG428" s="3" t="s">
        <v>4413</v>
      </c>
    </row>
    <row r="429" spans="1:59" ht="60" x14ac:dyDescent="0.25">
      <c r="A429" s="2" t="s">
        <v>59</v>
      </c>
      <c r="B429" s="2" t="s">
        <v>60</v>
      </c>
      <c r="C429" s="2" t="s">
        <v>4414</v>
      </c>
      <c r="D429" s="2" t="s">
        <v>4415</v>
      </c>
      <c r="E429" s="2" t="s">
        <v>4416</v>
      </c>
      <c r="G429" s="3" t="s">
        <v>63</v>
      </c>
      <c r="I429" s="3" t="s">
        <v>63</v>
      </c>
      <c r="J429" s="3" t="s">
        <v>63</v>
      </c>
      <c r="K429" s="3" t="s">
        <v>64</v>
      </c>
      <c r="L429" s="2" t="s">
        <v>4417</v>
      </c>
      <c r="M429" s="2" t="s">
        <v>4418</v>
      </c>
      <c r="N429" s="3" t="s">
        <v>326</v>
      </c>
      <c r="P429" s="3" t="s">
        <v>90</v>
      </c>
      <c r="R429" s="3" t="s">
        <v>67</v>
      </c>
      <c r="S429" s="4">
        <v>1</v>
      </c>
      <c r="T429" s="4">
        <v>1</v>
      </c>
      <c r="U429" s="5" t="s">
        <v>4419</v>
      </c>
      <c r="V429" s="5" t="s">
        <v>4419</v>
      </c>
      <c r="W429" s="5" t="s">
        <v>69</v>
      </c>
      <c r="X429" s="5" t="s">
        <v>69</v>
      </c>
      <c r="Y429" s="4">
        <v>22</v>
      </c>
      <c r="Z429" s="4">
        <v>1</v>
      </c>
      <c r="AA429" s="4">
        <v>1</v>
      </c>
      <c r="AB429" s="4">
        <v>1</v>
      </c>
      <c r="AC429" s="4">
        <v>1</v>
      </c>
      <c r="AD429" s="4">
        <v>15</v>
      </c>
      <c r="AE429" s="4">
        <v>15</v>
      </c>
      <c r="AF429" s="4">
        <v>0</v>
      </c>
      <c r="AG429" s="4">
        <v>0</v>
      </c>
      <c r="AH429" s="4">
        <v>15</v>
      </c>
      <c r="AI429" s="4">
        <v>15</v>
      </c>
      <c r="AJ429" s="4">
        <v>0</v>
      </c>
      <c r="AK429" s="4">
        <v>0</v>
      </c>
      <c r="AL429" s="4">
        <v>13</v>
      </c>
      <c r="AM429" s="4">
        <v>13</v>
      </c>
      <c r="AN429" s="4">
        <v>0</v>
      </c>
      <c r="AO429" s="4">
        <v>0</v>
      </c>
      <c r="AP429" s="4">
        <v>0</v>
      </c>
      <c r="AQ429" s="4">
        <v>0</v>
      </c>
      <c r="AR429" s="3" t="s">
        <v>63</v>
      </c>
      <c r="AS429" s="3" t="s">
        <v>63</v>
      </c>
      <c r="AT429" s="3" t="s">
        <v>62</v>
      </c>
      <c r="AU429" s="6" t="str">
        <f>HYPERLINK("http://catalog.hathitrust.org/Record/011810471","HathiTrust Record")</f>
        <v>HathiTrust Record</v>
      </c>
      <c r="AV429" s="6" t="str">
        <f>HYPERLINK("http://mcgill.on.worldcat.org/oclc/642629129","Catalog Record")</f>
        <v>Catalog Record</v>
      </c>
      <c r="AW429" s="6" t="str">
        <f>HYPERLINK("http://www.worldcat.org/oclc/642629129","WorldCat Record")</f>
        <v>WorldCat Record</v>
      </c>
      <c r="AX429" s="3" t="s">
        <v>4420</v>
      </c>
      <c r="AY429" s="3" t="s">
        <v>4421</v>
      </c>
      <c r="AZ429" s="3" t="s">
        <v>4422</v>
      </c>
      <c r="BA429" s="3" t="s">
        <v>4422</v>
      </c>
      <c r="BB429" s="3" t="s">
        <v>4423</v>
      </c>
      <c r="BC429" s="3" t="s">
        <v>82</v>
      </c>
      <c r="BD429" s="3" t="s">
        <v>70</v>
      </c>
      <c r="BE429" s="3" t="s">
        <v>4424</v>
      </c>
      <c r="BF429" s="3" t="s">
        <v>4423</v>
      </c>
      <c r="BG429" s="3" t="s">
        <v>4425</v>
      </c>
    </row>
    <row r="430" spans="1:59" ht="75" x14ac:dyDescent="0.25">
      <c r="A430" s="2" t="s">
        <v>59</v>
      </c>
      <c r="B430" s="2" t="s">
        <v>60</v>
      </c>
      <c r="C430" s="2" t="s">
        <v>4440</v>
      </c>
      <c r="D430" s="2" t="s">
        <v>4441</v>
      </c>
      <c r="E430" s="2" t="s">
        <v>4442</v>
      </c>
      <c r="G430" s="3" t="s">
        <v>63</v>
      </c>
      <c r="I430" s="3" t="s">
        <v>63</v>
      </c>
      <c r="J430" s="3" t="s">
        <v>63</v>
      </c>
      <c r="K430" s="3" t="s">
        <v>64</v>
      </c>
      <c r="M430" s="2" t="s">
        <v>4443</v>
      </c>
      <c r="N430" s="3" t="s">
        <v>176</v>
      </c>
      <c r="P430" s="3" t="s">
        <v>90</v>
      </c>
      <c r="Q430" s="2" t="s">
        <v>4444</v>
      </c>
      <c r="R430" s="3" t="s">
        <v>67</v>
      </c>
      <c r="S430" s="4">
        <v>2</v>
      </c>
      <c r="T430" s="4">
        <v>2</v>
      </c>
      <c r="U430" s="5" t="s">
        <v>3731</v>
      </c>
      <c r="V430" s="5" t="s">
        <v>3731</v>
      </c>
      <c r="W430" s="5" t="s">
        <v>69</v>
      </c>
      <c r="X430" s="5" t="s">
        <v>69</v>
      </c>
      <c r="Y430" s="4">
        <v>44</v>
      </c>
      <c r="Z430" s="4">
        <v>4</v>
      </c>
      <c r="AA430" s="4">
        <v>4</v>
      </c>
      <c r="AB430" s="4">
        <v>1</v>
      </c>
      <c r="AC430" s="4">
        <v>1</v>
      </c>
      <c r="AD430" s="4">
        <v>31</v>
      </c>
      <c r="AE430" s="4">
        <v>31</v>
      </c>
      <c r="AF430" s="4">
        <v>0</v>
      </c>
      <c r="AG430" s="4">
        <v>0</v>
      </c>
      <c r="AH430" s="4">
        <v>30</v>
      </c>
      <c r="AI430" s="4">
        <v>30</v>
      </c>
      <c r="AJ430" s="4">
        <v>2</v>
      </c>
      <c r="AK430" s="4">
        <v>2</v>
      </c>
      <c r="AL430" s="4">
        <v>23</v>
      </c>
      <c r="AM430" s="4">
        <v>23</v>
      </c>
      <c r="AN430" s="4">
        <v>0</v>
      </c>
      <c r="AO430" s="4">
        <v>0</v>
      </c>
      <c r="AP430" s="4">
        <v>2</v>
      </c>
      <c r="AQ430" s="4">
        <v>2</v>
      </c>
      <c r="AR430" s="3" t="s">
        <v>63</v>
      </c>
      <c r="AS430" s="3" t="s">
        <v>63</v>
      </c>
      <c r="AT430" s="3" t="s">
        <v>63</v>
      </c>
      <c r="AV430" s="6" t="str">
        <f>HYPERLINK("http://mcgill.on.worldcat.org/oclc/40578102","Catalog Record")</f>
        <v>Catalog Record</v>
      </c>
      <c r="AW430" s="6" t="str">
        <f>HYPERLINK("http://www.worldcat.org/oclc/40578102","WorldCat Record")</f>
        <v>WorldCat Record</v>
      </c>
      <c r="AX430" s="3" t="s">
        <v>4445</v>
      </c>
      <c r="AY430" s="3" t="s">
        <v>4446</v>
      </c>
      <c r="AZ430" s="3" t="s">
        <v>4447</v>
      </c>
      <c r="BA430" s="3" t="s">
        <v>4447</v>
      </c>
      <c r="BB430" s="3" t="s">
        <v>4448</v>
      </c>
      <c r="BC430" s="3" t="s">
        <v>82</v>
      </c>
      <c r="BD430" s="3" t="s">
        <v>70</v>
      </c>
      <c r="BE430" s="3" t="s">
        <v>4449</v>
      </c>
      <c r="BF430" s="3" t="s">
        <v>4448</v>
      </c>
      <c r="BG430" s="3" t="s">
        <v>4450</v>
      </c>
    </row>
    <row r="431" spans="1:59" ht="60" x14ac:dyDescent="0.25">
      <c r="A431" s="2" t="s">
        <v>59</v>
      </c>
      <c r="B431" s="2" t="s">
        <v>60</v>
      </c>
      <c r="C431" s="2" t="s">
        <v>4451</v>
      </c>
      <c r="D431" s="2" t="s">
        <v>4452</v>
      </c>
      <c r="E431" s="2" t="s">
        <v>4453</v>
      </c>
      <c r="G431" s="3" t="s">
        <v>63</v>
      </c>
      <c r="I431" s="3" t="s">
        <v>63</v>
      </c>
      <c r="J431" s="3" t="s">
        <v>63</v>
      </c>
      <c r="K431" s="3" t="s">
        <v>64</v>
      </c>
      <c r="L431" s="2" t="s">
        <v>4454</v>
      </c>
      <c r="M431" s="2" t="s">
        <v>4455</v>
      </c>
      <c r="N431" s="3" t="s">
        <v>362</v>
      </c>
      <c r="P431" s="3" t="s">
        <v>66</v>
      </c>
      <c r="Q431" s="2" t="s">
        <v>4456</v>
      </c>
      <c r="R431" s="3" t="s">
        <v>67</v>
      </c>
      <c r="S431" s="4">
        <v>15</v>
      </c>
      <c r="T431" s="4">
        <v>15</v>
      </c>
      <c r="U431" s="5" t="s">
        <v>4457</v>
      </c>
      <c r="V431" s="5" t="s">
        <v>4457</v>
      </c>
      <c r="W431" s="5" t="s">
        <v>69</v>
      </c>
      <c r="X431" s="5" t="s">
        <v>69</v>
      </c>
      <c r="Y431" s="4">
        <v>512</v>
      </c>
      <c r="Z431" s="4">
        <v>16</v>
      </c>
      <c r="AA431" s="4">
        <v>111</v>
      </c>
      <c r="AB431" s="4">
        <v>2</v>
      </c>
      <c r="AC431" s="4">
        <v>21</v>
      </c>
      <c r="AD431" s="4">
        <v>89</v>
      </c>
      <c r="AE431" s="4">
        <v>151</v>
      </c>
      <c r="AF431" s="4">
        <v>0</v>
      </c>
      <c r="AG431" s="4">
        <v>9</v>
      </c>
      <c r="AH431" s="4">
        <v>84</v>
      </c>
      <c r="AI431" s="4">
        <v>104</v>
      </c>
      <c r="AJ431" s="4">
        <v>9</v>
      </c>
      <c r="AK431" s="4">
        <v>27</v>
      </c>
      <c r="AL431" s="4">
        <v>51</v>
      </c>
      <c r="AM431" s="4">
        <v>56</v>
      </c>
      <c r="AN431" s="4">
        <v>0</v>
      </c>
      <c r="AO431" s="4">
        <v>0</v>
      </c>
      <c r="AP431" s="4">
        <v>9</v>
      </c>
      <c r="AQ431" s="4">
        <v>55</v>
      </c>
      <c r="AR431" s="3" t="s">
        <v>63</v>
      </c>
      <c r="AS431" s="3" t="s">
        <v>63</v>
      </c>
      <c r="AT431" s="3" t="s">
        <v>62</v>
      </c>
      <c r="AU431" s="6" t="str">
        <f>HYPERLINK("http://catalog.hathitrust.org/Record/004200155","HathiTrust Record")</f>
        <v>HathiTrust Record</v>
      </c>
      <c r="AV431" s="6" t="str">
        <f>HYPERLINK("http://mcgill.on.worldcat.org/oclc/47221799","Catalog Record")</f>
        <v>Catalog Record</v>
      </c>
      <c r="AW431" s="6" t="str">
        <f>HYPERLINK("http://www.worldcat.org/oclc/47221799","WorldCat Record")</f>
        <v>WorldCat Record</v>
      </c>
      <c r="AX431" s="3" t="s">
        <v>4458</v>
      </c>
      <c r="AY431" s="3" t="s">
        <v>4459</v>
      </c>
      <c r="AZ431" s="3" t="s">
        <v>4460</v>
      </c>
      <c r="BA431" s="3" t="s">
        <v>4460</v>
      </c>
      <c r="BB431" s="3" t="s">
        <v>4461</v>
      </c>
      <c r="BC431" s="3" t="s">
        <v>82</v>
      </c>
      <c r="BD431" s="3" t="s">
        <v>70</v>
      </c>
      <c r="BE431" s="3" t="s">
        <v>4462</v>
      </c>
      <c r="BF431" s="3" t="s">
        <v>4461</v>
      </c>
      <c r="BG431" s="3" t="s">
        <v>4463</v>
      </c>
    </row>
    <row r="432" spans="1:59" ht="75" x14ac:dyDescent="0.25">
      <c r="A432" s="2" t="s">
        <v>59</v>
      </c>
      <c r="B432" s="2" t="s">
        <v>60</v>
      </c>
      <c r="C432" s="2" t="s">
        <v>4464</v>
      </c>
      <c r="D432" s="2" t="s">
        <v>4465</v>
      </c>
      <c r="E432" s="2" t="s">
        <v>4466</v>
      </c>
      <c r="F432" s="3" t="s">
        <v>571</v>
      </c>
      <c r="G432" s="3" t="s">
        <v>62</v>
      </c>
      <c r="I432" s="3" t="s">
        <v>63</v>
      </c>
      <c r="J432" s="3" t="s">
        <v>63</v>
      </c>
      <c r="K432" s="3" t="s">
        <v>64</v>
      </c>
      <c r="M432" s="2" t="s">
        <v>4467</v>
      </c>
      <c r="N432" s="3" t="s">
        <v>313</v>
      </c>
      <c r="P432" s="3" t="s">
        <v>90</v>
      </c>
      <c r="R432" s="3" t="s">
        <v>67</v>
      </c>
      <c r="S432" s="4">
        <v>0</v>
      </c>
      <c r="T432" s="4">
        <v>0</v>
      </c>
      <c r="W432" s="5" t="s">
        <v>69</v>
      </c>
      <c r="X432" s="5" t="s">
        <v>69</v>
      </c>
      <c r="Y432" s="4">
        <v>30</v>
      </c>
      <c r="Z432" s="4">
        <v>3</v>
      </c>
      <c r="AA432" s="4">
        <v>3</v>
      </c>
      <c r="AB432" s="4">
        <v>1</v>
      </c>
      <c r="AC432" s="4">
        <v>1</v>
      </c>
      <c r="AD432" s="4">
        <v>18</v>
      </c>
      <c r="AE432" s="4">
        <v>18</v>
      </c>
      <c r="AF432" s="4">
        <v>0</v>
      </c>
      <c r="AG432" s="4">
        <v>0</v>
      </c>
      <c r="AH432" s="4">
        <v>17</v>
      </c>
      <c r="AI432" s="4">
        <v>17</v>
      </c>
      <c r="AJ432" s="4">
        <v>1</v>
      </c>
      <c r="AK432" s="4">
        <v>1</v>
      </c>
      <c r="AL432" s="4">
        <v>15</v>
      </c>
      <c r="AM432" s="4">
        <v>15</v>
      </c>
      <c r="AN432" s="4">
        <v>0</v>
      </c>
      <c r="AO432" s="4">
        <v>0</v>
      </c>
      <c r="AP432" s="4">
        <v>1</v>
      </c>
      <c r="AQ432" s="4">
        <v>1</v>
      </c>
      <c r="AR432" s="3" t="s">
        <v>63</v>
      </c>
      <c r="AS432" s="3" t="s">
        <v>63</v>
      </c>
      <c r="AT432" s="3" t="s">
        <v>63</v>
      </c>
      <c r="AV432" s="6" t="str">
        <f>HYPERLINK("http://mcgill.on.worldcat.org/oclc/689524102","Catalog Record")</f>
        <v>Catalog Record</v>
      </c>
      <c r="AW432" s="6" t="str">
        <f>HYPERLINK("http://www.worldcat.org/oclc/689524102","WorldCat Record")</f>
        <v>WorldCat Record</v>
      </c>
      <c r="AX432" s="3" t="s">
        <v>4468</v>
      </c>
      <c r="AY432" s="3" t="s">
        <v>4469</v>
      </c>
      <c r="AZ432" s="3" t="s">
        <v>4470</v>
      </c>
      <c r="BA432" s="3" t="s">
        <v>4470</v>
      </c>
      <c r="BB432" s="3" t="s">
        <v>4471</v>
      </c>
      <c r="BC432" s="3" t="s">
        <v>82</v>
      </c>
      <c r="BD432" s="3" t="s">
        <v>70</v>
      </c>
      <c r="BE432" s="3" t="s">
        <v>4472</v>
      </c>
      <c r="BF432" s="3" t="s">
        <v>4471</v>
      </c>
      <c r="BG432" s="3" t="s">
        <v>4473</v>
      </c>
    </row>
    <row r="433" spans="1:59" ht="75" x14ac:dyDescent="0.25">
      <c r="A433" s="2" t="s">
        <v>59</v>
      </c>
      <c r="B433" s="2" t="s">
        <v>60</v>
      </c>
      <c r="C433" s="2" t="s">
        <v>4464</v>
      </c>
      <c r="D433" s="2" t="s">
        <v>4465</v>
      </c>
      <c r="E433" s="2" t="s">
        <v>4466</v>
      </c>
      <c r="F433" s="3" t="s">
        <v>582</v>
      </c>
      <c r="G433" s="3" t="s">
        <v>62</v>
      </c>
      <c r="I433" s="3" t="s">
        <v>63</v>
      </c>
      <c r="J433" s="3" t="s">
        <v>63</v>
      </c>
      <c r="K433" s="3" t="s">
        <v>64</v>
      </c>
      <c r="M433" s="2" t="s">
        <v>4467</v>
      </c>
      <c r="N433" s="3" t="s">
        <v>313</v>
      </c>
      <c r="P433" s="3" t="s">
        <v>90</v>
      </c>
      <c r="R433" s="3" t="s">
        <v>67</v>
      </c>
      <c r="S433" s="4">
        <v>0</v>
      </c>
      <c r="T433" s="4">
        <v>0</v>
      </c>
      <c r="W433" s="5" t="s">
        <v>69</v>
      </c>
      <c r="X433" s="5" t="s">
        <v>69</v>
      </c>
      <c r="Y433" s="4">
        <v>30</v>
      </c>
      <c r="Z433" s="4">
        <v>3</v>
      </c>
      <c r="AA433" s="4">
        <v>3</v>
      </c>
      <c r="AB433" s="4">
        <v>1</v>
      </c>
      <c r="AC433" s="4">
        <v>1</v>
      </c>
      <c r="AD433" s="4">
        <v>18</v>
      </c>
      <c r="AE433" s="4">
        <v>18</v>
      </c>
      <c r="AF433" s="4">
        <v>0</v>
      </c>
      <c r="AG433" s="4">
        <v>0</v>
      </c>
      <c r="AH433" s="4">
        <v>17</v>
      </c>
      <c r="AI433" s="4">
        <v>17</v>
      </c>
      <c r="AJ433" s="4">
        <v>1</v>
      </c>
      <c r="AK433" s="4">
        <v>1</v>
      </c>
      <c r="AL433" s="4">
        <v>15</v>
      </c>
      <c r="AM433" s="4">
        <v>15</v>
      </c>
      <c r="AN433" s="4">
        <v>0</v>
      </c>
      <c r="AO433" s="4">
        <v>0</v>
      </c>
      <c r="AP433" s="4">
        <v>1</v>
      </c>
      <c r="AQ433" s="4">
        <v>1</v>
      </c>
      <c r="AR433" s="3" t="s">
        <v>63</v>
      </c>
      <c r="AS433" s="3" t="s">
        <v>63</v>
      </c>
      <c r="AT433" s="3" t="s">
        <v>63</v>
      </c>
      <c r="AV433" s="6" t="str">
        <f>HYPERLINK("http://mcgill.on.worldcat.org/oclc/689524102","Catalog Record")</f>
        <v>Catalog Record</v>
      </c>
      <c r="AW433" s="6" t="str">
        <f>HYPERLINK("http://www.worldcat.org/oclc/689524102","WorldCat Record")</f>
        <v>WorldCat Record</v>
      </c>
      <c r="AX433" s="3" t="s">
        <v>4468</v>
      </c>
      <c r="AY433" s="3" t="s">
        <v>4469</v>
      </c>
      <c r="AZ433" s="3" t="s">
        <v>4470</v>
      </c>
      <c r="BA433" s="3" t="s">
        <v>4470</v>
      </c>
      <c r="BB433" s="3" t="s">
        <v>4474</v>
      </c>
      <c r="BC433" s="3" t="s">
        <v>82</v>
      </c>
      <c r="BD433" s="3" t="s">
        <v>70</v>
      </c>
      <c r="BE433" s="3" t="s">
        <v>4472</v>
      </c>
      <c r="BF433" s="3" t="s">
        <v>4474</v>
      </c>
      <c r="BG433" s="3" t="s">
        <v>4475</v>
      </c>
    </row>
    <row r="434" spans="1:59" ht="60" x14ac:dyDescent="0.25">
      <c r="A434" s="2" t="s">
        <v>59</v>
      </c>
      <c r="B434" s="2" t="s">
        <v>60</v>
      </c>
      <c r="C434" s="2" t="s">
        <v>4476</v>
      </c>
      <c r="D434" s="2" t="s">
        <v>4477</v>
      </c>
      <c r="E434" s="2" t="s">
        <v>4478</v>
      </c>
      <c r="G434" s="3" t="s">
        <v>63</v>
      </c>
      <c r="I434" s="3" t="s">
        <v>63</v>
      </c>
      <c r="J434" s="3" t="s">
        <v>63</v>
      </c>
      <c r="K434" s="3" t="s">
        <v>64</v>
      </c>
      <c r="L434" s="2" t="s">
        <v>4479</v>
      </c>
      <c r="M434" s="2" t="s">
        <v>4480</v>
      </c>
      <c r="N434" s="3" t="s">
        <v>1113</v>
      </c>
      <c r="P434" s="3" t="s">
        <v>90</v>
      </c>
      <c r="R434" s="3" t="s">
        <v>67</v>
      </c>
      <c r="S434" s="4">
        <v>16</v>
      </c>
      <c r="T434" s="4">
        <v>16</v>
      </c>
      <c r="U434" s="5" t="s">
        <v>2867</v>
      </c>
      <c r="V434" s="5" t="s">
        <v>2867</v>
      </c>
      <c r="W434" s="5" t="s">
        <v>69</v>
      </c>
      <c r="X434" s="5" t="s">
        <v>69</v>
      </c>
      <c r="Y434" s="4">
        <v>64</v>
      </c>
      <c r="Z434" s="4">
        <v>3</v>
      </c>
      <c r="AA434" s="4">
        <v>3</v>
      </c>
      <c r="AB434" s="4">
        <v>1</v>
      </c>
      <c r="AC434" s="4">
        <v>1</v>
      </c>
      <c r="AD434" s="4">
        <v>39</v>
      </c>
      <c r="AE434" s="4">
        <v>39</v>
      </c>
      <c r="AF434" s="4">
        <v>0</v>
      </c>
      <c r="AG434" s="4">
        <v>0</v>
      </c>
      <c r="AH434" s="4">
        <v>37</v>
      </c>
      <c r="AI434" s="4">
        <v>37</v>
      </c>
      <c r="AJ434" s="4">
        <v>2</v>
      </c>
      <c r="AK434" s="4">
        <v>2</v>
      </c>
      <c r="AL434" s="4">
        <v>30</v>
      </c>
      <c r="AM434" s="4">
        <v>30</v>
      </c>
      <c r="AN434" s="4">
        <v>0</v>
      </c>
      <c r="AO434" s="4">
        <v>0</v>
      </c>
      <c r="AP434" s="4">
        <v>2</v>
      </c>
      <c r="AQ434" s="4">
        <v>2</v>
      </c>
      <c r="AR434" s="3" t="s">
        <v>63</v>
      </c>
      <c r="AS434" s="3" t="s">
        <v>63</v>
      </c>
      <c r="AT434" s="3" t="s">
        <v>62</v>
      </c>
      <c r="AU434" s="6" t="str">
        <f>HYPERLINK("http://catalog.hathitrust.org/Record/003550999","HathiTrust Record")</f>
        <v>HathiTrust Record</v>
      </c>
      <c r="AV434" s="6" t="str">
        <f>HYPERLINK("http://mcgill.on.worldcat.org/oclc/39046877","Catalog Record")</f>
        <v>Catalog Record</v>
      </c>
      <c r="AW434" s="6" t="str">
        <f>HYPERLINK("http://www.worldcat.org/oclc/39046877","WorldCat Record")</f>
        <v>WorldCat Record</v>
      </c>
      <c r="AX434" s="3" t="s">
        <v>4481</v>
      </c>
      <c r="AY434" s="3" t="s">
        <v>4482</v>
      </c>
      <c r="AZ434" s="3" t="s">
        <v>4483</v>
      </c>
      <c r="BA434" s="3" t="s">
        <v>4483</v>
      </c>
      <c r="BB434" s="3" t="s">
        <v>4484</v>
      </c>
      <c r="BC434" s="3" t="s">
        <v>82</v>
      </c>
      <c r="BD434" s="3" t="s">
        <v>70</v>
      </c>
      <c r="BE434" s="3" t="s">
        <v>4485</v>
      </c>
      <c r="BF434" s="3" t="s">
        <v>4484</v>
      </c>
      <c r="BG434" s="3" t="s">
        <v>4486</v>
      </c>
    </row>
    <row r="435" spans="1:59" ht="60" x14ac:dyDescent="0.25">
      <c r="A435" s="2" t="s">
        <v>59</v>
      </c>
      <c r="B435" s="2" t="s">
        <v>60</v>
      </c>
      <c r="C435" s="2" t="s">
        <v>4487</v>
      </c>
      <c r="D435" s="2" t="s">
        <v>4488</v>
      </c>
      <c r="E435" s="2" t="s">
        <v>4489</v>
      </c>
      <c r="G435" s="3" t="s">
        <v>63</v>
      </c>
      <c r="I435" s="3" t="s">
        <v>63</v>
      </c>
      <c r="J435" s="3" t="s">
        <v>63</v>
      </c>
      <c r="K435" s="3" t="s">
        <v>64</v>
      </c>
      <c r="L435" s="2" t="s">
        <v>4384</v>
      </c>
      <c r="M435" s="2" t="s">
        <v>4490</v>
      </c>
      <c r="N435" s="3" t="s">
        <v>313</v>
      </c>
      <c r="P435" s="3" t="s">
        <v>90</v>
      </c>
      <c r="R435" s="3" t="s">
        <v>67</v>
      </c>
      <c r="S435" s="4">
        <v>0</v>
      </c>
      <c r="T435" s="4">
        <v>0</v>
      </c>
      <c r="W435" s="5" t="s">
        <v>69</v>
      </c>
      <c r="X435" s="5" t="s">
        <v>69</v>
      </c>
      <c r="Y435" s="4">
        <v>26</v>
      </c>
      <c r="Z435" s="4">
        <v>4</v>
      </c>
      <c r="AA435" s="4">
        <v>5</v>
      </c>
      <c r="AB435" s="4">
        <v>1</v>
      </c>
      <c r="AC435" s="4">
        <v>1</v>
      </c>
      <c r="AD435" s="4">
        <v>20</v>
      </c>
      <c r="AE435" s="4">
        <v>21</v>
      </c>
      <c r="AF435" s="4">
        <v>0</v>
      </c>
      <c r="AG435" s="4">
        <v>0</v>
      </c>
      <c r="AH435" s="4">
        <v>19</v>
      </c>
      <c r="AI435" s="4">
        <v>20</v>
      </c>
      <c r="AJ435" s="4">
        <v>2</v>
      </c>
      <c r="AK435" s="4">
        <v>3</v>
      </c>
      <c r="AL435" s="4">
        <v>16</v>
      </c>
      <c r="AM435" s="4">
        <v>16</v>
      </c>
      <c r="AN435" s="4">
        <v>0</v>
      </c>
      <c r="AO435" s="4">
        <v>0</v>
      </c>
      <c r="AP435" s="4">
        <v>2</v>
      </c>
      <c r="AQ435" s="4">
        <v>3</v>
      </c>
      <c r="AR435" s="3" t="s">
        <v>63</v>
      </c>
      <c r="AS435" s="3" t="s">
        <v>63</v>
      </c>
      <c r="AT435" s="3" t="s">
        <v>63</v>
      </c>
      <c r="AV435" s="6" t="str">
        <f>HYPERLINK("http://mcgill.on.worldcat.org/oclc/746464141","Catalog Record")</f>
        <v>Catalog Record</v>
      </c>
      <c r="AW435" s="6" t="str">
        <f>HYPERLINK("http://www.worldcat.org/oclc/746464141","WorldCat Record")</f>
        <v>WorldCat Record</v>
      </c>
      <c r="AX435" s="3" t="s">
        <v>4491</v>
      </c>
      <c r="AY435" s="3" t="s">
        <v>4492</v>
      </c>
      <c r="AZ435" s="3" t="s">
        <v>4493</v>
      </c>
      <c r="BA435" s="3" t="s">
        <v>4493</v>
      </c>
      <c r="BB435" s="3" t="s">
        <v>4494</v>
      </c>
      <c r="BC435" s="3" t="s">
        <v>82</v>
      </c>
      <c r="BD435" s="3" t="s">
        <v>70</v>
      </c>
      <c r="BE435" s="3" t="s">
        <v>4495</v>
      </c>
      <c r="BF435" s="3" t="s">
        <v>4494</v>
      </c>
      <c r="BG435" s="3" t="s">
        <v>4496</v>
      </c>
    </row>
    <row r="436" spans="1:59" ht="60" x14ac:dyDescent="0.25">
      <c r="A436" s="2" t="s">
        <v>59</v>
      </c>
      <c r="B436" s="2" t="s">
        <v>60</v>
      </c>
      <c r="C436" s="2" t="s">
        <v>4497</v>
      </c>
      <c r="D436" s="2" t="s">
        <v>4498</v>
      </c>
      <c r="E436" s="2" t="s">
        <v>4499</v>
      </c>
      <c r="G436" s="3" t="s">
        <v>63</v>
      </c>
      <c r="I436" s="3" t="s">
        <v>63</v>
      </c>
      <c r="J436" s="3" t="s">
        <v>63</v>
      </c>
      <c r="K436" s="3" t="s">
        <v>64</v>
      </c>
      <c r="L436" s="2" t="s">
        <v>4500</v>
      </c>
      <c r="M436" s="2" t="s">
        <v>4501</v>
      </c>
      <c r="N436" s="3" t="s">
        <v>76</v>
      </c>
      <c r="P436" s="3" t="s">
        <v>90</v>
      </c>
      <c r="Q436" s="2" t="s">
        <v>4502</v>
      </c>
      <c r="R436" s="3" t="s">
        <v>67</v>
      </c>
      <c r="S436" s="4">
        <v>0</v>
      </c>
      <c r="T436" s="4">
        <v>0</v>
      </c>
      <c r="W436" s="5" t="s">
        <v>69</v>
      </c>
      <c r="X436" s="5" t="s">
        <v>69</v>
      </c>
      <c r="Y436" s="4">
        <v>40</v>
      </c>
      <c r="Z436" s="4">
        <v>4</v>
      </c>
      <c r="AA436" s="4">
        <v>4</v>
      </c>
      <c r="AB436" s="4">
        <v>1</v>
      </c>
      <c r="AC436" s="4">
        <v>1</v>
      </c>
      <c r="AD436" s="4">
        <v>29</v>
      </c>
      <c r="AE436" s="4">
        <v>29</v>
      </c>
      <c r="AF436" s="4">
        <v>0</v>
      </c>
      <c r="AG436" s="4">
        <v>0</v>
      </c>
      <c r="AH436" s="4">
        <v>28</v>
      </c>
      <c r="AI436" s="4">
        <v>28</v>
      </c>
      <c r="AJ436" s="4">
        <v>2</v>
      </c>
      <c r="AK436" s="4">
        <v>2</v>
      </c>
      <c r="AL436" s="4">
        <v>22</v>
      </c>
      <c r="AM436" s="4">
        <v>22</v>
      </c>
      <c r="AN436" s="4">
        <v>0</v>
      </c>
      <c r="AO436" s="4">
        <v>0</v>
      </c>
      <c r="AP436" s="4">
        <v>2</v>
      </c>
      <c r="AQ436" s="4">
        <v>2</v>
      </c>
      <c r="AR436" s="3" t="s">
        <v>63</v>
      </c>
      <c r="AS436" s="3" t="s">
        <v>63</v>
      </c>
      <c r="AT436" s="3" t="s">
        <v>63</v>
      </c>
      <c r="AV436" s="6" t="str">
        <f>HYPERLINK("http://mcgill.on.worldcat.org/oclc/793187402","Catalog Record")</f>
        <v>Catalog Record</v>
      </c>
      <c r="AW436" s="6" t="str">
        <f>HYPERLINK("http://www.worldcat.org/oclc/793187402","WorldCat Record")</f>
        <v>WorldCat Record</v>
      </c>
      <c r="AX436" s="3" t="s">
        <v>4503</v>
      </c>
      <c r="AY436" s="3" t="s">
        <v>4504</v>
      </c>
      <c r="AZ436" s="3" t="s">
        <v>4505</v>
      </c>
      <c r="BA436" s="3" t="s">
        <v>4505</v>
      </c>
      <c r="BB436" s="3" t="s">
        <v>4506</v>
      </c>
      <c r="BC436" s="3" t="s">
        <v>82</v>
      </c>
      <c r="BD436" s="3" t="s">
        <v>70</v>
      </c>
      <c r="BE436" s="3" t="s">
        <v>4507</v>
      </c>
      <c r="BF436" s="3" t="s">
        <v>4506</v>
      </c>
      <c r="BG436" s="3" t="s">
        <v>4508</v>
      </c>
    </row>
    <row r="437" spans="1:59" ht="60" x14ac:dyDescent="0.25">
      <c r="A437" s="2" t="s">
        <v>59</v>
      </c>
      <c r="B437" s="2" t="s">
        <v>60</v>
      </c>
      <c r="C437" s="2" t="s">
        <v>4509</v>
      </c>
      <c r="D437" s="2" t="s">
        <v>4510</v>
      </c>
      <c r="E437" s="2" t="s">
        <v>4511</v>
      </c>
      <c r="G437" s="3" t="s">
        <v>63</v>
      </c>
      <c r="I437" s="3" t="s">
        <v>63</v>
      </c>
      <c r="J437" s="3" t="s">
        <v>63</v>
      </c>
      <c r="K437" s="3" t="s">
        <v>64</v>
      </c>
      <c r="L437" s="2" t="s">
        <v>4512</v>
      </c>
      <c r="M437" s="2" t="s">
        <v>4513</v>
      </c>
      <c r="N437" s="3" t="s">
        <v>1557</v>
      </c>
      <c r="O437" s="2" t="s">
        <v>4514</v>
      </c>
      <c r="P437" s="3" t="s">
        <v>66</v>
      </c>
      <c r="Q437" s="2" t="s">
        <v>4515</v>
      </c>
      <c r="R437" s="3" t="s">
        <v>67</v>
      </c>
      <c r="S437" s="4">
        <v>2</v>
      </c>
      <c r="T437" s="4">
        <v>2</v>
      </c>
      <c r="U437" s="5" t="s">
        <v>1690</v>
      </c>
      <c r="V437" s="5" t="s">
        <v>1690</v>
      </c>
      <c r="W437" s="5" t="s">
        <v>69</v>
      </c>
      <c r="X437" s="5" t="s">
        <v>69</v>
      </c>
      <c r="Y437" s="4">
        <v>83</v>
      </c>
      <c r="Z437" s="4">
        <v>6</v>
      </c>
      <c r="AA437" s="4">
        <v>7</v>
      </c>
      <c r="AB437" s="4">
        <v>1</v>
      </c>
      <c r="AC437" s="4">
        <v>1</v>
      </c>
      <c r="AD437" s="4">
        <v>37</v>
      </c>
      <c r="AE437" s="4">
        <v>38</v>
      </c>
      <c r="AF437" s="4">
        <v>0</v>
      </c>
      <c r="AG437" s="4">
        <v>0</v>
      </c>
      <c r="AH437" s="4">
        <v>35</v>
      </c>
      <c r="AI437" s="4">
        <v>36</v>
      </c>
      <c r="AJ437" s="4">
        <v>4</v>
      </c>
      <c r="AK437" s="4">
        <v>5</v>
      </c>
      <c r="AL437" s="4">
        <v>24</v>
      </c>
      <c r="AM437" s="4">
        <v>24</v>
      </c>
      <c r="AN437" s="4">
        <v>0</v>
      </c>
      <c r="AO437" s="4">
        <v>0</v>
      </c>
      <c r="AP437" s="4">
        <v>4</v>
      </c>
      <c r="AQ437" s="4">
        <v>5</v>
      </c>
      <c r="AR437" s="3" t="s">
        <v>63</v>
      </c>
      <c r="AS437" s="3" t="s">
        <v>63</v>
      </c>
      <c r="AT437" s="3" t="s">
        <v>63</v>
      </c>
      <c r="AV437" s="6" t="str">
        <f>HYPERLINK("http://mcgill.on.worldcat.org/oclc/950930466","Catalog Record")</f>
        <v>Catalog Record</v>
      </c>
      <c r="AW437" s="6" t="str">
        <f>HYPERLINK("http://www.worldcat.org/oclc/950930466","WorldCat Record")</f>
        <v>WorldCat Record</v>
      </c>
      <c r="AX437" s="3" t="s">
        <v>4516</v>
      </c>
      <c r="AY437" s="3" t="s">
        <v>4517</v>
      </c>
      <c r="AZ437" s="3" t="s">
        <v>4518</v>
      </c>
      <c r="BA437" s="3" t="s">
        <v>4518</v>
      </c>
      <c r="BB437" s="3" t="s">
        <v>4519</v>
      </c>
      <c r="BC437" s="3" t="s">
        <v>82</v>
      </c>
      <c r="BD437" s="3" t="s">
        <v>70</v>
      </c>
      <c r="BE437" s="3" t="s">
        <v>4520</v>
      </c>
      <c r="BF437" s="3" t="s">
        <v>4519</v>
      </c>
      <c r="BG437" s="3" t="s">
        <v>4521</v>
      </c>
    </row>
    <row r="438" spans="1:59" ht="60" x14ac:dyDescent="0.25">
      <c r="A438" s="2" t="s">
        <v>59</v>
      </c>
      <c r="B438" s="2" t="s">
        <v>60</v>
      </c>
      <c r="C438" s="2" t="s">
        <v>4522</v>
      </c>
      <c r="D438" s="2" t="s">
        <v>4523</v>
      </c>
      <c r="E438" s="2" t="s">
        <v>4524</v>
      </c>
      <c r="G438" s="3" t="s">
        <v>63</v>
      </c>
      <c r="I438" s="3" t="s">
        <v>63</v>
      </c>
      <c r="J438" s="3" t="s">
        <v>63</v>
      </c>
      <c r="K438" s="3" t="s">
        <v>64</v>
      </c>
      <c r="L438" s="2" t="s">
        <v>4294</v>
      </c>
      <c r="M438" s="2" t="s">
        <v>4525</v>
      </c>
      <c r="N438" s="3" t="s">
        <v>480</v>
      </c>
      <c r="P438" s="3" t="s">
        <v>66</v>
      </c>
      <c r="R438" s="3" t="s">
        <v>67</v>
      </c>
      <c r="S438" s="4">
        <v>33</v>
      </c>
      <c r="T438" s="4">
        <v>33</v>
      </c>
      <c r="U438" s="5" t="s">
        <v>4526</v>
      </c>
      <c r="V438" s="5" t="s">
        <v>4526</v>
      </c>
      <c r="W438" s="5" t="s">
        <v>69</v>
      </c>
      <c r="X438" s="5" t="s">
        <v>69</v>
      </c>
      <c r="Y438" s="4">
        <v>1198</v>
      </c>
      <c r="Z438" s="4">
        <v>47</v>
      </c>
      <c r="AA438" s="4">
        <v>48</v>
      </c>
      <c r="AB438" s="4">
        <v>2</v>
      </c>
      <c r="AC438" s="4">
        <v>3</v>
      </c>
      <c r="AD438" s="4">
        <v>130</v>
      </c>
      <c r="AE438" s="4">
        <v>131</v>
      </c>
      <c r="AF438" s="4">
        <v>0</v>
      </c>
      <c r="AG438" s="4">
        <v>1</v>
      </c>
      <c r="AH438" s="4">
        <v>109</v>
      </c>
      <c r="AI438" s="4">
        <v>109</v>
      </c>
      <c r="AJ438" s="4">
        <v>20</v>
      </c>
      <c r="AK438" s="4">
        <v>21</v>
      </c>
      <c r="AL438" s="4">
        <v>60</v>
      </c>
      <c r="AM438" s="4">
        <v>60</v>
      </c>
      <c r="AN438" s="4">
        <v>0</v>
      </c>
      <c r="AO438" s="4">
        <v>0</v>
      </c>
      <c r="AP438" s="4">
        <v>27</v>
      </c>
      <c r="AQ438" s="4">
        <v>27</v>
      </c>
      <c r="AR438" s="3" t="s">
        <v>63</v>
      </c>
      <c r="AS438" s="3" t="s">
        <v>63</v>
      </c>
      <c r="AT438" s="3" t="s">
        <v>63</v>
      </c>
      <c r="AV438" s="6" t="str">
        <f>HYPERLINK("http://mcgill.on.worldcat.org/oclc/23385045","Catalog Record")</f>
        <v>Catalog Record</v>
      </c>
      <c r="AW438" s="6" t="str">
        <f>HYPERLINK("http://www.worldcat.org/oclc/23385045","WorldCat Record")</f>
        <v>WorldCat Record</v>
      </c>
      <c r="AX438" s="3" t="s">
        <v>4527</v>
      </c>
      <c r="AY438" s="3" t="s">
        <v>4528</v>
      </c>
      <c r="AZ438" s="3" t="s">
        <v>4529</v>
      </c>
      <c r="BA438" s="3" t="s">
        <v>4529</v>
      </c>
      <c r="BB438" s="3" t="s">
        <v>4530</v>
      </c>
      <c r="BC438" s="3" t="s">
        <v>82</v>
      </c>
      <c r="BD438" s="3" t="s">
        <v>70</v>
      </c>
      <c r="BE438" s="3" t="s">
        <v>4531</v>
      </c>
      <c r="BF438" s="3" t="s">
        <v>4530</v>
      </c>
      <c r="BG438" s="3" t="s">
        <v>4532</v>
      </c>
    </row>
    <row r="439" spans="1:59" ht="60" x14ac:dyDescent="0.25">
      <c r="A439" s="2" t="s">
        <v>59</v>
      </c>
      <c r="B439" s="2" t="s">
        <v>60</v>
      </c>
      <c r="C439" s="2" t="s">
        <v>4533</v>
      </c>
      <c r="D439" s="2" t="s">
        <v>4534</v>
      </c>
      <c r="E439" s="2" t="s">
        <v>4535</v>
      </c>
      <c r="G439" s="3" t="s">
        <v>63</v>
      </c>
      <c r="I439" s="3" t="s">
        <v>62</v>
      </c>
      <c r="J439" s="3" t="s">
        <v>63</v>
      </c>
      <c r="K439" s="3" t="s">
        <v>64</v>
      </c>
      <c r="L439" s="2" t="s">
        <v>4536</v>
      </c>
      <c r="M439" s="2" t="s">
        <v>4537</v>
      </c>
      <c r="N439" s="3" t="s">
        <v>668</v>
      </c>
      <c r="P439" s="3" t="s">
        <v>90</v>
      </c>
      <c r="R439" s="3" t="s">
        <v>67</v>
      </c>
      <c r="S439" s="4">
        <v>6</v>
      </c>
      <c r="T439" s="4">
        <v>13</v>
      </c>
      <c r="U439" s="5" t="s">
        <v>4538</v>
      </c>
      <c r="V439" s="5" t="s">
        <v>4539</v>
      </c>
      <c r="W439" s="5" t="s">
        <v>69</v>
      </c>
      <c r="X439" s="5" t="s">
        <v>69</v>
      </c>
      <c r="Y439" s="4">
        <v>98</v>
      </c>
      <c r="Z439" s="4">
        <v>7</v>
      </c>
      <c r="AA439" s="4">
        <v>13</v>
      </c>
      <c r="AB439" s="4">
        <v>1</v>
      </c>
      <c r="AC439" s="4">
        <v>1</v>
      </c>
      <c r="AD439" s="4">
        <v>50</v>
      </c>
      <c r="AE439" s="4">
        <v>64</v>
      </c>
      <c r="AF439" s="4">
        <v>0</v>
      </c>
      <c r="AG439" s="4">
        <v>0</v>
      </c>
      <c r="AH439" s="4">
        <v>46</v>
      </c>
      <c r="AI439" s="4">
        <v>59</v>
      </c>
      <c r="AJ439" s="4">
        <v>5</v>
      </c>
      <c r="AK439" s="4">
        <v>8</v>
      </c>
      <c r="AL439" s="4">
        <v>32</v>
      </c>
      <c r="AM439" s="4">
        <v>36</v>
      </c>
      <c r="AN439" s="4">
        <v>0</v>
      </c>
      <c r="AO439" s="4">
        <v>0</v>
      </c>
      <c r="AP439" s="4">
        <v>5</v>
      </c>
      <c r="AQ439" s="4">
        <v>8</v>
      </c>
      <c r="AR439" s="3" t="s">
        <v>63</v>
      </c>
      <c r="AS439" s="3" t="s">
        <v>63</v>
      </c>
      <c r="AT439" s="3" t="s">
        <v>63</v>
      </c>
      <c r="AV439" s="6" t="str">
        <f>HYPERLINK("http://mcgill.on.worldcat.org/oclc/21194695","Catalog Record")</f>
        <v>Catalog Record</v>
      </c>
      <c r="AW439" s="6" t="str">
        <f>HYPERLINK("http://www.worldcat.org/oclc/21194695","WorldCat Record")</f>
        <v>WorldCat Record</v>
      </c>
      <c r="AX439" s="3" t="s">
        <v>4540</v>
      </c>
      <c r="AY439" s="3" t="s">
        <v>4541</v>
      </c>
      <c r="AZ439" s="3" t="s">
        <v>4542</v>
      </c>
      <c r="BA439" s="3" t="s">
        <v>4542</v>
      </c>
      <c r="BB439" s="3" t="s">
        <v>4543</v>
      </c>
      <c r="BC439" s="3" t="s">
        <v>82</v>
      </c>
      <c r="BD439" s="3" t="s">
        <v>70</v>
      </c>
      <c r="BE439" s="3" t="s">
        <v>4544</v>
      </c>
      <c r="BF439" s="3" t="s">
        <v>4543</v>
      </c>
      <c r="BG439" s="3" t="s">
        <v>4545</v>
      </c>
    </row>
    <row r="440" spans="1:59" ht="60" x14ac:dyDescent="0.25">
      <c r="A440" s="2" t="s">
        <v>59</v>
      </c>
      <c r="B440" s="2" t="s">
        <v>60</v>
      </c>
      <c r="C440" s="2" t="s">
        <v>4533</v>
      </c>
      <c r="D440" s="2" t="s">
        <v>4534</v>
      </c>
      <c r="E440" s="2" t="s">
        <v>4535</v>
      </c>
      <c r="G440" s="3" t="s">
        <v>63</v>
      </c>
      <c r="I440" s="3" t="s">
        <v>62</v>
      </c>
      <c r="J440" s="3" t="s">
        <v>63</v>
      </c>
      <c r="K440" s="3" t="s">
        <v>64</v>
      </c>
      <c r="L440" s="2" t="s">
        <v>4536</v>
      </c>
      <c r="M440" s="2" t="s">
        <v>4537</v>
      </c>
      <c r="N440" s="3" t="s">
        <v>668</v>
      </c>
      <c r="P440" s="3" t="s">
        <v>90</v>
      </c>
      <c r="R440" s="3" t="s">
        <v>67</v>
      </c>
      <c r="S440" s="4">
        <v>7</v>
      </c>
      <c r="T440" s="4">
        <v>13</v>
      </c>
      <c r="U440" s="5" t="s">
        <v>4539</v>
      </c>
      <c r="V440" s="5" t="s">
        <v>4539</v>
      </c>
      <c r="W440" s="5" t="s">
        <v>69</v>
      </c>
      <c r="X440" s="5" t="s">
        <v>69</v>
      </c>
      <c r="Y440" s="4">
        <v>98</v>
      </c>
      <c r="Z440" s="4">
        <v>7</v>
      </c>
      <c r="AA440" s="4">
        <v>13</v>
      </c>
      <c r="AB440" s="4">
        <v>1</v>
      </c>
      <c r="AC440" s="4">
        <v>1</v>
      </c>
      <c r="AD440" s="4">
        <v>50</v>
      </c>
      <c r="AE440" s="4">
        <v>64</v>
      </c>
      <c r="AF440" s="4">
        <v>0</v>
      </c>
      <c r="AG440" s="4">
        <v>0</v>
      </c>
      <c r="AH440" s="4">
        <v>46</v>
      </c>
      <c r="AI440" s="4">
        <v>59</v>
      </c>
      <c r="AJ440" s="4">
        <v>5</v>
      </c>
      <c r="AK440" s="4">
        <v>8</v>
      </c>
      <c r="AL440" s="4">
        <v>32</v>
      </c>
      <c r="AM440" s="4">
        <v>36</v>
      </c>
      <c r="AN440" s="4">
        <v>0</v>
      </c>
      <c r="AO440" s="4">
        <v>0</v>
      </c>
      <c r="AP440" s="4">
        <v>5</v>
      </c>
      <c r="AQ440" s="4">
        <v>8</v>
      </c>
      <c r="AR440" s="3" t="s">
        <v>63</v>
      </c>
      <c r="AS440" s="3" t="s">
        <v>63</v>
      </c>
      <c r="AT440" s="3" t="s">
        <v>63</v>
      </c>
      <c r="AV440" s="6" t="str">
        <f>HYPERLINK("http://mcgill.on.worldcat.org/oclc/21194695","Catalog Record")</f>
        <v>Catalog Record</v>
      </c>
      <c r="AW440" s="6" t="str">
        <f>HYPERLINK("http://www.worldcat.org/oclc/21194695","WorldCat Record")</f>
        <v>WorldCat Record</v>
      </c>
      <c r="AX440" s="3" t="s">
        <v>4540</v>
      </c>
      <c r="AY440" s="3" t="s">
        <v>4541</v>
      </c>
      <c r="AZ440" s="3" t="s">
        <v>4542</v>
      </c>
      <c r="BA440" s="3" t="s">
        <v>4542</v>
      </c>
      <c r="BB440" s="3" t="s">
        <v>4546</v>
      </c>
      <c r="BC440" s="3" t="s">
        <v>82</v>
      </c>
      <c r="BD440" s="3" t="s">
        <v>70</v>
      </c>
      <c r="BE440" s="3" t="s">
        <v>4544</v>
      </c>
      <c r="BF440" s="3" t="s">
        <v>4546</v>
      </c>
      <c r="BG440" s="3" t="s">
        <v>4547</v>
      </c>
    </row>
    <row r="441" spans="1:59" ht="60" x14ac:dyDescent="0.25">
      <c r="A441" s="2" t="s">
        <v>59</v>
      </c>
      <c r="B441" s="2" t="s">
        <v>60</v>
      </c>
      <c r="C441" s="2" t="s">
        <v>4548</v>
      </c>
      <c r="D441" s="2" t="s">
        <v>4549</v>
      </c>
      <c r="E441" s="2" t="s">
        <v>4550</v>
      </c>
      <c r="G441" s="3" t="s">
        <v>63</v>
      </c>
      <c r="I441" s="3" t="s">
        <v>63</v>
      </c>
      <c r="J441" s="3" t="s">
        <v>63</v>
      </c>
      <c r="K441" s="3" t="s">
        <v>64</v>
      </c>
      <c r="L441" s="2" t="s">
        <v>4551</v>
      </c>
      <c r="M441" s="2" t="s">
        <v>4552</v>
      </c>
      <c r="N441" s="3" t="s">
        <v>313</v>
      </c>
      <c r="P441" s="3" t="s">
        <v>90</v>
      </c>
      <c r="Q441" s="2" t="s">
        <v>4553</v>
      </c>
      <c r="R441" s="3" t="s">
        <v>67</v>
      </c>
      <c r="S441" s="4">
        <v>0</v>
      </c>
      <c r="T441" s="4">
        <v>0</v>
      </c>
      <c r="W441" s="5" t="s">
        <v>69</v>
      </c>
      <c r="X441" s="5" t="s">
        <v>69</v>
      </c>
      <c r="Y441" s="4">
        <v>41</v>
      </c>
      <c r="Z441" s="4">
        <v>3</v>
      </c>
      <c r="AA441" s="4">
        <v>3</v>
      </c>
      <c r="AB441" s="4">
        <v>1</v>
      </c>
      <c r="AC441" s="4">
        <v>1</v>
      </c>
      <c r="AD441" s="4">
        <v>31</v>
      </c>
      <c r="AE441" s="4">
        <v>31</v>
      </c>
      <c r="AF441" s="4">
        <v>0</v>
      </c>
      <c r="AG441" s="4">
        <v>0</v>
      </c>
      <c r="AH441" s="4">
        <v>30</v>
      </c>
      <c r="AI441" s="4">
        <v>30</v>
      </c>
      <c r="AJ441" s="4">
        <v>2</v>
      </c>
      <c r="AK441" s="4">
        <v>2</v>
      </c>
      <c r="AL441" s="4">
        <v>23</v>
      </c>
      <c r="AM441" s="4">
        <v>23</v>
      </c>
      <c r="AN441" s="4">
        <v>0</v>
      </c>
      <c r="AO441" s="4">
        <v>0</v>
      </c>
      <c r="AP441" s="4">
        <v>2</v>
      </c>
      <c r="AQ441" s="4">
        <v>2</v>
      </c>
      <c r="AR441" s="3" t="s">
        <v>63</v>
      </c>
      <c r="AS441" s="3" t="s">
        <v>63</v>
      </c>
      <c r="AT441" s="3" t="s">
        <v>63</v>
      </c>
      <c r="AV441" s="6" t="str">
        <f>HYPERLINK("http://mcgill.on.worldcat.org/oclc/493998351","Catalog Record")</f>
        <v>Catalog Record</v>
      </c>
      <c r="AW441" s="6" t="str">
        <f>HYPERLINK("http://www.worldcat.org/oclc/493998351","WorldCat Record")</f>
        <v>WorldCat Record</v>
      </c>
      <c r="AX441" s="3" t="s">
        <v>4554</v>
      </c>
      <c r="AY441" s="3" t="s">
        <v>4555</v>
      </c>
      <c r="AZ441" s="3" t="s">
        <v>4556</v>
      </c>
      <c r="BA441" s="3" t="s">
        <v>4556</v>
      </c>
      <c r="BB441" s="3" t="s">
        <v>4557</v>
      </c>
      <c r="BC441" s="3" t="s">
        <v>82</v>
      </c>
      <c r="BD441" s="3" t="s">
        <v>70</v>
      </c>
      <c r="BE441" s="3" t="s">
        <v>4558</v>
      </c>
      <c r="BF441" s="3" t="s">
        <v>4557</v>
      </c>
      <c r="BG441" s="3" t="s">
        <v>4559</v>
      </c>
    </row>
    <row r="442" spans="1:59" ht="60" x14ac:dyDescent="0.25">
      <c r="A442" s="2" t="s">
        <v>59</v>
      </c>
      <c r="B442" s="2" t="s">
        <v>60</v>
      </c>
      <c r="C442" s="2" t="s">
        <v>4560</v>
      </c>
      <c r="D442" s="2" t="s">
        <v>4561</v>
      </c>
      <c r="E442" s="2" t="s">
        <v>4562</v>
      </c>
      <c r="G442" s="3" t="s">
        <v>63</v>
      </c>
      <c r="I442" s="3" t="s">
        <v>63</v>
      </c>
      <c r="J442" s="3" t="s">
        <v>62</v>
      </c>
      <c r="K442" s="3" t="s">
        <v>64</v>
      </c>
      <c r="M442" s="2" t="s">
        <v>4563</v>
      </c>
      <c r="N442" s="3" t="s">
        <v>161</v>
      </c>
      <c r="P442" s="3" t="s">
        <v>66</v>
      </c>
      <c r="R442" s="3" t="s">
        <v>67</v>
      </c>
      <c r="S442" s="4">
        <v>50</v>
      </c>
      <c r="T442" s="4">
        <v>50</v>
      </c>
      <c r="U442" s="5" t="s">
        <v>4564</v>
      </c>
      <c r="V442" s="5" t="s">
        <v>4564</v>
      </c>
      <c r="W442" s="5" t="s">
        <v>69</v>
      </c>
      <c r="X442" s="5" t="s">
        <v>69</v>
      </c>
      <c r="Y442" s="4">
        <v>787</v>
      </c>
      <c r="Z442" s="4">
        <v>46</v>
      </c>
      <c r="AA442" s="4">
        <v>62</v>
      </c>
      <c r="AB442" s="4">
        <v>3</v>
      </c>
      <c r="AC442" s="4">
        <v>7</v>
      </c>
      <c r="AD442" s="4">
        <v>119</v>
      </c>
      <c r="AE442" s="4">
        <v>139</v>
      </c>
      <c r="AF442" s="4">
        <v>1</v>
      </c>
      <c r="AG442" s="4">
        <v>4</v>
      </c>
      <c r="AH442" s="4">
        <v>100</v>
      </c>
      <c r="AI442" s="4">
        <v>112</v>
      </c>
      <c r="AJ442" s="4">
        <v>19</v>
      </c>
      <c r="AK442" s="4">
        <v>24</v>
      </c>
      <c r="AL442" s="4">
        <v>55</v>
      </c>
      <c r="AM442" s="4">
        <v>60</v>
      </c>
      <c r="AN442" s="4">
        <v>0</v>
      </c>
      <c r="AO442" s="4">
        <v>0</v>
      </c>
      <c r="AP442" s="4">
        <v>26</v>
      </c>
      <c r="AQ442" s="4">
        <v>34</v>
      </c>
      <c r="AR442" s="3" t="s">
        <v>63</v>
      </c>
      <c r="AS442" s="3" t="s">
        <v>63</v>
      </c>
      <c r="AT442" s="3" t="s">
        <v>62</v>
      </c>
      <c r="AU442" s="6" t="str">
        <f>HYPERLINK("http://catalog.hathitrust.org/Record/001833934","HathiTrust Record")</f>
        <v>HathiTrust Record</v>
      </c>
      <c r="AV442" s="6" t="str">
        <f>HYPERLINK("http://mcgill.on.worldcat.org/oclc/18410934","Catalog Record")</f>
        <v>Catalog Record</v>
      </c>
      <c r="AW442" s="6" t="str">
        <f>HYPERLINK("http://www.worldcat.org/oclc/18410934","WorldCat Record")</f>
        <v>WorldCat Record</v>
      </c>
      <c r="AX442" s="3" t="s">
        <v>4565</v>
      </c>
      <c r="AY442" s="3" t="s">
        <v>4566</v>
      </c>
      <c r="AZ442" s="3" t="s">
        <v>4567</v>
      </c>
      <c r="BA442" s="3" t="s">
        <v>4567</v>
      </c>
      <c r="BB442" s="3" t="s">
        <v>4568</v>
      </c>
      <c r="BC442" s="3" t="s">
        <v>82</v>
      </c>
      <c r="BD442" s="3" t="s">
        <v>538</v>
      </c>
      <c r="BE442" s="3" t="s">
        <v>4569</v>
      </c>
      <c r="BF442" s="3" t="s">
        <v>4568</v>
      </c>
      <c r="BG442" s="3" t="s">
        <v>4570</v>
      </c>
    </row>
    <row r="443" spans="1:59" ht="60" x14ac:dyDescent="0.25">
      <c r="A443" s="2" t="s">
        <v>59</v>
      </c>
      <c r="B443" s="2" t="s">
        <v>60</v>
      </c>
      <c r="C443" s="2" t="s">
        <v>4571</v>
      </c>
      <c r="D443" s="2" t="s">
        <v>4572</v>
      </c>
      <c r="E443" s="2" t="s">
        <v>4573</v>
      </c>
      <c r="G443" s="3" t="s">
        <v>63</v>
      </c>
      <c r="I443" s="3" t="s">
        <v>63</v>
      </c>
      <c r="J443" s="3" t="s">
        <v>63</v>
      </c>
      <c r="K443" s="3" t="s">
        <v>64</v>
      </c>
      <c r="L443" s="2" t="s">
        <v>4574</v>
      </c>
      <c r="M443" s="2" t="s">
        <v>4575</v>
      </c>
      <c r="N443" s="3" t="s">
        <v>758</v>
      </c>
      <c r="P443" s="3" t="s">
        <v>66</v>
      </c>
      <c r="Q443" s="2" t="s">
        <v>4576</v>
      </c>
      <c r="R443" s="3" t="s">
        <v>67</v>
      </c>
      <c r="S443" s="4">
        <v>20</v>
      </c>
      <c r="T443" s="4">
        <v>20</v>
      </c>
      <c r="U443" s="5" t="s">
        <v>4577</v>
      </c>
      <c r="V443" s="5" t="s">
        <v>4577</v>
      </c>
      <c r="W443" s="5" t="s">
        <v>69</v>
      </c>
      <c r="X443" s="5" t="s">
        <v>69</v>
      </c>
      <c r="Y443" s="4">
        <v>416</v>
      </c>
      <c r="Z443" s="4">
        <v>25</v>
      </c>
      <c r="AA443" s="4">
        <v>91</v>
      </c>
      <c r="AB443" s="4">
        <v>2</v>
      </c>
      <c r="AC443" s="4">
        <v>14</v>
      </c>
      <c r="AD443" s="4">
        <v>108</v>
      </c>
      <c r="AE443" s="4">
        <v>151</v>
      </c>
      <c r="AF443" s="4">
        <v>1</v>
      </c>
      <c r="AG443" s="4">
        <v>8</v>
      </c>
      <c r="AH443" s="4">
        <v>94</v>
      </c>
      <c r="AI443" s="4">
        <v>111</v>
      </c>
      <c r="AJ443" s="4">
        <v>15</v>
      </c>
      <c r="AK443" s="4">
        <v>26</v>
      </c>
      <c r="AL443" s="4">
        <v>52</v>
      </c>
      <c r="AM443" s="4">
        <v>61</v>
      </c>
      <c r="AN443" s="4">
        <v>0</v>
      </c>
      <c r="AO443" s="4">
        <v>0</v>
      </c>
      <c r="AP443" s="4">
        <v>19</v>
      </c>
      <c r="AQ443" s="4">
        <v>47</v>
      </c>
      <c r="AR443" s="3" t="s">
        <v>63</v>
      </c>
      <c r="AS443" s="3" t="s">
        <v>63</v>
      </c>
      <c r="AT443" s="3" t="s">
        <v>62</v>
      </c>
      <c r="AU443" s="6" t="str">
        <f>HYPERLINK("http://catalog.hathitrust.org/Record/001055024","HathiTrust Record")</f>
        <v>HathiTrust Record</v>
      </c>
      <c r="AV443" s="6" t="str">
        <f>HYPERLINK("http://mcgill.on.worldcat.org/oclc/321965","Catalog Record")</f>
        <v>Catalog Record</v>
      </c>
      <c r="AW443" s="6" t="str">
        <f>HYPERLINK("http://www.worldcat.org/oclc/321965","WorldCat Record")</f>
        <v>WorldCat Record</v>
      </c>
      <c r="AX443" s="3" t="s">
        <v>4578</v>
      </c>
      <c r="AY443" s="3" t="s">
        <v>4579</v>
      </c>
      <c r="AZ443" s="3" t="s">
        <v>4580</v>
      </c>
      <c r="BA443" s="3" t="s">
        <v>4580</v>
      </c>
      <c r="BB443" s="3" t="s">
        <v>4581</v>
      </c>
      <c r="BC443" s="3" t="s">
        <v>82</v>
      </c>
      <c r="BD443" s="3" t="s">
        <v>70</v>
      </c>
      <c r="BF443" s="3" t="s">
        <v>4581</v>
      </c>
      <c r="BG443" s="3" t="s">
        <v>4582</v>
      </c>
    </row>
    <row r="444" spans="1:59" ht="60" x14ac:dyDescent="0.25">
      <c r="A444" s="2" t="s">
        <v>59</v>
      </c>
      <c r="B444" s="2" t="s">
        <v>60</v>
      </c>
      <c r="C444" s="2" t="s">
        <v>4583</v>
      </c>
      <c r="D444" s="2" t="s">
        <v>4584</v>
      </c>
      <c r="E444" s="2" t="s">
        <v>4585</v>
      </c>
      <c r="G444" s="3" t="s">
        <v>63</v>
      </c>
      <c r="I444" s="3" t="s">
        <v>63</v>
      </c>
      <c r="J444" s="3" t="s">
        <v>63</v>
      </c>
      <c r="K444" s="3" t="s">
        <v>64</v>
      </c>
      <c r="L444" s="2" t="s">
        <v>4586</v>
      </c>
      <c r="M444" s="2" t="s">
        <v>4587</v>
      </c>
      <c r="N444" s="3" t="s">
        <v>629</v>
      </c>
      <c r="P444" s="3" t="s">
        <v>66</v>
      </c>
      <c r="Q444" s="2" t="s">
        <v>1949</v>
      </c>
      <c r="R444" s="3" t="s">
        <v>67</v>
      </c>
      <c r="S444" s="4">
        <v>6</v>
      </c>
      <c r="T444" s="4">
        <v>6</v>
      </c>
      <c r="U444" s="5" t="s">
        <v>4588</v>
      </c>
      <c r="V444" s="5" t="s">
        <v>4588</v>
      </c>
      <c r="W444" s="5" t="s">
        <v>69</v>
      </c>
      <c r="X444" s="5" t="s">
        <v>69</v>
      </c>
      <c r="Y444" s="4">
        <v>127</v>
      </c>
      <c r="Z444" s="4">
        <v>10</v>
      </c>
      <c r="AA444" s="4">
        <v>87</v>
      </c>
      <c r="AB444" s="4">
        <v>1</v>
      </c>
      <c r="AC444" s="4">
        <v>17</v>
      </c>
      <c r="AD444" s="4">
        <v>53</v>
      </c>
      <c r="AE444" s="4">
        <v>126</v>
      </c>
      <c r="AF444" s="4">
        <v>0</v>
      </c>
      <c r="AG444" s="4">
        <v>8</v>
      </c>
      <c r="AH444" s="4">
        <v>50</v>
      </c>
      <c r="AI444" s="4">
        <v>89</v>
      </c>
      <c r="AJ444" s="4">
        <v>7</v>
      </c>
      <c r="AK444" s="4">
        <v>22</v>
      </c>
      <c r="AL444" s="4">
        <v>33</v>
      </c>
      <c r="AM444" s="4">
        <v>50</v>
      </c>
      <c r="AN444" s="4">
        <v>0</v>
      </c>
      <c r="AO444" s="4">
        <v>0</v>
      </c>
      <c r="AP444" s="4">
        <v>7</v>
      </c>
      <c r="AQ444" s="4">
        <v>43</v>
      </c>
      <c r="AR444" s="3" t="s">
        <v>63</v>
      </c>
      <c r="AS444" s="3" t="s">
        <v>63</v>
      </c>
      <c r="AT444" s="3" t="s">
        <v>63</v>
      </c>
      <c r="AV444" s="6" t="str">
        <f>HYPERLINK("http://mcgill.on.worldcat.org/oclc/468965323","Catalog Record")</f>
        <v>Catalog Record</v>
      </c>
      <c r="AW444" s="6" t="str">
        <f>HYPERLINK("http://www.worldcat.org/oclc/468965323","WorldCat Record")</f>
        <v>WorldCat Record</v>
      </c>
      <c r="AX444" s="3" t="s">
        <v>4589</v>
      </c>
      <c r="AY444" s="3" t="s">
        <v>4590</v>
      </c>
      <c r="AZ444" s="3" t="s">
        <v>4591</v>
      </c>
      <c r="BA444" s="3" t="s">
        <v>4591</v>
      </c>
      <c r="BB444" s="3" t="s">
        <v>4592</v>
      </c>
      <c r="BC444" s="3" t="s">
        <v>82</v>
      </c>
      <c r="BD444" s="3" t="s">
        <v>70</v>
      </c>
      <c r="BE444" s="3" t="s">
        <v>4593</v>
      </c>
      <c r="BF444" s="3" t="s">
        <v>4592</v>
      </c>
      <c r="BG444" s="3" t="s">
        <v>4594</v>
      </c>
    </row>
    <row r="445" spans="1:59" ht="60" x14ac:dyDescent="0.25">
      <c r="A445" s="2" t="s">
        <v>59</v>
      </c>
      <c r="B445" s="2" t="s">
        <v>60</v>
      </c>
      <c r="C445" s="2" t="s">
        <v>4595</v>
      </c>
      <c r="D445" s="2" t="s">
        <v>4596</v>
      </c>
      <c r="E445" s="2" t="s">
        <v>4597</v>
      </c>
      <c r="G445" s="3" t="s">
        <v>63</v>
      </c>
      <c r="I445" s="3" t="s">
        <v>63</v>
      </c>
      <c r="J445" s="3" t="s">
        <v>63</v>
      </c>
      <c r="K445" s="3" t="s">
        <v>64</v>
      </c>
      <c r="L445" s="2" t="s">
        <v>4586</v>
      </c>
      <c r="M445" s="2" t="s">
        <v>4598</v>
      </c>
      <c r="N445" s="3" t="s">
        <v>2459</v>
      </c>
      <c r="P445" s="3" t="s">
        <v>66</v>
      </c>
      <c r="Q445" s="2" t="s">
        <v>4599</v>
      </c>
      <c r="R445" s="3" t="s">
        <v>67</v>
      </c>
      <c r="S445" s="4">
        <v>22</v>
      </c>
      <c r="T445" s="4">
        <v>22</v>
      </c>
      <c r="U445" s="5" t="s">
        <v>4600</v>
      </c>
      <c r="V445" s="5" t="s">
        <v>4600</v>
      </c>
      <c r="W445" s="5" t="s">
        <v>69</v>
      </c>
      <c r="X445" s="5" t="s">
        <v>69</v>
      </c>
      <c r="Y445" s="4">
        <v>399</v>
      </c>
      <c r="Z445" s="4">
        <v>17</v>
      </c>
      <c r="AA445" s="4">
        <v>82</v>
      </c>
      <c r="AB445" s="4">
        <v>2</v>
      </c>
      <c r="AC445" s="4">
        <v>15</v>
      </c>
      <c r="AD445" s="4">
        <v>87</v>
      </c>
      <c r="AE445" s="4">
        <v>129</v>
      </c>
      <c r="AF445" s="4">
        <v>0</v>
      </c>
      <c r="AG445" s="4">
        <v>8</v>
      </c>
      <c r="AH445" s="4">
        <v>81</v>
      </c>
      <c r="AI445" s="4">
        <v>95</v>
      </c>
      <c r="AJ445" s="4">
        <v>9</v>
      </c>
      <c r="AK445" s="4">
        <v>21</v>
      </c>
      <c r="AL445" s="4">
        <v>47</v>
      </c>
      <c r="AM445" s="4">
        <v>53</v>
      </c>
      <c r="AN445" s="4">
        <v>0</v>
      </c>
      <c r="AO445" s="4">
        <v>0</v>
      </c>
      <c r="AP445" s="4">
        <v>11</v>
      </c>
      <c r="AQ445" s="4">
        <v>41</v>
      </c>
      <c r="AR445" s="3" t="s">
        <v>63</v>
      </c>
      <c r="AS445" s="3" t="s">
        <v>63</v>
      </c>
      <c r="AT445" s="3" t="s">
        <v>63</v>
      </c>
      <c r="AV445" s="6" t="str">
        <f>HYPERLINK("http://mcgill.on.worldcat.org/oclc/182656746","Catalog Record")</f>
        <v>Catalog Record</v>
      </c>
      <c r="AW445" s="6" t="str">
        <f>HYPERLINK("http://www.worldcat.org/oclc/182656746","WorldCat Record")</f>
        <v>WorldCat Record</v>
      </c>
      <c r="AX445" s="3" t="s">
        <v>4601</v>
      </c>
      <c r="AY445" s="3" t="s">
        <v>4602</v>
      </c>
      <c r="AZ445" s="3" t="s">
        <v>4603</v>
      </c>
      <c r="BA445" s="3" t="s">
        <v>4603</v>
      </c>
      <c r="BB445" s="3" t="s">
        <v>4604</v>
      </c>
      <c r="BC445" s="3" t="s">
        <v>82</v>
      </c>
      <c r="BD445" s="3" t="s">
        <v>70</v>
      </c>
      <c r="BE445" s="3" t="s">
        <v>4605</v>
      </c>
      <c r="BF445" s="3" t="s">
        <v>4604</v>
      </c>
      <c r="BG445" s="3" t="s">
        <v>4606</v>
      </c>
    </row>
    <row r="446" spans="1:59" ht="60" x14ac:dyDescent="0.25">
      <c r="A446" s="2" t="s">
        <v>59</v>
      </c>
      <c r="B446" s="2" t="s">
        <v>60</v>
      </c>
      <c r="C446" s="2" t="s">
        <v>4607</v>
      </c>
      <c r="D446" s="2" t="s">
        <v>4608</v>
      </c>
      <c r="E446" s="2" t="s">
        <v>4609</v>
      </c>
      <c r="G446" s="3" t="s">
        <v>63</v>
      </c>
      <c r="I446" s="3" t="s">
        <v>63</v>
      </c>
      <c r="J446" s="3" t="s">
        <v>63</v>
      </c>
      <c r="K446" s="3" t="s">
        <v>64</v>
      </c>
      <c r="L446" s="2" t="s">
        <v>4610</v>
      </c>
      <c r="M446" s="2" t="s">
        <v>4611</v>
      </c>
      <c r="N446" s="3" t="s">
        <v>468</v>
      </c>
      <c r="P446" s="3" t="s">
        <v>66</v>
      </c>
      <c r="R446" s="3" t="s">
        <v>67</v>
      </c>
      <c r="S446" s="4">
        <v>22</v>
      </c>
      <c r="T446" s="4">
        <v>22</v>
      </c>
      <c r="U446" s="5" t="s">
        <v>4612</v>
      </c>
      <c r="V446" s="5" t="s">
        <v>4612</v>
      </c>
      <c r="W446" s="5" t="s">
        <v>69</v>
      </c>
      <c r="X446" s="5" t="s">
        <v>69</v>
      </c>
      <c r="Y446" s="4">
        <v>347</v>
      </c>
      <c r="Z446" s="4">
        <v>26</v>
      </c>
      <c r="AA446" s="4">
        <v>36</v>
      </c>
      <c r="AB446" s="4">
        <v>2</v>
      </c>
      <c r="AC446" s="4">
        <v>5</v>
      </c>
      <c r="AD446" s="4">
        <v>72</v>
      </c>
      <c r="AE446" s="4">
        <v>121</v>
      </c>
      <c r="AF446" s="4">
        <v>0</v>
      </c>
      <c r="AG446" s="4">
        <v>2</v>
      </c>
      <c r="AH446" s="4">
        <v>63</v>
      </c>
      <c r="AI446" s="4">
        <v>106</v>
      </c>
      <c r="AJ446" s="4">
        <v>17</v>
      </c>
      <c r="AK446" s="4">
        <v>22</v>
      </c>
      <c r="AL446" s="4">
        <v>34</v>
      </c>
      <c r="AM446" s="4">
        <v>55</v>
      </c>
      <c r="AN446" s="4">
        <v>0</v>
      </c>
      <c r="AO446" s="4">
        <v>5</v>
      </c>
      <c r="AP446" s="4">
        <v>17</v>
      </c>
      <c r="AQ446" s="4">
        <v>23</v>
      </c>
      <c r="AR446" s="3" t="s">
        <v>63</v>
      </c>
      <c r="AS446" s="3" t="s">
        <v>63</v>
      </c>
      <c r="AT446" s="3" t="s">
        <v>62</v>
      </c>
      <c r="AU446" s="6" t="str">
        <f>HYPERLINK("http://catalog.hathitrust.org/Record/000130318","HathiTrust Record")</f>
        <v>HathiTrust Record</v>
      </c>
      <c r="AV446" s="6" t="str">
        <f>HYPERLINK("http://mcgill.on.worldcat.org/oclc/2646894","Catalog Record")</f>
        <v>Catalog Record</v>
      </c>
      <c r="AW446" s="6" t="str">
        <f>HYPERLINK("http://www.worldcat.org/oclc/2646894","WorldCat Record")</f>
        <v>WorldCat Record</v>
      </c>
      <c r="AX446" s="3" t="s">
        <v>4613</v>
      </c>
      <c r="AY446" s="3" t="s">
        <v>4614</v>
      </c>
      <c r="AZ446" s="3" t="s">
        <v>4615</v>
      </c>
      <c r="BA446" s="3" t="s">
        <v>4615</v>
      </c>
      <c r="BB446" s="3" t="s">
        <v>4616</v>
      </c>
      <c r="BC446" s="3" t="s">
        <v>82</v>
      </c>
      <c r="BD446" s="3" t="s">
        <v>70</v>
      </c>
      <c r="BE446" s="3" t="s">
        <v>4617</v>
      </c>
      <c r="BF446" s="3" t="s">
        <v>4616</v>
      </c>
      <c r="BG446" s="3" t="s">
        <v>4618</v>
      </c>
    </row>
    <row r="447" spans="1:59" ht="60" x14ac:dyDescent="0.25">
      <c r="A447" s="2" t="s">
        <v>59</v>
      </c>
      <c r="B447" s="2" t="s">
        <v>60</v>
      </c>
      <c r="C447" s="2" t="s">
        <v>4619</v>
      </c>
      <c r="D447" s="2" t="s">
        <v>4620</v>
      </c>
      <c r="E447" s="2" t="s">
        <v>4621</v>
      </c>
      <c r="G447" s="3" t="s">
        <v>63</v>
      </c>
      <c r="I447" s="3" t="s">
        <v>62</v>
      </c>
      <c r="J447" s="3" t="s">
        <v>62</v>
      </c>
      <c r="K447" s="3" t="s">
        <v>64</v>
      </c>
      <c r="L447" s="2" t="s">
        <v>4622</v>
      </c>
      <c r="M447" s="2" t="s">
        <v>4623</v>
      </c>
      <c r="N447" s="3" t="s">
        <v>2182</v>
      </c>
      <c r="P447" s="3" t="s">
        <v>66</v>
      </c>
      <c r="Q447" s="2" t="s">
        <v>4624</v>
      </c>
      <c r="R447" s="3" t="s">
        <v>67</v>
      </c>
      <c r="S447" s="4">
        <v>11</v>
      </c>
      <c r="T447" s="4">
        <v>11</v>
      </c>
      <c r="U447" s="5" t="s">
        <v>4625</v>
      </c>
      <c r="V447" s="5" t="s">
        <v>4625</v>
      </c>
      <c r="W447" s="5" t="s">
        <v>69</v>
      </c>
      <c r="X447" s="5" t="s">
        <v>69</v>
      </c>
      <c r="Y447" s="4">
        <v>644</v>
      </c>
      <c r="Z447" s="4">
        <v>32</v>
      </c>
      <c r="AA447" s="4">
        <v>41</v>
      </c>
      <c r="AB447" s="4">
        <v>2</v>
      </c>
      <c r="AC447" s="4">
        <v>3</v>
      </c>
      <c r="AD447" s="4">
        <v>109</v>
      </c>
      <c r="AE447" s="4">
        <v>117</v>
      </c>
      <c r="AF447" s="4">
        <v>1</v>
      </c>
      <c r="AG447" s="4">
        <v>1</v>
      </c>
      <c r="AH447" s="4">
        <v>92</v>
      </c>
      <c r="AI447" s="4">
        <v>97</v>
      </c>
      <c r="AJ447" s="4">
        <v>15</v>
      </c>
      <c r="AK447" s="4">
        <v>16</v>
      </c>
      <c r="AL447" s="4">
        <v>48</v>
      </c>
      <c r="AM447" s="4">
        <v>52</v>
      </c>
      <c r="AN447" s="4">
        <v>5</v>
      </c>
      <c r="AO447" s="4">
        <v>5</v>
      </c>
      <c r="AP447" s="4">
        <v>24</v>
      </c>
      <c r="AQ447" s="4">
        <v>27</v>
      </c>
      <c r="AR447" s="3" t="s">
        <v>63</v>
      </c>
      <c r="AS447" s="3" t="s">
        <v>63</v>
      </c>
      <c r="AT447" s="3" t="s">
        <v>62</v>
      </c>
      <c r="AU447" s="6" t="str">
        <f>HYPERLINK("http://catalog.hathitrust.org/Record/000438084","HathiTrust Record")</f>
        <v>HathiTrust Record</v>
      </c>
      <c r="AV447" s="6" t="str">
        <f>HYPERLINK("http://mcgill.on.worldcat.org/oclc/5274605","Catalog Record")</f>
        <v>Catalog Record</v>
      </c>
      <c r="AW447" s="6" t="str">
        <f>HYPERLINK("http://www.worldcat.org/oclc/5274605","WorldCat Record")</f>
        <v>WorldCat Record</v>
      </c>
      <c r="AX447" s="3" t="s">
        <v>4626</v>
      </c>
      <c r="AY447" s="3" t="s">
        <v>4627</v>
      </c>
      <c r="AZ447" s="3" t="s">
        <v>4628</v>
      </c>
      <c r="BA447" s="3" t="s">
        <v>4628</v>
      </c>
      <c r="BB447" s="3" t="s">
        <v>4629</v>
      </c>
      <c r="BC447" s="3" t="s">
        <v>82</v>
      </c>
      <c r="BD447" s="3" t="s">
        <v>70</v>
      </c>
      <c r="BE447" s="3" t="s">
        <v>4630</v>
      </c>
      <c r="BF447" s="3" t="s">
        <v>4629</v>
      </c>
      <c r="BG447" s="3" t="s">
        <v>4631</v>
      </c>
    </row>
    <row r="448" spans="1:59" ht="60" x14ac:dyDescent="0.25">
      <c r="A448" s="2" t="s">
        <v>59</v>
      </c>
      <c r="B448" s="2" t="s">
        <v>60</v>
      </c>
      <c r="C448" s="2" t="s">
        <v>4632</v>
      </c>
      <c r="D448" s="2" t="s">
        <v>4633</v>
      </c>
      <c r="E448" s="2" t="s">
        <v>4634</v>
      </c>
      <c r="G448" s="3" t="s">
        <v>63</v>
      </c>
      <c r="I448" s="3" t="s">
        <v>63</v>
      </c>
      <c r="J448" s="3" t="s">
        <v>62</v>
      </c>
      <c r="K448" s="3" t="s">
        <v>64</v>
      </c>
      <c r="L448" s="2" t="s">
        <v>4622</v>
      </c>
      <c r="M448" s="2" t="s">
        <v>4635</v>
      </c>
      <c r="N448" s="3" t="s">
        <v>274</v>
      </c>
      <c r="P448" s="3" t="s">
        <v>66</v>
      </c>
      <c r="R448" s="3" t="s">
        <v>67</v>
      </c>
      <c r="S448" s="4">
        <v>20</v>
      </c>
      <c r="T448" s="4">
        <v>20</v>
      </c>
      <c r="U448" s="5" t="s">
        <v>3244</v>
      </c>
      <c r="V448" s="5" t="s">
        <v>3244</v>
      </c>
      <c r="W448" s="5" t="s">
        <v>69</v>
      </c>
      <c r="X448" s="5" t="s">
        <v>69</v>
      </c>
      <c r="Y448" s="4">
        <v>137</v>
      </c>
      <c r="Z448" s="4">
        <v>7</v>
      </c>
      <c r="AA448" s="4">
        <v>41</v>
      </c>
      <c r="AB448" s="4">
        <v>2</v>
      </c>
      <c r="AC448" s="4">
        <v>3</v>
      </c>
      <c r="AD448" s="4">
        <v>32</v>
      </c>
      <c r="AE448" s="4">
        <v>117</v>
      </c>
      <c r="AF448" s="4">
        <v>0</v>
      </c>
      <c r="AG448" s="4">
        <v>1</v>
      </c>
      <c r="AH448" s="4">
        <v>29</v>
      </c>
      <c r="AI448" s="4">
        <v>97</v>
      </c>
      <c r="AJ448" s="4">
        <v>2</v>
      </c>
      <c r="AK448" s="4">
        <v>16</v>
      </c>
      <c r="AL448" s="4">
        <v>21</v>
      </c>
      <c r="AM448" s="4">
        <v>52</v>
      </c>
      <c r="AN448" s="4">
        <v>0</v>
      </c>
      <c r="AO448" s="4">
        <v>5</v>
      </c>
      <c r="AP448" s="4">
        <v>3</v>
      </c>
      <c r="AQ448" s="4">
        <v>27</v>
      </c>
      <c r="AR448" s="3" t="s">
        <v>63</v>
      </c>
      <c r="AS448" s="3" t="s">
        <v>63</v>
      </c>
      <c r="AT448" s="3" t="s">
        <v>63</v>
      </c>
      <c r="AV448" s="6" t="str">
        <f>HYPERLINK("http://mcgill.on.worldcat.org/oclc/41528100","Catalog Record")</f>
        <v>Catalog Record</v>
      </c>
      <c r="AW448" s="6" t="str">
        <f>HYPERLINK("http://www.worldcat.org/oclc/41528100","WorldCat Record")</f>
        <v>WorldCat Record</v>
      </c>
      <c r="AX448" s="3" t="s">
        <v>4626</v>
      </c>
      <c r="AY448" s="3" t="s">
        <v>4636</v>
      </c>
      <c r="AZ448" s="3" t="s">
        <v>4637</v>
      </c>
      <c r="BA448" s="3" t="s">
        <v>4637</v>
      </c>
      <c r="BB448" s="3" t="s">
        <v>4638</v>
      </c>
      <c r="BC448" s="3" t="s">
        <v>82</v>
      </c>
      <c r="BD448" s="3" t="s">
        <v>538</v>
      </c>
      <c r="BE448" s="3" t="s">
        <v>4639</v>
      </c>
      <c r="BF448" s="3" t="s">
        <v>4638</v>
      </c>
      <c r="BG448" s="3" t="s">
        <v>4640</v>
      </c>
    </row>
    <row r="449" spans="1:59" ht="60" x14ac:dyDescent="0.25">
      <c r="A449" s="2" t="s">
        <v>59</v>
      </c>
      <c r="B449" s="2" t="s">
        <v>60</v>
      </c>
      <c r="C449" s="2" t="s">
        <v>4641</v>
      </c>
      <c r="D449" s="2" t="s">
        <v>4642</v>
      </c>
      <c r="E449" s="2" t="s">
        <v>4643</v>
      </c>
      <c r="G449" s="3" t="s">
        <v>63</v>
      </c>
      <c r="I449" s="3" t="s">
        <v>62</v>
      </c>
      <c r="J449" s="3" t="s">
        <v>63</v>
      </c>
      <c r="K449" s="3" t="s">
        <v>64</v>
      </c>
      <c r="L449" s="2" t="s">
        <v>4644</v>
      </c>
      <c r="M449" s="2" t="s">
        <v>4645</v>
      </c>
      <c r="N449" s="3" t="s">
        <v>300</v>
      </c>
      <c r="O449" s="2" t="s">
        <v>4646</v>
      </c>
      <c r="P449" s="3" t="s">
        <v>66</v>
      </c>
      <c r="R449" s="3" t="s">
        <v>67</v>
      </c>
      <c r="S449" s="4">
        <v>17</v>
      </c>
      <c r="T449" s="4">
        <v>22</v>
      </c>
      <c r="U449" s="5" t="s">
        <v>4647</v>
      </c>
      <c r="V449" s="5" t="s">
        <v>4647</v>
      </c>
      <c r="W449" s="5" t="s">
        <v>69</v>
      </c>
      <c r="X449" s="5" t="s">
        <v>69</v>
      </c>
      <c r="Y449" s="4">
        <v>297</v>
      </c>
      <c r="Z449" s="4">
        <v>35</v>
      </c>
      <c r="AA449" s="4">
        <v>44</v>
      </c>
      <c r="AB449" s="4">
        <v>3</v>
      </c>
      <c r="AC449" s="4">
        <v>5</v>
      </c>
      <c r="AD449" s="4">
        <v>76</v>
      </c>
      <c r="AE449" s="4">
        <v>120</v>
      </c>
      <c r="AF449" s="4">
        <v>1</v>
      </c>
      <c r="AG449" s="4">
        <v>3</v>
      </c>
      <c r="AH449" s="4">
        <v>63</v>
      </c>
      <c r="AI449" s="4">
        <v>98</v>
      </c>
      <c r="AJ449" s="4">
        <v>16</v>
      </c>
      <c r="AK449" s="4">
        <v>23</v>
      </c>
      <c r="AL449" s="4">
        <v>32</v>
      </c>
      <c r="AM449" s="4">
        <v>49</v>
      </c>
      <c r="AN449" s="4">
        <v>0</v>
      </c>
      <c r="AO449" s="4">
        <v>0</v>
      </c>
      <c r="AP449" s="4">
        <v>23</v>
      </c>
      <c r="AQ449" s="4">
        <v>30</v>
      </c>
      <c r="AR449" s="3" t="s">
        <v>63</v>
      </c>
      <c r="AS449" s="3" t="s">
        <v>63</v>
      </c>
      <c r="AT449" s="3" t="s">
        <v>62</v>
      </c>
      <c r="AU449" s="6" t="str">
        <f>HYPERLINK("http://catalog.hathitrust.org/Record/007120205","HathiTrust Record")</f>
        <v>HathiTrust Record</v>
      </c>
      <c r="AV449" s="6" t="str">
        <f>HYPERLINK("http://mcgill.on.worldcat.org/oclc/1549699","Catalog Record")</f>
        <v>Catalog Record</v>
      </c>
      <c r="AW449" s="6" t="str">
        <f>HYPERLINK("http://www.worldcat.org/oclc/1549699","WorldCat Record")</f>
        <v>WorldCat Record</v>
      </c>
      <c r="AX449" s="3" t="s">
        <v>4648</v>
      </c>
      <c r="AY449" s="3" t="s">
        <v>4649</v>
      </c>
      <c r="AZ449" s="3" t="s">
        <v>4650</v>
      </c>
      <c r="BA449" s="3" t="s">
        <v>4650</v>
      </c>
      <c r="BB449" s="3" t="s">
        <v>4651</v>
      </c>
      <c r="BC449" s="3" t="s">
        <v>82</v>
      </c>
      <c r="BD449" s="3" t="s">
        <v>70</v>
      </c>
      <c r="BF449" s="3" t="s">
        <v>4651</v>
      </c>
      <c r="BG449" s="3" t="s">
        <v>4652</v>
      </c>
    </row>
    <row r="450" spans="1:59" ht="60" x14ac:dyDescent="0.25">
      <c r="A450" s="2" t="s">
        <v>59</v>
      </c>
      <c r="B450" s="2" t="s">
        <v>60</v>
      </c>
      <c r="C450" s="2" t="s">
        <v>4641</v>
      </c>
      <c r="D450" s="2" t="s">
        <v>4642</v>
      </c>
      <c r="E450" s="2" t="s">
        <v>4643</v>
      </c>
      <c r="G450" s="3" t="s">
        <v>63</v>
      </c>
      <c r="I450" s="3" t="s">
        <v>62</v>
      </c>
      <c r="J450" s="3" t="s">
        <v>63</v>
      </c>
      <c r="K450" s="3" t="s">
        <v>64</v>
      </c>
      <c r="L450" s="2" t="s">
        <v>4644</v>
      </c>
      <c r="M450" s="2" t="s">
        <v>4645</v>
      </c>
      <c r="N450" s="3" t="s">
        <v>300</v>
      </c>
      <c r="O450" s="2" t="s">
        <v>4646</v>
      </c>
      <c r="P450" s="3" t="s">
        <v>66</v>
      </c>
      <c r="R450" s="3" t="s">
        <v>67</v>
      </c>
      <c r="S450" s="4">
        <v>5</v>
      </c>
      <c r="T450" s="4">
        <v>22</v>
      </c>
      <c r="U450" s="5" t="s">
        <v>4653</v>
      </c>
      <c r="V450" s="5" t="s">
        <v>4647</v>
      </c>
      <c r="W450" s="5" t="s">
        <v>69</v>
      </c>
      <c r="X450" s="5" t="s">
        <v>69</v>
      </c>
      <c r="Y450" s="4">
        <v>297</v>
      </c>
      <c r="Z450" s="4">
        <v>35</v>
      </c>
      <c r="AA450" s="4">
        <v>44</v>
      </c>
      <c r="AB450" s="4">
        <v>3</v>
      </c>
      <c r="AC450" s="4">
        <v>5</v>
      </c>
      <c r="AD450" s="4">
        <v>76</v>
      </c>
      <c r="AE450" s="4">
        <v>120</v>
      </c>
      <c r="AF450" s="4">
        <v>1</v>
      </c>
      <c r="AG450" s="4">
        <v>3</v>
      </c>
      <c r="AH450" s="4">
        <v>63</v>
      </c>
      <c r="AI450" s="4">
        <v>98</v>
      </c>
      <c r="AJ450" s="4">
        <v>16</v>
      </c>
      <c r="AK450" s="4">
        <v>23</v>
      </c>
      <c r="AL450" s="4">
        <v>32</v>
      </c>
      <c r="AM450" s="4">
        <v>49</v>
      </c>
      <c r="AN450" s="4">
        <v>0</v>
      </c>
      <c r="AO450" s="4">
        <v>0</v>
      </c>
      <c r="AP450" s="4">
        <v>23</v>
      </c>
      <c r="AQ450" s="4">
        <v>30</v>
      </c>
      <c r="AR450" s="3" t="s">
        <v>63</v>
      </c>
      <c r="AS450" s="3" t="s">
        <v>63</v>
      </c>
      <c r="AT450" s="3" t="s">
        <v>62</v>
      </c>
      <c r="AU450" s="6" t="str">
        <f>HYPERLINK("http://catalog.hathitrust.org/Record/007120205","HathiTrust Record")</f>
        <v>HathiTrust Record</v>
      </c>
      <c r="AV450" s="6" t="str">
        <f>HYPERLINK("http://mcgill.on.worldcat.org/oclc/1549699","Catalog Record")</f>
        <v>Catalog Record</v>
      </c>
      <c r="AW450" s="6" t="str">
        <f>HYPERLINK("http://www.worldcat.org/oclc/1549699","WorldCat Record")</f>
        <v>WorldCat Record</v>
      </c>
      <c r="AX450" s="3" t="s">
        <v>4648</v>
      </c>
      <c r="AY450" s="3" t="s">
        <v>4649</v>
      </c>
      <c r="AZ450" s="3" t="s">
        <v>4650</v>
      </c>
      <c r="BA450" s="3" t="s">
        <v>4650</v>
      </c>
      <c r="BB450" s="3" t="s">
        <v>4654</v>
      </c>
      <c r="BC450" s="3" t="s">
        <v>82</v>
      </c>
      <c r="BD450" s="3" t="s">
        <v>70</v>
      </c>
      <c r="BF450" s="3" t="s">
        <v>4654</v>
      </c>
      <c r="BG450" s="3" t="s">
        <v>4655</v>
      </c>
    </row>
    <row r="451" spans="1:59" ht="60" x14ac:dyDescent="0.25">
      <c r="A451" s="2" t="s">
        <v>59</v>
      </c>
      <c r="B451" s="2" t="s">
        <v>60</v>
      </c>
      <c r="C451" s="2" t="s">
        <v>4656</v>
      </c>
      <c r="D451" s="2" t="s">
        <v>4657</v>
      </c>
      <c r="E451" s="2" t="s">
        <v>4658</v>
      </c>
      <c r="G451" s="3" t="s">
        <v>63</v>
      </c>
      <c r="I451" s="3" t="s">
        <v>63</v>
      </c>
      <c r="J451" s="3" t="s">
        <v>63</v>
      </c>
      <c r="K451" s="3" t="s">
        <v>64</v>
      </c>
      <c r="L451" s="2" t="s">
        <v>4659</v>
      </c>
      <c r="M451" s="2" t="s">
        <v>4660</v>
      </c>
      <c r="N451" s="3" t="s">
        <v>313</v>
      </c>
      <c r="P451" s="3" t="s">
        <v>66</v>
      </c>
      <c r="Q451" s="2" t="s">
        <v>3902</v>
      </c>
      <c r="R451" s="3" t="s">
        <v>67</v>
      </c>
      <c r="S451" s="4">
        <v>2</v>
      </c>
      <c r="T451" s="4">
        <v>2</v>
      </c>
      <c r="U451" s="5" t="s">
        <v>3244</v>
      </c>
      <c r="V451" s="5" t="s">
        <v>3244</v>
      </c>
      <c r="W451" s="5" t="s">
        <v>69</v>
      </c>
      <c r="X451" s="5" t="s">
        <v>69</v>
      </c>
      <c r="Y451" s="4">
        <v>180</v>
      </c>
      <c r="Z451" s="4">
        <v>16</v>
      </c>
      <c r="AA451" s="4">
        <v>25</v>
      </c>
      <c r="AB451" s="4">
        <v>1</v>
      </c>
      <c r="AC451" s="4">
        <v>5</v>
      </c>
      <c r="AD451" s="4">
        <v>81</v>
      </c>
      <c r="AE451" s="4">
        <v>91</v>
      </c>
      <c r="AF451" s="4">
        <v>0</v>
      </c>
      <c r="AG451" s="4">
        <v>1</v>
      </c>
      <c r="AH451" s="4">
        <v>74</v>
      </c>
      <c r="AI451" s="4">
        <v>78</v>
      </c>
      <c r="AJ451" s="4">
        <v>11</v>
      </c>
      <c r="AK451" s="4">
        <v>14</v>
      </c>
      <c r="AL451" s="4">
        <v>47</v>
      </c>
      <c r="AM451" s="4">
        <v>49</v>
      </c>
      <c r="AN451" s="4">
        <v>0</v>
      </c>
      <c r="AO451" s="4">
        <v>0</v>
      </c>
      <c r="AP451" s="4">
        <v>13</v>
      </c>
      <c r="AQ451" s="4">
        <v>19</v>
      </c>
      <c r="AR451" s="3" t="s">
        <v>63</v>
      </c>
      <c r="AS451" s="3" t="s">
        <v>63</v>
      </c>
      <c r="AT451" s="3" t="s">
        <v>63</v>
      </c>
      <c r="AV451" s="6" t="str">
        <f>HYPERLINK("http://mcgill.on.worldcat.org/oclc/318428668","Catalog Record")</f>
        <v>Catalog Record</v>
      </c>
      <c r="AW451" s="6" t="str">
        <f>HYPERLINK("http://www.worldcat.org/oclc/318428668","WorldCat Record")</f>
        <v>WorldCat Record</v>
      </c>
      <c r="AX451" s="3" t="s">
        <v>4661</v>
      </c>
      <c r="AY451" s="3" t="s">
        <v>4662</v>
      </c>
      <c r="AZ451" s="3" t="s">
        <v>4663</v>
      </c>
      <c r="BA451" s="3" t="s">
        <v>4663</v>
      </c>
      <c r="BB451" s="3" t="s">
        <v>4664</v>
      </c>
      <c r="BC451" s="3" t="s">
        <v>82</v>
      </c>
      <c r="BD451" s="3" t="s">
        <v>70</v>
      </c>
      <c r="BE451" s="3" t="s">
        <v>4665</v>
      </c>
      <c r="BF451" s="3" t="s">
        <v>4664</v>
      </c>
      <c r="BG451" s="3" t="s">
        <v>4666</v>
      </c>
    </row>
    <row r="452" spans="1:59" ht="105" x14ac:dyDescent="0.25">
      <c r="A452" s="2" t="s">
        <v>59</v>
      </c>
      <c r="B452" s="2" t="s">
        <v>1018</v>
      </c>
      <c r="C452" s="2" t="s">
        <v>4667</v>
      </c>
      <c r="D452" s="2" t="s">
        <v>4668</v>
      </c>
      <c r="E452" s="2" t="s">
        <v>4669</v>
      </c>
      <c r="G452" s="3" t="s">
        <v>63</v>
      </c>
      <c r="I452" s="3" t="s">
        <v>63</v>
      </c>
      <c r="J452" s="3" t="s">
        <v>63</v>
      </c>
      <c r="K452" s="3" t="s">
        <v>64</v>
      </c>
      <c r="L452" s="2" t="s">
        <v>4670</v>
      </c>
      <c r="M452" s="2" t="s">
        <v>4671</v>
      </c>
      <c r="N452" s="3" t="s">
        <v>326</v>
      </c>
      <c r="P452" s="3" t="s">
        <v>66</v>
      </c>
      <c r="Q452" s="2" t="s">
        <v>4672</v>
      </c>
      <c r="R452" s="3" t="s">
        <v>67</v>
      </c>
      <c r="S452" s="4">
        <v>9</v>
      </c>
      <c r="T452" s="4">
        <v>9</v>
      </c>
      <c r="U452" s="5" t="s">
        <v>1690</v>
      </c>
      <c r="V452" s="5" t="s">
        <v>1690</v>
      </c>
      <c r="W452" s="5" t="s">
        <v>69</v>
      </c>
      <c r="X452" s="5" t="s">
        <v>69</v>
      </c>
      <c r="Y452" s="4">
        <v>454</v>
      </c>
      <c r="Z452" s="4">
        <v>25</v>
      </c>
      <c r="AA452" s="4">
        <v>29</v>
      </c>
      <c r="AB452" s="4">
        <v>3</v>
      </c>
      <c r="AC452" s="4">
        <v>7</v>
      </c>
      <c r="AD452" s="4">
        <v>95</v>
      </c>
      <c r="AE452" s="4">
        <v>97</v>
      </c>
      <c r="AF452" s="4">
        <v>0</v>
      </c>
      <c r="AG452" s="4">
        <v>2</v>
      </c>
      <c r="AH452" s="4">
        <v>86</v>
      </c>
      <c r="AI452" s="4">
        <v>86</v>
      </c>
      <c r="AJ452" s="4">
        <v>14</v>
      </c>
      <c r="AK452" s="4">
        <v>16</v>
      </c>
      <c r="AL452" s="4">
        <v>50</v>
      </c>
      <c r="AM452" s="4">
        <v>50</v>
      </c>
      <c r="AN452" s="4">
        <v>0</v>
      </c>
      <c r="AO452" s="4">
        <v>0</v>
      </c>
      <c r="AP452" s="4">
        <v>16</v>
      </c>
      <c r="AQ452" s="4">
        <v>17</v>
      </c>
      <c r="AR452" s="3" t="s">
        <v>63</v>
      </c>
      <c r="AS452" s="3" t="s">
        <v>63</v>
      </c>
      <c r="AT452" s="3" t="s">
        <v>62</v>
      </c>
      <c r="AU452" s="6" t="str">
        <f>HYPERLINK("http://catalog.hathitrust.org/Record/006780023","HathiTrust Record")</f>
        <v>HathiTrust Record</v>
      </c>
      <c r="AV452" s="6" t="str">
        <f>HYPERLINK("http://mcgill.on.worldcat.org/oclc/255899241","Catalog Record")</f>
        <v>Catalog Record</v>
      </c>
      <c r="AW452" s="6" t="str">
        <f>HYPERLINK("http://www.worldcat.org/oclc/255899241","WorldCat Record")</f>
        <v>WorldCat Record</v>
      </c>
      <c r="AX452" s="3" t="s">
        <v>4673</v>
      </c>
      <c r="AY452" s="3" t="s">
        <v>4674</v>
      </c>
      <c r="AZ452" s="3" t="s">
        <v>4675</v>
      </c>
      <c r="BA452" s="3" t="s">
        <v>4675</v>
      </c>
      <c r="BB452" s="3" t="s">
        <v>4676</v>
      </c>
      <c r="BC452" s="3" t="s">
        <v>82</v>
      </c>
      <c r="BD452" s="3" t="s">
        <v>4677</v>
      </c>
      <c r="BE452" s="3" t="s">
        <v>4678</v>
      </c>
      <c r="BF452" s="3" t="s">
        <v>4676</v>
      </c>
      <c r="BG452" s="3" t="s">
        <v>4679</v>
      </c>
    </row>
    <row r="453" spans="1:59" ht="60" x14ac:dyDescent="0.25">
      <c r="A453" s="2" t="s">
        <v>59</v>
      </c>
      <c r="B453" s="2" t="s">
        <v>60</v>
      </c>
      <c r="C453" s="2" t="s">
        <v>4680</v>
      </c>
      <c r="D453" s="2" t="s">
        <v>4681</v>
      </c>
      <c r="E453" s="2" t="s">
        <v>4682</v>
      </c>
      <c r="G453" s="3" t="s">
        <v>63</v>
      </c>
      <c r="I453" s="3" t="s">
        <v>63</v>
      </c>
      <c r="J453" s="3" t="s">
        <v>63</v>
      </c>
      <c r="K453" s="3" t="s">
        <v>64</v>
      </c>
      <c r="L453" s="2" t="s">
        <v>4683</v>
      </c>
      <c r="M453" s="2" t="s">
        <v>4684</v>
      </c>
      <c r="N453" s="3" t="s">
        <v>4685</v>
      </c>
      <c r="P453" s="3" t="s">
        <v>66</v>
      </c>
      <c r="Q453" s="2" t="s">
        <v>4686</v>
      </c>
      <c r="R453" s="3" t="s">
        <v>67</v>
      </c>
      <c r="S453" s="4">
        <v>4</v>
      </c>
      <c r="T453" s="4">
        <v>4</v>
      </c>
      <c r="U453" s="5" t="s">
        <v>4687</v>
      </c>
      <c r="V453" s="5" t="s">
        <v>4687</v>
      </c>
      <c r="W453" s="5" t="s">
        <v>69</v>
      </c>
      <c r="X453" s="5" t="s">
        <v>69</v>
      </c>
      <c r="Y453" s="4">
        <v>125</v>
      </c>
      <c r="Z453" s="4">
        <v>13</v>
      </c>
      <c r="AA453" s="4">
        <v>13</v>
      </c>
      <c r="AB453" s="4">
        <v>1</v>
      </c>
      <c r="AC453" s="4">
        <v>1</v>
      </c>
      <c r="AD453" s="4">
        <v>44</v>
      </c>
      <c r="AE453" s="4">
        <v>65</v>
      </c>
      <c r="AF453" s="4">
        <v>0</v>
      </c>
      <c r="AG453" s="4">
        <v>0</v>
      </c>
      <c r="AH453" s="4">
        <v>41</v>
      </c>
      <c r="AI453" s="4">
        <v>62</v>
      </c>
      <c r="AJ453" s="4">
        <v>6</v>
      </c>
      <c r="AK453" s="4">
        <v>6</v>
      </c>
      <c r="AL453" s="4">
        <v>28</v>
      </c>
      <c r="AM453" s="4">
        <v>42</v>
      </c>
      <c r="AN453" s="4">
        <v>0</v>
      </c>
      <c r="AO453" s="4">
        <v>0</v>
      </c>
      <c r="AP453" s="4">
        <v>7</v>
      </c>
      <c r="AQ453" s="4">
        <v>7</v>
      </c>
      <c r="AR453" s="3" t="s">
        <v>63</v>
      </c>
      <c r="AS453" s="3" t="s">
        <v>63</v>
      </c>
      <c r="AT453" s="3" t="s">
        <v>63</v>
      </c>
      <c r="AU453" s="6" t="str">
        <f>HYPERLINK("http://catalog.hathitrust.org/Record/001353170","HathiTrust Record")</f>
        <v>HathiTrust Record</v>
      </c>
      <c r="AV453" s="6" t="str">
        <f>HYPERLINK("http://mcgill.on.worldcat.org/oclc/2036225","Catalog Record")</f>
        <v>Catalog Record</v>
      </c>
      <c r="AW453" s="6" t="str">
        <f>HYPERLINK("http://www.worldcat.org/oclc/2036225","WorldCat Record")</f>
        <v>WorldCat Record</v>
      </c>
      <c r="AX453" s="3" t="s">
        <v>4688</v>
      </c>
      <c r="AY453" s="3" t="s">
        <v>4689</v>
      </c>
      <c r="AZ453" s="3" t="s">
        <v>4690</v>
      </c>
      <c r="BA453" s="3" t="s">
        <v>4690</v>
      </c>
      <c r="BB453" s="3" t="s">
        <v>4691</v>
      </c>
      <c r="BC453" s="3" t="s">
        <v>82</v>
      </c>
      <c r="BD453" s="3" t="s">
        <v>70</v>
      </c>
      <c r="BF453" s="3" t="s">
        <v>4691</v>
      </c>
      <c r="BG453" s="3" t="s">
        <v>4692</v>
      </c>
    </row>
    <row r="454" spans="1:59" ht="60" x14ac:dyDescent="0.25">
      <c r="A454" s="2" t="s">
        <v>59</v>
      </c>
      <c r="B454" s="2" t="s">
        <v>60</v>
      </c>
      <c r="C454" s="2" t="s">
        <v>4693</v>
      </c>
      <c r="D454" s="2" t="s">
        <v>4694</v>
      </c>
      <c r="E454" s="2" t="s">
        <v>4695</v>
      </c>
      <c r="F454" s="3" t="s">
        <v>4696</v>
      </c>
      <c r="G454" s="3" t="s">
        <v>62</v>
      </c>
      <c r="I454" s="3" t="s">
        <v>63</v>
      </c>
      <c r="J454" s="3" t="s">
        <v>63</v>
      </c>
      <c r="K454" s="3" t="s">
        <v>64</v>
      </c>
      <c r="M454" s="2" t="s">
        <v>4697</v>
      </c>
      <c r="N454" s="3" t="s">
        <v>1418</v>
      </c>
      <c r="P454" s="3" t="s">
        <v>548</v>
      </c>
      <c r="R454" s="3" t="s">
        <v>67</v>
      </c>
      <c r="S454" s="4">
        <v>7</v>
      </c>
      <c r="T454" s="4">
        <v>23</v>
      </c>
      <c r="U454" s="5" t="s">
        <v>4698</v>
      </c>
      <c r="V454" s="5" t="s">
        <v>4698</v>
      </c>
      <c r="W454" s="5" t="s">
        <v>69</v>
      </c>
      <c r="X454" s="5" t="s">
        <v>69</v>
      </c>
      <c r="Y454" s="4">
        <v>74</v>
      </c>
      <c r="Z454" s="4">
        <v>7</v>
      </c>
      <c r="AA454" s="4">
        <v>7</v>
      </c>
      <c r="AB454" s="4">
        <v>1</v>
      </c>
      <c r="AC454" s="4">
        <v>1</v>
      </c>
      <c r="AD454" s="4">
        <v>38</v>
      </c>
      <c r="AE454" s="4">
        <v>42</v>
      </c>
      <c r="AF454" s="4">
        <v>0</v>
      </c>
      <c r="AG454" s="4">
        <v>0</v>
      </c>
      <c r="AH454" s="4">
        <v>35</v>
      </c>
      <c r="AI454" s="4">
        <v>39</v>
      </c>
      <c r="AJ454" s="4">
        <v>4</v>
      </c>
      <c r="AK454" s="4">
        <v>4</v>
      </c>
      <c r="AL454" s="4">
        <v>30</v>
      </c>
      <c r="AM454" s="4">
        <v>33</v>
      </c>
      <c r="AN454" s="4">
        <v>0</v>
      </c>
      <c r="AO454" s="4">
        <v>0</v>
      </c>
      <c r="AP454" s="4">
        <v>5</v>
      </c>
      <c r="AQ454" s="4">
        <v>5</v>
      </c>
      <c r="AR454" s="3" t="s">
        <v>63</v>
      </c>
      <c r="AS454" s="3" t="s">
        <v>63</v>
      </c>
      <c r="AT454" s="3" t="s">
        <v>62</v>
      </c>
      <c r="AU454" s="6" t="str">
        <f>HYPERLINK("http://catalog.hathitrust.org/Record/000927435","HathiTrust Record")</f>
        <v>HathiTrust Record</v>
      </c>
      <c r="AV454" s="6" t="str">
        <f>HYPERLINK("http://mcgill.on.worldcat.org/oclc/18588527","Catalog Record")</f>
        <v>Catalog Record</v>
      </c>
      <c r="AW454" s="6" t="str">
        <f>HYPERLINK("http://www.worldcat.org/oclc/18588527","WorldCat Record")</f>
        <v>WorldCat Record</v>
      </c>
      <c r="AX454" s="3" t="s">
        <v>4699</v>
      </c>
      <c r="AY454" s="3" t="s">
        <v>4700</v>
      </c>
      <c r="AZ454" s="3" t="s">
        <v>4701</v>
      </c>
      <c r="BA454" s="3" t="s">
        <v>4701</v>
      </c>
      <c r="BB454" s="3" t="s">
        <v>4702</v>
      </c>
      <c r="BC454" s="3" t="s">
        <v>82</v>
      </c>
      <c r="BD454" s="3" t="s">
        <v>70</v>
      </c>
      <c r="BE454" s="3" t="s">
        <v>4703</v>
      </c>
      <c r="BF454" s="3" t="s">
        <v>4702</v>
      </c>
      <c r="BG454" s="3" t="s">
        <v>4704</v>
      </c>
    </row>
    <row r="455" spans="1:59" ht="60" x14ac:dyDescent="0.25">
      <c r="A455" s="2" t="s">
        <v>59</v>
      </c>
      <c r="B455" s="2" t="s">
        <v>60</v>
      </c>
      <c r="C455" s="2" t="s">
        <v>4693</v>
      </c>
      <c r="D455" s="2" t="s">
        <v>4694</v>
      </c>
      <c r="E455" s="2" t="s">
        <v>4695</v>
      </c>
      <c r="F455" s="3" t="s">
        <v>4705</v>
      </c>
      <c r="G455" s="3" t="s">
        <v>62</v>
      </c>
      <c r="I455" s="3" t="s">
        <v>63</v>
      </c>
      <c r="J455" s="3" t="s">
        <v>63</v>
      </c>
      <c r="K455" s="3" t="s">
        <v>64</v>
      </c>
      <c r="M455" s="2" t="s">
        <v>4697</v>
      </c>
      <c r="N455" s="3" t="s">
        <v>1418</v>
      </c>
      <c r="P455" s="3" t="s">
        <v>548</v>
      </c>
      <c r="R455" s="3" t="s">
        <v>67</v>
      </c>
      <c r="S455" s="4">
        <v>5</v>
      </c>
      <c r="T455" s="4">
        <v>23</v>
      </c>
      <c r="U455" s="5" t="s">
        <v>4706</v>
      </c>
      <c r="V455" s="5" t="s">
        <v>4698</v>
      </c>
      <c r="W455" s="5" t="s">
        <v>69</v>
      </c>
      <c r="X455" s="5" t="s">
        <v>69</v>
      </c>
      <c r="Y455" s="4">
        <v>74</v>
      </c>
      <c r="Z455" s="4">
        <v>7</v>
      </c>
      <c r="AA455" s="4">
        <v>7</v>
      </c>
      <c r="AB455" s="4">
        <v>1</v>
      </c>
      <c r="AC455" s="4">
        <v>1</v>
      </c>
      <c r="AD455" s="4">
        <v>38</v>
      </c>
      <c r="AE455" s="4">
        <v>42</v>
      </c>
      <c r="AF455" s="4">
        <v>0</v>
      </c>
      <c r="AG455" s="4">
        <v>0</v>
      </c>
      <c r="AH455" s="4">
        <v>35</v>
      </c>
      <c r="AI455" s="4">
        <v>39</v>
      </c>
      <c r="AJ455" s="4">
        <v>4</v>
      </c>
      <c r="AK455" s="4">
        <v>4</v>
      </c>
      <c r="AL455" s="4">
        <v>30</v>
      </c>
      <c r="AM455" s="4">
        <v>33</v>
      </c>
      <c r="AN455" s="4">
        <v>0</v>
      </c>
      <c r="AO455" s="4">
        <v>0</v>
      </c>
      <c r="AP455" s="4">
        <v>5</v>
      </c>
      <c r="AQ455" s="4">
        <v>5</v>
      </c>
      <c r="AR455" s="3" t="s">
        <v>63</v>
      </c>
      <c r="AS455" s="3" t="s">
        <v>63</v>
      </c>
      <c r="AT455" s="3" t="s">
        <v>62</v>
      </c>
      <c r="AU455" s="6" t="str">
        <f>HYPERLINK("http://catalog.hathitrust.org/Record/000927435","HathiTrust Record")</f>
        <v>HathiTrust Record</v>
      </c>
      <c r="AV455" s="6" t="str">
        <f>HYPERLINK("http://mcgill.on.worldcat.org/oclc/18588527","Catalog Record")</f>
        <v>Catalog Record</v>
      </c>
      <c r="AW455" s="6" t="str">
        <f>HYPERLINK("http://www.worldcat.org/oclc/18588527","WorldCat Record")</f>
        <v>WorldCat Record</v>
      </c>
      <c r="AX455" s="3" t="s">
        <v>4699</v>
      </c>
      <c r="AY455" s="3" t="s">
        <v>4700</v>
      </c>
      <c r="AZ455" s="3" t="s">
        <v>4701</v>
      </c>
      <c r="BA455" s="3" t="s">
        <v>4701</v>
      </c>
      <c r="BB455" s="3" t="s">
        <v>4707</v>
      </c>
      <c r="BC455" s="3" t="s">
        <v>82</v>
      </c>
      <c r="BD455" s="3" t="s">
        <v>70</v>
      </c>
      <c r="BE455" s="3" t="s">
        <v>4703</v>
      </c>
      <c r="BF455" s="3" t="s">
        <v>4707</v>
      </c>
      <c r="BG455" s="3" t="s">
        <v>4708</v>
      </c>
    </row>
    <row r="456" spans="1:59" ht="60" x14ac:dyDescent="0.25">
      <c r="A456" s="2" t="s">
        <v>59</v>
      </c>
      <c r="B456" s="2" t="s">
        <v>60</v>
      </c>
      <c r="C456" s="2" t="s">
        <v>4693</v>
      </c>
      <c r="D456" s="2" t="s">
        <v>4694</v>
      </c>
      <c r="E456" s="2" t="s">
        <v>4695</v>
      </c>
      <c r="F456" s="3" t="s">
        <v>4709</v>
      </c>
      <c r="G456" s="3" t="s">
        <v>62</v>
      </c>
      <c r="I456" s="3" t="s">
        <v>63</v>
      </c>
      <c r="J456" s="3" t="s">
        <v>63</v>
      </c>
      <c r="K456" s="3" t="s">
        <v>64</v>
      </c>
      <c r="M456" s="2" t="s">
        <v>4697</v>
      </c>
      <c r="N456" s="3" t="s">
        <v>1418</v>
      </c>
      <c r="P456" s="3" t="s">
        <v>548</v>
      </c>
      <c r="R456" s="3" t="s">
        <v>67</v>
      </c>
      <c r="S456" s="4">
        <v>5</v>
      </c>
      <c r="T456" s="4">
        <v>23</v>
      </c>
      <c r="U456" s="5" t="s">
        <v>4710</v>
      </c>
      <c r="V456" s="5" t="s">
        <v>4698</v>
      </c>
      <c r="W456" s="5" t="s">
        <v>69</v>
      </c>
      <c r="X456" s="5" t="s">
        <v>69</v>
      </c>
      <c r="Y456" s="4">
        <v>74</v>
      </c>
      <c r="Z456" s="4">
        <v>7</v>
      </c>
      <c r="AA456" s="4">
        <v>7</v>
      </c>
      <c r="AB456" s="4">
        <v>1</v>
      </c>
      <c r="AC456" s="4">
        <v>1</v>
      </c>
      <c r="AD456" s="4">
        <v>38</v>
      </c>
      <c r="AE456" s="4">
        <v>42</v>
      </c>
      <c r="AF456" s="4">
        <v>0</v>
      </c>
      <c r="AG456" s="4">
        <v>0</v>
      </c>
      <c r="AH456" s="4">
        <v>35</v>
      </c>
      <c r="AI456" s="4">
        <v>39</v>
      </c>
      <c r="AJ456" s="4">
        <v>4</v>
      </c>
      <c r="AK456" s="4">
        <v>4</v>
      </c>
      <c r="AL456" s="4">
        <v>30</v>
      </c>
      <c r="AM456" s="4">
        <v>33</v>
      </c>
      <c r="AN456" s="4">
        <v>0</v>
      </c>
      <c r="AO456" s="4">
        <v>0</v>
      </c>
      <c r="AP456" s="4">
        <v>5</v>
      </c>
      <c r="AQ456" s="4">
        <v>5</v>
      </c>
      <c r="AR456" s="3" t="s">
        <v>63</v>
      </c>
      <c r="AS456" s="3" t="s">
        <v>63</v>
      </c>
      <c r="AT456" s="3" t="s">
        <v>62</v>
      </c>
      <c r="AU456" s="6" t="str">
        <f>HYPERLINK("http://catalog.hathitrust.org/Record/000927435","HathiTrust Record")</f>
        <v>HathiTrust Record</v>
      </c>
      <c r="AV456" s="6" t="str">
        <f>HYPERLINK("http://mcgill.on.worldcat.org/oclc/18588527","Catalog Record")</f>
        <v>Catalog Record</v>
      </c>
      <c r="AW456" s="6" t="str">
        <f>HYPERLINK("http://www.worldcat.org/oclc/18588527","WorldCat Record")</f>
        <v>WorldCat Record</v>
      </c>
      <c r="AX456" s="3" t="s">
        <v>4699</v>
      </c>
      <c r="AY456" s="3" t="s">
        <v>4700</v>
      </c>
      <c r="AZ456" s="3" t="s">
        <v>4701</v>
      </c>
      <c r="BA456" s="3" t="s">
        <v>4701</v>
      </c>
      <c r="BB456" s="3" t="s">
        <v>4711</v>
      </c>
      <c r="BC456" s="3" t="s">
        <v>82</v>
      </c>
      <c r="BD456" s="3" t="s">
        <v>70</v>
      </c>
      <c r="BE456" s="3" t="s">
        <v>4703</v>
      </c>
      <c r="BF456" s="3" t="s">
        <v>4711</v>
      </c>
      <c r="BG456" s="3" t="s">
        <v>4712</v>
      </c>
    </row>
    <row r="457" spans="1:59" ht="60" x14ac:dyDescent="0.25">
      <c r="A457" s="2" t="s">
        <v>59</v>
      </c>
      <c r="B457" s="2" t="s">
        <v>60</v>
      </c>
      <c r="C457" s="2" t="s">
        <v>4693</v>
      </c>
      <c r="D457" s="2" t="s">
        <v>4694</v>
      </c>
      <c r="E457" s="2" t="s">
        <v>4695</v>
      </c>
      <c r="F457" s="3" t="s">
        <v>4713</v>
      </c>
      <c r="G457" s="3" t="s">
        <v>62</v>
      </c>
      <c r="I457" s="3" t="s">
        <v>63</v>
      </c>
      <c r="J457" s="3" t="s">
        <v>63</v>
      </c>
      <c r="K457" s="3" t="s">
        <v>64</v>
      </c>
      <c r="M457" s="2" t="s">
        <v>4697</v>
      </c>
      <c r="N457" s="3" t="s">
        <v>1418</v>
      </c>
      <c r="P457" s="3" t="s">
        <v>548</v>
      </c>
      <c r="R457" s="3" t="s">
        <v>67</v>
      </c>
      <c r="S457" s="4">
        <v>1</v>
      </c>
      <c r="T457" s="4">
        <v>23</v>
      </c>
      <c r="U457" s="5" t="s">
        <v>4714</v>
      </c>
      <c r="V457" s="5" t="s">
        <v>4698</v>
      </c>
      <c r="W457" s="5" t="s">
        <v>69</v>
      </c>
      <c r="X457" s="5" t="s">
        <v>69</v>
      </c>
      <c r="Y457" s="4">
        <v>74</v>
      </c>
      <c r="Z457" s="4">
        <v>7</v>
      </c>
      <c r="AA457" s="4">
        <v>7</v>
      </c>
      <c r="AB457" s="4">
        <v>1</v>
      </c>
      <c r="AC457" s="4">
        <v>1</v>
      </c>
      <c r="AD457" s="4">
        <v>38</v>
      </c>
      <c r="AE457" s="4">
        <v>42</v>
      </c>
      <c r="AF457" s="4">
        <v>0</v>
      </c>
      <c r="AG457" s="4">
        <v>0</v>
      </c>
      <c r="AH457" s="4">
        <v>35</v>
      </c>
      <c r="AI457" s="4">
        <v>39</v>
      </c>
      <c r="AJ457" s="4">
        <v>4</v>
      </c>
      <c r="AK457" s="4">
        <v>4</v>
      </c>
      <c r="AL457" s="4">
        <v>30</v>
      </c>
      <c r="AM457" s="4">
        <v>33</v>
      </c>
      <c r="AN457" s="4">
        <v>0</v>
      </c>
      <c r="AO457" s="4">
        <v>0</v>
      </c>
      <c r="AP457" s="4">
        <v>5</v>
      </c>
      <c r="AQ457" s="4">
        <v>5</v>
      </c>
      <c r="AR457" s="3" t="s">
        <v>63</v>
      </c>
      <c r="AS457" s="3" t="s">
        <v>63</v>
      </c>
      <c r="AT457" s="3" t="s">
        <v>62</v>
      </c>
      <c r="AU457" s="6" t="str">
        <f>HYPERLINK("http://catalog.hathitrust.org/Record/000927435","HathiTrust Record")</f>
        <v>HathiTrust Record</v>
      </c>
      <c r="AV457" s="6" t="str">
        <f>HYPERLINK("http://mcgill.on.worldcat.org/oclc/18588527","Catalog Record")</f>
        <v>Catalog Record</v>
      </c>
      <c r="AW457" s="6" t="str">
        <f>HYPERLINK("http://www.worldcat.org/oclc/18588527","WorldCat Record")</f>
        <v>WorldCat Record</v>
      </c>
      <c r="AX457" s="3" t="s">
        <v>4699</v>
      </c>
      <c r="AY457" s="3" t="s">
        <v>4700</v>
      </c>
      <c r="AZ457" s="3" t="s">
        <v>4701</v>
      </c>
      <c r="BA457" s="3" t="s">
        <v>4701</v>
      </c>
      <c r="BB457" s="3" t="s">
        <v>4715</v>
      </c>
      <c r="BC457" s="3" t="s">
        <v>82</v>
      </c>
      <c r="BD457" s="3" t="s">
        <v>70</v>
      </c>
      <c r="BE457" s="3" t="s">
        <v>4703</v>
      </c>
      <c r="BF457" s="3" t="s">
        <v>4715</v>
      </c>
      <c r="BG457" s="3" t="s">
        <v>4716</v>
      </c>
    </row>
    <row r="458" spans="1:59" ht="60" x14ac:dyDescent="0.25">
      <c r="A458" s="2" t="s">
        <v>59</v>
      </c>
      <c r="B458" s="2" t="s">
        <v>60</v>
      </c>
      <c r="C458" s="2" t="s">
        <v>4693</v>
      </c>
      <c r="D458" s="2" t="s">
        <v>4694</v>
      </c>
      <c r="E458" s="2" t="s">
        <v>4695</v>
      </c>
      <c r="F458" s="3" t="s">
        <v>2601</v>
      </c>
      <c r="G458" s="3" t="s">
        <v>62</v>
      </c>
      <c r="I458" s="3" t="s">
        <v>63</v>
      </c>
      <c r="J458" s="3" t="s">
        <v>63</v>
      </c>
      <c r="K458" s="3" t="s">
        <v>64</v>
      </c>
      <c r="M458" s="2" t="s">
        <v>4697</v>
      </c>
      <c r="N458" s="3" t="s">
        <v>1418</v>
      </c>
      <c r="P458" s="3" t="s">
        <v>548</v>
      </c>
      <c r="R458" s="3" t="s">
        <v>67</v>
      </c>
      <c r="S458" s="4">
        <v>0</v>
      </c>
      <c r="T458" s="4">
        <v>23</v>
      </c>
      <c r="V458" s="5" t="s">
        <v>4698</v>
      </c>
      <c r="W458" s="5" t="s">
        <v>69</v>
      </c>
      <c r="X458" s="5" t="s">
        <v>69</v>
      </c>
      <c r="Y458" s="4">
        <v>74</v>
      </c>
      <c r="Z458" s="4">
        <v>7</v>
      </c>
      <c r="AA458" s="4">
        <v>7</v>
      </c>
      <c r="AB458" s="4">
        <v>1</v>
      </c>
      <c r="AC458" s="4">
        <v>1</v>
      </c>
      <c r="AD458" s="4">
        <v>38</v>
      </c>
      <c r="AE458" s="4">
        <v>42</v>
      </c>
      <c r="AF458" s="4">
        <v>0</v>
      </c>
      <c r="AG458" s="4">
        <v>0</v>
      </c>
      <c r="AH458" s="4">
        <v>35</v>
      </c>
      <c r="AI458" s="4">
        <v>39</v>
      </c>
      <c r="AJ458" s="4">
        <v>4</v>
      </c>
      <c r="AK458" s="4">
        <v>4</v>
      </c>
      <c r="AL458" s="4">
        <v>30</v>
      </c>
      <c r="AM458" s="4">
        <v>33</v>
      </c>
      <c r="AN458" s="4">
        <v>0</v>
      </c>
      <c r="AO458" s="4">
        <v>0</v>
      </c>
      <c r="AP458" s="4">
        <v>5</v>
      </c>
      <c r="AQ458" s="4">
        <v>5</v>
      </c>
      <c r="AR458" s="3" t="s">
        <v>63</v>
      </c>
      <c r="AS458" s="3" t="s">
        <v>63</v>
      </c>
      <c r="AT458" s="3" t="s">
        <v>62</v>
      </c>
      <c r="AU458" s="6" t="str">
        <f>HYPERLINK("http://catalog.hathitrust.org/Record/000927435","HathiTrust Record")</f>
        <v>HathiTrust Record</v>
      </c>
      <c r="AV458" s="6" t="str">
        <f>HYPERLINK("http://mcgill.on.worldcat.org/oclc/18588527","Catalog Record")</f>
        <v>Catalog Record</v>
      </c>
      <c r="AW458" s="6" t="str">
        <f>HYPERLINK("http://www.worldcat.org/oclc/18588527","WorldCat Record")</f>
        <v>WorldCat Record</v>
      </c>
      <c r="AX458" s="3" t="s">
        <v>4699</v>
      </c>
      <c r="AY458" s="3" t="s">
        <v>4700</v>
      </c>
      <c r="AZ458" s="3" t="s">
        <v>4701</v>
      </c>
      <c r="BA458" s="3" t="s">
        <v>4701</v>
      </c>
      <c r="BB458" s="3" t="s">
        <v>4717</v>
      </c>
      <c r="BC458" s="3" t="s">
        <v>82</v>
      </c>
      <c r="BD458" s="3" t="s">
        <v>70</v>
      </c>
      <c r="BE458" s="3" t="s">
        <v>4703</v>
      </c>
      <c r="BF458" s="3" t="s">
        <v>4717</v>
      </c>
      <c r="BG458" s="3" t="s">
        <v>4718</v>
      </c>
    </row>
    <row r="459" spans="1:59" ht="60" x14ac:dyDescent="0.25">
      <c r="A459" s="2" t="s">
        <v>59</v>
      </c>
      <c r="B459" s="2" t="s">
        <v>60</v>
      </c>
      <c r="C459" s="2" t="s">
        <v>4693</v>
      </c>
      <c r="D459" s="2" t="s">
        <v>4694</v>
      </c>
      <c r="E459" s="2" t="s">
        <v>4695</v>
      </c>
      <c r="F459" s="3" t="s">
        <v>4719</v>
      </c>
      <c r="G459" s="3" t="s">
        <v>62</v>
      </c>
      <c r="I459" s="3" t="s">
        <v>63</v>
      </c>
      <c r="J459" s="3" t="s">
        <v>63</v>
      </c>
      <c r="K459" s="3" t="s">
        <v>64</v>
      </c>
      <c r="M459" s="2" t="s">
        <v>4697</v>
      </c>
      <c r="N459" s="3" t="s">
        <v>1418</v>
      </c>
      <c r="P459" s="3" t="s">
        <v>548</v>
      </c>
      <c r="R459" s="3" t="s">
        <v>67</v>
      </c>
      <c r="S459" s="4">
        <v>5</v>
      </c>
      <c r="T459" s="4">
        <v>23</v>
      </c>
      <c r="U459" s="5" t="s">
        <v>4720</v>
      </c>
      <c r="V459" s="5" t="s">
        <v>4698</v>
      </c>
      <c r="W459" s="5" t="s">
        <v>69</v>
      </c>
      <c r="X459" s="5" t="s">
        <v>69</v>
      </c>
      <c r="Y459" s="4">
        <v>74</v>
      </c>
      <c r="Z459" s="4">
        <v>7</v>
      </c>
      <c r="AA459" s="4">
        <v>7</v>
      </c>
      <c r="AB459" s="4">
        <v>1</v>
      </c>
      <c r="AC459" s="4">
        <v>1</v>
      </c>
      <c r="AD459" s="4">
        <v>38</v>
      </c>
      <c r="AE459" s="4">
        <v>42</v>
      </c>
      <c r="AF459" s="4">
        <v>0</v>
      </c>
      <c r="AG459" s="4">
        <v>0</v>
      </c>
      <c r="AH459" s="4">
        <v>35</v>
      </c>
      <c r="AI459" s="4">
        <v>39</v>
      </c>
      <c r="AJ459" s="4">
        <v>4</v>
      </c>
      <c r="AK459" s="4">
        <v>4</v>
      </c>
      <c r="AL459" s="4">
        <v>30</v>
      </c>
      <c r="AM459" s="4">
        <v>33</v>
      </c>
      <c r="AN459" s="4">
        <v>0</v>
      </c>
      <c r="AO459" s="4">
        <v>0</v>
      </c>
      <c r="AP459" s="4">
        <v>5</v>
      </c>
      <c r="AQ459" s="4">
        <v>5</v>
      </c>
      <c r="AR459" s="3" t="s">
        <v>63</v>
      </c>
      <c r="AS459" s="3" t="s">
        <v>63</v>
      </c>
      <c r="AT459" s="3" t="s">
        <v>62</v>
      </c>
      <c r="AU459" s="6" t="str">
        <f>HYPERLINK("http://catalog.hathitrust.org/Record/000927435","HathiTrust Record")</f>
        <v>HathiTrust Record</v>
      </c>
      <c r="AV459" s="6" t="str">
        <f>HYPERLINK("http://mcgill.on.worldcat.org/oclc/18588527","Catalog Record")</f>
        <v>Catalog Record</v>
      </c>
      <c r="AW459" s="6" t="str">
        <f>HYPERLINK("http://www.worldcat.org/oclc/18588527","WorldCat Record")</f>
        <v>WorldCat Record</v>
      </c>
      <c r="AX459" s="3" t="s">
        <v>4699</v>
      </c>
      <c r="AY459" s="3" t="s">
        <v>4700</v>
      </c>
      <c r="AZ459" s="3" t="s">
        <v>4701</v>
      </c>
      <c r="BA459" s="3" t="s">
        <v>4701</v>
      </c>
      <c r="BB459" s="3" t="s">
        <v>4721</v>
      </c>
      <c r="BC459" s="3" t="s">
        <v>82</v>
      </c>
      <c r="BD459" s="3" t="s">
        <v>70</v>
      </c>
      <c r="BE459" s="3" t="s">
        <v>4703</v>
      </c>
      <c r="BF459" s="3" t="s">
        <v>4721</v>
      </c>
      <c r="BG459" s="3" t="s">
        <v>4722</v>
      </c>
    </row>
    <row r="460" spans="1:59" ht="75" x14ac:dyDescent="0.25">
      <c r="A460" s="2" t="s">
        <v>59</v>
      </c>
      <c r="B460" s="2" t="s">
        <v>60</v>
      </c>
      <c r="C460" s="2" t="s">
        <v>4723</v>
      </c>
      <c r="D460" s="2" t="s">
        <v>4724</v>
      </c>
      <c r="E460" s="2" t="s">
        <v>4725</v>
      </c>
      <c r="F460" s="3" t="s">
        <v>4726</v>
      </c>
      <c r="G460" s="3" t="s">
        <v>62</v>
      </c>
      <c r="I460" s="3" t="s">
        <v>63</v>
      </c>
      <c r="J460" s="3" t="s">
        <v>63</v>
      </c>
      <c r="K460" s="3" t="s">
        <v>64</v>
      </c>
      <c r="M460" s="2" t="s">
        <v>4727</v>
      </c>
      <c r="N460" s="3" t="s">
        <v>106</v>
      </c>
      <c r="P460" s="3" t="s">
        <v>90</v>
      </c>
      <c r="R460" s="3" t="s">
        <v>67</v>
      </c>
      <c r="S460" s="4">
        <v>0</v>
      </c>
      <c r="T460" s="4">
        <v>0</v>
      </c>
      <c r="W460" s="5" t="s">
        <v>69</v>
      </c>
      <c r="X460" s="5" t="s">
        <v>69</v>
      </c>
      <c r="Y460" s="4">
        <v>22</v>
      </c>
      <c r="Z460" s="4">
        <v>1</v>
      </c>
      <c r="AA460" s="4">
        <v>1</v>
      </c>
      <c r="AB460" s="4">
        <v>1</v>
      </c>
      <c r="AC460" s="4">
        <v>1</v>
      </c>
      <c r="AD460" s="4">
        <v>18</v>
      </c>
      <c r="AE460" s="4">
        <v>18</v>
      </c>
      <c r="AF460" s="4">
        <v>0</v>
      </c>
      <c r="AG460" s="4">
        <v>0</v>
      </c>
      <c r="AH460" s="4">
        <v>17</v>
      </c>
      <c r="AI460" s="4">
        <v>17</v>
      </c>
      <c r="AJ460" s="4">
        <v>0</v>
      </c>
      <c r="AK460" s="4">
        <v>0</v>
      </c>
      <c r="AL460" s="4">
        <v>14</v>
      </c>
      <c r="AM460" s="4">
        <v>14</v>
      </c>
      <c r="AN460" s="4">
        <v>0</v>
      </c>
      <c r="AO460" s="4">
        <v>0</v>
      </c>
      <c r="AP460" s="4">
        <v>0</v>
      </c>
      <c r="AQ460" s="4">
        <v>0</v>
      </c>
      <c r="AR460" s="3" t="s">
        <v>63</v>
      </c>
      <c r="AS460" s="3" t="s">
        <v>63</v>
      </c>
      <c r="AT460" s="3" t="s">
        <v>63</v>
      </c>
      <c r="AV460" s="6" t="str">
        <f>HYPERLINK("http://mcgill.on.worldcat.org/oclc/986228903","Catalog Record")</f>
        <v>Catalog Record</v>
      </c>
      <c r="AW460" s="6" t="str">
        <f>HYPERLINK("http://www.worldcat.org/oclc/986228903","WorldCat Record")</f>
        <v>WorldCat Record</v>
      </c>
      <c r="AX460" s="3" t="s">
        <v>4728</v>
      </c>
      <c r="AY460" s="3" t="s">
        <v>4729</v>
      </c>
      <c r="AZ460" s="3" t="s">
        <v>4730</v>
      </c>
      <c r="BA460" s="3" t="s">
        <v>4730</v>
      </c>
      <c r="BB460" s="3" t="s">
        <v>4731</v>
      </c>
      <c r="BC460" s="3" t="s">
        <v>82</v>
      </c>
      <c r="BD460" s="3" t="s">
        <v>70</v>
      </c>
      <c r="BE460" s="3" t="s">
        <v>4732</v>
      </c>
      <c r="BF460" s="3" t="s">
        <v>4731</v>
      </c>
      <c r="BG460" s="3" t="s">
        <v>4733</v>
      </c>
    </row>
    <row r="461" spans="1:59" ht="75" x14ac:dyDescent="0.25">
      <c r="A461" s="2" t="s">
        <v>59</v>
      </c>
      <c r="B461" s="2" t="s">
        <v>60</v>
      </c>
      <c r="C461" s="2" t="s">
        <v>4723</v>
      </c>
      <c r="D461" s="2" t="s">
        <v>4724</v>
      </c>
      <c r="E461" s="2" t="s">
        <v>4725</v>
      </c>
      <c r="F461" s="3" t="s">
        <v>2864</v>
      </c>
      <c r="G461" s="3" t="s">
        <v>62</v>
      </c>
      <c r="I461" s="3" t="s">
        <v>63</v>
      </c>
      <c r="J461" s="3" t="s">
        <v>63</v>
      </c>
      <c r="K461" s="3" t="s">
        <v>64</v>
      </c>
      <c r="M461" s="2" t="s">
        <v>4727</v>
      </c>
      <c r="N461" s="3" t="s">
        <v>106</v>
      </c>
      <c r="P461" s="3" t="s">
        <v>90</v>
      </c>
      <c r="R461" s="3" t="s">
        <v>67</v>
      </c>
      <c r="S461" s="4">
        <v>0</v>
      </c>
      <c r="T461" s="4">
        <v>0</v>
      </c>
      <c r="W461" s="5" t="s">
        <v>69</v>
      </c>
      <c r="X461" s="5" t="s">
        <v>69</v>
      </c>
      <c r="Y461" s="4">
        <v>22</v>
      </c>
      <c r="Z461" s="4">
        <v>1</v>
      </c>
      <c r="AA461" s="4">
        <v>1</v>
      </c>
      <c r="AB461" s="4">
        <v>1</v>
      </c>
      <c r="AC461" s="4">
        <v>1</v>
      </c>
      <c r="AD461" s="4">
        <v>18</v>
      </c>
      <c r="AE461" s="4">
        <v>18</v>
      </c>
      <c r="AF461" s="4">
        <v>0</v>
      </c>
      <c r="AG461" s="4">
        <v>0</v>
      </c>
      <c r="AH461" s="4">
        <v>17</v>
      </c>
      <c r="AI461" s="4">
        <v>17</v>
      </c>
      <c r="AJ461" s="4">
        <v>0</v>
      </c>
      <c r="AK461" s="4">
        <v>0</v>
      </c>
      <c r="AL461" s="4">
        <v>14</v>
      </c>
      <c r="AM461" s="4">
        <v>14</v>
      </c>
      <c r="AN461" s="4">
        <v>0</v>
      </c>
      <c r="AO461" s="4">
        <v>0</v>
      </c>
      <c r="AP461" s="4">
        <v>0</v>
      </c>
      <c r="AQ461" s="4">
        <v>0</v>
      </c>
      <c r="AR461" s="3" t="s">
        <v>63</v>
      </c>
      <c r="AS461" s="3" t="s">
        <v>63</v>
      </c>
      <c r="AT461" s="3" t="s">
        <v>63</v>
      </c>
      <c r="AV461" s="6" t="str">
        <f>HYPERLINK("http://mcgill.on.worldcat.org/oclc/986228903","Catalog Record")</f>
        <v>Catalog Record</v>
      </c>
      <c r="AW461" s="6" t="str">
        <f>HYPERLINK("http://www.worldcat.org/oclc/986228903","WorldCat Record")</f>
        <v>WorldCat Record</v>
      </c>
      <c r="AX461" s="3" t="s">
        <v>4728</v>
      </c>
      <c r="AY461" s="3" t="s">
        <v>4729</v>
      </c>
      <c r="AZ461" s="3" t="s">
        <v>4730</v>
      </c>
      <c r="BA461" s="3" t="s">
        <v>4730</v>
      </c>
      <c r="BB461" s="3" t="s">
        <v>4734</v>
      </c>
      <c r="BC461" s="3" t="s">
        <v>82</v>
      </c>
      <c r="BD461" s="3" t="s">
        <v>70</v>
      </c>
      <c r="BE461" s="3" t="s">
        <v>4732</v>
      </c>
      <c r="BF461" s="3" t="s">
        <v>4734</v>
      </c>
      <c r="BG461" s="3" t="s">
        <v>4735</v>
      </c>
    </row>
    <row r="462" spans="1:59" ht="60" x14ac:dyDescent="0.25">
      <c r="A462" s="2" t="s">
        <v>59</v>
      </c>
      <c r="B462" s="2" t="s">
        <v>60</v>
      </c>
      <c r="C462" s="2" t="s">
        <v>4736</v>
      </c>
      <c r="D462" s="2" t="s">
        <v>4737</v>
      </c>
      <c r="E462" s="2" t="s">
        <v>4738</v>
      </c>
      <c r="G462" s="3" t="s">
        <v>63</v>
      </c>
      <c r="I462" s="3" t="s">
        <v>63</v>
      </c>
      <c r="J462" s="3" t="s">
        <v>63</v>
      </c>
      <c r="K462" s="3" t="s">
        <v>64</v>
      </c>
      <c r="L462" s="2" t="s">
        <v>4739</v>
      </c>
      <c r="M462" s="2" t="s">
        <v>4740</v>
      </c>
      <c r="N462" s="3" t="s">
        <v>300</v>
      </c>
      <c r="P462" s="3" t="s">
        <v>90</v>
      </c>
      <c r="Q462" s="2" t="s">
        <v>4741</v>
      </c>
      <c r="R462" s="3" t="s">
        <v>67</v>
      </c>
      <c r="S462" s="4">
        <v>1</v>
      </c>
      <c r="T462" s="4">
        <v>1</v>
      </c>
      <c r="U462" s="5" t="s">
        <v>4419</v>
      </c>
      <c r="V462" s="5" t="s">
        <v>4419</v>
      </c>
      <c r="W462" s="5" t="s">
        <v>69</v>
      </c>
      <c r="X462" s="5" t="s">
        <v>69</v>
      </c>
      <c r="Y462" s="4">
        <v>38</v>
      </c>
      <c r="Z462" s="4">
        <v>3</v>
      </c>
      <c r="AA462" s="4">
        <v>3</v>
      </c>
      <c r="AB462" s="4">
        <v>1</v>
      </c>
      <c r="AC462" s="4">
        <v>1</v>
      </c>
      <c r="AD462" s="4">
        <v>31</v>
      </c>
      <c r="AE462" s="4">
        <v>31</v>
      </c>
      <c r="AF462" s="4">
        <v>0</v>
      </c>
      <c r="AG462" s="4">
        <v>0</v>
      </c>
      <c r="AH462" s="4">
        <v>29</v>
      </c>
      <c r="AI462" s="4">
        <v>29</v>
      </c>
      <c r="AJ462" s="4">
        <v>2</v>
      </c>
      <c r="AK462" s="4">
        <v>2</v>
      </c>
      <c r="AL462" s="4">
        <v>24</v>
      </c>
      <c r="AM462" s="4">
        <v>24</v>
      </c>
      <c r="AN462" s="4">
        <v>0</v>
      </c>
      <c r="AO462" s="4">
        <v>0</v>
      </c>
      <c r="AP462" s="4">
        <v>2</v>
      </c>
      <c r="AQ462" s="4">
        <v>2</v>
      </c>
      <c r="AR462" s="3" t="s">
        <v>63</v>
      </c>
      <c r="AS462" s="3" t="s">
        <v>63</v>
      </c>
      <c r="AT462" s="3" t="s">
        <v>63</v>
      </c>
      <c r="AV462" s="6" t="str">
        <f>HYPERLINK("http://mcgill.on.worldcat.org/oclc/26434680","Catalog Record")</f>
        <v>Catalog Record</v>
      </c>
      <c r="AW462" s="6" t="str">
        <f>HYPERLINK("http://www.worldcat.org/oclc/26434680","WorldCat Record")</f>
        <v>WorldCat Record</v>
      </c>
      <c r="AX462" s="3" t="s">
        <v>4742</v>
      </c>
      <c r="AY462" s="3" t="s">
        <v>4743</v>
      </c>
      <c r="AZ462" s="3" t="s">
        <v>4744</v>
      </c>
      <c r="BA462" s="3" t="s">
        <v>4744</v>
      </c>
      <c r="BB462" s="3" t="s">
        <v>4745</v>
      </c>
      <c r="BC462" s="3" t="s">
        <v>82</v>
      </c>
      <c r="BD462" s="3" t="s">
        <v>70</v>
      </c>
      <c r="BF462" s="3" t="s">
        <v>4745</v>
      </c>
      <c r="BG462" s="3" t="s">
        <v>4746</v>
      </c>
    </row>
    <row r="463" spans="1:59" ht="60" x14ac:dyDescent="0.25">
      <c r="A463" s="2" t="s">
        <v>59</v>
      </c>
      <c r="B463" s="2" t="s">
        <v>60</v>
      </c>
      <c r="C463" s="2" t="s">
        <v>4747</v>
      </c>
      <c r="D463" s="2" t="s">
        <v>4748</v>
      </c>
      <c r="E463" s="2" t="s">
        <v>4749</v>
      </c>
      <c r="G463" s="3" t="s">
        <v>63</v>
      </c>
      <c r="I463" s="3" t="s">
        <v>63</v>
      </c>
      <c r="J463" s="3" t="s">
        <v>63</v>
      </c>
      <c r="K463" s="3" t="s">
        <v>64</v>
      </c>
      <c r="L463" s="2" t="s">
        <v>4750</v>
      </c>
      <c r="M463" s="2" t="s">
        <v>4751</v>
      </c>
      <c r="N463" s="3" t="s">
        <v>629</v>
      </c>
      <c r="O463" s="2" t="s">
        <v>4752</v>
      </c>
      <c r="P463" s="3" t="s">
        <v>90</v>
      </c>
      <c r="Q463" s="2" t="s">
        <v>4753</v>
      </c>
      <c r="R463" s="3" t="s">
        <v>67</v>
      </c>
      <c r="S463" s="4">
        <v>0</v>
      </c>
      <c r="T463" s="4">
        <v>0</v>
      </c>
      <c r="W463" s="5" t="s">
        <v>69</v>
      </c>
      <c r="X463" s="5" t="s">
        <v>69</v>
      </c>
      <c r="Y463" s="4">
        <v>4</v>
      </c>
      <c r="Z463" s="4">
        <v>1</v>
      </c>
      <c r="AA463" s="4">
        <v>1</v>
      </c>
      <c r="AB463" s="4">
        <v>1</v>
      </c>
      <c r="AC463" s="4">
        <v>1</v>
      </c>
      <c r="AD463" s="4">
        <v>2</v>
      </c>
      <c r="AE463" s="4">
        <v>2</v>
      </c>
      <c r="AF463" s="4">
        <v>0</v>
      </c>
      <c r="AG463" s="4">
        <v>0</v>
      </c>
      <c r="AH463" s="4">
        <v>2</v>
      </c>
      <c r="AI463" s="4">
        <v>2</v>
      </c>
      <c r="AJ463" s="4">
        <v>0</v>
      </c>
      <c r="AK463" s="4">
        <v>0</v>
      </c>
      <c r="AL463" s="4">
        <v>2</v>
      </c>
      <c r="AM463" s="4">
        <v>2</v>
      </c>
      <c r="AN463" s="4">
        <v>0</v>
      </c>
      <c r="AO463" s="4">
        <v>0</v>
      </c>
      <c r="AP463" s="4">
        <v>0</v>
      </c>
      <c r="AQ463" s="4">
        <v>0</v>
      </c>
      <c r="AR463" s="3" t="s">
        <v>63</v>
      </c>
      <c r="AS463" s="3" t="s">
        <v>63</v>
      </c>
      <c r="AT463" s="3" t="s">
        <v>63</v>
      </c>
      <c r="AV463" s="6" t="str">
        <f>HYPERLINK("http://mcgill.on.worldcat.org/oclc/705279226","Catalog Record")</f>
        <v>Catalog Record</v>
      </c>
      <c r="AW463" s="6" t="str">
        <f>HYPERLINK("http://www.worldcat.org/oclc/705279226","WorldCat Record")</f>
        <v>WorldCat Record</v>
      </c>
      <c r="AX463" s="3" t="s">
        <v>4754</v>
      </c>
      <c r="AY463" s="3" t="s">
        <v>4755</v>
      </c>
      <c r="AZ463" s="3" t="s">
        <v>4756</v>
      </c>
      <c r="BA463" s="3" t="s">
        <v>4756</v>
      </c>
      <c r="BB463" s="3" t="s">
        <v>4757</v>
      </c>
      <c r="BC463" s="3" t="s">
        <v>82</v>
      </c>
      <c r="BD463" s="3" t="s">
        <v>70</v>
      </c>
      <c r="BE463" s="3" t="s">
        <v>4758</v>
      </c>
      <c r="BF463" s="3" t="s">
        <v>4757</v>
      </c>
      <c r="BG463" s="3" t="s">
        <v>4759</v>
      </c>
    </row>
    <row r="464" spans="1:59" ht="60" x14ac:dyDescent="0.25">
      <c r="A464" s="2" t="s">
        <v>59</v>
      </c>
      <c r="B464" s="2" t="s">
        <v>60</v>
      </c>
      <c r="C464" s="2" t="s">
        <v>4760</v>
      </c>
      <c r="D464" s="2" t="s">
        <v>4761</v>
      </c>
      <c r="E464" s="2" t="s">
        <v>4762</v>
      </c>
      <c r="G464" s="3" t="s">
        <v>63</v>
      </c>
      <c r="I464" s="3" t="s">
        <v>63</v>
      </c>
      <c r="J464" s="3" t="s">
        <v>63</v>
      </c>
      <c r="K464" s="3" t="s">
        <v>64</v>
      </c>
      <c r="L464" s="2" t="s">
        <v>4763</v>
      </c>
      <c r="M464" s="2" t="s">
        <v>4764</v>
      </c>
      <c r="N464" s="3" t="s">
        <v>76</v>
      </c>
      <c r="P464" s="3" t="s">
        <v>66</v>
      </c>
      <c r="Q464" s="2" t="s">
        <v>4765</v>
      </c>
      <c r="R464" s="3" t="s">
        <v>67</v>
      </c>
      <c r="S464" s="4">
        <v>1</v>
      </c>
      <c r="T464" s="4">
        <v>1</v>
      </c>
      <c r="U464" s="5" t="s">
        <v>4766</v>
      </c>
      <c r="V464" s="5" t="s">
        <v>4766</v>
      </c>
      <c r="W464" s="5" t="s">
        <v>69</v>
      </c>
      <c r="X464" s="5" t="s">
        <v>69</v>
      </c>
      <c r="Y464" s="4">
        <v>83</v>
      </c>
      <c r="Z464" s="4">
        <v>5</v>
      </c>
      <c r="AA464" s="4">
        <v>5</v>
      </c>
      <c r="AB464" s="4">
        <v>1</v>
      </c>
      <c r="AC464" s="4">
        <v>1</v>
      </c>
      <c r="AD464" s="4">
        <v>36</v>
      </c>
      <c r="AE464" s="4">
        <v>37</v>
      </c>
      <c r="AF464" s="4">
        <v>0</v>
      </c>
      <c r="AG464" s="4">
        <v>0</v>
      </c>
      <c r="AH464" s="4">
        <v>33</v>
      </c>
      <c r="AI464" s="4">
        <v>34</v>
      </c>
      <c r="AJ464" s="4">
        <v>4</v>
      </c>
      <c r="AK464" s="4">
        <v>4</v>
      </c>
      <c r="AL464" s="4">
        <v>24</v>
      </c>
      <c r="AM464" s="4">
        <v>25</v>
      </c>
      <c r="AN464" s="4">
        <v>0</v>
      </c>
      <c r="AO464" s="4">
        <v>0</v>
      </c>
      <c r="AP464" s="4">
        <v>4</v>
      </c>
      <c r="AQ464" s="4">
        <v>4</v>
      </c>
      <c r="AR464" s="3" t="s">
        <v>63</v>
      </c>
      <c r="AS464" s="3" t="s">
        <v>63</v>
      </c>
      <c r="AT464" s="3" t="s">
        <v>63</v>
      </c>
      <c r="AV464" s="6" t="str">
        <f>HYPERLINK("http://mcgill.on.worldcat.org/oclc/694485976","Catalog Record")</f>
        <v>Catalog Record</v>
      </c>
      <c r="AW464" s="6" t="str">
        <f>HYPERLINK("http://www.worldcat.org/oclc/694485976","WorldCat Record")</f>
        <v>WorldCat Record</v>
      </c>
      <c r="AX464" s="3" t="s">
        <v>4767</v>
      </c>
      <c r="AY464" s="3" t="s">
        <v>4768</v>
      </c>
      <c r="AZ464" s="3" t="s">
        <v>4769</v>
      </c>
      <c r="BA464" s="3" t="s">
        <v>4769</v>
      </c>
      <c r="BB464" s="3" t="s">
        <v>4770</v>
      </c>
      <c r="BC464" s="3" t="s">
        <v>82</v>
      </c>
      <c r="BD464" s="3" t="s">
        <v>70</v>
      </c>
      <c r="BE464" s="3" t="s">
        <v>4771</v>
      </c>
      <c r="BF464" s="3" t="s">
        <v>4770</v>
      </c>
      <c r="BG464" s="3" t="s">
        <v>4772</v>
      </c>
    </row>
    <row r="465" spans="1:59" ht="60" x14ac:dyDescent="0.25">
      <c r="A465" s="2" t="s">
        <v>59</v>
      </c>
      <c r="B465" s="2" t="s">
        <v>60</v>
      </c>
      <c r="C465" s="2" t="s">
        <v>4773</v>
      </c>
      <c r="D465" s="2" t="s">
        <v>4774</v>
      </c>
      <c r="E465" s="2" t="s">
        <v>4775</v>
      </c>
      <c r="G465" s="3" t="s">
        <v>63</v>
      </c>
      <c r="I465" s="3" t="s">
        <v>63</v>
      </c>
      <c r="J465" s="3" t="s">
        <v>63</v>
      </c>
      <c r="K465" s="3" t="s">
        <v>64</v>
      </c>
      <c r="L465" s="2" t="s">
        <v>4776</v>
      </c>
      <c r="M465" s="2" t="s">
        <v>4777</v>
      </c>
      <c r="N465" s="3" t="s">
        <v>758</v>
      </c>
      <c r="P465" s="3" t="s">
        <v>66</v>
      </c>
      <c r="R465" s="3" t="s">
        <v>67</v>
      </c>
      <c r="S465" s="4">
        <v>51</v>
      </c>
      <c r="T465" s="4">
        <v>51</v>
      </c>
      <c r="U465" s="5" t="s">
        <v>4778</v>
      </c>
      <c r="V465" s="5" t="s">
        <v>4778</v>
      </c>
      <c r="W465" s="5" t="s">
        <v>69</v>
      </c>
      <c r="X465" s="5" t="s">
        <v>69</v>
      </c>
      <c r="Y465" s="4">
        <v>5</v>
      </c>
      <c r="Z465" s="4">
        <v>3</v>
      </c>
      <c r="AA465" s="4">
        <v>28</v>
      </c>
      <c r="AB465" s="4">
        <v>1</v>
      </c>
      <c r="AC465" s="4">
        <v>2</v>
      </c>
      <c r="AD465" s="4">
        <v>3</v>
      </c>
      <c r="AE465" s="4">
        <v>108</v>
      </c>
      <c r="AF465" s="4">
        <v>0</v>
      </c>
      <c r="AG465" s="4">
        <v>1</v>
      </c>
      <c r="AH465" s="4">
        <v>3</v>
      </c>
      <c r="AI465" s="4">
        <v>93</v>
      </c>
      <c r="AJ465" s="4">
        <v>2</v>
      </c>
      <c r="AK465" s="4">
        <v>17</v>
      </c>
      <c r="AL465" s="4">
        <v>1</v>
      </c>
      <c r="AM465" s="4">
        <v>54</v>
      </c>
      <c r="AN465" s="4">
        <v>0</v>
      </c>
      <c r="AO465" s="4">
        <v>0</v>
      </c>
      <c r="AP465" s="4">
        <v>2</v>
      </c>
      <c r="AQ465" s="4">
        <v>21</v>
      </c>
      <c r="AR465" s="3" t="s">
        <v>63</v>
      </c>
      <c r="AS465" s="3" t="s">
        <v>63</v>
      </c>
      <c r="AT465" s="3" t="s">
        <v>62</v>
      </c>
      <c r="AU465" s="6" t="str">
        <f>HYPERLINK("http://catalog.hathitrust.org/Record/007128774","HathiTrust Record")</f>
        <v>HathiTrust Record</v>
      </c>
      <c r="AV465" s="6" t="str">
        <f>HYPERLINK("http://mcgill.on.worldcat.org/oclc/254465527","Catalog Record")</f>
        <v>Catalog Record</v>
      </c>
      <c r="AW465" s="6" t="str">
        <f>HYPERLINK("http://www.worldcat.org/oclc/254465527","WorldCat Record")</f>
        <v>WorldCat Record</v>
      </c>
      <c r="AX465" s="3" t="s">
        <v>4779</v>
      </c>
      <c r="AY465" s="3" t="s">
        <v>4780</v>
      </c>
      <c r="AZ465" s="3" t="s">
        <v>4781</v>
      </c>
      <c r="BA465" s="3" t="s">
        <v>4781</v>
      </c>
      <c r="BB465" s="3" t="s">
        <v>4782</v>
      </c>
      <c r="BC465" s="3" t="s">
        <v>82</v>
      </c>
      <c r="BD465" s="3" t="s">
        <v>70</v>
      </c>
      <c r="BF465" s="3" t="s">
        <v>4782</v>
      </c>
      <c r="BG465" s="3" t="s">
        <v>4783</v>
      </c>
    </row>
    <row r="466" spans="1:59" ht="60" x14ac:dyDescent="0.25">
      <c r="A466" s="2" t="s">
        <v>59</v>
      </c>
      <c r="B466" s="2" t="s">
        <v>60</v>
      </c>
      <c r="C466" s="2" t="s">
        <v>4784</v>
      </c>
      <c r="D466" s="2" t="s">
        <v>4785</v>
      </c>
      <c r="E466" s="2" t="s">
        <v>4786</v>
      </c>
      <c r="F466" s="3" t="s">
        <v>4787</v>
      </c>
      <c r="G466" s="3" t="s">
        <v>62</v>
      </c>
      <c r="I466" s="3" t="s">
        <v>63</v>
      </c>
      <c r="J466" s="3" t="s">
        <v>63</v>
      </c>
      <c r="K466" s="3" t="s">
        <v>64</v>
      </c>
      <c r="L466" s="2" t="s">
        <v>4788</v>
      </c>
      <c r="M466" s="2" t="s">
        <v>4789</v>
      </c>
      <c r="N466" s="3" t="s">
        <v>1296</v>
      </c>
      <c r="P466" s="3" t="s">
        <v>90</v>
      </c>
      <c r="Q466" s="2" t="s">
        <v>4790</v>
      </c>
      <c r="R466" s="3" t="s">
        <v>67</v>
      </c>
      <c r="S466" s="4">
        <v>12</v>
      </c>
      <c r="T466" s="4">
        <v>29</v>
      </c>
      <c r="U466" s="5" t="s">
        <v>4791</v>
      </c>
      <c r="V466" s="5" t="s">
        <v>4791</v>
      </c>
      <c r="W466" s="5" t="s">
        <v>69</v>
      </c>
      <c r="X466" s="5" t="s">
        <v>69</v>
      </c>
      <c r="Y466" s="4">
        <v>30</v>
      </c>
      <c r="Z466" s="4">
        <v>6</v>
      </c>
      <c r="AA466" s="4">
        <v>11</v>
      </c>
      <c r="AB466" s="4">
        <v>1</v>
      </c>
      <c r="AC466" s="4">
        <v>1</v>
      </c>
      <c r="AD466" s="4">
        <v>23</v>
      </c>
      <c r="AE466" s="4">
        <v>55</v>
      </c>
      <c r="AF466" s="4">
        <v>0</v>
      </c>
      <c r="AG466" s="4">
        <v>0</v>
      </c>
      <c r="AH466" s="4">
        <v>21</v>
      </c>
      <c r="AI466" s="4">
        <v>50</v>
      </c>
      <c r="AJ466" s="4">
        <v>5</v>
      </c>
      <c r="AK466" s="4">
        <v>9</v>
      </c>
      <c r="AL466" s="4">
        <v>11</v>
      </c>
      <c r="AM466" s="4">
        <v>33</v>
      </c>
      <c r="AN466" s="4">
        <v>0</v>
      </c>
      <c r="AO466" s="4">
        <v>0</v>
      </c>
      <c r="AP466" s="4">
        <v>5</v>
      </c>
      <c r="AQ466" s="4">
        <v>10</v>
      </c>
      <c r="AR466" s="3" t="s">
        <v>63</v>
      </c>
      <c r="AS466" s="3" t="s">
        <v>63</v>
      </c>
      <c r="AT466" s="3" t="s">
        <v>62</v>
      </c>
      <c r="AU466" s="6" t="str">
        <f>HYPERLINK("http://catalog.hathitrust.org/Record/102333377","HathiTrust Record")</f>
        <v>HathiTrust Record</v>
      </c>
      <c r="AV466" s="6" t="str">
        <f>HYPERLINK("http://mcgill.on.worldcat.org/oclc/213532543","Catalog Record")</f>
        <v>Catalog Record</v>
      </c>
      <c r="AW466" s="6" t="str">
        <f>HYPERLINK("http://www.worldcat.org/oclc/213532543","WorldCat Record")</f>
        <v>WorldCat Record</v>
      </c>
      <c r="AX466" s="3" t="s">
        <v>4792</v>
      </c>
      <c r="AY466" s="3" t="s">
        <v>4793</v>
      </c>
      <c r="AZ466" s="3" t="s">
        <v>4794</v>
      </c>
      <c r="BA466" s="3" t="s">
        <v>4794</v>
      </c>
      <c r="BB466" s="3" t="s">
        <v>4795</v>
      </c>
      <c r="BC466" s="3" t="s">
        <v>82</v>
      </c>
      <c r="BD466" s="3" t="s">
        <v>538</v>
      </c>
      <c r="BF466" s="3" t="s">
        <v>4795</v>
      </c>
      <c r="BG466" s="3" t="s">
        <v>4796</v>
      </c>
    </row>
    <row r="467" spans="1:59" ht="60" x14ac:dyDescent="0.25">
      <c r="A467" s="2" t="s">
        <v>59</v>
      </c>
      <c r="B467" s="2" t="s">
        <v>60</v>
      </c>
      <c r="C467" s="2" t="s">
        <v>4784</v>
      </c>
      <c r="D467" s="2" t="s">
        <v>4785</v>
      </c>
      <c r="E467" s="2" t="s">
        <v>4786</v>
      </c>
      <c r="F467" s="3" t="s">
        <v>4797</v>
      </c>
      <c r="G467" s="3" t="s">
        <v>62</v>
      </c>
      <c r="I467" s="3" t="s">
        <v>63</v>
      </c>
      <c r="J467" s="3" t="s">
        <v>63</v>
      </c>
      <c r="K467" s="3" t="s">
        <v>64</v>
      </c>
      <c r="L467" s="2" t="s">
        <v>4788</v>
      </c>
      <c r="M467" s="2" t="s">
        <v>4789</v>
      </c>
      <c r="N467" s="3" t="s">
        <v>1296</v>
      </c>
      <c r="P467" s="3" t="s">
        <v>90</v>
      </c>
      <c r="Q467" s="2" t="s">
        <v>4790</v>
      </c>
      <c r="R467" s="3" t="s">
        <v>67</v>
      </c>
      <c r="S467" s="4">
        <v>9</v>
      </c>
      <c r="T467" s="4">
        <v>29</v>
      </c>
      <c r="U467" s="5" t="s">
        <v>4798</v>
      </c>
      <c r="V467" s="5" t="s">
        <v>4791</v>
      </c>
      <c r="W467" s="5" t="s">
        <v>69</v>
      </c>
      <c r="X467" s="5" t="s">
        <v>69</v>
      </c>
      <c r="Y467" s="4">
        <v>30</v>
      </c>
      <c r="Z467" s="4">
        <v>6</v>
      </c>
      <c r="AA467" s="4">
        <v>11</v>
      </c>
      <c r="AB467" s="4">
        <v>1</v>
      </c>
      <c r="AC467" s="4">
        <v>1</v>
      </c>
      <c r="AD467" s="4">
        <v>23</v>
      </c>
      <c r="AE467" s="4">
        <v>55</v>
      </c>
      <c r="AF467" s="4">
        <v>0</v>
      </c>
      <c r="AG467" s="4">
        <v>0</v>
      </c>
      <c r="AH467" s="4">
        <v>21</v>
      </c>
      <c r="AI467" s="4">
        <v>50</v>
      </c>
      <c r="AJ467" s="4">
        <v>5</v>
      </c>
      <c r="AK467" s="4">
        <v>9</v>
      </c>
      <c r="AL467" s="4">
        <v>11</v>
      </c>
      <c r="AM467" s="4">
        <v>33</v>
      </c>
      <c r="AN467" s="4">
        <v>0</v>
      </c>
      <c r="AO467" s="4">
        <v>0</v>
      </c>
      <c r="AP467" s="4">
        <v>5</v>
      </c>
      <c r="AQ467" s="4">
        <v>10</v>
      </c>
      <c r="AR467" s="3" t="s">
        <v>63</v>
      </c>
      <c r="AS467" s="3" t="s">
        <v>63</v>
      </c>
      <c r="AT467" s="3" t="s">
        <v>62</v>
      </c>
      <c r="AU467" s="6" t="str">
        <f>HYPERLINK("http://catalog.hathitrust.org/Record/102333377","HathiTrust Record")</f>
        <v>HathiTrust Record</v>
      </c>
      <c r="AV467" s="6" t="str">
        <f>HYPERLINK("http://mcgill.on.worldcat.org/oclc/213532543","Catalog Record")</f>
        <v>Catalog Record</v>
      </c>
      <c r="AW467" s="6" t="str">
        <f>HYPERLINK("http://www.worldcat.org/oclc/213532543","WorldCat Record")</f>
        <v>WorldCat Record</v>
      </c>
      <c r="AX467" s="3" t="s">
        <v>4792</v>
      </c>
      <c r="AY467" s="3" t="s">
        <v>4793</v>
      </c>
      <c r="AZ467" s="3" t="s">
        <v>4794</v>
      </c>
      <c r="BA467" s="3" t="s">
        <v>4794</v>
      </c>
      <c r="BB467" s="3" t="s">
        <v>4799</v>
      </c>
      <c r="BC467" s="3" t="s">
        <v>82</v>
      </c>
      <c r="BD467" s="3" t="s">
        <v>70</v>
      </c>
      <c r="BF467" s="3" t="s">
        <v>4799</v>
      </c>
      <c r="BG467" s="3" t="s">
        <v>4800</v>
      </c>
    </row>
    <row r="468" spans="1:59" ht="60" x14ac:dyDescent="0.25">
      <c r="A468" s="2" t="s">
        <v>59</v>
      </c>
      <c r="B468" s="2" t="s">
        <v>60</v>
      </c>
      <c r="C468" s="2" t="s">
        <v>4784</v>
      </c>
      <c r="D468" s="2" t="s">
        <v>4785</v>
      </c>
      <c r="E468" s="2" t="s">
        <v>4786</v>
      </c>
      <c r="F468" s="3" t="s">
        <v>4801</v>
      </c>
      <c r="G468" s="3" t="s">
        <v>62</v>
      </c>
      <c r="I468" s="3" t="s">
        <v>63</v>
      </c>
      <c r="J468" s="3" t="s">
        <v>63</v>
      </c>
      <c r="K468" s="3" t="s">
        <v>64</v>
      </c>
      <c r="L468" s="2" t="s">
        <v>4788</v>
      </c>
      <c r="M468" s="2" t="s">
        <v>4789</v>
      </c>
      <c r="N468" s="3" t="s">
        <v>1296</v>
      </c>
      <c r="P468" s="3" t="s">
        <v>90</v>
      </c>
      <c r="Q468" s="2" t="s">
        <v>4790</v>
      </c>
      <c r="R468" s="3" t="s">
        <v>67</v>
      </c>
      <c r="S468" s="4">
        <v>8</v>
      </c>
      <c r="T468" s="4">
        <v>29</v>
      </c>
      <c r="U468" s="5" t="s">
        <v>4798</v>
      </c>
      <c r="V468" s="5" t="s">
        <v>4791</v>
      </c>
      <c r="W468" s="5" t="s">
        <v>69</v>
      </c>
      <c r="X468" s="5" t="s">
        <v>69</v>
      </c>
      <c r="Y468" s="4">
        <v>30</v>
      </c>
      <c r="Z468" s="4">
        <v>6</v>
      </c>
      <c r="AA468" s="4">
        <v>11</v>
      </c>
      <c r="AB468" s="4">
        <v>1</v>
      </c>
      <c r="AC468" s="4">
        <v>1</v>
      </c>
      <c r="AD468" s="4">
        <v>23</v>
      </c>
      <c r="AE468" s="4">
        <v>55</v>
      </c>
      <c r="AF468" s="4">
        <v>0</v>
      </c>
      <c r="AG468" s="4">
        <v>0</v>
      </c>
      <c r="AH468" s="4">
        <v>21</v>
      </c>
      <c r="AI468" s="4">
        <v>50</v>
      </c>
      <c r="AJ468" s="4">
        <v>5</v>
      </c>
      <c r="AK468" s="4">
        <v>9</v>
      </c>
      <c r="AL468" s="4">
        <v>11</v>
      </c>
      <c r="AM468" s="4">
        <v>33</v>
      </c>
      <c r="AN468" s="4">
        <v>0</v>
      </c>
      <c r="AO468" s="4">
        <v>0</v>
      </c>
      <c r="AP468" s="4">
        <v>5</v>
      </c>
      <c r="AQ468" s="4">
        <v>10</v>
      </c>
      <c r="AR468" s="3" t="s">
        <v>63</v>
      </c>
      <c r="AS468" s="3" t="s">
        <v>63</v>
      </c>
      <c r="AT468" s="3" t="s">
        <v>62</v>
      </c>
      <c r="AU468" s="6" t="str">
        <f>HYPERLINK("http://catalog.hathitrust.org/Record/102333377","HathiTrust Record")</f>
        <v>HathiTrust Record</v>
      </c>
      <c r="AV468" s="6" t="str">
        <f>HYPERLINK("http://mcgill.on.worldcat.org/oclc/213532543","Catalog Record")</f>
        <v>Catalog Record</v>
      </c>
      <c r="AW468" s="6" t="str">
        <f>HYPERLINK("http://www.worldcat.org/oclc/213532543","WorldCat Record")</f>
        <v>WorldCat Record</v>
      </c>
      <c r="AX468" s="3" t="s">
        <v>4792</v>
      </c>
      <c r="AY468" s="3" t="s">
        <v>4793</v>
      </c>
      <c r="AZ468" s="3" t="s">
        <v>4794</v>
      </c>
      <c r="BA468" s="3" t="s">
        <v>4794</v>
      </c>
      <c r="BB468" s="3" t="s">
        <v>4802</v>
      </c>
      <c r="BC468" s="3" t="s">
        <v>82</v>
      </c>
      <c r="BD468" s="3" t="s">
        <v>70</v>
      </c>
      <c r="BF468" s="3" t="s">
        <v>4802</v>
      </c>
      <c r="BG468" s="3" t="s">
        <v>4803</v>
      </c>
    </row>
    <row r="469" spans="1:59" ht="75" x14ac:dyDescent="0.25">
      <c r="A469" s="2" t="s">
        <v>59</v>
      </c>
      <c r="B469" s="2" t="s">
        <v>60</v>
      </c>
      <c r="C469" s="2" t="s">
        <v>4804</v>
      </c>
      <c r="D469" s="2" t="s">
        <v>4805</v>
      </c>
      <c r="E469" s="2" t="s">
        <v>4806</v>
      </c>
      <c r="G469" s="3" t="s">
        <v>63</v>
      </c>
      <c r="I469" s="3" t="s">
        <v>63</v>
      </c>
      <c r="J469" s="3" t="s">
        <v>63</v>
      </c>
      <c r="K469" s="3" t="s">
        <v>64</v>
      </c>
      <c r="M469" s="2" t="s">
        <v>4807</v>
      </c>
      <c r="N469" s="3" t="s">
        <v>2765</v>
      </c>
      <c r="P469" s="3" t="s">
        <v>90</v>
      </c>
      <c r="R469" s="3" t="s">
        <v>67</v>
      </c>
      <c r="S469" s="4">
        <v>0</v>
      </c>
      <c r="T469" s="4">
        <v>0</v>
      </c>
      <c r="W469" s="5" t="s">
        <v>69</v>
      </c>
      <c r="X469" s="5" t="s">
        <v>69</v>
      </c>
      <c r="Y469" s="4">
        <v>30</v>
      </c>
      <c r="Z469" s="4">
        <v>2</v>
      </c>
      <c r="AA469" s="4">
        <v>2</v>
      </c>
      <c r="AB469" s="4">
        <v>1</v>
      </c>
      <c r="AC469" s="4">
        <v>1</v>
      </c>
      <c r="AD469" s="4">
        <v>22</v>
      </c>
      <c r="AE469" s="4">
        <v>22</v>
      </c>
      <c r="AF469" s="4">
        <v>0</v>
      </c>
      <c r="AG469" s="4">
        <v>0</v>
      </c>
      <c r="AH469" s="4">
        <v>22</v>
      </c>
      <c r="AI469" s="4">
        <v>22</v>
      </c>
      <c r="AJ469" s="4">
        <v>1</v>
      </c>
      <c r="AK469" s="4">
        <v>1</v>
      </c>
      <c r="AL469" s="4">
        <v>18</v>
      </c>
      <c r="AM469" s="4">
        <v>18</v>
      </c>
      <c r="AN469" s="4">
        <v>0</v>
      </c>
      <c r="AO469" s="4">
        <v>0</v>
      </c>
      <c r="AP469" s="4">
        <v>1</v>
      </c>
      <c r="AQ469" s="4">
        <v>1</v>
      </c>
      <c r="AR469" s="3" t="s">
        <v>63</v>
      </c>
      <c r="AS469" s="3" t="s">
        <v>63</v>
      </c>
      <c r="AT469" s="3" t="s">
        <v>63</v>
      </c>
      <c r="AV469" s="6" t="str">
        <f>HYPERLINK("http://mcgill.on.worldcat.org/oclc/950003085","Catalog Record")</f>
        <v>Catalog Record</v>
      </c>
      <c r="AW469" s="6" t="str">
        <f>HYPERLINK("http://www.worldcat.org/oclc/950003085","WorldCat Record")</f>
        <v>WorldCat Record</v>
      </c>
      <c r="AX469" s="3" t="s">
        <v>4808</v>
      </c>
      <c r="AY469" s="3" t="s">
        <v>4809</v>
      </c>
      <c r="AZ469" s="3" t="s">
        <v>4810</v>
      </c>
      <c r="BA469" s="3" t="s">
        <v>4810</v>
      </c>
      <c r="BB469" s="3" t="s">
        <v>4811</v>
      </c>
      <c r="BC469" s="3" t="s">
        <v>82</v>
      </c>
      <c r="BD469" s="3" t="s">
        <v>70</v>
      </c>
      <c r="BE469" s="3" t="s">
        <v>4812</v>
      </c>
      <c r="BF469" s="3" t="s">
        <v>4811</v>
      </c>
      <c r="BG469" s="3" t="s">
        <v>4813</v>
      </c>
    </row>
    <row r="470" spans="1:59" ht="60" x14ac:dyDescent="0.25">
      <c r="A470" s="2" t="s">
        <v>59</v>
      </c>
      <c r="B470" s="2" t="s">
        <v>60</v>
      </c>
      <c r="C470" s="2" t="s">
        <v>4814</v>
      </c>
      <c r="D470" s="2" t="s">
        <v>4815</v>
      </c>
      <c r="E470" s="2" t="s">
        <v>4816</v>
      </c>
      <c r="G470" s="3" t="s">
        <v>63</v>
      </c>
      <c r="I470" s="3" t="s">
        <v>63</v>
      </c>
      <c r="J470" s="3" t="s">
        <v>63</v>
      </c>
      <c r="K470" s="3" t="s">
        <v>64</v>
      </c>
      <c r="M470" s="2" t="s">
        <v>4817</v>
      </c>
      <c r="N470" s="3" t="s">
        <v>731</v>
      </c>
      <c r="P470" s="3" t="s">
        <v>90</v>
      </c>
      <c r="R470" s="3" t="s">
        <v>67</v>
      </c>
      <c r="S470" s="4">
        <v>1</v>
      </c>
      <c r="T470" s="4">
        <v>1</v>
      </c>
      <c r="U470" s="5" t="s">
        <v>4818</v>
      </c>
      <c r="V470" s="5" t="s">
        <v>4818</v>
      </c>
      <c r="W470" s="5" t="s">
        <v>69</v>
      </c>
      <c r="X470" s="5" t="s">
        <v>69</v>
      </c>
      <c r="Y470" s="4">
        <v>82</v>
      </c>
      <c r="Z470" s="4">
        <v>7</v>
      </c>
      <c r="AA470" s="4">
        <v>7</v>
      </c>
      <c r="AB470" s="4">
        <v>1</v>
      </c>
      <c r="AC470" s="4">
        <v>1</v>
      </c>
      <c r="AD470" s="4">
        <v>56</v>
      </c>
      <c r="AE470" s="4">
        <v>56</v>
      </c>
      <c r="AF470" s="4">
        <v>0</v>
      </c>
      <c r="AG470" s="4">
        <v>0</v>
      </c>
      <c r="AH470" s="4">
        <v>52</v>
      </c>
      <c r="AI470" s="4">
        <v>52</v>
      </c>
      <c r="AJ470" s="4">
        <v>6</v>
      </c>
      <c r="AK470" s="4">
        <v>6</v>
      </c>
      <c r="AL470" s="4">
        <v>39</v>
      </c>
      <c r="AM470" s="4">
        <v>39</v>
      </c>
      <c r="AN470" s="4">
        <v>1</v>
      </c>
      <c r="AO470" s="4">
        <v>1</v>
      </c>
      <c r="AP470" s="4">
        <v>6</v>
      </c>
      <c r="AQ470" s="4">
        <v>6</v>
      </c>
      <c r="AR470" s="3" t="s">
        <v>63</v>
      </c>
      <c r="AS470" s="3" t="s">
        <v>63</v>
      </c>
      <c r="AT470" s="3" t="s">
        <v>62</v>
      </c>
      <c r="AU470" s="6" t="str">
        <f>HYPERLINK("http://catalog.hathitrust.org/Record/001225186","HathiTrust Record")</f>
        <v>HathiTrust Record</v>
      </c>
      <c r="AV470" s="6" t="str">
        <f>HYPERLINK("http://mcgill.on.worldcat.org/oclc/3316311","Catalog Record")</f>
        <v>Catalog Record</v>
      </c>
      <c r="AW470" s="6" t="str">
        <f>HYPERLINK("http://www.worldcat.org/oclc/3316311","WorldCat Record")</f>
        <v>WorldCat Record</v>
      </c>
      <c r="AX470" s="3" t="s">
        <v>4819</v>
      </c>
      <c r="AY470" s="3" t="s">
        <v>4820</v>
      </c>
      <c r="AZ470" s="3" t="s">
        <v>4821</v>
      </c>
      <c r="BA470" s="3" t="s">
        <v>4821</v>
      </c>
      <c r="BB470" s="3" t="s">
        <v>4822</v>
      </c>
      <c r="BC470" s="3" t="s">
        <v>82</v>
      </c>
      <c r="BD470" s="3" t="s">
        <v>70</v>
      </c>
      <c r="BF470" s="3" t="s">
        <v>4822</v>
      </c>
      <c r="BG470" s="3" t="s">
        <v>4823</v>
      </c>
    </row>
    <row r="471" spans="1:59" ht="60" x14ac:dyDescent="0.25">
      <c r="A471" s="2" t="s">
        <v>59</v>
      </c>
      <c r="B471" s="2" t="s">
        <v>60</v>
      </c>
      <c r="C471" s="2" t="s">
        <v>4824</v>
      </c>
      <c r="D471" s="2" t="s">
        <v>4825</v>
      </c>
      <c r="E471" s="2" t="s">
        <v>4826</v>
      </c>
      <c r="G471" s="3" t="s">
        <v>63</v>
      </c>
      <c r="I471" s="3" t="s">
        <v>63</v>
      </c>
      <c r="J471" s="3" t="s">
        <v>63</v>
      </c>
      <c r="K471" s="3" t="s">
        <v>64</v>
      </c>
      <c r="L471" s="2" t="s">
        <v>4827</v>
      </c>
      <c r="M471" s="2" t="s">
        <v>4828</v>
      </c>
      <c r="N471" s="3" t="s">
        <v>65</v>
      </c>
      <c r="P471" s="3" t="s">
        <v>90</v>
      </c>
      <c r="R471" s="3" t="s">
        <v>67</v>
      </c>
      <c r="S471" s="4">
        <v>1</v>
      </c>
      <c r="T471" s="4">
        <v>1</v>
      </c>
      <c r="U471" s="5" t="s">
        <v>4829</v>
      </c>
      <c r="V471" s="5" t="s">
        <v>4829</v>
      </c>
      <c r="W471" s="5" t="s">
        <v>69</v>
      </c>
      <c r="X471" s="5" t="s">
        <v>69</v>
      </c>
      <c r="Y471" s="4">
        <v>39</v>
      </c>
      <c r="Z471" s="4">
        <v>2</v>
      </c>
      <c r="AA471" s="4">
        <v>2</v>
      </c>
      <c r="AB471" s="4">
        <v>1</v>
      </c>
      <c r="AC471" s="4">
        <v>1</v>
      </c>
      <c r="AD471" s="4">
        <v>30</v>
      </c>
      <c r="AE471" s="4">
        <v>30</v>
      </c>
      <c r="AF471" s="4">
        <v>0</v>
      </c>
      <c r="AG471" s="4">
        <v>0</v>
      </c>
      <c r="AH471" s="4">
        <v>27</v>
      </c>
      <c r="AI471" s="4">
        <v>27</v>
      </c>
      <c r="AJ471" s="4">
        <v>1</v>
      </c>
      <c r="AK471" s="4">
        <v>1</v>
      </c>
      <c r="AL471" s="4">
        <v>23</v>
      </c>
      <c r="AM471" s="4">
        <v>23</v>
      </c>
      <c r="AN471" s="4">
        <v>0</v>
      </c>
      <c r="AO471" s="4">
        <v>0</v>
      </c>
      <c r="AP471" s="4">
        <v>1</v>
      </c>
      <c r="AQ471" s="4">
        <v>1</v>
      </c>
      <c r="AR471" s="3" t="s">
        <v>63</v>
      </c>
      <c r="AS471" s="3" t="s">
        <v>63</v>
      </c>
      <c r="AT471" s="3" t="s">
        <v>62</v>
      </c>
      <c r="AU471" s="6" t="str">
        <f>HYPERLINK("http://catalog.hathitrust.org/Record/001225087","HathiTrust Record")</f>
        <v>HathiTrust Record</v>
      </c>
      <c r="AV471" s="6" t="str">
        <f>HYPERLINK("http://mcgill.on.worldcat.org/oclc/4660556","Catalog Record")</f>
        <v>Catalog Record</v>
      </c>
      <c r="AW471" s="6" t="str">
        <f>HYPERLINK("http://www.worldcat.org/oclc/4660556","WorldCat Record")</f>
        <v>WorldCat Record</v>
      </c>
      <c r="AX471" s="3" t="s">
        <v>4830</v>
      </c>
      <c r="AY471" s="3" t="s">
        <v>4831</v>
      </c>
      <c r="AZ471" s="3" t="s">
        <v>4832</v>
      </c>
      <c r="BA471" s="3" t="s">
        <v>4832</v>
      </c>
      <c r="BB471" s="3" t="s">
        <v>4833</v>
      </c>
      <c r="BC471" s="3" t="s">
        <v>82</v>
      </c>
      <c r="BD471" s="3" t="s">
        <v>70</v>
      </c>
      <c r="BF471" s="3" t="s">
        <v>4833</v>
      </c>
      <c r="BG471" s="3" t="s">
        <v>4834</v>
      </c>
    </row>
    <row r="472" spans="1:59" ht="60" x14ac:dyDescent="0.25">
      <c r="A472" s="2" t="s">
        <v>59</v>
      </c>
      <c r="B472" s="2" t="s">
        <v>60</v>
      </c>
      <c r="C472" s="2" t="s">
        <v>4835</v>
      </c>
      <c r="D472" s="2" t="s">
        <v>4836</v>
      </c>
      <c r="E472" s="2" t="s">
        <v>4837</v>
      </c>
      <c r="G472" s="3" t="s">
        <v>63</v>
      </c>
      <c r="I472" s="3" t="s">
        <v>62</v>
      </c>
      <c r="J472" s="3" t="s">
        <v>63</v>
      </c>
      <c r="K472" s="3" t="s">
        <v>64</v>
      </c>
      <c r="L472" s="2" t="s">
        <v>4838</v>
      </c>
      <c r="M472" s="2" t="s">
        <v>4839</v>
      </c>
      <c r="N472" s="3" t="s">
        <v>546</v>
      </c>
      <c r="P472" s="3" t="s">
        <v>66</v>
      </c>
      <c r="R472" s="3" t="s">
        <v>67</v>
      </c>
      <c r="S472" s="4">
        <v>9</v>
      </c>
      <c r="T472" s="4">
        <v>9</v>
      </c>
      <c r="U472" s="5" t="s">
        <v>4818</v>
      </c>
      <c r="V472" s="5" t="s">
        <v>4818</v>
      </c>
      <c r="W472" s="5" t="s">
        <v>69</v>
      </c>
      <c r="X472" s="5" t="s">
        <v>69</v>
      </c>
      <c r="Y472" s="4">
        <v>244</v>
      </c>
      <c r="Z472" s="4">
        <v>18</v>
      </c>
      <c r="AA472" s="4">
        <v>21</v>
      </c>
      <c r="AB472" s="4">
        <v>3</v>
      </c>
      <c r="AC472" s="4">
        <v>5</v>
      </c>
      <c r="AD472" s="4">
        <v>81</v>
      </c>
      <c r="AE472" s="4">
        <v>84</v>
      </c>
      <c r="AF472" s="4">
        <v>1</v>
      </c>
      <c r="AG472" s="4">
        <v>3</v>
      </c>
      <c r="AH472" s="4">
        <v>73</v>
      </c>
      <c r="AI472" s="4">
        <v>75</v>
      </c>
      <c r="AJ472" s="4">
        <v>12</v>
      </c>
      <c r="AK472" s="4">
        <v>15</v>
      </c>
      <c r="AL472" s="4">
        <v>48</v>
      </c>
      <c r="AM472" s="4">
        <v>48</v>
      </c>
      <c r="AN472" s="4">
        <v>0</v>
      </c>
      <c r="AO472" s="4">
        <v>0</v>
      </c>
      <c r="AP472" s="4">
        <v>14</v>
      </c>
      <c r="AQ472" s="4">
        <v>17</v>
      </c>
      <c r="AR472" s="3" t="s">
        <v>63</v>
      </c>
      <c r="AS472" s="3" t="s">
        <v>63</v>
      </c>
      <c r="AT472" s="3" t="s">
        <v>62</v>
      </c>
      <c r="AU472" s="6" t="str">
        <f>HYPERLINK("http://catalog.hathitrust.org/Record/001061702","HathiTrust Record")</f>
        <v>HathiTrust Record</v>
      </c>
      <c r="AV472" s="6" t="str">
        <f>HYPERLINK("http://mcgill.on.worldcat.org/oclc/877405","Catalog Record")</f>
        <v>Catalog Record</v>
      </c>
      <c r="AW472" s="6" t="str">
        <f>HYPERLINK("http://www.worldcat.org/oclc/877405","WorldCat Record")</f>
        <v>WorldCat Record</v>
      </c>
      <c r="AX472" s="3" t="s">
        <v>4840</v>
      </c>
      <c r="AY472" s="3" t="s">
        <v>4841</v>
      </c>
      <c r="AZ472" s="3" t="s">
        <v>4842</v>
      </c>
      <c r="BA472" s="3" t="s">
        <v>4842</v>
      </c>
      <c r="BB472" s="3" t="s">
        <v>4843</v>
      </c>
      <c r="BC472" s="3" t="s">
        <v>82</v>
      </c>
      <c r="BD472" s="3" t="s">
        <v>70</v>
      </c>
      <c r="BF472" s="3" t="s">
        <v>4843</v>
      </c>
      <c r="BG472" s="3" t="s">
        <v>4844</v>
      </c>
    </row>
    <row r="473" spans="1:59" ht="60" x14ac:dyDescent="0.25">
      <c r="A473" s="2" t="s">
        <v>59</v>
      </c>
      <c r="B473" s="2" t="s">
        <v>60</v>
      </c>
      <c r="C473" s="2" t="s">
        <v>4845</v>
      </c>
      <c r="D473" s="2" t="s">
        <v>4846</v>
      </c>
      <c r="E473" s="2" t="s">
        <v>4847</v>
      </c>
      <c r="G473" s="3" t="s">
        <v>63</v>
      </c>
      <c r="I473" s="3" t="s">
        <v>63</v>
      </c>
      <c r="J473" s="3" t="s">
        <v>63</v>
      </c>
      <c r="K473" s="3" t="s">
        <v>64</v>
      </c>
      <c r="M473" s="2" t="s">
        <v>4848</v>
      </c>
      <c r="N473" s="3" t="s">
        <v>1343</v>
      </c>
      <c r="P473" s="3" t="s">
        <v>66</v>
      </c>
      <c r="Q473" s="2" t="s">
        <v>4849</v>
      </c>
      <c r="R473" s="3" t="s">
        <v>67</v>
      </c>
      <c r="S473" s="4">
        <v>17</v>
      </c>
      <c r="T473" s="4">
        <v>17</v>
      </c>
      <c r="U473" s="5" t="s">
        <v>4850</v>
      </c>
      <c r="V473" s="5" t="s">
        <v>4850</v>
      </c>
      <c r="W473" s="5" t="s">
        <v>69</v>
      </c>
      <c r="X473" s="5" t="s">
        <v>69</v>
      </c>
      <c r="Y473" s="4">
        <v>166</v>
      </c>
      <c r="Z473" s="4">
        <v>13</v>
      </c>
      <c r="AA473" s="4">
        <v>14</v>
      </c>
      <c r="AB473" s="4">
        <v>1</v>
      </c>
      <c r="AC473" s="4">
        <v>2</v>
      </c>
      <c r="AD473" s="4">
        <v>83</v>
      </c>
      <c r="AE473" s="4">
        <v>84</v>
      </c>
      <c r="AF473" s="4">
        <v>0</v>
      </c>
      <c r="AG473" s="4">
        <v>1</v>
      </c>
      <c r="AH473" s="4">
        <v>75</v>
      </c>
      <c r="AI473" s="4">
        <v>75</v>
      </c>
      <c r="AJ473" s="4">
        <v>10</v>
      </c>
      <c r="AK473" s="4">
        <v>11</v>
      </c>
      <c r="AL473" s="4">
        <v>47</v>
      </c>
      <c r="AM473" s="4">
        <v>47</v>
      </c>
      <c r="AN473" s="4">
        <v>0</v>
      </c>
      <c r="AO473" s="4">
        <v>0</v>
      </c>
      <c r="AP473" s="4">
        <v>11</v>
      </c>
      <c r="AQ473" s="4">
        <v>11</v>
      </c>
      <c r="AR473" s="3" t="s">
        <v>63</v>
      </c>
      <c r="AS473" s="3" t="s">
        <v>63</v>
      </c>
      <c r="AT473" s="3" t="s">
        <v>62</v>
      </c>
      <c r="AU473" s="6" t="str">
        <f>HYPERLINK("http://catalog.hathitrust.org/Record/004102792","HathiTrust Record")</f>
        <v>HathiTrust Record</v>
      </c>
      <c r="AV473" s="6" t="str">
        <f>HYPERLINK("http://mcgill.on.worldcat.org/oclc/42072083","Catalog Record")</f>
        <v>Catalog Record</v>
      </c>
      <c r="AW473" s="6" t="str">
        <f>HYPERLINK("http://www.worldcat.org/oclc/42072083","WorldCat Record")</f>
        <v>WorldCat Record</v>
      </c>
      <c r="AX473" s="3" t="s">
        <v>4851</v>
      </c>
      <c r="AY473" s="3" t="s">
        <v>4852</v>
      </c>
      <c r="AZ473" s="3" t="s">
        <v>4853</v>
      </c>
      <c r="BA473" s="3" t="s">
        <v>4853</v>
      </c>
      <c r="BB473" s="3" t="s">
        <v>4854</v>
      </c>
      <c r="BC473" s="3" t="s">
        <v>82</v>
      </c>
      <c r="BD473" s="3" t="s">
        <v>70</v>
      </c>
      <c r="BE473" s="3" t="s">
        <v>4855</v>
      </c>
      <c r="BF473" s="3" t="s">
        <v>4854</v>
      </c>
      <c r="BG473" s="3" t="s">
        <v>4856</v>
      </c>
    </row>
    <row r="474" spans="1:59" ht="75" x14ac:dyDescent="0.25">
      <c r="A474" s="2" t="s">
        <v>59</v>
      </c>
      <c r="B474" s="2" t="s">
        <v>60</v>
      </c>
      <c r="C474" s="2" t="s">
        <v>4857</v>
      </c>
      <c r="D474" s="2" t="s">
        <v>4858</v>
      </c>
      <c r="E474" s="2" t="s">
        <v>4859</v>
      </c>
      <c r="G474" s="3" t="s">
        <v>63</v>
      </c>
      <c r="I474" s="3" t="s">
        <v>63</v>
      </c>
      <c r="J474" s="3" t="s">
        <v>63</v>
      </c>
      <c r="K474" s="3" t="s">
        <v>64</v>
      </c>
      <c r="L474" s="2" t="s">
        <v>4860</v>
      </c>
      <c r="M474" s="2" t="s">
        <v>4861</v>
      </c>
      <c r="N474" s="3" t="s">
        <v>2393</v>
      </c>
      <c r="P474" s="3" t="s">
        <v>442</v>
      </c>
      <c r="Q474" s="2" t="s">
        <v>4862</v>
      </c>
      <c r="R474" s="3" t="s">
        <v>67</v>
      </c>
      <c r="S474" s="4">
        <v>1</v>
      </c>
      <c r="T474" s="4">
        <v>1</v>
      </c>
      <c r="U474" s="5" t="s">
        <v>4818</v>
      </c>
      <c r="V474" s="5" t="s">
        <v>4818</v>
      </c>
      <c r="W474" s="5" t="s">
        <v>69</v>
      </c>
      <c r="X474" s="5" t="s">
        <v>69</v>
      </c>
      <c r="Y474" s="4">
        <v>130</v>
      </c>
      <c r="Z474" s="4">
        <v>10</v>
      </c>
      <c r="AA474" s="4">
        <v>13</v>
      </c>
      <c r="AB474" s="4">
        <v>2</v>
      </c>
      <c r="AC474" s="4">
        <v>4</v>
      </c>
      <c r="AD474" s="4">
        <v>57</v>
      </c>
      <c r="AE474" s="4">
        <v>59</v>
      </c>
      <c r="AF474" s="4">
        <v>1</v>
      </c>
      <c r="AG474" s="4">
        <v>1</v>
      </c>
      <c r="AH474" s="4">
        <v>52</v>
      </c>
      <c r="AI474" s="4">
        <v>54</v>
      </c>
      <c r="AJ474" s="4">
        <v>7</v>
      </c>
      <c r="AK474" s="4">
        <v>8</v>
      </c>
      <c r="AL474" s="4">
        <v>37</v>
      </c>
      <c r="AM474" s="4">
        <v>37</v>
      </c>
      <c r="AN474" s="4">
        <v>0</v>
      </c>
      <c r="AO474" s="4">
        <v>0</v>
      </c>
      <c r="AP474" s="4">
        <v>8</v>
      </c>
      <c r="AQ474" s="4">
        <v>9</v>
      </c>
      <c r="AR474" s="3" t="s">
        <v>63</v>
      </c>
      <c r="AS474" s="3" t="s">
        <v>63</v>
      </c>
      <c r="AT474" s="3" t="s">
        <v>62</v>
      </c>
      <c r="AU474" s="6" t="str">
        <f>HYPERLINK("http://catalog.hathitrust.org/Record/000033475","HathiTrust Record")</f>
        <v>HathiTrust Record</v>
      </c>
      <c r="AV474" s="6" t="str">
        <f>HYPERLINK("http://mcgill.on.worldcat.org/oclc/1309469","Catalog Record")</f>
        <v>Catalog Record</v>
      </c>
      <c r="AW474" s="6" t="str">
        <f>HYPERLINK("http://www.worldcat.org/oclc/1309469","WorldCat Record")</f>
        <v>WorldCat Record</v>
      </c>
      <c r="AX474" s="3" t="s">
        <v>4863</v>
      </c>
      <c r="AY474" s="3" t="s">
        <v>4864</v>
      </c>
      <c r="AZ474" s="3" t="s">
        <v>4865</v>
      </c>
      <c r="BA474" s="3" t="s">
        <v>4865</v>
      </c>
      <c r="BB474" s="3" t="s">
        <v>4866</v>
      </c>
      <c r="BC474" s="3" t="s">
        <v>82</v>
      </c>
      <c r="BD474" s="3" t="s">
        <v>70</v>
      </c>
      <c r="BE474" s="3" t="s">
        <v>4867</v>
      </c>
      <c r="BF474" s="3" t="s">
        <v>4866</v>
      </c>
      <c r="BG474" s="3" t="s">
        <v>4868</v>
      </c>
    </row>
    <row r="475" spans="1:59" ht="60" x14ac:dyDescent="0.25">
      <c r="A475" s="2" t="s">
        <v>59</v>
      </c>
      <c r="B475" s="2" t="s">
        <v>60</v>
      </c>
      <c r="C475" s="2" t="s">
        <v>4869</v>
      </c>
      <c r="D475" s="2" t="s">
        <v>4870</v>
      </c>
      <c r="E475" s="2" t="s">
        <v>4871</v>
      </c>
      <c r="G475" s="3" t="s">
        <v>63</v>
      </c>
      <c r="I475" s="3" t="s">
        <v>63</v>
      </c>
      <c r="J475" s="3" t="s">
        <v>63</v>
      </c>
      <c r="K475" s="3" t="s">
        <v>64</v>
      </c>
      <c r="L475" s="2" t="s">
        <v>4872</v>
      </c>
      <c r="M475" s="2" t="s">
        <v>4873</v>
      </c>
      <c r="N475" s="3" t="s">
        <v>1023</v>
      </c>
      <c r="P475" s="3" t="s">
        <v>66</v>
      </c>
      <c r="Q475" s="2" t="s">
        <v>3902</v>
      </c>
      <c r="R475" s="3" t="s">
        <v>67</v>
      </c>
      <c r="S475" s="4">
        <v>32</v>
      </c>
      <c r="T475" s="4">
        <v>32</v>
      </c>
      <c r="U475" s="5" t="s">
        <v>4874</v>
      </c>
      <c r="V475" s="5" t="s">
        <v>4874</v>
      </c>
      <c r="W475" s="5" t="s">
        <v>69</v>
      </c>
      <c r="X475" s="5" t="s">
        <v>69</v>
      </c>
      <c r="Y475" s="4">
        <v>327</v>
      </c>
      <c r="Z475" s="4">
        <v>22</v>
      </c>
      <c r="AA475" s="4">
        <v>23</v>
      </c>
      <c r="AB475" s="4">
        <v>2</v>
      </c>
      <c r="AC475" s="4">
        <v>3</v>
      </c>
      <c r="AD475" s="4">
        <v>110</v>
      </c>
      <c r="AE475" s="4">
        <v>111</v>
      </c>
      <c r="AF475" s="4">
        <v>1</v>
      </c>
      <c r="AG475" s="4">
        <v>2</v>
      </c>
      <c r="AH475" s="4">
        <v>102</v>
      </c>
      <c r="AI475" s="4">
        <v>102</v>
      </c>
      <c r="AJ475" s="4">
        <v>16</v>
      </c>
      <c r="AK475" s="4">
        <v>17</v>
      </c>
      <c r="AL475" s="4">
        <v>54</v>
      </c>
      <c r="AM475" s="4">
        <v>54</v>
      </c>
      <c r="AN475" s="4">
        <v>0</v>
      </c>
      <c r="AO475" s="4">
        <v>0</v>
      </c>
      <c r="AP475" s="4">
        <v>18</v>
      </c>
      <c r="AQ475" s="4">
        <v>18</v>
      </c>
      <c r="AR475" s="3" t="s">
        <v>63</v>
      </c>
      <c r="AS475" s="3" t="s">
        <v>63</v>
      </c>
      <c r="AT475" s="3" t="s">
        <v>62</v>
      </c>
      <c r="AU475" s="6" t="str">
        <f>HYPERLINK("http://catalog.hathitrust.org/Record/002932785","HathiTrust Record")</f>
        <v>HathiTrust Record</v>
      </c>
      <c r="AV475" s="6" t="str">
        <f>HYPERLINK("http://mcgill.on.worldcat.org/oclc/30893000","Catalog Record")</f>
        <v>Catalog Record</v>
      </c>
      <c r="AW475" s="6" t="str">
        <f>HYPERLINK("http://www.worldcat.org/oclc/30893000","WorldCat Record")</f>
        <v>WorldCat Record</v>
      </c>
      <c r="AX475" s="3" t="s">
        <v>4875</v>
      </c>
      <c r="AY475" s="3" t="s">
        <v>4876</v>
      </c>
      <c r="AZ475" s="3" t="s">
        <v>4877</v>
      </c>
      <c r="BA475" s="3" t="s">
        <v>4877</v>
      </c>
      <c r="BB475" s="3" t="s">
        <v>4878</v>
      </c>
      <c r="BC475" s="3" t="s">
        <v>82</v>
      </c>
      <c r="BD475" s="3" t="s">
        <v>538</v>
      </c>
      <c r="BE475" s="3" t="s">
        <v>4879</v>
      </c>
      <c r="BF475" s="3" t="s">
        <v>4878</v>
      </c>
      <c r="BG475" s="3" t="s">
        <v>4880</v>
      </c>
    </row>
    <row r="476" spans="1:59" ht="60" x14ac:dyDescent="0.25">
      <c r="A476" s="2" t="s">
        <v>59</v>
      </c>
      <c r="B476" s="2" t="s">
        <v>60</v>
      </c>
      <c r="C476" s="2" t="s">
        <v>4881</v>
      </c>
      <c r="D476" s="2" t="s">
        <v>4882</v>
      </c>
      <c r="E476" s="2" t="s">
        <v>4883</v>
      </c>
      <c r="G476" s="3" t="s">
        <v>63</v>
      </c>
      <c r="I476" s="3" t="s">
        <v>63</v>
      </c>
      <c r="J476" s="3" t="s">
        <v>63</v>
      </c>
      <c r="K476" s="3" t="s">
        <v>64</v>
      </c>
      <c r="L476" s="2" t="s">
        <v>4884</v>
      </c>
      <c r="M476" s="2" t="s">
        <v>4885</v>
      </c>
      <c r="N476" s="3" t="s">
        <v>274</v>
      </c>
      <c r="P476" s="3" t="s">
        <v>66</v>
      </c>
      <c r="Q476" s="2" t="s">
        <v>4886</v>
      </c>
      <c r="R476" s="3" t="s">
        <v>67</v>
      </c>
      <c r="S476" s="4">
        <v>25</v>
      </c>
      <c r="T476" s="4">
        <v>25</v>
      </c>
      <c r="U476" s="5" t="s">
        <v>4887</v>
      </c>
      <c r="V476" s="5" t="s">
        <v>4887</v>
      </c>
      <c r="W476" s="5" t="s">
        <v>69</v>
      </c>
      <c r="X476" s="5" t="s">
        <v>69</v>
      </c>
      <c r="Y476" s="4">
        <v>120</v>
      </c>
      <c r="Z476" s="4">
        <v>8</v>
      </c>
      <c r="AA476" s="4">
        <v>9</v>
      </c>
      <c r="AB476" s="4">
        <v>1</v>
      </c>
      <c r="AC476" s="4">
        <v>2</v>
      </c>
      <c r="AD476" s="4">
        <v>73</v>
      </c>
      <c r="AE476" s="4">
        <v>74</v>
      </c>
      <c r="AF476" s="4">
        <v>0</v>
      </c>
      <c r="AG476" s="4">
        <v>1</v>
      </c>
      <c r="AH476" s="4">
        <v>69</v>
      </c>
      <c r="AI476" s="4">
        <v>69</v>
      </c>
      <c r="AJ476" s="4">
        <v>6</v>
      </c>
      <c r="AK476" s="4">
        <v>7</v>
      </c>
      <c r="AL476" s="4">
        <v>39</v>
      </c>
      <c r="AM476" s="4">
        <v>39</v>
      </c>
      <c r="AN476" s="4">
        <v>0</v>
      </c>
      <c r="AO476" s="4">
        <v>0</v>
      </c>
      <c r="AP476" s="4">
        <v>6</v>
      </c>
      <c r="AQ476" s="4">
        <v>6</v>
      </c>
      <c r="AR476" s="3" t="s">
        <v>63</v>
      </c>
      <c r="AS476" s="3" t="s">
        <v>63</v>
      </c>
      <c r="AT476" s="3" t="s">
        <v>63</v>
      </c>
      <c r="AV476" s="6" t="str">
        <f>HYPERLINK("http://mcgill.on.worldcat.org/oclc/38311783","Catalog Record")</f>
        <v>Catalog Record</v>
      </c>
      <c r="AW476" s="6" t="str">
        <f>HYPERLINK("http://www.worldcat.org/oclc/38311783","WorldCat Record")</f>
        <v>WorldCat Record</v>
      </c>
      <c r="AX476" s="3" t="s">
        <v>4888</v>
      </c>
      <c r="AY476" s="3" t="s">
        <v>4889</v>
      </c>
      <c r="AZ476" s="3" t="s">
        <v>4890</v>
      </c>
      <c r="BA476" s="3" t="s">
        <v>4890</v>
      </c>
      <c r="BB476" s="3" t="s">
        <v>4891</v>
      </c>
      <c r="BC476" s="3" t="s">
        <v>82</v>
      </c>
      <c r="BD476" s="3" t="s">
        <v>70</v>
      </c>
      <c r="BE476" s="3" t="s">
        <v>4892</v>
      </c>
      <c r="BF476" s="3" t="s">
        <v>4891</v>
      </c>
      <c r="BG476" s="3" t="s">
        <v>4893</v>
      </c>
    </row>
    <row r="477" spans="1:59" ht="60" x14ac:dyDescent="0.25">
      <c r="A477" s="2" t="s">
        <v>59</v>
      </c>
      <c r="B477" s="2" t="s">
        <v>60</v>
      </c>
      <c r="C477" s="2" t="s">
        <v>4894</v>
      </c>
      <c r="D477" s="2" t="s">
        <v>4895</v>
      </c>
      <c r="E477" s="2" t="s">
        <v>4896</v>
      </c>
      <c r="G477" s="3" t="s">
        <v>63</v>
      </c>
      <c r="I477" s="3" t="s">
        <v>63</v>
      </c>
      <c r="J477" s="3" t="s">
        <v>63</v>
      </c>
      <c r="K477" s="3" t="s">
        <v>64</v>
      </c>
      <c r="L477" s="2" t="s">
        <v>4897</v>
      </c>
      <c r="M477" s="2" t="s">
        <v>4898</v>
      </c>
      <c r="N477" s="3" t="s">
        <v>313</v>
      </c>
      <c r="O477" s="2" t="s">
        <v>590</v>
      </c>
      <c r="P477" s="3" t="s">
        <v>66</v>
      </c>
      <c r="R477" s="3" t="s">
        <v>67</v>
      </c>
      <c r="S477" s="4">
        <v>13</v>
      </c>
      <c r="T477" s="4">
        <v>13</v>
      </c>
      <c r="U477" s="5" t="s">
        <v>4899</v>
      </c>
      <c r="V477" s="5" t="s">
        <v>4899</v>
      </c>
      <c r="W477" s="5" t="s">
        <v>69</v>
      </c>
      <c r="X477" s="5" t="s">
        <v>69</v>
      </c>
      <c r="Y477" s="4">
        <v>958</v>
      </c>
      <c r="Z477" s="4">
        <v>34</v>
      </c>
      <c r="AA477" s="4">
        <v>36</v>
      </c>
      <c r="AB477" s="4">
        <v>5</v>
      </c>
      <c r="AC477" s="4">
        <v>6</v>
      </c>
      <c r="AD477" s="4">
        <v>91</v>
      </c>
      <c r="AE477" s="4">
        <v>94</v>
      </c>
      <c r="AF477" s="4">
        <v>1</v>
      </c>
      <c r="AG477" s="4">
        <v>1</v>
      </c>
      <c r="AH477" s="4">
        <v>82</v>
      </c>
      <c r="AI477" s="4">
        <v>85</v>
      </c>
      <c r="AJ477" s="4">
        <v>11</v>
      </c>
      <c r="AK477" s="4">
        <v>12</v>
      </c>
      <c r="AL477" s="4">
        <v>49</v>
      </c>
      <c r="AM477" s="4">
        <v>51</v>
      </c>
      <c r="AN477" s="4">
        <v>0</v>
      </c>
      <c r="AO477" s="4">
        <v>0</v>
      </c>
      <c r="AP477" s="4">
        <v>12</v>
      </c>
      <c r="AQ477" s="4">
        <v>13</v>
      </c>
      <c r="AR477" s="3" t="s">
        <v>63</v>
      </c>
      <c r="AS477" s="3" t="s">
        <v>63</v>
      </c>
      <c r="AT477" s="3" t="s">
        <v>63</v>
      </c>
      <c r="AV477" s="6" t="str">
        <f>HYPERLINK("http://mcgill.on.worldcat.org/oclc/417444181","Catalog Record")</f>
        <v>Catalog Record</v>
      </c>
      <c r="AW477" s="6" t="str">
        <f>HYPERLINK("http://www.worldcat.org/oclc/417444181","WorldCat Record")</f>
        <v>WorldCat Record</v>
      </c>
      <c r="AX477" s="3" t="s">
        <v>4900</v>
      </c>
      <c r="AY477" s="3" t="s">
        <v>4901</v>
      </c>
      <c r="AZ477" s="3" t="s">
        <v>4902</v>
      </c>
      <c r="BA477" s="3" t="s">
        <v>4902</v>
      </c>
      <c r="BB477" s="3" t="s">
        <v>4903</v>
      </c>
      <c r="BC477" s="3" t="s">
        <v>82</v>
      </c>
      <c r="BD477" s="3" t="s">
        <v>538</v>
      </c>
      <c r="BE477" s="3" t="s">
        <v>4904</v>
      </c>
      <c r="BF477" s="3" t="s">
        <v>4903</v>
      </c>
      <c r="BG477" s="3" t="s">
        <v>4905</v>
      </c>
    </row>
    <row r="478" spans="1:59" ht="75" x14ac:dyDescent="0.25">
      <c r="A478" s="2" t="s">
        <v>59</v>
      </c>
      <c r="B478" s="2" t="s">
        <v>60</v>
      </c>
      <c r="C478" s="2" t="s">
        <v>4906</v>
      </c>
      <c r="D478" s="2" t="s">
        <v>4907</v>
      </c>
      <c r="E478" s="2" t="s">
        <v>4908</v>
      </c>
      <c r="G478" s="3" t="s">
        <v>63</v>
      </c>
      <c r="I478" s="3" t="s">
        <v>63</v>
      </c>
      <c r="J478" s="3" t="s">
        <v>63</v>
      </c>
      <c r="K478" s="3" t="s">
        <v>64</v>
      </c>
      <c r="L478" s="2" t="s">
        <v>4909</v>
      </c>
      <c r="M478" s="2" t="s">
        <v>4910</v>
      </c>
      <c r="N478" s="3" t="s">
        <v>1113</v>
      </c>
      <c r="P478" s="3" t="s">
        <v>66</v>
      </c>
      <c r="R478" s="3" t="s">
        <v>67</v>
      </c>
      <c r="S478" s="4">
        <v>20</v>
      </c>
      <c r="T478" s="4">
        <v>20</v>
      </c>
      <c r="U478" s="5" t="s">
        <v>4911</v>
      </c>
      <c r="V478" s="5" t="s">
        <v>4911</v>
      </c>
      <c r="W478" s="5" t="s">
        <v>69</v>
      </c>
      <c r="X478" s="5" t="s">
        <v>69</v>
      </c>
      <c r="Y478" s="4">
        <v>224</v>
      </c>
      <c r="Z478" s="4">
        <v>15</v>
      </c>
      <c r="AA478" s="4">
        <v>32</v>
      </c>
      <c r="AB478" s="4">
        <v>1</v>
      </c>
      <c r="AC478" s="4">
        <v>2</v>
      </c>
      <c r="AD478" s="4">
        <v>96</v>
      </c>
      <c r="AE478" s="4">
        <v>111</v>
      </c>
      <c r="AF478" s="4">
        <v>0</v>
      </c>
      <c r="AG478" s="4">
        <v>0</v>
      </c>
      <c r="AH478" s="4">
        <v>91</v>
      </c>
      <c r="AI478" s="4">
        <v>97</v>
      </c>
      <c r="AJ478" s="4">
        <v>12</v>
      </c>
      <c r="AK478" s="4">
        <v>14</v>
      </c>
      <c r="AL478" s="4">
        <v>53</v>
      </c>
      <c r="AM478" s="4">
        <v>57</v>
      </c>
      <c r="AN478" s="4">
        <v>0</v>
      </c>
      <c r="AO478" s="4">
        <v>0</v>
      </c>
      <c r="AP478" s="4">
        <v>12</v>
      </c>
      <c r="AQ478" s="4">
        <v>21</v>
      </c>
      <c r="AR478" s="3" t="s">
        <v>63</v>
      </c>
      <c r="AS478" s="3" t="s">
        <v>63</v>
      </c>
      <c r="AT478" s="3" t="s">
        <v>63</v>
      </c>
      <c r="AV478" s="6" t="str">
        <f>HYPERLINK("http://mcgill.on.worldcat.org/oclc/36573830","Catalog Record")</f>
        <v>Catalog Record</v>
      </c>
      <c r="AW478" s="6" t="str">
        <f>HYPERLINK("http://www.worldcat.org/oclc/36573830","WorldCat Record")</f>
        <v>WorldCat Record</v>
      </c>
      <c r="AX478" s="3" t="s">
        <v>4912</v>
      </c>
      <c r="AY478" s="3" t="s">
        <v>4913</v>
      </c>
      <c r="AZ478" s="3" t="s">
        <v>4914</v>
      </c>
      <c r="BA478" s="3" t="s">
        <v>4914</v>
      </c>
      <c r="BB478" s="3" t="s">
        <v>4915</v>
      </c>
      <c r="BC478" s="3" t="s">
        <v>82</v>
      </c>
      <c r="BD478" s="3" t="s">
        <v>70</v>
      </c>
      <c r="BE478" s="3" t="s">
        <v>4916</v>
      </c>
      <c r="BF478" s="3" t="s">
        <v>4915</v>
      </c>
      <c r="BG478" s="3" t="s">
        <v>4917</v>
      </c>
    </row>
    <row r="479" spans="1:59" ht="60" x14ac:dyDescent="0.25">
      <c r="A479" s="2" t="s">
        <v>59</v>
      </c>
      <c r="B479" s="2" t="s">
        <v>60</v>
      </c>
      <c r="C479" s="2" t="s">
        <v>4918</v>
      </c>
      <c r="D479" s="2" t="s">
        <v>4919</v>
      </c>
      <c r="E479" s="2" t="s">
        <v>4920</v>
      </c>
      <c r="G479" s="3" t="s">
        <v>63</v>
      </c>
      <c r="I479" s="3" t="s">
        <v>63</v>
      </c>
      <c r="J479" s="3" t="s">
        <v>63</v>
      </c>
      <c r="K479" s="3" t="s">
        <v>64</v>
      </c>
      <c r="L479" s="2" t="s">
        <v>4921</v>
      </c>
      <c r="M479" s="2" t="s">
        <v>3941</v>
      </c>
      <c r="N479" s="3" t="s">
        <v>287</v>
      </c>
      <c r="P479" s="3" t="s">
        <v>66</v>
      </c>
      <c r="Q479" s="2" t="s">
        <v>4922</v>
      </c>
      <c r="R479" s="3" t="s">
        <v>67</v>
      </c>
      <c r="S479" s="4">
        <v>0</v>
      </c>
      <c r="T479" s="4">
        <v>0</v>
      </c>
      <c r="W479" s="5" t="s">
        <v>69</v>
      </c>
      <c r="X479" s="5" t="s">
        <v>69</v>
      </c>
      <c r="Y479" s="4">
        <v>69</v>
      </c>
      <c r="Z479" s="4">
        <v>7</v>
      </c>
      <c r="AA479" s="4">
        <v>71</v>
      </c>
      <c r="AB479" s="4">
        <v>1</v>
      </c>
      <c r="AC479" s="4">
        <v>14</v>
      </c>
      <c r="AD479" s="4">
        <v>46</v>
      </c>
      <c r="AE479" s="4">
        <v>100</v>
      </c>
      <c r="AF479" s="4">
        <v>0</v>
      </c>
      <c r="AG479" s="4">
        <v>8</v>
      </c>
      <c r="AH479" s="4">
        <v>40</v>
      </c>
      <c r="AI479" s="4">
        <v>67</v>
      </c>
      <c r="AJ479" s="4">
        <v>5</v>
      </c>
      <c r="AK479" s="4">
        <v>18</v>
      </c>
      <c r="AL479" s="4">
        <v>30</v>
      </c>
      <c r="AM479" s="4">
        <v>40</v>
      </c>
      <c r="AN479" s="4">
        <v>0</v>
      </c>
      <c r="AO479" s="4">
        <v>0</v>
      </c>
      <c r="AP479" s="4">
        <v>5</v>
      </c>
      <c r="AQ479" s="4">
        <v>37</v>
      </c>
      <c r="AR479" s="3" t="s">
        <v>63</v>
      </c>
      <c r="AS479" s="3" t="s">
        <v>63</v>
      </c>
      <c r="AT479" s="3" t="s">
        <v>63</v>
      </c>
      <c r="AV479" s="6" t="str">
        <f>HYPERLINK("http://mcgill.on.worldcat.org/oclc/980495287","Catalog Record")</f>
        <v>Catalog Record</v>
      </c>
      <c r="AW479" s="6" t="str">
        <f>HYPERLINK("http://www.worldcat.org/oclc/980495287","WorldCat Record")</f>
        <v>WorldCat Record</v>
      </c>
      <c r="AX479" s="3" t="s">
        <v>4923</v>
      </c>
      <c r="AY479" s="3" t="s">
        <v>4924</v>
      </c>
      <c r="AZ479" s="3" t="s">
        <v>4925</v>
      </c>
      <c r="BA479" s="3" t="s">
        <v>4925</v>
      </c>
      <c r="BB479" s="3" t="s">
        <v>4926</v>
      </c>
      <c r="BC479" s="3" t="s">
        <v>82</v>
      </c>
      <c r="BD479" s="3" t="s">
        <v>70</v>
      </c>
      <c r="BE479" s="3" t="s">
        <v>4927</v>
      </c>
      <c r="BF479" s="3" t="s">
        <v>4926</v>
      </c>
      <c r="BG479" s="3" t="s">
        <v>4928</v>
      </c>
    </row>
    <row r="480" spans="1:59" ht="105" x14ac:dyDescent="0.25">
      <c r="A480" s="2" t="s">
        <v>59</v>
      </c>
      <c r="B480" s="2" t="s">
        <v>60</v>
      </c>
      <c r="C480" s="2" t="s">
        <v>4929</v>
      </c>
      <c r="D480" s="2" t="s">
        <v>4930</v>
      </c>
      <c r="E480" s="2" t="s">
        <v>4931</v>
      </c>
      <c r="G480" s="3" t="s">
        <v>63</v>
      </c>
      <c r="I480" s="3" t="s">
        <v>63</v>
      </c>
      <c r="J480" s="3" t="s">
        <v>63</v>
      </c>
      <c r="K480" s="3" t="s">
        <v>64</v>
      </c>
      <c r="M480" s="2" t="s">
        <v>4932</v>
      </c>
      <c r="N480" s="3" t="s">
        <v>1916</v>
      </c>
      <c r="P480" s="3" t="s">
        <v>66</v>
      </c>
      <c r="R480" s="3" t="s">
        <v>67</v>
      </c>
      <c r="S480" s="4">
        <v>41</v>
      </c>
      <c r="T480" s="4">
        <v>41</v>
      </c>
      <c r="U480" s="5" t="s">
        <v>4911</v>
      </c>
      <c r="V480" s="5" t="s">
        <v>4911</v>
      </c>
      <c r="W480" s="5" t="s">
        <v>69</v>
      </c>
      <c r="X480" s="5" t="s">
        <v>69</v>
      </c>
      <c r="Y480" s="4">
        <v>366</v>
      </c>
      <c r="Z480" s="4">
        <v>18</v>
      </c>
      <c r="AA480" s="4">
        <v>24</v>
      </c>
      <c r="AB480" s="4">
        <v>2</v>
      </c>
      <c r="AC480" s="4">
        <v>4</v>
      </c>
      <c r="AD480" s="4">
        <v>106</v>
      </c>
      <c r="AE480" s="4">
        <v>115</v>
      </c>
      <c r="AF480" s="4">
        <v>0</v>
      </c>
      <c r="AG480" s="4">
        <v>2</v>
      </c>
      <c r="AH480" s="4">
        <v>100</v>
      </c>
      <c r="AI480" s="4">
        <v>107</v>
      </c>
      <c r="AJ480" s="4">
        <v>12</v>
      </c>
      <c r="AK480" s="4">
        <v>18</v>
      </c>
      <c r="AL480" s="4">
        <v>55</v>
      </c>
      <c r="AM480" s="4">
        <v>56</v>
      </c>
      <c r="AN480" s="4">
        <v>0</v>
      </c>
      <c r="AO480" s="4">
        <v>0</v>
      </c>
      <c r="AP480" s="4">
        <v>13</v>
      </c>
      <c r="AQ480" s="4">
        <v>19</v>
      </c>
      <c r="AR480" s="3" t="s">
        <v>63</v>
      </c>
      <c r="AS480" s="3" t="s">
        <v>63</v>
      </c>
      <c r="AT480" s="3" t="s">
        <v>62</v>
      </c>
      <c r="AU480" s="6" t="str">
        <f>HYPERLINK("http://catalog.hathitrust.org/Record/000415271","HathiTrust Record")</f>
        <v>HathiTrust Record</v>
      </c>
      <c r="AV480" s="6" t="str">
        <f>HYPERLINK("http://mcgill.on.worldcat.org/oclc/11291450","Catalog Record")</f>
        <v>Catalog Record</v>
      </c>
      <c r="AW480" s="6" t="str">
        <f>HYPERLINK("http://www.worldcat.org/oclc/11291450","WorldCat Record")</f>
        <v>WorldCat Record</v>
      </c>
      <c r="AX480" s="3" t="s">
        <v>4933</v>
      </c>
      <c r="AY480" s="3" t="s">
        <v>4934</v>
      </c>
      <c r="AZ480" s="3" t="s">
        <v>4935</v>
      </c>
      <c r="BA480" s="3" t="s">
        <v>4935</v>
      </c>
      <c r="BB480" s="3" t="s">
        <v>4936</v>
      </c>
      <c r="BC480" s="3" t="s">
        <v>82</v>
      </c>
      <c r="BD480" s="3" t="s">
        <v>70</v>
      </c>
      <c r="BE480" s="3" t="s">
        <v>4937</v>
      </c>
      <c r="BF480" s="3" t="s">
        <v>4936</v>
      </c>
      <c r="BG480" s="3" t="s">
        <v>4938</v>
      </c>
    </row>
    <row r="481" spans="1:59" ht="60" x14ac:dyDescent="0.25">
      <c r="A481" s="2" t="s">
        <v>59</v>
      </c>
      <c r="B481" s="2" t="s">
        <v>60</v>
      </c>
      <c r="C481" s="2" t="s">
        <v>4939</v>
      </c>
      <c r="D481" s="2" t="s">
        <v>4940</v>
      </c>
      <c r="E481" s="2" t="s">
        <v>4941</v>
      </c>
      <c r="G481" s="3" t="s">
        <v>63</v>
      </c>
      <c r="I481" s="3" t="s">
        <v>63</v>
      </c>
      <c r="J481" s="3" t="s">
        <v>63</v>
      </c>
      <c r="K481" s="3" t="s">
        <v>64</v>
      </c>
      <c r="M481" s="2" t="s">
        <v>4942</v>
      </c>
      <c r="N481" s="3" t="s">
        <v>261</v>
      </c>
      <c r="P481" s="3" t="s">
        <v>66</v>
      </c>
      <c r="R481" s="3" t="s">
        <v>67</v>
      </c>
      <c r="S481" s="4">
        <v>7</v>
      </c>
      <c r="T481" s="4">
        <v>7</v>
      </c>
      <c r="U481" s="5" t="s">
        <v>4943</v>
      </c>
      <c r="V481" s="5" t="s">
        <v>4943</v>
      </c>
      <c r="W481" s="5" t="s">
        <v>69</v>
      </c>
      <c r="X481" s="5" t="s">
        <v>69</v>
      </c>
      <c r="Y481" s="4">
        <v>272</v>
      </c>
      <c r="Z481" s="4">
        <v>17</v>
      </c>
      <c r="AA481" s="4">
        <v>18</v>
      </c>
      <c r="AB481" s="4">
        <v>1</v>
      </c>
      <c r="AC481" s="4">
        <v>2</v>
      </c>
      <c r="AD481" s="4">
        <v>104</v>
      </c>
      <c r="AE481" s="4">
        <v>105</v>
      </c>
      <c r="AF481" s="4">
        <v>0</v>
      </c>
      <c r="AG481" s="4">
        <v>1</v>
      </c>
      <c r="AH481" s="4">
        <v>97</v>
      </c>
      <c r="AI481" s="4">
        <v>98</v>
      </c>
      <c r="AJ481" s="4">
        <v>13</v>
      </c>
      <c r="AK481" s="4">
        <v>14</v>
      </c>
      <c r="AL481" s="4">
        <v>55</v>
      </c>
      <c r="AM481" s="4">
        <v>55</v>
      </c>
      <c r="AN481" s="4">
        <v>0</v>
      </c>
      <c r="AO481" s="4">
        <v>0</v>
      </c>
      <c r="AP481" s="4">
        <v>13</v>
      </c>
      <c r="AQ481" s="4">
        <v>14</v>
      </c>
      <c r="AR481" s="3" t="s">
        <v>63</v>
      </c>
      <c r="AS481" s="3" t="s">
        <v>63</v>
      </c>
      <c r="AT481" s="3" t="s">
        <v>62</v>
      </c>
      <c r="AU481" s="6" t="str">
        <f>HYPERLINK("http://catalog.hathitrust.org/Record/005636079","HathiTrust Record")</f>
        <v>HathiTrust Record</v>
      </c>
      <c r="AV481" s="6" t="str">
        <f>HYPERLINK("http://mcgill.on.worldcat.org/oclc/126802656","Catalog Record")</f>
        <v>Catalog Record</v>
      </c>
      <c r="AW481" s="6" t="str">
        <f>HYPERLINK("http://www.worldcat.org/oclc/126802656","WorldCat Record")</f>
        <v>WorldCat Record</v>
      </c>
      <c r="AX481" s="3" t="s">
        <v>4944</v>
      </c>
      <c r="AY481" s="3" t="s">
        <v>4945</v>
      </c>
      <c r="AZ481" s="3" t="s">
        <v>4946</v>
      </c>
      <c r="BA481" s="3" t="s">
        <v>4946</v>
      </c>
      <c r="BB481" s="3" t="s">
        <v>4947</v>
      </c>
      <c r="BC481" s="3" t="s">
        <v>82</v>
      </c>
      <c r="BD481" s="3" t="s">
        <v>70</v>
      </c>
      <c r="BE481" s="3" t="s">
        <v>4948</v>
      </c>
      <c r="BF481" s="3" t="s">
        <v>4947</v>
      </c>
      <c r="BG481" s="3" t="s">
        <v>4949</v>
      </c>
    </row>
    <row r="482" spans="1:59" ht="75" x14ac:dyDescent="0.25">
      <c r="A482" s="2" t="s">
        <v>59</v>
      </c>
      <c r="B482" s="2" t="s">
        <v>60</v>
      </c>
      <c r="C482" s="2" t="s">
        <v>4950</v>
      </c>
      <c r="D482" s="2" t="s">
        <v>4951</v>
      </c>
      <c r="E482" s="2" t="s">
        <v>4952</v>
      </c>
      <c r="G482" s="3" t="s">
        <v>63</v>
      </c>
      <c r="I482" s="3" t="s">
        <v>63</v>
      </c>
      <c r="J482" s="3" t="s">
        <v>63</v>
      </c>
      <c r="K482" s="3" t="s">
        <v>64</v>
      </c>
      <c r="L482" s="2" t="s">
        <v>4953</v>
      </c>
      <c r="M482" s="2" t="s">
        <v>4954</v>
      </c>
      <c r="N482" s="3" t="s">
        <v>204</v>
      </c>
      <c r="P482" s="3" t="s">
        <v>90</v>
      </c>
      <c r="R482" s="3" t="s">
        <v>67</v>
      </c>
      <c r="S482" s="4">
        <v>2</v>
      </c>
      <c r="T482" s="4">
        <v>2</v>
      </c>
      <c r="U482" s="5" t="s">
        <v>4955</v>
      </c>
      <c r="V482" s="5" t="s">
        <v>4955</v>
      </c>
      <c r="W482" s="5" t="s">
        <v>69</v>
      </c>
      <c r="X482" s="5" t="s">
        <v>69</v>
      </c>
      <c r="Y482" s="4">
        <v>54</v>
      </c>
      <c r="Z482" s="4">
        <v>5</v>
      </c>
      <c r="AA482" s="4">
        <v>5</v>
      </c>
      <c r="AB482" s="4">
        <v>1</v>
      </c>
      <c r="AC482" s="4">
        <v>1</v>
      </c>
      <c r="AD482" s="4">
        <v>38</v>
      </c>
      <c r="AE482" s="4">
        <v>38</v>
      </c>
      <c r="AF482" s="4">
        <v>0</v>
      </c>
      <c r="AG482" s="4">
        <v>0</v>
      </c>
      <c r="AH482" s="4">
        <v>36</v>
      </c>
      <c r="AI482" s="4">
        <v>36</v>
      </c>
      <c r="AJ482" s="4">
        <v>4</v>
      </c>
      <c r="AK482" s="4">
        <v>4</v>
      </c>
      <c r="AL482" s="4">
        <v>28</v>
      </c>
      <c r="AM482" s="4">
        <v>28</v>
      </c>
      <c r="AN482" s="4">
        <v>0</v>
      </c>
      <c r="AO482" s="4">
        <v>0</v>
      </c>
      <c r="AP482" s="4">
        <v>4</v>
      </c>
      <c r="AQ482" s="4">
        <v>4</v>
      </c>
      <c r="AR482" s="3" t="s">
        <v>63</v>
      </c>
      <c r="AS482" s="3" t="s">
        <v>63</v>
      </c>
      <c r="AT482" s="3" t="s">
        <v>63</v>
      </c>
      <c r="AV482" s="6" t="str">
        <f>HYPERLINK("http://mcgill.on.worldcat.org/oclc/34914758","Catalog Record")</f>
        <v>Catalog Record</v>
      </c>
      <c r="AW482" s="6" t="str">
        <f>HYPERLINK("http://www.worldcat.org/oclc/34914758","WorldCat Record")</f>
        <v>WorldCat Record</v>
      </c>
      <c r="AX482" s="3" t="s">
        <v>4956</v>
      </c>
      <c r="AY482" s="3" t="s">
        <v>4957</v>
      </c>
      <c r="AZ482" s="3" t="s">
        <v>4958</v>
      </c>
      <c r="BA482" s="3" t="s">
        <v>4958</v>
      </c>
      <c r="BB482" s="3" t="s">
        <v>4959</v>
      </c>
      <c r="BC482" s="3" t="s">
        <v>82</v>
      </c>
      <c r="BD482" s="3" t="s">
        <v>70</v>
      </c>
      <c r="BF482" s="3" t="s">
        <v>4959</v>
      </c>
      <c r="BG482" s="3" t="s">
        <v>4960</v>
      </c>
    </row>
    <row r="483" spans="1:59" ht="60" x14ac:dyDescent="0.25">
      <c r="A483" s="2" t="s">
        <v>59</v>
      </c>
      <c r="B483" s="2" t="s">
        <v>60</v>
      </c>
      <c r="C483" s="2" t="s">
        <v>4961</v>
      </c>
      <c r="D483" s="2" t="s">
        <v>4962</v>
      </c>
      <c r="E483" s="2" t="s">
        <v>4963</v>
      </c>
      <c r="G483" s="3" t="s">
        <v>63</v>
      </c>
      <c r="I483" s="3" t="s">
        <v>63</v>
      </c>
      <c r="J483" s="3" t="s">
        <v>63</v>
      </c>
      <c r="K483" s="3" t="s">
        <v>64</v>
      </c>
      <c r="L483" s="2" t="s">
        <v>4964</v>
      </c>
      <c r="M483" s="2" t="s">
        <v>4965</v>
      </c>
      <c r="N483" s="3" t="s">
        <v>693</v>
      </c>
      <c r="P483" s="3" t="s">
        <v>66</v>
      </c>
      <c r="Q483" s="2" t="s">
        <v>4966</v>
      </c>
      <c r="R483" s="3" t="s">
        <v>67</v>
      </c>
      <c r="S483" s="4">
        <v>21</v>
      </c>
      <c r="T483" s="4">
        <v>21</v>
      </c>
      <c r="U483" s="5" t="s">
        <v>1173</v>
      </c>
      <c r="V483" s="5" t="s">
        <v>1173</v>
      </c>
      <c r="W483" s="5" t="s">
        <v>69</v>
      </c>
      <c r="X483" s="5" t="s">
        <v>69</v>
      </c>
      <c r="Y483" s="4">
        <v>144</v>
      </c>
      <c r="Z483" s="4">
        <v>9</v>
      </c>
      <c r="AA483" s="4">
        <v>94</v>
      </c>
      <c r="AB483" s="4">
        <v>1</v>
      </c>
      <c r="AC483" s="4">
        <v>19</v>
      </c>
      <c r="AD483" s="4">
        <v>79</v>
      </c>
      <c r="AE483" s="4">
        <v>145</v>
      </c>
      <c r="AF483" s="4">
        <v>0</v>
      </c>
      <c r="AG483" s="4">
        <v>9</v>
      </c>
      <c r="AH483" s="4">
        <v>73</v>
      </c>
      <c r="AI483" s="4">
        <v>98</v>
      </c>
      <c r="AJ483" s="4">
        <v>8</v>
      </c>
      <c r="AK483" s="4">
        <v>25</v>
      </c>
      <c r="AL483" s="4">
        <v>47</v>
      </c>
      <c r="AM483" s="4">
        <v>55</v>
      </c>
      <c r="AN483" s="4">
        <v>0</v>
      </c>
      <c r="AO483" s="4">
        <v>0</v>
      </c>
      <c r="AP483" s="4">
        <v>8</v>
      </c>
      <c r="AQ483" s="4">
        <v>53</v>
      </c>
      <c r="AR483" s="3" t="s">
        <v>63</v>
      </c>
      <c r="AS483" s="3" t="s">
        <v>63</v>
      </c>
      <c r="AT483" s="3" t="s">
        <v>63</v>
      </c>
      <c r="AV483" s="6" t="str">
        <f>HYPERLINK("http://mcgill.on.worldcat.org/oclc/54694602","Catalog Record")</f>
        <v>Catalog Record</v>
      </c>
      <c r="AW483" s="6" t="str">
        <f>HYPERLINK("http://www.worldcat.org/oclc/54694602","WorldCat Record")</f>
        <v>WorldCat Record</v>
      </c>
      <c r="AX483" s="3" t="s">
        <v>4967</v>
      </c>
      <c r="AY483" s="3" t="s">
        <v>4968</v>
      </c>
      <c r="AZ483" s="3" t="s">
        <v>4969</v>
      </c>
      <c r="BA483" s="3" t="s">
        <v>4969</v>
      </c>
      <c r="BB483" s="3" t="s">
        <v>4970</v>
      </c>
      <c r="BC483" s="3" t="s">
        <v>82</v>
      </c>
      <c r="BD483" s="3" t="s">
        <v>70</v>
      </c>
      <c r="BE483" s="3" t="s">
        <v>4971</v>
      </c>
      <c r="BF483" s="3" t="s">
        <v>4970</v>
      </c>
      <c r="BG483" s="3" t="s">
        <v>4972</v>
      </c>
    </row>
    <row r="484" spans="1:59" ht="60" x14ac:dyDescent="0.25">
      <c r="A484" s="2" t="s">
        <v>59</v>
      </c>
      <c r="B484" s="2" t="s">
        <v>60</v>
      </c>
      <c r="C484" s="2" t="s">
        <v>4973</v>
      </c>
      <c r="D484" s="2" t="s">
        <v>4974</v>
      </c>
      <c r="E484" s="2" t="s">
        <v>4975</v>
      </c>
      <c r="G484" s="3" t="s">
        <v>63</v>
      </c>
      <c r="I484" s="3" t="s">
        <v>63</v>
      </c>
      <c r="J484" s="3" t="s">
        <v>63</v>
      </c>
      <c r="K484" s="3" t="s">
        <v>64</v>
      </c>
      <c r="L484" s="2" t="s">
        <v>4976</v>
      </c>
      <c r="M484" s="2" t="s">
        <v>4977</v>
      </c>
      <c r="N484" s="3" t="s">
        <v>106</v>
      </c>
      <c r="P484" s="3" t="s">
        <v>90</v>
      </c>
      <c r="Q484" s="2" t="s">
        <v>4978</v>
      </c>
      <c r="R484" s="3" t="s">
        <v>67</v>
      </c>
      <c r="S484" s="4">
        <v>0</v>
      </c>
      <c r="T484" s="4">
        <v>0</v>
      </c>
      <c r="W484" s="5" t="s">
        <v>69</v>
      </c>
      <c r="X484" s="5" t="s">
        <v>69</v>
      </c>
      <c r="Y484" s="4">
        <v>17</v>
      </c>
      <c r="Z484" s="4">
        <v>1</v>
      </c>
      <c r="AA484" s="4">
        <v>1</v>
      </c>
      <c r="AB484" s="4">
        <v>1</v>
      </c>
      <c r="AC484" s="4">
        <v>1</v>
      </c>
      <c r="AD484" s="4">
        <v>13</v>
      </c>
      <c r="AE484" s="4">
        <v>13</v>
      </c>
      <c r="AF484" s="4">
        <v>0</v>
      </c>
      <c r="AG484" s="4">
        <v>0</v>
      </c>
      <c r="AH484" s="4">
        <v>13</v>
      </c>
      <c r="AI484" s="4">
        <v>13</v>
      </c>
      <c r="AJ484" s="4">
        <v>0</v>
      </c>
      <c r="AK484" s="4">
        <v>0</v>
      </c>
      <c r="AL484" s="4">
        <v>11</v>
      </c>
      <c r="AM484" s="4">
        <v>11</v>
      </c>
      <c r="AN484" s="4">
        <v>0</v>
      </c>
      <c r="AO484" s="4">
        <v>0</v>
      </c>
      <c r="AP484" s="4">
        <v>0</v>
      </c>
      <c r="AQ484" s="4">
        <v>0</v>
      </c>
      <c r="AR484" s="3" t="s">
        <v>63</v>
      </c>
      <c r="AS484" s="3" t="s">
        <v>63</v>
      </c>
      <c r="AT484" s="3" t="s">
        <v>63</v>
      </c>
      <c r="AV484" s="6" t="str">
        <f>HYPERLINK("http://mcgill.on.worldcat.org/oclc/958390964","Catalog Record")</f>
        <v>Catalog Record</v>
      </c>
      <c r="AW484" s="6" t="str">
        <f>HYPERLINK("http://www.worldcat.org/oclc/958390964","WorldCat Record")</f>
        <v>WorldCat Record</v>
      </c>
      <c r="AX484" s="3" t="s">
        <v>4979</v>
      </c>
      <c r="AY484" s="3" t="s">
        <v>4980</v>
      </c>
      <c r="AZ484" s="3" t="s">
        <v>4981</v>
      </c>
      <c r="BA484" s="3" t="s">
        <v>4981</v>
      </c>
      <c r="BB484" s="3" t="s">
        <v>4982</v>
      </c>
      <c r="BC484" s="3" t="s">
        <v>82</v>
      </c>
      <c r="BD484" s="3" t="s">
        <v>70</v>
      </c>
      <c r="BE484" s="3" t="s">
        <v>4983</v>
      </c>
      <c r="BF484" s="3" t="s">
        <v>4982</v>
      </c>
      <c r="BG484" s="3" t="s">
        <v>4984</v>
      </c>
    </row>
    <row r="485" spans="1:59" ht="60" x14ac:dyDescent="0.25">
      <c r="A485" s="2" t="s">
        <v>59</v>
      </c>
      <c r="B485" s="2" t="s">
        <v>60</v>
      </c>
      <c r="C485" s="2" t="s">
        <v>4985</v>
      </c>
      <c r="D485" s="2" t="s">
        <v>4986</v>
      </c>
      <c r="E485" s="2" t="s">
        <v>4987</v>
      </c>
      <c r="G485" s="3" t="s">
        <v>63</v>
      </c>
      <c r="I485" s="3" t="s">
        <v>63</v>
      </c>
      <c r="J485" s="3" t="s">
        <v>63</v>
      </c>
      <c r="K485" s="3" t="s">
        <v>64</v>
      </c>
      <c r="M485" s="2" t="s">
        <v>4988</v>
      </c>
      <c r="N485" s="3" t="s">
        <v>190</v>
      </c>
      <c r="P485" s="3" t="s">
        <v>90</v>
      </c>
      <c r="Q485" s="2" t="s">
        <v>4989</v>
      </c>
      <c r="R485" s="3" t="s">
        <v>67</v>
      </c>
      <c r="S485" s="4">
        <v>2</v>
      </c>
      <c r="T485" s="4">
        <v>2</v>
      </c>
      <c r="U485" s="5" t="s">
        <v>4990</v>
      </c>
      <c r="V485" s="5" t="s">
        <v>4990</v>
      </c>
      <c r="W485" s="5" t="s">
        <v>69</v>
      </c>
      <c r="X485" s="5" t="s">
        <v>69</v>
      </c>
      <c r="Y485" s="4">
        <v>54</v>
      </c>
      <c r="Z485" s="4">
        <v>5</v>
      </c>
      <c r="AA485" s="4">
        <v>5</v>
      </c>
      <c r="AB485" s="4">
        <v>1</v>
      </c>
      <c r="AC485" s="4">
        <v>1</v>
      </c>
      <c r="AD485" s="4">
        <v>41</v>
      </c>
      <c r="AE485" s="4">
        <v>41</v>
      </c>
      <c r="AF485" s="4">
        <v>0</v>
      </c>
      <c r="AG485" s="4">
        <v>0</v>
      </c>
      <c r="AH485" s="4">
        <v>39</v>
      </c>
      <c r="AI485" s="4">
        <v>39</v>
      </c>
      <c r="AJ485" s="4">
        <v>3</v>
      </c>
      <c r="AK485" s="4">
        <v>3</v>
      </c>
      <c r="AL485" s="4">
        <v>33</v>
      </c>
      <c r="AM485" s="4">
        <v>33</v>
      </c>
      <c r="AN485" s="4">
        <v>0</v>
      </c>
      <c r="AO485" s="4">
        <v>0</v>
      </c>
      <c r="AP485" s="4">
        <v>3</v>
      </c>
      <c r="AQ485" s="4">
        <v>3</v>
      </c>
      <c r="AR485" s="3" t="s">
        <v>63</v>
      </c>
      <c r="AS485" s="3" t="s">
        <v>63</v>
      </c>
      <c r="AT485" s="3" t="s">
        <v>62</v>
      </c>
      <c r="AU485" s="6" t="str">
        <f>HYPERLINK("http://catalog.hathitrust.org/Record/005102943","HathiTrust Record")</f>
        <v>HathiTrust Record</v>
      </c>
      <c r="AV485" s="6" t="str">
        <f>HYPERLINK("http://mcgill.on.worldcat.org/oclc/61895141","Catalog Record")</f>
        <v>Catalog Record</v>
      </c>
      <c r="AW485" s="6" t="str">
        <f>HYPERLINK("http://www.worldcat.org/oclc/61895141","WorldCat Record")</f>
        <v>WorldCat Record</v>
      </c>
      <c r="AX485" s="3" t="s">
        <v>4991</v>
      </c>
      <c r="AY485" s="3" t="s">
        <v>4992</v>
      </c>
      <c r="AZ485" s="3" t="s">
        <v>4993</v>
      </c>
      <c r="BA485" s="3" t="s">
        <v>4993</v>
      </c>
      <c r="BB485" s="3" t="s">
        <v>4994</v>
      </c>
      <c r="BC485" s="3" t="s">
        <v>82</v>
      </c>
      <c r="BD485" s="3" t="s">
        <v>70</v>
      </c>
      <c r="BE485" s="3" t="s">
        <v>4995</v>
      </c>
      <c r="BF485" s="3" t="s">
        <v>4994</v>
      </c>
      <c r="BG485" s="3" t="s">
        <v>4996</v>
      </c>
    </row>
    <row r="486" spans="1:59" ht="60" x14ac:dyDescent="0.25">
      <c r="A486" s="2" t="s">
        <v>59</v>
      </c>
      <c r="B486" s="2" t="s">
        <v>60</v>
      </c>
      <c r="C486" s="2" t="s">
        <v>4997</v>
      </c>
      <c r="D486" s="2" t="s">
        <v>4998</v>
      </c>
      <c r="E486" s="2" t="s">
        <v>4999</v>
      </c>
      <c r="G486" s="3" t="s">
        <v>63</v>
      </c>
      <c r="I486" s="3" t="s">
        <v>63</v>
      </c>
      <c r="J486" s="3" t="s">
        <v>63</v>
      </c>
      <c r="K486" s="3" t="s">
        <v>64</v>
      </c>
      <c r="M486" s="2" t="s">
        <v>5000</v>
      </c>
      <c r="N486" s="3" t="s">
        <v>106</v>
      </c>
      <c r="P486" s="3" t="s">
        <v>66</v>
      </c>
      <c r="Q486" s="2" t="s">
        <v>5001</v>
      </c>
      <c r="R486" s="3" t="s">
        <v>67</v>
      </c>
      <c r="S486" s="4">
        <v>0</v>
      </c>
      <c r="T486" s="4">
        <v>0</v>
      </c>
      <c r="W486" s="5" t="s">
        <v>69</v>
      </c>
      <c r="X486" s="5" t="s">
        <v>69</v>
      </c>
      <c r="Y486" s="4">
        <v>53</v>
      </c>
      <c r="Z486" s="4">
        <v>6</v>
      </c>
      <c r="AA486" s="4">
        <v>71</v>
      </c>
      <c r="AB486" s="4">
        <v>1</v>
      </c>
      <c r="AC486" s="4">
        <v>14</v>
      </c>
      <c r="AD486" s="4">
        <v>32</v>
      </c>
      <c r="AE486" s="4">
        <v>95</v>
      </c>
      <c r="AF486" s="4">
        <v>0</v>
      </c>
      <c r="AG486" s="4">
        <v>8</v>
      </c>
      <c r="AH486" s="4">
        <v>30</v>
      </c>
      <c r="AI486" s="4">
        <v>65</v>
      </c>
      <c r="AJ486" s="4">
        <v>3</v>
      </c>
      <c r="AK486" s="4">
        <v>18</v>
      </c>
      <c r="AL486" s="4">
        <v>26</v>
      </c>
      <c r="AM486" s="4">
        <v>37</v>
      </c>
      <c r="AN486" s="4">
        <v>0</v>
      </c>
      <c r="AO486" s="4">
        <v>0</v>
      </c>
      <c r="AP486" s="4">
        <v>3</v>
      </c>
      <c r="AQ486" s="4">
        <v>37</v>
      </c>
      <c r="AR486" s="3" t="s">
        <v>63</v>
      </c>
      <c r="AS486" s="3" t="s">
        <v>63</v>
      </c>
      <c r="AT486" s="3" t="s">
        <v>63</v>
      </c>
      <c r="AV486" s="6" t="str">
        <f>HYPERLINK("http://mcgill.on.worldcat.org/oclc/928615032","Catalog Record")</f>
        <v>Catalog Record</v>
      </c>
      <c r="AW486" s="6" t="str">
        <f>HYPERLINK("http://www.worldcat.org/oclc/928615032","WorldCat Record")</f>
        <v>WorldCat Record</v>
      </c>
      <c r="AX486" s="3" t="s">
        <v>5002</v>
      </c>
      <c r="AY486" s="3" t="s">
        <v>5003</v>
      </c>
      <c r="AZ486" s="3" t="s">
        <v>5004</v>
      </c>
      <c r="BA486" s="3" t="s">
        <v>5004</v>
      </c>
      <c r="BB486" s="3" t="s">
        <v>5005</v>
      </c>
      <c r="BC486" s="3" t="s">
        <v>82</v>
      </c>
      <c r="BD486" s="3" t="s">
        <v>70</v>
      </c>
      <c r="BE486" s="3" t="s">
        <v>5006</v>
      </c>
      <c r="BF486" s="3" t="s">
        <v>5005</v>
      </c>
      <c r="BG486" s="3" t="s">
        <v>5007</v>
      </c>
    </row>
    <row r="487" spans="1:59" ht="75" x14ac:dyDescent="0.25">
      <c r="A487" s="2" t="s">
        <v>59</v>
      </c>
      <c r="B487" s="2" t="s">
        <v>60</v>
      </c>
      <c r="C487" s="2" t="s">
        <v>5008</v>
      </c>
      <c r="D487" s="2" t="s">
        <v>5009</v>
      </c>
      <c r="E487" s="2" t="s">
        <v>5010</v>
      </c>
      <c r="G487" s="3" t="s">
        <v>63</v>
      </c>
      <c r="I487" s="3" t="s">
        <v>63</v>
      </c>
      <c r="J487" s="3" t="s">
        <v>63</v>
      </c>
      <c r="K487" s="3" t="s">
        <v>64</v>
      </c>
      <c r="L487" s="2" t="s">
        <v>5011</v>
      </c>
      <c r="M487" s="2" t="s">
        <v>5012</v>
      </c>
      <c r="N487" s="3" t="s">
        <v>130</v>
      </c>
      <c r="P487" s="3" t="s">
        <v>90</v>
      </c>
      <c r="R487" s="3" t="s">
        <v>67</v>
      </c>
      <c r="S487" s="4">
        <v>0</v>
      </c>
      <c r="T487" s="4">
        <v>0</v>
      </c>
      <c r="W487" s="5" t="s">
        <v>69</v>
      </c>
      <c r="X487" s="5" t="s">
        <v>69</v>
      </c>
      <c r="Y487" s="4">
        <v>22</v>
      </c>
      <c r="Z487" s="4">
        <v>4</v>
      </c>
      <c r="AA487" s="4">
        <v>4</v>
      </c>
      <c r="AB487" s="4">
        <v>1</v>
      </c>
      <c r="AC487" s="4">
        <v>1</v>
      </c>
      <c r="AD487" s="4">
        <v>17</v>
      </c>
      <c r="AE487" s="4">
        <v>17</v>
      </c>
      <c r="AF487" s="4">
        <v>0</v>
      </c>
      <c r="AG487" s="4">
        <v>0</v>
      </c>
      <c r="AH487" s="4">
        <v>17</v>
      </c>
      <c r="AI487" s="4">
        <v>17</v>
      </c>
      <c r="AJ487" s="4">
        <v>2</v>
      </c>
      <c r="AK487" s="4">
        <v>2</v>
      </c>
      <c r="AL487" s="4">
        <v>14</v>
      </c>
      <c r="AM487" s="4">
        <v>14</v>
      </c>
      <c r="AN487" s="4">
        <v>0</v>
      </c>
      <c r="AO487" s="4">
        <v>0</v>
      </c>
      <c r="AP487" s="4">
        <v>2</v>
      </c>
      <c r="AQ487" s="4">
        <v>2</v>
      </c>
      <c r="AR487" s="3" t="s">
        <v>63</v>
      </c>
      <c r="AS487" s="3" t="s">
        <v>63</v>
      </c>
      <c r="AT487" s="3" t="s">
        <v>63</v>
      </c>
      <c r="AV487" s="6" t="str">
        <f>HYPERLINK("http://mcgill.on.worldcat.org/oclc/883190199","Catalog Record")</f>
        <v>Catalog Record</v>
      </c>
      <c r="AW487" s="6" t="str">
        <f>HYPERLINK("http://www.worldcat.org/oclc/883190199","WorldCat Record")</f>
        <v>WorldCat Record</v>
      </c>
      <c r="AX487" s="3" t="s">
        <v>5013</v>
      </c>
      <c r="AY487" s="3" t="s">
        <v>5014</v>
      </c>
      <c r="AZ487" s="3" t="s">
        <v>5015</v>
      </c>
      <c r="BA487" s="3" t="s">
        <v>5015</v>
      </c>
      <c r="BB487" s="3" t="s">
        <v>5016</v>
      </c>
      <c r="BC487" s="3" t="s">
        <v>82</v>
      </c>
      <c r="BD487" s="3" t="s">
        <v>70</v>
      </c>
      <c r="BE487" s="3" t="s">
        <v>5017</v>
      </c>
      <c r="BF487" s="3" t="s">
        <v>5016</v>
      </c>
      <c r="BG487" s="3" t="s">
        <v>5018</v>
      </c>
    </row>
    <row r="488" spans="1:59" ht="60" x14ac:dyDescent="0.25">
      <c r="A488" s="2" t="s">
        <v>59</v>
      </c>
      <c r="B488" s="2" t="s">
        <v>60</v>
      </c>
      <c r="C488" s="2" t="s">
        <v>5019</v>
      </c>
      <c r="D488" s="2" t="s">
        <v>5020</v>
      </c>
      <c r="E488" s="2" t="s">
        <v>5021</v>
      </c>
      <c r="G488" s="3" t="s">
        <v>63</v>
      </c>
      <c r="H488" s="3" t="s">
        <v>215</v>
      </c>
      <c r="I488" s="3" t="s">
        <v>63</v>
      </c>
      <c r="J488" s="3" t="s">
        <v>63</v>
      </c>
      <c r="K488" s="3" t="s">
        <v>64</v>
      </c>
      <c r="L488" s="2" t="s">
        <v>5022</v>
      </c>
      <c r="M488" s="2" t="s">
        <v>5023</v>
      </c>
      <c r="N488" s="3" t="s">
        <v>287</v>
      </c>
      <c r="P488" s="3" t="s">
        <v>66</v>
      </c>
      <c r="R488" s="3" t="s">
        <v>67</v>
      </c>
      <c r="S488" s="4">
        <v>1</v>
      </c>
      <c r="T488" s="4">
        <v>1</v>
      </c>
      <c r="W488" s="5" t="s">
        <v>5024</v>
      </c>
      <c r="X488" s="5" t="s">
        <v>5024</v>
      </c>
      <c r="Y488" s="4">
        <v>97</v>
      </c>
      <c r="Z488" s="4">
        <v>7</v>
      </c>
      <c r="AA488" s="4">
        <v>72</v>
      </c>
      <c r="AB488" s="4">
        <v>1</v>
      </c>
      <c r="AC488" s="4">
        <v>15</v>
      </c>
      <c r="AD488" s="4">
        <v>46</v>
      </c>
      <c r="AE488" s="4">
        <v>103</v>
      </c>
      <c r="AF488" s="4">
        <v>0</v>
      </c>
      <c r="AG488" s="4">
        <v>8</v>
      </c>
      <c r="AH488" s="4">
        <v>41</v>
      </c>
      <c r="AI488" s="4">
        <v>71</v>
      </c>
      <c r="AJ488" s="4">
        <v>5</v>
      </c>
      <c r="AK488" s="4">
        <v>19</v>
      </c>
      <c r="AL488" s="4">
        <v>31</v>
      </c>
      <c r="AM488" s="4">
        <v>40</v>
      </c>
      <c r="AN488" s="4">
        <v>0</v>
      </c>
      <c r="AO488" s="4">
        <v>0</v>
      </c>
      <c r="AP488" s="4">
        <v>5</v>
      </c>
      <c r="AQ488" s="4">
        <v>38</v>
      </c>
      <c r="AR488" s="3" t="s">
        <v>63</v>
      </c>
      <c r="AS488" s="3" t="s">
        <v>63</v>
      </c>
      <c r="AT488" s="3" t="s">
        <v>63</v>
      </c>
      <c r="AV488" s="6" t="str">
        <f>HYPERLINK("http://mcgill.on.worldcat.org/oclc/1005742113","Catalog Record")</f>
        <v>Catalog Record</v>
      </c>
      <c r="AW488" s="6" t="str">
        <f>HYPERLINK("http://www.worldcat.org/oclc/1005742113","WorldCat Record")</f>
        <v>WorldCat Record</v>
      </c>
      <c r="AX488" s="3" t="s">
        <v>5025</v>
      </c>
      <c r="AY488" s="3" t="s">
        <v>5026</v>
      </c>
      <c r="AZ488" s="3" t="s">
        <v>5027</v>
      </c>
      <c r="BA488" s="3" t="s">
        <v>5027</v>
      </c>
      <c r="BB488" s="3" t="s">
        <v>5028</v>
      </c>
      <c r="BC488" s="3" t="s">
        <v>82</v>
      </c>
      <c r="BD488" s="3" t="s">
        <v>538</v>
      </c>
      <c r="BE488" s="3" t="s">
        <v>5029</v>
      </c>
      <c r="BF488" s="3" t="s">
        <v>5028</v>
      </c>
      <c r="BG488" s="3" t="s">
        <v>5030</v>
      </c>
    </row>
    <row r="489" spans="1:59" ht="60" x14ac:dyDescent="0.25">
      <c r="A489" s="2" t="s">
        <v>59</v>
      </c>
      <c r="B489" s="2" t="s">
        <v>60</v>
      </c>
      <c r="C489" s="2" t="s">
        <v>5031</v>
      </c>
      <c r="D489" s="2" t="s">
        <v>5032</v>
      </c>
      <c r="E489" s="2" t="s">
        <v>5033</v>
      </c>
      <c r="G489" s="3" t="s">
        <v>63</v>
      </c>
      <c r="I489" s="3" t="s">
        <v>63</v>
      </c>
      <c r="J489" s="3" t="s">
        <v>63</v>
      </c>
      <c r="K489" s="3" t="s">
        <v>64</v>
      </c>
      <c r="M489" s="2" t="s">
        <v>5034</v>
      </c>
      <c r="N489" s="3" t="s">
        <v>480</v>
      </c>
      <c r="O489" s="2" t="s">
        <v>590</v>
      </c>
      <c r="P489" s="3" t="s">
        <v>66</v>
      </c>
      <c r="R489" s="3" t="s">
        <v>67</v>
      </c>
      <c r="S489" s="4">
        <v>28</v>
      </c>
      <c r="T489" s="4">
        <v>28</v>
      </c>
      <c r="U489" s="5" t="s">
        <v>4990</v>
      </c>
      <c r="V489" s="5" t="s">
        <v>4990</v>
      </c>
      <c r="W489" s="5" t="s">
        <v>69</v>
      </c>
      <c r="X489" s="5" t="s">
        <v>69</v>
      </c>
      <c r="Y489" s="4">
        <v>263</v>
      </c>
      <c r="Z489" s="4">
        <v>19</v>
      </c>
      <c r="AA489" s="4">
        <v>98</v>
      </c>
      <c r="AB489" s="4">
        <v>1</v>
      </c>
      <c r="AC489" s="4">
        <v>17</v>
      </c>
      <c r="AD489" s="4">
        <v>100</v>
      </c>
      <c r="AE489" s="4">
        <v>143</v>
      </c>
      <c r="AF489" s="4">
        <v>0</v>
      </c>
      <c r="AG489" s="4">
        <v>8</v>
      </c>
      <c r="AH489" s="4">
        <v>91</v>
      </c>
      <c r="AI489" s="4">
        <v>106</v>
      </c>
      <c r="AJ489" s="4">
        <v>16</v>
      </c>
      <c r="AK489" s="4">
        <v>25</v>
      </c>
      <c r="AL489" s="4">
        <v>53</v>
      </c>
      <c r="AM489" s="4">
        <v>56</v>
      </c>
      <c r="AN489" s="4">
        <v>0</v>
      </c>
      <c r="AO489" s="4">
        <v>0</v>
      </c>
      <c r="AP489" s="4">
        <v>16</v>
      </c>
      <c r="AQ489" s="4">
        <v>46</v>
      </c>
      <c r="AR489" s="3" t="s">
        <v>63</v>
      </c>
      <c r="AS489" s="3" t="s">
        <v>63</v>
      </c>
      <c r="AT489" s="3" t="s">
        <v>62</v>
      </c>
      <c r="AU489" s="6" t="str">
        <f>HYPERLINK("http://catalog.hathitrust.org/Record/002552832","HathiTrust Record")</f>
        <v>HathiTrust Record</v>
      </c>
      <c r="AV489" s="6" t="str">
        <f>HYPERLINK("http://mcgill.on.worldcat.org/oclc/23180516","Catalog Record")</f>
        <v>Catalog Record</v>
      </c>
      <c r="AW489" s="6" t="str">
        <f>HYPERLINK("http://www.worldcat.org/oclc/23180516","WorldCat Record")</f>
        <v>WorldCat Record</v>
      </c>
      <c r="AX489" s="3" t="s">
        <v>5035</v>
      </c>
      <c r="AY489" s="3" t="s">
        <v>5036</v>
      </c>
      <c r="AZ489" s="3" t="s">
        <v>5037</v>
      </c>
      <c r="BA489" s="3" t="s">
        <v>5037</v>
      </c>
      <c r="BB489" s="3" t="s">
        <v>5038</v>
      </c>
      <c r="BC489" s="3" t="s">
        <v>82</v>
      </c>
      <c r="BD489" s="3" t="s">
        <v>70</v>
      </c>
      <c r="BE489" s="3" t="s">
        <v>5039</v>
      </c>
      <c r="BF489" s="3" t="s">
        <v>5038</v>
      </c>
      <c r="BG489" s="3" t="s">
        <v>5040</v>
      </c>
    </row>
    <row r="490" spans="1:59" ht="75" x14ac:dyDescent="0.25">
      <c r="A490" s="2" t="s">
        <v>59</v>
      </c>
      <c r="B490" s="2" t="s">
        <v>60</v>
      </c>
      <c r="C490" s="2" t="s">
        <v>5041</v>
      </c>
      <c r="D490" s="2" t="s">
        <v>5042</v>
      </c>
      <c r="E490" s="2" t="s">
        <v>5043</v>
      </c>
      <c r="G490" s="3" t="s">
        <v>63</v>
      </c>
      <c r="I490" s="3" t="s">
        <v>63</v>
      </c>
      <c r="J490" s="3" t="s">
        <v>63</v>
      </c>
      <c r="K490" s="3" t="s">
        <v>64</v>
      </c>
      <c r="L490" s="2" t="s">
        <v>5044</v>
      </c>
      <c r="M490" s="2" t="s">
        <v>5045</v>
      </c>
      <c r="N490" s="3" t="s">
        <v>130</v>
      </c>
      <c r="P490" s="3" t="s">
        <v>66</v>
      </c>
      <c r="Q490" s="2" t="s">
        <v>5046</v>
      </c>
      <c r="R490" s="3" t="s">
        <v>67</v>
      </c>
      <c r="S490" s="4">
        <v>0</v>
      </c>
      <c r="T490" s="4">
        <v>0</v>
      </c>
      <c r="W490" s="5" t="s">
        <v>69</v>
      </c>
      <c r="X490" s="5" t="s">
        <v>69</v>
      </c>
      <c r="Y490" s="4">
        <v>58</v>
      </c>
      <c r="Z490" s="4">
        <v>6</v>
      </c>
      <c r="AA490" s="4">
        <v>6</v>
      </c>
      <c r="AB490" s="4">
        <v>1</v>
      </c>
      <c r="AC490" s="4">
        <v>1</v>
      </c>
      <c r="AD490" s="4">
        <v>26</v>
      </c>
      <c r="AE490" s="4">
        <v>26</v>
      </c>
      <c r="AF490" s="4">
        <v>0</v>
      </c>
      <c r="AG490" s="4">
        <v>0</v>
      </c>
      <c r="AH490" s="4">
        <v>24</v>
      </c>
      <c r="AI490" s="4">
        <v>24</v>
      </c>
      <c r="AJ490" s="4">
        <v>4</v>
      </c>
      <c r="AK490" s="4">
        <v>4</v>
      </c>
      <c r="AL490" s="4">
        <v>17</v>
      </c>
      <c r="AM490" s="4">
        <v>17</v>
      </c>
      <c r="AN490" s="4">
        <v>0</v>
      </c>
      <c r="AO490" s="4">
        <v>0</v>
      </c>
      <c r="AP490" s="4">
        <v>4</v>
      </c>
      <c r="AQ490" s="4">
        <v>4</v>
      </c>
      <c r="AR490" s="3" t="s">
        <v>63</v>
      </c>
      <c r="AS490" s="3" t="s">
        <v>63</v>
      </c>
      <c r="AT490" s="3" t="s">
        <v>63</v>
      </c>
      <c r="AV490" s="6" t="str">
        <f>HYPERLINK("http://mcgill.on.worldcat.org/oclc/827925542","Catalog Record")</f>
        <v>Catalog Record</v>
      </c>
      <c r="AW490" s="6" t="str">
        <f>HYPERLINK("http://www.worldcat.org/oclc/827925542","WorldCat Record")</f>
        <v>WorldCat Record</v>
      </c>
      <c r="AX490" s="3" t="s">
        <v>5047</v>
      </c>
      <c r="AY490" s="3" t="s">
        <v>5048</v>
      </c>
      <c r="AZ490" s="3" t="s">
        <v>5049</v>
      </c>
      <c r="BA490" s="3" t="s">
        <v>5049</v>
      </c>
      <c r="BB490" s="3" t="s">
        <v>5050</v>
      </c>
      <c r="BC490" s="3" t="s">
        <v>82</v>
      </c>
      <c r="BD490" s="3" t="s">
        <v>70</v>
      </c>
      <c r="BE490" s="3" t="s">
        <v>5051</v>
      </c>
      <c r="BF490" s="3" t="s">
        <v>5050</v>
      </c>
      <c r="BG490" s="3" t="s">
        <v>5052</v>
      </c>
    </row>
    <row r="491" spans="1:59" ht="60" x14ac:dyDescent="0.25">
      <c r="A491" s="2" t="s">
        <v>59</v>
      </c>
      <c r="B491" s="2" t="s">
        <v>60</v>
      </c>
      <c r="C491" s="2" t="s">
        <v>5053</v>
      </c>
      <c r="D491" s="2" t="s">
        <v>5054</v>
      </c>
      <c r="E491" s="2" t="s">
        <v>5055</v>
      </c>
      <c r="G491" s="3" t="s">
        <v>63</v>
      </c>
      <c r="I491" s="3" t="s">
        <v>63</v>
      </c>
      <c r="J491" s="3" t="s">
        <v>63</v>
      </c>
      <c r="K491" s="3" t="s">
        <v>64</v>
      </c>
      <c r="L491" s="2" t="s">
        <v>5056</v>
      </c>
      <c r="M491" s="2" t="s">
        <v>5057</v>
      </c>
      <c r="N491" s="3" t="s">
        <v>313</v>
      </c>
      <c r="P491" s="3" t="s">
        <v>90</v>
      </c>
      <c r="Q491" s="2" t="s">
        <v>5058</v>
      </c>
      <c r="R491" s="3" t="s">
        <v>67</v>
      </c>
      <c r="S491" s="4">
        <v>0</v>
      </c>
      <c r="T491" s="4">
        <v>0</v>
      </c>
      <c r="W491" s="5" t="s">
        <v>69</v>
      </c>
      <c r="X491" s="5" t="s">
        <v>69</v>
      </c>
      <c r="Y491" s="4">
        <v>35</v>
      </c>
      <c r="Z491" s="4">
        <v>4</v>
      </c>
      <c r="AA491" s="4">
        <v>4</v>
      </c>
      <c r="AB491" s="4">
        <v>1</v>
      </c>
      <c r="AC491" s="4">
        <v>1</v>
      </c>
      <c r="AD491" s="4">
        <v>27</v>
      </c>
      <c r="AE491" s="4">
        <v>27</v>
      </c>
      <c r="AF491" s="4">
        <v>0</v>
      </c>
      <c r="AG491" s="4">
        <v>0</v>
      </c>
      <c r="AH491" s="4">
        <v>26</v>
      </c>
      <c r="AI491" s="4">
        <v>26</v>
      </c>
      <c r="AJ491" s="4">
        <v>3</v>
      </c>
      <c r="AK491" s="4">
        <v>3</v>
      </c>
      <c r="AL491" s="4">
        <v>21</v>
      </c>
      <c r="AM491" s="4">
        <v>21</v>
      </c>
      <c r="AN491" s="4">
        <v>0</v>
      </c>
      <c r="AO491" s="4">
        <v>0</v>
      </c>
      <c r="AP491" s="4">
        <v>3</v>
      </c>
      <c r="AQ491" s="4">
        <v>3</v>
      </c>
      <c r="AR491" s="3" t="s">
        <v>63</v>
      </c>
      <c r="AS491" s="3" t="s">
        <v>63</v>
      </c>
      <c r="AT491" s="3" t="s">
        <v>63</v>
      </c>
      <c r="AV491" s="6" t="str">
        <f>HYPERLINK("http://mcgill.on.worldcat.org/oclc/608631867","Catalog Record")</f>
        <v>Catalog Record</v>
      </c>
      <c r="AW491" s="6" t="str">
        <f>HYPERLINK("http://www.worldcat.org/oclc/608631867","WorldCat Record")</f>
        <v>WorldCat Record</v>
      </c>
      <c r="AX491" s="3" t="s">
        <v>5059</v>
      </c>
      <c r="AY491" s="3" t="s">
        <v>5060</v>
      </c>
      <c r="AZ491" s="3" t="s">
        <v>5061</v>
      </c>
      <c r="BA491" s="3" t="s">
        <v>5061</v>
      </c>
      <c r="BB491" s="3" t="s">
        <v>5062</v>
      </c>
      <c r="BC491" s="3" t="s">
        <v>82</v>
      </c>
      <c r="BD491" s="3" t="s">
        <v>70</v>
      </c>
      <c r="BE491" s="3" t="s">
        <v>5063</v>
      </c>
      <c r="BF491" s="3" t="s">
        <v>5062</v>
      </c>
      <c r="BG491" s="3" t="s">
        <v>5064</v>
      </c>
    </row>
    <row r="492" spans="1:59" ht="60" x14ac:dyDescent="0.25">
      <c r="A492" s="2" t="s">
        <v>59</v>
      </c>
      <c r="B492" s="2" t="s">
        <v>60</v>
      </c>
      <c r="C492" s="2" t="s">
        <v>5065</v>
      </c>
      <c r="D492" s="2" t="s">
        <v>5066</v>
      </c>
      <c r="E492" s="2" t="s">
        <v>5067</v>
      </c>
      <c r="G492" s="3" t="s">
        <v>63</v>
      </c>
      <c r="I492" s="3" t="s">
        <v>63</v>
      </c>
      <c r="J492" s="3" t="s">
        <v>63</v>
      </c>
      <c r="K492" s="3" t="s">
        <v>64</v>
      </c>
      <c r="L492" s="2" t="s">
        <v>5068</v>
      </c>
      <c r="M492" s="2" t="s">
        <v>5069</v>
      </c>
      <c r="N492" s="3" t="s">
        <v>261</v>
      </c>
      <c r="P492" s="3" t="s">
        <v>66</v>
      </c>
      <c r="Q492" s="2" t="s">
        <v>5070</v>
      </c>
      <c r="R492" s="3" t="s">
        <v>67</v>
      </c>
      <c r="S492" s="4">
        <v>5</v>
      </c>
      <c r="T492" s="4">
        <v>5</v>
      </c>
      <c r="U492" s="5" t="s">
        <v>506</v>
      </c>
      <c r="V492" s="5" t="s">
        <v>506</v>
      </c>
      <c r="W492" s="5" t="s">
        <v>69</v>
      </c>
      <c r="X492" s="5" t="s">
        <v>69</v>
      </c>
      <c r="Y492" s="4">
        <v>58</v>
      </c>
      <c r="Z492" s="4">
        <v>4</v>
      </c>
      <c r="AA492" s="4">
        <v>4</v>
      </c>
      <c r="AB492" s="4">
        <v>1</v>
      </c>
      <c r="AC492" s="4">
        <v>1</v>
      </c>
      <c r="AD492" s="4">
        <v>37</v>
      </c>
      <c r="AE492" s="4">
        <v>37</v>
      </c>
      <c r="AF492" s="4">
        <v>0</v>
      </c>
      <c r="AG492" s="4">
        <v>0</v>
      </c>
      <c r="AH492" s="4">
        <v>35</v>
      </c>
      <c r="AI492" s="4">
        <v>35</v>
      </c>
      <c r="AJ492" s="4">
        <v>3</v>
      </c>
      <c r="AK492" s="4">
        <v>3</v>
      </c>
      <c r="AL492" s="4">
        <v>27</v>
      </c>
      <c r="AM492" s="4">
        <v>27</v>
      </c>
      <c r="AN492" s="4">
        <v>0</v>
      </c>
      <c r="AO492" s="4">
        <v>0</v>
      </c>
      <c r="AP492" s="4">
        <v>3</v>
      </c>
      <c r="AQ492" s="4">
        <v>3</v>
      </c>
      <c r="AR492" s="3" t="s">
        <v>63</v>
      </c>
      <c r="AS492" s="3" t="s">
        <v>63</v>
      </c>
      <c r="AT492" s="3" t="s">
        <v>63</v>
      </c>
      <c r="AV492" s="6" t="str">
        <f>HYPERLINK("http://mcgill.on.worldcat.org/oclc/176915433","Catalog Record")</f>
        <v>Catalog Record</v>
      </c>
      <c r="AW492" s="6" t="str">
        <f>HYPERLINK("http://www.worldcat.org/oclc/176915433","WorldCat Record")</f>
        <v>WorldCat Record</v>
      </c>
      <c r="AX492" s="3" t="s">
        <v>5071</v>
      </c>
      <c r="AY492" s="3" t="s">
        <v>5072</v>
      </c>
      <c r="AZ492" s="3" t="s">
        <v>5073</v>
      </c>
      <c r="BA492" s="3" t="s">
        <v>5073</v>
      </c>
      <c r="BB492" s="3" t="s">
        <v>5074</v>
      </c>
      <c r="BC492" s="3" t="s">
        <v>82</v>
      </c>
      <c r="BD492" s="3" t="s">
        <v>70</v>
      </c>
      <c r="BE492" s="3" t="s">
        <v>5075</v>
      </c>
      <c r="BF492" s="3" t="s">
        <v>5074</v>
      </c>
      <c r="BG492" s="3" t="s">
        <v>5076</v>
      </c>
    </row>
    <row r="493" spans="1:59" ht="60" x14ac:dyDescent="0.25">
      <c r="A493" s="2" t="s">
        <v>59</v>
      </c>
      <c r="B493" s="2" t="s">
        <v>60</v>
      </c>
      <c r="C493" s="2" t="s">
        <v>5077</v>
      </c>
      <c r="D493" s="2" t="s">
        <v>5078</v>
      </c>
      <c r="E493" s="2" t="s">
        <v>5079</v>
      </c>
      <c r="G493" s="3" t="s">
        <v>63</v>
      </c>
      <c r="I493" s="3" t="s">
        <v>63</v>
      </c>
      <c r="J493" s="3" t="s">
        <v>63</v>
      </c>
      <c r="K493" s="3" t="s">
        <v>64</v>
      </c>
      <c r="M493" s="2" t="s">
        <v>5080</v>
      </c>
      <c r="N493" s="3" t="s">
        <v>1113</v>
      </c>
      <c r="P493" s="3" t="s">
        <v>90</v>
      </c>
      <c r="R493" s="3" t="s">
        <v>67</v>
      </c>
      <c r="S493" s="4">
        <v>3</v>
      </c>
      <c r="T493" s="4">
        <v>3</v>
      </c>
      <c r="U493" s="5" t="s">
        <v>5081</v>
      </c>
      <c r="V493" s="5" t="s">
        <v>5081</v>
      </c>
      <c r="W493" s="5" t="s">
        <v>69</v>
      </c>
      <c r="X493" s="5" t="s">
        <v>69</v>
      </c>
      <c r="Y493" s="4">
        <v>52</v>
      </c>
      <c r="Z493" s="4">
        <v>5</v>
      </c>
      <c r="AA493" s="4">
        <v>5</v>
      </c>
      <c r="AB493" s="4">
        <v>1</v>
      </c>
      <c r="AC493" s="4">
        <v>1</v>
      </c>
      <c r="AD493" s="4">
        <v>33</v>
      </c>
      <c r="AE493" s="4">
        <v>33</v>
      </c>
      <c r="AF493" s="4">
        <v>0</v>
      </c>
      <c r="AG493" s="4">
        <v>0</v>
      </c>
      <c r="AH493" s="4">
        <v>33</v>
      </c>
      <c r="AI493" s="4">
        <v>33</v>
      </c>
      <c r="AJ493" s="4">
        <v>4</v>
      </c>
      <c r="AK493" s="4">
        <v>4</v>
      </c>
      <c r="AL493" s="4">
        <v>22</v>
      </c>
      <c r="AM493" s="4">
        <v>22</v>
      </c>
      <c r="AN493" s="4">
        <v>0</v>
      </c>
      <c r="AO493" s="4">
        <v>0</v>
      </c>
      <c r="AP493" s="4">
        <v>4</v>
      </c>
      <c r="AQ493" s="4">
        <v>4</v>
      </c>
      <c r="AR493" s="3" t="s">
        <v>63</v>
      </c>
      <c r="AS493" s="3" t="s">
        <v>63</v>
      </c>
      <c r="AT493" s="3" t="s">
        <v>63</v>
      </c>
      <c r="AV493" s="6" t="str">
        <f>HYPERLINK("http://mcgill.on.worldcat.org/oclc/37598351","Catalog Record")</f>
        <v>Catalog Record</v>
      </c>
      <c r="AW493" s="6" t="str">
        <f>HYPERLINK("http://www.worldcat.org/oclc/37598351","WorldCat Record")</f>
        <v>WorldCat Record</v>
      </c>
      <c r="AX493" s="3" t="s">
        <v>5082</v>
      </c>
      <c r="AY493" s="3" t="s">
        <v>5083</v>
      </c>
      <c r="AZ493" s="3" t="s">
        <v>5084</v>
      </c>
      <c r="BA493" s="3" t="s">
        <v>5084</v>
      </c>
      <c r="BB493" s="3" t="s">
        <v>5085</v>
      </c>
      <c r="BC493" s="3" t="s">
        <v>82</v>
      </c>
      <c r="BD493" s="3" t="s">
        <v>70</v>
      </c>
      <c r="BE493" s="3" t="s">
        <v>5086</v>
      </c>
      <c r="BF493" s="3" t="s">
        <v>5085</v>
      </c>
      <c r="BG493" s="3" t="s">
        <v>5087</v>
      </c>
    </row>
    <row r="494" spans="1:59" ht="75" x14ac:dyDescent="0.25">
      <c r="A494" s="2" t="s">
        <v>59</v>
      </c>
      <c r="B494" s="2" t="s">
        <v>60</v>
      </c>
      <c r="C494" s="2" t="s">
        <v>5088</v>
      </c>
      <c r="D494" s="2" t="s">
        <v>5089</v>
      </c>
      <c r="E494" s="2" t="s">
        <v>5090</v>
      </c>
      <c r="G494" s="3" t="s">
        <v>63</v>
      </c>
      <c r="I494" s="3" t="s">
        <v>63</v>
      </c>
      <c r="J494" s="3" t="s">
        <v>63</v>
      </c>
      <c r="K494" s="3" t="s">
        <v>64</v>
      </c>
      <c r="L494" s="2" t="s">
        <v>5091</v>
      </c>
      <c r="M494" s="2" t="s">
        <v>5092</v>
      </c>
      <c r="N494" s="3" t="s">
        <v>374</v>
      </c>
      <c r="P494" s="3" t="s">
        <v>66</v>
      </c>
      <c r="Q494" s="2" t="s">
        <v>5093</v>
      </c>
      <c r="R494" s="3" t="s">
        <v>67</v>
      </c>
      <c r="S494" s="4">
        <v>8</v>
      </c>
      <c r="T494" s="4">
        <v>8</v>
      </c>
      <c r="U494" s="5" t="s">
        <v>5094</v>
      </c>
      <c r="V494" s="5" t="s">
        <v>5094</v>
      </c>
      <c r="W494" s="5" t="s">
        <v>69</v>
      </c>
      <c r="X494" s="5" t="s">
        <v>69</v>
      </c>
      <c r="Y494" s="4">
        <v>157</v>
      </c>
      <c r="Z494" s="4">
        <v>15</v>
      </c>
      <c r="AA494" s="4">
        <v>15</v>
      </c>
      <c r="AB494" s="4">
        <v>1</v>
      </c>
      <c r="AC494" s="4">
        <v>1</v>
      </c>
      <c r="AD494" s="4">
        <v>83</v>
      </c>
      <c r="AE494" s="4">
        <v>83</v>
      </c>
      <c r="AF494" s="4">
        <v>0</v>
      </c>
      <c r="AG494" s="4">
        <v>0</v>
      </c>
      <c r="AH494" s="4">
        <v>75</v>
      </c>
      <c r="AI494" s="4">
        <v>75</v>
      </c>
      <c r="AJ494" s="4">
        <v>12</v>
      </c>
      <c r="AK494" s="4">
        <v>12</v>
      </c>
      <c r="AL494" s="4">
        <v>41</v>
      </c>
      <c r="AM494" s="4">
        <v>41</v>
      </c>
      <c r="AN494" s="4">
        <v>0</v>
      </c>
      <c r="AO494" s="4">
        <v>0</v>
      </c>
      <c r="AP494" s="4">
        <v>13</v>
      </c>
      <c r="AQ494" s="4">
        <v>13</v>
      </c>
      <c r="AR494" s="3" t="s">
        <v>63</v>
      </c>
      <c r="AS494" s="3" t="s">
        <v>63</v>
      </c>
      <c r="AT494" s="3" t="s">
        <v>62</v>
      </c>
      <c r="AU494" s="6" t="str">
        <f>HYPERLINK("http://catalog.hathitrust.org/Record/003060938","HathiTrust Record")</f>
        <v>HathiTrust Record</v>
      </c>
      <c r="AV494" s="6" t="str">
        <f>HYPERLINK("http://mcgill.on.worldcat.org/oclc/25411166","Catalog Record")</f>
        <v>Catalog Record</v>
      </c>
      <c r="AW494" s="6" t="str">
        <f>HYPERLINK("http://www.worldcat.org/oclc/25411166","WorldCat Record")</f>
        <v>WorldCat Record</v>
      </c>
      <c r="AX494" s="3" t="s">
        <v>5095</v>
      </c>
      <c r="AY494" s="3" t="s">
        <v>5096</v>
      </c>
      <c r="AZ494" s="3" t="s">
        <v>5097</v>
      </c>
      <c r="BA494" s="3" t="s">
        <v>5097</v>
      </c>
      <c r="BB494" s="3" t="s">
        <v>5098</v>
      </c>
      <c r="BC494" s="3" t="s">
        <v>82</v>
      </c>
      <c r="BD494" s="3" t="s">
        <v>70</v>
      </c>
      <c r="BE494" s="3" t="s">
        <v>5099</v>
      </c>
      <c r="BF494" s="3" t="s">
        <v>5098</v>
      </c>
      <c r="BG494" s="3" t="s">
        <v>5100</v>
      </c>
    </row>
    <row r="495" spans="1:59" ht="60" x14ac:dyDescent="0.25">
      <c r="A495" s="2" t="s">
        <v>59</v>
      </c>
      <c r="B495" s="2" t="s">
        <v>60</v>
      </c>
      <c r="C495" s="2" t="s">
        <v>5101</v>
      </c>
      <c r="D495" s="2" t="s">
        <v>5102</v>
      </c>
      <c r="E495" s="2" t="s">
        <v>5103</v>
      </c>
      <c r="G495" s="3" t="s">
        <v>63</v>
      </c>
      <c r="I495" s="3" t="s">
        <v>63</v>
      </c>
      <c r="J495" s="3" t="s">
        <v>63</v>
      </c>
      <c r="K495" s="3" t="s">
        <v>64</v>
      </c>
      <c r="L495" s="2" t="s">
        <v>5104</v>
      </c>
      <c r="M495" s="2" t="s">
        <v>5105</v>
      </c>
      <c r="N495" s="3" t="s">
        <v>76</v>
      </c>
      <c r="P495" s="3" t="s">
        <v>90</v>
      </c>
      <c r="R495" s="3" t="s">
        <v>67</v>
      </c>
      <c r="S495" s="4">
        <v>0</v>
      </c>
      <c r="T495" s="4">
        <v>0</v>
      </c>
      <c r="W495" s="5" t="s">
        <v>69</v>
      </c>
      <c r="X495" s="5" t="s">
        <v>69</v>
      </c>
      <c r="Y495" s="4">
        <v>11</v>
      </c>
      <c r="Z495" s="4">
        <v>1</v>
      </c>
      <c r="AA495" s="4">
        <v>1</v>
      </c>
      <c r="AB495" s="4">
        <v>1</v>
      </c>
      <c r="AC495" s="4">
        <v>1</v>
      </c>
      <c r="AD495" s="4">
        <v>9</v>
      </c>
      <c r="AE495" s="4">
        <v>9</v>
      </c>
      <c r="AF495" s="4">
        <v>0</v>
      </c>
      <c r="AG495" s="4">
        <v>0</v>
      </c>
      <c r="AH495" s="4">
        <v>8</v>
      </c>
      <c r="AI495" s="4">
        <v>8</v>
      </c>
      <c r="AJ495" s="4">
        <v>0</v>
      </c>
      <c r="AK495" s="4">
        <v>0</v>
      </c>
      <c r="AL495" s="4">
        <v>8</v>
      </c>
      <c r="AM495" s="4">
        <v>8</v>
      </c>
      <c r="AN495" s="4">
        <v>0</v>
      </c>
      <c r="AO495" s="4">
        <v>0</v>
      </c>
      <c r="AP495" s="4">
        <v>0</v>
      </c>
      <c r="AQ495" s="4">
        <v>0</v>
      </c>
      <c r="AR495" s="3" t="s">
        <v>63</v>
      </c>
      <c r="AS495" s="3" t="s">
        <v>63</v>
      </c>
      <c r="AT495" s="3" t="s">
        <v>63</v>
      </c>
      <c r="AV495" s="6" t="str">
        <f>HYPERLINK("http://mcgill.on.worldcat.org/oclc/870920400","Catalog Record")</f>
        <v>Catalog Record</v>
      </c>
      <c r="AW495" s="6" t="str">
        <f>HYPERLINK("http://www.worldcat.org/oclc/870920400","WorldCat Record")</f>
        <v>WorldCat Record</v>
      </c>
      <c r="AX495" s="3" t="s">
        <v>5106</v>
      </c>
      <c r="AY495" s="3" t="s">
        <v>5107</v>
      </c>
      <c r="AZ495" s="3" t="s">
        <v>5108</v>
      </c>
      <c r="BA495" s="3" t="s">
        <v>5108</v>
      </c>
      <c r="BB495" s="3" t="s">
        <v>5109</v>
      </c>
      <c r="BC495" s="3" t="s">
        <v>82</v>
      </c>
      <c r="BD495" s="3" t="s">
        <v>70</v>
      </c>
      <c r="BE495" s="3" t="s">
        <v>5110</v>
      </c>
      <c r="BF495" s="3" t="s">
        <v>5109</v>
      </c>
      <c r="BG495" s="3" t="s">
        <v>5111</v>
      </c>
    </row>
    <row r="496" spans="1:59" ht="60" x14ac:dyDescent="0.25">
      <c r="A496" s="2" t="s">
        <v>59</v>
      </c>
      <c r="B496" s="2" t="s">
        <v>60</v>
      </c>
      <c r="C496" s="2" t="s">
        <v>5112</v>
      </c>
      <c r="D496" s="2" t="s">
        <v>5113</v>
      </c>
      <c r="E496" s="2" t="s">
        <v>5114</v>
      </c>
      <c r="G496" s="3" t="s">
        <v>63</v>
      </c>
      <c r="I496" s="3" t="s">
        <v>63</v>
      </c>
      <c r="J496" s="3" t="s">
        <v>63</v>
      </c>
      <c r="K496" s="3" t="s">
        <v>64</v>
      </c>
      <c r="L496" s="2" t="s">
        <v>5115</v>
      </c>
      <c r="M496" s="2" t="s">
        <v>5116</v>
      </c>
      <c r="N496" s="3" t="s">
        <v>1226</v>
      </c>
      <c r="P496" s="3" t="s">
        <v>66</v>
      </c>
      <c r="Q496" s="2" t="s">
        <v>5117</v>
      </c>
      <c r="R496" s="3" t="s">
        <v>67</v>
      </c>
      <c r="S496" s="4">
        <v>19</v>
      </c>
      <c r="T496" s="4">
        <v>19</v>
      </c>
      <c r="U496" s="5" t="s">
        <v>1929</v>
      </c>
      <c r="V496" s="5" t="s">
        <v>1929</v>
      </c>
      <c r="W496" s="5" t="s">
        <v>69</v>
      </c>
      <c r="X496" s="5" t="s">
        <v>69</v>
      </c>
      <c r="Y496" s="4">
        <v>341</v>
      </c>
      <c r="Z496" s="4">
        <v>17</v>
      </c>
      <c r="AA496" s="4">
        <v>96</v>
      </c>
      <c r="AB496" s="4">
        <v>1</v>
      </c>
      <c r="AC496" s="4">
        <v>17</v>
      </c>
      <c r="AD496" s="4">
        <v>107</v>
      </c>
      <c r="AE496" s="4">
        <v>147</v>
      </c>
      <c r="AF496" s="4">
        <v>0</v>
      </c>
      <c r="AG496" s="4">
        <v>8</v>
      </c>
      <c r="AH496" s="4">
        <v>99</v>
      </c>
      <c r="AI496" s="4">
        <v>110</v>
      </c>
      <c r="AJ496" s="4">
        <v>12</v>
      </c>
      <c r="AK496" s="4">
        <v>23</v>
      </c>
      <c r="AL496" s="4">
        <v>56</v>
      </c>
      <c r="AM496" s="4">
        <v>60</v>
      </c>
      <c r="AN496" s="4">
        <v>0</v>
      </c>
      <c r="AO496" s="4">
        <v>0</v>
      </c>
      <c r="AP496" s="4">
        <v>13</v>
      </c>
      <c r="AQ496" s="4">
        <v>44</v>
      </c>
      <c r="AR496" s="3" t="s">
        <v>63</v>
      </c>
      <c r="AS496" s="3" t="s">
        <v>63</v>
      </c>
      <c r="AT496" s="3" t="s">
        <v>62</v>
      </c>
      <c r="AU496" s="6" t="str">
        <f>HYPERLINK("http://catalog.hathitrust.org/Record/004344958","HathiTrust Record")</f>
        <v>HathiTrust Record</v>
      </c>
      <c r="AV496" s="6" t="str">
        <f>HYPERLINK("http://mcgill.on.worldcat.org/oclc/50866914","Catalog Record")</f>
        <v>Catalog Record</v>
      </c>
      <c r="AW496" s="6" t="str">
        <f>HYPERLINK("http://www.worldcat.org/oclc/50866914","WorldCat Record")</f>
        <v>WorldCat Record</v>
      </c>
      <c r="AX496" s="3" t="s">
        <v>5118</v>
      </c>
      <c r="AY496" s="3" t="s">
        <v>5119</v>
      </c>
      <c r="AZ496" s="3" t="s">
        <v>5120</v>
      </c>
      <c r="BA496" s="3" t="s">
        <v>5120</v>
      </c>
      <c r="BB496" s="3" t="s">
        <v>5121</v>
      </c>
      <c r="BC496" s="3" t="s">
        <v>82</v>
      </c>
      <c r="BD496" s="3" t="s">
        <v>538</v>
      </c>
      <c r="BE496" s="3" t="s">
        <v>5122</v>
      </c>
      <c r="BF496" s="3" t="s">
        <v>5121</v>
      </c>
      <c r="BG496" s="3" t="s">
        <v>5123</v>
      </c>
    </row>
    <row r="497" spans="1:59" ht="60" x14ac:dyDescent="0.25">
      <c r="A497" s="2" t="s">
        <v>59</v>
      </c>
      <c r="B497" s="2" t="s">
        <v>60</v>
      </c>
      <c r="C497" s="2" t="s">
        <v>5124</v>
      </c>
      <c r="D497" s="2" t="s">
        <v>5125</v>
      </c>
      <c r="E497" s="2" t="s">
        <v>5126</v>
      </c>
      <c r="G497" s="3" t="s">
        <v>63</v>
      </c>
      <c r="I497" s="3" t="s">
        <v>63</v>
      </c>
      <c r="J497" s="3" t="s">
        <v>63</v>
      </c>
      <c r="K497" s="3" t="s">
        <v>64</v>
      </c>
      <c r="L497" s="2" t="s">
        <v>5127</v>
      </c>
      <c r="M497" s="2" t="s">
        <v>5128</v>
      </c>
      <c r="N497" s="3" t="s">
        <v>234</v>
      </c>
      <c r="P497" s="3" t="s">
        <v>66</v>
      </c>
      <c r="Q497" s="2" t="s">
        <v>5129</v>
      </c>
      <c r="R497" s="3" t="s">
        <v>67</v>
      </c>
      <c r="S497" s="4">
        <v>8</v>
      </c>
      <c r="T497" s="4">
        <v>8</v>
      </c>
      <c r="U497" s="5" t="s">
        <v>2183</v>
      </c>
      <c r="V497" s="5" t="s">
        <v>2183</v>
      </c>
      <c r="W497" s="5" t="s">
        <v>69</v>
      </c>
      <c r="X497" s="5" t="s">
        <v>69</v>
      </c>
      <c r="Y497" s="4">
        <v>125</v>
      </c>
      <c r="Z497" s="4">
        <v>9</v>
      </c>
      <c r="AA497" s="4">
        <v>96</v>
      </c>
      <c r="AB497" s="4">
        <v>1</v>
      </c>
      <c r="AC497" s="4">
        <v>17</v>
      </c>
      <c r="AD497" s="4">
        <v>66</v>
      </c>
      <c r="AE497" s="4">
        <v>127</v>
      </c>
      <c r="AF497" s="4">
        <v>0</v>
      </c>
      <c r="AG497" s="4">
        <v>8</v>
      </c>
      <c r="AH497" s="4">
        <v>64</v>
      </c>
      <c r="AI497" s="4">
        <v>93</v>
      </c>
      <c r="AJ497" s="4">
        <v>7</v>
      </c>
      <c r="AK497" s="4">
        <v>21</v>
      </c>
      <c r="AL497" s="4">
        <v>41</v>
      </c>
      <c r="AM497" s="4">
        <v>50</v>
      </c>
      <c r="AN497" s="4">
        <v>0</v>
      </c>
      <c r="AO497" s="4">
        <v>0</v>
      </c>
      <c r="AP497" s="4">
        <v>7</v>
      </c>
      <c r="AQ497" s="4">
        <v>42</v>
      </c>
      <c r="AR497" s="3" t="s">
        <v>63</v>
      </c>
      <c r="AS497" s="3" t="s">
        <v>63</v>
      </c>
      <c r="AT497" s="3" t="s">
        <v>62</v>
      </c>
      <c r="AU497" s="6" t="str">
        <f>HYPERLINK("http://catalog.hathitrust.org/Record/005343972","HathiTrust Record")</f>
        <v>HathiTrust Record</v>
      </c>
      <c r="AV497" s="6" t="str">
        <f>HYPERLINK("http://mcgill.on.worldcat.org/oclc/69950730","Catalog Record")</f>
        <v>Catalog Record</v>
      </c>
      <c r="AW497" s="6" t="str">
        <f>HYPERLINK("http://www.worldcat.org/oclc/69950730","WorldCat Record")</f>
        <v>WorldCat Record</v>
      </c>
      <c r="AX497" s="3" t="s">
        <v>5130</v>
      </c>
      <c r="AY497" s="3" t="s">
        <v>5131</v>
      </c>
      <c r="AZ497" s="3" t="s">
        <v>5132</v>
      </c>
      <c r="BA497" s="3" t="s">
        <v>5132</v>
      </c>
      <c r="BB497" s="3" t="s">
        <v>5133</v>
      </c>
      <c r="BC497" s="3" t="s">
        <v>82</v>
      </c>
      <c r="BD497" s="3" t="s">
        <v>538</v>
      </c>
      <c r="BE497" s="3" t="s">
        <v>5134</v>
      </c>
      <c r="BF497" s="3" t="s">
        <v>5133</v>
      </c>
      <c r="BG497" s="3" t="s">
        <v>5135</v>
      </c>
    </row>
    <row r="498" spans="1:59" ht="60" x14ac:dyDescent="0.25">
      <c r="A498" s="2" t="s">
        <v>59</v>
      </c>
      <c r="B498" s="2" t="s">
        <v>60</v>
      </c>
      <c r="C498" s="2" t="s">
        <v>5136</v>
      </c>
      <c r="D498" s="2" t="s">
        <v>5137</v>
      </c>
      <c r="E498" s="2" t="s">
        <v>5138</v>
      </c>
      <c r="G498" s="3" t="s">
        <v>63</v>
      </c>
      <c r="I498" s="3" t="s">
        <v>63</v>
      </c>
      <c r="J498" s="3" t="s">
        <v>63</v>
      </c>
      <c r="K498" s="3" t="s">
        <v>64</v>
      </c>
      <c r="L498" s="2" t="s">
        <v>5139</v>
      </c>
      <c r="M498" s="2" t="s">
        <v>5140</v>
      </c>
      <c r="N498" s="3" t="s">
        <v>130</v>
      </c>
      <c r="P498" s="3" t="s">
        <v>66</v>
      </c>
      <c r="R498" s="3" t="s">
        <v>67</v>
      </c>
      <c r="S498" s="4">
        <v>2</v>
      </c>
      <c r="T498" s="4">
        <v>2</v>
      </c>
      <c r="U498" s="5" t="s">
        <v>2183</v>
      </c>
      <c r="V498" s="5" t="s">
        <v>2183</v>
      </c>
      <c r="W498" s="5" t="s">
        <v>69</v>
      </c>
      <c r="X498" s="5" t="s">
        <v>69</v>
      </c>
      <c r="Y498" s="4">
        <v>139</v>
      </c>
      <c r="Z498" s="4">
        <v>10</v>
      </c>
      <c r="AA498" s="4">
        <v>28</v>
      </c>
      <c r="AB498" s="4">
        <v>1</v>
      </c>
      <c r="AC498" s="4">
        <v>4</v>
      </c>
      <c r="AD498" s="4">
        <v>70</v>
      </c>
      <c r="AE498" s="4">
        <v>100</v>
      </c>
      <c r="AF498" s="4">
        <v>0</v>
      </c>
      <c r="AG498" s="4">
        <v>1</v>
      </c>
      <c r="AH498" s="4">
        <v>67</v>
      </c>
      <c r="AI498" s="4">
        <v>86</v>
      </c>
      <c r="AJ498" s="4">
        <v>7</v>
      </c>
      <c r="AK498" s="4">
        <v>12</v>
      </c>
      <c r="AL498" s="4">
        <v>43</v>
      </c>
      <c r="AM498" s="4">
        <v>53</v>
      </c>
      <c r="AN498" s="4">
        <v>0</v>
      </c>
      <c r="AO498" s="4">
        <v>0</v>
      </c>
      <c r="AP498" s="4">
        <v>7</v>
      </c>
      <c r="AQ498" s="4">
        <v>19</v>
      </c>
      <c r="AR498" s="3" t="s">
        <v>63</v>
      </c>
      <c r="AS498" s="3" t="s">
        <v>63</v>
      </c>
      <c r="AT498" s="3" t="s">
        <v>63</v>
      </c>
      <c r="AV498" s="6" t="str">
        <f>HYPERLINK("http://mcgill.on.worldcat.org/oclc/819905117","Catalog Record")</f>
        <v>Catalog Record</v>
      </c>
      <c r="AW498" s="6" t="str">
        <f>HYPERLINK("http://www.worldcat.org/oclc/819905117","WorldCat Record")</f>
        <v>WorldCat Record</v>
      </c>
      <c r="AX498" s="3" t="s">
        <v>5141</v>
      </c>
      <c r="AY498" s="3" t="s">
        <v>5142</v>
      </c>
      <c r="AZ498" s="3" t="s">
        <v>5143</v>
      </c>
      <c r="BA498" s="3" t="s">
        <v>5143</v>
      </c>
      <c r="BB498" s="3" t="s">
        <v>5144</v>
      </c>
      <c r="BC498" s="3" t="s">
        <v>82</v>
      </c>
      <c r="BD498" s="3" t="s">
        <v>70</v>
      </c>
      <c r="BE498" s="3" t="s">
        <v>5145</v>
      </c>
      <c r="BF498" s="3" t="s">
        <v>5144</v>
      </c>
      <c r="BG498" s="3" t="s">
        <v>5146</v>
      </c>
    </row>
    <row r="499" spans="1:59" ht="60" x14ac:dyDescent="0.25">
      <c r="A499" s="2" t="s">
        <v>59</v>
      </c>
      <c r="B499" s="2" t="s">
        <v>60</v>
      </c>
      <c r="C499" s="2" t="s">
        <v>5147</v>
      </c>
      <c r="D499" s="2" t="s">
        <v>5148</v>
      </c>
      <c r="E499" s="2" t="s">
        <v>5149</v>
      </c>
      <c r="G499" s="3" t="s">
        <v>63</v>
      </c>
      <c r="I499" s="3" t="s">
        <v>63</v>
      </c>
      <c r="J499" s="3" t="s">
        <v>63</v>
      </c>
      <c r="K499" s="3" t="s">
        <v>64</v>
      </c>
      <c r="L499" s="2" t="s">
        <v>5150</v>
      </c>
      <c r="M499" s="2" t="s">
        <v>5151</v>
      </c>
      <c r="N499" s="3" t="s">
        <v>531</v>
      </c>
      <c r="P499" s="3" t="s">
        <v>66</v>
      </c>
      <c r="Q499" s="2" t="s">
        <v>5152</v>
      </c>
      <c r="R499" s="3" t="s">
        <v>67</v>
      </c>
      <c r="S499" s="4">
        <v>17</v>
      </c>
      <c r="T499" s="4">
        <v>17</v>
      </c>
      <c r="U499" s="5" t="s">
        <v>5153</v>
      </c>
      <c r="V499" s="5" t="s">
        <v>5153</v>
      </c>
      <c r="W499" s="5" t="s">
        <v>69</v>
      </c>
      <c r="X499" s="5" t="s">
        <v>69</v>
      </c>
      <c r="Y499" s="4">
        <v>451</v>
      </c>
      <c r="Z499" s="4">
        <v>23</v>
      </c>
      <c r="AA499" s="4">
        <v>24</v>
      </c>
      <c r="AB499" s="4">
        <v>1</v>
      </c>
      <c r="AC499" s="4">
        <v>2</v>
      </c>
      <c r="AD499" s="4">
        <v>110</v>
      </c>
      <c r="AE499" s="4">
        <v>111</v>
      </c>
      <c r="AF499" s="4">
        <v>0</v>
      </c>
      <c r="AG499" s="4">
        <v>1</v>
      </c>
      <c r="AH499" s="4">
        <v>99</v>
      </c>
      <c r="AI499" s="4">
        <v>99</v>
      </c>
      <c r="AJ499" s="4">
        <v>15</v>
      </c>
      <c r="AK499" s="4">
        <v>16</v>
      </c>
      <c r="AL499" s="4">
        <v>53</v>
      </c>
      <c r="AM499" s="4">
        <v>53</v>
      </c>
      <c r="AN499" s="4">
        <v>0</v>
      </c>
      <c r="AO499" s="4">
        <v>0</v>
      </c>
      <c r="AP499" s="4">
        <v>18</v>
      </c>
      <c r="AQ499" s="4">
        <v>18</v>
      </c>
      <c r="AR499" s="3" t="s">
        <v>63</v>
      </c>
      <c r="AS499" s="3" t="s">
        <v>63</v>
      </c>
      <c r="AT499" s="3" t="s">
        <v>62</v>
      </c>
      <c r="AU499" s="6" t="str">
        <f>HYPERLINK("http://catalog.hathitrust.org/Record/002615452","HathiTrust Record")</f>
        <v>HathiTrust Record</v>
      </c>
      <c r="AV499" s="6" t="str">
        <f>HYPERLINK("http://mcgill.on.worldcat.org/oclc/25874499","Catalog Record")</f>
        <v>Catalog Record</v>
      </c>
      <c r="AW499" s="6" t="str">
        <f>HYPERLINK("http://www.worldcat.org/oclc/25874499","WorldCat Record")</f>
        <v>WorldCat Record</v>
      </c>
      <c r="AX499" s="3" t="s">
        <v>5154</v>
      </c>
      <c r="AY499" s="3" t="s">
        <v>5155</v>
      </c>
      <c r="AZ499" s="3" t="s">
        <v>5156</v>
      </c>
      <c r="BA499" s="3" t="s">
        <v>5156</v>
      </c>
      <c r="BB499" s="3" t="s">
        <v>5157</v>
      </c>
      <c r="BC499" s="3" t="s">
        <v>82</v>
      </c>
      <c r="BD499" s="3" t="s">
        <v>70</v>
      </c>
      <c r="BE499" s="3" t="s">
        <v>5158</v>
      </c>
      <c r="BF499" s="3" t="s">
        <v>5157</v>
      </c>
      <c r="BG499" s="3" t="s">
        <v>5159</v>
      </c>
    </row>
    <row r="500" spans="1:59" ht="60" x14ac:dyDescent="0.25">
      <c r="A500" s="2" t="s">
        <v>59</v>
      </c>
      <c r="B500" s="2" t="s">
        <v>60</v>
      </c>
      <c r="C500" s="2" t="s">
        <v>5160</v>
      </c>
      <c r="D500" s="2" t="s">
        <v>5161</v>
      </c>
      <c r="E500" s="2" t="s">
        <v>5162</v>
      </c>
      <c r="G500" s="3" t="s">
        <v>63</v>
      </c>
      <c r="I500" s="3" t="s">
        <v>63</v>
      </c>
      <c r="J500" s="3" t="s">
        <v>62</v>
      </c>
      <c r="K500" s="3" t="s">
        <v>64</v>
      </c>
      <c r="L500" s="2" t="s">
        <v>5163</v>
      </c>
      <c r="M500" s="2" t="s">
        <v>5164</v>
      </c>
      <c r="N500" s="3" t="s">
        <v>1343</v>
      </c>
      <c r="O500" s="2" t="s">
        <v>2691</v>
      </c>
      <c r="P500" s="3" t="s">
        <v>66</v>
      </c>
      <c r="R500" s="3" t="s">
        <v>67</v>
      </c>
      <c r="S500" s="4">
        <v>13</v>
      </c>
      <c r="T500" s="4">
        <v>13</v>
      </c>
      <c r="U500" s="5" t="s">
        <v>5165</v>
      </c>
      <c r="V500" s="5" t="s">
        <v>5165</v>
      </c>
      <c r="W500" s="5" t="s">
        <v>69</v>
      </c>
      <c r="X500" s="5" t="s">
        <v>69</v>
      </c>
      <c r="Y500" s="4">
        <v>11</v>
      </c>
      <c r="Z500" s="4">
        <v>2</v>
      </c>
      <c r="AA500" s="4">
        <v>50</v>
      </c>
      <c r="AB500" s="4">
        <v>2</v>
      </c>
      <c r="AC500" s="4">
        <v>9</v>
      </c>
      <c r="AD500" s="4">
        <v>2</v>
      </c>
      <c r="AE500" s="4">
        <v>140</v>
      </c>
      <c r="AF500" s="4">
        <v>0</v>
      </c>
      <c r="AG500" s="4">
        <v>5</v>
      </c>
      <c r="AH500" s="4">
        <v>2</v>
      </c>
      <c r="AI500" s="4">
        <v>112</v>
      </c>
      <c r="AJ500" s="4">
        <v>0</v>
      </c>
      <c r="AK500" s="4">
        <v>25</v>
      </c>
      <c r="AL500" s="4">
        <v>2</v>
      </c>
      <c r="AM500" s="4">
        <v>61</v>
      </c>
      <c r="AN500" s="4">
        <v>0</v>
      </c>
      <c r="AO500" s="4">
        <v>0</v>
      </c>
      <c r="AP500" s="4">
        <v>0</v>
      </c>
      <c r="AQ500" s="4">
        <v>34</v>
      </c>
      <c r="AR500" s="3" t="s">
        <v>63</v>
      </c>
      <c r="AS500" s="3" t="s">
        <v>63</v>
      </c>
      <c r="AT500" s="3" t="s">
        <v>63</v>
      </c>
      <c r="AV500" s="6" t="str">
        <f>HYPERLINK("http://mcgill.on.worldcat.org/oclc/42875671","Catalog Record")</f>
        <v>Catalog Record</v>
      </c>
      <c r="AW500" s="6" t="str">
        <f>HYPERLINK("http://www.worldcat.org/oclc/42875671","WorldCat Record")</f>
        <v>WorldCat Record</v>
      </c>
      <c r="AX500" s="3" t="s">
        <v>5166</v>
      </c>
      <c r="AY500" s="3" t="s">
        <v>5167</v>
      </c>
      <c r="AZ500" s="3" t="s">
        <v>5168</v>
      </c>
      <c r="BA500" s="3" t="s">
        <v>5168</v>
      </c>
      <c r="BB500" s="3" t="s">
        <v>5169</v>
      </c>
      <c r="BC500" s="3" t="s">
        <v>82</v>
      </c>
      <c r="BD500" s="3" t="s">
        <v>70</v>
      </c>
      <c r="BE500" s="3" t="s">
        <v>5170</v>
      </c>
      <c r="BF500" s="3" t="s">
        <v>5169</v>
      </c>
      <c r="BG500" s="3" t="s">
        <v>5171</v>
      </c>
    </row>
    <row r="501" spans="1:59" ht="60" x14ac:dyDescent="0.25">
      <c r="A501" s="2" t="s">
        <v>59</v>
      </c>
      <c r="B501" s="2" t="s">
        <v>60</v>
      </c>
      <c r="C501" s="2" t="s">
        <v>5172</v>
      </c>
      <c r="D501" s="2" t="s">
        <v>5173</v>
      </c>
      <c r="E501" s="2" t="s">
        <v>5174</v>
      </c>
      <c r="G501" s="3" t="s">
        <v>63</v>
      </c>
      <c r="I501" s="3" t="s">
        <v>63</v>
      </c>
      <c r="J501" s="3" t="s">
        <v>63</v>
      </c>
      <c r="K501" s="3" t="s">
        <v>64</v>
      </c>
      <c r="L501" s="2" t="s">
        <v>5175</v>
      </c>
      <c r="M501" s="2" t="s">
        <v>5176</v>
      </c>
      <c r="N501" s="3" t="s">
        <v>313</v>
      </c>
      <c r="P501" s="3" t="s">
        <v>90</v>
      </c>
      <c r="R501" s="3" t="s">
        <v>67</v>
      </c>
      <c r="S501" s="4">
        <v>0</v>
      </c>
      <c r="T501" s="4">
        <v>0</v>
      </c>
      <c r="W501" s="5" t="s">
        <v>69</v>
      </c>
      <c r="X501" s="5" t="s">
        <v>69</v>
      </c>
      <c r="Y501" s="4">
        <v>29</v>
      </c>
      <c r="Z501" s="4">
        <v>5</v>
      </c>
      <c r="AA501" s="4">
        <v>5</v>
      </c>
      <c r="AB501" s="4">
        <v>1</v>
      </c>
      <c r="AC501" s="4">
        <v>1</v>
      </c>
      <c r="AD501" s="4">
        <v>24</v>
      </c>
      <c r="AE501" s="4">
        <v>24</v>
      </c>
      <c r="AF501" s="4">
        <v>0</v>
      </c>
      <c r="AG501" s="4">
        <v>0</v>
      </c>
      <c r="AH501" s="4">
        <v>22</v>
      </c>
      <c r="AI501" s="4">
        <v>22</v>
      </c>
      <c r="AJ501" s="4">
        <v>3</v>
      </c>
      <c r="AK501" s="4">
        <v>3</v>
      </c>
      <c r="AL501" s="4">
        <v>17</v>
      </c>
      <c r="AM501" s="4">
        <v>17</v>
      </c>
      <c r="AN501" s="4">
        <v>0</v>
      </c>
      <c r="AO501" s="4">
        <v>0</v>
      </c>
      <c r="AP501" s="4">
        <v>3</v>
      </c>
      <c r="AQ501" s="4">
        <v>3</v>
      </c>
      <c r="AR501" s="3" t="s">
        <v>63</v>
      </c>
      <c r="AS501" s="3" t="s">
        <v>63</v>
      </c>
      <c r="AT501" s="3" t="s">
        <v>63</v>
      </c>
      <c r="AV501" s="6" t="str">
        <f>HYPERLINK("http://mcgill.on.worldcat.org/oclc/635865863","Catalog Record")</f>
        <v>Catalog Record</v>
      </c>
      <c r="AW501" s="6" t="str">
        <f>HYPERLINK("http://www.worldcat.org/oclc/635865863","WorldCat Record")</f>
        <v>WorldCat Record</v>
      </c>
      <c r="AX501" s="3" t="s">
        <v>5177</v>
      </c>
      <c r="AY501" s="3" t="s">
        <v>5178</v>
      </c>
      <c r="AZ501" s="3" t="s">
        <v>5179</v>
      </c>
      <c r="BA501" s="3" t="s">
        <v>5179</v>
      </c>
      <c r="BB501" s="3" t="s">
        <v>5180</v>
      </c>
      <c r="BC501" s="3" t="s">
        <v>82</v>
      </c>
      <c r="BD501" s="3" t="s">
        <v>70</v>
      </c>
      <c r="BE501" s="3" t="s">
        <v>5181</v>
      </c>
      <c r="BF501" s="3" t="s">
        <v>5180</v>
      </c>
      <c r="BG501" s="3" t="s">
        <v>5182</v>
      </c>
    </row>
    <row r="502" spans="1:59" ht="60" x14ac:dyDescent="0.25">
      <c r="A502" s="2" t="s">
        <v>59</v>
      </c>
      <c r="B502" s="2" t="s">
        <v>60</v>
      </c>
      <c r="C502" s="2" t="s">
        <v>5183</v>
      </c>
      <c r="D502" s="2" t="s">
        <v>5184</v>
      </c>
      <c r="E502" s="2" t="s">
        <v>5185</v>
      </c>
      <c r="G502" s="3" t="s">
        <v>63</v>
      </c>
      <c r="I502" s="3" t="s">
        <v>63</v>
      </c>
      <c r="J502" s="3" t="s">
        <v>63</v>
      </c>
      <c r="K502" s="3" t="s">
        <v>64</v>
      </c>
      <c r="L502" s="2" t="s">
        <v>5186</v>
      </c>
      <c r="M502" s="2" t="s">
        <v>5187</v>
      </c>
      <c r="N502" s="3" t="s">
        <v>143</v>
      </c>
      <c r="P502" s="3" t="s">
        <v>90</v>
      </c>
      <c r="R502" s="3" t="s">
        <v>67</v>
      </c>
      <c r="S502" s="4">
        <v>1</v>
      </c>
      <c r="T502" s="4">
        <v>1</v>
      </c>
      <c r="U502" s="5" t="s">
        <v>5188</v>
      </c>
      <c r="V502" s="5" t="s">
        <v>5188</v>
      </c>
      <c r="W502" s="5" t="s">
        <v>69</v>
      </c>
      <c r="X502" s="5" t="s">
        <v>69</v>
      </c>
      <c r="Y502" s="4">
        <v>49</v>
      </c>
      <c r="Z502" s="4">
        <v>6</v>
      </c>
      <c r="AA502" s="4">
        <v>6</v>
      </c>
      <c r="AB502" s="4">
        <v>1</v>
      </c>
      <c r="AC502" s="4">
        <v>1</v>
      </c>
      <c r="AD502" s="4">
        <v>29</v>
      </c>
      <c r="AE502" s="4">
        <v>29</v>
      </c>
      <c r="AF502" s="4">
        <v>0</v>
      </c>
      <c r="AG502" s="4">
        <v>0</v>
      </c>
      <c r="AH502" s="4">
        <v>28</v>
      </c>
      <c r="AI502" s="4">
        <v>28</v>
      </c>
      <c r="AJ502" s="4">
        <v>3</v>
      </c>
      <c r="AK502" s="4">
        <v>3</v>
      </c>
      <c r="AL502" s="4">
        <v>21</v>
      </c>
      <c r="AM502" s="4">
        <v>21</v>
      </c>
      <c r="AN502" s="4">
        <v>0</v>
      </c>
      <c r="AO502" s="4">
        <v>0</v>
      </c>
      <c r="AP502" s="4">
        <v>3</v>
      </c>
      <c r="AQ502" s="4">
        <v>3</v>
      </c>
      <c r="AR502" s="3" t="s">
        <v>63</v>
      </c>
      <c r="AS502" s="3" t="s">
        <v>63</v>
      </c>
      <c r="AT502" s="3" t="s">
        <v>63</v>
      </c>
      <c r="AV502" s="6" t="str">
        <f>HYPERLINK("http://mcgill.on.worldcat.org/oclc/889407257","Catalog Record")</f>
        <v>Catalog Record</v>
      </c>
      <c r="AW502" s="6" t="str">
        <f>HYPERLINK("http://www.worldcat.org/oclc/889407257","WorldCat Record")</f>
        <v>WorldCat Record</v>
      </c>
      <c r="AX502" s="3" t="s">
        <v>5189</v>
      </c>
      <c r="AY502" s="3" t="s">
        <v>5190</v>
      </c>
      <c r="AZ502" s="3" t="s">
        <v>5191</v>
      </c>
      <c r="BA502" s="3" t="s">
        <v>5191</v>
      </c>
      <c r="BB502" s="3" t="s">
        <v>5192</v>
      </c>
      <c r="BC502" s="3" t="s">
        <v>82</v>
      </c>
      <c r="BD502" s="3" t="s">
        <v>70</v>
      </c>
      <c r="BE502" s="3" t="s">
        <v>5193</v>
      </c>
      <c r="BF502" s="3" t="s">
        <v>5192</v>
      </c>
      <c r="BG502" s="3" t="s">
        <v>5194</v>
      </c>
    </row>
    <row r="503" spans="1:59" ht="60" x14ac:dyDescent="0.25">
      <c r="A503" s="2" t="s">
        <v>59</v>
      </c>
      <c r="B503" s="2" t="s">
        <v>60</v>
      </c>
      <c r="C503" s="2" t="s">
        <v>5195</v>
      </c>
      <c r="D503" s="2" t="s">
        <v>5196</v>
      </c>
      <c r="E503" s="2" t="s">
        <v>5197</v>
      </c>
      <c r="G503" s="3" t="s">
        <v>63</v>
      </c>
      <c r="I503" s="3" t="s">
        <v>62</v>
      </c>
      <c r="J503" s="3" t="s">
        <v>63</v>
      </c>
      <c r="K503" s="3" t="s">
        <v>64</v>
      </c>
      <c r="L503" s="2" t="s">
        <v>5198</v>
      </c>
      <c r="M503" s="2" t="s">
        <v>5199</v>
      </c>
      <c r="N503" s="3" t="s">
        <v>143</v>
      </c>
      <c r="P503" s="3" t="s">
        <v>90</v>
      </c>
      <c r="R503" s="3" t="s">
        <v>67</v>
      </c>
      <c r="S503" s="4">
        <v>1</v>
      </c>
      <c r="T503" s="4">
        <v>1</v>
      </c>
      <c r="W503" s="5" t="s">
        <v>69</v>
      </c>
      <c r="X503" s="5" t="s">
        <v>69</v>
      </c>
      <c r="Y503" s="4">
        <v>39</v>
      </c>
      <c r="Z503" s="4">
        <v>5</v>
      </c>
      <c r="AA503" s="4">
        <v>5</v>
      </c>
      <c r="AB503" s="4">
        <v>1</v>
      </c>
      <c r="AC503" s="4">
        <v>1</v>
      </c>
      <c r="AD503" s="4">
        <v>29</v>
      </c>
      <c r="AE503" s="4">
        <v>29</v>
      </c>
      <c r="AF503" s="4">
        <v>0</v>
      </c>
      <c r="AG503" s="4">
        <v>0</v>
      </c>
      <c r="AH503" s="4">
        <v>28</v>
      </c>
      <c r="AI503" s="4">
        <v>28</v>
      </c>
      <c r="AJ503" s="4">
        <v>3</v>
      </c>
      <c r="AK503" s="4">
        <v>3</v>
      </c>
      <c r="AL503" s="4">
        <v>21</v>
      </c>
      <c r="AM503" s="4">
        <v>21</v>
      </c>
      <c r="AN503" s="4">
        <v>0</v>
      </c>
      <c r="AO503" s="4">
        <v>0</v>
      </c>
      <c r="AP503" s="4">
        <v>3</v>
      </c>
      <c r="AQ503" s="4">
        <v>3</v>
      </c>
      <c r="AR503" s="3" t="s">
        <v>63</v>
      </c>
      <c r="AS503" s="3" t="s">
        <v>63</v>
      </c>
      <c r="AT503" s="3" t="s">
        <v>63</v>
      </c>
      <c r="AV503" s="6" t="str">
        <f>HYPERLINK("http://mcgill.on.worldcat.org/oclc/878039167","Catalog Record")</f>
        <v>Catalog Record</v>
      </c>
      <c r="AW503" s="6" t="str">
        <f>HYPERLINK("http://www.worldcat.org/oclc/878039167","WorldCat Record")</f>
        <v>WorldCat Record</v>
      </c>
      <c r="AX503" s="3" t="s">
        <v>5200</v>
      </c>
      <c r="AY503" s="3" t="s">
        <v>5201</v>
      </c>
      <c r="AZ503" s="3" t="s">
        <v>5202</v>
      </c>
      <c r="BA503" s="3" t="s">
        <v>5202</v>
      </c>
      <c r="BB503" s="3" t="s">
        <v>5203</v>
      </c>
      <c r="BC503" s="3" t="s">
        <v>82</v>
      </c>
      <c r="BD503" s="3" t="s">
        <v>538</v>
      </c>
      <c r="BE503" s="3" t="s">
        <v>5204</v>
      </c>
      <c r="BF503" s="3" t="s">
        <v>5203</v>
      </c>
      <c r="BG503" s="3" t="s">
        <v>5205</v>
      </c>
    </row>
    <row r="504" spans="1:59" ht="60" x14ac:dyDescent="0.25">
      <c r="A504" s="2" t="s">
        <v>59</v>
      </c>
      <c r="B504" s="2" t="s">
        <v>60</v>
      </c>
      <c r="C504" s="2" t="s">
        <v>5206</v>
      </c>
      <c r="D504" s="2" t="s">
        <v>5207</v>
      </c>
      <c r="E504" s="2" t="s">
        <v>5197</v>
      </c>
      <c r="G504" s="3" t="s">
        <v>63</v>
      </c>
      <c r="I504" s="3" t="s">
        <v>62</v>
      </c>
      <c r="J504" s="3" t="s">
        <v>63</v>
      </c>
      <c r="K504" s="3" t="s">
        <v>64</v>
      </c>
      <c r="L504" s="2" t="s">
        <v>5198</v>
      </c>
      <c r="M504" s="2" t="s">
        <v>5199</v>
      </c>
      <c r="N504" s="3" t="s">
        <v>143</v>
      </c>
      <c r="P504" s="3" t="s">
        <v>90</v>
      </c>
      <c r="R504" s="3" t="s">
        <v>67</v>
      </c>
      <c r="S504" s="4">
        <v>0</v>
      </c>
      <c r="T504" s="4">
        <v>1</v>
      </c>
      <c r="W504" s="5" t="s">
        <v>69</v>
      </c>
      <c r="X504" s="5" t="s">
        <v>69</v>
      </c>
      <c r="Y504" s="4">
        <v>39</v>
      </c>
      <c r="Z504" s="4">
        <v>5</v>
      </c>
      <c r="AA504" s="4">
        <v>5</v>
      </c>
      <c r="AB504" s="4">
        <v>1</v>
      </c>
      <c r="AC504" s="4">
        <v>1</v>
      </c>
      <c r="AD504" s="4">
        <v>29</v>
      </c>
      <c r="AE504" s="4">
        <v>29</v>
      </c>
      <c r="AF504" s="4">
        <v>0</v>
      </c>
      <c r="AG504" s="4">
        <v>0</v>
      </c>
      <c r="AH504" s="4">
        <v>28</v>
      </c>
      <c r="AI504" s="4">
        <v>28</v>
      </c>
      <c r="AJ504" s="4">
        <v>3</v>
      </c>
      <c r="AK504" s="4">
        <v>3</v>
      </c>
      <c r="AL504" s="4">
        <v>21</v>
      </c>
      <c r="AM504" s="4">
        <v>21</v>
      </c>
      <c r="AN504" s="4">
        <v>0</v>
      </c>
      <c r="AO504" s="4">
        <v>0</v>
      </c>
      <c r="AP504" s="4">
        <v>3</v>
      </c>
      <c r="AQ504" s="4">
        <v>3</v>
      </c>
      <c r="AR504" s="3" t="s">
        <v>63</v>
      </c>
      <c r="AS504" s="3" t="s">
        <v>63</v>
      </c>
      <c r="AT504" s="3" t="s">
        <v>63</v>
      </c>
      <c r="AV504" s="6" t="str">
        <f>HYPERLINK("http://mcgill.on.worldcat.org/oclc/878039167","Catalog Record")</f>
        <v>Catalog Record</v>
      </c>
      <c r="AW504" s="6" t="str">
        <f>HYPERLINK("http://www.worldcat.org/oclc/878039167","WorldCat Record")</f>
        <v>WorldCat Record</v>
      </c>
      <c r="AX504" s="3" t="s">
        <v>5200</v>
      </c>
      <c r="AY504" s="3" t="s">
        <v>5201</v>
      </c>
      <c r="AZ504" s="3" t="s">
        <v>5202</v>
      </c>
      <c r="BA504" s="3" t="s">
        <v>5202</v>
      </c>
      <c r="BB504" s="3" t="s">
        <v>5208</v>
      </c>
      <c r="BC504" s="3" t="s">
        <v>82</v>
      </c>
      <c r="BD504" s="3" t="s">
        <v>70</v>
      </c>
      <c r="BE504" s="3" t="s">
        <v>5204</v>
      </c>
      <c r="BF504" s="3" t="s">
        <v>5208</v>
      </c>
      <c r="BG504" s="3" t="s">
        <v>5209</v>
      </c>
    </row>
    <row r="505" spans="1:59" ht="60" x14ac:dyDescent="0.25">
      <c r="A505" s="2" t="s">
        <v>59</v>
      </c>
      <c r="B505" s="2" t="s">
        <v>60</v>
      </c>
      <c r="C505" s="2" t="s">
        <v>5210</v>
      </c>
      <c r="D505" s="2" t="s">
        <v>5211</v>
      </c>
      <c r="E505" s="2" t="s">
        <v>5212</v>
      </c>
      <c r="G505" s="3" t="s">
        <v>63</v>
      </c>
      <c r="I505" s="3" t="s">
        <v>63</v>
      </c>
      <c r="J505" s="3" t="s">
        <v>63</v>
      </c>
      <c r="K505" s="3" t="s">
        <v>64</v>
      </c>
      <c r="M505" s="2" t="s">
        <v>5213</v>
      </c>
      <c r="N505" s="3" t="s">
        <v>629</v>
      </c>
      <c r="P505" s="3" t="s">
        <v>90</v>
      </c>
      <c r="R505" s="3" t="s">
        <v>67</v>
      </c>
      <c r="S505" s="4">
        <v>0</v>
      </c>
      <c r="T505" s="4">
        <v>0</v>
      </c>
      <c r="W505" s="5" t="s">
        <v>69</v>
      </c>
      <c r="X505" s="5" t="s">
        <v>69</v>
      </c>
      <c r="Y505" s="4">
        <v>11</v>
      </c>
      <c r="Z505" s="4">
        <v>1</v>
      </c>
      <c r="AA505" s="4">
        <v>1</v>
      </c>
      <c r="AB505" s="4">
        <v>1</v>
      </c>
      <c r="AC505" s="4">
        <v>1</v>
      </c>
      <c r="AD505" s="4">
        <v>8</v>
      </c>
      <c r="AE505" s="4">
        <v>8</v>
      </c>
      <c r="AF505" s="4">
        <v>0</v>
      </c>
      <c r="AG505" s="4">
        <v>0</v>
      </c>
      <c r="AH505" s="4">
        <v>7</v>
      </c>
      <c r="AI505" s="4">
        <v>7</v>
      </c>
      <c r="AJ505" s="4">
        <v>0</v>
      </c>
      <c r="AK505" s="4">
        <v>0</v>
      </c>
      <c r="AL505" s="4">
        <v>8</v>
      </c>
      <c r="AM505" s="4">
        <v>8</v>
      </c>
      <c r="AN505" s="4">
        <v>0</v>
      </c>
      <c r="AO505" s="4">
        <v>0</v>
      </c>
      <c r="AP505" s="4">
        <v>0</v>
      </c>
      <c r="AQ505" s="4">
        <v>0</v>
      </c>
      <c r="AR505" s="3" t="s">
        <v>63</v>
      </c>
      <c r="AS505" s="3" t="s">
        <v>63</v>
      </c>
      <c r="AT505" s="3" t="s">
        <v>63</v>
      </c>
      <c r="AV505" s="6" t="str">
        <f>HYPERLINK("http://mcgill.on.worldcat.org/oclc/729552429","Catalog Record")</f>
        <v>Catalog Record</v>
      </c>
      <c r="AW505" s="6" t="str">
        <f>HYPERLINK("http://www.worldcat.org/oclc/729552429","WorldCat Record")</f>
        <v>WorldCat Record</v>
      </c>
      <c r="AX505" s="3" t="s">
        <v>5214</v>
      </c>
      <c r="AY505" s="3" t="s">
        <v>5215</v>
      </c>
      <c r="AZ505" s="3" t="s">
        <v>5216</v>
      </c>
      <c r="BA505" s="3" t="s">
        <v>5216</v>
      </c>
      <c r="BB505" s="3" t="s">
        <v>5217</v>
      </c>
      <c r="BC505" s="3" t="s">
        <v>82</v>
      </c>
      <c r="BD505" s="3" t="s">
        <v>70</v>
      </c>
      <c r="BE505" s="3" t="s">
        <v>5218</v>
      </c>
      <c r="BF505" s="3" t="s">
        <v>5217</v>
      </c>
      <c r="BG505" s="3" t="s">
        <v>5219</v>
      </c>
    </row>
    <row r="506" spans="1:59" ht="75" x14ac:dyDescent="0.25">
      <c r="A506" s="2" t="s">
        <v>59</v>
      </c>
      <c r="B506" s="2" t="s">
        <v>60</v>
      </c>
      <c r="C506" s="2" t="s">
        <v>5220</v>
      </c>
      <c r="D506" s="2" t="s">
        <v>5221</v>
      </c>
      <c r="E506" s="2" t="s">
        <v>5222</v>
      </c>
      <c r="G506" s="3" t="s">
        <v>63</v>
      </c>
      <c r="I506" s="3" t="s">
        <v>63</v>
      </c>
      <c r="J506" s="3" t="s">
        <v>63</v>
      </c>
      <c r="K506" s="3" t="s">
        <v>64</v>
      </c>
      <c r="L506" s="2" t="s">
        <v>5223</v>
      </c>
      <c r="M506" s="2" t="s">
        <v>5224</v>
      </c>
      <c r="N506" s="3" t="s">
        <v>204</v>
      </c>
      <c r="P506" s="3" t="s">
        <v>66</v>
      </c>
      <c r="R506" s="3" t="s">
        <v>67</v>
      </c>
      <c r="S506" s="4">
        <v>8</v>
      </c>
      <c r="T506" s="4">
        <v>8</v>
      </c>
      <c r="U506" s="5" t="s">
        <v>5225</v>
      </c>
      <c r="V506" s="5" t="s">
        <v>5225</v>
      </c>
      <c r="W506" s="5" t="s">
        <v>69</v>
      </c>
      <c r="X506" s="5" t="s">
        <v>69</v>
      </c>
      <c r="Y506" s="4">
        <v>547</v>
      </c>
      <c r="Z506" s="4">
        <v>30</v>
      </c>
      <c r="AA506" s="4">
        <v>30</v>
      </c>
      <c r="AB506" s="4">
        <v>2</v>
      </c>
      <c r="AC506" s="4">
        <v>2</v>
      </c>
      <c r="AD506" s="4">
        <v>102</v>
      </c>
      <c r="AE506" s="4">
        <v>102</v>
      </c>
      <c r="AF506" s="4">
        <v>1</v>
      </c>
      <c r="AG506" s="4">
        <v>1</v>
      </c>
      <c r="AH506" s="4">
        <v>89</v>
      </c>
      <c r="AI506" s="4">
        <v>89</v>
      </c>
      <c r="AJ506" s="4">
        <v>13</v>
      </c>
      <c r="AK506" s="4">
        <v>13</v>
      </c>
      <c r="AL506" s="4">
        <v>53</v>
      </c>
      <c r="AM506" s="4">
        <v>53</v>
      </c>
      <c r="AN506" s="4">
        <v>0</v>
      </c>
      <c r="AO506" s="4">
        <v>0</v>
      </c>
      <c r="AP506" s="4">
        <v>19</v>
      </c>
      <c r="AQ506" s="4">
        <v>19</v>
      </c>
      <c r="AR506" s="3" t="s">
        <v>63</v>
      </c>
      <c r="AS506" s="3" t="s">
        <v>63</v>
      </c>
      <c r="AT506" s="3" t="s">
        <v>63</v>
      </c>
      <c r="AV506" s="6" t="str">
        <f>HYPERLINK("http://mcgill.on.worldcat.org/oclc/34113255","Catalog Record")</f>
        <v>Catalog Record</v>
      </c>
      <c r="AW506" s="6" t="str">
        <f>HYPERLINK("http://www.worldcat.org/oclc/34113255","WorldCat Record")</f>
        <v>WorldCat Record</v>
      </c>
      <c r="AX506" s="3" t="s">
        <v>5226</v>
      </c>
      <c r="AY506" s="3" t="s">
        <v>5227</v>
      </c>
      <c r="AZ506" s="3" t="s">
        <v>5228</v>
      </c>
      <c r="BA506" s="3" t="s">
        <v>5228</v>
      </c>
      <c r="BB506" s="3" t="s">
        <v>5229</v>
      </c>
      <c r="BC506" s="3" t="s">
        <v>82</v>
      </c>
      <c r="BD506" s="3" t="s">
        <v>538</v>
      </c>
      <c r="BE506" s="3" t="s">
        <v>5230</v>
      </c>
      <c r="BF506" s="3" t="s">
        <v>5229</v>
      </c>
      <c r="BG506" s="3" t="s">
        <v>5231</v>
      </c>
    </row>
    <row r="507" spans="1:59" ht="60" x14ac:dyDescent="0.25">
      <c r="A507" s="2" t="s">
        <v>59</v>
      </c>
      <c r="B507" s="2" t="s">
        <v>60</v>
      </c>
      <c r="C507" s="2" t="s">
        <v>5232</v>
      </c>
      <c r="D507" s="2" t="s">
        <v>5233</v>
      </c>
      <c r="E507" s="2" t="s">
        <v>5234</v>
      </c>
      <c r="G507" s="3" t="s">
        <v>63</v>
      </c>
      <c r="I507" s="3" t="s">
        <v>63</v>
      </c>
      <c r="J507" s="3" t="s">
        <v>63</v>
      </c>
      <c r="K507" s="3" t="s">
        <v>64</v>
      </c>
      <c r="L507" s="2" t="s">
        <v>5235</v>
      </c>
      <c r="M507" s="2" t="s">
        <v>5236</v>
      </c>
      <c r="N507" s="3" t="s">
        <v>106</v>
      </c>
      <c r="P507" s="3" t="s">
        <v>90</v>
      </c>
      <c r="Q507" s="2" t="s">
        <v>4553</v>
      </c>
      <c r="R507" s="3" t="s">
        <v>67</v>
      </c>
      <c r="S507" s="4">
        <v>0</v>
      </c>
      <c r="T507" s="4">
        <v>0</v>
      </c>
      <c r="W507" s="5" t="s">
        <v>69</v>
      </c>
      <c r="X507" s="5" t="s">
        <v>69</v>
      </c>
      <c r="Y507" s="4">
        <v>32</v>
      </c>
      <c r="Z507" s="4">
        <v>1</v>
      </c>
      <c r="AA507" s="4">
        <v>1</v>
      </c>
      <c r="AB507" s="4">
        <v>1</v>
      </c>
      <c r="AC507" s="4">
        <v>1</v>
      </c>
      <c r="AD507" s="4">
        <v>24</v>
      </c>
      <c r="AE507" s="4">
        <v>24</v>
      </c>
      <c r="AF507" s="4">
        <v>0</v>
      </c>
      <c r="AG507" s="4">
        <v>0</v>
      </c>
      <c r="AH507" s="4">
        <v>24</v>
      </c>
      <c r="AI507" s="4">
        <v>24</v>
      </c>
      <c r="AJ507" s="4">
        <v>0</v>
      </c>
      <c r="AK507" s="4">
        <v>0</v>
      </c>
      <c r="AL507" s="4">
        <v>20</v>
      </c>
      <c r="AM507" s="4">
        <v>20</v>
      </c>
      <c r="AN507" s="4">
        <v>0</v>
      </c>
      <c r="AO507" s="4">
        <v>0</v>
      </c>
      <c r="AP507" s="4">
        <v>0</v>
      </c>
      <c r="AQ507" s="4">
        <v>0</v>
      </c>
      <c r="AR507" s="3" t="s">
        <v>63</v>
      </c>
      <c r="AS507" s="3" t="s">
        <v>63</v>
      </c>
      <c r="AT507" s="3" t="s">
        <v>63</v>
      </c>
      <c r="AV507" s="6" t="str">
        <f>HYPERLINK("http://mcgill.on.worldcat.org/oclc/962187068","Catalog Record")</f>
        <v>Catalog Record</v>
      </c>
      <c r="AW507" s="6" t="str">
        <f>HYPERLINK("http://www.worldcat.org/oclc/962187068","WorldCat Record")</f>
        <v>WorldCat Record</v>
      </c>
      <c r="AX507" s="3" t="s">
        <v>5237</v>
      </c>
      <c r="AY507" s="3" t="s">
        <v>5238</v>
      </c>
      <c r="AZ507" s="3" t="s">
        <v>5239</v>
      </c>
      <c r="BA507" s="3" t="s">
        <v>5239</v>
      </c>
      <c r="BB507" s="3" t="s">
        <v>5240</v>
      </c>
      <c r="BC507" s="3" t="s">
        <v>82</v>
      </c>
      <c r="BD507" s="3" t="s">
        <v>70</v>
      </c>
      <c r="BE507" s="3" t="s">
        <v>5241</v>
      </c>
      <c r="BF507" s="3" t="s">
        <v>5240</v>
      </c>
      <c r="BG507" s="3" t="s">
        <v>5242</v>
      </c>
    </row>
    <row r="508" spans="1:59" ht="60" x14ac:dyDescent="0.25">
      <c r="A508" s="2" t="s">
        <v>59</v>
      </c>
      <c r="B508" s="2" t="s">
        <v>60</v>
      </c>
      <c r="C508" s="2" t="s">
        <v>5243</v>
      </c>
      <c r="D508" s="2" t="s">
        <v>5244</v>
      </c>
      <c r="E508" s="2" t="s">
        <v>5245</v>
      </c>
      <c r="G508" s="3" t="s">
        <v>63</v>
      </c>
      <c r="I508" s="3" t="s">
        <v>63</v>
      </c>
      <c r="J508" s="3" t="s">
        <v>63</v>
      </c>
      <c r="K508" s="3" t="s">
        <v>64</v>
      </c>
      <c r="M508" s="2" t="s">
        <v>5246</v>
      </c>
      <c r="N508" s="3" t="s">
        <v>287</v>
      </c>
      <c r="P508" s="3" t="s">
        <v>90</v>
      </c>
      <c r="Q508" s="2" t="s">
        <v>5247</v>
      </c>
      <c r="R508" s="3" t="s">
        <v>67</v>
      </c>
      <c r="S508" s="4">
        <v>0</v>
      </c>
      <c r="T508" s="4">
        <v>0</v>
      </c>
      <c r="W508" s="5" t="s">
        <v>69</v>
      </c>
      <c r="X508" s="5" t="s">
        <v>69</v>
      </c>
      <c r="Y508" s="4">
        <v>3</v>
      </c>
      <c r="Z508" s="4">
        <v>1</v>
      </c>
      <c r="AA508" s="4">
        <v>1</v>
      </c>
      <c r="AB508" s="4">
        <v>1</v>
      </c>
      <c r="AC508" s="4">
        <v>1</v>
      </c>
      <c r="AD508" s="4">
        <v>2</v>
      </c>
      <c r="AE508" s="4">
        <v>4</v>
      </c>
      <c r="AF508" s="4">
        <v>0</v>
      </c>
      <c r="AG508" s="4">
        <v>0</v>
      </c>
      <c r="AH508" s="4">
        <v>2</v>
      </c>
      <c r="AI508" s="4">
        <v>4</v>
      </c>
      <c r="AJ508" s="4">
        <v>0</v>
      </c>
      <c r="AK508" s="4">
        <v>0</v>
      </c>
      <c r="AL508" s="4">
        <v>0</v>
      </c>
      <c r="AM508" s="4">
        <v>1</v>
      </c>
      <c r="AN508" s="4">
        <v>0</v>
      </c>
      <c r="AO508" s="4">
        <v>0</v>
      </c>
      <c r="AP508" s="4">
        <v>0</v>
      </c>
      <c r="AQ508" s="4">
        <v>0</v>
      </c>
      <c r="AR508" s="3" t="s">
        <v>63</v>
      </c>
      <c r="AS508" s="3" t="s">
        <v>63</v>
      </c>
      <c r="AT508" s="3" t="s">
        <v>63</v>
      </c>
      <c r="AV508" s="6" t="str">
        <f>HYPERLINK("http://mcgill.on.worldcat.org/oclc/1039236622","Catalog Record")</f>
        <v>Catalog Record</v>
      </c>
      <c r="AW508" s="6" t="str">
        <f>HYPERLINK("http://www.worldcat.org/oclc/1039236622","WorldCat Record")</f>
        <v>WorldCat Record</v>
      </c>
      <c r="AX508" s="3" t="s">
        <v>5248</v>
      </c>
      <c r="AY508" s="3" t="s">
        <v>5249</v>
      </c>
      <c r="AZ508" s="3" t="s">
        <v>5250</v>
      </c>
      <c r="BA508" s="3" t="s">
        <v>5250</v>
      </c>
      <c r="BB508" s="3" t="s">
        <v>5251</v>
      </c>
      <c r="BC508" s="3" t="s">
        <v>82</v>
      </c>
      <c r="BD508" s="3" t="s">
        <v>70</v>
      </c>
      <c r="BE508" s="3" t="s">
        <v>5252</v>
      </c>
      <c r="BF508" s="3" t="s">
        <v>5251</v>
      </c>
      <c r="BG508" s="3" t="s">
        <v>5253</v>
      </c>
    </row>
    <row r="509" spans="1:59" ht="60" x14ac:dyDescent="0.25">
      <c r="A509" s="2" t="s">
        <v>59</v>
      </c>
      <c r="B509" s="2" t="s">
        <v>60</v>
      </c>
      <c r="C509" s="2" t="s">
        <v>5254</v>
      </c>
      <c r="D509" s="2" t="s">
        <v>5255</v>
      </c>
      <c r="E509" s="2" t="s">
        <v>5256</v>
      </c>
      <c r="G509" s="3" t="s">
        <v>63</v>
      </c>
      <c r="I509" s="3" t="s">
        <v>63</v>
      </c>
      <c r="J509" s="3" t="s">
        <v>63</v>
      </c>
      <c r="K509" s="3" t="s">
        <v>64</v>
      </c>
      <c r="L509" s="2" t="s">
        <v>5257</v>
      </c>
      <c r="M509" s="2" t="s">
        <v>5258</v>
      </c>
      <c r="N509" s="3" t="s">
        <v>76</v>
      </c>
      <c r="O509" s="2" t="s">
        <v>5259</v>
      </c>
      <c r="P509" s="3" t="s">
        <v>66</v>
      </c>
      <c r="R509" s="3" t="s">
        <v>67</v>
      </c>
      <c r="S509" s="4">
        <v>1</v>
      </c>
      <c r="T509" s="4">
        <v>1</v>
      </c>
      <c r="U509" s="5" t="s">
        <v>5260</v>
      </c>
      <c r="V509" s="5" t="s">
        <v>5260</v>
      </c>
      <c r="W509" s="5" t="s">
        <v>69</v>
      </c>
      <c r="X509" s="5" t="s">
        <v>69</v>
      </c>
      <c r="Y509" s="4">
        <v>389</v>
      </c>
      <c r="Z509" s="4">
        <v>22</v>
      </c>
      <c r="AA509" s="4">
        <v>38</v>
      </c>
      <c r="AB509" s="4">
        <v>2</v>
      </c>
      <c r="AC509" s="4">
        <v>7</v>
      </c>
      <c r="AD509" s="4">
        <v>53</v>
      </c>
      <c r="AE509" s="4">
        <v>57</v>
      </c>
      <c r="AF509" s="4">
        <v>0</v>
      </c>
      <c r="AG509" s="4">
        <v>1</v>
      </c>
      <c r="AH509" s="4">
        <v>49</v>
      </c>
      <c r="AI509" s="4">
        <v>53</v>
      </c>
      <c r="AJ509" s="4">
        <v>7</v>
      </c>
      <c r="AK509" s="4">
        <v>8</v>
      </c>
      <c r="AL509" s="4">
        <v>29</v>
      </c>
      <c r="AM509" s="4">
        <v>29</v>
      </c>
      <c r="AN509" s="4">
        <v>0</v>
      </c>
      <c r="AO509" s="4">
        <v>0</v>
      </c>
      <c r="AP509" s="4">
        <v>8</v>
      </c>
      <c r="AQ509" s="4">
        <v>9</v>
      </c>
      <c r="AR509" s="3" t="s">
        <v>63</v>
      </c>
      <c r="AS509" s="3" t="s">
        <v>63</v>
      </c>
      <c r="AT509" s="3" t="s">
        <v>63</v>
      </c>
      <c r="AV509" s="6" t="str">
        <f>HYPERLINK("http://mcgill.on.worldcat.org/oclc/755705009","Catalog Record")</f>
        <v>Catalog Record</v>
      </c>
      <c r="AW509" s="6" t="str">
        <f>HYPERLINK("http://www.worldcat.org/oclc/755705009","WorldCat Record")</f>
        <v>WorldCat Record</v>
      </c>
      <c r="AX509" s="3" t="s">
        <v>5261</v>
      </c>
      <c r="AY509" s="3" t="s">
        <v>5262</v>
      </c>
      <c r="AZ509" s="3" t="s">
        <v>5263</v>
      </c>
      <c r="BA509" s="3" t="s">
        <v>5263</v>
      </c>
      <c r="BB509" s="3" t="s">
        <v>5264</v>
      </c>
      <c r="BC509" s="3" t="s">
        <v>82</v>
      </c>
      <c r="BD509" s="3" t="s">
        <v>70</v>
      </c>
      <c r="BE509" s="3" t="s">
        <v>5265</v>
      </c>
      <c r="BF509" s="3" t="s">
        <v>5264</v>
      </c>
      <c r="BG509" s="3" t="s">
        <v>5266</v>
      </c>
    </row>
    <row r="510" spans="1:59" ht="60" x14ac:dyDescent="0.25">
      <c r="A510" s="2" t="s">
        <v>59</v>
      </c>
      <c r="B510" s="2" t="s">
        <v>60</v>
      </c>
      <c r="C510" s="2" t="s">
        <v>5267</v>
      </c>
      <c r="D510" s="2" t="s">
        <v>5268</v>
      </c>
      <c r="E510" s="2" t="s">
        <v>5269</v>
      </c>
      <c r="G510" s="3" t="s">
        <v>63</v>
      </c>
      <c r="I510" s="3" t="s">
        <v>63</v>
      </c>
      <c r="J510" s="3" t="s">
        <v>63</v>
      </c>
      <c r="K510" s="3" t="s">
        <v>64</v>
      </c>
      <c r="L510" s="2" t="s">
        <v>5270</v>
      </c>
      <c r="M510" s="2" t="s">
        <v>5271</v>
      </c>
      <c r="N510" s="3" t="s">
        <v>76</v>
      </c>
      <c r="P510" s="3" t="s">
        <v>90</v>
      </c>
      <c r="Q510" s="2" t="s">
        <v>5272</v>
      </c>
      <c r="R510" s="3" t="s">
        <v>67</v>
      </c>
      <c r="S510" s="4">
        <v>0</v>
      </c>
      <c r="T510" s="4">
        <v>0</v>
      </c>
      <c r="W510" s="5" t="s">
        <v>69</v>
      </c>
      <c r="X510" s="5" t="s">
        <v>69</v>
      </c>
      <c r="Y510" s="4">
        <v>31</v>
      </c>
      <c r="Z510" s="4">
        <v>3</v>
      </c>
      <c r="AA510" s="4">
        <v>3</v>
      </c>
      <c r="AB510" s="4">
        <v>1</v>
      </c>
      <c r="AC510" s="4">
        <v>1</v>
      </c>
      <c r="AD510" s="4">
        <v>24</v>
      </c>
      <c r="AE510" s="4">
        <v>24</v>
      </c>
      <c r="AF510" s="4">
        <v>0</v>
      </c>
      <c r="AG510" s="4">
        <v>0</v>
      </c>
      <c r="AH510" s="4">
        <v>23</v>
      </c>
      <c r="AI510" s="4">
        <v>23</v>
      </c>
      <c r="AJ510" s="4">
        <v>1</v>
      </c>
      <c r="AK510" s="4">
        <v>1</v>
      </c>
      <c r="AL510" s="4">
        <v>19</v>
      </c>
      <c r="AM510" s="4">
        <v>19</v>
      </c>
      <c r="AN510" s="4">
        <v>0</v>
      </c>
      <c r="AO510" s="4">
        <v>0</v>
      </c>
      <c r="AP510" s="4">
        <v>1</v>
      </c>
      <c r="AQ510" s="4">
        <v>1</v>
      </c>
      <c r="AR510" s="3" t="s">
        <v>63</v>
      </c>
      <c r="AS510" s="3" t="s">
        <v>63</v>
      </c>
      <c r="AT510" s="3" t="s">
        <v>63</v>
      </c>
      <c r="AV510" s="6" t="str">
        <f>HYPERLINK("http://mcgill.on.worldcat.org/oclc/793419500","Catalog Record")</f>
        <v>Catalog Record</v>
      </c>
      <c r="AW510" s="6" t="str">
        <f>HYPERLINK("http://www.worldcat.org/oclc/793419500","WorldCat Record")</f>
        <v>WorldCat Record</v>
      </c>
      <c r="AX510" s="3" t="s">
        <v>5273</v>
      </c>
      <c r="AY510" s="3" t="s">
        <v>5274</v>
      </c>
      <c r="AZ510" s="3" t="s">
        <v>5275</v>
      </c>
      <c r="BA510" s="3" t="s">
        <v>5275</v>
      </c>
      <c r="BB510" s="3" t="s">
        <v>5276</v>
      </c>
      <c r="BC510" s="3" t="s">
        <v>82</v>
      </c>
      <c r="BD510" s="3" t="s">
        <v>70</v>
      </c>
      <c r="BE510" s="3" t="s">
        <v>5277</v>
      </c>
      <c r="BF510" s="3" t="s">
        <v>5276</v>
      </c>
      <c r="BG510" s="3" t="s">
        <v>5278</v>
      </c>
    </row>
    <row r="511" spans="1:59" ht="60" x14ac:dyDescent="0.25">
      <c r="A511" s="2" t="s">
        <v>59</v>
      </c>
      <c r="B511" s="2" t="s">
        <v>60</v>
      </c>
      <c r="C511" s="2" t="s">
        <v>5279</v>
      </c>
      <c r="D511" s="2" t="s">
        <v>5280</v>
      </c>
      <c r="E511" s="2" t="s">
        <v>5281</v>
      </c>
      <c r="G511" s="3" t="s">
        <v>63</v>
      </c>
      <c r="I511" s="3" t="s">
        <v>63</v>
      </c>
      <c r="J511" s="3" t="s">
        <v>63</v>
      </c>
      <c r="K511" s="3" t="s">
        <v>64</v>
      </c>
      <c r="M511" s="2" t="s">
        <v>5282</v>
      </c>
      <c r="N511" s="3" t="s">
        <v>220</v>
      </c>
      <c r="P511" s="3" t="s">
        <v>66</v>
      </c>
      <c r="R511" s="3" t="s">
        <v>67</v>
      </c>
      <c r="S511" s="4">
        <v>6</v>
      </c>
      <c r="T511" s="4">
        <v>6</v>
      </c>
      <c r="U511" s="5" t="s">
        <v>5283</v>
      </c>
      <c r="V511" s="5" t="s">
        <v>5283</v>
      </c>
      <c r="W511" s="5" t="s">
        <v>69</v>
      </c>
      <c r="X511" s="5" t="s">
        <v>69</v>
      </c>
      <c r="Y511" s="4">
        <v>432</v>
      </c>
      <c r="Z511" s="4">
        <v>29</v>
      </c>
      <c r="AA511" s="4">
        <v>56</v>
      </c>
      <c r="AB511" s="4">
        <v>1</v>
      </c>
      <c r="AC511" s="4">
        <v>7</v>
      </c>
      <c r="AD511" s="4">
        <v>112</v>
      </c>
      <c r="AE511" s="4">
        <v>118</v>
      </c>
      <c r="AF511" s="4">
        <v>0</v>
      </c>
      <c r="AG511" s="4">
        <v>0</v>
      </c>
      <c r="AH511" s="4">
        <v>99</v>
      </c>
      <c r="AI511" s="4">
        <v>104</v>
      </c>
      <c r="AJ511" s="4">
        <v>17</v>
      </c>
      <c r="AK511" s="4">
        <v>17</v>
      </c>
      <c r="AL511" s="4">
        <v>54</v>
      </c>
      <c r="AM511" s="4">
        <v>56</v>
      </c>
      <c r="AN511" s="4">
        <v>0</v>
      </c>
      <c r="AO511" s="4">
        <v>0</v>
      </c>
      <c r="AP511" s="4">
        <v>22</v>
      </c>
      <c r="AQ511" s="4">
        <v>23</v>
      </c>
      <c r="AR511" s="3" t="s">
        <v>63</v>
      </c>
      <c r="AS511" s="3" t="s">
        <v>63</v>
      </c>
      <c r="AT511" s="3" t="s">
        <v>62</v>
      </c>
      <c r="AU511" s="6" t="str">
        <f>HYPERLINK("http://catalog.hathitrust.org/Record/002783996","HathiTrust Record")</f>
        <v>HathiTrust Record</v>
      </c>
      <c r="AV511" s="6" t="str">
        <f>HYPERLINK("http://mcgill.on.worldcat.org/oclc/27641655","Catalog Record")</f>
        <v>Catalog Record</v>
      </c>
      <c r="AW511" s="6" t="str">
        <f>HYPERLINK("http://www.worldcat.org/oclc/27641655","WorldCat Record")</f>
        <v>WorldCat Record</v>
      </c>
      <c r="AX511" s="3" t="s">
        <v>5284</v>
      </c>
      <c r="AY511" s="3" t="s">
        <v>5285</v>
      </c>
      <c r="AZ511" s="3" t="s">
        <v>5286</v>
      </c>
      <c r="BA511" s="3" t="s">
        <v>5286</v>
      </c>
      <c r="BB511" s="3" t="s">
        <v>5287</v>
      </c>
      <c r="BC511" s="3" t="s">
        <v>82</v>
      </c>
      <c r="BD511" s="3" t="s">
        <v>70</v>
      </c>
      <c r="BE511" s="3" t="s">
        <v>5288</v>
      </c>
      <c r="BF511" s="3" t="s">
        <v>5287</v>
      </c>
      <c r="BG511" s="3" t="s">
        <v>5289</v>
      </c>
    </row>
    <row r="512" spans="1:59" ht="60" x14ac:dyDescent="0.25">
      <c r="A512" s="2" t="s">
        <v>59</v>
      </c>
      <c r="B512" s="2" t="s">
        <v>60</v>
      </c>
      <c r="C512" s="2" t="s">
        <v>5290</v>
      </c>
      <c r="D512" s="2" t="s">
        <v>5291</v>
      </c>
      <c r="E512" s="2" t="s">
        <v>5292</v>
      </c>
      <c r="G512" s="3" t="s">
        <v>63</v>
      </c>
      <c r="I512" s="3" t="s">
        <v>63</v>
      </c>
      <c r="J512" s="3" t="s">
        <v>63</v>
      </c>
      <c r="K512" s="3" t="s">
        <v>64</v>
      </c>
      <c r="M512" s="2" t="s">
        <v>5293</v>
      </c>
      <c r="N512" s="3" t="s">
        <v>204</v>
      </c>
      <c r="P512" s="3" t="s">
        <v>66</v>
      </c>
      <c r="Q512" s="2" t="s">
        <v>5294</v>
      </c>
      <c r="R512" s="3" t="s">
        <v>67</v>
      </c>
      <c r="S512" s="4">
        <v>38</v>
      </c>
      <c r="T512" s="4">
        <v>38</v>
      </c>
      <c r="U512" s="5" t="s">
        <v>2009</v>
      </c>
      <c r="V512" s="5" t="s">
        <v>2009</v>
      </c>
      <c r="W512" s="5" t="s">
        <v>69</v>
      </c>
      <c r="X512" s="5" t="s">
        <v>69</v>
      </c>
      <c r="Y512" s="4">
        <v>316</v>
      </c>
      <c r="Z512" s="4">
        <v>21</v>
      </c>
      <c r="AA512" s="4">
        <v>27</v>
      </c>
      <c r="AB512" s="4">
        <v>1</v>
      </c>
      <c r="AC512" s="4">
        <v>4</v>
      </c>
      <c r="AD512" s="4">
        <v>112</v>
      </c>
      <c r="AE512" s="4">
        <v>117</v>
      </c>
      <c r="AF512" s="4">
        <v>0</v>
      </c>
      <c r="AG512" s="4">
        <v>2</v>
      </c>
      <c r="AH512" s="4">
        <v>104</v>
      </c>
      <c r="AI512" s="4">
        <v>106</v>
      </c>
      <c r="AJ512" s="4">
        <v>15</v>
      </c>
      <c r="AK512" s="4">
        <v>19</v>
      </c>
      <c r="AL512" s="4">
        <v>57</v>
      </c>
      <c r="AM512" s="4">
        <v>57</v>
      </c>
      <c r="AN512" s="4">
        <v>0</v>
      </c>
      <c r="AO512" s="4">
        <v>0</v>
      </c>
      <c r="AP512" s="4">
        <v>18</v>
      </c>
      <c r="AQ512" s="4">
        <v>21</v>
      </c>
      <c r="AR512" s="3" t="s">
        <v>63</v>
      </c>
      <c r="AS512" s="3" t="s">
        <v>63</v>
      </c>
      <c r="AT512" s="3" t="s">
        <v>62</v>
      </c>
      <c r="AU512" s="6" t="str">
        <f>HYPERLINK("http://catalog.hathitrust.org/Record/003075531","HathiTrust Record")</f>
        <v>HathiTrust Record</v>
      </c>
      <c r="AV512" s="6" t="str">
        <f>HYPERLINK("http://mcgill.on.worldcat.org/oclc/32700308","Catalog Record")</f>
        <v>Catalog Record</v>
      </c>
      <c r="AW512" s="6" t="str">
        <f>HYPERLINK("http://www.worldcat.org/oclc/32700308","WorldCat Record")</f>
        <v>WorldCat Record</v>
      </c>
      <c r="AX512" s="3" t="s">
        <v>5295</v>
      </c>
      <c r="AY512" s="3" t="s">
        <v>5296</v>
      </c>
      <c r="AZ512" s="3" t="s">
        <v>5297</v>
      </c>
      <c r="BA512" s="3" t="s">
        <v>5297</v>
      </c>
      <c r="BB512" s="3" t="s">
        <v>5298</v>
      </c>
      <c r="BC512" s="3" t="s">
        <v>82</v>
      </c>
      <c r="BD512" s="3" t="s">
        <v>538</v>
      </c>
      <c r="BE512" s="3" t="s">
        <v>5299</v>
      </c>
      <c r="BF512" s="3" t="s">
        <v>5298</v>
      </c>
      <c r="BG512" s="3" t="s">
        <v>5300</v>
      </c>
    </row>
    <row r="513" spans="1:59" ht="75" x14ac:dyDescent="0.25">
      <c r="A513" s="2" t="s">
        <v>59</v>
      </c>
      <c r="B513" s="2" t="s">
        <v>60</v>
      </c>
      <c r="C513" s="2" t="s">
        <v>5301</v>
      </c>
      <c r="D513" s="2" t="s">
        <v>5302</v>
      </c>
      <c r="E513" s="2" t="s">
        <v>5303</v>
      </c>
      <c r="G513" s="3" t="s">
        <v>63</v>
      </c>
      <c r="I513" s="3" t="s">
        <v>63</v>
      </c>
      <c r="J513" s="3" t="s">
        <v>63</v>
      </c>
      <c r="K513" s="3" t="s">
        <v>64</v>
      </c>
      <c r="L513" s="2" t="s">
        <v>5304</v>
      </c>
      <c r="M513" s="2" t="s">
        <v>5305</v>
      </c>
      <c r="N513" s="3" t="s">
        <v>693</v>
      </c>
      <c r="P513" s="3" t="s">
        <v>66</v>
      </c>
      <c r="Q513" s="2" t="s">
        <v>3902</v>
      </c>
      <c r="R513" s="3" t="s">
        <v>67</v>
      </c>
      <c r="S513" s="4">
        <v>5</v>
      </c>
      <c r="T513" s="4">
        <v>5</v>
      </c>
      <c r="U513" s="5" t="s">
        <v>3548</v>
      </c>
      <c r="V513" s="5" t="s">
        <v>3548</v>
      </c>
      <c r="W513" s="5" t="s">
        <v>69</v>
      </c>
      <c r="X513" s="5" t="s">
        <v>69</v>
      </c>
      <c r="Y513" s="4">
        <v>160</v>
      </c>
      <c r="Z513" s="4">
        <v>14</v>
      </c>
      <c r="AA513" s="4">
        <v>19</v>
      </c>
      <c r="AB513" s="4">
        <v>1</v>
      </c>
      <c r="AC513" s="4">
        <v>4</v>
      </c>
      <c r="AD513" s="4">
        <v>83</v>
      </c>
      <c r="AE513" s="4">
        <v>88</v>
      </c>
      <c r="AF513" s="4">
        <v>0</v>
      </c>
      <c r="AG513" s="4">
        <v>0</v>
      </c>
      <c r="AH513" s="4">
        <v>77</v>
      </c>
      <c r="AI513" s="4">
        <v>80</v>
      </c>
      <c r="AJ513" s="4">
        <v>11</v>
      </c>
      <c r="AK513" s="4">
        <v>11</v>
      </c>
      <c r="AL513" s="4">
        <v>43</v>
      </c>
      <c r="AM513" s="4">
        <v>45</v>
      </c>
      <c r="AN513" s="4">
        <v>0</v>
      </c>
      <c r="AO513" s="4">
        <v>0</v>
      </c>
      <c r="AP513" s="4">
        <v>12</v>
      </c>
      <c r="AQ513" s="4">
        <v>14</v>
      </c>
      <c r="AR513" s="3" t="s">
        <v>63</v>
      </c>
      <c r="AS513" s="3" t="s">
        <v>63</v>
      </c>
      <c r="AT513" s="3" t="s">
        <v>62</v>
      </c>
      <c r="AU513" s="6" t="str">
        <f>HYPERLINK("http://catalog.hathitrust.org/Record/004722221","HathiTrust Record")</f>
        <v>HathiTrust Record</v>
      </c>
      <c r="AV513" s="6" t="str">
        <f>HYPERLINK("http://mcgill.on.worldcat.org/oclc/55617924","Catalog Record")</f>
        <v>Catalog Record</v>
      </c>
      <c r="AW513" s="6" t="str">
        <f>HYPERLINK("http://www.worldcat.org/oclc/55617924","WorldCat Record")</f>
        <v>WorldCat Record</v>
      </c>
      <c r="AX513" s="3" t="s">
        <v>5306</v>
      </c>
      <c r="AY513" s="3" t="s">
        <v>5307</v>
      </c>
      <c r="AZ513" s="3" t="s">
        <v>5308</v>
      </c>
      <c r="BA513" s="3" t="s">
        <v>5308</v>
      </c>
      <c r="BB513" s="3" t="s">
        <v>5309</v>
      </c>
      <c r="BC513" s="3" t="s">
        <v>82</v>
      </c>
      <c r="BD513" s="3" t="s">
        <v>70</v>
      </c>
      <c r="BE513" s="3" t="s">
        <v>5310</v>
      </c>
      <c r="BF513" s="3" t="s">
        <v>5309</v>
      </c>
      <c r="BG513" s="3" t="s">
        <v>5311</v>
      </c>
    </row>
    <row r="514" spans="1:59" ht="60" x14ac:dyDescent="0.25">
      <c r="A514" s="2" t="s">
        <v>59</v>
      </c>
      <c r="B514" s="2" t="s">
        <v>60</v>
      </c>
      <c r="C514" s="2" t="s">
        <v>5312</v>
      </c>
      <c r="D514" s="2" t="s">
        <v>5313</v>
      </c>
      <c r="E514" s="2" t="s">
        <v>5314</v>
      </c>
      <c r="G514" s="3" t="s">
        <v>63</v>
      </c>
      <c r="I514" s="3" t="s">
        <v>63</v>
      </c>
      <c r="J514" s="3" t="s">
        <v>63</v>
      </c>
      <c r="K514" s="3" t="s">
        <v>64</v>
      </c>
      <c r="L514" s="2" t="s">
        <v>5315</v>
      </c>
      <c r="M514" s="2" t="s">
        <v>5316</v>
      </c>
      <c r="N514" s="3" t="s">
        <v>1418</v>
      </c>
      <c r="P514" s="3" t="s">
        <v>66</v>
      </c>
      <c r="R514" s="3" t="s">
        <v>67</v>
      </c>
      <c r="S514" s="4">
        <v>60</v>
      </c>
      <c r="T514" s="4">
        <v>60</v>
      </c>
      <c r="U514" s="5" t="s">
        <v>5283</v>
      </c>
      <c r="V514" s="5" t="s">
        <v>5283</v>
      </c>
      <c r="W514" s="5" t="s">
        <v>69</v>
      </c>
      <c r="X514" s="5" t="s">
        <v>69</v>
      </c>
      <c r="Y514" s="4">
        <v>565</v>
      </c>
      <c r="Z514" s="4">
        <v>38</v>
      </c>
      <c r="AA514" s="4">
        <v>40</v>
      </c>
      <c r="AB514" s="4">
        <v>2</v>
      </c>
      <c r="AC514" s="4">
        <v>3</v>
      </c>
      <c r="AD514" s="4">
        <v>122</v>
      </c>
      <c r="AE514" s="4">
        <v>123</v>
      </c>
      <c r="AF514" s="4">
        <v>0</v>
      </c>
      <c r="AG514" s="4">
        <v>1</v>
      </c>
      <c r="AH514" s="4">
        <v>106</v>
      </c>
      <c r="AI514" s="4">
        <v>106</v>
      </c>
      <c r="AJ514" s="4">
        <v>20</v>
      </c>
      <c r="AK514" s="4">
        <v>21</v>
      </c>
      <c r="AL514" s="4">
        <v>56</v>
      </c>
      <c r="AM514" s="4">
        <v>56</v>
      </c>
      <c r="AN514" s="4">
        <v>0</v>
      </c>
      <c r="AO514" s="4">
        <v>0</v>
      </c>
      <c r="AP514" s="4">
        <v>25</v>
      </c>
      <c r="AQ514" s="4">
        <v>25</v>
      </c>
      <c r="AR514" s="3" t="s">
        <v>63</v>
      </c>
      <c r="AS514" s="3" t="s">
        <v>63</v>
      </c>
      <c r="AT514" s="3" t="s">
        <v>62</v>
      </c>
      <c r="AU514" s="6" t="str">
        <f>HYPERLINK("http://catalog.hathitrust.org/Record/000848029","HathiTrust Record")</f>
        <v>HathiTrust Record</v>
      </c>
      <c r="AV514" s="6" t="str">
        <f>HYPERLINK("http://mcgill.on.worldcat.org/oclc/14904379","Catalog Record")</f>
        <v>Catalog Record</v>
      </c>
      <c r="AW514" s="6" t="str">
        <f>HYPERLINK("http://www.worldcat.org/oclc/14904379","WorldCat Record")</f>
        <v>WorldCat Record</v>
      </c>
      <c r="AX514" s="3" t="s">
        <v>5317</v>
      </c>
      <c r="AY514" s="3" t="s">
        <v>5318</v>
      </c>
      <c r="AZ514" s="3" t="s">
        <v>5319</v>
      </c>
      <c r="BA514" s="3" t="s">
        <v>5319</v>
      </c>
      <c r="BB514" s="3" t="s">
        <v>5320</v>
      </c>
      <c r="BC514" s="3" t="s">
        <v>82</v>
      </c>
      <c r="BD514" s="3" t="s">
        <v>70</v>
      </c>
      <c r="BE514" s="3" t="s">
        <v>5321</v>
      </c>
      <c r="BF514" s="3" t="s">
        <v>5320</v>
      </c>
      <c r="BG514" s="3" t="s">
        <v>5322</v>
      </c>
    </row>
    <row r="515" spans="1:59" ht="60" x14ac:dyDescent="0.25">
      <c r="A515" s="2" t="s">
        <v>59</v>
      </c>
      <c r="B515" s="2" t="s">
        <v>60</v>
      </c>
      <c r="C515" s="2" t="s">
        <v>5323</v>
      </c>
      <c r="D515" s="2" t="s">
        <v>5324</v>
      </c>
      <c r="E515" s="2" t="s">
        <v>5325</v>
      </c>
      <c r="G515" s="3" t="s">
        <v>63</v>
      </c>
      <c r="I515" s="3" t="s">
        <v>63</v>
      </c>
      <c r="J515" s="3" t="s">
        <v>63</v>
      </c>
      <c r="K515" s="3" t="s">
        <v>64</v>
      </c>
      <c r="M515" s="2" t="s">
        <v>5326</v>
      </c>
      <c r="N515" s="3" t="s">
        <v>2103</v>
      </c>
      <c r="P515" s="3" t="s">
        <v>66</v>
      </c>
      <c r="R515" s="3" t="s">
        <v>67</v>
      </c>
      <c r="S515" s="4">
        <v>22</v>
      </c>
      <c r="T515" s="4">
        <v>22</v>
      </c>
      <c r="U515" s="5" t="s">
        <v>5327</v>
      </c>
      <c r="V515" s="5" t="s">
        <v>5327</v>
      </c>
      <c r="W515" s="5" t="s">
        <v>69</v>
      </c>
      <c r="X515" s="5" t="s">
        <v>69</v>
      </c>
      <c r="Y515" s="4">
        <v>446</v>
      </c>
      <c r="Z515" s="4">
        <v>19</v>
      </c>
      <c r="AA515" s="4">
        <v>124</v>
      </c>
      <c r="AB515" s="4">
        <v>2</v>
      </c>
      <c r="AC515" s="4">
        <v>22</v>
      </c>
      <c r="AD515" s="4">
        <v>107</v>
      </c>
      <c r="AE515" s="4">
        <v>161</v>
      </c>
      <c r="AF515" s="4">
        <v>0</v>
      </c>
      <c r="AG515" s="4">
        <v>9</v>
      </c>
      <c r="AH515" s="4">
        <v>98</v>
      </c>
      <c r="AI515" s="4">
        <v>112</v>
      </c>
      <c r="AJ515" s="4">
        <v>13</v>
      </c>
      <c r="AK515" s="4">
        <v>27</v>
      </c>
      <c r="AL515" s="4">
        <v>55</v>
      </c>
      <c r="AM515" s="4">
        <v>60</v>
      </c>
      <c r="AN515" s="4">
        <v>0</v>
      </c>
      <c r="AO515" s="4">
        <v>0</v>
      </c>
      <c r="AP515" s="4">
        <v>15</v>
      </c>
      <c r="AQ515" s="4">
        <v>56</v>
      </c>
      <c r="AR515" s="3" t="s">
        <v>63</v>
      </c>
      <c r="AS515" s="3" t="s">
        <v>63</v>
      </c>
      <c r="AT515" s="3" t="s">
        <v>62</v>
      </c>
      <c r="AU515" s="6" t="str">
        <f>HYPERLINK("http://catalog.hathitrust.org/Record/004277753","HathiTrust Record")</f>
        <v>HathiTrust Record</v>
      </c>
      <c r="AV515" s="6" t="str">
        <f>HYPERLINK("http://mcgill.on.worldcat.org/oclc/46936146","Catalog Record")</f>
        <v>Catalog Record</v>
      </c>
      <c r="AW515" s="6" t="str">
        <f>HYPERLINK("http://www.worldcat.org/oclc/46936146","WorldCat Record")</f>
        <v>WorldCat Record</v>
      </c>
      <c r="AX515" s="3" t="s">
        <v>5328</v>
      </c>
      <c r="AY515" s="3" t="s">
        <v>5329</v>
      </c>
      <c r="AZ515" s="3" t="s">
        <v>5330</v>
      </c>
      <c r="BA515" s="3" t="s">
        <v>5330</v>
      </c>
      <c r="BB515" s="3" t="s">
        <v>5331</v>
      </c>
      <c r="BC515" s="3" t="s">
        <v>82</v>
      </c>
      <c r="BD515" s="3" t="s">
        <v>538</v>
      </c>
      <c r="BE515" s="3" t="s">
        <v>5332</v>
      </c>
      <c r="BF515" s="3" t="s">
        <v>5331</v>
      </c>
      <c r="BG515" s="3" t="s">
        <v>5333</v>
      </c>
    </row>
    <row r="516" spans="1:59" ht="60" x14ac:dyDescent="0.25">
      <c r="A516" s="2" t="s">
        <v>59</v>
      </c>
      <c r="B516" s="2" t="s">
        <v>60</v>
      </c>
      <c r="C516" s="2" t="s">
        <v>5334</v>
      </c>
      <c r="D516" s="2" t="s">
        <v>5335</v>
      </c>
      <c r="E516" s="2" t="s">
        <v>5336</v>
      </c>
      <c r="F516" s="3" t="s">
        <v>571</v>
      </c>
      <c r="G516" s="3" t="s">
        <v>62</v>
      </c>
      <c r="I516" s="3" t="s">
        <v>63</v>
      </c>
      <c r="J516" s="3" t="s">
        <v>63</v>
      </c>
      <c r="K516" s="3" t="s">
        <v>64</v>
      </c>
      <c r="M516" s="2" t="s">
        <v>5337</v>
      </c>
      <c r="N516" s="3" t="s">
        <v>106</v>
      </c>
      <c r="P516" s="3" t="s">
        <v>90</v>
      </c>
      <c r="R516" s="3" t="s">
        <v>67</v>
      </c>
      <c r="S516" s="4">
        <v>0</v>
      </c>
      <c r="T516" s="4">
        <v>0</v>
      </c>
      <c r="W516" s="5" t="s">
        <v>69</v>
      </c>
      <c r="X516" s="5" t="s">
        <v>69</v>
      </c>
      <c r="Y516" s="4">
        <v>21</v>
      </c>
      <c r="Z516" s="4">
        <v>1</v>
      </c>
      <c r="AA516" s="4">
        <v>1</v>
      </c>
      <c r="AB516" s="4">
        <v>1</v>
      </c>
      <c r="AC516" s="4">
        <v>1</v>
      </c>
      <c r="AD516" s="4">
        <v>18</v>
      </c>
      <c r="AE516" s="4">
        <v>18</v>
      </c>
      <c r="AF516" s="4">
        <v>0</v>
      </c>
      <c r="AG516" s="4">
        <v>0</v>
      </c>
      <c r="AH516" s="4">
        <v>17</v>
      </c>
      <c r="AI516" s="4">
        <v>17</v>
      </c>
      <c r="AJ516" s="4">
        <v>0</v>
      </c>
      <c r="AK516" s="4">
        <v>0</v>
      </c>
      <c r="AL516" s="4">
        <v>15</v>
      </c>
      <c r="AM516" s="4">
        <v>15</v>
      </c>
      <c r="AN516" s="4">
        <v>0</v>
      </c>
      <c r="AO516" s="4">
        <v>0</v>
      </c>
      <c r="AP516" s="4">
        <v>0</v>
      </c>
      <c r="AQ516" s="4">
        <v>0</v>
      </c>
      <c r="AR516" s="3" t="s">
        <v>63</v>
      </c>
      <c r="AS516" s="3" t="s">
        <v>63</v>
      </c>
      <c r="AT516" s="3" t="s">
        <v>63</v>
      </c>
      <c r="AV516" s="6" t="str">
        <f>HYPERLINK("http://mcgill.on.worldcat.org/oclc/988765814","Catalog Record")</f>
        <v>Catalog Record</v>
      </c>
      <c r="AW516" s="6" t="str">
        <f>HYPERLINK("http://www.worldcat.org/oclc/988765814","WorldCat Record")</f>
        <v>WorldCat Record</v>
      </c>
      <c r="AX516" s="3" t="s">
        <v>5338</v>
      </c>
      <c r="AY516" s="3" t="s">
        <v>5339</v>
      </c>
      <c r="AZ516" s="3" t="s">
        <v>5340</v>
      </c>
      <c r="BA516" s="3" t="s">
        <v>5340</v>
      </c>
      <c r="BB516" s="3" t="s">
        <v>5341</v>
      </c>
      <c r="BC516" s="3" t="s">
        <v>82</v>
      </c>
      <c r="BD516" s="3" t="s">
        <v>70</v>
      </c>
      <c r="BE516" s="3" t="s">
        <v>5342</v>
      </c>
      <c r="BF516" s="3" t="s">
        <v>5341</v>
      </c>
      <c r="BG516" s="3" t="s">
        <v>5343</v>
      </c>
    </row>
    <row r="517" spans="1:59" ht="60" x14ac:dyDescent="0.25">
      <c r="A517" s="2" t="s">
        <v>59</v>
      </c>
      <c r="B517" s="2" t="s">
        <v>60</v>
      </c>
      <c r="C517" s="2" t="s">
        <v>5334</v>
      </c>
      <c r="D517" s="2" t="s">
        <v>5335</v>
      </c>
      <c r="E517" s="2" t="s">
        <v>5336</v>
      </c>
      <c r="F517" s="3" t="s">
        <v>582</v>
      </c>
      <c r="G517" s="3" t="s">
        <v>62</v>
      </c>
      <c r="I517" s="3" t="s">
        <v>63</v>
      </c>
      <c r="J517" s="3" t="s">
        <v>63</v>
      </c>
      <c r="K517" s="3" t="s">
        <v>64</v>
      </c>
      <c r="M517" s="2" t="s">
        <v>5337</v>
      </c>
      <c r="N517" s="3" t="s">
        <v>106</v>
      </c>
      <c r="P517" s="3" t="s">
        <v>90</v>
      </c>
      <c r="R517" s="3" t="s">
        <v>67</v>
      </c>
      <c r="S517" s="4">
        <v>0</v>
      </c>
      <c r="T517" s="4">
        <v>0</v>
      </c>
      <c r="W517" s="5" t="s">
        <v>69</v>
      </c>
      <c r="X517" s="5" t="s">
        <v>69</v>
      </c>
      <c r="Y517" s="4">
        <v>21</v>
      </c>
      <c r="Z517" s="4">
        <v>1</v>
      </c>
      <c r="AA517" s="4">
        <v>1</v>
      </c>
      <c r="AB517" s="4">
        <v>1</v>
      </c>
      <c r="AC517" s="4">
        <v>1</v>
      </c>
      <c r="AD517" s="4">
        <v>18</v>
      </c>
      <c r="AE517" s="4">
        <v>18</v>
      </c>
      <c r="AF517" s="4">
        <v>0</v>
      </c>
      <c r="AG517" s="4">
        <v>0</v>
      </c>
      <c r="AH517" s="4">
        <v>17</v>
      </c>
      <c r="AI517" s="4">
        <v>17</v>
      </c>
      <c r="AJ517" s="4">
        <v>0</v>
      </c>
      <c r="AK517" s="4">
        <v>0</v>
      </c>
      <c r="AL517" s="4">
        <v>15</v>
      </c>
      <c r="AM517" s="4">
        <v>15</v>
      </c>
      <c r="AN517" s="4">
        <v>0</v>
      </c>
      <c r="AO517" s="4">
        <v>0</v>
      </c>
      <c r="AP517" s="4">
        <v>0</v>
      </c>
      <c r="AQ517" s="4">
        <v>0</v>
      </c>
      <c r="AR517" s="3" t="s">
        <v>63</v>
      </c>
      <c r="AS517" s="3" t="s">
        <v>63</v>
      </c>
      <c r="AT517" s="3" t="s">
        <v>63</v>
      </c>
      <c r="AV517" s="6" t="str">
        <f>HYPERLINK("http://mcgill.on.worldcat.org/oclc/988765814","Catalog Record")</f>
        <v>Catalog Record</v>
      </c>
      <c r="AW517" s="6" t="str">
        <f>HYPERLINK("http://www.worldcat.org/oclc/988765814","WorldCat Record")</f>
        <v>WorldCat Record</v>
      </c>
      <c r="AX517" s="3" t="s">
        <v>5338</v>
      </c>
      <c r="AY517" s="3" t="s">
        <v>5339</v>
      </c>
      <c r="AZ517" s="3" t="s">
        <v>5340</v>
      </c>
      <c r="BA517" s="3" t="s">
        <v>5340</v>
      </c>
      <c r="BB517" s="3" t="s">
        <v>5344</v>
      </c>
      <c r="BC517" s="3" t="s">
        <v>82</v>
      </c>
      <c r="BD517" s="3" t="s">
        <v>70</v>
      </c>
      <c r="BE517" s="3" t="s">
        <v>5342</v>
      </c>
      <c r="BF517" s="3" t="s">
        <v>5344</v>
      </c>
      <c r="BG517" s="3" t="s">
        <v>5345</v>
      </c>
    </row>
    <row r="518" spans="1:59" ht="60" x14ac:dyDescent="0.25">
      <c r="A518" s="2" t="s">
        <v>59</v>
      </c>
      <c r="B518" s="2" t="s">
        <v>60</v>
      </c>
      <c r="C518" s="2" t="s">
        <v>5346</v>
      </c>
      <c r="D518" s="2" t="s">
        <v>5347</v>
      </c>
      <c r="E518" s="2" t="s">
        <v>5348</v>
      </c>
      <c r="G518" s="3" t="s">
        <v>63</v>
      </c>
      <c r="I518" s="3" t="s">
        <v>63</v>
      </c>
      <c r="J518" s="3" t="s">
        <v>63</v>
      </c>
      <c r="K518" s="3" t="s">
        <v>64</v>
      </c>
      <c r="L518" s="2" t="s">
        <v>4454</v>
      </c>
      <c r="M518" s="2" t="s">
        <v>5349</v>
      </c>
      <c r="N518" s="3" t="s">
        <v>1023</v>
      </c>
      <c r="P518" s="3" t="s">
        <v>66</v>
      </c>
      <c r="R518" s="3" t="s">
        <v>67</v>
      </c>
      <c r="S518" s="4">
        <v>38</v>
      </c>
      <c r="T518" s="4">
        <v>38</v>
      </c>
      <c r="U518" s="5" t="s">
        <v>5350</v>
      </c>
      <c r="V518" s="5" t="s">
        <v>5350</v>
      </c>
      <c r="W518" s="5" t="s">
        <v>69</v>
      </c>
      <c r="X518" s="5" t="s">
        <v>69</v>
      </c>
      <c r="Y518" s="4">
        <v>508</v>
      </c>
      <c r="Z518" s="4">
        <v>23</v>
      </c>
      <c r="AA518" s="4">
        <v>29</v>
      </c>
      <c r="AB518" s="4">
        <v>1</v>
      </c>
      <c r="AC518" s="4">
        <v>4</v>
      </c>
      <c r="AD518" s="4">
        <v>113</v>
      </c>
      <c r="AE518" s="4">
        <v>117</v>
      </c>
      <c r="AF518" s="4">
        <v>0</v>
      </c>
      <c r="AG518" s="4">
        <v>1</v>
      </c>
      <c r="AH518" s="4">
        <v>103</v>
      </c>
      <c r="AI518" s="4">
        <v>104</v>
      </c>
      <c r="AJ518" s="4">
        <v>15</v>
      </c>
      <c r="AK518" s="4">
        <v>17</v>
      </c>
      <c r="AL518" s="4">
        <v>56</v>
      </c>
      <c r="AM518" s="4">
        <v>56</v>
      </c>
      <c r="AN518" s="4">
        <v>0</v>
      </c>
      <c r="AO518" s="4">
        <v>0</v>
      </c>
      <c r="AP518" s="4">
        <v>18</v>
      </c>
      <c r="AQ518" s="4">
        <v>22</v>
      </c>
      <c r="AR518" s="3" t="s">
        <v>63</v>
      </c>
      <c r="AS518" s="3" t="s">
        <v>63</v>
      </c>
      <c r="AT518" s="3" t="s">
        <v>62</v>
      </c>
      <c r="AU518" s="6" t="str">
        <f>HYPERLINK("http://catalog.hathitrust.org/Record/004552130","HathiTrust Record")</f>
        <v>HathiTrust Record</v>
      </c>
      <c r="AV518" s="6" t="str">
        <f>HYPERLINK("http://mcgill.on.worldcat.org/oclc/28505695","Catalog Record")</f>
        <v>Catalog Record</v>
      </c>
      <c r="AW518" s="6" t="str">
        <f>HYPERLINK("http://www.worldcat.org/oclc/28505695","WorldCat Record")</f>
        <v>WorldCat Record</v>
      </c>
      <c r="AX518" s="3" t="s">
        <v>5351</v>
      </c>
      <c r="AY518" s="3" t="s">
        <v>5352</v>
      </c>
      <c r="AZ518" s="3" t="s">
        <v>5353</v>
      </c>
      <c r="BA518" s="3" t="s">
        <v>5353</v>
      </c>
      <c r="BB518" s="3" t="s">
        <v>5354</v>
      </c>
      <c r="BC518" s="3" t="s">
        <v>82</v>
      </c>
      <c r="BD518" s="3" t="s">
        <v>538</v>
      </c>
      <c r="BE518" s="3" t="s">
        <v>5355</v>
      </c>
      <c r="BF518" s="3" t="s">
        <v>5354</v>
      </c>
      <c r="BG518" s="3" t="s">
        <v>5356</v>
      </c>
    </row>
    <row r="519" spans="1:59" ht="60" x14ac:dyDescent="0.25">
      <c r="A519" s="2" t="s">
        <v>59</v>
      </c>
      <c r="B519" s="2" t="s">
        <v>60</v>
      </c>
      <c r="C519" s="2" t="s">
        <v>5357</v>
      </c>
      <c r="D519" s="2" t="s">
        <v>5358</v>
      </c>
      <c r="E519" s="2" t="s">
        <v>5359</v>
      </c>
      <c r="F519" s="3" t="s">
        <v>582</v>
      </c>
      <c r="G519" s="3" t="s">
        <v>62</v>
      </c>
      <c r="I519" s="3" t="s">
        <v>63</v>
      </c>
      <c r="J519" s="3" t="s">
        <v>63</v>
      </c>
      <c r="K519" s="3" t="s">
        <v>64</v>
      </c>
      <c r="L519" s="2" t="s">
        <v>5360</v>
      </c>
      <c r="M519" s="2" t="s">
        <v>5361</v>
      </c>
      <c r="N519" s="3" t="s">
        <v>2765</v>
      </c>
      <c r="P519" s="3" t="s">
        <v>90</v>
      </c>
      <c r="Q519" s="2" t="s">
        <v>5362</v>
      </c>
      <c r="R519" s="3" t="s">
        <v>67</v>
      </c>
      <c r="S519" s="4">
        <v>0</v>
      </c>
      <c r="T519" s="4">
        <v>0</v>
      </c>
      <c r="W519" s="5" t="s">
        <v>69</v>
      </c>
      <c r="X519" s="5" t="s">
        <v>69</v>
      </c>
      <c r="Y519" s="4">
        <v>26</v>
      </c>
      <c r="Z519" s="4">
        <v>2</v>
      </c>
      <c r="AA519" s="4">
        <v>2</v>
      </c>
      <c r="AB519" s="4">
        <v>1</v>
      </c>
      <c r="AC519" s="4">
        <v>1</v>
      </c>
      <c r="AD519" s="4">
        <v>22</v>
      </c>
      <c r="AE519" s="4">
        <v>22</v>
      </c>
      <c r="AF519" s="4">
        <v>0</v>
      </c>
      <c r="AG519" s="4">
        <v>0</v>
      </c>
      <c r="AH519" s="4">
        <v>21</v>
      </c>
      <c r="AI519" s="4">
        <v>21</v>
      </c>
      <c r="AJ519" s="4">
        <v>1</v>
      </c>
      <c r="AK519" s="4">
        <v>1</v>
      </c>
      <c r="AL519" s="4">
        <v>17</v>
      </c>
      <c r="AM519" s="4">
        <v>17</v>
      </c>
      <c r="AN519" s="4">
        <v>0</v>
      </c>
      <c r="AO519" s="4">
        <v>0</v>
      </c>
      <c r="AP519" s="4">
        <v>1</v>
      </c>
      <c r="AQ519" s="4">
        <v>1</v>
      </c>
      <c r="AR519" s="3" t="s">
        <v>63</v>
      </c>
      <c r="AS519" s="3" t="s">
        <v>63</v>
      </c>
      <c r="AT519" s="3" t="s">
        <v>63</v>
      </c>
      <c r="AV519" s="6" t="str">
        <f>HYPERLINK("http://mcgill.on.worldcat.org/oclc/934628045","Catalog Record")</f>
        <v>Catalog Record</v>
      </c>
      <c r="AW519" s="6" t="str">
        <f>HYPERLINK("http://www.worldcat.org/oclc/934628045","WorldCat Record")</f>
        <v>WorldCat Record</v>
      </c>
      <c r="AX519" s="3" t="s">
        <v>5363</v>
      </c>
      <c r="AY519" s="3" t="s">
        <v>5364</v>
      </c>
      <c r="AZ519" s="3" t="s">
        <v>5365</v>
      </c>
      <c r="BA519" s="3" t="s">
        <v>5365</v>
      </c>
      <c r="BB519" s="3" t="s">
        <v>5366</v>
      </c>
      <c r="BC519" s="3" t="s">
        <v>82</v>
      </c>
      <c r="BD519" s="3" t="s">
        <v>70</v>
      </c>
      <c r="BE519" s="3" t="s">
        <v>5367</v>
      </c>
      <c r="BF519" s="3" t="s">
        <v>5366</v>
      </c>
      <c r="BG519" s="3" t="s">
        <v>5368</v>
      </c>
    </row>
    <row r="520" spans="1:59" ht="60" x14ac:dyDescent="0.25">
      <c r="A520" s="2" t="s">
        <v>59</v>
      </c>
      <c r="B520" s="2" t="s">
        <v>60</v>
      </c>
      <c r="C520" s="2" t="s">
        <v>5357</v>
      </c>
      <c r="D520" s="2" t="s">
        <v>5358</v>
      </c>
      <c r="E520" s="2" t="s">
        <v>5359</v>
      </c>
      <c r="F520" s="3" t="s">
        <v>571</v>
      </c>
      <c r="G520" s="3" t="s">
        <v>62</v>
      </c>
      <c r="I520" s="3" t="s">
        <v>63</v>
      </c>
      <c r="J520" s="3" t="s">
        <v>63</v>
      </c>
      <c r="K520" s="3" t="s">
        <v>64</v>
      </c>
      <c r="L520" s="2" t="s">
        <v>5360</v>
      </c>
      <c r="M520" s="2" t="s">
        <v>5361</v>
      </c>
      <c r="N520" s="3" t="s">
        <v>2765</v>
      </c>
      <c r="P520" s="3" t="s">
        <v>90</v>
      </c>
      <c r="Q520" s="2" t="s">
        <v>5362</v>
      </c>
      <c r="R520" s="3" t="s">
        <v>67</v>
      </c>
      <c r="S520" s="4">
        <v>0</v>
      </c>
      <c r="T520" s="4">
        <v>0</v>
      </c>
      <c r="W520" s="5" t="s">
        <v>69</v>
      </c>
      <c r="X520" s="5" t="s">
        <v>69</v>
      </c>
      <c r="Y520" s="4">
        <v>26</v>
      </c>
      <c r="Z520" s="4">
        <v>2</v>
      </c>
      <c r="AA520" s="4">
        <v>2</v>
      </c>
      <c r="AB520" s="4">
        <v>1</v>
      </c>
      <c r="AC520" s="4">
        <v>1</v>
      </c>
      <c r="AD520" s="4">
        <v>22</v>
      </c>
      <c r="AE520" s="4">
        <v>22</v>
      </c>
      <c r="AF520" s="4">
        <v>0</v>
      </c>
      <c r="AG520" s="4">
        <v>0</v>
      </c>
      <c r="AH520" s="4">
        <v>21</v>
      </c>
      <c r="AI520" s="4">
        <v>21</v>
      </c>
      <c r="AJ520" s="4">
        <v>1</v>
      </c>
      <c r="AK520" s="4">
        <v>1</v>
      </c>
      <c r="AL520" s="4">
        <v>17</v>
      </c>
      <c r="AM520" s="4">
        <v>17</v>
      </c>
      <c r="AN520" s="4">
        <v>0</v>
      </c>
      <c r="AO520" s="4">
        <v>0</v>
      </c>
      <c r="AP520" s="4">
        <v>1</v>
      </c>
      <c r="AQ520" s="4">
        <v>1</v>
      </c>
      <c r="AR520" s="3" t="s">
        <v>63</v>
      </c>
      <c r="AS520" s="3" t="s">
        <v>63</v>
      </c>
      <c r="AT520" s="3" t="s">
        <v>63</v>
      </c>
      <c r="AV520" s="6" t="str">
        <f>HYPERLINK("http://mcgill.on.worldcat.org/oclc/934628045","Catalog Record")</f>
        <v>Catalog Record</v>
      </c>
      <c r="AW520" s="6" t="str">
        <f>HYPERLINK("http://www.worldcat.org/oclc/934628045","WorldCat Record")</f>
        <v>WorldCat Record</v>
      </c>
      <c r="AX520" s="3" t="s">
        <v>5363</v>
      </c>
      <c r="AY520" s="3" t="s">
        <v>5364</v>
      </c>
      <c r="AZ520" s="3" t="s">
        <v>5365</v>
      </c>
      <c r="BA520" s="3" t="s">
        <v>5365</v>
      </c>
      <c r="BB520" s="3" t="s">
        <v>5369</v>
      </c>
      <c r="BC520" s="3" t="s">
        <v>82</v>
      </c>
      <c r="BD520" s="3" t="s">
        <v>70</v>
      </c>
      <c r="BE520" s="3" t="s">
        <v>5367</v>
      </c>
      <c r="BF520" s="3" t="s">
        <v>5369</v>
      </c>
      <c r="BG520" s="3" t="s">
        <v>5370</v>
      </c>
    </row>
    <row r="521" spans="1:59" ht="60" x14ac:dyDescent="0.25">
      <c r="A521" s="2" t="s">
        <v>59</v>
      </c>
      <c r="B521" s="2" t="s">
        <v>60</v>
      </c>
      <c r="C521" s="2" t="s">
        <v>5371</v>
      </c>
      <c r="D521" s="2" t="s">
        <v>5372</v>
      </c>
      <c r="E521" s="2" t="s">
        <v>5373</v>
      </c>
      <c r="G521" s="3" t="s">
        <v>63</v>
      </c>
      <c r="I521" s="3" t="s">
        <v>63</v>
      </c>
      <c r="J521" s="3" t="s">
        <v>63</v>
      </c>
      <c r="K521" s="3" t="s">
        <v>64</v>
      </c>
      <c r="M521" s="2" t="s">
        <v>5374</v>
      </c>
      <c r="N521" s="3" t="s">
        <v>1023</v>
      </c>
      <c r="P521" s="3" t="s">
        <v>66</v>
      </c>
      <c r="Q521" s="2" t="s">
        <v>5375</v>
      </c>
      <c r="R521" s="3" t="s">
        <v>67</v>
      </c>
      <c r="S521" s="4">
        <v>33</v>
      </c>
      <c r="T521" s="4">
        <v>33</v>
      </c>
      <c r="U521" s="5" t="s">
        <v>3548</v>
      </c>
      <c r="V521" s="5" t="s">
        <v>3548</v>
      </c>
      <c r="W521" s="5" t="s">
        <v>69</v>
      </c>
      <c r="X521" s="5" t="s">
        <v>69</v>
      </c>
      <c r="Y521" s="4">
        <v>479</v>
      </c>
      <c r="Z521" s="4">
        <v>27</v>
      </c>
      <c r="AA521" s="4">
        <v>31</v>
      </c>
      <c r="AB521" s="4">
        <v>2</v>
      </c>
      <c r="AC521" s="4">
        <v>4</v>
      </c>
      <c r="AD521" s="4">
        <v>115</v>
      </c>
      <c r="AE521" s="4">
        <v>119</v>
      </c>
      <c r="AF521" s="4">
        <v>1</v>
      </c>
      <c r="AG521" s="4">
        <v>3</v>
      </c>
      <c r="AH521" s="4">
        <v>101</v>
      </c>
      <c r="AI521" s="4">
        <v>103</v>
      </c>
      <c r="AJ521" s="4">
        <v>18</v>
      </c>
      <c r="AK521" s="4">
        <v>21</v>
      </c>
      <c r="AL521" s="4">
        <v>52</v>
      </c>
      <c r="AM521" s="4">
        <v>52</v>
      </c>
      <c r="AN521" s="4">
        <v>0</v>
      </c>
      <c r="AO521" s="4">
        <v>0</v>
      </c>
      <c r="AP521" s="4">
        <v>22</v>
      </c>
      <c r="AQ521" s="4">
        <v>26</v>
      </c>
      <c r="AR521" s="3" t="s">
        <v>63</v>
      </c>
      <c r="AS521" s="3" t="s">
        <v>63</v>
      </c>
      <c r="AT521" s="3" t="s">
        <v>62</v>
      </c>
      <c r="AU521" s="6" t="str">
        <f>HYPERLINK("http://catalog.hathitrust.org/Record/002868820","HathiTrust Record")</f>
        <v>HathiTrust Record</v>
      </c>
      <c r="AV521" s="6" t="str">
        <f>HYPERLINK("http://mcgill.on.worldcat.org/oclc/28721762","Catalog Record")</f>
        <v>Catalog Record</v>
      </c>
      <c r="AW521" s="6" t="str">
        <f>HYPERLINK("http://www.worldcat.org/oclc/28721762","WorldCat Record")</f>
        <v>WorldCat Record</v>
      </c>
      <c r="AX521" s="3" t="s">
        <v>5376</v>
      </c>
      <c r="AY521" s="3" t="s">
        <v>5377</v>
      </c>
      <c r="AZ521" s="3" t="s">
        <v>5378</v>
      </c>
      <c r="BA521" s="3" t="s">
        <v>5378</v>
      </c>
      <c r="BB521" s="3" t="s">
        <v>5379</v>
      </c>
      <c r="BC521" s="3" t="s">
        <v>82</v>
      </c>
      <c r="BD521" s="3" t="s">
        <v>538</v>
      </c>
      <c r="BE521" s="3" t="s">
        <v>5380</v>
      </c>
      <c r="BF521" s="3" t="s">
        <v>5379</v>
      </c>
      <c r="BG521" s="3" t="s">
        <v>5381</v>
      </c>
    </row>
    <row r="522" spans="1:59" ht="60" x14ac:dyDescent="0.25">
      <c r="A522" s="2" t="s">
        <v>59</v>
      </c>
      <c r="B522" s="2" t="s">
        <v>60</v>
      </c>
      <c r="C522" s="2" t="s">
        <v>5382</v>
      </c>
      <c r="D522" s="2" t="s">
        <v>5383</v>
      </c>
      <c r="E522" s="2" t="s">
        <v>5384</v>
      </c>
      <c r="G522" s="3" t="s">
        <v>63</v>
      </c>
      <c r="I522" s="3" t="s">
        <v>63</v>
      </c>
      <c r="J522" s="3" t="s">
        <v>63</v>
      </c>
      <c r="K522" s="3" t="s">
        <v>64</v>
      </c>
      <c r="L522" s="2" t="s">
        <v>5385</v>
      </c>
      <c r="M522" s="2" t="s">
        <v>5386</v>
      </c>
      <c r="N522" s="3" t="s">
        <v>76</v>
      </c>
      <c r="P522" s="3" t="s">
        <v>66</v>
      </c>
      <c r="Q522" s="2" t="s">
        <v>5387</v>
      </c>
      <c r="R522" s="3" t="s">
        <v>67</v>
      </c>
      <c r="S522" s="4">
        <v>1</v>
      </c>
      <c r="T522" s="4">
        <v>1</v>
      </c>
      <c r="U522" s="5" t="s">
        <v>5388</v>
      </c>
      <c r="V522" s="5" t="s">
        <v>5388</v>
      </c>
      <c r="W522" s="5" t="s">
        <v>69</v>
      </c>
      <c r="X522" s="5" t="s">
        <v>69</v>
      </c>
      <c r="Y522" s="4">
        <v>108</v>
      </c>
      <c r="Z522" s="4">
        <v>14</v>
      </c>
      <c r="AA522" s="4">
        <v>77</v>
      </c>
      <c r="AB522" s="4">
        <v>1</v>
      </c>
      <c r="AC522" s="4">
        <v>15</v>
      </c>
      <c r="AD522" s="4">
        <v>60</v>
      </c>
      <c r="AE522" s="4">
        <v>121</v>
      </c>
      <c r="AF522" s="4">
        <v>0</v>
      </c>
      <c r="AG522" s="4">
        <v>8</v>
      </c>
      <c r="AH522" s="4">
        <v>55</v>
      </c>
      <c r="AI522" s="4">
        <v>89</v>
      </c>
      <c r="AJ522" s="4">
        <v>10</v>
      </c>
      <c r="AK522" s="4">
        <v>20</v>
      </c>
      <c r="AL522" s="4">
        <v>38</v>
      </c>
      <c r="AM522" s="4">
        <v>50</v>
      </c>
      <c r="AN522" s="4">
        <v>0</v>
      </c>
      <c r="AO522" s="4">
        <v>0</v>
      </c>
      <c r="AP522" s="4">
        <v>10</v>
      </c>
      <c r="AQ522" s="4">
        <v>39</v>
      </c>
      <c r="AR522" s="3" t="s">
        <v>63</v>
      </c>
      <c r="AS522" s="3" t="s">
        <v>63</v>
      </c>
      <c r="AT522" s="3" t="s">
        <v>63</v>
      </c>
      <c r="AV522" s="6" t="str">
        <f>HYPERLINK("http://mcgill.on.worldcat.org/oclc/666242844","Catalog Record")</f>
        <v>Catalog Record</v>
      </c>
      <c r="AW522" s="6" t="str">
        <f>HYPERLINK("http://www.worldcat.org/oclc/666242844","WorldCat Record")</f>
        <v>WorldCat Record</v>
      </c>
      <c r="AX522" s="3" t="s">
        <v>5389</v>
      </c>
      <c r="AY522" s="3" t="s">
        <v>5390</v>
      </c>
      <c r="AZ522" s="3" t="s">
        <v>5391</v>
      </c>
      <c r="BA522" s="3" t="s">
        <v>5391</v>
      </c>
      <c r="BB522" s="3" t="s">
        <v>5392</v>
      </c>
      <c r="BC522" s="3" t="s">
        <v>82</v>
      </c>
      <c r="BD522" s="3" t="s">
        <v>70</v>
      </c>
      <c r="BE522" s="3" t="s">
        <v>5393</v>
      </c>
      <c r="BF522" s="3" t="s">
        <v>5392</v>
      </c>
      <c r="BG522" s="3" t="s">
        <v>5394</v>
      </c>
    </row>
    <row r="523" spans="1:59" ht="60" x14ac:dyDescent="0.25">
      <c r="A523" s="2" t="s">
        <v>59</v>
      </c>
      <c r="B523" s="2" t="s">
        <v>60</v>
      </c>
      <c r="C523" s="2" t="s">
        <v>5395</v>
      </c>
      <c r="D523" s="2" t="s">
        <v>5396</v>
      </c>
      <c r="E523" s="2" t="s">
        <v>5397</v>
      </c>
      <c r="G523" s="3" t="s">
        <v>63</v>
      </c>
      <c r="I523" s="3" t="s">
        <v>63</v>
      </c>
      <c r="J523" s="3" t="s">
        <v>63</v>
      </c>
      <c r="K523" s="3" t="s">
        <v>64</v>
      </c>
      <c r="L523" s="2" t="s">
        <v>5398</v>
      </c>
      <c r="M523" s="2" t="s">
        <v>5399</v>
      </c>
      <c r="N523" s="3" t="s">
        <v>143</v>
      </c>
      <c r="P523" s="3" t="s">
        <v>66</v>
      </c>
      <c r="Q523" s="2" t="s">
        <v>5400</v>
      </c>
      <c r="R523" s="3" t="s">
        <v>67</v>
      </c>
      <c r="S523" s="4">
        <v>0</v>
      </c>
      <c r="T523" s="4">
        <v>0</v>
      </c>
      <c r="W523" s="5" t="s">
        <v>69</v>
      </c>
      <c r="X523" s="5" t="s">
        <v>69</v>
      </c>
      <c r="Y523" s="4">
        <v>94</v>
      </c>
      <c r="Z523" s="4">
        <v>11</v>
      </c>
      <c r="AA523" s="4">
        <v>11</v>
      </c>
      <c r="AB523" s="4">
        <v>1</v>
      </c>
      <c r="AC523" s="4">
        <v>1</v>
      </c>
      <c r="AD523" s="4">
        <v>54</v>
      </c>
      <c r="AE523" s="4">
        <v>54</v>
      </c>
      <c r="AF523" s="4">
        <v>0</v>
      </c>
      <c r="AG523" s="4">
        <v>0</v>
      </c>
      <c r="AH523" s="4">
        <v>51</v>
      </c>
      <c r="AI523" s="4">
        <v>51</v>
      </c>
      <c r="AJ523" s="4">
        <v>8</v>
      </c>
      <c r="AK523" s="4">
        <v>8</v>
      </c>
      <c r="AL523" s="4">
        <v>34</v>
      </c>
      <c r="AM523" s="4">
        <v>34</v>
      </c>
      <c r="AN523" s="4">
        <v>0</v>
      </c>
      <c r="AO523" s="4">
        <v>0</v>
      </c>
      <c r="AP523" s="4">
        <v>8</v>
      </c>
      <c r="AQ523" s="4">
        <v>8</v>
      </c>
      <c r="AR523" s="3" t="s">
        <v>63</v>
      </c>
      <c r="AS523" s="3" t="s">
        <v>63</v>
      </c>
      <c r="AT523" s="3" t="s">
        <v>63</v>
      </c>
      <c r="AV523" s="6" t="str">
        <f>HYPERLINK("http://mcgill.on.worldcat.org/oclc/866922761","Catalog Record")</f>
        <v>Catalog Record</v>
      </c>
      <c r="AW523" s="6" t="str">
        <f>HYPERLINK("http://www.worldcat.org/oclc/866922761","WorldCat Record")</f>
        <v>WorldCat Record</v>
      </c>
      <c r="AX523" s="3" t="s">
        <v>5401</v>
      </c>
      <c r="AY523" s="3" t="s">
        <v>5402</v>
      </c>
      <c r="AZ523" s="3" t="s">
        <v>5403</v>
      </c>
      <c r="BA523" s="3" t="s">
        <v>5403</v>
      </c>
      <c r="BB523" s="3" t="s">
        <v>5404</v>
      </c>
      <c r="BC523" s="3" t="s">
        <v>82</v>
      </c>
      <c r="BD523" s="3" t="s">
        <v>70</v>
      </c>
      <c r="BE523" s="3" t="s">
        <v>5405</v>
      </c>
      <c r="BF523" s="3" t="s">
        <v>5404</v>
      </c>
      <c r="BG523" s="3" t="s">
        <v>5406</v>
      </c>
    </row>
    <row r="524" spans="1:59" ht="60" x14ac:dyDescent="0.25">
      <c r="A524" s="2" t="s">
        <v>59</v>
      </c>
      <c r="B524" s="2" t="s">
        <v>60</v>
      </c>
      <c r="C524" s="2" t="s">
        <v>5407</v>
      </c>
      <c r="D524" s="2" t="s">
        <v>5408</v>
      </c>
      <c r="E524" s="2" t="s">
        <v>5409</v>
      </c>
      <c r="G524" s="3" t="s">
        <v>63</v>
      </c>
      <c r="I524" s="3" t="s">
        <v>63</v>
      </c>
      <c r="J524" s="3" t="s">
        <v>63</v>
      </c>
      <c r="K524" s="3" t="s">
        <v>64</v>
      </c>
      <c r="L524" s="2" t="s">
        <v>5410</v>
      </c>
      <c r="M524" s="2" t="s">
        <v>5411</v>
      </c>
      <c r="N524" s="3" t="s">
        <v>629</v>
      </c>
      <c r="P524" s="3" t="s">
        <v>66</v>
      </c>
      <c r="Q524" s="2" t="s">
        <v>5412</v>
      </c>
      <c r="R524" s="3" t="s">
        <v>67</v>
      </c>
      <c r="S524" s="4">
        <v>0</v>
      </c>
      <c r="T524" s="4">
        <v>0</v>
      </c>
      <c r="W524" s="5" t="s">
        <v>69</v>
      </c>
      <c r="X524" s="5" t="s">
        <v>69</v>
      </c>
      <c r="Y524" s="4">
        <v>228</v>
      </c>
      <c r="Z524" s="4">
        <v>15</v>
      </c>
      <c r="AA524" s="4">
        <v>103</v>
      </c>
      <c r="AB524" s="4">
        <v>1</v>
      </c>
      <c r="AC524" s="4">
        <v>18</v>
      </c>
      <c r="AD524" s="4">
        <v>84</v>
      </c>
      <c r="AE524" s="4">
        <v>133</v>
      </c>
      <c r="AF524" s="4">
        <v>0</v>
      </c>
      <c r="AG524" s="4">
        <v>8</v>
      </c>
      <c r="AH524" s="4">
        <v>76</v>
      </c>
      <c r="AI524" s="4">
        <v>96</v>
      </c>
      <c r="AJ524" s="4">
        <v>10</v>
      </c>
      <c r="AK524" s="4">
        <v>22</v>
      </c>
      <c r="AL524" s="4">
        <v>51</v>
      </c>
      <c r="AM524" s="4">
        <v>57</v>
      </c>
      <c r="AN524" s="4">
        <v>0</v>
      </c>
      <c r="AO524" s="4">
        <v>0</v>
      </c>
      <c r="AP524" s="4">
        <v>12</v>
      </c>
      <c r="AQ524" s="4">
        <v>44</v>
      </c>
      <c r="AR524" s="3" t="s">
        <v>63</v>
      </c>
      <c r="AS524" s="3" t="s">
        <v>63</v>
      </c>
      <c r="AT524" s="3" t="s">
        <v>63</v>
      </c>
      <c r="AV524" s="6" t="str">
        <f>HYPERLINK("http://mcgill.on.worldcat.org/oclc/708648478","Catalog Record")</f>
        <v>Catalog Record</v>
      </c>
      <c r="AW524" s="6" t="str">
        <f>HYPERLINK("http://www.worldcat.org/oclc/708648478","WorldCat Record")</f>
        <v>WorldCat Record</v>
      </c>
      <c r="AX524" s="3" t="s">
        <v>5413</v>
      </c>
      <c r="AY524" s="3" t="s">
        <v>5414</v>
      </c>
      <c r="AZ524" s="3" t="s">
        <v>5415</v>
      </c>
      <c r="BA524" s="3" t="s">
        <v>5415</v>
      </c>
      <c r="BB524" s="3" t="s">
        <v>5416</v>
      </c>
      <c r="BC524" s="3" t="s">
        <v>82</v>
      </c>
      <c r="BD524" s="3" t="s">
        <v>70</v>
      </c>
      <c r="BE524" s="3" t="s">
        <v>5417</v>
      </c>
      <c r="BF524" s="3" t="s">
        <v>5416</v>
      </c>
      <c r="BG524" s="3" t="s">
        <v>5418</v>
      </c>
    </row>
    <row r="525" spans="1:59" ht="60" x14ac:dyDescent="0.25">
      <c r="A525" s="2" t="s">
        <v>59</v>
      </c>
      <c r="B525" s="2" t="s">
        <v>60</v>
      </c>
      <c r="C525" s="2" t="s">
        <v>5419</v>
      </c>
      <c r="D525" s="2" t="s">
        <v>5420</v>
      </c>
      <c r="E525" s="2" t="s">
        <v>5421</v>
      </c>
      <c r="G525" s="3" t="s">
        <v>63</v>
      </c>
      <c r="I525" s="3" t="s">
        <v>63</v>
      </c>
      <c r="J525" s="3" t="s">
        <v>63</v>
      </c>
      <c r="K525" s="3" t="s">
        <v>64</v>
      </c>
      <c r="L525" s="2" t="s">
        <v>5422</v>
      </c>
      <c r="M525" s="2" t="s">
        <v>5423</v>
      </c>
      <c r="N525" s="3" t="s">
        <v>1113</v>
      </c>
      <c r="P525" s="3" t="s">
        <v>90</v>
      </c>
      <c r="R525" s="3" t="s">
        <v>67</v>
      </c>
      <c r="S525" s="4">
        <v>3</v>
      </c>
      <c r="T525" s="4">
        <v>3</v>
      </c>
      <c r="U525" s="5" t="s">
        <v>1882</v>
      </c>
      <c r="V525" s="5" t="s">
        <v>1882</v>
      </c>
      <c r="W525" s="5" t="s">
        <v>69</v>
      </c>
      <c r="X525" s="5" t="s">
        <v>69</v>
      </c>
      <c r="Y525" s="4">
        <v>55</v>
      </c>
      <c r="Z525" s="4">
        <v>4</v>
      </c>
      <c r="AA525" s="4">
        <v>4</v>
      </c>
      <c r="AB525" s="4">
        <v>1</v>
      </c>
      <c r="AC525" s="4">
        <v>1</v>
      </c>
      <c r="AD525" s="4">
        <v>38</v>
      </c>
      <c r="AE525" s="4">
        <v>38</v>
      </c>
      <c r="AF525" s="4">
        <v>0</v>
      </c>
      <c r="AG525" s="4">
        <v>0</v>
      </c>
      <c r="AH525" s="4">
        <v>37</v>
      </c>
      <c r="AI525" s="4">
        <v>37</v>
      </c>
      <c r="AJ525" s="4">
        <v>2</v>
      </c>
      <c r="AK525" s="4">
        <v>2</v>
      </c>
      <c r="AL525" s="4">
        <v>28</v>
      </c>
      <c r="AM525" s="4">
        <v>28</v>
      </c>
      <c r="AN525" s="4">
        <v>0</v>
      </c>
      <c r="AO525" s="4">
        <v>0</v>
      </c>
      <c r="AP525" s="4">
        <v>2</v>
      </c>
      <c r="AQ525" s="4">
        <v>2</v>
      </c>
      <c r="AR525" s="3" t="s">
        <v>63</v>
      </c>
      <c r="AS525" s="3" t="s">
        <v>63</v>
      </c>
      <c r="AT525" s="3" t="s">
        <v>63</v>
      </c>
      <c r="AV525" s="6" t="str">
        <f>HYPERLINK("http://mcgill.on.worldcat.org/oclc/37412752","Catalog Record")</f>
        <v>Catalog Record</v>
      </c>
      <c r="AW525" s="6" t="str">
        <f>HYPERLINK("http://www.worldcat.org/oclc/37412752","WorldCat Record")</f>
        <v>WorldCat Record</v>
      </c>
      <c r="AX525" s="3" t="s">
        <v>5424</v>
      </c>
      <c r="AY525" s="3" t="s">
        <v>5425</v>
      </c>
      <c r="AZ525" s="3" t="s">
        <v>5426</v>
      </c>
      <c r="BA525" s="3" t="s">
        <v>5426</v>
      </c>
      <c r="BB525" s="3" t="s">
        <v>5427</v>
      </c>
      <c r="BC525" s="3" t="s">
        <v>82</v>
      </c>
      <c r="BD525" s="3" t="s">
        <v>70</v>
      </c>
      <c r="BE525" s="3" t="s">
        <v>5428</v>
      </c>
      <c r="BF525" s="3" t="s">
        <v>5427</v>
      </c>
      <c r="BG525" s="3" t="s">
        <v>5429</v>
      </c>
    </row>
    <row r="526" spans="1:59" ht="60" x14ac:dyDescent="0.25">
      <c r="A526" s="2" t="s">
        <v>59</v>
      </c>
      <c r="B526" s="2" t="s">
        <v>60</v>
      </c>
      <c r="C526" s="2" t="s">
        <v>5430</v>
      </c>
      <c r="D526" s="2" t="s">
        <v>5431</v>
      </c>
      <c r="E526" s="2" t="s">
        <v>5432</v>
      </c>
      <c r="G526" s="3" t="s">
        <v>63</v>
      </c>
      <c r="I526" s="3" t="s">
        <v>63</v>
      </c>
      <c r="J526" s="3" t="s">
        <v>63</v>
      </c>
      <c r="K526" s="3" t="s">
        <v>64</v>
      </c>
      <c r="M526" s="2" t="s">
        <v>5433</v>
      </c>
      <c r="N526" s="3" t="s">
        <v>374</v>
      </c>
      <c r="P526" s="3" t="s">
        <v>90</v>
      </c>
      <c r="R526" s="3" t="s">
        <v>67</v>
      </c>
      <c r="S526" s="4">
        <v>6</v>
      </c>
      <c r="T526" s="4">
        <v>6</v>
      </c>
      <c r="U526" s="5" t="s">
        <v>5434</v>
      </c>
      <c r="V526" s="5" t="s">
        <v>5434</v>
      </c>
      <c r="W526" s="5" t="s">
        <v>69</v>
      </c>
      <c r="X526" s="5" t="s">
        <v>69</v>
      </c>
      <c r="Y526" s="4">
        <v>63</v>
      </c>
      <c r="Z526" s="4">
        <v>7</v>
      </c>
      <c r="AA526" s="4">
        <v>7</v>
      </c>
      <c r="AB526" s="4">
        <v>1</v>
      </c>
      <c r="AC526" s="4">
        <v>1</v>
      </c>
      <c r="AD526" s="4">
        <v>44</v>
      </c>
      <c r="AE526" s="4">
        <v>44</v>
      </c>
      <c r="AF526" s="4">
        <v>0</v>
      </c>
      <c r="AG526" s="4">
        <v>0</v>
      </c>
      <c r="AH526" s="4">
        <v>41</v>
      </c>
      <c r="AI526" s="4">
        <v>41</v>
      </c>
      <c r="AJ526" s="4">
        <v>5</v>
      </c>
      <c r="AK526" s="4">
        <v>5</v>
      </c>
      <c r="AL526" s="4">
        <v>32</v>
      </c>
      <c r="AM526" s="4">
        <v>32</v>
      </c>
      <c r="AN526" s="4">
        <v>0</v>
      </c>
      <c r="AO526" s="4">
        <v>0</v>
      </c>
      <c r="AP526" s="4">
        <v>5</v>
      </c>
      <c r="AQ526" s="4">
        <v>5</v>
      </c>
      <c r="AR526" s="3" t="s">
        <v>63</v>
      </c>
      <c r="AS526" s="3" t="s">
        <v>63</v>
      </c>
      <c r="AT526" s="3" t="s">
        <v>63</v>
      </c>
      <c r="AV526" s="6" t="str">
        <f>HYPERLINK("http://mcgill.on.worldcat.org/oclc/34880913","Catalog Record")</f>
        <v>Catalog Record</v>
      </c>
      <c r="AW526" s="6" t="str">
        <f>HYPERLINK("http://www.worldcat.org/oclc/34880913","WorldCat Record")</f>
        <v>WorldCat Record</v>
      </c>
      <c r="AX526" s="3" t="s">
        <v>5435</v>
      </c>
      <c r="AY526" s="3" t="s">
        <v>5436</v>
      </c>
      <c r="AZ526" s="3" t="s">
        <v>5437</v>
      </c>
      <c r="BA526" s="3" t="s">
        <v>5437</v>
      </c>
      <c r="BB526" s="3" t="s">
        <v>5438</v>
      </c>
      <c r="BC526" s="3" t="s">
        <v>82</v>
      </c>
      <c r="BD526" s="3" t="s">
        <v>538</v>
      </c>
      <c r="BE526" s="3" t="s">
        <v>5439</v>
      </c>
      <c r="BF526" s="3" t="s">
        <v>5438</v>
      </c>
      <c r="BG526" s="3" t="s">
        <v>5440</v>
      </c>
    </row>
    <row r="527" spans="1:59" ht="60" x14ac:dyDescent="0.25">
      <c r="A527" s="2" t="s">
        <v>59</v>
      </c>
      <c r="B527" s="2" t="s">
        <v>60</v>
      </c>
      <c r="C527" s="2" t="s">
        <v>5441</v>
      </c>
      <c r="D527" s="2" t="s">
        <v>5442</v>
      </c>
      <c r="E527" s="2" t="s">
        <v>5443</v>
      </c>
      <c r="G527" s="3" t="s">
        <v>63</v>
      </c>
      <c r="I527" s="3" t="s">
        <v>63</v>
      </c>
      <c r="J527" s="3" t="s">
        <v>63</v>
      </c>
      <c r="K527" s="3" t="s">
        <v>64</v>
      </c>
      <c r="L527" s="2" t="s">
        <v>5444</v>
      </c>
      <c r="M527" s="2" t="s">
        <v>5445</v>
      </c>
      <c r="N527" s="3" t="s">
        <v>1418</v>
      </c>
      <c r="O527" s="2" t="s">
        <v>5446</v>
      </c>
      <c r="P527" s="3" t="s">
        <v>90</v>
      </c>
      <c r="R527" s="3" t="s">
        <v>67</v>
      </c>
      <c r="S527" s="4">
        <v>12</v>
      </c>
      <c r="T527" s="4">
        <v>12</v>
      </c>
      <c r="U527" s="5" t="s">
        <v>4577</v>
      </c>
      <c r="V527" s="5" t="s">
        <v>4577</v>
      </c>
      <c r="W527" s="5" t="s">
        <v>69</v>
      </c>
      <c r="X527" s="5" t="s">
        <v>69</v>
      </c>
      <c r="Y527" s="4">
        <v>46</v>
      </c>
      <c r="Z527" s="4">
        <v>9</v>
      </c>
      <c r="AA527" s="4">
        <v>10</v>
      </c>
      <c r="AB527" s="4">
        <v>2</v>
      </c>
      <c r="AC527" s="4">
        <v>2</v>
      </c>
      <c r="AD527" s="4">
        <v>34</v>
      </c>
      <c r="AE527" s="4">
        <v>36</v>
      </c>
      <c r="AF527" s="4">
        <v>0</v>
      </c>
      <c r="AG527" s="4">
        <v>0</v>
      </c>
      <c r="AH527" s="4">
        <v>33</v>
      </c>
      <c r="AI527" s="4">
        <v>35</v>
      </c>
      <c r="AJ527" s="4">
        <v>5</v>
      </c>
      <c r="AK527" s="4">
        <v>6</v>
      </c>
      <c r="AL527" s="4">
        <v>23</v>
      </c>
      <c r="AM527" s="4">
        <v>24</v>
      </c>
      <c r="AN527" s="4">
        <v>0</v>
      </c>
      <c r="AO527" s="4">
        <v>0</v>
      </c>
      <c r="AP527" s="4">
        <v>5</v>
      </c>
      <c r="AQ527" s="4">
        <v>6</v>
      </c>
      <c r="AR527" s="3" t="s">
        <v>63</v>
      </c>
      <c r="AS527" s="3" t="s">
        <v>63</v>
      </c>
      <c r="AT527" s="3" t="s">
        <v>62</v>
      </c>
      <c r="AU527" s="6" t="str">
        <f>HYPERLINK("http://catalog.hathitrust.org/Record/000950868","HathiTrust Record")</f>
        <v>HathiTrust Record</v>
      </c>
      <c r="AV527" s="6" t="str">
        <f>HYPERLINK("http://mcgill.on.worldcat.org/oclc/17813922","Catalog Record")</f>
        <v>Catalog Record</v>
      </c>
      <c r="AW527" s="6" t="str">
        <f>HYPERLINK("http://www.worldcat.org/oclc/17813922","WorldCat Record")</f>
        <v>WorldCat Record</v>
      </c>
      <c r="AX527" s="3" t="s">
        <v>5447</v>
      </c>
      <c r="AY527" s="3" t="s">
        <v>5448</v>
      </c>
      <c r="AZ527" s="3" t="s">
        <v>5449</v>
      </c>
      <c r="BA527" s="3" t="s">
        <v>5449</v>
      </c>
      <c r="BB527" s="3" t="s">
        <v>5450</v>
      </c>
      <c r="BC527" s="3" t="s">
        <v>82</v>
      </c>
      <c r="BD527" s="3" t="s">
        <v>70</v>
      </c>
      <c r="BF527" s="3" t="s">
        <v>5450</v>
      </c>
      <c r="BG527" s="3" t="s">
        <v>5451</v>
      </c>
    </row>
    <row r="528" spans="1:59" ht="60" x14ac:dyDescent="0.25">
      <c r="A528" s="2" t="s">
        <v>59</v>
      </c>
      <c r="B528" s="2" t="s">
        <v>60</v>
      </c>
      <c r="C528" s="2" t="s">
        <v>5452</v>
      </c>
      <c r="D528" s="2" t="s">
        <v>5453</v>
      </c>
      <c r="E528" s="2" t="s">
        <v>5454</v>
      </c>
      <c r="G528" s="3" t="s">
        <v>63</v>
      </c>
      <c r="I528" s="3" t="s">
        <v>63</v>
      </c>
      <c r="J528" s="3" t="s">
        <v>63</v>
      </c>
      <c r="K528" s="3" t="s">
        <v>64</v>
      </c>
      <c r="L528" s="2" t="s">
        <v>5455</v>
      </c>
      <c r="M528" s="2" t="s">
        <v>5456</v>
      </c>
      <c r="N528" s="3" t="s">
        <v>2459</v>
      </c>
      <c r="P528" s="3" t="s">
        <v>90</v>
      </c>
      <c r="R528" s="3" t="s">
        <v>67</v>
      </c>
      <c r="S528" s="4">
        <v>1</v>
      </c>
      <c r="T528" s="4">
        <v>1</v>
      </c>
      <c r="U528" s="5" t="s">
        <v>1882</v>
      </c>
      <c r="V528" s="5" t="s">
        <v>1882</v>
      </c>
      <c r="W528" s="5" t="s">
        <v>69</v>
      </c>
      <c r="X528" s="5" t="s">
        <v>69</v>
      </c>
      <c r="Y528" s="4">
        <v>23</v>
      </c>
      <c r="Z528" s="4">
        <v>2</v>
      </c>
      <c r="AA528" s="4">
        <v>2</v>
      </c>
      <c r="AB528" s="4">
        <v>1</v>
      </c>
      <c r="AC528" s="4">
        <v>1</v>
      </c>
      <c r="AD528" s="4">
        <v>16</v>
      </c>
      <c r="AE528" s="4">
        <v>16</v>
      </c>
      <c r="AF528" s="4">
        <v>0</v>
      </c>
      <c r="AG528" s="4">
        <v>0</v>
      </c>
      <c r="AH528" s="4">
        <v>15</v>
      </c>
      <c r="AI528" s="4">
        <v>15</v>
      </c>
      <c r="AJ528" s="4">
        <v>1</v>
      </c>
      <c r="AK528" s="4">
        <v>1</v>
      </c>
      <c r="AL528" s="4">
        <v>13</v>
      </c>
      <c r="AM528" s="4">
        <v>13</v>
      </c>
      <c r="AN528" s="4">
        <v>0</v>
      </c>
      <c r="AO528" s="4">
        <v>0</v>
      </c>
      <c r="AP528" s="4">
        <v>1</v>
      </c>
      <c r="AQ528" s="4">
        <v>1</v>
      </c>
      <c r="AR528" s="3" t="s">
        <v>63</v>
      </c>
      <c r="AS528" s="3" t="s">
        <v>63</v>
      </c>
      <c r="AT528" s="3" t="s">
        <v>63</v>
      </c>
      <c r="AV528" s="6" t="str">
        <f>HYPERLINK("http://mcgill.on.worldcat.org/oclc/309720854","Catalog Record")</f>
        <v>Catalog Record</v>
      </c>
      <c r="AW528" s="6" t="str">
        <f>HYPERLINK("http://www.worldcat.org/oclc/309720854","WorldCat Record")</f>
        <v>WorldCat Record</v>
      </c>
      <c r="AX528" s="3" t="s">
        <v>5457</v>
      </c>
      <c r="AY528" s="3" t="s">
        <v>5458</v>
      </c>
      <c r="AZ528" s="3" t="s">
        <v>5459</v>
      </c>
      <c r="BA528" s="3" t="s">
        <v>5459</v>
      </c>
      <c r="BB528" s="3" t="s">
        <v>5460</v>
      </c>
      <c r="BC528" s="3" t="s">
        <v>82</v>
      </c>
      <c r="BD528" s="3" t="s">
        <v>70</v>
      </c>
      <c r="BE528" s="3" t="s">
        <v>5461</v>
      </c>
      <c r="BF528" s="3" t="s">
        <v>5460</v>
      </c>
      <c r="BG528" s="3" t="s">
        <v>5462</v>
      </c>
    </row>
    <row r="529" spans="1:59" ht="60" x14ac:dyDescent="0.25">
      <c r="A529" s="2" t="s">
        <v>59</v>
      </c>
      <c r="B529" s="2" t="s">
        <v>60</v>
      </c>
      <c r="C529" s="2" t="s">
        <v>5463</v>
      </c>
      <c r="D529" s="2" t="s">
        <v>5464</v>
      </c>
      <c r="E529" s="2" t="s">
        <v>5465</v>
      </c>
      <c r="G529" s="3" t="s">
        <v>63</v>
      </c>
      <c r="I529" s="3" t="s">
        <v>63</v>
      </c>
      <c r="J529" s="3" t="s">
        <v>62</v>
      </c>
      <c r="K529" s="3" t="s">
        <v>64</v>
      </c>
      <c r="L529" s="2" t="s">
        <v>5466</v>
      </c>
      <c r="M529" s="2" t="s">
        <v>5467</v>
      </c>
      <c r="N529" s="3" t="s">
        <v>5468</v>
      </c>
      <c r="P529" s="3" t="s">
        <v>66</v>
      </c>
      <c r="Q529" s="2" t="s">
        <v>5469</v>
      </c>
      <c r="R529" s="3" t="s">
        <v>67</v>
      </c>
      <c r="S529" s="4">
        <v>15</v>
      </c>
      <c r="T529" s="4">
        <v>15</v>
      </c>
      <c r="U529" s="5" t="s">
        <v>5470</v>
      </c>
      <c r="V529" s="5" t="s">
        <v>5470</v>
      </c>
      <c r="W529" s="5" t="s">
        <v>69</v>
      </c>
      <c r="X529" s="5" t="s">
        <v>69</v>
      </c>
      <c r="Y529" s="4">
        <v>603</v>
      </c>
      <c r="Z529" s="4">
        <v>25</v>
      </c>
      <c r="AA529" s="4">
        <v>43</v>
      </c>
      <c r="AB529" s="4">
        <v>2</v>
      </c>
      <c r="AC529" s="4">
        <v>5</v>
      </c>
      <c r="AD529" s="4">
        <v>104</v>
      </c>
      <c r="AE529" s="4">
        <v>125</v>
      </c>
      <c r="AF529" s="4">
        <v>1</v>
      </c>
      <c r="AG529" s="4">
        <v>3</v>
      </c>
      <c r="AH529" s="4">
        <v>91</v>
      </c>
      <c r="AI529" s="4">
        <v>101</v>
      </c>
      <c r="AJ529" s="4">
        <v>14</v>
      </c>
      <c r="AK529" s="4">
        <v>22</v>
      </c>
      <c r="AL529" s="4">
        <v>51</v>
      </c>
      <c r="AM529" s="4">
        <v>55</v>
      </c>
      <c r="AN529" s="4">
        <v>0</v>
      </c>
      <c r="AO529" s="4">
        <v>0</v>
      </c>
      <c r="AP529" s="4">
        <v>17</v>
      </c>
      <c r="AQ529" s="4">
        <v>29</v>
      </c>
      <c r="AR529" s="3" t="s">
        <v>63</v>
      </c>
      <c r="AS529" s="3" t="s">
        <v>63</v>
      </c>
      <c r="AT529" s="3" t="s">
        <v>62</v>
      </c>
      <c r="AU529" s="6" t="str">
        <f>HYPERLINK("http://catalog.hathitrust.org/Record/001110363","HathiTrust Record")</f>
        <v>HathiTrust Record</v>
      </c>
      <c r="AV529" s="6" t="str">
        <f>HYPERLINK("http://mcgill.on.worldcat.org/oclc/962694","Catalog Record")</f>
        <v>Catalog Record</v>
      </c>
      <c r="AW529" s="6" t="str">
        <f>HYPERLINK("http://www.worldcat.org/oclc/962694","WorldCat Record")</f>
        <v>WorldCat Record</v>
      </c>
      <c r="AX529" s="3" t="s">
        <v>5471</v>
      </c>
      <c r="AY529" s="3" t="s">
        <v>5472</v>
      </c>
      <c r="AZ529" s="3" t="s">
        <v>5473</v>
      </c>
      <c r="BA529" s="3" t="s">
        <v>5473</v>
      </c>
      <c r="BB529" s="3" t="s">
        <v>5474</v>
      </c>
      <c r="BC529" s="3" t="s">
        <v>82</v>
      </c>
      <c r="BD529" s="3" t="s">
        <v>70</v>
      </c>
      <c r="BF529" s="3" t="s">
        <v>5474</v>
      </c>
      <c r="BG529" s="3" t="s">
        <v>5475</v>
      </c>
    </row>
    <row r="530" spans="1:59" ht="60" x14ac:dyDescent="0.25">
      <c r="A530" s="2" t="s">
        <v>59</v>
      </c>
      <c r="B530" s="2" t="s">
        <v>60</v>
      </c>
      <c r="C530" s="2" t="s">
        <v>5476</v>
      </c>
      <c r="D530" s="2" t="s">
        <v>5477</v>
      </c>
      <c r="E530" s="2" t="s">
        <v>5478</v>
      </c>
      <c r="G530" s="3" t="s">
        <v>63</v>
      </c>
      <c r="I530" s="3" t="s">
        <v>62</v>
      </c>
      <c r="J530" s="3" t="s">
        <v>62</v>
      </c>
      <c r="K530" s="3" t="s">
        <v>64</v>
      </c>
      <c r="L530" s="2" t="s">
        <v>5466</v>
      </c>
      <c r="M530" s="2" t="s">
        <v>5479</v>
      </c>
      <c r="N530" s="3" t="s">
        <v>681</v>
      </c>
      <c r="P530" s="3" t="s">
        <v>66</v>
      </c>
      <c r="R530" s="3" t="s">
        <v>67</v>
      </c>
      <c r="S530" s="4">
        <v>13</v>
      </c>
      <c r="T530" s="4">
        <v>26</v>
      </c>
      <c r="U530" s="5" t="s">
        <v>4577</v>
      </c>
      <c r="V530" s="5" t="s">
        <v>4577</v>
      </c>
      <c r="W530" s="5" t="s">
        <v>69</v>
      </c>
      <c r="X530" s="5" t="s">
        <v>69</v>
      </c>
      <c r="Y530" s="4">
        <v>276</v>
      </c>
      <c r="Z530" s="4">
        <v>18</v>
      </c>
      <c r="AA530" s="4">
        <v>43</v>
      </c>
      <c r="AB530" s="4">
        <v>2</v>
      </c>
      <c r="AC530" s="4">
        <v>5</v>
      </c>
      <c r="AD530" s="4">
        <v>44</v>
      </c>
      <c r="AE530" s="4">
        <v>125</v>
      </c>
      <c r="AF530" s="4">
        <v>1</v>
      </c>
      <c r="AG530" s="4">
        <v>3</v>
      </c>
      <c r="AH530" s="4">
        <v>34</v>
      </c>
      <c r="AI530" s="4">
        <v>101</v>
      </c>
      <c r="AJ530" s="4">
        <v>9</v>
      </c>
      <c r="AK530" s="4">
        <v>22</v>
      </c>
      <c r="AL530" s="4">
        <v>17</v>
      </c>
      <c r="AM530" s="4">
        <v>55</v>
      </c>
      <c r="AN530" s="4">
        <v>0</v>
      </c>
      <c r="AO530" s="4">
        <v>0</v>
      </c>
      <c r="AP530" s="4">
        <v>12</v>
      </c>
      <c r="AQ530" s="4">
        <v>29</v>
      </c>
      <c r="AR530" s="3" t="s">
        <v>63</v>
      </c>
      <c r="AS530" s="3" t="s">
        <v>63</v>
      </c>
      <c r="AT530" s="3" t="s">
        <v>63</v>
      </c>
      <c r="AV530" s="6" t="str">
        <f>HYPERLINK("http://mcgill.on.worldcat.org/oclc/86457","Catalog Record")</f>
        <v>Catalog Record</v>
      </c>
      <c r="AW530" s="6" t="str">
        <f>HYPERLINK("http://www.worldcat.org/oclc/86457","WorldCat Record")</f>
        <v>WorldCat Record</v>
      </c>
      <c r="AX530" s="3" t="s">
        <v>5471</v>
      </c>
      <c r="AY530" s="3" t="s">
        <v>5480</v>
      </c>
      <c r="AZ530" s="3" t="s">
        <v>5481</v>
      </c>
      <c r="BA530" s="3" t="s">
        <v>5481</v>
      </c>
      <c r="BB530" s="3" t="s">
        <v>5482</v>
      </c>
      <c r="BC530" s="3" t="s">
        <v>82</v>
      </c>
      <c r="BD530" s="3" t="s">
        <v>70</v>
      </c>
      <c r="BF530" s="3" t="s">
        <v>5482</v>
      </c>
      <c r="BG530" s="3" t="s">
        <v>5483</v>
      </c>
    </row>
    <row r="531" spans="1:59" ht="60" x14ac:dyDescent="0.25">
      <c r="A531" s="2" t="s">
        <v>59</v>
      </c>
      <c r="B531" s="2" t="s">
        <v>60</v>
      </c>
      <c r="C531" s="2" t="s">
        <v>5476</v>
      </c>
      <c r="D531" s="2" t="s">
        <v>5477</v>
      </c>
      <c r="E531" s="2" t="s">
        <v>5478</v>
      </c>
      <c r="F531" s="3" t="s">
        <v>2154</v>
      </c>
      <c r="G531" s="3" t="s">
        <v>63</v>
      </c>
      <c r="I531" s="3" t="s">
        <v>62</v>
      </c>
      <c r="J531" s="3" t="s">
        <v>62</v>
      </c>
      <c r="K531" s="3" t="s">
        <v>64</v>
      </c>
      <c r="L531" s="2" t="s">
        <v>5466</v>
      </c>
      <c r="M531" s="2" t="s">
        <v>5479</v>
      </c>
      <c r="N531" s="3" t="s">
        <v>681</v>
      </c>
      <c r="P531" s="3" t="s">
        <v>66</v>
      </c>
      <c r="R531" s="3" t="s">
        <v>67</v>
      </c>
      <c r="S531" s="4">
        <v>13</v>
      </c>
      <c r="T531" s="4">
        <v>26</v>
      </c>
      <c r="U531" s="5" t="s">
        <v>4911</v>
      </c>
      <c r="V531" s="5" t="s">
        <v>4577</v>
      </c>
      <c r="W531" s="5" t="s">
        <v>69</v>
      </c>
      <c r="X531" s="5" t="s">
        <v>69</v>
      </c>
      <c r="Y531" s="4">
        <v>276</v>
      </c>
      <c r="Z531" s="4">
        <v>18</v>
      </c>
      <c r="AA531" s="4">
        <v>43</v>
      </c>
      <c r="AB531" s="4">
        <v>2</v>
      </c>
      <c r="AC531" s="4">
        <v>5</v>
      </c>
      <c r="AD531" s="4">
        <v>44</v>
      </c>
      <c r="AE531" s="4">
        <v>125</v>
      </c>
      <c r="AF531" s="4">
        <v>1</v>
      </c>
      <c r="AG531" s="4">
        <v>3</v>
      </c>
      <c r="AH531" s="4">
        <v>34</v>
      </c>
      <c r="AI531" s="4">
        <v>101</v>
      </c>
      <c r="AJ531" s="4">
        <v>9</v>
      </c>
      <c r="AK531" s="4">
        <v>22</v>
      </c>
      <c r="AL531" s="4">
        <v>17</v>
      </c>
      <c r="AM531" s="4">
        <v>55</v>
      </c>
      <c r="AN531" s="4">
        <v>0</v>
      </c>
      <c r="AO531" s="4">
        <v>0</v>
      </c>
      <c r="AP531" s="4">
        <v>12</v>
      </c>
      <c r="AQ531" s="4">
        <v>29</v>
      </c>
      <c r="AR531" s="3" t="s">
        <v>63</v>
      </c>
      <c r="AS531" s="3" t="s">
        <v>63</v>
      </c>
      <c r="AT531" s="3" t="s">
        <v>63</v>
      </c>
      <c r="AV531" s="6" t="str">
        <f>HYPERLINK("http://mcgill.on.worldcat.org/oclc/86457","Catalog Record")</f>
        <v>Catalog Record</v>
      </c>
      <c r="AW531" s="6" t="str">
        <f>HYPERLINK("http://www.worldcat.org/oclc/86457","WorldCat Record")</f>
        <v>WorldCat Record</v>
      </c>
      <c r="AX531" s="3" t="s">
        <v>5471</v>
      </c>
      <c r="AY531" s="3" t="s">
        <v>5480</v>
      </c>
      <c r="AZ531" s="3" t="s">
        <v>5481</v>
      </c>
      <c r="BA531" s="3" t="s">
        <v>5481</v>
      </c>
      <c r="BB531" s="3" t="s">
        <v>5484</v>
      </c>
      <c r="BC531" s="3" t="s">
        <v>82</v>
      </c>
      <c r="BD531" s="3" t="s">
        <v>70</v>
      </c>
      <c r="BF531" s="3" t="s">
        <v>5484</v>
      </c>
      <c r="BG531" s="3" t="s">
        <v>5485</v>
      </c>
    </row>
    <row r="532" spans="1:59" ht="90" x14ac:dyDescent="0.25">
      <c r="A532" s="2" t="s">
        <v>59</v>
      </c>
      <c r="B532" s="2" t="s">
        <v>60</v>
      </c>
      <c r="C532" s="2" t="s">
        <v>5486</v>
      </c>
      <c r="D532" s="2" t="s">
        <v>5487</v>
      </c>
      <c r="E532" s="2" t="s">
        <v>5488</v>
      </c>
      <c r="G532" s="3" t="s">
        <v>63</v>
      </c>
      <c r="I532" s="3" t="s">
        <v>62</v>
      </c>
      <c r="J532" s="3" t="s">
        <v>63</v>
      </c>
      <c r="K532" s="3" t="s">
        <v>64</v>
      </c>
      <c r="M532" s="2" t="s">
        <v>5489</v>
      </c>
      <c r="N532" s="3" t="s">
        <v>161</v>
      </c>
      <c r="P532" s="3" t="s">
        <v>66</v>
      </c>
      <c r="R532" s="3" t="s">
        <v>67</v>
      </c>
      <c r="S532" s="4">
        <v>14</v>
      </c>
      <c r="T532" s="4">
        <v>23</v>
      </c>
      <c r="U532" s="5" t="s">
        <v>1882</v>
      </c>
      <c r="V532" s="5" t="s">
        <v>1882</v>
      </c>
      <c r="W532" s="5" t="s">
        <v>69</v>
      </c>
      <c r="X532" s="5" t="s">
        <v>69</v>
      </c>
      <c r="Y532" s="4">
        <v>124</v>
      </c>
      <c r="Z532" s="4">
        <v>11</v>
      </c>
      <c r="AA532" s="4">
        <v>12</v>
      </c>
      <c r="AB532" s="4">
        <v>1</v>
      </c>
      <c r="AC532" s="4">
        <v>1</v>
      </c>
      <c r="AD532" s="4">
        <v>61</v>
      </c>
      <c r="AE532" s="4">
        <v>61</v>
      </c>
      <c r="AF532" s="4">
        <v>0</v>
      </c>
      <c r="AG532" s="4">
        <v>0</v>
      </c>
      <c r="AH532" s="4">
        <v>55</v>
      </c>
      <c r="AI532" s="4">
        <v>55</v>
      </c>
      <c r="AJ532" s="4">
        <v>9</v>
      </c>
      <c r="AK532" s="4">
        <v>9</v>
      </c>
      <c r="AL532" s="4">
        <v>38</v>
      </c>
      <c r="AM532" s="4">
        <v>38</v>
      </c>
      <c r="AN532" s="4">
        <v>0</v>
      </c>
      <c r="AO532" s="4">
        <v>0</v>
      </c>
      <c r="AP532" s="4">
        <v>9</v>
      </c>
      <c r="AQ532" s="4">
        <v>9</v>
      </c>
      <c r="AR532" s="3" t="s">
        <v>63</v>
      </c>
      <c r="AS532" s="3" t="s">
        <v>63</v>
      </c>
      <c r="AT532" s="3" t="s">
        <v>62</v>
      </c>
      <c r="AU532" s="6" t="str">
        <f>HYPERLINK("http://catalog.hathitrust.org/Record/002060605","HathiTrust Record")</f>
        <v>HathiTrust Record</v>
      </c>
      <c r="AV532" s="6" t="str">
        <f>HYPERLINK("http://mcgill.on.worldcat.org/oclc/24380778","Catalog Record")</f>
        <v>Catalog Record</v>
      </c>
      <c r="AW532" s="6" t="str">
        <f>HYPERLINK("http://www.worldcat.org/oclc/24380778","WorldCat Record")</f>
        <v>WorldCat Record</v>
      </c>
      <c r="AX532" s="3" t="s">
        <v>5490</v>
      </c>
      <c r="AY532" s="3" t="s">
        <v>5491</v>
      </c>
      <c r="AZ532" s="3" t="s">
        <v>5492</v>
      </c>
      <c r="BA532" s="3" t="s">
        <v>5492</v>
      </c>
      <c r="BB532" s="3" t="s">
        <v>5493</v>
      </c>
      <c r="BC532" s="3" t="s">
        <v>82</v>
      </c>
      <c r="BD532" s="3" t="s">
        <v>70</v>
      </c>
      <c r="BE532" s="3" t="s">
        <v>5494</v>
      </c>
      <c r="BF532" s="3" t="s">
        <v>5493</v>
      </c>
      <c r="BG532" s="3" t="s">
        <v>5495</v>
      </c>
    </row>
    <row r="533" spans="1:59" ht="90" x14ac:dyDescent="0.25">
      <c r="A533" s="2" t="s">
        <v>59</v>
      </c>
      <c r="B533" s="2" t="s">
        <v>60</v>
      </c>
      <c r="C533" s="2" t="s">
        <v>5486</v>
      </c>
      <c r="D533" s="2" t="s">
        <v>5487</v>
      </c>
      <c r="E533" s="2" t="s">
        <v>5488</v>
      </c>
      <c r="G533" s="3" t="s">
        <v>63</v>
      </c>
      <c r="I533" s="3" t="s">
        <v>62</v>
      </c>
      <c r="J533" s="3" t="s">
        <v>63</v>
      </c>
      <c r="K533" s="3" t="s">
        <v>64</v>
      </c>
      <c r="M533" s="2" t="s">
        <v>5489</v>
      </c>
      <c r="N533" s="3" t="s">
        <v>161</v>
      </c>
      <c r="P533" s="3" t="s">
        <v>66</v>
      </c>
      <c r="R533" s="3" t="s">
        <v>67</v>
      </c>
      <c r="S533" s="4">
        <v>9</v>
      </c>
      <c r="T533" s="4">
        <v>23</v>
      </c>
      <c r="U533" s="5" t="s">
        <v>5496</v>
      </c>
      <c r="V533" s="5" t="s">
        <v>1882</v>
      </c>
      <c r="W533" s="5" t="s">
        <v>69</v>
      </c>
      <c r="X533" s="5" t="s">
        <v>69</v>
      </c>
      <c r="Y533" s="4">
        <v>124</v>
      </c>
      <c r="Z533" s="4">
        <v>11</v>
      </c>
      <c r="AA533" s="4">
        <v>12</v>
      </c>
      <c r="AB533" s="4">
        <v>1</v>
      </c>
      <c r="AC533" s="4">
        <v>1</v>
      </c>
      <c r="AD533" s="4">
        <v>61</v>
      </c>
      <c r="AE533" s="4">
        <v>61</v>
      </c>
      <c r="AF533" s="4">
        <v>0</v>
      </c>
      <c r="AG533" s="4">
        <v>0</v>
      </c>
      <c r="AH533" s="4">
        <v>55</v>
      </c>
      <c r="AI533" s="4">
        <v>55</v>
      </c>
      <c r="AJ533" s="4">
        <v>9</v>
      </c>
      <c r="AK533" s="4">
        <v>9</v>
      </c>
      <c r="AL533" s="4">
        <v>38</v>
      </c>
      <c r="AM533" s="4">
        <v>38</v>
      </c>
      <c r="AN533" s="4">
        <v>0</v>
      </c>
      <c r="AO533" s="4">
        <v>0</v>
      </c>
      <c r="AP533" s="4">
        <v>9</v>
      </c>
      <c r="AQ533" s="4">
        <v>9</v>
      </c>
      <c r="AR533" s="3" t="s">
        <v>63</v>
      </c>
      <c r="AS533" s="3" t="s">
        <v>63</v>
      </c>
      <c r="AT533" s="3" t="s">
        <v>62</v>
      </c>
      <c r="AU533" s="6" t="str">
        <f>HYPERLINK("http://catalog.hathitrust.org/Record/002060605","HathiTrust Record")</f>
        <v>HathiTrust Record</v>
      </c>
      <c r="AV533" s="6" t="str">
        <f>HYPERLINK("http://mcgill.on.worldcat.org/oclc/24380778","Catalog Record")</f>
        <v>Catalog Record</v>
      </c>
      <c r="AW533" s="6" t="str">
        <f>HYPERLINK("http://www.worldcat.org/oclc/24380778","WorldCat Record")</f>
        <v>WorldCat Record</v>
      </c>
      <c r="AX533" s="3" t="s">
        <v>5490</v>
      </c>
      <c r="AY533" s="3" t="s">
        <v>5491</v>
      </c>
      <c r="AZ533" s="3" t="s">
        <v>5492</v>
      </c>
      <c r="BA533" s="3" t="s">
        <v>5492</v>
      </c>
      <c r="BB533" s="3" t="s">
        <v>5497</v>
      </c>
      <c r="BC533" s="3" t="s">
        <v>82</v>
      </c>
      <c r="BD533" s="3" t="s">
        <v>70</v>
      </c>
      <c r="BE533" s="3" t="s">
        <v>5494</v>
      </c>
      <c r="BF533" s="3" t="s">
        <v>5497</v>
      </c>
      <c r="BG533" s="3" t="s">
        <v>5498</v>
      </c>
    </row>
    <row r="534" spans="1:59" ht="60" x14ac:dyDescent="0.25">
      <c r="A534" s="2" t="s">
        <v>59</v>
      </c>
      <c r="B534" s="2" t="s">
        <v>60</v>
      </c>
      <c r="C534" s="2" t="s">
        <v>5499</v>
      </c>
      <c r="D534" s="2" t="s">
        <v>5500</v>
      </c>
      <c r="E534" s="2" t="s">
        <v>5501</v>
      </c>
      <c r="G534" s="3" t="s">
        <v>63</v>
      </c>
      <c r="I534" s="3" t="s">
        <v>63</v>
      </c>
      <c r="J534" s="3" t="s">
        <v>63</v>
      </c>
      <c r="K534" s="3" t="s">
        <v>64</v>
      </c>
      <c r="M534" s="2" t="s">
        <v>5502</v>
      </c>
      <c r="N534" s="3" t="s">
        <v>2951</v>
      </c>
      <c r="P534" s="3" t="s">
        <v>90</v>
      </c>
      <c r="R534" s="3" t="s">
        <v>67</v>
      </c>
      <c r="S534" s="4">
        <v>8</v>
      </c>
      <c r="T534" s="4">
        <v>8</v>
      </c>
      <c r="U534" s="5" t="s">
        <v>5503</v>
      </c>
      <c r="V534" s="5" t="s">
        <v>5503</v>
      </c>
      <c r="W534" s="5" t="s">
        <v>69</v>
      </c>
      <c r="X534" s="5" t="s">
        <v>69</v>
      </c>
      <c r="Y534" s="4">
        <v>85</v>
      </c>
      <c r="Z534" s="4">
        <v>12</v>
      </c>
      <c r="AA534" s="4">
        <v>12</v>
      </c>
      <c r="AB534" s="4">
        <v>1</v>
      </c>
      <c r="AC534" s="4">
        <v>1</v>
      </c>
      <c r="AD534" s="4">
        <v>58</v>
      </c>
      <c r="AE534" s="4">
        <v>58</v>
      </c>
      <c r="AF534" s="4">
        <v>0</v>
      </c>
      <c r="AG534" s="4">
        <v>0</v>
      </c>
      <c r="AH534" s="4">
        <v>53</v>
      </c>
      <c r="AI534" s="4">
        <v>53</v>
      </c>
      <c r="AJ534" s="4">
        <v>8</v>
      </c>
      <c r="AK534" s="4">
        <v>8</v>
      </c>
      <c r="AL534" s="4">
        <v>37</v>
      </c>
      <c r="AM534" s="4">
        <v>37</v>
      </c>
      <c r="AN534" s="4">
        <v>0</v>
      </c>
      <c r="AO534" s="4">
        <v>0</v>
      </c>
      <c r="AP534" s="4">
        <v>8</v>
      </c>
      <c r="AQ534" s="4">
        <v>8</v>
      </c>
      <c r="AR534" s="3" t="s">
        <v>63</v>
      </c>
      <c r="AS534" s="3" t="s">
        <v>63</v>
      </c>
      <c r="AT534" s="3" t="s">
        <v>62</v>
      </c>
      <c r="AU534" s="6" t="str">
        <f>HYPERLINK("http://catalog.hathitrust.org/Record/000714671","HathiTrust Record")</f>
        <v>HathiTrust Record</v>
      </c>
      <c r="AV534" s="6" t="str">
        <f>HYPERLINK("http://mcgill.on.worldcat.org/oclc/6557626","Catalog Record")</f>
        <v>Catalog Record</v>
      </c>
      <c r="AW534" s="6" t="str">
        <f>HYPERLINK("http://www.worldcat.org/oclc/6557626","WorldCat Record")</f>
        <v>WorldCat Record</v>
      </c>
      <c r="AX534" s="3" t="s">
        <v>5504</v>
      </c>
      <c r="AY534" s="3" t="s">
        <v>5505</v>
      </c>
      <c r="AZ534" s="3" t="s">
        <v>5506</v>
      </c>
      <c r="BA534" s="3" t="s">
        <v>5506</v>
      </c>
      <c r="BB534" s="3" t="s">
        <v>5507</v>
      </c>
      <c r="BC534" s="3" t="s">
        <v>82</v>
      </c>
      <c r="BD534" s="3" t="s">
        <v>70</v>
      </c>
      <c r="BF534" s="3" t="s">
        <v>5507</v>
      </c>
      <c r="BG534" s="3" t="s">
        <v>5508</v>
      </c>
    </row>
    <row r="535" spans="1:59" ht="60" x14ac:dyDescent="0.25">
      <c r="A535" s="2" t="s">
        <v>59</v>
      </c>
      <c r="B535" s="2" t="s">
        <v>60</v>
      </c>
      <c r="C535" s="2" t="s">
        <v>5509</v>
      </c>
      <c r="D535" s="2" t="s">
        <v>5510</v>
      </c>
      <c r="E535" s="2" t="s">
        <v>5511</v>
      </c>
      <c r="G535" s="3" t="s">
        <v>63</v>
      </c>
      <c r="I535" s="3" t="s">
        <v>63</v>
      </c>
      <c r="J535" s="3" t="s">
        <v>63</v>
      </c>
      <c r="K535" s="3" t="s">
        <v>64</v>
      </c>
      <c r="L535" s="2" t="s">
        <v>5512</v>
      </c>
      <c r="M535" s="2" t="s">
        <v>5513</v>
      </c>
      <c r="N535" s="3" t="s">
        <v>65</v>
      </c>
      <c r="O535" s="2" t="s">
        <v>5514</v>
      </c>
      <c r="P535" s="3" t="s">
        <v>90</v>
      </c>
      <c r="R535" s="3" t="s">
        <v>67</v>
      </c>
      <c r="S535" s="4">
        <v>9</v>
      </c>
      <c r="T535" s="4">
        <v>9</v>
      </c>
      <c r="U535" s="5" t="s">
        <v>4577</v>
      </c>
      <c r="V535" s="5" t="s">
        <v>4577</v>
      </c>
      <c r="W535" s="5" t="s">
        <v>69</v>
      </c>
      <c r="X535" s="5" t="s">
        <v>69</v>
      </c>
      <c r="Y535" s="4">
        <v>61</v>
      </c>
      <c r="Z535" s="4">
        <v>7</v>
      </c>
      <c r="AA535" s="4">
        <v>16</v>
      </c>
      <c r="AB535" s="4">
        <v>1</v>
      </c>
      <c r="AC535" s="4">
        <v>2</v>
      </c>
      <c r="AD535" s="4">
        <v>46</v>
      </c>
      <c r="AE535" s="4">
        <v>88</v>
      </c>
      <c r="AF535" s="4">
        <v>0</v>
      </c>
      <c r="AG535" s="4">
        <v>1</v>
      </c>
      <c r="AH535" s="4">
        <v>43</v>
      </c>
      <c r="AI535" s="4">
        <v>81</v>
      </c>
      <c r="AJ535" s="4">
        <v>4</v>
      </c>
      <c r="AK535" s="4">
        <v>12</v>
      </c>
      <c r="AL535" s="4">
        <v>28</v>
      </c>
      <c r="AM535" s="4">
        <v>51</v>
      </c>
      <c r="AN535" s="4">
        <v>0</v>
      </c>
      <c r="AO535" s="4">
        <v>5</v>
      </c>
      <c r="AP535" s="4">
        <v>4</v>
      </c>
      <c r="AQ535" s="4">
        <v>11</v>
      </c>
      <c r="AR535" s="3" t="s">
        <v>63</v>
      </c>
      <c r="AS535" s="3" t="s">
        <v>63</v>
      </c>
      <c r="AT535" s="3" t="s">
        <v>62</v>
      </c>
      <c r="AU535" s="6" t="str">
        <f>HYPERLINK("http://catalog.hathitrust.org/Record/001731529","HathiTrust Record")</f>
        <v>HathiTrust Record</v>
      </c>
      <c r="AV535" s="6" t="str">
        <f>HYPERLINK("http://mcgill.on.worldcat.org/oclc/4256234","Catalog Record")</f>
        <v>Catalog Record</v>
      </c>
      <c r="AW535" s="6" t="str">
        <f>HYPERLINK("http://www.worldcat.org/oclc/4256234","WorldCat Record")</f>
        <v>WorldCat Record</v>
      </c>
      <c r="AX535" s="3" t="s">
        <v>5515</v>
      </c>
      <c r="AY535" s="3" t="s">
        <v>5516</v>
      </c>
      <c r="AZ535" s="3" t="s">
        <v>5517</v>
      </c>
      <c r="BA535" s="3" t="s">
        <v>5517</v>
      </c>
      <c r="BB535" s="3" t="s">
        <v>5518</v>
      </c>
      <c r="BC535" s="3" t="s">
        <v>82</v>
      </c>
      <c r="BD535" s="3" t="s">
        <v>70</v>
      </c>
      <c r="BF535" s="3" t="s">
        <v>5518</v>
      </c>
      <c r="BG535" s="3" t="s">
        <v>5519</v>
      </c>
    </row>
    <row r="536" spans="1:59" ht="60" x14ac:dyDescent="0.25">
      <c r="A536" s="2" t="s">
        <v>59</v>
      </c>
      <c r="B536" s="2" t="s">
        <v>60</v>
      </c>
      <c r="C536" s="2" t="s">
        <v>5520</v>
      </c>
      <c r="D536" s="2" t="s">
        <v>5521</v>
      </c>
      <c r="E536" s="2" t="s">
        <v>5522</v>
      </c>
      <c r="G536" s="3" t="s">
        <v>63</v>
      </c>
      <c r="I536" s="3" t="s">
        <v>63</v>
      </c>
      <c r="J536" s="3" t="s">
        <v>63</v>
      </c>
      <c r="K536" s="3" t="s">
        <v>64</v>
      </c>
      <c r="L536" s="2" t="s">
        <v>5523</v>
      </c>
      <c r="M536" s="2" t="s">
        <v>5524</v>
      </c>
      <c r="N536" s="3" t="s">
        <v>2951</v>
      </c>
      <c r="O536" s="2" t="s">
        <v>5525</v>
      </c>
      <c r="P536" s="3" t="s">
        <v>90</v>
      </c>
      <c r="Q536" s="2" t="s">
        <v>5526</v>
      </c>
      <c r="R536" s="3" t="s">
        <v>67</v>
      </c>
      <c r="S536" s="4">
        <v>5</v>
      </c>
      <c r="T536" s="4">
        <v>5</v>
      </c>
      <c r="U536" s="5" t="s">
        <v>4577</v>
      </c>
      <c r="V536" s="5" t="s">
        <v>4577</v>
      </c>
      <c r="W536" s="5" t="s">
        <v>69</v>
      </c>
      <c r="X536" s="5" t="s">
        <v>69</v>
      </c>
      <c r="Y536" s="4">
        <v>3</v>
      </c>
      <c r="Z536" s="4">
        <v>1</v>
      </c>
      <c r="AA536" s="4">
        <v>9</v>
      </c>
      <c r="AB536" s="4">
        <v>1</v>
      </c>
      <c r="AC536" s="4">
        <v>1</v>
      </c>
      <c r="AD536" s="4">
        <v>0</v>
      </c>
      <c r="AE536" s="4">
        <v>40</v>
      </c>
      <c r="AF536" s="4">
        <v>0</v>
      </c>
      <c r="AG536" s="4">
        <v>0</v>
      </c>
      <c r="AH536" s="4">
        <v>0</v>
      </c>
      <c r="AI536" s="4">
        <v>37</v>
      </c>
      <c r="AJ536" s="4">
        <v>0</v>
      </c>
      <c r="AK536" s="4">
        <v>7</v>
      </c>
      <c r="AL536" s="4">
        <v>0</v>
      </c>
      <c r="AM536" s="4">
        <v>24</v>
      </c>
      <c r="AN536" s="4">
        <v>0</v>
      </c>
      <c r="AO536" s="4">
        <v>0</v>
      </c>
      <c r="AP536" s="4">
        <v>0</v>
      </c>
      <c r="AQ536" s="4">
        <v>7</v>
      </c>
      <c r="AR536" s="3" t="s">
        <v>63</v>
      </c>
      <c r="AS536" s="3" t="s">
        <v>63</v>
      </c>
      <c r="AT536" s="3" t="s">
        <v>63</v>
      </c>
      <c r="AV536" s="6" t="str">
        <f>HYPERLINK("http://mcgill.on.worldcat.org/oclc/220298155","Catalog Record")</f>
        <v>Catalog Record</v>
      </c>
      <c r="AW536" s="6" t="str">
        <f>HYPERLINK("http://www.worldcat.org/oclc/220298155","WorldCat Record")</f>
        <v>WorldCat Record</v>
      </c>
      <c r="AX536" s="3" t="s">
        <v>5527</v>
      </c>
      <c r="AY536" s="3" t="s">
        <v>5528</v>
      </c>
      <c r="AZ536" s="3" t="s">
        <v>5529</v>
      </c>
      <c r="BA536" s="3" t="s">
        <v>5529</v>
      </c>
      <c r="BB536" s="3" t="s">
        <v>5530</v>
      </c>
      <c r="BC536" s="3" t="s">
        <v>82</v>
      </c>
      <c r="BD536" s="3" t="s">
        <v>70</v>
      </c>
      <c r="BF536" s="3" t="s">
        <v>5530</v>
      </c>
      <c r="BG536" s="3" t="s">
        <v>5531</v>
      </c>
    </row>
    <row r="537" spans="1:59" ht="60" x14ac:dyDescent="0.25">
      <c r="A537" s="2" t="s">
        <v>59</v>
      </c>
      <c r="B537" s="2" t="s">
        <v>60</v>
      </c>
      <c r="C537" s="2" t="s">
        <v>5532</v>
      </c>
      <c r="D537" s="2" t="s">
        <v>5533</v>
      </c>
      <c r="E537" s="2" t="s">
        <v>5534</v>
      </c>
      <c r="F537" s="3" t="s">
        <v>5535</v>
      </c>
      <c r="G537" s="3" t="s">
        <v>62</v>
      </c>
      <c r="I537" s="3" t="s">
        <v>63</v>
      </c>
      <c r="J537" s="3" t="s">
        <v>63</v>
      </c>
      <c r="K537" s="3" t="s">
        <v>64</v>
      </c>
      <c r="M537" s="2" t="s">
        <v>5536</v>
      </c>
      <c r="N537" s="3" t="s">
        <v>1418</v>
      </c>
      <c r="P537" s="3" t="s">
        <v>90</v>
      </c>
      <c r="R537" s="3" t="s">
        <v>67</v>
      </c>
      <c r="S537" s="4">
        <v>12</v>
      </c>
      <c r="T537" s="4">
        <v>38</v>
      </c>
      <c r="U537" s="5" t="s">
        <v>5537</v>
      </c>
      <c r="V537" s="5" t="s">
        <v>5537</v>
      </c>
      <c r="W537" s="5" t="s">
        <v>69</v>
      </c>
      <c r="X537" s="5" t="s">
        <v>69</v>
      </c>
      <c r="Y537" s="4">
        <v>105</v>
      </c>
      <c r="Z537" s="4">
        <v>12</v>
      </c>
      <c r="AA537" s="4">
        <v>12</v>
      </c>
      <c r="AB537" s="4">
        <v>2</v>
      </c>
      <c r="AC537" s="4">
        <v>2</v>
      </c>
      <c r="AD537" s="4">
        <v>68</v>
      </c>
      <c r="AE537" s="4">
        <v>68</v>
      </c>
      <c r="AF537" s="4">
        <v>0</v>
      </c>
      <c r="AG537" s="4">
        <v>0</v>
      </c>
      <c r="AH537" s="4">
        <v>65</v>
      </c>
      <c r="AI537" s="4">
        <v>65</v>
      </c>
      <c r="AJ537" s="4">
        <v>8</v>
      </c>
      <c r="AK537" s="4">
        <v>8</v>
      </c>
      <c r="AL537" s="4">
        <v>45</v>
      </c>
      <c r="AM537" s="4">
        <v>45</v>
      </c>
      <c r="AN537" s="4">
        <v>0</v>
      </c>
      <c r="AO537" s="4">
        <v>0</v>
      </c>
      <c r="AP537" s="4">
        <v>8</v>
      </c>
      <c r="AQ537" s="4">
        <v>8</v>
      </c>
      <c r="AR537" s="3" t="s">
        <v>63</v>
      </c>
      <c r="AS537" s="3" t="s">
        <v>63</v>
      </c>
      <c r="AT537" s="3" t="s">
        <v>62</v>
      </c>
      <c r="AU537" s="6" t="str">
        <f>HYPERLINK("http://catalog.hathitrust.org/Record/000873517","HathiTrust Record")</f>
        <v>HathiTrust Record</v>
      </c>
      <c r="AV537" s="6" t="str">
        <f>HYPERLINK("http://mcgill.on.worldcat.org/oclc/17814298","Catalog Record")</f>
        <v>Catalog Record</v>
      </c>
      <c r="AW537" s="6" t="str">
        <f>HYPERLINK("http://www.worldcat.org/oclc/17814298","WorldCat Record")</f>
        <v>WorldCat Record</v>
      </c>
      <c r="AX537" s="3" t="s">
        <v>5538</v>
      </c>
      <c r="AY537" s="3" t="s">
        <v>5539</v>
      </c>
      <c r="AZ537" s="3" t="s">
        <v>5540</v>
      </c>
      <c r="BA537" s="3" t="s">
        <v>5540</v>
      </c>
      <c r="BB537" s="3" t="s">
        <v>5541</v>
      </c>
      <c r="BC537" s="3" t="s">
        <v>82</v>
      </c>
      <c r="BD537" s="3" t="s">
        <v>70</v>
      </c>
      <c r="BE537" s="3" t="s">
        <v>5542</v>
      </c>
      <c r="BF537" s="3" t="s">
        <v>5541</v>
      </c>
      <c r="BG537" s="3" t="s">
        <v>5543</v>
      </c>
    </row>
    <row r="538" spans="1:59" ht="60" x14ac:dyDescent="0.25">
      <c r="A538" s="2" t="s">
        <v>59</v>
      </c>
      <c r="B538" s="2" t="s">
        <v>60</v>
      </c>
      <c r="C538" s="2" t="s">
        <v>5532</v>
      </c>
      <c r="D538" s="2" t="s">
        <v>5533</v>
      </c>
      <c r="E538" s="2" t="s">
        <v>5534</v>
      </c>
      <c r="F538" s="3" t="s">
        <v>5544</v>
      </c>
      <c r="G538" s="3" t="s">
        <v>62</v>
      </c>
      <c r="I538" s="3" t="s">
        <v>63</v>
      </c>
      <c r="J538" s="3" t="s">
        <v>63</v>
      </c>
      <c r="K538" s="3" t="s">
        <v>64</v>
      </c>
      <c r="M538" s="2" t="s">
        <v>5536</v>
      </c>
      <c r="N538" s="3" t="s">
        <v>1418</v>
      </c>
      <c r="P538" s="3" t="s">
        <v>90</v>
      </c>
      <c r="R538" s="3" t="s">
        <v>67</v>
      </c>
      <c r="S538" s="4">
        <v>8</v>
      </c>
      <c r="T538" s="4">
        <v>38</v>
      </c>
      <c r="U538" s="5" t="s">
        <v>5545</v>
      </c>
      <c r="V538" s="5" t="s">
        <v>5537</v>
      </c>
      <c r="W538" s="5" t="s">
        <v>69</v>
      </c>
      <c r="X538" s="5" t="s">
        <v>69</v>
      </c>
      <c r="Y538" s="4">
        <v>105</v>
      </c>
      <c r="Z538" s="4">
        <v>12</v>
      </c>
      <c r="AA538" s="4">
        <v>12</v>
      </c>
      <c r="AB538" s="4">
        <v>2</v>
      </c>
      <c r="AC538" s="4">
        <v>2</v>
      </c>
      <c r="AD538" s="4">
        <v>68</v>
      </c>
      <c r="AE538" s="4">
        <v>68</v>
      </c>
      <c r="AF538" s="4">
        <v>0</v>
      </c>
      <c r="AG538" s="4">
        <v>0</v>
      </c>
      <c r="AH538" s="4">
        <v>65</v>
      </c>
      <c r="AI538" s="4">
        <v>65</v>
      </c>
      <c r="AJ538" s="4">
        <v>8</v>
      </c>
      <c r="AK538" s="4">
        <v>8</v>
      </c>
      <c r="AL538" s="4">
        <v>45</v>
      </c>
      <c r="AM538" s="4">
        <v>45</v>
      </c>
      <c r="AN538" s="4">
        <v>0</v>
      </c>
      <c r="AO538" s="4">
        <v>0</v>
      </c>
      <c r="AP538" s="4">
        <v>8</v>
      </c>
      <c r="AQ538" s="4">
        <v>8</v>
      </c>
      <c r="AR538" s="3" t="s">
        <v>63</v>
      </c>
      <c r="AS538" s="3" t="s">
        <v>63</v>
      </c>
      <c r="AT538" s="3" t="s">
        <v>62</v>
      </c>
      <c r="AU538" s="6" t="str">
        <f>HYPERLINK("http://catalog.hathitrust.org/Record/000873517","HathiTrust Record")</f>
        <v>HathiTrust Record</v>
      </c>
      <c r="AV538" s="6" t="str">
        <f>HYPERLINK("http://mcgill.on.worldcat.org/oclc/17814298","Catalog Record")</f>
        <v>Catalog Record</v>
      </c>
      <c r="AW538" s="6" t="str">
        <f>HYPERLINK("http://www.worldcat.org/oclc/17814298","WorldCat Record")</f>
        <v>WorldCat Record</v>
      </c>
      <c r="AX538" s="3" t="s">
        <v>5538</v>
      </c>
      <c r="AY538" s="3" t="s">
        <v>5539</v>
      </c>
      <c r="AZ538" s="3" t="s">
        <v>5540</v>
      </c>
      <c r="BA538" s="3" t="s">
        <v>5540</v>
      </c>
      <c r="BB538" s="3" t="s">
        <v>5546</v>
      </c>
      <c r="BC538" s="3" t="s">
        <v>82</v>
      </c>
      <c r="BD538" s="3" t="s">
        <v>70</v>
      </c>
      <c r="BE538" s="3" t="s">
        <v>5542</v>
      </c>
      <c r="BF538" s="3" t="s">
        <v>5546</v>
      </c>
      <c r="BG538" s="3" t="s">
        <v>5547</v>
      </c>
    </row>
    <row r="539" spans="1:59" ht="60" x14ac:dyDescent="0.25">
      <c r="A539" s="2" t="s">
        <v>59</v>
      </c>
      <c r="B539" s="2" t="s">
        <v>60</v>
      </c>
      <c r="C539" s="2" t="s">
        <v>5532</v>
      </c>
      <c r="D539" s="2" t="s">
        <v>5533</v>
      </c>
      <c r="E539" s="2" t="s">
        <v>5534</v>
      </c>
      <c r="F539" s="3" t="s">
        <v>5548</v>
      </c>
      <c r="G539" s="3" t="s">
        <v>62</v>
      </c>
      <c r="I539" s="3" t="s">
        <v>63</v>
      </c>
      <c r="J539" s="3" t="s">
        <v>63</v>
      </c>
      <c r="K539" s="3" t="s">
        <v>64</v>
      </c>
      <c r="M539" s="2" t="s">
        <v>5536</v>
      </c>
      <c r="N539" s="3" t="s">
        <v>1418</v>
      </c>
      <c r="P539" s="3" t="s">
        <v>90</v>
      </c>
      <c r="R539" s="3" t="s">
        <v>67</v>
      </c>
      <c r="S539" s="4">
        <v>3</v>
      </c>
      <c r="T539" s="4">
        <v>38</v>
      </c>
      <c r="U539" s="5" t="s">
        <v>5549</v>
      </c>
      <c r="V539" s="5" t="s">
        <v>5537</v>
      </c>
      <c r="W539" s="5" t="s">
        <v>69</v>
      </c>
      <c r="X539" s="5" t="s">
        <v>69</v>
      </c>
      <c r="Y539" s="4">
        <v>105</v>
      </c>
      <c r="Z539" s="4">
        <v>12</v>
      </c>
      <c r="AA539" s="4">
        <v>12</v>
      </c>
      <c r="AB539" s="4">
        <v>2</v>
      </c>
      <c r="AC539" s="4">
        <v>2</v>
      </c>
      <c r="AD539" s="4">
        <v>68</v>
      </c>
      <c r="AE539" s="4">
        <v>68</v>
      </c>
      <c r="AF539" s="4">
        <v>0</v>
      </c>
      <c r="AG539" s="4">
        <v>0</v>
      </c>
      <c r="AH539" s="4">
        <v>65</v>
      </c>
      <c r="AI539" s="4">
        <v>65</v>
      </c>
      <c r="AJ539" s="4">
        <v>8</v>
      </c>
      <c r="AK539" s="4">
        <v>8</v>
      </c>
      <c r="AL539" s="4">
        <v>45</v>
      </c>
      <c r="AM539" s="4">
        <v>45</v>
      </c>
      <c r="AN539" s="4">
        <v>0</v>
      </c>
      <c r="AO539" s="4">
        <v>0</v>
      </c>
      <c r="AP539" s="4">
        <v>8</v>
      </c>
      <c r="AQ539" s="4">
        <v>8</v>
      </c>
      <c r="AR539" s="3" t="s">
        <v>63</v>
      </c>
      <c r="AS539" s="3" t="s">
        <v>63</v>
      </c>
      <c r="AT539" s="3" t="s">
        <v>62</v>
      </c>
      <c r="AU539" s="6" t="str">
        <f>HYPERLINK("http://catalog.hathitrust.org/Record/000873517","HathiTrust Record")</f>
        <v>HathiTrust Record</v>
      </c>
      <c r="AV539" s="6" t="str">
        <f>HYPERLINK("http://mcgill.on.worldcat.org/oclc/17814298","Catalog Record")</f>
        <v>Catalog Record</v>
      </c>
      <c r="AW539" s="6" t="str">
        <f>HYPERLINK("http://www.worldcat.org/oclc/17814298","WorldCat Record")</f>
        <v>WorldCat Record</v>
      </c>
      <c r="AX539" s="3" t="s">
        <v>5538</v>
      </c>
      <c r="AY539" s="3" t="s">
        <v>5539</v>
      </c>
      <c r="AZ539" s="3" t="s">
        <v>5540</v>
      </c>
      <c r="BA539" s="3" t="s">
        <v>5540</v>
      </c>
      <c r="BB539" s="3" t="s">
        <v>5550</v>
      </c>
      <c r="BC539" s="3" t="s">
        <v>82</v>
      </c>
      <c r="BD539" s="3" t="s">
        <v>70</v>
      </c>
      <c r="BE539" s="3" t="s">
        <v>5542</v>
      </c>
      <c r="BF539" s="3" t="s">
        <v>5550</v>
      </c>
      <c r="BG539" s="3" t="s">
        <v>5551</v>
      </c>
    </row>
    <row r="540" spans="1:59" ht="60" x14ac:dyDescent="0.25">
      <c r="A540" s="2" t="s">
        <v>59</v>
      </c>
      <c r="B540" s="2" t="s">
        <v>60</v>
      </c>
      <c r="C540" s="2" t="s">
        <v>5532</v>
      </c>
      <c r="D540" s="2" t="s">
        <v>5533</v>
      </c>
      <c r="E540" s="2" t="s">
        <v>5534</v>
      </c>
      <c r="F540" s="3" t="s">
        <v>5552</v>
      </c>
      <c r="G540" s="3" t="s">
        <v>62</v>
      </c>
      <c r="I540" s="3" t="s">
        <v>63</v>
      </c>
      <c r="J540" s="3" t="s">
        <v>63</v>
      </c>
      <c r="K540" s="3" t="s">
        <v>64</v>
      </c>
      <c r="M540" s="2" t="s">
        <v>5536</v>
      </c>
      <c r="N540" s="3" t="s">
        <v>1418</v>
      </c>
      <c r="P540" s="3" t="s">
        <v>90</v>
      </c>
      <c r="R540" s="3" t="s">
        <v>67</v>
      </c>
      <c r="S540" s="4">
        <v>0</v>
      </c>
      <c r="T540" s="4">
        <v>38</v>
      </c>
      <c r="V540" s="5" t="s">
        <v>5537</v>
      </c>
      <c r="W540" s="5" t="s">
        <v>69</v>
      </c>
      <c r="X540" s="5" t="s">
        <v>69</v>
      </c>
      <c r="Y540" s="4">
        <v>105</v>
      </c>
      <c r="Z540" s="4">
        <v>12</v>
      </c>
      <c r="AA540" s="4">
        <v>12</v>
      </c>
      <c r="AB540" s="4">
        <v>2</v>
      </c>
      <c r="AC540" s="4">
        <v>2</v>
      </c>
      <c r="AD540" s="4">
        <v>68</v>
      </c>
      <c r="AE540" s="4">
        <v>68</v>
      </c>
      <c r="AF540" s="4">
        <v>0</v>
      </c>
      <c r="AG540" s="4">
        <v>0</v>
      </c>
      <c r="AH540" s="4">
        <v>65</v>
      </c>
      <c r="AI540" s="4">
        <v>65</v>
      </c>
      <c r="AJ540" s="4">
        <v>8</v>
      </c>
      <c r="AK540" s="4">
        <v>8</v>
      </c>
      <c r="AL540" s="4">
        <v>45</v>
      </c>
      <c r="AM540" s="4">
        <v>45</v>
      </c>
      <c r="AN540" s="4">
        <v>0</v>
      </c>
      <c r="AO540" s="4">
        <v>0</v>
      </c>
      <c r="AP540" s="4">
        <v>8</v>
      </c>
      <c r="AQ540" s="4">
        <v>8</v>
      </c>
      <c r="AR540" s="3" t="s">
        <v>63</v>
      </c>
      <c r="AS540" s="3" t="s">
        <v>63</v>
      </c>
      <c r="AT540" s="3" t="s">
        <v>62</v>
      </c>
      <c r="AU540" s="6" t="str">
        <f>HYPERLINK("http://catalog.hathitrust.org/Record/000873517","HathiTrust Record")</f>
        <v>HathiTrust Record</v>
      </c>
      <c r="AV540" s="6" t="str">
        <f>HYPERLINK("http://mcgill.on.worldcat.org/oclc/17814298","Catalog Record")</f>
        <v>Catalog Record</v>
      </c>
      <c r="AW540" s="6" t="str">
        <f>HYPERLINK("http://www.worldcat.org/oclc/17814298","WorldCat Record")</f>
        <v>WorldCat Record</v>
      </c>
      <c r="AX540" s="3" t="s">
        <v>5538</v>
      </c>
      <c r="AY540" s="3" t="s">
        <v>5539</v>
      </c>
      <c r="AZ540" s="3" t="s">
        <v>5540</v>
      </c>
      <c r="BA540" s="3" t="s">
        <v>5540</v>
      </c>
      <c r="BB540" s="3" t="s">
        <v>5553</v>
      </c>
      <c r="BC540" s="3" t="s">
        <v>82</v>
      </c>
      <c r="BD540" s="3" t="s">
        <v>70</v>
      </c>
      <c r="BE540" s="3" t="s">
        <v>5542</v>
      </c>
      <c r="BF540" s="3" t="s">
        <v>5553</v>
      </c>
      <c r="BG540" s="3" t="s">
        <v>5554</v>
      </c>
    </row>
    <row r="541" spans="1:59" ht="60" x14ac:dyDescent="0.25">
      <c r="A541" s="2" t="s">
        <v>59</v>
      </c>
      <c r="B541" s="2" t="s">
        <v>60</v>
      </c>
      <c r="C541" s="2" t="s">
        <v>5532</v>
      </c>
      <c r="D541" s="2" t="s">
        <v>5533</v>
      </c>
      <c r="E541" s="2" t="s">
        <v>5534</v>
      </c>
      <c r="F541" s="3" t="s">
        <v>5555</v>
      </c>
      <c r="G541" s="3" t="s">
        <v>62</v>
      </c>
      <c r="I541" s="3" t="s">
        <v>63</v>
      </c>
      <c r="J541" s="3" t="s">
        <v>63</v>
      </c>
      <c r="K541" s="3" t="s">
        <v>64</v>
      </c>
      <c r="M541" s="2" t="s">
        <v>5536</v>
      </c>
      <c r="N541" s="3" t="s">
        <v>1418</v>
      </c>
      <c r="P541" s="3" t="s">
        <v>90</v>
      </c>
      <c r="R541" s="3" t="s">
        <v>67</v>
      </c>
      <c r="S541" s="4">
        <v>0</v>
      </c>
      <c r="T541" s="4">
        <v>38</v>
      </c>
      <c r="V541" s="5" t="s">
        <v>5537</v>
      </c>
      <c r="W541" s="5" t="s">
        <v>69</v>
      </c>
      <c r="X541" s="5" t="s">
        <v>69</v>
      </c>
      <c r="Y541" s="4">
        <v>105</v>
      </c>
      <c r="Z541" s="4">
        <v>12</v>
      </c>
      <c r="AA541" s="4">
        <v>12</v>
      </c>
      <c r="AB541" s="4">
        <v>2</v>
      </c>
      <c r="AC541" s="4">
        <v>2</v>
      </c>
      <c r="AD541" s="4">
        <v>68</v>
      </c>
      <c r="AE541" s="4">
        <v>68</v>
      </c>
      <c r="AF541" s="4">
        <v>0</v>
      </c>
      <c r="AG541" s="4">
        <v>0</v>
      </c>
      <c r="AH541" s="4">
        <v>65</v>
      </c>
      <c r="AI541" s="4">
        <v>65</v>
      </c>
      <c r="AJ541" s="4">
        <v>8</v>
      </c>
      <c r="AK541" s="4">
        <v>8</v>
      </c>
      <c r="AL541" s="4">
        <v>45</v>
      </c>
      <c r="AM541" s="4">
        <v>45</v>
      </c>
      <c r="AN541" s="4">
        <v>0</v>
      </c>
      <c r="AO541" s="4">
        <v>0</v>
      </c>
      <c r="AP541" s="4">
        <v>8</v>
      </c>
      <c r="AQ541" s="4">
        <v>8</v>
      </c>
      <c r="AR541" s="3" t="s">
        <v>63</v>
      </c>
      <c r="AS541" s="3" t="s">
        <v>63</v>
      </c>
      <c r="AT541" s="3" t="s">
        <v>62</v>
      </c>
      <c r="AU541" s="6" t="str">
        <f>HYPERLINK("http://catalog.hathitrust.org/Record/000873517","HathiTrust Record")</f>
        <v>HathiTrust Record</v>
      </c>
      <c r="AV541" s="6" t="str">
        <f>HYPERLINK("http://mcgill.on.worldcat.org/oclc/17814298","Catalog Record")</f>
        <v>Catalog Record</v>
      </c>
      <c r="AW541" s="6" t="str">
        <f>HYPERLINK("http://www.worldcat.org/oclc/17814298","WorldCat Record")</f>
        <v>WorldCat Record</v>
      </c>
      <c r="AX541" s="3" t="s">
        <v>5538</v>
      </c>
      <c r="AY541" s="3" t="s">
        <v>5539</v>
      </c>
      <c r="AZ541" s="3" t="s">
        <v>5540</v>
      </c>
      <c r="BA541" s="3" t="s">
        <v>5540</v>
      </c>
      <c r="BB541" s="3" t="s">
        <v>5556</v>
      </c>
      <c r="BC541" s="3" t="s">
        <v>82</v>
      </c>
      <c r="BD541" s="3" t="s">
        <v>70</v>
      </c>
      <c r="BE541" s="3" t="s">
        <v>5542</v>
      </c>
      <c r="BF541" s="3" t="s">
        <v>5556</v>
      </c>
      <c r="BG541" s="3" t="s">
        <v>5557</v>
      </c>
    </row>
    <row r="542" spans="1:59" ht="60" x14ac:dyDescent="0.25">
      <c r="A542" s="2" t="s">
        <v>59</v>
      </c>
      <c r="B542" s="2" t="s">
        <v>60</v>
      </c>
      <c r="C542" s="2" t="s">
        <v>5532</v>
      </c>
      <c r="D542" s="2" t="s">
        <v>5533</v>
      </c>
      <c r="E542" s="2" t="s">
        <v>5534</v>
      </c>
      <c r="F542" s="3" t="s">
        <v>5558</v>
      </c>
      <c r="G542" s="3" t="s">
        <v>62</v>
      </c>
      <c r="I542" s="3" t="s">
        <v>63</v>
      </c>
      <c r="J542" s="3" t="s">
        <v>63</v>
      </c>
      <c r="K542" s="3" t="s">
        <v>64</v>
      </c>
      <c r="M542" s="2" t="s">
        <v>5536</v>
      </c>
      <c r="N542" s="3" t="s">
        <v>1418</v>
      </c>
      <c r="P542" s="3" t="s">
        <v>90</v>
      </c>
      <c r="R542" s="3" t="s">
        <v>67</v>
      </c>
      <c r="S542" s="4">
        <v>1</v>
      </c>
      <c r="T542" s="4">
        <v>38</v>
      </c>
      <c r="U542" s="5" t="s">
        <v>5559</v>
      </c>
      <c r="V542" s="5" t="s">
        <v>5537</v>
      </c>
      <c r="W542" s="5" t="s">
        <v>69</v>
      </c>
      <c r="X542" s="5" t="s">
        <v>69</v>
      </c>
      <c r="Y542" s="4">
        <v>105</v>
      </c>
      <c r="Z542" s="4">
        <v>12</v>
      </c>
      <c r="AA542" s="4">
        <v>12</v>
      </c>
      <c r="AB542" s="4">
        <v>2</v>
      </c>
      <c r="AC542" s="4">
        <v>2</v>
      </c>
      <c r="AD542" s="4">
        <v>68</v>
      </c>
      <c r="AE542" s="4">
        <v>68</v>
      </c>
      <c r="AF542" s="4">
        <v>0</v>
      </c>
      <c r="AG542" s="4">
        <v>0</v>
      </c>
      <c r="AH542" s="4">
        <v>65</v>
      </c>
      <c r="AI542" s="4">
        <v>65</v>
      </c>
      <c r="AJ542" s="4">
        <v>8</v>
      </c>
      <c r="AK542" s="4">
        <v>8</v>
      </c>
      <c r="AL542" s="4">
        <v>45</v>
      </c>
      <c r="AM542" s="4">
        <v>45</v>
      </c>
      <c r="AN542" s="4">
        <v>0</v>
      </c>
      <c r="AO542" s="4">
        <v>0</v>
      </c>
      <c r="AP542" s="4">
        <v>8</v>
      </c>
      <c r="AQ542" s="4">
        <v>8</v>
      </c>
      <c r="AR542" s="3" t="s">
        <v>63</v>
      </c>
      <c r="AS542" s="3" t="s">
        <v>63</v>
      </c>
      <c r="AT542" s="3" t="s">
        <v>62</v>
      </c>
      <c r="AU542" s="6" t="str">
        <f>HYPERLINK("http://catalog.hathitrust.org/Record/000873517","HathiTrust Record")</f>
        <v>HathiTrust Record</v>
      </c>
      <c r="AV542" s="6" t="str">
        <f>HYPERLINK("http://mcgill.on.worldcat.org/oclc/17814298","Catalog Record")</f>
        <v>Catalog Record</v>
      </c>
      <c r="AW542" s="6" t="str">
        <f>HYPERLINK("http://www.worldcat.org/oclc/17814298","WorldCat Record")</f>
        <v>WorldCat Record</v>
      </c>
      <c r="AX542" s="3" t="s">
        <v>5538</v>
      </c>
      <c r="AY542" s="3" t="s">
        <v>5539</v>
      </c>
      <c r="AZ542" s="3" t="s">
        <v>5540</v>
      </c>
      <c r="BA542" s="3" t="s">
        <v>5540</v>
      </c>
      <c r="BB542" s="3" t="s">
        <v>5560</v>
      </c>
      <c r="BC542" s="3" t="s">
        <v>82</v>
      </c>
      <c r="BD542" s="3" t="s">
        <v>70</v>
      </c>
      <c r="BE542" s="3" t="s">
        <v>5542</v>
      </c>
      <c r="BF542" s="3" t="s">
        <v>5560</v>
      </c>
      <c r="BG542" s="3" t="s">
        <v>5561</v>
      </c>
    </row>
    <row r="543" spans="1:59" ht="60" x14ac:dyDescent="0.25">
      <c r="A543" s="2" t="s">
        <v>59</v>
      </c>
      <c r="B543" s="2" t="s">
        <v>60</v>
      </c>
      <c r="C543" s="2" t="s">
        <v>5532</v>
      </c>
      <c r="D543" s="2" t="s">
        <v>5533</v>
      </c>
      <c r="E543" s="2" t="s">
        <v>5534</v>
      </c>
      <c r="F543" s="3" t="s">
        <v>5562</v>
      </c>
      <c r="G543" s="3" t="s">
        <v>62</v>
      </c>
      <c r="I543" s="3" t="s">
        <v>63</v>
      </c>
      <c r="J543" s="3" t="s">
        <v>63</v>
      </c>
      <c r="K543" s="3" t="s">
        <v>64</v>
      </c>
      <c r="M543" s="2" t="s">
        <v>5536</v>
      </c>
      <c r="N543" s="3" t="s">
        <v>1418</v>
      </c>
      <c r="P543" s="3" t="s">
        <v>90</v>
      </c>
      <c r="R543" s="3" t="s">
        <v>67</v>
      </c>
      <c r="S543" s="4">
        <v>14</v>
      </c>
      <c r="T543" s="4">
        <v>38</v>
      </c>
      <c r="U543" s="5" t="s">
        <v>4430</v>
      </c>
      <c r="V543" s="5" t="s">
        <v>5537</v>
      </c>
      <c r="W543" s="5" t="s">
        <v>69</v>
      </c>
      <c r="X543" s="5" t="s">
        <v>69</v>
      </c>
      <c r="Y543" s="4">
        <v>105</v>
      </c>
      <c r="Z543" s="4">
        <v>12</v>
      </c>
      <c r="AA543" s="4">
        <v>12</v>
      </c>
      <c r="AB543" s="4">
        <v>2</v>
      </c>
      <c r="AC543" s="4">
        <v>2</v>
      </c>
      <c r="AD543" s="4">
        <v>68</v>
      </c>
      <c r="AE543" s="4">
        <v>68</v>
      </c>
      <c r="AF543" s="4">
        <v>0</v>
      </c>
      <c r="AG543" s="4">
        <v>0</v>
      </c>
      <c r="AH543" s="4">
        <v>65</v>
      </c>
      <c r="AI543" s="4">
        <v>65</v>
      </c>
      <c r="AJ543" s="4">
        <v>8</v>
      </c>
      <c r="AK543" s="4">
        <v>8</v>
      </c>
      <c r="AL543" s="4">
        <v>45</v>
      </c>
      <c r="AM543" s="4">
        <v>45</v>
      </c>
      <c r="AN543" s="4">
        <v>0</v>
      </c>
      <c r="AO543" s="4">
        <v>0</v>
      </c>
      <c r="AP543" s="4">
        <v>8</v>
      </c>
      <c r="AQ543" s="4">
        <v>8</v>
      </c>
      <c r="AR543" s="3" t="s">
        <v>63</v>
      </c>
      <c r="AS543" s="3" t="s">
        <v>63</v>
      </c>
      <c r="AT543" s="3" t="s">
        <v>62</v>
      </c>
      <c r="AU543" s="6" t="str">
        <f>HYPERLINK("http://catalog.hathitrust.org/Record/000873517","HathiTrust Record")</f>
        <v>HathiTrust Record</v>
      </c>
      <c r="AV543" s="6" t="str">
        <f>HYPERLINK("http://mcgill.on.worldcat.org/oclc/17814298","Catalog Record")</f>
        <v>Catalog Record</v>
      </c>
      <c r="AW543" s="6" t="str">
        <f>HYPERLINK("http://www.worldcat.org/oclc/17814298","WorldCat Record")</f>
        <v>WorldCat Record</v>
      </c>
      <c r="AX543" s="3" t="s">
        <v>5538</v>
      </c>
      <c r="AY543" s="3" t="s">
        <v>5539</v>
      </c>
      <c r="AZ543" s="3" t="s">
        <v>5540</v>
      </c>
      <c r="BA543" s="3" t="s">
        <v>5540</v>
      </c>
      <c r="BB543" s="3" t="s">
        <v>5563</v>
      </c>
      <c r="BC543" s="3" t="s">
        <v>82</v>
      </c>
      <c r="BD543" s="3" t="s">
        <v>70</v>
      </c>
      <c r="BE543" s="3" t="s">
        <v>5542</v>
      </c>
      <c r="BF543" s="3" t="s">
        <v>5563</v>
      </c>
      <c r="BG543" s="3" t="s">
        <v>5564</v>
      </c>
    </row>
    <row r="544" spans="1:59" ht="60" x14ac:dyDescent="0.25">
      <c r="A544" s="2" t="s">
        <v>59</v>
      </c>
      <c r="B544" s="2" t="s">
        <v>60</v>
      </c>
      <c r="C544" s="2" t="s">
        <v>5532</v>
      </c>
      <c r="D544" s="2" t="s">
        <v>5533</v>
      </c>
      <c r="E544" s="2" t="s">
        <v>5534</v>
      </c>
      <c r="F544" s="3" t="s">
        <v>5565</v>
      </c>
      <c r="G544" s="3" t="s">
        <v>62</v>
      </c>
      <c r="I544" s="3" t="s">
        <v>63</v>
      </c>
      <c r="J544" s="3" t="s">
        <v>63</v>
      </c>
      <c r="K544" s="3" t="s">
        <v>64</v>
      </c>
      <c r="M544" s="2" t="s">
        <v>5536</v>
      </c>
      <c r="N544" s="3" t="s">
        <v>1418</v>
      </c>
      <c r="P544" s="3" t="s">
        <v>90</v>
      </c>
      <c r="R544" s="3" t="s">
        <v>67</v>
      </c>
      <c r="S544" s="4">
        <v>0</v>
      </c>
      <c r="T544" s="4">
        <v>38</v>
      </c>
      <c r="V544" s="5" t="s">
        <v>5537</v>
      </c>
      <c r="W544" s="5" t="s">
        <v>69</v>
      </c>
      <c r="X544" s="5" t="s">
        <v>69</v>
      </c>
      <c r="Y544" s="4">
        <v>105</v>
      </c>
      <c r="Z544" s="4">
        <v>12</v>
      </c>
      <c r="AA544" s="4">
        <v>12</v>
      </c>
      <c r="AB544" s="4">
        <v>2</v>
      </c>
      <c r="AC544" s="4">
        <v>2</v>
      </c>
      <c r="AD544" s="4">
        <v>68</v>
      </c>
      <c r="AE544" s="4">
        <v>68</v>
      </c>
      <c r="AF544" s="4">
        <v>0</v>
      </c>
      <c r="AG544" s="4">
        <v>0</v>
      </c>
      <c r="AH544" s="4">
        <v>65</v>
      </c>
      <c r="AI544" s="4">
        <v>65</v>
      </c>
      <c r="AJ544" s="4">
        <v>8</v>
      </c>
      <c r="AK544" s="4">
        <v>8</v>
      </c>
      <c r="AL544" s="4">
        <v>45</v>
      </c>
      <c r="AM544" s="4">
        <v>45</v>
      </c>
      <c r="AN544" s="4">
        <v>0</v>
      </c>
      <c r="AO544" s="4">
        <v>0</v>
      </c>
      <c r="AP544" s="4">
        <v>8</v>
      </c>
      <c r="AQ544" s="4">
        <v>8</v>
      </c>
      <c r="AR544" s="3" t="s">
        <v>63</v>
      </c>
      <c r="AS544" s="3" t="s">
        <v>63</v>
      </c>
      <c r="AT544" s="3" t="s">
        <v>62</v>
      </c>
      <c r="AU544" s="6" t="str">
        <f>HYPERLINK("http://catalog.hathitrust.org/Record/000873517","HathiTrust Record")</f>
        <v>HathiTrust Record</v>
      </c>
      <c r="AV544" s="6" t="str">
        <f>HYPERLINK("http://mcgill.on.worldcat.org/oclc/17814298","Catalog Record")</f>
        <v>Catalog Record</v>
      </c>
      <c r="AW544" s="6" t="str">
        <f>HYPERLINK("http://www.worldcat.org/oclc/17814298","WorldCat Record")</f>
        <v>WorldCat Record</v>
      </c>
      <c r="AX544" s="3" t="s">
        <v>5538</v>
      </c>
      <c r="AY544" s="3" t="s">
        <v>5539</v>
      </c>
      <c r="AZ544" s="3" t="s">
        <v>5540</v>
      </c>
      <c r="BA544" s="3" t="s">
        <v>5540</v>
      </c>
      <c r="BB544" s="3" t="s">
        <v>5566</v>
      </c>
      <c r="BC544" s="3" t="s">
        <v>82</v>
      </c>
      <c r="BD544" s="3" t="s">
        <v>70</v>
      </c>
      <c r="BE544" s="3" t="s">
        <v>5542</v>
      </c>
      <c r="BF544" s="3" t="s">
        <v>5566</v>
      </c>
      <c r="BG544" s="3" t="s">
        <v>5567</v>
      </c>
    </row>
    <row r="545" spans="1:59" ht="60" x14ac:dyDescent="0.25">
      <c r="A545" s="2" t="s">
        <v>59</v>
      </c>
      <c r="B545" s="2" t="s">
        <v>60</v>
      </c>
      <c r="C545" s="2" t="s">
        <v>5568</v>
      </c>
      <c r="D545" s="2" t="s">
        <v>5569</v>
      </c>
      <c r="E545" s="2" t="s">
        <v>5570</v>
      </c>
      <c r="G545" s="3" t="s">
        <v>63</v>
      </c>
      <c r="I545" s="3" t="s">
        <v>63</v>
      </c>
      <c r="J545" s="3" t="s">
        <v>63</v>
      </c>
      <c r="K545" s="3" t="s">
        <v>64</v>
      </c>
      <c r="L545" s="2" t="s">
        <v>5571</v>
      </c>
      <c r="M545" s="2" t="s">
        <v>5572</v>
      </c>
      <c r="N545" s="3" t="s">
        <v>2393</v>
      </c>
      <c r="P545" s="3" t="s">
        <v>66</v>
      </c>
      <c r="R545" s="3" t="s">
        <v>67</v>
      </c>
      <c r="S545" s="4">
        <v>17</v>
      </c>
      <c r="T545" s="4">
        <v>17</v>
      </c>
      <c r="U545" s="5" t="s">
        <v>4577</v>
      </c>
      <c r="V545" s="5" t="s">
        <v>4577</v>
      </c>
      <c r="W545" s="5" t="s">
        <v>69</v>
      </c>
      <c r="X545" s="5" t="s">
        <v>69</v>
      </c>
      <c r="Y545" s="4">
        <v>329</v>
      </c>
      <c r="Z545" s="4">
        <v>13</v>
      </c>
      <c r="AA545" s="4">
        <v>36</v>
      </c>
      <c r="AB545" s="4">
        <v>1</v>
      </c>
      <c r="AC545" s="4">
        <v>3</v>
      </c>
      <c r="AD545" s="4">
        <v>80</v>
      </c>
      <c r="AE545" s="4">
        <v>118</v>
      </c>
      <c r="AF545" s="4">
        <v>0</v>
      </c>
      <c r="AG545" s="4">
        <v>2</v>
      </c>
      <c r="AH545" s="4">
        <v>73</v>
      </c>
      <c r="AI545" s="4">
        <v>97</v>
      </c>
      <c r="AJ545" s="4">
        <v>7</v>
      </c>
      <c r="AK545" s="4">
        <v>22</v>
      </c>
      <c r="AL545" s="4">
        <v>44</v>
      </c>
      <c r="AM545" s="4">
        <v>55</v>
      </c>
      <c r="AN545" s="4">
        <v>5</v>
      </c>
      <c r="AO545" s="4">
        <v>5</v>
      </c>
      <c r="AP545" s="4">
        <v>11</v>
      </c>
      <c r="AQ545" s="4">
        <v>26</v>
      </c>
      <c r="AR545" s="3" t="s">
        <v>63</v>
      </c>
      <c r="AS545" s="3" t="s">
        <v>63</v>
      </c>
      <c r="AT545" s="3" t="s">
        <v>62</v>
      </c>
      <c r="AU545" s="6" t="str">
        <f>HYPERLINK("http://catalog.hathitrust.org/Record/004514491","HathiTrust Record")</f>
        <v>HathiTrust Record</v>
      </c>
      <c r="AV545" s="6" t="str">
        <f>HYPERLINK("http://mcgill.on.worldcat.org/oclc/966180","Catalog Record")</f>
        <v>Catalog Record</v>
      </c>
      <c r="AW545" s="6" t="str">
        <f>HYPERLINK("http://www.worldcat.org/oclc/966180","WorldCat Record")</f>
        <v>WorldCat Record</v>
      </c>
      <c r="AX545" s="3" t="s">
        <v>5573</v>
      </c>
      <c r="AY545" s="3" t="s">
        <v>5574</v>
      </c>
      <c r="AZ545" s="3" t="s">
        <v>5575</v>
      </c>
      <c r="BA545" s="3" t="s">
        <v>5575</v>
      </c>
      <c r="BB545" s="3" t="s">
        <v>5576</v>
      </c>
      <c r="BC545" s="3" t="s">
        <v>82</v>
      </c>
      <c r="BD545" s="3" t="s">
        <v>70</v>
      </c>
      <c r="BE545" s="3" t="s">
        <v>5577</v>
      </c>
      <c r="BF545" s="3" t="s">
        <v>5576</v>
      </c>
      <c r="BG545" s="3" t="s">
        <v>5578</v>
      </c>
    </row>
    <row r="546" spans="1:59" ht="60" x14ac:dyDescent="0.25">
      <c r="A546" s="2" t="s">
        <v>59</v>
      </c>
      <c r="B546" s="2" t="s">
        <v>60</v>
      </c>
      <c r="C546" s="2" t="s">
        <v>5579</v>
      </c>
      <c r="D546" s="2" t="s">
        <v>5580</v>
      </c>
      <c r="E546" s="2" t="s">
        <v>5581</v>
      </c>
      <c r="G546" s="3" t="s">
        <v>63</v>
      </c>
      <c r="I546" s="3" t="s">
        <v>63</v>
      </c>
      <c r="J546" s="3" t="s">
        <v>63</v>
      </c>
      <c r="K546" s="3" t="s">
        <v>64</v>
      </c>
      <c r="L546" s="2" t="s">
        <v>5582</v>
      </c>
      <c r="M546" s="2" t="s">
        <v>5583</v>
      </c>
      <c r="N546" s="3" t="s">
        <v>743</v>
      </c>
      <c r="P546" s="3" t="s">
        <v>66</v>
      </c>
      <c r="Q546" s="2" t="s">
        <v>5584</v>
      </c>
      <c r="R546" s="3" t="s">
        <v>67</v>
      </c>
      <c r="S546" s="4">
        <v>11</v>
      </c>
      <c r="T546" s="4">
        <v>11</v>
      </c>
      <c r="U546" s="5" t="s">
        <v>5585</v>
      </c>
      <c r="V546" s="5" t="s">
        <v>5585</v>
      </c>
      <c r="W546" s="5" t="s">
        <v>69</v>
      </c>
      <c r="X546" s="5" t="s">
        <v>69</v>
      </c>
      <c r="Y546" s="4">
        <v>216</v>
      </c>
      <c r="Z546" s="4">
        <v>24</v>
      </c>
      <c r="AA546" s="4">
        <v>25</v>
      </c>
      <c r="AB546" s="4">
        <v>1</v>
      </c>
      <c r="AC546" s="4">
        <v>2</v>
      </c>
      <c r="AD546" s="4">
        <v>81</v>
      </c>
      <c r="AE546" s="4">
        <v>82</v>
      </c>
      <c r="AF546" s="4">
        <v>0</v>
      </c>
      <c r="AG546" s="4">
        <v>1</v>
      </c>
      <c r="AH546" s="4">
        <v>75</v>
      </c>
      <c r="AI546" s="4">
        <v>76</v>
      </c>
      <c r="AJ546" s="4">
        <v>14</v>
      </c>
      <c r="AK546" s="4">
        <v>15</v>
      </c>
      <c r="AL546" s="4">
        <v>37</v>
      </c>
      <c r="AM546" s="4">
        <v>37</v>
      </c>
      <c r="AN546" s="4">
        <v>0</v>
      </c>
      <c r="AO546" s="4">
        <v>0</v>
      </c>
      <c r="AP546" s="4">
        <v>16</v>
      </c>
      <c r="AQ546" s="4">
        <v>17</v>
      </c>
      <c r="AR546" s="3" t="s">
        <v>63</v>
      </c>
      <c r="AS546" s="3" t="s">
        <v>63</v>
      </c>
      <c r="AT546" s="3" t="s">
        <v>62</v>
      </c>
      <c r="AU546" s="6" t="str">
        <f>HYPERLINK("http://catalog.hathitrust.org/Record/001061754","HathiTrust Record")</f>
        <v>HathiTrust Record</v>
      </c>
      <c r="AV546" s="6" t="str">
        <f>HYPERLINK("http://mcgill.on.worldcat.org/oclc/531059","Catalog Record")</f>
        <v>Catalog Record</v>
      </c>
      <c r="AW546" s="6" t="str">
        <f>HYPERLINK("http://www.worldcat.org/oclc/531059","WorldCat Record")</f>
        <v>WorldCat Record</v>
      </c>
      <c r="AX546" s="3" t="s">
        <v>5586</v>
      </c>
      <c r="AY546" s="3" t="s">
        <v>5587</v>
      </c>
      <c r="AZ546" s="3" t="s">
        <v>5588</v>
      </c>
      <c r="BA546" s="3" t="s">
        <v>5588</v>
      </c>
      <c r="BB546" s="3" t="s">
        <v>5589</v>
      </c>
      <c r="BC546" s="3" t="s">
        <v>82</v>
      </c>
      <c r="BD546" s="3" t="s">
        <v>70</v>
      </c>
      <c r="BE546" s="3" t="s">
        <v>5590</v>
      </c>
      <c r="BF546" s="3" t="s">
        <v>5589</v>
      </c>
      <c r="BG546" s="3" t="s">
        <v>5591</v>
      </c>
    </row>
    <row r="547" spans="1:59" ht="60" x14ac:dyDescent="0.25">
      <c r="A547" s="2" t="s">
        <v>59</v>
      </c>
      <c r="B547" s="2" t="s">
        <v>60</v>
      </c>
      <c r="C547" s="2" t="s">
        <v>5592</v>
      </c>
      <c r="D547" s="2" t="s">
        <v>5593</v>
      </c>
      <c r="E547" s="2" t="s">
        <v>5594</v>
      </c>
      <c r="G547" s="3" t="s">
        <v>63</v>
      </c>
      <c r="I547" s="3" t="s">
        <v>63</v>
      </c>
      <c r="J547" s="3" t="s">
        <v>63</v>
      </c>
      <c r="K547" s="3" t="s">
        <v>64</v>
      </c>
      <c r="L547" s="2" t="s">
        <v>5595</v>
      </c>
      <c r="M547" s="2" t="s">
        <v>5596</v>
      </c>
      <c r="N547" s="3" t="s">
        <v>758</v>
      </c>
      <c r="O547" s="2" t="s">
        <v>5597</v>
      </c>
      <c r="P547" s="3" t="s">
        <v>90</v>
      </c>
      <c r="R547" s="3" t="s">
        <v>67</v>
      </c>
      <c r="S547" s="4">
        <v>12</v>
      </c>
      <c r="T547" s="4">
        <v>12</v>
      </c>
      <c r="U547" s="5" t="s">
        <v>5503</v>
      </c>
      <c r="V547" s="5" t="s">
        <v>5503</v>
      </c>
      <c r="W547" s="5" t="s">
        <v>69</v>
      </c>
      <c r="X547" s="5" t="s">
        <v>69</v>
      </c>
      <c r="Y547" s="4">
        <v>88</v>
      </c>
      <c r="Z547" s="4">
        <v>9</v>
      </c>
      <c r="AA547" s="4">
        <v>18</v>
      </c>
      <c r="AB547" s="4">
        <v>1</v>
      </c>
      <c r="AC547" s="4">
        <v>1</v>
      </c>
      <c r="AD547" s="4">
        <v>49</v>
      </c>
      <c r="AE547" s="4">
        <v>105</v>
      </c>
      <c r="AF547" s="4">
        <v>0</v>
      </c>
      <c r="AG547" s="4">
        <v>0</v>
      </c>
      <c r="AH547" s="4">
        <v>45</v>
      </c>
      <c r="AI547" s="4">
        <v>99</v>
      </c>
      <c r="AJ547" s="4">
        <v>7</v>
      </c>
      <c r="AK547" s="4">
        <v>13</v>
      </c>
      <c r="AL547" s="4">
        <v>33</v>
      </c>
      <c r="AM547" s="4">
        <v>58</v>
      </c>
      <c r="AN547" s="4">
        <v>0</v>
      </c>
      <c r="AO547" s="4">
        <v>0</v>
      </c>
      <c r="AP547" s="4">
        <v>7</v>
      </c>
      <c r="AQ547" s="4">
        <v>14</v>
      </c>
      <c r="AR547" s="3" t="s">
        <v>63</v>
      </c>
      <c r="AS547" s="3" t="s">
        <v>63</v>
      </c>
      <c r="AT547" s="3" t="s">
        <v>62</v>
      </c>
      <c r="AU547" s="6" t="str">
        <f>HYPERLINK("http://catalog.hathitrust.org/Record/001061575","HathiTrust Record")</f>
        <v>HathiTrust Record</v>
      </c>
      <c r="AV547" s="6" t="str">
        <f>HYPERLINK("http://mcgill.on.worldcat.org/oclc/2663831","Catalog Record")</f>
        <v>Catalog Record</v>
      </c>
      <c r="AW547" s="6" t="str">
        <f>HYPERLINK("http://www.worldcat.org/oclc/2663831","WorldCat Record")</f>
        <v>WorldCat Record</v>
      </c>
      <c r="AX547" s="3" t="s">
        <v>5598</v>
      </c>
      <c r="AY547" s="3" t="s">
        <v>5599</v>
      </c>
      <c r="AZ547" s="3" t="s">
        <v>5600</v>
      </c>
      <c r="BA547" s="3" t="s">
        <v>5600</v>
      </c>
      <c r="BB547" s="3" t="s">
        <v>5601</v>
      </c>
      <c r="BC547" s="3" t="s">
        <v>82</v>
      </c>
      <c r="BD547" s="3" t="s">
        <v>538</v>
      </c>
      <c r="BF547" s="3" t="s">
        <v>5601</v>
      </c>
      <c r="BG547" s="3" t="s">
        <v>5602</v>
      </c>
    </row>
    <row r="548" spans="1:59" ht="75" x14ac:dyDescent="0.25">
      <c r="A548" s="2" t="s">
        <v>59</v>
      </c>
      <c r="B548" s="2" t="s">
        <v>60</v>
      </c>
      <c r="C548" s="2" t="s">
        <v>5603</v>
      </c>
      <c r="D548" s="2" t="s">
        <v>5604</v>
      </c>
      <c r="E548" s="2" t="s">
        <v>5605</v>
      </c>
      <c r="G548" s="3" t="s">
        <v>63</v>
      </c>
      <c r="I548" s="3" t="s">
        <v>63</v>
      </c>
      <c r="J548" s="3" t="s">
        <v>63</v>
      </c>
      <c r="K548" s="3" t="s">
        <v>64</v>
      </c>
      <c r="M548" s="2" t="s">
        <v>5606</v>
      </c>
      <c r="N548" s="3" t="s">
        <v>313</v>
      </c>
      <c r="P548" s="3" t="s">
        <v>90</v>
      </c>
      <c r="R548" s="3" t="s">
        <v>67</v>
      </c>
      <c r="S548" s="4">
        <v>0</v>
      </c>
      <c r="T548" s="4">
        <v>0</v>
      </c>
      <c r="W548" s="5" t="s">
        <v>69</v>
      </c>
      <c r="X548" s="5" t="s">
        <v>69</v>
      </c>
      <c r="Y548" s="4">
        <v>24</v>
      </c>
      <c r="Z548" s="4">
        <v>3</v>
      </c>
      <c r="AA548" s="4">
        <v>3</v>
      </c>
      <c r="AB548" s="4">
        <v>1</v>
      </c>
      <c r="AC548" s="4">
        <v>1</v>
      </c>
      <c r="AD548" s="4">
        <v>18</v>
      </c>
      <c r="AE548" s="4">
        <v>18</v>
      </c>
      <c r="AF548" s="4">
        <v>0</v>
      </c>
      <c r="AG548" s="4">
        <v>0</v>
      </c>
      <c r="AH548" s="4">
        <v>17</v>
      </c>
      <c r="AI548" s="4">
        <v>17</v>
      </c>
      <c r="AJ548" s="4">
        <v>1</v>
      </c>
      <c r="AK548" s="4">
        <v>1</v>
      </c>
      <c r="AL548" s="4">
        <v>16</v>
      </c>
      <c r="AM548" s="4">
        <v>16</v>
      </c>
      <c r="AN548" s="4">
        <v>0</v>
      </c>
      <c r="AO548" s="4">
        <v>0</v>
      </c>
      <c r="AP548" s="4">
        <v>1</v>
      </c>
      <c r="AQ548" s="4">
        <v>1</v>
      </c>
      <c r="AR548" s="3" t="s">
        <v>63</v>
      </c>
      <c r="AS548" s="3" t="s">
        <v>63</v>
      </c>
      <c r="AT548" s="3" t="s">
        <v>63</v>
      </c>
      <c r="AV548" s="6" t="str">
        <f>HYPERLINK("http://mcgill.on.worldcat.org/oclc/670280689","Catalog Record")</f>
        <v>Catalog Record</v>
      </c>
      <c r="AW548" s="6" t="str">
        <f>HYPERLINK("http://www.worldcat.org/oclc/670280689","WorldCat Record")</f>
        <v>WorldCat Record</v>
      </c>
      <c r="AX548" s="3" t="s">
        <v>5607</v>
      </c>
      <c r="AY548" s="3" t="s">
        <v>5608</v>
      </c>
      <c r="AZ548" s="3" t="s">
        <v>5609</v>
      </c>
      <c r="BA548" s="3" t="s">
        <v>5609</v>
      </c>
      <c r="BB548" s="3" t="s">
        <v>5610</v>
      </c>
      <c r="BC548" s="3" t="s">
        <v>82</v>
      </c>
      <c r="BD548" s="3" t="s">
        <v>70</v>
      </c>
      <c r="BE548" s="3" t="s">
        <v>5611</v>
      </c>
      <c r="BF548" s="3" t="s">
        <v>5610</v>
      </c>
      <c r="BG548" s="3" t="s">
        <v>5612</v>
      </c>
    </row>
    <row r="549" spans="1:59" ht="60" x14ac:dyDescent="0.25">
      <c r="A549" s="2" t="s">
        <v>59</v>
      </c>
      <c r="B549" s="2" t="s">
        <v>60</v>
      </c>
      <c r="C549" s="2" t="s">
        <v>5613</v>
      </c>
      <c r="D549" s="2" t="s">
        <v>5614</v>
      </c>
      <c r="E549" s="2" t="s">
        <v>5615</v>
      </c>
      <c r="G549" s="3" t="s">
        <v>63</v>
      </c>
      <c r="I549" s="3" t="s">
        <v>63</v>
      </c>
      <c r="J549" s="3" t="s">
        <v>63</v>
      </c>
      <c r="K549" s="3" t="s">
        <v>64</v>
      </c>
      <c r="L549" s="2" t="s">
        <v>5616</v>
      </c>
      <c r="M549" s="2" t="s">
        <v>5617</v>
      </c>
      <c r="N549" s="3" t="s">
        <v>2535</v>
      </c>
      <c r="P549" s="3" t="s">
        <v>90</v>
      </c>
      <c r="R549" s="3" t="s">
        <v>67</v>
      </c>
      <c r="S549" s="4">
        <v>15</v>
      </c>
      <c r="T549" s="4">
        <v>15</v>
      </c>
      <c r="U549" s="5" t="s">
        <v>5503</v>
      </c>
      <c r="V549" s="5" t="s">
        <v>5503</v>
      </c>
      <c r="W549" s="5" t="s">
        <v>69</v>
      </c>
      <c r="X549" s="5" t="s">
        <v>69</v>
      </c>
      <c r="Y549" s="4">
        <v>128</v>
      </c>
      <c r="Z549" s="4">
        <v>9</v>
      </c>
      <c r="AA549" s="4">
        <v>9</v>
      </c>
      <c r="AB549" s="4">
        <v>1</v>
      </c>
      <c r="AC549" s="4">
        <v>1</v>
      </c>
      <c r="AD549" s="4">
        <v>76</v>
      </c>
      <c r="AE549" s="4">
        <v>76</v>
      </c>
      <c r="AF549" s="4">
        <v>0</v>
      </c>
      <c r="AG549" s="4">
        <v>0</v>
      </c>
      <c r="AH549" s="4">
        <v>72</v>
      </c>
      <c r="AI549" s="4">
        <v>72</v>
      </c>
      <c r="AJ549" s="4">
        <v>6</v>
      </c>
      <c r="AK549" s="4">
        <v>6</v>
      </c>
      <c r="AL549" s="4">
        <v>47</v>
      </c>
      <c r="AM549" s="4">
        <v>47</v>
      </c>
      <c r="AN549" s="4">
        <v>0</v>
      </c>
      <c r="AO549" s="4">
        <v>0</v>
      </c>
      <c r="AP549" s="4">
        <v>7</v>
      </c>
      <c r="AQ549" s="4">
        <v>7</v>
      </c>
      <c r="AR549" s="3" t="s">
        <v>63</v>
      </c>
      <c r="AS549" s="3" t="s">
        <v>63</v>
      </c>
      <c r="AT549" s="3" t="s">
        <v>62</v>
      </c>
      <c r="AU549" s="6" t="str">
        <f>HYPERLINK("http://catalog.hathitrust.org/Record/001848961","HathiTrust Record")</f>
        <v>HathiTrust Record</v>
      </c>
      <c r="AV549" s="6" t="str">
        <f>HYPERLINK("http://mcgill.on.worldcat.org/oclc/1178416","Catalog Record")</f>
        <v>Catalog Record</v>
      </c>
      <c r="AW549" s="6" t="str">
        <f>HYPERLINK("http://www.worldcat.org/oclc/1178416","WorldCat Record")</f>
        <v>WorldCat Record</v>
      </c>
      <c r="AX549" s="3" t="s">
        <v>5618</v>
      </c>
      <c r="AY549" s="3" t="s">
        <v>5619</v>
      </c>
      <c r="AZ549" s="3" t="s">
        <v>5620</v>
      </c>
      <c r="BA549" s="3" t="s">
        <v>5620</v>
      </c>
      <c r="BB549" s="3" t="s">
        <v>5621</v>
      </c>
      <c r="BC549" s="3" t="s">
        <v>82</v>
      </c>
      <c r="BD549" s="3" t="s">
        <v>538</v>
      </c>
      <c r="BF549" s="3" t="s">
        <v>5621</v>
      </c>
      <c r="BG549" s="3" t="s">
        <v>5622</v>
      </c>
    </row>
    <row r="550" spans="1:59" ht="60" x14ac:dyDescent="0.25">
      <c r="A550" s="2" t="s">
        <v>59</v>
      </c>
      <c r="B550" s="2" t="s">
        <v>60</v>
      </c>
      <c r="C550" s="2" t="s">
        <v>5623</v>
      </c>
      <c r="D550" s="2" t="s">
        <v>5624</v>
      </c>
      <c r="E550" s="2" t="s">
        <v>5625</v>
      </c>
      <c r="G550" s="3" t="s">
        <v>63</v>
      </c>
      <c r="I550" s="3" t="s">
        <v>62</v>
      </c>
      <c r="J550" s="3" t="s">
        <v>63</v>
      </c>
      <c r="K550" s="3" t="s">
        <v>64</v>
      </c>
      <c r="L550" s="2" t="s">
        <v>5626</v>
      </c>
      <c r="M550" s="2" t="s">
        <v>5627</v>
      </c>
      <c r="N550" s="3" t="s">
        <v>2951</v>
      </c>
      <c r="P550" s="3" t="s">
        <v>66</v>
      </c>
      <c r="R550" s="3" t="s">
        <v>67</v>
      </c>
      <c r="S550" s="4">
        <v>15</v>
      </c>
      <c r="T550" s="4">
        <v>35</v>
      </c>
      <c r="U550" s="5" t="s">
        <v>5503</v>
      </c>
      <c r="V550" s="5" t="s">
        <v>5503</v>
      </c>
      <c r="W550" s="5" t="s">
        <v>69</v>
      </c>
      <c r="X550" s="5" t="s">
        <v>69</v>
      </c>
      <c r="Y550" s="4">
        <v>62</v>
      </c>
      <c r="Z550" s="4">
        <v>14</v>
      </c>
      <c r="AA550" s="4">
        <v>37</v>
      </c>
      <c r="AB550" s="4">
        <v>1</v>
      </c>
      <c r="AC550" s="4">
        <v>3</v>
      </c>
      <c r="AD550" s="4">
        <v>34</v>
      </c>
      <c r="AE550" s="4">
        <v>123</v>
      </c>
      <c r="AF550" s="4">
        <v>0</v>
      </c>
      <c r="AG550" s="4">
        <v>2</v>
      </c>
      <c r="AH550" s="4">
        <v>25</v>
      </c>
      <c r="AI550" s="4">
        <v>107</v>
      </c>
      <c r="AJ550" s="4">
        <v>12</v>
      </c>
      <c r="AK550" s="4">
        <v>22</v>
      </c>
      <c r="AL550" s="4">
        <v>11</v>
      </c>
      <c r="AM550" s="4">
        <v>56</v>
      </c>
      <c r="AN550" s="4">
        <v>0</v>
      </c>
      <c r="AO550" s="4">
        <v>0</v>
      </c>
      <c r="AP550" s="4">
        <v>11</v>
      </c>
      <c r="AQ550" s="4">
        <v>26</v>
      </c>
      <c r="AR550" s="3" t="s">
        <v>63</v>
      </c>
      <c r="AS550" s="3" t="s">
        <v>63</v>
      </c>
      <c r="AT550" s="3" t="s">
        <v>62</v>
      </c>
      <c r="AU550" s="6" t="str">
        <f>HYPERLINK("http://catalog.hathitrust.org/Record/000758614","HathiTrust Record")</f>
        <v>HathiTrust Record</v>
      </c>
      <c r="AV550" s="6" t="str">
        <f>HYPERLINK("http://mcgill.on.worldcat.org/oclc/56260131","Catalog Record")</f>
        <v>Catalog Record</v>
      </c>
      <c r="AW550" s="6" t="str">
        <f>HYPERLINK("http://www.worldcat.org/oclc/56260131","WorldCat Record")</f>
        <v>WorldCat Record</v>
      </c>
      <c r="AX550" s="3" t="s">
        <v>5628</v>
      </c>
      <c r="AY550" s="3" t="s">
        <v>5629</v>
      </c>
      <c r="AZ550" s="3" t="s">
        <v>5630</v>
      </c>
      <c r="BA550" s="3" t="s">
        <v>5630</v>
      </c>
      <c r="BB550" s="3" t="s">
        <v>5631</v>
      </c>
      <c r="BC550" s="3" t="s">
        <v>82</v>
      </c>
      <c r="BD550" s="3" t="s">
        <v>538</v>
      </c>
      <c r="BE550" s="3" t="s">
        <v>5632</v>
      </c>
      <c r="BF550" s="3" t="s">
        <v>5631</v>
      </c>
      <c r="BG550" s="3" t="s">
        <v>5633</v>
      </c>
    </row>
    <row r="551" spans="1:59" ht="60" x14ac:dyDescent="0.25">
      <c r="A551" s="2" t="s">
        <v>59</v>
      </c>
      <c r="B551" s="2" t="s">
        <v>60</v>
      </c>
      <c r="C551" s="2" t="s">
        <v>5623</v>
      </c>
      <c r="D551" s="2" t="s">
        <v>5624</v>
      </c>
      <c r="E551" s="2" t="s">
        <v>5625</v>
      </c>
      <c r="G551" s="3" t="s">
        <v>63</v>
      </c>
      <c r="I551" s="3" t="s">
        <v>62</v>
      </c>
      <c r="J551" s="3" t="s">
        <v>63</v>
      </c>
      <c r="K551" s="3" t="s">
        <v>64</v>
      </c>
      <c r="L551" s="2" t="s">
        <v>5626</v>
      </c>
      <c r="M551" s="2" t="s">
        <v>5627</v>
      </c>
      <c r="N551" s="3" t="s">
        <v>2951</v>
      </c>
      <c r="P551" s="3" t="s">
        <v>66</v>
      </c>
      <c r="R551" s="3" t="s">
        <v>67</v>
      </c>
      <c r="S551" s="4">
        <v>20</v>
      </c>
      <c r="T551" s="4">
        <v>35</v>
      </c>
      <c r="U551" s="5" t="s">
        <v>5634</v>
      </c>
      <c r="V551" s="5" t="s">
        <v>5503</v>
      </c>
      <c r="W551" s="5" t="s">
        <v>69</v>
      </c>
      <c r="X551" s="5" t="s">
        <v>69</v>
      </c>
      <c r="Y551" s="4">
        <v>62</v>
      </c>
      <c r="Z551" s="4">
        <v>14</v>
      </c>
      <c r="AA551" s="4">
        <v>37</v>
      </c>
      <c r="AB551" s="4">
        <v>1</v>
      </c>
      <c r="AC551" s="4">
        <v>3</v>
      </c>
      <c r="AD551" s="4">
        <v>34</v>
      </c>
      <c r="AE551" s="4">
        <v>123</v>
      </c>
      <c r="AF551" s="4">
        <v>0</v>
      </c>
      <c r="AG551" s="4">
        <v>2</v>
      </c>
      <c r="AH551" s="4">
        <v>25</v>
      </c>
      <c r="AI551" s="4">
        <v>107</v>
      </c>
      <c r="AJ551" s="4">
        <v>12</v>
      </c>
      <c r="AK551" s="4">
        <v>22</v>
      </c>
      <c r="AL551" s="4">
        <v>11</v>
      </c>
      <c r="AM551" s="4">
        <v>56</v>
      </c>
      <c r="AN551" s="4">
        <v>0</v>
      </c>
      <c r="AO551" s="4">
        <v>0</v>
      </c>
      <c r="AP551" s="4">
        <v>11</v>
      </c>
      <c r="AQ551" s="4">
        <v>26</v>
      </c>
      <c r="AR551" s="3" t="s">
        <v>63</v>
      </c>
      <c r="AS551" s="3" t="s">
        <v>63</v>
      </c>
      <c r="AT551" s="3" t="s">
        <v>62</v>
      </c>
      <c r="AU551" s="6" t="str">
        <f>HYPERLINK("http://catalog.hathitrust.org/Record/000758614","HathiTrust Record")</f>
        <v>HathiTrust Record</v>
      </c>
      <c r="AV551" s="6" t="str">
        <f>HYPERLINK("http://mcgill.on.worldcat.org/oclc/56260131","Catalog Record")</f>
        <v>Catalog Record</v>
      </c>
      <c r="AW551" s="6" t="str">
        <f>HYPERLINK("http://www.worldcat.org/oclc/56260131","WorldCat Record")</f>
        <v>WorldCat Record</v>
      </c>
      <c r="AX551" s="3" t="s">
        <v>5628</v>
      </c>
      <c r="AY551" s="3" t="s">
        <v>5629</v>
      </c>
      <c r="AZ551" s="3" t="s">
        <v>5630</v>
      </c>
      <c r="BA551" s="3" t="s">
        <v>5630</v>
      </c>
      <c r="BB551" s="3" t="s">
        <v>5635</v>
      </c>
      <c r="BC551" s="3" t="s">
        <v>82</v>
      </c>
      <c r="BD551" s="3" t="s">
        <v>70</v>
      </c>
      <c r="BE551" s="3" t="s">
        <v>5632</v>
      </c>
      <c r="BF551" s="3" t="s">
        <v>5635</v>
      </c>
      <c r="BG551" s="3" t="s">
        <v>5636</v>
      </c>
    </row>
    <row r="552" spans="1:59" ht="60" x14ac:dyDescent="0.25">
      <c r="A552" s="2" t="s">
        <v>59</v>
      </c>
      <c r="B552" s="2" t="s">
        <v>60</v>
      </c>
      <c r="C552" s="2" t="s">
        <v>5637</v>
      </c>
      <c r="D552" s="2" t="s">
        <v>5638</v>
      </c>
      <c r="E552" s="2" t="s">
        <v>5639</v>
      </c>
      <c r="G552" s="3" t="s">
        <v>63</v>
      </c>
      <c r="I552" s="3" t="s">
        <v>63</v>
      </c>
      <c r="J552" s="3" t="s">
        <v>63</v>
      </c>
      <c r="K552" s="3" t="s">
        <v>64</v>
      </c>
      <c r="L552" s="2" t="s">
        <v>5640</v>
      </c>
      <c r="M552" s="2" t="s">
        <v>5641</v>
      </c>
      <c r="N552" s="3" t="s">
        <v>629</v>
      </c>
      <c r="P552" s="3" t="s">
        <v>66</v>
      </c>
      <c r="R552" s="3" t="s">
        <v>67</v>
      </c>
      <c r="S552" s="4">
        <v>1</v>
      </c>
      <c r="T552" s="4">
        <v>1</v>
      </c>
      <c r="U552" s="5" t="s">
        <v>5642</v>
      </c>
      <c r="V552" s="5" t="s">
        <v>5642</v>
      </c>
      <c r="W552" s="5" t="s">
        <v>69</v>
      </c>
      <c r="X552" s="5" t="s">
        <v>69</v>
      </c>
      <c r="Y552" s="4">
        <v>163</v>
      </c>
      <c r="Z552" s="4">
        <v>10</v>
      </c>
      <c r="AA552" s="4">
        <v>26</v>
      </c>
      <c r="AB552" s="4">
        <v>1</v>
      </c>
      <c r="AC552" s="4">
        <v>3</v>
      </c>
      <c r="AD552" s="4">
        <v>71</v>
      </c>
      <c r="AE552" s="4">
        <v>98</v>
      </c>
      <c r="AF552" s="4">
        <v>0</v>
      </c>
      <c r="AG552" s="4">
        <v>0</v>
      </c>
      <c r="AH552" s="4">
        <v>67</v>
      </c>
      <c r="AI552" s="4">
        <v>85</v>
      </c>
      <c r="AJ552" s="4">
        <v>8</v>
      </c>
      <c r="AK552" s="4">
        <v>12</v>
      </c>
      <c r="AL552" s="4">
        <v>44</v>
      </c>
      <c r="AM552" s="4">
        <v>52</v>
      </c>
      <c r="AN552" s="4">
        <v>0</v>
      </c>
      <c r="AO552" s="4">
        <v>0</v>
      </c>
      <c r="AP552" s="4">
        <v>8</v>
      </c>
      <c r="AQ552" s="4">
        <v>18</v>
      </c>
      <c r="AR552" s="3" t="s">
        <v>63</v>
      </c>
      <c r="AS552" s="3" t="s">
        <v>63</v>
      </c>
      <c r="AT552" s="3" t="s">
        <v>63</v>
      </c>
      <c r="AV552" s="6" t="str">
        <f>HYPERLINK("http://mcgill.on.worldcat.org/oclc/720259888","Catalog Record")</f>
        <v>Catalog Record</v>
      </c>
      <c r="AW552" s="6" t="str">
        <f>HYPERLINK("http://www.worldcat.org/oclc/720259888","WorldCat Record")</f>
        <v>WorldCat Record</v>
      </c>
      <c r="AX552" s="3" t="s">
        <v>5643</v>
      </c>
      <c r="AY552" s="3" t="s">
        <v>5644</v>
      </c>
      <c r="AZ552" s="3" t="s">
        <v>5645</v>
      </c>
      <c r="BA552" s="3" t="s">
        <v>5645</v>
      </c>
      <c r="BB552" s="3" t="s">
        <v>5646</v>
      </c>
      <c r="BC552" s="3" t="s">
        <v>82</v>
      </c>
      <c r="BD552" s="3" t="s">
        <v>70</v>
      </c>
      <c r="BE552" s="3" t="s">
        <v>5647</v>
      </c>
      <c r="BF552" s="3" t="s">
        <v>5646</v>
      </c>
      <c r="BG552" s="3" t="s">
        <v>5648</v>
      </c>
    </row>
    <row r="553" spans="1:59" ht="60" x14ac:dyDescent="0.25">
      <c r="A553" s="2" t="s">
        <v>59</v>
      </c>
      <c r="B553" s="2" t="s">
        <v>60</v>
      </c>
      <c r="C553" s="2" t="s">
        <v>5649</v>
      </c>
      <c r="D553" s="2" t="s">
        <v>5650</v>
      </c>
      <c r="E553" s="2" t="s">
        <v>5651</v>
      </c>
      <c r="G553" s="3" t="s">
        <v>63</v>
      </c>
      <c r="I553" s="3" t="s">
        <v>63</v>
      </c>
      <c r="J553" s="3" t="s">
        <v>63</v>
      </c>
      <c r="K553" s="3" t="s">
        <v>64</v>
      </c>
      <c r="L553" s="2" t="s">
        <v>4479</v>
      </c>
      <c r="M553" s="2" t="s">
        <v>5652</v>
      </c>
      <c r="N553" s="3" t="s">
        <v>176</v>
      </c>
      <c r="P553" s="3" t="s">
        <v>90</v>
      </c>
      <c r="Q553" s="2" t="s">
        <v>5653</v>
      </c>
      <c r="R553" s="3" t="s">
        <v>67</v>
      </c>
      <c r="S553" s="4">
        <v>10</v>
      </c>
      <c r="T553" s="4">
        <v>10</v>
      </c>
      <c r="U553" s="5" t="s">
        <v>5503</v>
      </c>
      <c r="V553" s="5" t="s">
        <v>5503</v>
      </c>
      <c r="W553" s="5" t="s">
        <v>69</v>
      </c>
      <c r="X553" s="5" t="s">
        <v>69</v>
      </c>
      <c r="Y553" s="4">
        <v>56</v>
      </c>
      <c r="Z553" s="4">
        <v>2</v>
      </c>
      <c r="AA553" s="4">
        <v>5</v>
      </c>
      <c r="AB553" s="4">
        <v>1</v>
      </c>
      <c r="AC553" s="4">
        <v>1</v>
      </c>
      <c r="AD553" s="4">
        <v>32</v>
      </c>
      <c r="AE553" s="4">
        <v>43</v>
      </c>
      <c r="AF553" s="4">
        <v>0</v>
      </c>
      <c r="AG553" s="4">
        <v>0</v>
      </c>
      <c r="AH553" s="4">
        <v>31</v>
      </c>
      <c r="AI553" s="4">
        <v>41</v>
      </c>
      <c r="AJ553" s="4">
        <v>1</v>
      </c>
      <c r="AK553" s="4">
        <v>3</v>
      </c>
      <c r="AL553" s="4">
        <v>26</v>
      </c>
      <c r="AM553" s="4">
        <v>36</v>
      </c>
      <c r="AN553" s="4">
        <v>0</v>
      </c>
      <c r="AO553" s="4">
        <v>0</v>
      </c>
      <c r="AP553" s="4">
        <v>1</v>
      </c>
      <c r="AQ553" s="4">
        <v>3</v>
      </c>
      <c r="AR553" s="3" t="s">
        <v>63</v>
      </c>
      <c r="AS553" s="3" t="s">
        <v>63</v>
      </c>
      <c r="AT553" s="3" t="s">
        <v>62</v>
      </c>
      <c r="AU553" s="6" t="str">
        <f>HYPERLINK("http://catalog.hathitrust.org/Record/004056650","HathiTrust Record")</f>
        <v>HathiTrust Record</v>
      </c>
      <c r="AV553" s="6" t="str">
        <f>HYPERLINK("http://mcgill.on.worldcat.org/oclc/41156694","Catalog Record")</f>
        <v>Catalog Record</v>
      </c>
      <c r="AW553" s="6" t="str">
        <f>HYPERLINK("http://www.worldcat.org/oclc/41156694","WorldCat Record")</f>
        <v>WorldCat Record</v>
      </c>
      <c r="AX553" s="3" t="s">
        <v>5654</v>
      </c>
      <c r="AY553" s="3" t="s">
        <v>5655</v>
      </c>
      <c r="AZ553" s="3" t="s">
        <v>5656</v>
      </c>
      <c r="BA553" s="3" t="s">
        <v>5656</v>
      </c>
      <c r="BB553" s="3" t="s">
        <v>5657</v>
      </c>
      <c r="BC553" s="3" t="s">
        <v>82</v>
      </c>
      <c r="BD553" s="3" t="s">
        <v>70</v>
      </c>
      <c r="BE553" s="3" t="s">
        <v>5658</v>
      </c>
      <c r="BF553" s="3" t="s">
        <v>5657</v>
      </c>
      <c r="BG553" s="3" t="s">
        <v>5659</v>
      </c>
    </row>
    <row r="554" spans="1:59" ht="135" x14ac:dyDescent="0.25">
      <c r="A554" s="2" t="s">
        <v>59</v>
      </c>
      <c r="B554" s="2" t="s">
        <v>60</v>
      </c>
      <c r="C554" s="2" t="s">
        <v>5660</v>
      </c>
      <c r="D554" s="2" t="s">
        <v>5661</v>
      </c>
      <c r="E554" s="2" t="s">
        <v>5662</v>
      </c>
      <c r="G554" s="3" t="s">
        <v>63</v>
      </c>
      <c r="I554" s="3" t="s">
        <v>63</v>
      </c>
      <c r="J554" s="3" t="s">
        <v>63</v>
      </c>
      <c r="K554" s="3" t="s">
        <v>64</v>
      </c>
      <c r="M554" s="2" t="s">
        <v>5663</v>
      </c>
      <c r="N554" s="3" t="s">
        <v>106</v>
      </c>
      <c r="P554" s="3" t="s">
        <v>90</v>
      </c>
      <c r="R554" s="3" t="s">
        <v>67</v>
      </c>
      <c r="S554" s="4">
        <v>0</v>
      </c>
      <c r="T554" s="4">
        <v>0</v>
      </c>
      <c r="W554" s="5" t="s">
        <v>69</v>
      </c>
      <c r="X554" s="5" t="s">
        <v>69</v>
      </c>
      <c r="Y554" s="4">
        <v>19</v>
      </c>
      <c r="Z554" s="4">
        <v>1</v>
      </c>
      <c r="AA554" s="4">
        <v>1</v>
      </c>
      <c r="AB554" s="4">
        <v>1</v>
      </c>
      <c r="AC554" s="4">
        <v>1</v>
      </c>
      <c r="AD554" s="4">
        <v>15</v>
      </c>
      <c r="AE554" s="4">
        <v>17</v>
      </c>
      <c r="AF554" s="4">
        <v>0</v>
      </c>
      <c r="AG554" s="4">
        <v>0</v>
      </c>
      <c r="AH554" s="4">
        <v>14</v>
      </c>
      <c r="AI554" s="4">
        <v>16</v>
      </c>
      <c r="AJ554" s="4">
        <v>0</v>
      </c>
      <c r="AK554" s="4">
        <v>0</v>
      </c>
      <c r="AL554" s="4">
        <v>13</v>
      </c>
      <c r="AM554" s="4">
        <v>14</v>
      </c>
      <c r="AN554" s="4">
        <v>0</v>
      </c>
      <c r="AO554" s="4">
        <v>0</v>
      </c>
      <c r="AP554" s="4">
        <v>0</v>
      </c>
      <c r="AQ554" s="4">
        <v>0</v>
      </c>
      <c r="AR554" s="3" t="s">
        <v>63</v>
      </c>
      <c r="AS554" s="3" t="s">
        <v>63</v>
      </c>
      <c r="AT554" s="3" t="s">
        <v>63</v>
      </c>
      <c r="AV554" s="6" t="str">
        <f>HYPERLINK("http://mcgill.on.worldcat.org/oclc/974941271","Catalog Record")</f>
        <v>Catalog Record</v>
      </c>
      <c r="AW554" s="6" t="str">
        <f>HYPERLINK("http://www.worldcat.org/oclc/974941271","WorldCat Record")</f>
        <v>WorldCat Record</v>
      </c>
      <c r="AX554" s="3" t="s">
        <v>5664</v>
      </c>
      <c r="AY554" s="3" t="s">
        <v>5665</v>
      </c>
      <c r="AZ554" s="3" t="s">
        <v>5666</v>
      </c>
      <c r="BA554" s="3" t="s">
        <v>5666</v>
      </c>
      <c r="BB554" s="3" t="s">
        <v>5667</v>
      </c>
      <c r="BC554" s="3" t="s">
        <v>82</v>
      </c>
      <c r="BD554" s="3" t="s">
        <v>70</v>
      </c>
      <c r="BE554" s="3" t="s">
        <v>5668</v>
      </c>
      <c r="BF554" s="3" t="s">
        <v>5667</v>
      </c>
      <c r="BG554" s="3" t="s">
        <v>5669</v>
      </c>
    </row>
    <row r="555" spans="1:59" ht="60" x14ac:dyDescent="0.25">
      <c r="A555" s="2" t="s">
        <v>59</v>
      </c>
      <c r="B555" s="2" t="s">
        <v>60</v>
      </c>
      <c r="C555" s="2" t="s">
        <v>5670</v>
      </c>
      <c r="D555" s="2" t="s">
        <v>5671</v>
      </c>
      <c r="E555" s="2" t="s">
        <v>5672</v>
      </c>
      <c r="G555" s="3" t="s">
        <v>63</v>
      </c>
      <c r="I555" s="3" t="s">
        <v>63</v>
      </c>
      <c r="J555" s="3" t="s">
        <v>63</v>
      </c>
      <c r="K555" s="3" t="s">
        <v>64</v>
      </c>
      <c r="L555" s="2" t="s">
        <v>5673</v>
      </c>
      <c r="M555" s="2" t="s">
        <v>5674</v>
      </c>
      <c r="N555" s="3" t="s">
        <v>190</v>
      </c>
      <c r="P555" s="3" t="s">
        <v>90</v>
      </c>
      <c r="R555" s="3" t="s">
        <v>67</v>
      </c>
      <c r="S555" s="4">
        <v>6</v>
      </c>
      <c r="T555" s="4">
        <v>6</v>
      </c>
      <c r="U555" s="5" t="s">
        <v>4539</v>
      </c>
      <c r="V555" s="5" t="s">
        <v>4539</v>
      </c>
      <c r="W555" s="5" t="s">
        <v>69</v>
      </c>
      <c r="X555" s="5" t="s">
        <v>69</v>
      </c>
      <c r="Y555" s="4">
        <v>24</v>
      </c>
      <c r="Z555" s="4">
        <v>3</v>
      </c>
      <c r="AA555" s="4">
        <v>4</v>
      </c>
      <c r="AB555" s="4">
        <v>1</v>
      </c>
      <c r="AC555" s="4">
        <v>1</v>
      </c>
      <c r="AD555" s="4">
        <v>18</v>
      </c>
      <c r="AE555" s="4">
        <v>41</v>
      </c>
      <c r="AF555" s="4">
        <v>0</v>
      </c>
      <c r="AG555" s="4">
        <v>0</v>
      </c>
      <c r="AH555" s="4">
        <v>18</v>
      </c>
      <c r="AI555" s="4">
        <v>40</v>
      </c>
      <c r="AJ555" s="4">
        <v>1</v>
      </c>
      <c r="AK555" s="4">
        <v>2</v>
      </c>
      <c r="AL555" s="4">
        <v>12</v>
      </c>
      <c r="AM555" s="4">
        <v>32</v>
      </c>
      <c r="AN555" s="4">
        <v>0</v>
      </c>
      <c r="AO555" s="4">
        <v>0</v>
      </c>
      <c r="AP555" s="4">
        <v>1</v>
      </c>
      <c r="AQ555" s="4">
        <v>2</v>
      </c>
      <c r="AR555" s="3" t="s">
        <v>63</v>
      </c>
      <c r="AS555" s="3" t="s">
        <v>63</v>
      </c>
      <c r="AT555" s="3" t="s">
        <v>62</v>
      </c>
      <c r="AU555" s="6" t="str">
        <f>HYPERLINK("http://catalog.hathitrust.org/Record/005539719","HathiTrust Record")</f>
        <v>HathiTrust Record</v>
      </c>
      <c r="AV555" s="6" t="str">
        <f>HYPERLINK("http://mcgill.on.worldcat.org/oclc/76787997","Catalog Record")</f>
        <v>Catalog Record</v>
      </c>
      <c r="AW555" s="6" t="str">
        <f>HYPERLINK("http://www.worldcat.org/oclc/76787997","WorldCat Record")</f>
        <v>WorldCat Record</v>
      </c>
      <c r="AX555" s="3" t="s">
        <v>5675</v>
      </c>
      <c r="AY555" s="3" t="s">
        <v>5676</v>
      </c>
      <c r="AZ555" s="3" t="s">
        <v>5677</v>
      </c>
      <c r="BA555" s="3" t="s">
        <v>5677</v>
      </c>
      <c r="BB555" s="3" t="s">
        <v>5678</v>
      </c>
      <c r="BC555" s="3" t="s">
        <v>82</v>
      </c>
      <c r="BD555" s="3" t="s">
        <v>70</v>
      </c>
      <c r="BE555" s="3" t="s">
        <v>5679</v>
      </c>
      <c r="BF555" s="3" t="s">
        <v>5678</v>
      </c>
      <c r="BG555" s="3" t="s">
        <v>5680</v>
      </c>
    </row>
    <row r="556" spans="1:59" ht="60" x14ac:dyDescent="0.25">
      <c r="A556" s="2" t="s">
        <v>59</v>
      </c>
      <c r="B556" s="2" t="s">
        <v>60</v>
      </c>
      <c r="C556" s="2" t="s">
        <v>5681</v>
      </c>
      <c r="D556" s="2" t="s">
        <v>5682</v>
      </c>
      <c r="E556" s="2" t="s">
        <v>5683</v>
      </c>
      <c r="F556" s="3" t="s">
        <v>5684</v>
      </c>
      <c r="G556" s="3" t="s">
        <v>62</v>
      </c>
      <c r="I556" s="3" t="s">
        <v>63</v>
      </c>
      <c r="J556" s="3" t="s">
        <v>63</v>
      </c>
      <c r="K556" s="3" t="s">
        <v>64</v>
      </c>
      <c r="L556" s="2" t="s">
        <v>5685</v>
      </c>
      <c r="M556" s="2" t="s">
        <v>5686</v>
      </c>
      <c r="N556" s="3" t="s">
        <v>2144</v>
      </c>
      <c r="P556" s="3" t="s">
        <v>90</v>
      </c>
      <c r="R556" s="3" t="s">
        <v>67</v>
      </c>
      <c r="S556" s="4">
        <v>0</v>
      </c>
      <c r="T556" s="4">
        <v>1</v>
      </c>
      <c r="V556" s="5" t="s">
        <v>5687</v>
      </c>
      <c r="W556" s="5" t="s">
        <v>69</v>
      </c>
      <c r="X556" s="5" t="s">
        <v>69</v>
      </c>
      <c r="Y556" s="4">
        <v>1</v>
      </c>
      <c r="Z556" s="4">
        <v>1</v>
      </c>
      <c r="AA556" s="4">
        <v>1</v>
      </c>
      <c r="AB556" s="4">
        <v>1</v>
      </c>
      <c r="AC556" s="4">
        <v>1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3" t="s">
        <v>63</v>
      </c>
      <c r="AS556" s="3" t="s">
        <v>63</v>
      </c>
      <c r="AT556" s="3" t="s">
        <v>63</v>
      </c>
      <c r="AV556" s="6" t="str">
        <f>HYPERLINK("http://mcgill.on.worldcat.org/oclc/61590834","Catalog Record")</f>
        <v>Catalog Record</v>
      </c>
      <c r="AW556" s="6" t="str">
        <f>HYPERLINK("http://www.worldcat.org/oclc/61590834","WorldCat Record")</f>
        <v>WorldCat Record</v>
      </c>
      <c r="AX556" s="3" t="s">
        <v>5688</v>
      </c>
      <c r="AY556" s="3" t="s">
        <v>5689</v>
      </c>
      <c r="AZ556" s="3" t="s">
        <v>5690</v>
      </c>
      <c r="BA556" s="3" t="s">
        <v>5690</v>
      </c>
      <c r="BB556" s="3" t="s">
        <v>5691</v>
      </c>
      <c r="BC556" s="3" t="s">
        <v>82</v>
      </c>
      <c r="BD556" s="3" t="s">
        <v>70</v>
      </c>
      <c r="BF556" s="3" t="s">
        <v>5691</v>
      </c>
      <c r="BG556" s="3" t="s">
        <v>5692</v>
      </c>
    </row>
    <row r="557" spans="1:59" ht="60" x14ac:dyDescent="0.25">
      <c r="A557" s="2" t="s">
        <v>59</v>
      </c>
      <c r="B557" s="2" t="s">
        <v>60</v>
      </c>
      <c r="C557" s="2" t="s">
        <v>5681</v>
      </c>
      <c r="D557" s="2" t="s">
        <v>5682</v>
      </c>
      <c r="E557" s="2" t="s">
        <v>5683</v>
      </c>
      <c r="F557" s="3" t="s">
        <v>5693</v>
      </c>
      <c r="G557" s="3" t="s">
        <v>62</v>
      </c>
      <c r="I557" s="3" t="s">
        <v>63</v>
      </c>
      <c r="J557" s="3" t="s">
        <v>63</v>
      </c>
      <c r="K557" s="3" t="s">
        <v>64</v>
      </c>
      <c r="L557" s="2" t="s">
        <v>5685</v>
      </c>
      <c r="M557" s="2" t="s">
        <v>5686</v>
      </c>
      <c r="N557" s="3" t="s">
        <v>2144</v>
      </c>
      <c r="P557" s="3" t="s">
        <v>90</v>
      </c>
      <c r="R557" s="3" t="s">
        <v>67</v>
      </c>
      <c r="S557" s="4">
        <v>0</v>
      </c>
      <c r="T557" s="4">
        <v>1</v>
      </c>
      <c r="V557" s="5" t="s">
        <v>5687</v>
      </c>
      <c r="W557" s="5" t="s">
        <v>69</v>
      </c>
      <c r="X557" s="5" t="s">
        <v>69</v>
      </c>
      <c r="Y557" s="4">
        <v>1</v>
      </c>
      <c r="Z557" s="4">
        <v>1</v>
      </c>
      <c r="AA557" s="4">
        <v>1</v>
      </c>
      <c r="AB557" s="4">
        <v>1</v>
      </c>
      <c r="AC557" s="4">
        <v>1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3" t="s">
        <v>63</v>
      </c>
      <c r="AS557" s="3" t="s">
        <v>63</v>
      </c>
      <c r="AT557" s="3" t="s">
        <v>63</v>
      </c>
      <c r="AV557" s="6" t="str">
        <f>HYPERLINK("http://mcgill.on.worldcat.org/oclc/61590834","Catalog Record")</f>
        <v>Catalog Record</v>
      </c>
      <c r="AW557" s="6" t="str">
        <f>HYPERLINK("http://www.worldcat.org/oclc/61590834","WorldCat Record")</f>
        <v>WorldCat Record</v>
      </c>
      <c r="AX557" s="3" t="s">
        <v>5688</v>
      </c>
      <c r="AY557" s="3" t="s">
        <v>5689</v>
      </c>
      <c r="AZ557" s="3" t="s">
        <v>5690</v>
      </c>
      <c r="BA557" s="3" t="s">
        <v>5690</v>
      </c>
      <c r="BB557" s="3" t="s">
        <v>5694</v>
      </c>
      <c r="BC557" s="3" t="s">
        <v>82</v>
      </c>
      <c r="BD557" s="3" t="s">
        <v>70</v>
      </c>
      <c r="BF557" s="3" t="s">
        <v>5694</v>
      </c>
      <c r="BG557" s="3" t="s">
        <v>5695</v>
      </c>
    </row>
    <row r="558" spans="1:59" ht="60" x14ac:dyDescent="0.25">
      <c r="A558" s="2" t="s">
        <v>59</v>
      </c>
      <c r="B558" s="2" t="s">
        <v>60</v>
      </c>
      <c r="C558" s="2" t="s">
        <v>5681</v>
      </c>
      <c r="D558" s="2" t="s">
        <v>5682</v>
      </c>
      <c r="E558" s="2" t="s">
        <v>5683</v>
      </c>
      <c r="F558" s="3" t="s">
        <v>5696</v>
      </c>
      <c r="G558" s="3" t="s">
        <v>62</v>
      </c>
      <c r="I558" s="3" t="s">
        <v>63</v>
      </c>
      <c r="J558" s="3" t="s">
        <v>63</v>
      </c>
      <c r="K558" s="3" t="s">
        <v>64</v>
      </c>
      <c r="L558" s="2" t="s">
        <v>5685</v>
      </c>
      <c r="M558" s="2" t="s">
        <v>5686</v>
      </c>
      <c r="N558" s="3" t="s">
        <v>2144</v>
      </c>
      <c r="P558" s="3" t="s">
        <v>90</v>
      </c>
      <c r="R558" s="3" t="s">
        <v>67</v>
      </c>
      <c r="S558" s="4">
        <v>0</v>
      </c>
      <c r="T558" s="4">
        <v>1</v>
      </c>
      <c r="V558" s="5" t="s">
        <v>5687</v>
      </c>
      <c r="W558" s="5" t="s">
        <v>69</v>
      </c>
      <c r="X558" s="5" t="s">
        <v>69</v>
      </c>
      <c r="Y558" s="4">
        <v>1</v>
      </c>
      <c r="Z558" s="4">
        <v>1</v>
      </c>
      <c r="AA558" s="4">
        <v>1</v>
      </c>
      <c r="AB558" s="4">
        <v>1</v>
      </c>
      <c r="AC558" s="4">
        <v>1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3" t="s">
        <v>63</v>
      </c>
      <c r="AS558" s="3" t="s">
        <v>63</v>
      </c>
      <c r="AT558" s="3" t="s">
        <v>63</v>
      </c>
      <c r="AV558" s="6" t="str">
        <f>HYPERLINK("http://mcgill.on.worldcat.org/oclc/61590834","Catalog Record")</f>
        <v>Catalog Record</v>
      </c>
      <c r="AW558" s="6" t="str">
        <f>HYPERLINK("http://www.worldcat.org/oclc/61590834","WorldCat Record")</f>
        <v>WorldCat Record</v>
      </c>
      <c r="AX558" s="3" t="s">
        <v>5688</v>
      </c>
      <c r="AY558" s="3" t="s">
        <v>5689</v>
      </c>
      <c r="AZ558" s="3" t="s">
        <v>5690</v>
      </c>
      <c r="BA558" s="3" t="s">
        <v>5690</v>
      </c>
      <c r="BB558" s="3" t="s">
        <v>5697</v>
      </c>
      <c r="BC558" s="3" t="s">
        <v>82</v>
      </c>
      <c r="BD558" s="3" t="s">
        <v>70</v>
      </c>
      <c r="BF558" s="3" t="s">
        <v>5697</v>
      </c>
      <c r="BG558" s="3" t="s">
        <v>5698</v>
      </c>
    </row>
    <row r="559" spans="1:59" ht="60" x14ac:dyDescent="0.25">
      <c r="A559" s="2" t="s">
        <v>59</v>
      </c>
      <c r="B559" s="2" t="s">
        <v>60</v>
      </c>
      <c r="C559" s="2" t="s">
        <v>5681</v>
      </c>
      <c r="D559" s="2" t="s">
        <v>5682</v>
      </c>
      <c r="E559" s="2" t="s">
        <v>5683</v>
      </c>
      <c r="F559" s="3" t="s">
        <v>5699</v>
      </c>
      <c r="G559" s="3" t="s">
        <v>62</v>
      </c>
      <c r="I559" s="3" t="s">
        <v>63</v>
      </c>
      <c r="J559" s="3" t="s">
        <v>63</v>
      </c>
      <c r="K559" s="3" t="s">
        <v>64</v>
      </c>
      <c r="L559" s="2" t="s">
        <v>5685</v>
      </c>
      <c r="M559" s="2" t="s">
        <v>5686</v>
      </c>
      <c r="N559" s="3" t="s">
        <v>2144</v>
      </c>
      <c r="P559" s="3" t="s">
        <v>90</v>
      </c>
      <c r="R559" s="3" t="s">
        <v>67</v>
      </c>
      <c r="S559" s="4">
        <v>0</v>
      </c>
      <c r="T559" s="4">
        <v>1</v>
      </c>
      <c r="V559" s="5" t="s">
        <v>5687</v>
      </c>
      <c r="W559" s="5" t="s">
        <v>69</v>
      </c>
      <c r="X559" s="5" t="s">
        <v>69</v>
      </c>
      <c r="Y559" s="4">
        <v>1</v>
      </c>
      <c r="Z559" s="4">
        <v>1</v>
      </c>
      <c r="AA559" s="4">
        <v>1</v>
      </c>
      <c r="AB559" s="4">
        <v>1</v>
      </c>
      <c r="AC559" s="4">
        <v>1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3" t="s">
        <v>63</v>
      </c>
      <c r="AS559" s="3" t="s">
        <v>63</v>
      </c>
      <c r="AT559" s="3" t="s">
        <v>63</v>
      </c>
      <c r="AV559" s="6" t="str">
        <f>HYPERLINK("http://mcgill.on.worldcat.org/oclc/61590834","Catalog Record")</f>
        <v>Catalog Record</v>
      </c>
      <c r="AW559" s="6" t="str">
        <f>HYPERLINK("http://www.worldcat.org/oclc/61590834","WorldCat Record")</f>
        <v>WorldCat Record</v>
      </c>
      <c r="AX559" s="3" t="s">
        <v>5688</v>
      </c>
      <c r="AY559" s="3" t="s">
        <v>5689</v>
      </c>
      <c r="AZ559" s="3" t="s">
        <v>5690</v>
      </c>
      <c r="BA559" s="3" t="s">
        <v>5690</v>
      </c>
      <c r="BB559" s="3" t="s">
        <v>5700</v>
      </c>
      <c r="BC559" s="3" t="s">
        <v>82</v>
      </c>
      <c r="BD559" s="3" t="s">
        <v>70</v>
      </c>
      <c r="BF559" s="3" t="s">
        <v>5700</v>
      </c>
      <c r="BG559" s="3" t="s">
        <v>5701</v>
      </c>
    </row>
    <row r="560" spans="1:59" ht="60" x14ac:dyDescent="0.25">
      <c r="A560" s="2" t="s">
        <v>59</v>
      </c>
      <c r="B560" s="2" t="s">
        <v>60</v>
      </c>
      <c r="C560" s="2" t="s">
        <v>5681</v>
      </c>
      <c r="D560" s="2" t="s">
        <v>5682</v>
      </c>
      <c r="E560" s="2" t="s">
        <v>5683</v>
      </c>
      <c r="F560" s="3" t="s">
        <v>5702</v>
      </c>
      <c r="G560" s="3" t="s">
        <v>62</v>
      </c>
      <c r="I560" s="3" t="s">
        <v>63</v>
      </c>
      <c r="J560" s="3" t="s">
        <v>63</v>
      </c>
      <c r="K560" s="3" t="s">
        <v>64</v>
      </c>
      <c r="L560" s="2" t="s">
        <v>5685</v>
      </c>
      <c r="M560" s="2" t="s">
        <v>5686</v>
      </c>
      <c r="N560" s="3" t="s">
        <v>2144</v>
      </c>
      <c r="P560" s="3" t="s">
        <v>90</v>
      </c>
      <c r="R560" s="3" t="s">
        <v>67</v>
      </c>
      <c r="S560" s="4">
        <v>0</v>
      </c>
      <c r="T560" s="4">
        <v>1</v>
      </c>
      <c r="V560" s="5" t="s">
        <v>5687</v>
      </c>
      <c r="W560" s="5" t="s">
        <v>69</v>
      </c>
      <c r="X560" s="5" t="s">
        <v>69</v>
      </c>
      <c r="Y560" s="4">
        <v>1</v>
      </c>
      <c r="Z560" s="4">
        <v>1</v>
      </c>
      <c r="AA560" s="4">
        <v>1</v>
      </c>
      <c r="AB560" s="4">
        <v>1</v>
      </c>
      <c r="AC560" s="4">
        <v>1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3" t="s">
        <v>63</v>
      </c>
      <c r="AS560" s="3" t="s">
        <v>63</v>
      </c>
      <c r="AT560" s="3" t="s">
        <v>63</v>
      </c>
      <c r="AV560" s="6" t="str">
        <f>HYPERLINK("http://mcgill.on.worldcat.org/oclc/61590834","Catalog Record")</f>
        <v>Catalog Record</v>
      </c>
      <c r="AW560" s="6" t="str">
        <f>HYPERLINK("http://www.worldcat.org/oclc/61590834","WorldCat Record")</f>
        <v>WorldCat Record</v>
      </c>
      <c r="AX560" s="3" t="s">
        <v>5688</v>
      </c>
      <c r="AY560" s="3" t="s">
        <v>5689</v>
      </c>
      <c r="AZ560" s="3" t="s">
        <v>5690</v>
      </c>
      <c r="BA560" s="3" t="s">
        <v>5690</v>
      </c>
      <c r="BB560" s="3" t="s">
        <v>5703</v>
      </c>
      <c r="BC560" s="3" t="s">
        <v>82</v>
      </c>
      <c r="BD560" s="3" t="s">
        <v>70</v>
      </c>
      <c r="BF560" s="3" t="s">
        <v>5703</v>
      </c>
      <c r="BG560" s="3" t="s">
        <v>5704</v>
      </c>
    </row>
    <row r="561" spans="1:59" ht="60" x14ac:dyDescent="0.25">
      <c r="A561" s="2" t="s">
        <v>59</v>
      </c>
      <c r="B561" s="2" t="s">
        <v>60</v>
      </c>
      <c r="C561" s="2" t="s">
        <v>5681</v>
      </c>
      <c r="D561" s="2" t="s">
        <v>5682</v>
      </c>
      <c r="E561" s="2" t="s">
        <v>5683</v>
      </c>
      <c r="F561" s="3" t="s">
        <v>5705</v>
      </c>
      <c r="G561" s="3" t="s">
        <v>62</v>
      </c>
      <c r="I561" s="3" t="s">
        <v>63</v>
      </c>
      <c r="J561" s="3" t="s">
        <v>63</v>
      </c>
      <c r="K561" s="3" t="s">
        <v>64</v>
      </c>
      <c r="L561" s="2" t="s">
        <v>5685</v>
      </c>
      <c r="M561" s="2" t="s">
        <v>5686</v>
      </c>
      <c r="N561" s="3" t="s">
        <v>2144</v>
      </c>
      <c r="P561" s="3" t="s">
        <v>90</v>
      </c>
      <c r="R561" s="3" t="s">
        <v>67</v>
      </c>
      <c r="S561" s="4">
        <v>1</v>
      </c>
      <c r="T561" s="4">
        <v>1</v>
      </c>
      <c r="U561" s="5" t="s">
        <v>5687</v>
      </c>
      <c r="V561" s="5" t="s">
        <v>5687</v>
      </c>
      <c r="W561" s="5" t="s">
        <v>69</v>
      </c>
      <c r="X561" s="5" t="s">
        <v>69</v>
      </c>
      <c r="Y561" s="4">
        <v>1</v>
      </c>
      <c r="Z561" s="4">
        <v>1</v>
      </c>
      <c r="AA561" s="4">
        <v>1</v>
      </c>
      <c r="AB561" s="4">
        <v>1</v>
      </c>
      <c r="AC561" s="4">
        <v>1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3" t="s">
        <v>63</v>
      </c>
      <c r="AS561" s="3" t="s">
        <v>63</v>
      </c>
      <c r="AT561" s="3" t="s">
        <v>63</v>
      </c>
      <c r="AV561" s="6" t="str">
        <f>HYPERLINK("http://mcgill.on.worldcat.org/oclc/61590834","Catalog Record")</f>
        <v>Catalog Record</v>
      </c>
      <c r="AW561" s="6" t="str">
        <f>HYPERLINK("http://www.worldcat.org/oclc/61590834","WorldCat Record")</f>
        <v>WorldCat Record</v>
      </c>
      <c r="AX561" s="3" t="s">
        <v>5688</v>
      </c>
      <c r="AY561" s="3" t="s">
        <v>5689</v>
      </c>
      <c r="AZ561" s="3" t="s">
        <v>5690</v>
      </c>
      <c r="BA561" s="3" t="s">
        <v>5690</v>
      </c>
      <c r="BB561" s="3" t="s">
        <v>5706</v>
      </c>
      <c r="BC561" s="3" t="s">
        <v>82</v>
      </c>
      <c r="BD561" s="3" t="s">
        <v>70</v>
      </c>
      <c r="BF561" s="3" t="s">
        <v>5706</v>
      </c>
      <c r="BG561" s="3" t="s">
        <v>5707</v>
      </c>
    </row>
    <row r="562" spans="1:59" ht="60" x14ac:dyDescent="0.25">
      <c r="A562" s="2" t="s">
        <v>59</v>
      </c>
      <c r="B562" s="2" t="s">
        <v>60</v>
      </c>
      <c r="C562" s="2" t="s">
        <v>5681</v>
      </c>
      <c r="D562" s="2" t="s">
        <v>5682</v>
      </c>
      <c r="E562" s="2" t="s">
        <v>5683</v>
      </c>
      <c r="F562" s="3" t="s">
        <v>5708</v>
      </c>
      <c r="G562" s="3" t="s">
        <v>62</v>
      </c>
      <c r="I562" s="3" t="s">
        <v>63</v>
      </c>
      <c r="J562" s="3" t="s">
        <v>63</v>
      </c>
      <c r="K562" s="3" t="s">
        <v>64</v>
      </c>
      <c r="L562" s="2" t="s">
        <v>5685</v>
      </c>
      <c r="M562" s="2" t="s">
        <v>5686</v>
      </c>
      <c r="N562" s="3" t="s">
        <v>2144</v>
      </c>
      <c r="P562" s="3" t="s">
        <v>90</v>
      </c>
      <c r="R562" s="3" t="s">
        <v>67</v>
      </c>
      <c r="S562" s="4">
        <v>0</v>
      </c>
      <c r="T562" s="4">
        <v>1</v>
      </c>
      <c r="V562" s="5" t="s">
        <v>5687</v>
      </c>
      <c r="W562" s="5" t="s">
        <v>69</v>
      </c>
      <c r="X562" s="5" t="s">
        <v>69</v>
      </c>
      <c r="Y562" s="4">
        <v>1</v>
      </c>
      <c r="Z562" s="4">
        <v>1</v>
      </c>
      <c r="AA562" s="4">
        <v>1</v>
      </c>
      <c r="AB562" s="4">
        <v>1</v>
      </c>
      <c r="AC562" s="4">
        <v>1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3" t="s">
        <v>63</v>
      </c>
      <c r="AS562" s="3" t="s">
        <v>63</v>
      </c>
      <c r="AT562" s="3" t="s">
        <v>63</v>
      </c>
      <c r="AV562" s="6" t="str">
        <f>HYPERLINK("http://mcgill.on.worldcat.org/oclc/61590834","Catalog Record")</f>
        <v>Catalog Record</v>
      </c>
      <c r="AW562" s="6" t="str">
        <f>HYPERLINK("http://www.worldcat.org/oclc/61590834","WorldCat Record")</f>
        <v>WorldCat Record</v>
      </c>
      <c r="AX562" s="3" t="s">
        <v>5688</v>
      </c>
      <c r="AY562" s="3" t="s">
        <v>5689</v>
      </c>
      <c r="AZ562" s="3" t="s">
        <v>5690</v>
      </c>
      <c r="BA562" s="3" t="s">
        <v>5690</v>
      </c>
      <c r="BB562" s="3" t="s">
        <v>5709</v>
      </c>
      <c r="BC562" s="3" t="s">
        <v>82</v>
      </c>
      <c r="BD562" s="3" t="s">
        <v>70</v>
      </c>
      <c r="BF562" s="3" t="s">
        <v>5709</v>
      </c>
      <c r="BG562" s="3" t="s">
        <v>5710</v>
      </c>
    </row>
    <row r="563" spans="1:59" ht="60" x14ac:dyDescent="0.25">
      <c r="A563" s="2" t="s">
        <v>59</v>
      </c>
      <c r="B563" s="2" t="s">
        <v>60</v>
      </c>
      <c r="C563" s="2" t="s">
        <v>5681</v>
      </c>
      <c r="D563" s="2" t="s">
        <v>5682</v>
      </c>
      <c r="E563" s="2" t="s">
        <v>5683</v>
      </c>
      <c r="F563" s="3" t="s">
        <v>5711</v>
      </c>
      <c r="G563" s="3" t="s">
        <v>62</v>
      </c>
      <c r="I563" s="3" t="s">
        <v>63</v>
      </c>
      <c r="J563" s="3" t="s">
        <v>63</v>
      </c>
      <c r="K563" s="3" t="s">
        <v>64</v>
      </c>
      <c r="L563" s="2" t="s">
        <v>5685</v>
      </c>
      <c r="M563" s="2" t="s">
        <v>5686</v>
      </c>
      <c r="N563" s="3" t="s">
        <v>2144</v>
      </c>
      <c r="P563" s="3" t="s">
        <v>90</v>
      </c>
      <c r="R563" s="3" t="s">
        <v>67</v>
      </c>
      <c r="S563" s="4">
        <v>0</v>
      </c>
      <c r="T563" s="4">
        <v>1</v>
      </c>
      <c r="V563" s="5" t="s">
        <v>5687</v>
      </c>
      <c r="W563" s="5" t="s">
        <v>69</v>
      </c>
      <c r="X563" s="5" t="s">
        <v>69</v>
      </c>
      <c r="Y563" s="4">
        <v>1</v>
      </c>
      <c r="Z563" s="4">
        <v>1</v>
      </c>
      <c r="AA563" s="4">
        <v>1</v>
      </c>
      <c r="AB563" s="4">
        <v>1</v>
      </c>
      <c r="AC563" s="4">
        <v>1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3" t="s">
        <v>63</v>
      </c>
      <c r="AS563" s="3" t="s">
        <v>63</v>
      </c>
      <c r="AT563" s="3" t="s">
        <v>63</v>
      </c>
      <c r="AV563" s="6" t="str">
        <f>HYPERLINK("http://mcgill.on.worldcat.org/oclc/61590834","Catalog Record")</f>
        <v>Catalog Record</v>
      </c>
      <c r="AW563" s="6" t="str">
        <f>HYPERLINK("http://www.worldcat.org/oclc/61590834","WorldCat Record")</f>
        <v>WorldCat Record</v>
      </c>
      <c r="AX563" s="3" t="s">
        <v>5688</v>
      </c>
      <c r="AY563" s="3" t="s">
        <v>5689</v>
      </c>
      <c r="AZ563" s="3" t="s">
        <v>5690</v>
      </c>
      <c r="BA563" s="3" t="s">
        <v>5690</v>
      </c>
      <c r="BB563" s="3" t="s">
        <v>5712</v>
      </c>
      <c r="BC563" s="3" t="s">
        <v>82</v>
      </c>
      <c r="BD563" s="3" t="s">
        <v>70</v>
      </c>
      <c r="BF563" s="3" t="s">
        <v>5712</v>
      </c>
      <c r="BG563" s="3" t="s">
        <v>5713</v>
      </c>
    </row>
    <row r="564" spans="1:59" ht="60" x14ac:dyDescent="0.25">
      <c r="A564" s="2" t="s">
        <v>59</v>
      </c>
      <c r="B564" s="2" t="s">
        <v>60</v>
      </c>
      <c r="C564" s="2" t="s">
        <v>5681</v>
      </c>
      <c r="D564" s="2" t="s">
        <v>5682</v>
      </c>
      <c r="E564" s="2" t="s">
        <v>5683</v>
      </c>
      <c r="F564" s="3" t="s">
        <v>5714</v>
      </c>
      <c r="G564" s="3" t="s">
        <v>62</v>
      </c>
      <c r="I564" s="3" t="s">
        <v>63</v>
      </c>
      <c r="J564" s="3" t="s">
        <v>63</v>
      </c>
      <c r="K564" s="3" t="s">
        <v>64</v>
      </c>
      <c r="L564" s="2" t="s">
        <v>5685</v>
      </c>
      <c r="M564" s="2" t="s">
        <v>5686</v>
      </c>
      <c r="N564" s="3" t="s">
        <v>2144</v>
      </c>
      <c r="P564" s="3" t="s">
        <v>90</v>
      </c>
      <c r="R564" s="3" t="s">
        <v>67</v>
      </c>
      <c r="S564" s="4">
        <v>0</v>
      </c>
      <c r="T564" s="4">
        <v>1</v>
      </c>
      <c r="V564" s="5" t="s">
        <v>5687</v>
      </c>
      <c r="W564" s="5" t="s">
        <v>69</v>
      </c>
      <c r="X564" s="5" t="s">
        <v>69</v>
      </c>
      <c r="Y564" s="4">
        <v>1</v>
      </c>
      <c r="Z564" s="4">
        <v>1</v>
      </c>
      <c r="AA564" s="4">
        <v>1</v>
      </c>
      <c r="AB564" s="4">
        <v>1</v>
      </c>
      <c r="AC564" s="4">
        <v>1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3" t="s">
        <v>63</v>
      </c>
      <c r="AS564" s="3" t="s">
        <v>63</v>
      </c>
      <c r="AT564" s="3" t="s">
        <v>63</v>
      </c>
      <c r="AV564" s="6" t="str">
        <f>HYPERLINK("http://mcgill.on.worldcat.org/oclc/61590834","Catalog Record")</f>
        <v>Catalog Record</v>
      </c>
      <c r="AW564" s="6" t="str">
        <f>HYPERLINK("http://www.worldcat.org/oclc/61590834","WorldCat Record")</f>
        <v>WorldCat Record</v>
      </c>
      <c r="AX564" s="3" t="s">
        <v>5688</v>
      </c>
      <c r="AY564" s="3" t="s">
        <v>5689</v>
      </c>
      <c r="AZ564" s="3" t="s">
        <v>5690</v>
      </c>
      <c r="BA564" s="3" t="s">
        <v>5690</v>
      </c>
      <c r="BB564" s="3" t="s">
        <v>5715</v>
      </c>
      <c r="BC564" s="3" t="s">
        <v>82</v>
      </c>
      <c r="BD564" s="3" t="s">
        <v>70</v>
      </c>
      <c r="BF564" s="3" t="s">
        <v>5715</v>
      </c>
      <c r="BG564" s="3" t="s">
        <v>5716</v>
      </c>
    </row>
    <row r="565" spans="1:59" ht="60" x14ac:dyDescent="0.25">
      <c r="A565" s="2" t="s">
        <v>59</v>
      </c>
      <c r="B565" s="2" t="s">
        <v>60</v>
      </c>
      <c r="C565" s="2" t="s">
        <v>5717</v>
      </c>
      <c r="D565" s="2" t="s">
        <v>5718</v>
      </c>
      <c r="E565" s="2" t="s">
        <v>5719</v>
      </c>
      <c r="G565" s="3" t="s">
        <v>63</v>
      </c>
      <c r="I565" s="3" t="s">
        <v>63</v>
      </c>
      <c r="J565" s="3" t="s">
        <v>63</v>
      </c>
      <c r="K565" s="3" t="s">
        <v>64</v>
      </c>
      <c r="L565" s="2" t="s">
        <v>5720</v>
      </c>
      <c r="M565" s="2" t="s">
        <v>5721</v>
      </c>
      <c r="N565" s="3" t="s">
        <v>706</v>
      </c>
      <c r="P565" s="3" t="s">
        <v>90</v>
      </c>
      <c r="R565" s="3" t="s">
        <v>67</v>
      </c>
      <c r="S565" s="4">
        <v>12</v>
      </c>
      <c r="T565" s="4">
        <v>12</v>
      </c>
      <c r="U565" s="5" t="s">
        <v>5722</v>
      </c>
      <c r="V565" s="5" t="s">
        <v>5722</v>
      </c>
      <c r="W565" s="5" t="s">
        <v>69</v>
      </c>
      <c r="X565" s="5" t="s">
        <v>69</v>
      </c>
      <c r="Y565" s="4">
        <v>84</v>
      </c>
      <c r="Z565" s="4">
        <v>9</v>
      </c>
      <c r="AA565" s="4">
        <v>10</v>
      </c>
      <c r="AB565" s="4">
        <v>1</v>
      </c>
      <c r="AC565" s="4">
        <v>1</v>
      </c>
      <c r="AD565" s="4">
        <v>60</v>
      </c>
      <c r="AE565" s="4">
        <v>61</v>
      </c>
      <c r="AF565" s="4">
        <v>0</v>
      </c>
      <c r="AG565" s="4">
        <v>0</v>
      </c>
      <c r="AH565" s="4">
        <v>56</v>
      </c>
      <c r="AI565" s="4">
        <v>57</v>
      </c>
      <c r="AJ565" s="4">
        <v>7</v>
      </c>
      <c r="AK565" s="4">
        <v>8</v>
      </c>
      <c r="AL565" s="4">
        <v>38</v>
      </c>
      <c r="AM565" s="4">
        <v>38</v>
      </c>
      <c r="AN565" s="4">
        <v>0</v>
      </c>
      <c r="AO565" s="4">
        <v>0</v>
      </c>
      <c r="AP565" s="4">
        <v>7</v>
      </c>
      <c r="AQ565" s="4">
        <v>8</v>
      </c>
      <c r="AR565" s="3" t="s">
        <v>63</v>
      </c>
      <c r="AS565" s="3" t="s">
        <v>63</v>
      </c>
      <c r="AT565" s="3" t="s">
        <v>62</v>
      </c>
      <c r="AU565" s="6" t="str">
        <f>HYPERLINK("http://catalog.hathitrust.org/Record/000866956","HathiTrust Record")</f>
        <v>HathiTrust Record</v>
      </c>
      <c r="AV565" s="6" t="str">
        <f>HYPERLINK("http://mcgill.on.worldcat.org/oclc/15630057","Catalog Record")</f>
        <v>Catalog Record</v>
      </c>
      <c r="AW565" s="6" t="str">
        <f>HYPERLINK("http://www.worldcat.org/oclc/15630057","WorldCat Record")</f>
        <v>WorldCat Record</v>
      </c>
      <c r="AX565" s="3" t="s">
        <v>5723</v>
      </c>
      <c r="AY565" s="3" t="s">
        <v>5724</v>
      </c>
      <c r="AZ565" s="3" t="s">
        <v>5725</v>
      </c>
      <c r="BA565" s="3" t="s">
        <v>5725</v>
      </c>
      <c r="BB565" s="3" t="s">
        <v>5726</v>
      </c>
      <c r="BC565" s="3" t="s">
        <v>82</v>
      </c>
      <c r="BD565" s="3" t="s">
        <v>70</v>
      </c>
      <c r="BF565" s="3" t="s">
        <v>5726</v>
      </c>
      <c r="BG565" s="3" t="s">
        <v>5727</v>
      </c>
    </row>
    <row r="566" spans="1:59" ht="60" x14ac:dyDescent="0.25">
      <c r="A566" s="2" t="s">
        <v>59</v>
      </c>
      <c r="B566" s="2" t="s">
        <v>60</v>
      </c>
      <c r="C566" s="2" t="s">
        <v>5728</v>
      </c>
      <c r="D566" s="2" t="s">
        <v>5729</v>
      </c>
      <c r="E566" s="2" t="s">
        <v>5730</v>
      </c>
      <c r="G566" s="3" t="s">
        <v>63</v>
      </c>
      <c r="I566" s="3" t="s">
        <v>63</v>
      </c>
      <c r="J566" s="3" t="s">
        <v>63</v>
      </c>
      <c r="K566" s="3" t="s">
        <v>64</v>
      </c>
      <c r="L566" s="2" t="s">
        <v>5731</v>
      </c>
      <c r="M566" s="2" t="s">
        <v>5732</v>
      </c>
      <c r="N566" s="3" t="s">
        <v>234</v>
      </c>
      <c r="P566" s="3" t="s">
        <v>90</v>
      </c>
      <c r="R566" s="3" t="s">
        <v>67</v>
      </c>
      <c r="S566" s="4">
        <v>8</v>
      </c>
      <c r="T566" s="4">
        <v>8</v>
      </c>
      <c r="U566" s="5" t="s">
        <v>4990</v>
      </c>
      <c r="V566" s="5" t="s">
        <v>4990</v>
      </c>
      <c r="W566" s="5" t="s">
        <v>69</v>
      </c>
      <c r="X566" s="5" t="s">
        <v>69</v>
      </c>
      <c r="Y566" s="4">
        <v>56</v>
      </c>
      <c r="Z566" s="4">
        <v>7</v>
      </c>
      <c r="AA566" s="4">
        <v>7</v>
      </c>
      <c r="AB566" s="4">
        <v>1</v>
      </c>
      <c r="AC566" s="4">
        <v>1</v>
      </c>
      <c r="AD566" s="4">
        <v>43</v>
      </c>
      <c r="AE566" s="4">
        <v>43</v>
      </c>
      <c r="AF566" s="4">
        <v>0</v>
      </c>
      <c r="AG566" s="4">
        <v>0</v>
      </c>
      <c r="AH566" s="4">
        <v>40</v>
      </c>
      <c r="AI566" s="4">
        <v>40</v>
      </c>
      <c r="AJ566" s="4">
        <v>5</v>
      </c>
      <c r="AK566" s="4">
        <v>5</v>
      </c>
      <c r="AL566" s="4">
        <v>32</v>
      </c>
      <c r="AM566" s="4">
        <v>32</v>
      </c>
      <c r="AN566" s="4">
        <v>0</v>
      </c>
      <c r="AO566" s="4">
        <v>0</v>
      </c>
      <c r="AP566" s="4">
        <v>5</v>
      </c>
      <c r="AQ566" s="4">
        <v>5</v>
      </c>
      <c r="AR566" s="3" t="s">
        <v>63</v>
      </c>
      <c r="AS566" s="3" t="s">
        <v>63</v>
      </c>
      <c r="AT566" s="3" t="s">
        <v>62</v>
      </c>
      <c r="AU566" s="6" t="str">
        <f>HYPERLINK("http://catalog.hathitrust.org/Record/005596755","HathiTrust Record")</f>
        <v>HathiTrust Record</v>
      </c>
      <c r="AV566" s="6" t="str">
        <f>HYPERLINK("http://mcgill.on.worldcat.org/oclc/74896775","Catalog Record")</f>
        <v>Catalog Record</v>
      </c>
      <c r="AW566" s="6" t="str">
        <f>HYPERLINK("http://www.worldcat.org/oclc/74896775","WorldCat Record")</f>
        <v>WorldCat Record</v>
      </c>
      <c r="AX566" s="3" t="s">
        <v>5733</v>
      </c>
      <c r="AY566" s="3" t="s">
        <v>5734</v>
      </c>
      <c r="AZ566" s="3" t="s">
        <v>5735</v>
      </c>
      <c r="BA566" s="3" t="s">
        <v>5735</v>
      </c>
      <c r="BB566" s="3" t="s">
        <v>5736</v>
      </c>
      <c r="BC566" s="3" t="s">
        <v>82</v>
      </c>
      <c r="BD566" s="3" t="s">
        <v>70</v>
      </c>
      <c r="BE566" s="3" t="s">
        <v>5737</v>
      </c>
      <c r="BF566" s="3" t="s">
        <v>5736</v>
      </c>
      <c r="BG566" s="3" t="s">
        <v>5738</v>
      </c>
    </row>
    <row r="567" spans="1:59" ht="60" x14ac:dyDescent="0.25">
      <c r="A567" s="2" t="s">
        <v>59</v>
      </c>
      <c r="B567" s="2" t="s">
        <v>60</v>
      </c>
      <c r="C567" s="2" t="s">
        <v>5739</v>
      </c>
      <c r="D567" s="2" t="s">
        <v>5740</v>
      </c>
      <c r="E567" s="2" t="s">
        <v>5741</v>
      </c>
      <c r="G567" s="3" t="s">
        <v>63</v>
      </c>
      <c r="I567" s="3" t="s">
        <v>63</v>
      </c>
      <c r="J567" s="3" t="s">
        <v>62</v>
      </c>
      <c r="K567" s="3" t="s">
        <v>64</v>
      </c>
      <c r="L567" s="2" t="s">
        <v>5571</v>
      </c>
      <c r="M567" s="2" t="s">
        <v>5742</v>
      </c>
      <c r="N567" s="3" t="s">
        <v>2535</v>
      </c>
      <c r="P567" s="3" t="s">
        <v>66</v>
      </c>
      <c r="R567" s="3" t="s">
        <v>67</v>
      </c>
      <c r="S567" s="4">
        <v>11</v>
      </c>
      <c r="T567" s="4">
        <v>11</v>
      </c>
      <c r="U567" s="5" t="s">
        <v>5743</v>
      </c>
      <c r="V567" s="5" t="s">
        <v>5743</v>
      </c>
      <c r="W567" s="5" t="s">
        <v>69</v>
      </c>
      <c r="X567" s="5" t="s">
        <v>69</v>
      </c>
      <c r="Y567" s="4">
        <v>837</v>
      </c>
      <c r="Z567" s="4">
        <v>21</v>
      </c>
      <c r="AA567" s="4">
        <v>40</v>
      </c>
      <c r="AB567" s="4">
        <v>2</v>
      </c>
      <c r="AC567" s="4">
        <v>4</v>
      </c>
      <c r="AD567" s="4">
        <v>95</v>
      </c>
      <c r="AE567" s="4">
        <v>127</v>
      </c>
      <c r="AF567" s="4">
        <v>1</v>
      </c>
      <c r="AG567" s="4">
        <v>3</v>
      </c>
      <c r="AH567" s="4">
        <v>82</v>
      </c>
      <c r="AI567" s="4">
        <v>104</v>
      </c>
      <c r="AJ567" s="4">
        <v>8</v>
      </c>
      <c r="AK567" s="4">
        <v>21</v>
      </c>
      <c r="AL567" s="4">
        <v>44</v>
      </c>
      <c r="AM567" s="4">
        <v>55</v>
      </c>
      <c r="AN567" s="4">
        <v>0</v>
      </c>
      <c r="AO567" s="4">
        <v>0</v>
      </c>
      <c r="AP567" s="4">
        <v>12</v>
      </c>
      <c r="AQ567" s="4">
        <v>27</v>
      </c>
      <c r="AR567" s="3" t="s">
        <v>63</v>
      </c>
      <c r="AS567" s="3" t="s">
        <v>63</v>
      </c>
      <c r="AT567" s="3" t="s">
        <v>62</v>
      </c>
      <c r="AU567" s="6" t="str">
        <f>HYPERLINK("http://catalog.hathitrust.org/Record/000980740","HathiTrust Record")</f>
        <v>HathiTrust Record</v>
      </c>
      <c r="AV567" s="6" t="str">
        <f>HYPERLINK("http://mcgill.on.worldcat.org/oclc/702855","Catalog Record")</f>
        <v>Catalog Record</v>
      </c>
      <c r="AW567" s="6" t="str">
        <f>HYPERLINK("http://www.worldcat.org/oclc/702855","WorldCat Record")</f>
        <v>WorldCat Record</v>
      </c>
      <c r="AX567" s="3" t="s">
        <v>5744</v>
      </c>
      <c r="AY567" s="3" t="s">
        <v>5745</v>
      </c>
      <c r="AZ567" s="3" t="s">
        <v>5746</v>
      </c>
      <c r="BA567" s="3" t="s">
        <v>5746</v>
      </c>
      <c r="BB567" s="3" t="s">
        <v>5747</v>
      </c>
      <c r="BC567" s="3" t="s">
        <v>82</v>
      </c>
      <c r="BD567" s="3" t="s">
        <v>70</v>
      </c>
      <c r="BE567" s="3" t="s">
        <v>5748</v>
      </c>
      <c r="BF567" s="3" t="s">
        <v>5747</v>
      </c>
      <c r="BG567" s="3" t="s">
        <v>5749</v>
      </c>
    </row>
    <row r="568" spans="1:59" ht="75" x14ac:dyDescent="0.25">
      <c r="A568" s="2" t="s">
        <v>59</v>
      </c>
      <c r="B568" s="2" t="s">
        <v>60</v>
      </c>
      <c r="C568" s="2" t="s">
        <v>5750</v>
      </c>
      <c r="D568" s="2" t="s">
        <v>5751</v>
      </c>
      <c r="E568" s="2" t="s">
        <v>5752</v>
      </c>
      <c r="G568" s="3" t="s">
        <v>63</v>
      </c>
      <c r="I568" s="3" t="s">
        <v>63</v>
      </c>
      <c r="J568" s="3" t="s">
        <v>63</v>
      </c>
      <c r="K568" s="3" t="s">
        <v>64</v>
      </c>
      <c r="M568" s="2" t="s">
        <v>5753</v>
      </c>
      <c r="N568" s="3" t="s">
        <v>161</v>
      </c>
      <c r="P568" s="3" t="s">
        <v>66</v>
      </c>
      <c r="R568" s="3" t="s">
        <v>67</v>
      </c>
      <c r="S568" s="4">
        <v>7</v>
      </c>
      <c r="T568" s="4">
        <v>7</v>
      </c>
      <c r="U568" s="5" t="s">
        <v>5754</v>
      </c>
      <c r="V568" s="5" t="s">
        <v>5754</v>
      </c>
      <c r="W568" s="5" t="s">
        <v>69</v>
      </c>
      <c r="X568" s="5" t="s">
        <v>69</v>
      </c>
      <c r="Y568" s="4">
        <v>158</v>
      </c>
      <c r="Z568" s="4">
        <v>18</v>
      </c>
      <c r="AA568" s="4">
        <v>18</v>
      </c>
      <c r="AB568" s="4">
        <v>2</v>
      </c>
      <c r="AC568" s="4">
        <v>2</v>
      </c>
      <c r="AD568" s="4">
        <v>83</v>
      </c>
      <c r="AE568" s="4">
        <v>83</v>
      </c>
      <c r="AF568" s="4">
        <v>0</v>
      </c>
      <c r="AG568" s="4">
        <v>0</v>
      </c>
      <c r="AH568" s="4">
        <v>76</v>
      </c>
      <c r="AI568" s="4">
        <v>76</v>
      </c>
      <c r="AJ568" s="4">
        <v>15</v>
      </c>
      <c r="AK568" s="4">
        <v>15</v>
      </c>
      <c r="AL568" s="4">
        <v>45</v>
      </c>
      <c r="AM568" s="4">
        <v>45</v>
      </c>
      <c r="AN568" s="4">
        <v>2</v>
      </c>
      <c r="AO568" s="4">
        <v>2</v>
      </c>
      <c r="AP568" s="4">
        <v>15</v>
      </c>
      <c r="AQ568" s="4">
        <v>15</v>
      </c>
      <c r="AR568" s="3" t="s">
        <v>63</v>
      </c>
      <c r="AS568" s="3" t="s">
        <v>63</v>
      </c>
      <c r="AT568" s="3" t="s">
        <v>62</v>
      </c>
      <c r="AU568" s="6" t="str">
        <f>HYPERLINK("http://catalog.hathitrust.org/Record/002219413","HathiTrust Record")</f>
        <v>HathiTrust Record</v>
      </c>
      <c r="AV568" s="6" t="str">
        <f>HYPERLINK("http://mcgill.on.worldcat.org/oclc/21082408","Catalog Record")</f>
        <v>Catalog Record</v>
      </c>
      <c r="AW568" s="6" t="str">
        <f>HYPERLINK("http://www.worldcat.org/oclc/21082408","WorldCat Record")</f>
        <v>WorldCat Record</v>
      </c>
      <c r="AX568" s="3" t="s">
        <v>5755</v>
      </c>
      <c r="AY568" s="3" t="s">
        <v>5756</v>
      </c>
      <c r="AZ568" s="3" t="s">
        <v>5757</v>
      </c>
      <c r="BA568" s="3" t="s">
        <v>5757</v>
      </c>
      <c r="BB568" s="3" t="s">
        <v>5758</v>
      </c>
      <c r="BC568" s="3" t="s">
        <v>82</v>
      </c>
      <c r="BD568" s="3" t="s">
        <v>70</v>
      </c>
      <c r="BE568" s="3" t="s">
        <v>5759</v>
      </c>
      <c r="BF568" s="3" t="s">
        <v>5758</v>
      </c>
      <c r="BG568" s="3" t="s">
        <v>5760</v>
      </c>
    </row>
    <row r="569" spans="1:59" ht="75" x14ac:dyDescent="0.25">
      <c r="A569" s="2" t="s">
        <v>59</v>
      </c>
      <c r="B569" s="2" t="s">
        <v>60</v>
      </c>
      <c r="C569" s="2" t="s">
        <v>5761</v>
      </c>
      <c r="D569" s="2" t="s">
        <v>5762</v>
      </c>
      <c r="E569" s="2" t="s">
        <v>5763</v>
      </c>
      <c r="G569" s="3" t="s">
        <v>63</v>
      </c>
      <c r="I569" s="3" t="s">
        <v>63</v>
      </c>
      <c r="J569" s="3" t="s">
        <v>63</v>
      </c>
      <c r="K569" s="3" t="s">
        <v>64</v>
      </c>
      <c r="L569" s="2" t="s">
        <v>5764</v>
      </c>
      <c r="M569" s="2" t="s">
        <v>5765</v>
      </c>
      <c r="N569" s="3" t="s">
        <v>313</v>
      </c>
      <c r="P569" s="3" t="s">
        <v>90</v>
      </c>
      <c r="Q569" s="2" t="s">
        <v>5766</v>
      </c>
      <c r="R569" s="3" t="s">
        <v>67</v>
      </c>
      <c r="S569" s="4">
        <v>0</v>
      </c>
      <c r="T569" s="4">
        <v>0</v>
      </c>
      <c r="W569" s="5" t="s">
        <v>69</v>
      </c>
      <c r="X569" s="5" t="s">
        <v>69</v>
      </c>
      <c r="Y569" s="4">
        <v>12</v>
      </c>
      <c r="Z569" s="4">
        <v>1</v>
      </c>
      <c r="AA569" s="4">
        <v>1</v>
      </c>
      <c r="AB569" s="4">
        <v>1</v>
      </c>
      <c r="AC569" s="4">
        <v>1</v>
      </c>
      <c r="AD569" s="4">
        <v>10</v>
      </c>
      <c r="AE569" s="4">
        <v>10</v>
      </c>
      <c r="AF569" s="4">
        <v>0</v>
      </c>
      <c r="AG569" s="4">
        <v>0</v>
      </c>
      <c r="AH569" s="4">
        <v>10</v>
      </c>
      <c r="AI569" s="4">
        <v>10</v>
      </c>
      <c r="AJ569" s="4">
        <v>0</v>
      </c>
      <c r="AK569" s="4">
        <v>0</v>
      </c>
      <c r="AL569" s="4">
        <v>10</v>
      </c>
      <c r="AM569" s="4">
        <v>10</v>
      </c>
      <c r="AN569" s="4">
        <v>0</v>
      </c>
      <c r="AO569" s="4">
        <v>0</v>
      </c>
      <c r="AP569" s="4">
        <v>0</v>
      </c>
      <c r="AQ569" s="4">
        <v>0</v>
      </c>
      <c r="AR569" s="3" t="s">
        <v>63</v>
      </c>
      <c r="AS569" s="3" t="s">
        <v>63</v>
      </c>
      <c r="AT569" s="3" t="s">
        <v>62</v>
      </c>
      <c r="AU569" s="6" t="str">
        <f>HYPERLINK("http://catalog.hathitrust.org/Record/011810493","HathiTrust Record")</f>
        <v>HathiTrust Record</v>
      </c>
      <c r="AV569" s="6" t="str">
        <f>HYPERLINK("http://mcgill.on.worldcat.org/oclc/670280761","Catalog Record")</f>
        <v>Catalog Record</v>
      </c>
      <c r="AW569" s="6" t="str">
        <f>HYPERLINK("http://www.worldcat.org/oclc/670280761","WorldCat Record")</f>
        <v>WorldCat Record</v>
      </c>
      <c r="AX569" s="3" t="s">
        <v>5767</v>
      </c>
      <c r="AY569" s="3" t="s">
        <v>5768</v>
      </c>
      <c r="AZ569" s="3" t="s">
        <v>5769</v>
      </c>
      <c r="BA569" s="3" t="s">
        <v>5769</v>
      </c>
      <c r="BB569" s="3" t="s">
        <v>5770</v>
      </c>
      <c r="BC569" s="3" t="s">
        <v>82</v>
      </c>
      <c r="BD569" s="3" t="s">
        <v>70</v>
      </c>
      <c r="BF569" s="3" t="s">
        <v>5770</v>
      </c>
      <c r="BG569" s="3" t="s">
        <v>5771</v>
      </c>
    </row>
    <row r="570" spans="1:59" ht="60" x14ac:dyDescent="0.25">
      <c r="A570" s="2" t="s">
        <v>59</v>
      </c>
      <c r="B570" s="2" t="s">
        <v>60</v>
      </c>
      <c r="C570" s="2" t="s">
        <v>5772</v>
      </c>
      <c r="D570" s="2" t="s">
        <v>5773</v>
      </c>
      <c r="E570" s="2" t="s">
        <v>5774</v>
      </c>
      <c r="G570" s="3" t="s">
        <v>63</v>
      </c>
      <c r="I570" s="3" t="s">
        <v>63</v>
      </c>
      <c r="J570" s="3" t="s">
        <v>63</v>
      </c>
      <c r="K570" s="3" t="s">
        <v>64</v>
      </c>
      <c r="L570" s="2" t="s">
        <v>5775</v>
      </c>
      <c r="M570" s="2" t="s">
        <v>5776</v>
      </c>
      <c r="N570" s="3" t="s">
        <v>629</v>
      </c>
      <c r="P570" s="3" t="s">
        <v>66</v>
      </c>
      <c r="Q570" s="2" t="s">
        <v>5777</v>
      </c>
      <c r="R570" s="3" t="s">
        <v>67</v>
      </c>
      <c r="S570" s="4">
        <v>0</v>
      </c>
      <c r="T570" s="4">
        <v>0</v>
      </c>
      <c r="W570" s="5" t="s">
        <v>69</v>
      </c>
      <c r="X570" s="5" t="s">
        <v>69</v>
      </c>
      <c r="Y570" s="4">
        <v>76</v>
      </c>
      <c r="Z570" s="4">
        <v>9</v>
      </c>
      <c r="AA570" s="4">
        <v>91</v>
      </c>
      <c r="AB570" s="4">
        <v>1</v>
      </c>
      <c r="AC570" s="4">
        <v>17</v>
      </c>
      <c r="AD570" s="4">
        <v>40</v>
      </c>
      <c r="AE570" s="4">
        <v>117</v>
      </c>
      <c r="AF570" s="4">
        <v>0</v>
      </c>
      <c r="AG570" s="4">
        <v>8</v>
      </c>
      <c r="AH570" s="4">
        <v>37</v>
      </c>
      <c r="AI570" s="4">
        <v>81</v>
      </c>
      <c r="AJ570" s="4">
        <v>7</v>
      </c>
      <c r="AK570" s="4">
        <v>23</v>
      </c>
      <c r="AL570" s="4">
        <v>27</v>
      </c>
      <c r="AM570" s="4">
        <v>46</v>
      </c>
      <c r="AN570" s="4">
        <v>0</v>
      </c>
      <c r="AO570" s="4">
        <v>0</v>
      </c>
      <c r="AP570" s="4">
        <v>7</v>
      </c>
      <c r="AQ570" s="4">
        <v>44</v>
      </c>
      <c r="AR570" s="3" t="s">
        <v>63</v>
      </c>
      <c r="AS570" s="3" t="s">
        <v>63</v>
      </c>
      <c r="AT570" s="3" t="s">
        <v>63</v>
      </c>
      <c r="AV570" s="6" t="str">
        <f>HYPERLINK("http://mcgill.on.worldcat.org/oclc/743298779","Catalog Record")</f>
        <v>Catalog Record</v>
      </c>
      <c r="AW570" s="6" t="str">
        <f>HYPERLINK("http://www.worldcat.org/oclc/743298779","WorldCat Record")</f>
        <v>WorldCat Record</v>
      </c>
      <c r="AX570" s="3" t="s">
        <v>5778</v>
      </c>
      <c r="AY570" s="3" t="s">
        <v>5779</v>
      </c>
      <c r="AZ570" s="3" t="s">
        <v>5780</v>
      </c>
      <c r="BA570" s="3" t="s">
        <v>5780</v>
      </c>
      <c r="BB570" s="3" t="s">
        <v>5781</v>
      </c>
      <c r="BC570" s="3" t="s">
        <v>82</v>
      </c>
      <c r="BD570" s="3" t="s">
        <v>70</v>
      </c>
      <c r="BE570" s="3" t="s">
        <v>5782</v>
      </c>
      <c r="BF570" s="3" t="s">
        <v>5781</v>
      </c>
      <c r="BG570" s="3" t="s">
        <v>5783</v>
      </c>
    </row>
    <row r="571" spans="1:59" ht="60" x14ac:dyDescent="0.25">
      <c r="A571" s="2" t="s">
        <v>59</v>
      </c>
      <c r="B571" s="2" t="s">
        <v>60</v>
      </c>
      <c r="C571" s="2" t="s">
        <v>5784</v>
      </c>
      <c r="D571" s="2" t="s">
        <v>5785</v>
      </c>
      <c r="E571" s="2" t="s">
        <v>5786</v>
      </c>
      <c r="G571" s="3" t="s">
        <v>63</v>
      </c>
      <c r="I571" s="3" t="s">
        <v>63</v>
      </c>
      <c r="J571" s="3" t="s">
        <v>63</v>
      </c>
      <c r="K571" s="3" t="s">
        <v>64</v>
      </c>
      <c r="L571" s="2" t="s">
        <v>5787</v>
      </c>
      <c r="M571" s="2" t="s">
        <v>5788</v>
      </c>
      <c r="N571" s="3" t="s">
        <v>1113</v>
      </c>
      <c r="P571" s="3" t="s">
        <v>90</v>
      </c>
      <c r="R571" s="3" t="s">
        <v>67</v>
      </c>
      <c r="S571" s="4">
        <v>1</v>
      </c>
      <c r="T571" s="4">
        <v>1</v>
      </c>
      <c r="U571" s="5" t="s">
        <v>5789</v>
      </c>
      <c r="V571" s="5" t="s">
        <v>5789</v>
      </c>
      <c r="W571" s="5" t="s">
        <v>69</v>
      </c>
      <c r="X571" s="5" t="s">
        <v>69</v>
      </c>
      <c r="Y571" s="4">
        <v>40</v>
      </c>
      <c r="Z571" s="4">
        <v>5</v>
      </c>
      <c r="AA571" s="4">
        <v>5</v>
      </c>
      <c r="AB571" s="4">
        <v>1</v>
      </c>
      <c r="AC571" s="4">
        <v>1</v>
      </c>
      <c r="AD571" s="4">
        <v>31</v>
      </c>
      <c r="AE571" s="4">
        <v>31</v>
      </c>
      <c r="AF571" s="4">
        <v>0</v>
      </c>
      <c r="AG571" s="4">
        <v>0</v>
      </c>
      <c r="AH571" s="4">
        <v>30</v>
      </c>
      <c r="AI571" s="4">
        <v>30</v>
      </c>
      <c r="AJ571" s="4">
        <v>4</v>
      </c>
      <c r="AK571" s="4">
        <v>4</v>
      </c>
      <c r="AL571" s="4">
        <v>20</v>
      </c>
      <c r="AM571" s="4">
        <v>20</v>
      </c>
      <c r="AN571" s="4">
        <v>0</v>
      </c>
      <c r="AO571" s="4">
        <v>0</v>
      </c>
      <c r="AP571" s="4">
        <v>4</v>
      </c>
      <c r="AQ571" s="4">
        <v>4</v>
      </c>
      <c r="AR571" s="3" t="s">
        <v>63</v>
      </c>
      <c r="AS571" s="3" t="s">
        <v>63</v>
      </c>
      <c r="AT571" s="3" t="s">
        <v>63</v>
      </c>
      <c r="AV571" s="6" t="str">
        <f>HYPERLINK("http://mcgill.on.worldcat.org/oclc/37598495","Catalog Record")</f>
        <v>Catalog Record</v>
      </c>
      <c r="AW571" s="6" t="str">
        <f>HYPERLINK("http://www.worldcat.org/oclc/37598495","WorldCat Record")</f>
        <v>WorldCat Record</v>
      </c>
      <c r="AX571" s="3" t="s">
        <v>5790</v>
      </c>
      <c r="AY571" s="3" t="s">
        <v>5791</v>
      </c>
      <c r="AZ571" s="3" t="s">
        <v>5792</v>
      </c>
      <c r="BA571" s="3" t="s">
        <v>5792</v>
      </c>
      <c r="BB571" s="3" t="s">
        <v>5793</v>
      </c>
      <c r="BC571" s="3" t="s">
        <v>82</v>
      </c>
      <c r="BD571" s="3" t="s">
        <v>70</v>
      </c>
      <c r="BE571" s="3" t="s">
        <v>5794</v>
      </c>
      <c r="BF571" s="3" t="s">
        <v>5793</v>
      </c>
      <c r="BG571" s="3" t="s">
        <v>5795</v>
      </c>
    </row>
    <row r="572" spans="1:59" ht="60" x14ac:dyDescent="0.25">
      <c r="A572" s="2" t="s">
        <v>59</v>
      </c>
      <c r="B572" s="2" t="s">
        <v>60</v>
      </c>
      <c r="C572" s="2" t="s">
        <v>5796</v>
      </c>
      <c r="D572" s="2" t="s">
        <v>5797</v>
      </c>
      <c r="E572" s="2" t="s">
        <v>5798</v>
      </c>
      <c r="G572" s="3" t="s">
        <v>63</v>
      </c>
      <c r="I572" s="3" t="s">
        <v>63</v>
      </c>
      <c r="J572" s="3" t="s">
        <v>63</v>
      </c>
      <c r="K572" s="3" t="s">
        <v>64</v>
      </c>
      <c r="L572" s="2" t="s">
        <v>5787</v>
      </c>
      <c r="M572" s="2" t="s">
        <v>5799</v>
      </c>
      <c r="N572" s="3" t="s">
        <v>313</v>
      </c>
      <c r="P572" s="3" t="s">
        <v>90</v>
      </c>
      <c r="Q572" s="2" t="s">
        <v>5800</v>
      </c>
      <c r="R572" s="3" t="s">
        <v>67</v>
      </c>
      <c r="S572" s="4">
        <v>0</v>
      </c>
      <c r="T572" s="4">
        <v>0</v>
      </c>
      <c r="W572" s="5" t="s">
        <v>69</v>
      </c>
      <c r="X572" s="5" t="s">
        <v>69</v>
      </c>
      <c r="Y572" s="4">
        <v>8</v>
      </c>
      <c r="Z572" s="4">
        <v>3</v>
      </c>
      <c r="AA572" s="4">
        <v>4</v>
      </c>
      <c r="AB572" s="4">
        <v>1</v>
      </c>
      <c r="AC572" s="4">
        <v>1</v>
      </c>
      <c r="AD572" s="4">
        <v>5</v>
      </c>
      <c r="AE572" s="4">
        <v>24</v>
      </c>
      <c r="AF572" s="4">
        <v>0</v>
      </c>
      <c r="AG572" s="4">
        <v>0</v>
      </c>
      <c r="AH572" s="4">
        <v>5</v>
      </c>
      <c r="AI572" s="4">
        <v>23</v>
      </c>
      <c r="AJ572" s="4">
        <v>2</v>
      </c>
      <c r="AK572" s="4">
        <v>3</v>
      </c>
      <c r="AL572" s="4">
        <v>2</v>
      </c>
      <c r="AM572" s="4">
        <v>17</v>
      </c>
      <c r="AN572" s="4">
        <v>0</v>
      </c>
      <c r="AO572" s="4">
        <v>0</v>
      </c>
      <c r="AP572" s="4">
        <v>2</v>
      </c>
      <c r="AQ572" s="4">
        <v>3</v>
      </c>
      <c r="AR572" s="3" t="s">
        <v>63</v>
      </c>
      <c r="AS572" s="3" t="s">
        <v>63</v>
      </c>
      <c r="AT572" s="3" t="s">
        <v>62</v>
      </c>
      <c r="AU572" s="6" t="str">
        <f>HYPERLINK("http://catalog.hathitrust.org/Record/009480056","HathiTrust Record")</f>
        <v>HathiTrust Record</v>
      </c>
      <c r="AV572" s="6" t="str">
        <f>HYPERLINK("http://mcgill.on.worldcat.org/oclc/608631779","Catalog Record")</f>
        <v>Catalog Record</v>
      </c>
      <c r="AW572" s="6" t="str">
        <f>HYPERLINK("http://www.worldcat.org/oclc/608631779","WorldCat Record")</f>
        <v>WorldCat Record</v>
      </c>
      <c r="AX572" s="3" t="s">
        <v>5801</v>
      </c>
      <c r="AY572" s="3" t="s">
        <v>5802</v>
      </c>
      <c r="AZ572" s="3" t="s">
        <v>5803</v>
      </c>
      <c r="BA572" s="3" t="s">
        <v>5803</v>
      </c>
      <c r="BB572" s="3" t="s">
        <v>5804</v>
      </c>
      <c r="BC572" s="3" t="s">
        <v>82</v>
      </c>
      <c r="BD572" s="3" t="s">
        <v>70</v>
      </c>
      <c r="BE572" s="3" t="s">
        <v>5805</v>
      </c>
      <c r="BF572" s="3" t="s">
        <v>5804</v>
      </c>
      <c r="BG572" s="3" t="s">
        <v>5806</v>
      </c>
    </row>
    <row r="573" spans="1:59" ht="60" x14ac:dyDescent="0.25">
      <c r="A573" s="2" t="s">
        <v>59</v>
      </c>
      <c r="B573" s="2" t="s">
        <v>60</v>
      </c>
      <c r="C573" s="2" t="s">
        <v>5807</v>
      </c>
      <c r="D573" s="2" t="s">
        <v>5808</v>
      </c>
      <c r="E573" s="2" t="s">
        <v>5809</v>
      </c>
      <c r="G573" s="3" t="s">
        <v>63</v>
      </c>
      <c r="I573" s="3" t="s">
        <v>63</v>
      </c>
      <c r="J573" s="3" t="s">
        <v>63</v>
      </c>
      <c r="K573" s="3" t="s">
        <v>64</v>
      </c>
      <c r="M573" s="2" t="s">
        <v>5810</v>
      </c>
      <c r="N573" s="3" t="s">
        <v>629</v>
      </c>
      <c r="P573" s="3" t="s">
        <v>90</v>
      </c>
      <c r="Q573" s="2" t="s">
        <v>5811</v>
      </c>
      <c r="R573" s="3" t="s">
        <v>67</v>
      </c>
      <c r="S573" s="4">
        <v>0</v>
      </c>
      <c r="T573" s="4">
        <v>0</v>
      </c>
      <c r="W573" s="5" t="s">
        <v>69</v>
      </c>
      <c r="X573" s="5" t="s">
        <v>69</v>
      </c>
      <c r="Y573" s="4">
        <v>41</v>
      </c>
      <c r="Z573" s="4">
        <v>6</v>
      </c>
      <c r="AA573" s="4">
        <v>6</v>
      </c>
      <c r="AB573" s="4">
        <v>1</v>
      </c>
      <c r="AC573" s="4">
        <v>1</v>
      </c>
      <c r="AD573" s="4">
        <v>31</v>
      </c>
      <c r="AE573" s="4">
        <v>31</v>
      </c>
      <c r="AF573" s="4">
        <v>0</v>
      </c>
      <c r="AG573" s="4">
        <v>0</v>
      </c>
      <c r="AH573" s="4">
        <v>29</v>
      </c>
      <c r="AI573" s="4">
        <v>29</v>
      </c>
      <c r="AJ573" s="4">
        <v>4</v>
      </c>
      <c r="AK573" s="4">
        <v>4</v>
      </c>
      <c r="AL573" s="4">
        <v>23</v>
      </c>
      <c r="AM573" s="4">
        <v>23</v>
      </c>
      <c r="AN573" s="4">
        <v>0</v>
      </c>
      <c r="AO573" s="4">
        <v>0</v>
      </c>
      <c r="AP573" s="4">
        <v>4</v>
      </c>
      <c r="AQ573" s="4">
        <v>4</v>
      </c>
      <c r="AR573" s="3" t="s">
        <v>63</v>
      </c>
      <c r="AS573" s="3" t="s">
        <v>63</v>
      </c>
      <c r="AT573" s="3" t="s">
        <v>63</v>
      </c>
      <c r="AV573" s="6" t="str">
        <f>HYPERLINK("http://mcgill.on.worldcat.org/oclc/706966580","Catalog Record")</f>
        <v>Catalog Record</v>
      </c>
      <c r="AW573" s="6" t="str">
        <f>HYPERLINK("http://www.worldcat.org/oclc/706966580","WorldCat Record")</f>
        <v>WorldCat Record</v>
      </c>
      <c r="AX573" s="3" t="s">
        <v>5812</v>
      </c>
      <c r="AY573" s="3" t="s">
        <v>5813</v>
      </c>
      <c r="AZ573" s="3" t="s">
        <v>5814</v>
      </c>
      <c r="BA573" s="3" t="s">
        <v>5814</v>
      </c>
      <c r="BB573" s="3" t="s">
        <v>5815</v>
      </c>
      <c r="BC573" s="3" t="s">
        <v>82</v>
      </c>
      <c r="BD573" s="3" t="s">
        <v>70</v>
      </c>
      <c r="BE573" s="3" t="s">
        <v>5816</v>
      </c>
      <c r="BF573" s="3" t="s">
        <v>5815</v>
      </c>
      <c r="BG573" s="3" t="s">
        <v>5817</v>
      </c>
    </row>
    <row r="574" spans="1:59" ht="60" x14ac:dyDescent="0.25">
      <c r="A574" s="2" t="s">
        <v>59</v>
      </c>
      <c r="B574" s="2" t="s">
        <v>60</v>
      </c>
      <c r="C574" s="2" t="s">
        <v>5818</v>
      </c>
      <c r="D574" s="2" t="s">
        <v>5819</v>
      </c>
      <c r="E574" s="2" t="s">
        <v>5820</v>
      </c>
      <c r="G574" s="3" t="s">
        <v>63</v>
      </c>
      <c r="I574" s="3" t="s">
        <v>63</v>
      </c>
      <c r="J574" s="3" t="s">
        <v>63</v>
      </c>
      <c r="K574" s="3" t="s">
        <v>64</v>
      </c>
      <c r="L574" s="2" t="s">
        <v>5821</v>
      </c>
      <c r="M574" s="2" t="s">
        <v>5822</v>
      </c>
      <c r="N574" s="3" t="s">
        <v>2765</v>
      </c>
      <c r="P574" s="3" t="s">
        <v>90</v>
      </c>
      <c r="R574" s="3" t="s">
        <v>67</v>
      </c>
      <c r="S574" s="4">
        <v>0</v>
      </c>
      <c r="T574" s="4">
        <v>0</v>
      </c>
      <c r="W574" s="5" t="s">
        <v>69</v>
      </c>
      <c r="X574" s="5" t="s">
        <v>69</v>
      </c>
      <c r="Y574" s="4">
        <v>30</v>
      </c>
      <c r="Z574" s="4">
        <v>3</v>
      </c>
      <c r="AA574" s="4">
        <v>3</v>
      </c>
      <c r="AB574" s="4">
        <v>1</v>
      </c>
      <c r="AC574" s="4">
        <v>1</v>
      </c>
      <c r="AD574" s="4">
        <v>21</v>
      </c>
      <c r="AE574" s="4">
        <v>21</v>
      </c>
      <c r="AF574" s="4">
        <v>0</v>
      </c>
      <c r="AG574" s="4">
        <v>0</v>
      </c>
      <c r="AH574" s="4">
        <v>20</v>
      </c>
      <c r="AI574" s="4">
        <v>20</v>
      </c>
      <c r="AJ574" s="4">
        <v>1</v>
      </c>
      <c r="AK574" s="4">
        <v>1</v>
      </c>
      <c r="AL574" s="4">
        <v>18</v>
      </c>
      <c r="AM574" s="4">
        <v>18</v>
      </c>
      <c r="AN574" s="4">
        <v>0</v>
      </c>
      <c r="AO574" s="4">
        <v>0</v>
      </c>
      <c r="AP574" s="4">
        <v>1</v>
      </c>
      <c r="AQ574" s="4">
        <v>1</v>
      </c>
      <c r="AR574" s="3" t="s">
        <v>63</v>
      </c>
      <c r="AS574" s="3" t="s">
        <v>63</v>
      </c>
      <c r="AT574" s="3" t="s">
        <v>63</v>
      </c>
      <c r="AV574" s="6" t="str">
        <f>HYPERLINK("http://mcgill.on.worldcat.org/oclc/934426659","Catalog Record")</f>
        <v>Catalog Record</v>
      </c>
      <c r="AW574" s="6" t="str">
        <f>HYPERLINK("http://www.worldcat.org/oclc/934426659","WorldCat Record")</f>
        <v>WorldCat Record</v>
      </c>
      <c r="AX574" s="3" t="s">
        <v>5823</v>
      </c>
      <c r="AY574" s="3" t="s">
        <v>5824</v>
      </c>
      <c r="AZ574" s="3" t="s">
        <v>5825</v>
      </c>
      <c r="BA574" s="3" t="s">
        <v>5825</v>
      </c>
      <c r="BB574" s="3" t="s">
        <v>5826</v>
      </c>
      <c r="BC574" s="3" t="s">
        <v>82</v>
      </c>
      <c r="BD574" s="3" t="s">
        <v>70</v>
      </c>
      <c r="BE574" s="3" t="s">
        <v>5827</v>
      </c>
      <c r="BF574" s="3" t="s">
        <v>5826</v>
      </c>
      <c r="BG574" s="3" t="s">
        <v>5828</v>
      </c>
    </row>
    <row r="575" spans="1:59" ht="60" x14ac:dyDescent="0.25">
      <c r="A575" s="2" t="s">
        <v>59</v>
      </c>
      <c r="B575" s="2" t="s">
        <v>60</v>
      </c>
      <c r="C575" s="2" t="s">
        <v>5829</v>
      </c>
      <c r="D575" s="2" t="s">
        <v>5830</v>
      </c>
      <c r="E575" s="2" t="s">
        <v>5831</v>
      </c>
      <c r="G575" s="3" t="s">
        <v>63</v>
      </c>
      <c r="I575" s="3" t="s">
        <v>63</v>
      </c>
      <c r="J575" s="3" t="s">
        <v>63</v>
      </c>
      <c r="K575" s="3" t="s">
        <v>64</v>
      </c>
      <c r="L575" s="2" t="s">
        <v>5832</v>
      </c>
      <c r="M575" s="2" t="s">
        <v>5833</v>
      </c>
      <c r="N575" s="3" t="s">
        <v>1343</v>
      </c>
      <c r="P575" s="3" t="s">
        <v>66</v>
      </c>
      <c r="Q575" s="2" t="s">
        <v>5834</v>
      </c>
      <c r="R575" s="3" t="s">
        <v>67</v>
      </c>
      <c r="S575" s="4">
        <v>13</v>
      </c>
      <c r="T575" s="4">
        <v>13</v>
      </c>
      <c r="U575" s="5" t="s">
        <v>5835</v>
      </c>
      <c r="V575" s="5" t="s">
        <v>5835</v>
      </c>
      <c r="W575" s="5" t="s">
        <v>69</v>
      </c>
      <c r="X575" s="5" t="s">
        <v>69</v>
      </c>
      <c r="Y575" s="4">
        <v>261</v>
      </c>
      <c r="Z575" s="4">
        <v>17</v>
      </c>
      <c r="AA575" s="4">
        <v>18</v>
      </c>
      <c r="AB575" s="4">
        <v>1</v>
      </c>
      <c r="AC575" s="4">
        <v>2</v>
      </c>
      <c r="AD575" s="4">
        <v>103</v>
      </c>
      <c r="AE575" s="4">
        <v>104</v>
      </c>
      <c r="AF575" s="4">
        <v>0</v>
      </c>
      <c r="AG575" s="4">
        <v>1</v>
      </c>
      <c r="AH575" s="4">
        <v>94</v>
      </c>
      <c r="AI575" s="4">
        <v>94</v>
      </c>
      <c r="AJ575" s="4">
        <v>13</v>
      </c>
      <c r="AK575" s="4">
        <v>14</v>
      </c>
      <c r="AL575" s="4">
        <v>51</v>
      </c>
      <c r="AM575" s="4">
        <v>51</v>
      </c>
      <c r="AN575" s="4">
        <v>0</v>
      </c>
      <c r="AO575" s="4">
        <v>0</v>
      </c>
      <c r="AP575" s="4">
        <v>14</v>
      </c>
      <c r="AQ575" s="4">
        <v>14</v>
      </c>
      <c r="AR575" s="3" t="s">
        <v>63</v>
      </c>
      <c r="AS575" s="3" t="s">
        <v>63</v>
      </c>
      <c r="AT575" s="3" t="s">
        <v>62</v>
      </c>
      <c r="AU575" s="6" t="str">
        <f>HYPERLINK("http://catalog.hathitrust.org/Record/004269512","HathiTrust Record")</f>
        <v>HathiTrust Record</v>
      </c>
      <c r="AV575" s="6" t="str">
        <f>HYPERLINK("http://mcgill.on.worldcat.org/oclc/42296618","Catalog Record")</f>
        <v>Catalog Record</v>
      </c>
      <c r="AW575" s="6" t="str">
        <f>HYPERLINK("http://www.worldcat.org/oclc/42296618","WorldCat Record")</f>
        <v>WorldCat Record</v>
      </c>
      <c r="AX575" s="3" t="s">
        <v>5836</v>
      </c>
      <c r="AY575" s="3" t="s">
        <v>5837</v>
      </c>
      <c r="AZ575" s="3" t="s">
        <v>5838</v>
      </c>
      <c r="BA575" s="3" t="s">
        <v>5838</v>
      </c>
      <c r="BB575" s="3" t="s">
        <v>5839</v>
      </c>
      <c r="BC575" s="3" t="s">
        <v>82</v>
      </c>
      <c r="BD575" s="3" t="s">
        <v>538</v>
      </c>
      <c r="BE575" s="3" t="s">
        <v>5840</v>
      </c>
      <c r="BF575" s="3" t="s">
        <v>5839</v>
      </c>
      <c r="BG575" s="3" t="s">
        <v>5841</v>
      </c>
    </row>
    <row r="576" spans="1:59" ht="60" x14ac:dyDescent="0.25">
      <c r="A576" s="2" t="s">
        <v>59</v>
      </c>
      <c r="B576" s="2" t="s">
        <v>60</v>
      </c>
      <c r="C576" s="2" t="s">
        <v>5842</v>
      </c>
      <c r="D576" s="2" t="s">
        <v>5843</v>
      </c>
      <c r="E576" s="2" t="s">
        <v>5844</v>
      </c>
      <c r="G576" s="3" t="s">
        <v>63</v>
      </c>
      <c r="I576" s="3" t="s">
        <v>63</v>
      </c>
      <c r="J576" s="3" t="s">
        <v>63</v>
      </c>
      <c r="K576" s="3" t="s">
        <v>64</v>
      </c>
      <c r="L576" s="2" t="s">
        <v>5845</v>
      </c>
      <c r="M576" s="2" t="s">
        <v>5846</v>
      </c>
      <c r="N576" s="3" t="s">
        <v>629</v>
      </c>
      <c r="P576" s="3" t="s">
        <v>90</v>
      </c>
      <c r="R576" s="3" t="s">
        <v>67</v>
      </c>
      <c r="S576" s="4">
        <v>0</v>
      </c>
      <c r="T576" s="4">
        <v>0</v>
      </c>
      <c r="W576" s="5" t="s">
        <v>69</v>
      </c>
      <c r="X576" s="5" t="s">
        <v>69</v>
      </c>
      <c r="Y576" s="4">
        <v>37</v>
      </c>
      <c r="Z576" s="4">
        <v>4</v>
      </c>
      <c r="AA576" s="4">
        <v>4</v>
      </c>
      <c r="AB576" s="4">
        <v>1</v>
      </c>
      <c r="AC576" s="4">
        <v>1</v>
      </c>
      <c r="AD576" s="4">
        <v>25</v>
      </c>
      <c r="AE576" s="4">
        <v>25</v>
      </c>
      <c r="AF576" s="4">
        <v>0</v>
      </c>
      <c r="AG576" s="4">
        <v>0</v>
      </c>
      <c r="AH576" s="4">
        <v>24</v>
      </c>
      <c r="AI576" s="4">
        <v>24</v>
      </c>
      <c r="AJ576" s="4">
        <v>2</v>
      </c>
      <c r="AK576" s="4">
        <v>2</v>
      </c>
      <c r="AL576" s="4">
        <v>21</v>
      </c>
      <c r="AM576" s="4">
        <v>21</v>
      </c>
      <c r="AN576" s="4">
        <v>0</v>
      </c>
      <c r="AO576" s="4">
        <v>0</v>
      </c>
      <c r="AP576" s="4">
        <v>2</v>
      </c>
      <c r="AQ576" s="4">
        <v>2</v>
      </c>
      <c r="AR576" s="3" t="s">
        <v>63</v>
      </c>
      <c r="AS576" s="3" t="s">
        <v>63</v>
      </c>
      <c r="AT576" s="3" t="s">
        <v>63</v>
      </c>
      <c r="AV576" s="6" t="str">
        <f>HYPERLINK("http://mcgill.on.worldcat.org/oclc/743393804","Catalog Record")</f>
        <v>Catalog Record</v>
      </c>
      <c r="AW576" s="6" t="str">
        <f>HYPERLINK("http://www.worldcat.org/oclc/743393804","WorldCat Record")</f>
        <v>WorldCat Record</v>
      </c>
      <c r="AX576" s="3" t="s">
        <v>5847</v>
      </c>
      <c r="AY576" s="3" t="s">
        <v>5848</v>
      </c>
      <c r="AZ576" s="3" t="s">
        <v>5849</v>
      </c>
      <c r="BA576" s="3" t="s">
        <v>5849</v>
      </c>
      <c r="BB576" s="3" t="s">
        <v>5850</v>
      </c>
      <c r="BC576" s="3" t="s">
        <v>82</v>
      </c>
      <c r="BD576" s="3" t="s">
        <v>70</v>
      </c>
      <c r="BE576" s="3" t="s">
        <v>5851</v>
      </c>
      <c r="BF576" s="3" t="s">
        <v>5850</v>
      </c>
      <c r="BG576" s="3" t="s">
        <v>5852</v>
      </c>
    </row>
    <row r="577" spans="1:59" ht="60" x14ac:dyDescent="0.25">
      <c r="A577" s="2" t="s">
        <v>59</v>
      </c>
      <c r="B577" s="2" t="s">
        <v>60</v>
      </c>
      <c r="C577" s="2" t="s">
        <v>5853</v>
      </c>
      <c r="D577" s="2" t="s">
        <v>5854</v>
      </c>
      <c r="E577" s="2" t="s">
        <v>5855</v>
      </c>
      <c r="G577" s="3" t="s">
        <v>63</v>
      </c>
      <c r="I577" s="3" t="s">
        <v>63</v>
      </c>
      <c r="J577" s="3" t="s">
        <v>63</v>
      </c>
      <c r="K577" s="3" t="s">
        <v>64</v>
      </c>
      <c r="L577" s="2" t="s">
        <v>5856</v>
      </c>
      <c r="M577" s="2" t="s">
        <v>5857</v>
      </c>
      <c r="N577" s="3" t="s">
        <v>106</v>
      </c>
      <c r="P577" s="3" t="s">
        <v>90</v>
      </c>
      <c r="R577" s="3" t="s">
        <v>67</v>
      </c>
      <c r="S577" s="4">
        <v>0</v>
      </c>
      <c r="T577" s="4">
        <v>0</v>
      </c>
      <c r="W577" s="5" t="s">
        <v>69</v>
      </c>
      <c r="X577" s="5" t="s">
        <v>69</v>
      </c>
      <c r="Y577" s="4">
        <v>26</v>
      </c>
      <c r="Z577" s="4">
        <v>1</v>
      </c>
      <c r="AA577" s="4">
        <v>1</v>
      </c>
      <c r="AB577" s="4">
        <v>1</v>
      </c>
      <c r="AC577" s="4">
        <v>1</v>
      </c>
      <c r="AD577" s="4">
        <v>22</v>
      </c>
      <c r="AE577" s="4">
        <v>22</v>
      </c>
      <c r="AF577" s="4">
        <v>0</v>
      </c>
      <c r="AG577" s="4">
        <v>0</v>
      </c>
      <c r="AH577" s="4">
        <v>21</v>
      </c>
      <c r="AI577" s="4">
        <v>21</v>
      </c>
      <c r="AJ577" s="4">
        <v>0</v>
      </c>
      <c r="AK577" s="4">
        <v>0</v>
      </c>
      <c r="AL577" s="4">
        <v>17</v>
      </c>
      <c r="AM577" s="4">
        <v>17</v>
      </c>
      <c r="AN577" s="4">
        <v>0</v>
      </c>
      <c r="AO577" s="4">
        <v>0</v>
      </c>
      <c r="AP577" s="4">
        <v>0</v>
      </c>
      <c r="AQ577" s="4">
        <v>0</v>
      </c>
      <c r="AR577" s="3" t="s">
        <v>63</v>
      </c>
      <c r="AS577" s="3" t="s">
        <v>63</v>
      </c>
      <c r="AT577" s="3" t="s">
        <v>63</v>
      </c>
      <c r="AV577" s="6" t="str">
        <f>HYPERLINK("http://mcgill.on.worldcat.org/oclc/958391152","Catalog Record")</f>
        <v>Catalog Record</v>
      </c>
      <c r="AW577" s="6" t="str">
        <f>HYPERLINK("http://www.worldcat.org/oclc/958391152","WorldCat Record")</f>
        <v>WorldCat Record</v>
      </c>
      <c r="AX577" s="3" t="s">
        <v>5858</v>
      </c>
      <c r="AY577" s="3" t="s">
        <v>5859</v>
      </c>
      <c r="AZ577" s="3" t="s">
        <v>5860</v>
      </c>
      <c r="BA577" s="3" t="s">
        <v>5860</v>
      </c>
      <c r="BB577" s="3" t="s">
        <v>5861</v>
      </c>
      <c r="BC577" s="3" t="s">
        <v>82</v>
      </c>
      <c r="BD577" s="3" t="s">
        <v>70</v>
      </c>
      <c r="BE577" s="3" t="s">
        <v>5862</v>
      </c>
      <c r="BF577" s="3" t="s">
        <v>5861</v>
      </c>
      <c r="BG577" s="3" t="s">
        <v>5863</v>
      </c>
    </row>
    <row r="578" spans="1:59" ht="60" x14ac:dyDescent="0.25">
      <c r="A578" s="2" t="s">
        <v>59</v>
      </c>
      <c r="B578" s="2" t="s">
        <v>60</v>
      </c>
      <c r="C578" s="2" t="s">
        <v>5864</v>
      </c>
      <c r="D578" s="2" t="s">
        <v>5865</v>
      </c>
      <c r="E578" s="2" t="s">
        <v>5866</v>
      </c>
      <c r="G578" s="3" t="s">
        <v>63</v>
      </c>
      <c r="I578" s="3" t="s">
        <v>63</v>
      </c>
      <c r="J578" s="3" t="s">
        <v>63</v>
      </c>
      <c r="K578" s="3" t="s">
        <v>64</v>
      </c>
      <c r="L578" s="2" t="s">
        <v>5867</v>
      </c>
      <c r="M578" s="2" t="s">
        <v>5868</v>
      </c>
      <c r="N578" s="3" t="s">
        <v>76</v>
      </c>
      <c r="P578" s="3" t="s">
        <v>90</v>
      </c>
      <c r="R578" s="3" t="s">
        <v>67</v>
      </c>
      <c r="S578" s="4">
        <v>0</v>
      </c>
      <c r="T578" s="4">
        <v>0</v>
      </c>
      <c r="W578" s="5" t="s">
        <v>69</v>
      </c>
      <c r="X578" s="5" t="s">
        <v>69</v>
      </c>
      <c r="Y578" s="4">
        <v>26</v>
      </c>
      <c r="Z578" s="4">
        <v>3</v>
      </c>
      <c r="AA578" s="4">
        <v>3</v>
      </c>
      <c r="AB578" s="4">
        <v>1</v>
      </c>
      <c r="AC578" s="4">
        <v>1</v>
      </c>
      <c r="AD578" s="4">
        <v>20</v>
      </c>
      <c r="AE578" s="4">
        <v>20</v>
      </c>
      <c r="AF578" s="4">
        <v>0</v>
      </c>
      <c r="AG578" s="4">
        <v>0</v>
      </c>
      <c r="AH578" s="4">
        <v>19</v>
      </c>
      <c r="AI578" s="4">
        <v>19</v>
      </c>
      <c r="AJ578" s="4">
        <v>1</v>
      </c>
      <c r="AK578" s="4">
        <v>1</v>
      </c>
      <c r="AL578" s="4">
        <v>18</v>
      </c>
      <c r="AM578" s="4">
        <v>18</v>
      </c>
      <c r="AN578" s="4">
        <v>0</v>
      </c>
      <c r="AO578" s="4">
        <v>0</v>
      </c>
      <c r="AP578" s="4">
        <v>1</v>
      </c>
      <c r="AQ578" s="4">
        <v>1</v>
      </c>
      <c r="AR578" s="3" t="s">
        <v>63</v>
      </c>
      <c r="AS578" s="3" t="s">
        <v>63</v>
      </c>
      <c r="AT578" s="3" t="s">
        <v>63</v>
      </c>
      <c r="AV578" s="6" t="str">
        <f>HYPERLINK("http://mcgill.on.worldcat.org/oclc/794820020","Catalog Record")</f>
        <v>Catalog Record</v>
      </c>
      <c r="AW578" s="6" t="str">
        <f>HYPERLINK("http://www.worldcat.org/oclc/794820020","WorldCat Record")</f>
        <v>WorldCat Record</v>
      </c>
      <c r="AX578" s="3" t="s">
        <v>5869</v>
      </c>
      <c r="AY578" s="3" t="s">
        <v>5870</v>
      </c>
      <c r="AZ578" s="3" t="s">
        <v>5871</v>
      </c>
      <c r="BA578" s="3" t="s">
        <v>5871</v>
      </c>
      <c r="BB578" s="3" t="s">
        <v>5872</v>
      </c>
      <c r="BC578" s="3" t="s">
        <v>82</v>
      </c>
      <c r="BD578" s="3" t="s">
        <v>70</v>
      </c>
      <c r="BE578" s="3" t="s">
        <v>5873</v>
      </c>
      <c r="BF578" s="3" t="s">
        <v>5872</v>
      </c>
      <c r="BG578" s="3" t="s">
        <v>5874</v>
      </c>
    </row>
    <row r="579" spans="1:59" ht="60" x14ac:dyDescent="0.25">
      <c r="A579" s="2" t="s">
        <v>59</v>
      </c>
      <c r="B579" s="2" t="s">
        <v>60</v>
      </c>
      <c r="C579" s="2" t="s">
        <v>5875</v>
      </c>
      <c r="D579" s="2" t="s">
        <v>5876</v>
      </c>
      <c r="E579" s="2" t="s">
        <v>5877</v>
      </c>
      <c r="G579" s="3" t="s">
        <v>63</v>
      </c>
      <c r="I579" s="3" t="s">
        <v>63</v>
      </c>
      <c r="J579" s="3" t="s">
        <v>63</v>
      </c>
      <c r="K579" s="3" t="s">
        <v>64</v>
      </c>
      <c r="L579" s="2" t="s">
        <v>4551</v>
      </c>
      <c r="M579" s="2" t="s">
        <v>5878</v>
      </c>
      <c r="N579" s="3" t="s">
        <v>143</v>
      </c>
      <c r="P579" s="3" t="s">
        <v>90</v>
      </c>
      <c r="Q579" s="2" t="s">
        <v>4502</v>
      </c>
      <c r="R579" s="3" t="s">
        <v>67</v>
      </c>
      <c r="S579" s="4">
        <v>0</v>
      </c>
      <c r="T579" s="4">
        <v>0</v>
      </c>
      <c r="W579" s="5" t="s">
        <v>69</v>
      </c>
      <c r="X579" s="5" t="s">
        <v>69</v>
      </c>
      <c r="Y579" s="4">
        <v>63</v>
      </c>
      <c r="Z579" s="4">
        <v>6</v>
      </c>
      <c r="AA579" s="4">
        <v>6</v>
      </c>
      <c r="AB579" s="4">
        <v>1</v>
      </c>
      <c r="AC579" s="4">
        <v>1</v>
      </c>
      <c r="AD579" s="4">
        <v>43</v>
      </c>
      <c r="AE579" s="4">
        <v>43</v>
      </c>
      <c r="AF579" s="4">
        <v>0</v>
      </c>
      <c r="AG579" s="4">
        <v>0</v>
      </c>
      <c r="AH579" s="4">
        <v>42</v>
      </c>
      <c r="AI579" s="4">
        <v>42</v>
      </c>
      <c r="AJ579" s="4">
        <v>4</v>
      </c>
      <c r="AK579" s="4">
        <v>4</v>
      </c>
      <c r="AL579" s="4">
        <v>30</v>
      </c>
      <c r="AM579" s="4">
        <v>30</v>
      </c>
      <c r="AN579" s="4">
        <v>0</v>
      </c>
      <c r="AO579" s="4">
        <v>0</v>
      </c>
      <c r="AP579" s="4">
        <v>4</v>
      </c>
      <c r="AQ579" s="4">
        <v>4</v>
      </c>
      <c r="AR579" s="3" t="s">
        <v>63</v>
      </c>
      <c r="AS579" s="3" t="s">
        <v>63</v>
      </c>
      <c r="AT579" s="3" t="s">
        <v>63</v>
      </c>
      <c r="AV579" s="6" t="str">
        <f>HYPERLINK("http://mcgill.on.worldcat.org/oclc/891712989","Catalog Record")</f>
        <v>Catalog Record</v>
      </c>
      <c r="AW579" s="6" t="str">
        <f>HYPERLINK("http://www.worldcat.org/oclc/891712989","WorldCat Record")</f>
        <v>WorldCat Record</v>
      </c>
      <c r="AX579" s="3" t="s">
        <v>5879</v>
      </c>
      <c r="AY579" s="3" t="s">
        <v>5880</v>
      </c>
      <c r="AZ579" s="3" t="s">
        <v>5881</v>
      </c>
      <c r="BA579" s="3" t="s">
        <v>5881</v>
      </c>
      <c r="BB579" s="3" t="s">
        <v>5882</v>
      </c>
      <c r="BC579" s="3" t="s">
        <v>82</v>
      </c>
      <c r="BD579" s="3" t="s">
        <v>70</v>
      </c>
      <c r="BE579" s="3" t="s">
        <v>5883</v>
      </c>
      <c r="BF579" s="3" t="s">
        <v>5882</v>
      </c>
      <c r="BG579" s="3" t="s">
        <v>5884</v>
      </c>
    </row>
    <row r="580" spans="1:59" ht="60" x14ac:dyDescent="0.25">
      <c r="A580" s="2" t="s">
        <v>59</v>
      </c>
      <c r="B580" s="2" t="s">
        <v>60</v>
      </c>
      <c r="C580" s="2" t="s">
        <v>5885</v>
      </c>
      <c r="D580" s="2" t="s">
        <v>5886</v>
      </c>
      <c r="E580" s="2" t="s">
        <v>5887</v>
      </c>
      <c r="G580" s="3" t="s">
        <v>63</v>
      </c>
      <c r="I580" s="3" t="s">
        <v>62</v>
      </c>
      <c r="J580" s="3" t="s">
        <v>63</v>
      </c>
      <c r="K580" s="3" t="s">
        <v>64</v>
      </c>
      <c r="L580" s="2" t="s">
        <v>5888</v>
      </c>
      <c r="M580" s="2" t="s">
        <v>5889</v>
      </c>
      <c r="N580" s="3" t="s">
        <v>814</v>
      </c>
      <c r="P580" s="3" t="s">
        <v>66</v>
      </c>
      <c r="R580" s="3" t="s">
        <v>67</v>
      </c>
      <c r="S580" s="4">
        <v>14</v>
      </c>
      <c r="T580" s="4">
        <v>30</v>
      </c>
      <c r="U580" s="5" t="s">
        <v>5890</v>
      </c>
      <c r="V580" s="5" t="s">
        <v>5891</v>
      </c>
      <c r="W580" s="5" t="s">
        <v>69</v>
      </c>
      <c r="X580" s="5" t="s">
        <v>69</v>
      </c>
      <c r="Y580" s="4">
        <v>260</v>
      </c>
      <c r="Z580" s="4">
        <v>21</v>
      </c>
      <c r="AA580" s="4">
        <v>22</v>
      </c>
      <c r="AB580" s="4">
        <v>2</v>
      </c>
      <c r="AC580" s="4">
        <v>3</v>
      </c>
      <c r="AD580" s="4">
        <v>95</v>
      </c>
      <c r="AE580" s="4">
        <v>96</v>
      </c>
      <c r="AF580" s="4">
        <v>1</v>
      </c>
      <c r="AG580" s="4">
        <v>2</v>
      </c>
      <c r="AH580" s="4">
        <v>86</v>
      </c>
      <c r="AI580" s="4">
        <v>86</v>
      </c>
      <c r="AJ580" s="4">
        <v>15</v>
      </c>
      <c r="AK580" s="4">
        <v>16</v>
      </c>
      <c r="AL580" s="4">
        <v>45</v>
      </c>
      <c r="AM580" s="4">
        <v>45</v>
      </c>
      <c r="AN580" s="4">
        <v>0</v>
      </c>
      <c r="AO580" s="4">
        <v>0</v>
      </c>
      <c r="AP580" s="4">
        <v>17</v>
      </c>
      <c r="AQ580" s="4">
        <v>17</v>
      </c>
      <c r="AR580" s="3" t="s">
        <v>63</v>
      </c>
      <c r="AS580" s="3" t="s">
        <v>63</v>
      </c>
      <c r="AT580" s="3" t="s">
        <v>62</v>
      </c>
      <c r="AU580" s="6" t="str">
        <f>HYPERLINK("http://catalog.hathitrust.org/Record/000302645","HathiTrust Record")</f>
        <v>HathiTrust Record</v>
      </c>
      <c r="AV580" s="6" t="str">
        <f>HYPERLINK("http://mcgill.on.worldcat.org/oclc/5053507","Catalog Record")</f>
        <v>Catalog Record</v>
      </c>
      <c r="AW580" s="6" t="str">
        <f>HYPERLINK("http://www.worldcat.org/oclc/5053507","WorldCat Record")</f>
        <v>WorldCat Record</v>
      </c>
      <c r="AX580" s="3" t="s">
        <v>5892</v>
      </c>
      <c r="AY580" s="3" t="s">
        <v>5893</v>
      </c>
      <c r="AZ580" s="3" t="s">
        <v>5894</v>
      </c>
      <c r="BA580" s="3" t="s">
        <v>5894</v>
      </c>
      <c r="BB580" s="3" t="s">
        <v>5895</v>
      </c>
      <c r="BC580" s="3" t="s">
        <v>82</v>
      </c>
      <c r="BD580" s="3" t="s">
        <v>70</v>
      </c>
      <c r="BF580" s="3" t="s">
        <v>5895</v>
      </c>
      <c r="BG580" s="3" t="s">
        <v>5896</v>
      </c>
    </row>
    <row r="581" spans="1:59" ht="60" x14ac:dyDescent="0.25">
      <c r="A581" s="2" t="s">
        <v>59</v>
      </c>
      <c r="B581" s="2" t="s">
        <v>60</v>
      </c>
      <c r="C581" s="2" t="s">
        <v>5885</v>
      </c>
      <c r="D581" s="2" t="s">
        <v>5886</v>
      </c>
      <c r="E581" s="2" t="s">
        <v>5887</v>
      </c>
      <c r="G581" s="3" t="s">
        <v>63</v>
      </c>
      <c r="I581" s="3" t="s">
        <v>62</v>
      </c>
      <c r="J581" s="3" t="s">
        <v>63</v>
      </c>
      <c r="K581" s="3" t="s">
        <v>64</v>
      </c>
      <c r="L581" s="2" t="s">
        <v>5888</v>
      </c>
      <c r="M581" s="2" t="s">
        <v>5889</v>
      </c>
      <c r="N581" s="3" t="s">
        <v>814</v>
      </c>
      <c r="P581" s="3" t="s">
        <v>66</v>
      </c>
      <c r="R581" s="3" t="s">
        <v>67</v>
      </c>
      <c r="S581" s="4">
        <v>16</v>
      </c>
      <c r="T581" s="4">
        <v>30</v>
      </c>
      <c r="U581" s="5" t="s">
        <v>5891</v>
      </c>
      <c r="V581" s="5" t="s">
        <v>5891</v>
      </c>
      <c r="W581" s="5" t="s">
        <v>69</v>
      </c>
      <c r="X581" s="5" t="s">
        <v>69</v>
      </c>
      <c r="Y581" s="4">
        <v>260</v>
      </c>
      <c r="Z581" s="4">
        <v>21</v>
      </c>
      <c r="AA581" s="4">
        <v>22</v>
      </c>
      <c r="AB581" s="4">
        <v>2</v>
      </c>
      <c r="AC581" s="4">
        <v>3</v>
      </c>
      <c r="AD581" s="4">
        <v>95</v>
      </c>
      <c r="AE581" s="4">
        <v>96</v>
      </c>
      <c r="AF581" s="4">
        <v>1</v>
      </c>
      <c r="AG581" s="4">
        <v>2</v>
      </c>
      <c r="AH581" s="4">
        <v>86</v>
      </c>
      <c r="AI581" s="4">
        <v>86</v>
      </c>
      <c r="AJ581" s="4">
        <v>15</v>
      </c>
      <c r="AK581" s="4">
        <v>16</v>
      </c>
      <c r="AL581" s="4">
        <v>45</v>
      </c>
      <c r="AM581" s="4">
        <v>45</v>
      </c>
      <c r="AN581" s="4">
        <v>0</v>
      </c>
      <c r="AO581" s="4">
        <v>0</v>
      </c>
      <c r="AP581" s="4">
        <v>17</v>
      </c>
      <c r="AQ581" s="4">
        <v>17</v>
      </c>
      <c r="AR581" s="3" t="s">
        <v>63</v>
      </c>
      <c r="AS581" s="3" t="s">
        <v>63</v>
      </c>
      <c r="AT581" s="3" t="s">
        <v>62</v>
      </c>
      <c r="AU581" s="6" t="str">
        <f>HYPERLINK("http://catalog.hathitrust.org/Record/000302645","HathiTrust Record")</f>
        <v>HathiTrust Record</v>
      </c>
      <c r="AV581" s="6" t="str">
        <f>HYPERLINK("http://mcgill.on.worldcat.org/oclc/5053507","Catalog Record")</f>
        <v>Catalog Record</v>
      </c>
      <c r="AW581" s="6" t="str">
        <f>HYPERLINK("http://www.worldcat.org/oclc/5053507","WorldCat Record")</f>
        <v>WorldCat Record</v>
      </c>
      <c r="AX581" s="3" t="s">
        <v>5892</v>
      </c>
      <c r="AY581" s="3" t="s">
        <v>5893</v>
      </c>
      <c r="AZ581" s="3" t="s">
        <v>5894</v>
      </c>
      <c r="BA581" s="3" t="s">
        <v>5894</v>
      </c>
      <c r="BB581" s="3" t="s">
        <v>5897</v>
      </c>
      <c r="BC581" s="3" t="s">
        <v>82</v>
      </c>
      <c r="BD581" s="3" t="s">
        <v>70</v>
      </c>
      <c r="BF581" s="3" t="s">
        <v>5897</v>
      </c>
      <c r="BG581" s="3" t="s">
        <v>5898</v>
      </c>
    </row>
    <row r="582" spans="1:59" ht="60" x14ac:dyDescent="0.25">
      <c r="A582" s="2" t="s">
        <v>59</v>
      </c>
      <c r="B582" s="2" t="s">
        <v>60</v>
      </c>
      <c r="C582" s="2" t="s">
        <v>5899</v>
      </c>
      <c r="D582" s="2" t="s">
        <v>5900</v>
      </c>
      <c r="E582" s="2" t="s">
        <v>5901</v>
      </c>
      <c r="G582" s="3" t="s">
        <v>63</v>
      </c>
      <c r="I582" s="3" t="s">
        <v>63</v>
      </c>
      <c r="J582" s="3" t="s">
        <v>63</v>
      </c>
      <c r="K582" s="3" t="s">
        <v>64</v>
      </c>
      <c r="L582" s="2" t="s">
        <v>5902</v>
      </c>
      <c r="M582" s="2" t="s">
        <v>5903</v>
      </c>
      <c r="N582" s="3" t="s">
        <v>313</v>
      </c>
      <c r="P582" s="3" t="s">
        <v>66</v>
      </c>
      <c r="R582" s="3" t="s">
        <v>67</v>
      </c>
      <c r="S582" s="4">
        <v>9</v>
      </c>
      <c r="T582" s="4">
        <v>9</v>
      </c>
      <c r="U582" s="5" t="s">
        <v>5904</v>
      </c>
      <c r="V582" s="5" t="s">
        <v>5904</v>
      </c>
      <c r="W582" s="5" t="s">
        <v>69</v>
      </c>
      <c r="X582" s="5" t="s">
        <v>69</v>
      </c>
      <c r="Y582" s="4">
        <v>223</v>
      </c>
      <c r="Z582" s="4">
        <v>17</v>
      </c>
      <c r="AA582" s="4">
        <v>105</v>
      </c>
      <c r="AB582" s="4">
        <v>1</v>
      </c>
      <c r="AC582" s="4">
        <v>19</v>
      </c>
      <c r="AD582" s="4">
        <v>76</v>
      </c>
      <c r="AE582" s="4">
        <v>136</v>
      </c>
      <c r="AF582" s="4">
        <v>0</v>
      </c>
      <c r="AG582" s="4">
        <v>8</v>
      </c>
      <c r="AH582" s="4">
        <v>71</v>
      </c>
      <c r="AI582" s="4">
        <v>101</v>
      </c>
      <c r="AJ582" s="4">
        <v>9</v>
      </c>
      <c r="AK582" s="4">
        <v>22</v>
      </c>
      <c r="AL582" s="4">
        <v>46</v>
      </c>
      <c r="AM582" s="4">
        <v>56</v>
      </c>
      <c r="AN582" s="4">
        <v>0</v>
      </c>
      <c r="AO582" s="4">
        <v>0</v>
      </c>
      <c r="AP582" s="4">
        <v>10</v>
      </c>
      <c r="AQ582" s="4">
        <v>43</v>
      </c>
      <c r="AR582" s="3" t="s">
        <v>63</v>
      </c>
      <c r="AS582" s="3" t="s">
        <v>63</v>
      </c>
      <c r="AT582" s="3" t="s">
        <v>63</v>
      </c>
      <c r="AV582" s="6" t="str">
        <f>HYPERLINK("http://mcgill.on.worldcat.org/oclc/458738496","Catalog Record")</f>
        <v>Catalog Record</v>
      </c>
      <c r="AW582" s="6" t="str">
        <f>HYPERLINK("http://www.worldcat.org/oclc/458738496","WorldCat Record")</f>
        <v>WorldCat Record</v>
      </c>
      <c r="AX582" s="3" t="s">
        <v>5905</v>
      </c>
      <c r="AY582" s="3" t="s">
        <v>5906</v>
      </c>
      <c r="AZ582" s="3" t="s">
        <v>5907</v>
      </c>
      <c r="BA582" s="3" t="s">
        <v>5907</v>
      </c>
      <c r="BB582" s="3" t="s">
        <v>5908</v>
      </c>
      <c r="BC582" s="3" t="s">
        <v>82</v>
      </c>
      <c r="BD582" s="3" t="s">
        <v>538</v>
      </c>
      <c r="BE582" s="3" t="s">
        <v>5909</v>
      </c>
      <c r="BF582" s="3" t="s">
        <v>5908</v>
      </c>
      <c r="BG582" s="3" t="s">
        <v>5910</v>
      </c>
    </row>
    <row r="583" spans="1:59" ht="60" x14ac:dyDescent="0.25">
      <c r="A583" s="2" t="s">
        <v>59</v>
      </c>
      <c r="B583" s="2" t="s">
        <v>60</v>
      </c>
      <c r="C583" s="2" t="s">
        <v>5911</v>
      </c>
      <c r="D583" s="2" t="s">
        <v>5912</v>
      </c>
      <c r="E583" s="2" t="s">
        <v>5913</v>
      </c>
      <c r="G583" s="3" t="s">
        <v>63</v>
      </c>
      <c r="I583" s="3" t="s">
        <v>62</v>
      </c>
      <c r="J583" s="3" t="s">
        <v>63</v>
      </c>
      <c r="K583" s="3" t="s">
        <v>64</v>
      </c>
      <c r="L583" s="2" t="s">
        <v>5914</v>
      </c>
      <c r="M583" s="2" t="s">
        <v>5915</v>
      </c>
      <c r="N583" s="3" t="s">
        <v>918</v>
      </c>
      <c r="P583" s="3" t="s">
        <v>66</v>
      </c>
      <c r="Q583" s="2" t="s">
        <v>5916</v>
      </c>
      <c r="R583" s="3" t="s">
        <v>67</v>
      </c>
      <c r="S583" s="4">
        <v>21</v>
      </c>
      <c r="T583" s="4">
        <v>56</v>
      </c>
      <c r="U583" s="5" t="s">
        <v>5917</v>
      </c>
      <c r="V583" s="5" t="s">
        <v>5917</v>
      </c>
      <c r="W583" s="5" t="s">
        <v>69</v>
      </c>
      <c r="X583" s="5" t="s">
        <v>69</v>
      </c>
      <c r="Y583" s="4">
        <v>698</v>
      </c>
      <c r="Z583" s="4">
        <v>41</v>
      </c>
      <c r="AA583" s="4">
        <v>56</v>
      </c>
      <c r="AB583" s="4">
        <v>2</v>
      </c>
      <c r="AC583" s="4">
        <v>5</v>
      </c>
      <c r="AD583" s="4">
        <v>105</v>
      </c>
      <c r="AE583" s="4">
        <v>130</v>
      </c>
      <c r="AF583" s="4">
        <v>1</v>
      </c>
      <c r="AG583" s="4">
        <v>4</v>
      </c>
      <c r="AH583" s="4">
        <v>84</v>
      </c>
      <c r="AI583" s="4">
        <v>100</v>
      </c>
      <c r="AJ583" s="4">
        <v>17</v>
      </c>
      <c r="AK583" s="4">
        <v>27</v>
      </c>
      <c r="AL583" s="4">
        <v>44</v>
      </c>
      <c r="AM583" s="4">
        <v>54</v>
      </c>
      <c r="AN583" s="4">
        <v>0</v>
      </c>
      <c r="AO583" s="4">
        <v>0</v>
      </c>
      <c r="AP583" s="4">
        <v>25</v>
      </c>
      <c r="AQ583" s="4">
        <v>37</v>
      </c>
      <c r="AR583" s="3" t="s">
        <v>63</v>
      </c>
      <c r="AS583" s="3" t="s">
        <v>63</v>
      </c>
      <c r="AT583" s="3" t="s">
        <v>62</v>
      </c>
      <c r="AU583" s="6" t="str">
        <f>HYPERLINK("http://catalog.hathitrust.org/Record/001061703","HathiTrust Record")</f>
        <v>HathiTrust Record</v>
      </c>
      <c r="AV583" s="6" t="str">
        <f>HYPERLINK("http://mcgill.on.worldcat.org/oclc/410909","Catalog Record")</f>
        <v>Catalog Record</v>
      </c>
      <c r="AW583" s="6" t="str">
        <f>HYPERLINK("http://www.worldcat.org/oclc/410909","WorldCat Record")</f>
        <v>WorldCat Record</v>
      </c>
      <c r="AX583" s="3" t="s">
        <v>5918</v>
      </c>
      <c r="AY583" s="3" t="s">
        <v>5919</v>
      </c>
      <c r="AZ583" s="3" t="s">
        <v>5920</v>
      </c>
      <c r="BA583" s="3" t="s">
        <v>5920</v>
      </c>
      <c r="BB583" s="3" t="s">
        <v>5921</v>
      </c>
      <c r="BC583" s="3" t="s">
        <v>82</v>
      </c>
      <c r="BD583" s="3" t="s">
        <v>70</v>
      </c>
      <c r="BF583" s="3" t="s">
        <v>5921</v>
      </c>
      <c r="BG583" s="3" t="s">
        <v>5922</v>
      </c>
    </row>
    <row r="584" spans="1:59" ht="60" x14ac:dyDescent="0.25">
      <c r="A584" s="2" t="s">
        <v>59</v>
      </c>
      <c r="B584" s="2" t="s">
        <v>60</v>
      </c>
      <c r="C584" s="2" t="s">
        <v>5911</v>
      </c>
      <c r="D584" s="2" t="s">
        <v>5912</v>
      </c>
      <c r="E584" s="2" t="s">
        <v>5913</v>
      </c>
      <c r="G584" s="3" t="s">
        <v>63</v>
      </c>
      <c r="I584" s="3" t="s">
        <v>62</v>
      </c>
      <c r="J584" s="3" t="s">
        <v>63</v>
      </c>
      <c r="K584" s="3" t="s">
        <v>64</v>
      </c>
      <c r="L584" s="2" t="s">
        <v>5914</v>
      </c>
      <c r="M584" s="2" t="s">
        <v>5915</v>
      </c>
      <c r="N584" s="3" t="s">
        <v>918</v>
      </c>
      <c r="P584" s="3" t="s">
        <v>66</v>
      </c>
      <c r="Q584" s="2" t="s">
        <v>5916</v>
      </c>
      <c r="R584" s="3" t="s">
        <v>67</v>
      </c>
      <c r="S584" s="4">
        <v>21</v>
      </c>
      <c r="T584" s="4">
        <v>56</v>
      </c>
      <c r="U584" s="5" t="s">
        <v>5923</v>
      </c>
      <c r="V584" s="5" t="s">
        <v>5917</v>
      </c>
      <c r="W584" s="5" t="s">
        <v>69</v>
      </c>
      <c r="X584" s="5" t="s">
        <v>69</v>
      </c>
      <c r="Y584" s="4">
        <v>698</v>
      </c>
      <c r="Z584" s="4">
        <v>41</v>
      </c>
      <c r="AA584" s="4">
        <v>56</v>
      </c>
      <c r="AB584" s="4">
        <v>2</v>
      </c>
      <c r="AC584" s="4">
        <v>5</v>
      </c>
      <c r="AD584" s="4">
        <v>105</v>
      </c>
      <c r="AE584" s="4">
        <v>130</v>
      </c>
      <c r="AF584" s="4">
        <v>1</v>
      </c>
      <c r="AG584" s="4">
        <v>4</v>
      </c>
      <c r="AH584" s="4">
        <v>84</v>
      </c>
      <c r="AI584" s="4">
        <v>100</v>
      </c>
      <c r="AJ584" s="4">
        <v>17</v>
      </c>
      <c r="AK584" s="4">
        <v>27</v>
      </c>
      <c r="AL584" s="4">
        <v>44</v>
      </c>
      <c r="AM584" s="4">
        <v>54</v>
      </c>
      <c r="AN584" s="4">
        <v>0</v>
      </c>
      <c r="AO584" s="4">
        <v>0</v>
      </c>
      <c r="AP584" s="4">
        <v>25</v>
      </c>
      <c r="AQ584" s="4">
        <v>37</v>
      </c>
      <c r="AR584" s="3" t="s">
        <v>63</v>
      </c>
      <c r="AS584" s="3" t="s">
        <v>63</v>
      </c>
      <c r="AT584" s="3" t="s">
        <v>62</v>
      </c>
      <c r="AU584" s="6" t="str">
        <f>HYPERLINK("http://catalog.hathitrust.org/Record/001061703","HathiTrust Record")</f>
        <v>HathiTrust Record</v>
      </c>
      <c r="AV584" s="6" t="str">
        <f>HYPERLINK("http://mcgill.on.worldcat.org/oclc/410909","Catalog Record")</f>
        <v>Catalog Record</v>
      </c>
      <c r="AW584" s="6" t="str">
        <f>HYPERLINK("http://www.worldcat.org/oclc/410909","WorldCat Record")</f>
        <v>WorldCat Record</v>
      </c>
      <c r="AX584" s="3" t="s">
        <v>5918</v>
      </c>
      <c r="AY584" s="3" t="s">
        <v>5919</v>
      </c>
      <c r="AZ584" s="3" t="s">
        <v>5920</v>
      </c>
      <c r="BA584" s="3" t="s">
        <v>5920</v>
      </c>
      <c r="BB584" s="3" t="s">
        <v>5924</v>
      </c>
      <c r="BC584" s="3" t="s">
        <v>82</v>
      </c>
      <c r="BD584" s="3" t="s">
        <v>70</v>
      </c>
      <c r="BF584" s="3" t="s">
        <v>5924</v>
      </c>
      <c r="BG584" s="3" t="s">
        <v>5925</v>
      </c>
    </row>
    <row r="585" spans="1:59" ht="60" x14ac:dyDescent="0.25">
      <c r="A585" s="2" t="s">
        <v>59</v>
      </c>
      <c r="B585" s="2" t="s">
        <v>60</v>
      </c>
      <c r="C585" s="2" t="s">
        <v>5911</v>
      </c>
      <c r="D585" s="2" t="s">
        <v>5912</v>
      </c>
      <c r="E585" s="2" t="s">
        <v>5913</v>
      </c>
      <c r="G585" s="3" t="s">
        <v>63</v>
      </c>
      <c r="I585" s="3" t="s">
        <v>62</v>
      </c>
      <c r="J585" s="3" t="s">
        <v>63</v>
      </c>
      <c r="K585" s="3" t="s">
        <v>64</v>
      </c>
      <c r="L585" s="2" t="s">
        <v>5914</v>
      </c>
      <c r="M585" s="2" t="s">
        <v>5915</v>
      </c>
      <c r="N585" s="3" t="s">
        <v>918</v>
      </c>
      <c r="P585" s="3" t="s">
        <v>66</v>
      </c>
      <c r="Q585" s="2" t="s">
        <v>5916</v>
      </c>
      <c r="R585" s="3" t="s">
        <v>67</v>
      </c>
      <c r="S585" s="4">
        <v>14</v>
      </c>
      <c r="T585" s="4">
        <v>56</v>
      </c>
      <c r="U585" s="5" t="s">
        <v>5926</v>
      </c>
      <c r="V585" s="5" t="s">
        <v>5917</v>
      </c>
      <c r="W585" s="5" t="s">
        <v>69</v>
      </c>
      <c r="X585" s="5" t="s">
        <v>69</v>
      </c>
      <c r="Y585" s="4">
        <v>698</v>
      </c>
      <c r="Z585" s="4">
        <v>41</v>
      </c>
      <c r="AA585" s="4">
        <v>56</v>
      </c>
      <c r="AB585" s="4">
        <v>2</v>
      </c>
      <c r="AC585" s="4">
        <v>5</v>
      </c>
      <c r="AD585" s="4">
        <v>105</v>
      </c>
      <c r="AE585" s="4">
        <v>130</v>
      </c>
      <c r="AF585" s="4">
        <v>1</v>
      </c>
      <c r="AG585" s="4">
        <v>4</v>
      </c>
      <c r="AH585" s="4">
        <v>84</v>
      </c>
      <c r="AI585" s="4">
        <v>100</v>
      </c>
      <c r="AJ585" s="4">
        <v>17</v>
      </c>
      <c r="AK585" s="4">
        <v>27</v>
      </c>
      <c r="AL585" s="4">
        <v>44</v>
      </c>
      <c r="AM585" s="4">
        <v>54</v>
      </c>
      <c r="AN585" s="4">
        <v>0</v>
      </c>
      <c r="AO585" s="4">
        <v>0</v>
      </c>
      <c r="AP585" s="4">
        <v>25</v>
      </c>
      <c r="AQ585" s="4">
        <v>37</v>
      </c>
      <c r="AR585" s="3" t="s">
        <v>63</v>
      </c>
      <c r="AS585" s="3" t="s">
        <v>63</v>
      </c>
      <c r="AT585" s="3" t="s">
        <v>62</v>
      </c>
      <c r="AU585" s="6" t="str">
        <f>HYPERLINK("http://catalog.hathitrust.org/Record/001061703","HathiTrust Record")</f>
        <v>HathiTrust Record</v>
      </c>
      <c r="AV585" s="6" t="str">
        <f>HYPERLINK("http://mcgill.on.worldcat.org/oclc/410909","Catalog Record")</f>
        <v>Catalog Record</v>
      </c>
      <c r="AW585" s="6" t="str">
        <f>HYPERLINK("http://www.worldcat.org/oclc/410909","WorldCat Record")</f>
        <v>WorldCat Record</v>
      </c>
      <c r="AX585" s="3" t="s">
        <v>5918</v>
      </c>
      <c r="AY585" s="3" t="s">
        <v>5919</v>
      </c>
      <c r="AZ585" s="3" t="s">
        <v>5920</v>
      </c>
      <c r="BA585" s="3" t="s">
        <v>5920</v>
      </c>
      <c r="BB585" s="3" t="s">
        <v>5927</v>
      </c>
      <c r="BC585" s="3" t="s">
        <v>82</v>
      </c>
      <c r="BD585" s="3" t="s">
        <v>70</v>
      </c>
      <c r="BF585" s="3" t="s">
        <v>5927</v>
      </c>
      <c r="BG585" s="3" t="s">
        <v>5928</v>
      </c>
    </row>
    <row r="586" spans="1:59" ht="60" x14ac:dyDescent="0.25">
      <c r="A586" s="2" t="s">
        <v>59</v>
      </c>
      <c r="B586" s="2" t="s">
        <v>60</v>
      </c>
      <c r="C586" s="2" t="s">
        <v>5929</v>
      </c>
      <c r="D586" s="2" t="s">
        <v>5930</v>
      </c>
      <c r="E586" s="2" t="s">
        <v>5931</v>
      </c>
      <c r="G586" s="3" t="s">
        <v>63</v>
      </c>
      <c r="I586" s="3" t="s">
        <v>63</v>
      </c>
      <c r="J586" s="3" t="s">
        <v>63</v>
      </c>
      <c r="K586" s="3" t="s">
        <v>64</v>
      </c>
      <c r="M586" s="2" t="s">
        <v>5932</v>
      </c>
      <c r="N586" s="3" t="s">
        <v>668</v>
      </c>
      <c r="P586" s="3" t="s">
        <v>66</v>
      </c>
      <c r="Q586" s="2" t="s">
        <v>5933</v>
      </c>
      <c r="R586" s="3" t="s">
        <v>67</v>
      </c>
      <c r="S586" s="4">
        <v>22</v>
      </c>
      <c r="T586" s="4">
        <v>22</v>
      </c>
      <c r="U586" s="5" t="s">
        <v>5934</v>
      </c>
      <c r="V586" s="5" t="s">
        <v>5934</v>
      </c>
      <c r="W586" s="5" t="s">
        <v>69</v>
      </c>
      <c r="X586" s="5" t="s">
        <v>69</v>
      </c>
      <c r="Y586" s="4">
        <v>102</v>
      </c>
      <c r="Z586" s="4">
        <v>11</v>
      </c>
      <c r="AA586" s="4">
        <v>19</v>
      </c>
      <c r="AB586" s="4">
        <v>1</v>
      </c>
      <c r="AC586" s="4">
        <v>2</v>
      </c>
      <c r="AD586" s="4">
        <v>43</v>
      </c>
      <c r="AE586" s="4">
        <v>102</v>
      </c>
      <c r="AF586" s="4">
        <v>0</v>
      </c>
      <c r="AG586" s="4">
        <v>0</v>
      </c>
      <c r="AH586" s="4">
        <v>41</v>
      </c>
      <c r="AI586" s="4">
        <v>93</v>
      </c>
      <c r="AJ586" s="4">
        <v>8</v>
      </c>
      <c r="AK586" s="4">
        <v>13</v>
      </c>
      <c r="AL586" s="4">
        <v>23</v>
      </c>
      <c r="AM586" s="4">
        <v>53</v>
      </c>
      <c r="AN586" s="4">
        <v>0</v>
      </c>
      <c r="AO586" s="4">
        <v>0</v>
      </c>
      <c r="AP586" s="4">
        <v>8</v>
      </c>
      <c r="AQ586" s="4">
        <v>15</v>
      </c>
      <c r="AR586" s="3" t="s">
        <v>63</v>
      </c>
      <c r="AS586" s="3" t="s">
        <v>63</v>
      </c>
      <c r="AT586" s="3" t="s">
        <v>62</v>
      </c>
      <c r="AU586" s="6" t="str">
        <f>HYPERLINK("http://catalog.hathitrust.org/Record/001950381","HathiTrust Record")</f>
        <v>HathiTrust Record</v>
      </c>
      <c r="AV586" s="6" t="str">
        <f>HYPERLINK("http://mcgill.on.worldcat.org/oclc/19518998","Catalog Record")</f>
        <v>Catalog Record</v>
      </c>
      <c r="AW586" s="6" t="str">
        <f>HYPERLINK("http://www.worldcat.org/oclc/19518998","WorldCat Record")</f>
        <v>WorldCat Record</v>
      </c>
      <c r="AX586" s="3" t="s">
        <v>5935</v>
      </c>
      <c r="AY586" s="3" t="s">
        <v>5936</v>
      </c>
      <c r="AZ586" s="3" t="s">
        <v>5937</v>
      </c>
      <c r="BA586" s="3" t="s">
        <v>5937</v>
      </c>
      <c r="BB586" s="3" t="s">
        <v>5938</v>
      </c>
      <c r="BC586" s="3" t="s">
        <v>82</v>
      </c>
      <c r="BD586" s="3" t="s">
        <v>70</v>
      </c>
      <c r="BE586" s="3" t="s">
        <v>5939</v>
      </c>
      <c r="BF586" s="3" t="s">
        <v>5938</v>
      </c>
      <c r="BG586" s="3" t="s">
        <v>5940</v>
      </c>
    </row>
    <row r="587" spans="1:59" ht="60" x14ac:dyDescent="0.25">
      <c r="A587" s="2" t="s">
        <v>59</v>
      </c>
      <c r="B587" s="2" t="s">
        <v>60</v>
      </c>
      <c r="C587" s="2" t="s">
        <v>5941</v>
      </c>
      <c r="D587" s="2" t="s">
        <v>5942</v>
      </c>
      <c r="E587" s="2" t="s">
        <v>5943</v>
      </c>
      <c r="G587" s="3" t="s">
        <v>63</v>
      </c>
      <c r="I587" s="3" t="s">
        <v>62</v>
      </c>
      <c r="J587" s="3" t="s">
        <v>63</v>
      </c>
      <c r="K587" s="3" t="s">
        <v>64</v>
      </c>
      <c r="L587" s="2" t="s">
        <v>5944</v>
      </c>
      <c r="M587" s="2" t="s">
        <v>5945</v>
      </c>
      <c r="N587" s="3" t="s">
        <v>2043</v>
      </c>
      <c r="O587" s="2" t="s">
        <v>590</v>
      </c>
      <c r="P587" s="3" t="s">
        <v>66</v>
      </c>
      <c r="Q587" s="2" t="s">
        <v>5946</v>
      </c>
      <c r="R587" s="3" t="s">
        <v>67</v>
      </c>
      <c r="S587" s="4">
        <v>37</v>
      </c>
      <c r="T587" s="4">
        <v>41</v>
      </c>
      <c r="U587" s="5" t="s">
        <v>5947</v>
      </c>
      <c r="V587" s="5" t="s">
        <v>415</v>
      </c>
      <c r="W587" s="5" t="s">
        <v>69</v>
      </c>
      <c r="X587" s="5" t="s">
        <v>69</v>
      </c>
      <c r="Y587" s="4">
        <v>1058</v>
      </c>
      <c r="Z587" s="4">
        <v>38</v>
      </c>
      <c r="AA587" s="4">
        <v>52</v>
      </c>
      <c r="AB587" s="4">
        <v>1</v>
      </c>
      <c r="AC587" s="4">
        <v>3</v>
      </c>
      <c r="AD587" s="4">
        <v>111</v>
      </c>
      <c r="AE587" s="4">
        <v>124</v>
      </c>
      <c r="AF587" s="4">
        <v>0</v>
      </c>
      <c r="AG587" s="4">
        <v>0</v>
      </c>
      <c r="AH587" s="4">
        <v>95</v>
      </c>
      <c r="AI587" s="4">
        <v>102</v>
      </c>
      <c r="AJ587" s="4">
        <v>14</v>
      </c>
      <c r="AK587" s="4">
        <v>18</v>
      </c>
      <c r="AL587" s="4">
        <v>55</v>
      </c>
      <c r="AM587" s="4">
        <v>56</v>
      </c>
      <c r="AN587" s="4">
        <v>0</v>
      </c>
      <c r="AO587" s="4">
        <v>0</v>
      </c>
      <c r="AP587" s="4">
        <v>20</v>
      </c>
      <c r="AQ587" s="4">
        <v>26</v>
      </c>
      <c r="AR587" s="3" t="s">
        <v>63</v>
      </c>
      <c r="AS587" s="3" t="s">
        <v>63</v>
      </c>
      <c r="AT587" s="3" t="s">
        <v>62</v>
      </c>
      <c r="AU587" s="6" t="str">
        <f>HYPERLINK("http://catalog.hathitrust.org/Record/000180717","HathiTrust Record")</f>
        <v>HathiTrust Record</v>
      </c>
      <c r="AV587" s="6" t="str">
        <f>HYPERLINK("http://mcgill.on.worldcat.org/oclc/7737668","Catalog Record")</f>
        <v>Catalog Record</v>
      </c>
      <c r="AW587" s="6" t="str">
        <f>HYPERLINK("http://www.worldcat.org/oclc/7737668","WorldCat Record")</f>
        <v>WorldCat Record</v>
      </c>
      <c r="AX587" s="3" t="s">
        <v>5948</v>
      </c>
      <c r="AY587" s="3" t="s">
        <v>5949</v>
      </c>
      <c r="AZ587" s="3" t="s">
        <v>5950</v>
      </c>
      <c r="BA587" s="3" t="s">
        <v>5950</v>
      </c>
      <c r="BB587" s="3" t="s">
        <v>5951</v>
      </c>
      <c r="BC587" s="3" t="s">
        <v>82</v>
      </c>
      <c r="BD587" s="3" t="s">
        <v>538</v>
      </c>
      <c r="BE587" s="3" t="s">
        <v>5952</v>
      </c>
      <c r="BF587" s="3" t="s">
        <v>5951</v>
      </c>
      <c r="BG587" s="3" t="s">
        <v>5953</v>
      </c>
    </row>
    <row r="588" spans="1:59" ht="60" x14ac:dyDescent="0.25">
      <c r="A588" s="2" t="s">
        <v>59</v>
      </c>
      <c r="B588" s="2" t="s">
        <v>60</v>
      </c>
      <c r="C588" s="2" t="s">
        <v>5941</v>
      </c>
      <c r="D588" s="2" t="s">
        <v>5942</v>
      </c>
      <c r="E588" s="2" t="s">
        <v>5943</v>
      </c>
      <c r="G588" s="3" t="s">
        <v>63</v>
      </c>
      <c r="I588" s="3" t="s">
        <v>62</v>
      </c>
      <c r="J588" s="3" t="s">
        <v>63</v>
      </c>
      <c r="K588" s="3" t="s">
        <v>64</v>
      </c>
      <c r="L588" s="2" t="s">
        <v>5944</v>
      </c>
      <c r="M588" s="2" t="s">
        <v>5945</v>
      </c>
      <c r="N588" s="3" t="s">
        <v>2043</v>
      </c>
      <c r="O588" s="2" t="s">
        <v>590</v>
      </c>
      <c r="P588" s="3" t="s">
        <v>66</v>
      </c>
      <c r="Q588" s="2" t="s">
        <v>5946</v>
      </c>
      <c r="R588" s="3" t="s">
        <v>67</v>
      </c>
      <c r="S588" s="4">
        <v>4</v>
      </c>
      <c r="T588" s="4">
        <v>41</v>
      </c>
      <c r="U588" s="5" t="s">
        <v>415</v>
      </c>
      <c r="V588" s="5" t="s">
        <v>415</v>
      </c>
      <c r="W588" s="5" t="s">
        <v>69</v>
      </c>
      <c r="X588" s="5" t="s">
        <v>69</v>
      </c>
      <c r="Y588" s="4">
        <v>1058</v>
      </c>
      <c r="Z588" s="4">
        <v>38</v>
      </c>
      <c r="AA588" s="4">
        <v>52</v>
      </c>
      <c r="AB588" s="4">
        <v>1</v>
      </c>
      <c r="AC588" s="4">
        <v>3</v>
      </c>
      <c r="AD588" s="4">
        <v>111</v>
      </c>
      <c r="AE588" s="4">
        <v>124</v>
      </c>
      <c r="AF588" s="4">
        <v>0</v>
      </c>
      <c r="AG588" s="4">
        <v>0</v>
      </c>
      <c r="AH588" s="4">
        <v>95</v>
      </c>
      <c r="AI588" s="4">
        <v>102</v>
      </c>
      <c r="AJ588" s="4">
        <v>14</v>
      </c>
      <c r="AK588" s="4">
        <v>18</v>
      </c>
      <c r="AL588" s="4">
        <v>55</v>
      </c>
      <c r="AM588" s="4">
        <v>56</v>
      </c>
      <c r="AN588" s="4">
        <v>0</v>
      </c>
      <c r="AO588" s="4">
        <v>0</v>
      </c>
      <c r="AP588" s="4">
        <v>20</v>
      </c>
      <c r="AQ588" s="4">
        <v>26</v>
      </c>
      <c r="AR588" s="3" t="s">
        <v>63</v>
      </c>
      <c r="AS588" s="3" t="s">
        <v>63</v>
      </c>
      <c r="AT588" s="3" t="s">
        <v>62</v>
      </c>
      <c r="AU588" s="6" t="str">
        <f>HYPERLINK("http://catalog.hathitrust.org/Record/000180717","HathiTrust Record")</f>
        <v>HathiTrust Record</v>
      </c>
      <c r="AV588" s="6" t="str">
        <f>HYPERLINK("http://mcgill.on.worldcat.org/oclc/7737668","Catalog Record")</f>
        <v>Catalog Record</v>
      </c>
      <c r="AW588" s="6" t="str">
        <f>HYPERLINK("http://www.worldcat.org/oclc/7737668","WorldCat Record")</f>
        <v>WorldCat Record</v>
      </c>
      <c r="AX588" s="3" t="s">
        <v>5948</v>
      </c>
      <c r="AY588" s="3" t="s">
        <v>5949</v>
      </c>
      <c r="AZ588" s="3" t="s">
        <v>5950</v>
      </c>
      <c r="BA588" s="3" t="s">
        <v>5950</v>
      </c>
      <c r="BB588" s="3" t="s">
        <v>5954</v>
      </c>
      <c r="BC588" s="3" t="s">
        <v>82</v>
      </c>
      <c r="BD588" s="3" t="s">
        <v>70</v>
      </c>
      <c r="BE588" s="3" t="s">
        <v>5952</v>
      </c>
      <c r="BF588" s="3" t="s">
        <v>5954</v>
      </c>
      <c r="BG588" s="3" t="s">
        <v>5955</v>
      </c>
    </row>
    <row r="589" spans="1:59" ht="60" x14ac:dyDescent="0.25">
      <c r="A589" s="2" t="s">
        <v>59</v>
      </c>
      <c r="B589" s="2" t="s">
        <v>60</v>
      </c>
      <c r="C589" s="2" t="s">
        <v>5956</v>
      </c>
      <c r="D589" s="2" t="s">
        <v>5957</v>
      </c>
      <c r="E589" s="2" t="s">
        <v>5958</v>
      </c>
      <c r="G589" s="3" t="s">
        <v>63</v>
      </c>
      <c r="I589" s="3" t="s">
        <v>63</v>
      </c>
      <c r="J589" s="3" t="s">
        <v>63</v>
      </c>
      <c r="K589" s="3" t="s">
        <v>64</v>
      </c>
      <c r="L589" s="2" t="s">
        <v>5944</v>
      </c>
      <c r="M589" s="2" t="s">
        <v>5959</v>
      </c>
      <c r="N589" s="3" t="s">
        <v>313</v>
      </c>
      <c r="P589" s="3" t="s">
        <v>90</v>
      </c>
      <c r="R589" s="3" t="s">
        <v>67</v>
      </c>
      <c r="S589" s="4">
        <v>1</v>
      </c>
      <c r="T589" s="4">
        <v>1</v>
      </c>
      <c r="U589" s="5" t="s">
        <v>5960</v>
      </c>
      <c r="V589" s="5" t="s">
        <v>5960</v>
      </c>
      <c r="W589" s="5" t="s">
        <v>69</v>
      </c>
      <c r="X589" s="5" t="s">
        <v>69</v>
      </c>
      <c r="Y589" s="4">
        <v>8</v>
      </c>
      <c r="Z589" s="4">
        <v>1</v>
      </c>
      <c r="AA589" s="4">
        <v>5</v>
      </c>
      <c r="AB589" s="4">
        <v>1</v>
      </c>
      <c r="AC589" s="4">
        <v>1</v>
      </c>
      <c r="AD589" s="4">
        <v>3</v>
      </c>
      <c r="AE589" s="4">
        <v>33</v>
      </c>
      <c r="AF589" s="4">
        <v>0</v>
      </c>
      <c r="AG589" s="4">
        <v>0</v>
      </c>
      <c r="AH589" s="4">
        <v>3</v>
      </c>
      <c r="AI589" s="4">
        <v>31</v>
      </c>
      <c r="AJ589" s="4">
        <v>0</v>
      </c>
      <c r="AK589" s="4">
        <v>2</v>
      </c>
      <c r="AL589" s="4">
        <v>3</v>
      </c>
      <c r="AM589" s="4">
        <v>27</v>
      </c>
      <c r="AN589" s="4">
        <v>0</v>
      </c>
      <c r="AO589" s="4">
        <v>0</v>
      </c>
      <c r="AP589" s="4">
        <v>0</v>
      </c>
      <c r="AQ589" s="4">
        <v>2</v>
      </c>
      <c r="AR589" s="3" t="s">
        <v>63</v>
      </c>
      <c r="AS589" s="3" t="s">
        <v>63</v>
      </c>
      <c r="AT589" s="3" t="s">
        <v>63</v>
      </c>
      <c r="AV589" s="6" t="str">
        <f>HYPERLINK("http://mcgill.on.worldcat.org/oclc/703427859","Catalog Record")</f>
        <v>Catalog Record</v>
      </c>
      <c r="AW589" s="6" t="str">
        <f>HYPERLINK("http://www.worldcat.org/oclc/703427859","WorldCat Record")</f>
        <v>WorldCat Record</v>
      </c>
      <c r="AX589" s="3" t="s">
        <v>5961</v>
      </c>
      <c r="AY589" s="3" t="s">
        <v>5962</v>
      </c>
      <c r="AZ589" s="3" t="s">
        <v>5963</v>
      </c>
      <c r="BA589" s="3" t="s">
        <v>5963</v>
      </c>
      <c r="BB589" s="3" t="s">
        <v>5964</v>
      </c>
      <c r="BC589" s="3" t="s">
        <v>82</v>
      </c>
      <c r="BD589" s="3" t="s">
        <v>70</v>
      </c>
      <c r="BE589" s="3" t="s">
        <v>5965</v>
      </c>
      <c r="BF589" s="3" t="s">
        <v>5964</v>
      </c>
      <c r="BG589" s="3" t="s">
        <v>5966</v>
      </c>
    </row>
    <row r="590" spans="1:59" ht="75" x14ac:dyDescent="0.25">
      <c r="A590" s="2" t="s">
        <v>59</v>
      </c>
      <c r="B590" s="2" t="s">
        <v>60</v>
      </c>
      <c r="C590" s="2" t="s">
        <v>5967</v>
      </c>
      <c r="D590" s="2" t="s">
        <v>5968</v>
      </c>
      <c r="E590" s="2" t="s">
        <v>5969</v>
      </c>
      <c r="G590" s="3" t="s">
        <v>63</v>
      </c>
      <c r="I590" s="3" t="s">
        <v>63</v>
      </c>
      <c r="J590" s="3" t="s">
        <v>63</v>
      </c>
      <c r="K590" s="3" t="s">
        <v>64</v>
      </c>
      <c r="M590" s="2" t="s">
        <v>5970</v>
      </c>
      <c r="N590" s="3" t="s">
        <v>939</v>
      </c>
      <c r="P590" s="3" t="s">
        <v>66</v>
      </c>
      <c r="R590" s="3" t="s">
        <v>67</v>
      </c>
      <c r="S590" s="4">
        <v>5</v>
      </c>
      <c r="T590" s="4">
        <v>5</v>
      </c>
      <c r="U590" s="5" t="s">
        <v>5971</v>
      </c>
      <c r="V590" s="5" t="s">
        <v>5971</v>
      </c>
      <c r="W590" s="5" t="s">
        <v>69</v>
      </c>
      <c r="X590" s="5" t="s">
        <v>69</v>
      </c>
      <c r="Y590" s="4">
        <v>616</v>
      </c>
      <c r="Z590" s="4">
        <v>26</v>
      </c>
      <c r="AA590" s="4">
        <v>29</v>
      </c>
      <c r="AB590" s="4">
        <v>2</v>
      </c>
      <c r="AC590" s="4">
        <v>3</v>
      </c>
      <c r="AD590" s="4">
        <v>110</v>
      </c>
      <c r="AE590" s="4">
        <v>113</v>
      </c>
      <c r="AF590" s="4">
        <v>1</v>
      </c>
      <c r="AG590" s="4">
        <v>2</v>
      </c>
      <c r="AH590" s="4">
        <v>96</v>
      </c>
      <c r="AI590" s="4">
        <v>98</v>
      </c>
      <c r="AJ590" s="4">
        <v>15</v>
      </c>
      <c r="AK590" s="4">
        <v>18</v>
      </c>
      <c r="AL590" s="4">
        <v>53</v>
      </c>
      <c r="AM590" s="4">
        <v>53</v>
      </c>
      <c r="AN590" s="4">
        <v>0</v>
      </c>
      <c r="AO590" s="4">
        <v>0</v>
      </c>
      <c r="AP590" s="4">
        <v>19</v>
      </c>
      <c r="AQ590" s="4">
        <v>22</v>
      </c>
      <c r="AR590" s="3" t="s">
        <v>63</v>
      </c>
      <c r="AS590" s="3" t="s">
        <v>63</v>
      </c>
      <c r="AT590" s="3" t="s">
        <v>62</v>
      </c>
      <c r="AU590" s="6" t="str">
        <f>HYPERLINK("http://catalog.hathitrust.org/Record/001061978","HathiTrust Record")</f>
        <v>HathiTrust Record</v>
      </c>
      <c r="AV590" s="6" t="str">
        <f>HYPERLINK("http://mcgill.on.worldcat.org/oclc/441080","Catalog Record")</f>
        <v>Catalog Record</v>
      </c>
      <c r="AW590" s="6" t="str">
        <f>HYPERLINK("http://www.worldcat.org/oclc/441080","WorldCat Record")</f>
        <v>WorldCat Record</v>
      </c>
      <c r="AX590" s="3" t="s">
        <v>5972</v>
      </c>
      <c r="AY590" s="3" t="s">
        <v>5973</v>
      </c>
      <c r="AZ590" s="3" t="s">
        <v>5974</v>
      </c>
      <c r="BA590" s="3" t="s">
        <v>5974</v>
      </c>
      <c r="BB590" s="3" t="s">
        <v>5975</v>
      </c>
      <c r="BC590" s="3" t="s">
        <v>82</v>
      </c>
      <c r="BD590" s="3" t="s">
        <v>70</v>
      </c>
      <c r="BF590" s="3" t="s">
        <v>5975</v>
      </c>
      <c r="BG590" s="3" t="s">
        <v>5976</v>
      </c>
    </row>
    <row r="591" spans="1:59" ht="60" x14ac:dyDescent="0.25">
      <c r="A591" s="2" t="s">
        <v>59</v>
      </c>
      <c r="B591" s="2" t="s">
        <v>60</v>
      </c>
      <c r="C591" s="2" t="s">
        <v>5977</v>
      </c>
      <c r="D591" s="2" t="s">
        <v>5978</v>
      </c>
      <c r="E591" s="2" t="s">
        <v>5979</v>
      </c>
      <c r="G591" s="3" t="s">
        <v>63</v>
      </c>
      <c r="I591" s="3" t="s">
        <v>63</v>
      </c>
      <c r="J591" s="3" t="s">
        <v>63</v>
      </c>
      <c r="K591" s="3" t="s">
        <v>64</v>
      </c>
      <c r="M591" s="2" t="s">
        <v>5980</v>
      </c>
      <c r="N591" s="3" t="s">
        <v>143</v>
      </c>
      <c r="P591" s="3" t="s">
        <v>66</v>
      </c>
      <c r="Q591" s="2" t="s">
        <v>5981</v>
      </c>
      <c r="R591" s="3" t="s">
        <v>67</v>
      </c>
      <c r="S591" s="4">
        <v>0</v>
      </c>
      <c r="T591" s="4">
        <v>0</v>
      </c>
      <c r="W591" s="5" t="s">
        <v>69</v>
      </c>
      <c r="X591" s="5" t="s">
        <v>69</v>
      </c>
      <c r="Y591" s="4">
        <v>161</v>
      </c>
      <c r="Z591" s="4">
        <v>9</v>
      </c>
      <c r="AA591" s="4">
        <v>17</v>
      </c>
      <c r="AB591" s="4">
        <v>1</v>
      </c>
      <c r="AC591" s="4">
        <v>5</v>
      </c>
      <c r="AD591" s="4">
        <v>37</v>
      </c>
      <c r="AE591" s="4">
        <v>52</v>
      </c>
      <c r="AF591" s="4">
        <v>0</v>
      </c>
      <c r="AG591" s="4">
        <v>2</v>
      </c>
      <c r="AH591" s="4">
        <v>35</v>
      </c>
      <c r="AI591" s="4">
        <v>47</v>
      </c>
      <c r="AJ591" s="4">
        <v>6</v>
      </c>
      <c r="AK591" s="4">
        <v>7</v>
      </c>
      <c r="AL591" s="4">
        <v>22</v>
      </c>
      <c r="AM591" s="4">
        <v>30</v>
      </c>
      <c r="AN591" s="4">
        <v>0</v>
      </c>
      <c r="AO591" s="4">
        <v>0</v>
      </c>
      <c r="AP591" s="4">
        <v>6</v>
      </c>
      <c r="AQ591" s="4">
        <v>8</v>
      </c>
      <c r="AR591" s="3" t="s">
        <v>63</v>
      </c>
      <c r="AS591" s="3" t="s">
        <v>63</v>
      </c>
      <c r="AT591" s="3" t="s">
        <v>63</v>
      </c>
      <c r="AV591" s="6" t="str">
        <f>HYPERLINK("http://mcgill.on.worldcat.org/oclc/867860519","Catalog Record")</f>
        <v>Catalog Record</v>
      </c>
      <c r="AW591" s="6" t="str">
        <f>HYPERLINK("http://www.worldcat.org/oclc/867860519","WorldCat Record")</f>
        <v>WorldCat Record</v>
      </c>
      <c r="AX591" s="3" t="s">
        <v>5982</v>
      </c>
      <c r="AY591" s="3" t="s">
        <v>5983</v>
      </c>
      <c r="AZ591" s="3" t="s">
        <v>5984</v>
      </c>
      <c r="BA591" s="3" t="s">
        <v>5984</v>
      </c>
      <c r="BB591" s="3" t="s">
        <v>5985</v>
      </c>
      <c r="BC591" s="3" t="s">
        <v>82</v>
      </c>
      <c r="BD591" s="3" t="s">
        <v>70</v>
      </c>
      <c r="BE591" s="3" t="s">
        <v>5986</v>
      </c>
      <c r="BF591" s="3" t="s">
        <v>5985</v>
      </c>
      <c r="BG591" s="3" t="s">
        <v>5987</v>
      </c>
    </row>
    <row r="592" spans="1:59" ht="60" x14ac:dyDescent="0.25">
      <c r="A592" s="2" t="s">
        <v>59</v>
      </c>
      <c r="B592" s="2" t="s">
        <v>60</v>
      </c>
      <c r="C592" s="2" t="s">
        <v>5988</v>
      </c>
      <c r="D592" s="2" t="s">
        <v>5989</v>
      </c>
      <c r="E592" s="2" t="s">
        <v>5990</v>
      </c>
      <c r="G592" s="3" t="s">
        <v>63</v>
      </c>
      <c r="I592" s="3" t="s">
        <v>62</v>
      </c>
      <c r="J592" s="3" t="s">
        <v>63</v>
      </c>
      <c r="K592" s="3" t="s">
        <v>64</v>
      </c>
      <c r="L592" s="2" t="s">
        <v>5991</v>
      </c>
      <c r="M592" s="2" t="s">
        <v>5992</v>
      </c>
      <c r="N592" s="3" t="s">
        <v>1046</v>
      </c>
      <c r="P592" s="3" t="s">
        <v>66</v>
      </c>
      <c r="Q592" s="2" t="s">
        <v>5993</v>
      </c>
      <c r="R592" s="3" t="s">
        <v>67</v>
      </c>
      <c r="S592" s="4">
        <v>68</v>
      </c>
      <c r="T592" s="4">
        <v>109</v>
      </c>
      <c r="U592" s="5" t="s">
        <v>5994</v>
      </c>
      <c r="V592" s="5" t="s">
        <v>5995</v>
      </c>
      <c r="W592" s="5" t="s">
        <v>69</v>
      </c>
      <c r="X592" s="5" t="s">
        <v>69</v>
      </c>
      <c r="Y592" s="4">
        <v>666</v>
      </c>
      <c r="Z592" s="4">
        <v>28</v>
      </c>
      <c r="AA592" s="4">
        <v>33</v>
      </c>
      <c r="AB592" s="4">
        <v>2</v>
      </c>
      <c r="AC592" s="4">
        <v>3</v>
      </c>
      <c r="AD592" s="4">
        <v>94</v>
      </c>
      <c r="AE592" s="4">
        <v>104</v>
      </c>
      <c r="AF592" s="4">
        <v>1</v>
      </c>
      <c r="AG592" s="4">
        <v>1</v>
      </c>
      <c r="AH592" s="4">
        <v>80</v>
      </c>
      <c r="AI592" s="4">
        <v>88</v>
      </c>
      <c r="AJ592" s="4">
        <v>16</v>
      </c>
      <c r="AK592" s="4">
        <v>20</v>
      </c>
      <c r="AL592" s="4">
        <v>44</v>
      </c>
      <c r="AM592" s="4">
        <v>49</v>
      </c>
      <c r="AN592" s="4">
        <v>0</v>
      </c>
      <c r="AO592" s="4">
        <v>0</v>
      </c>
      <c r="AP592" s="4">
        <v>20</v>
      </c>
      <c r="AQ592" s="4">
        <v>24</v>
      </c>
      <c r="AR592" s="3" t="s">
        <v>63</v>
      </c>
      <c r="AS592" s="3" t="s">
        <v>63</v>
      </c>
      <c r="AT592" s="3" t="s">
        <v>62</v>
      </c>
      <c r="AU592" s="6" t="str">
        <f>HYPERLINK("http://catalog.hathitrust.org/Record/001353194","HathiTrust Record")</f>
        <v>HathiTrust Record</v>
      </c>
      <c r="AV592" s="6" t="str">
        <f>HYPERLINK("http://mcgill.on.worldcat.org/oclc/170210","Catalog Record")</f>
        <v>Catalog Record</v>
      </c>
      <c r="AW592" s="6" t="str">
        <f>HYPERLINK("http://www.worldcat.org/oclc/170210","WorldCat Record")</f>
        <v>WorldCat Record</v>
      </c>
      <c r="AX592" s="3" t="s">
        <v>5996</v>
      </c>
      <c r="AY592" s="3" t="s">
        <v>5997</v>
      </c>
      <c r="AZ592" s="3" t="s">
        <v>5998</v>
      </c>
      <c r="BA592" s="3" t="s">
        <v>5998</v>
      </c>
      <c r="BB592" s="3" t="s">
        <v>5999</v>
      </c>
      <c r="BC592" s="3" t="s">
        <v>82</v>
      </c>
      <c r="BD592" s="3" t="s">
        <v>70</v>
      </c>
      <c r="BE592" s="3" t="s">
        <v>6000</v>
      </c>
      <c r="BF592" s="3" t="s">
        <v>5999</v>
      </c>
      <c r="BG592" s="3" t="s">
        <v>6001</v>
      </c>
    </row>
    <row r="593" spans="1:59" ht="105" x14ac:dyDescent="0.25">
      <c r="A593" s="2" t="s">
        <v>59</v>
      </c>
      <c r="B593" s="2" t="s">
        <v>1018</v>
      </c>
      <c r="C593" s="2" t="s">
        <v>5988</v>
      </c>
      <c r="D593" s="2" t="s">
        <v>5989</v>
      </c>
      <c r="E593" s="2" t="s">
        <v>5990</v>
      </c>
      <c r="G593" s="3" t="s">
        <v>63</v>
      </c>
      <c r="I593" s="3" t="s">
        <v>62</v>
      </c>
      <c r="J593" s="3" t="s">
        <v>63</v>
      </c>
      <c r="K593" s="3" t="s">
        <v>64</v>
      </c>
      <c r="L593" s="2" t="s">
        <v>5991</v>
      </c>
      <c r="M593" s="2" t="s">
        <v>5992</v>
      </c>
      <c r="N593" s="3" t="s">
        <v>1046</v>
      </c>
      <c r="P593" s="3" t="s">
        <v>66</v>
      </c>
      <c r="Q593" s="2" t="s">
        <v>5993</v>
      </c>
      <c r="R593" s="3" t="s">
        <v>67</v>
      </c>
      <c r="S593" s="4">
        <v>21</v>
      </c>
      <c r="T593" s="4">
        <v>109</v>
      </c>
      <c r="U593" s="5" t="s">
        <v>5995</v>
      </c>
      <c r="V593" s="5" t="s">
        <v>5995</v>
      </c>
      <c r="W593" s="5" t="s">
        <v>69</v>
      </c>
      <c r="X593" s="5" t="s">
        <v>69</v>
      </c>
      <c r="Y593" s="4">
        <v>666</v>
      </c>
      <c r="Z593" s="4">
        <v>28</v>
      </c>
      <c r="AA593" s="4">
        <v>33</v>
      </c>
      <c r="AB593" s="4">
        <v>2</v>
      </c>
      <c r="AC593" s="4">
        <v>3</v>
      </c>
      <c r="AD593" s="4">
        <v>94</v>
      </c>
      <c r="AE593" s="4">
        <v>104</v>
      </c>
      <c r="AF593" s="4">
        <v>1</v>
      </c>
      <c r="AG593" s="4">
        <v>1</v>
      </c>
      <c r="AH593" s="4">
        <v>80</v>
      </c>
      <c r="AI593" s="4">
        <v>88</v>
      </c>
      <c r="AJ593" s="4">
        <v>16</v>
      </c>
      <c r="AK593" s="4">
        <v>20</v>
      </c>
      <c r="AL593" s="4">
        <v>44</v>
      </c>
      <c r="AM593" s="4">
        <v>49</v>
      </c>
      <c r="AN593" s="4">
        <v>0</v>
      </c>
      <c r="AO593" s="4">
        <v>0</v>
      </c>
      <c r="AP593" s="4">
        <v>20</v>
      </c>
      <c r="AQ593" s="4">
        <v>24</v>
      </c>
      <c r="AR593" s="3" t="s">
        <v>63</v>
      </c>
      <c r="AS593" s="3" t="s">
        <v>63</v>
      </c>
      <c r="AT593" s="3" t="s">
        <v>62</v>
      </c>
      <c r="AU593" s="6" t="str">
        <f>HYPERLINK("http://catalog.hathitrust.org/Record/001353194","HathiTrust Record")</f>
        <v>HathiTrust Record</v>
      </c>
      <c r="AV593" s="6" t="str">
        <f>HYPERLINK("http://mcgill.on.worldcat.org/oclc/170210","Catalog Record")</f>
        <v>Catalog Record</v>
      </c>
      <c r="AW593" s="6" t="str">
        <f>HYPERLINK("http://www.worldcat.org/oclc/170210","WorldCat Record")</f>
        <v>WorldCat Record</v>
      </c>
      <c r="AX593" s="3" t="s">
        <v>5996</v>
      </c>
      <c r="AY593" s="3" t="s">
        <v>5997</v>
      </c>
      <c r="AZ593" s="3" t="s">
        <v>5998</v>
      </c>
      <c r="BA593" s="3" t="s">
        <v>5998</v>
      </c>
      <c r="BB593" s="3" t="s">
        <v>6002</v>
      </c>
      <c r="BC593" s="3" t="s">
        <v>82</v>
      </c>
      <c r="BD593" s="3" t="s">
        <v>70</v>
      </c>
      <c r="BE593" s="3" t="s">
        <v>6000</v>
      </c>
      <c r="BF593" s="3" t="s">
        <v>6002</v>
      </c>
      <c r="BG593" s="3" t="s">
        <v>6003</v>
      </c>
    </row>
    <row r="594" spans="1:59" ht="60" x14ac:dyDescent="0.25">
      <c r="A594" s="2" t="s">
        <v>59</v>
      </c>
      <c r="B594" s="2" t="s">
        <v>60</v>
      </c>
      <c r="C594" s="2" t="s">
        <v>5988</v>
      </c>
      <c r="D594" s="2" t="s">
        <v>5989</v>
      </c>
      <c r="E594" s="2" t="s">
        <v>5990</v>
      </c>
      <c r="G594" s="3" t="s">
        <v>63</v>
      </c>
      <c r="I594" s="3" t="s">
        <v>62</v>
      </c>
      <c r="J594" s="3" t="s">
        <v>63</v>
      </c>
      <c r="K594" s="3" t="s">
        <v>64</v>
      </c>
      <c r="L594" s="2" t="s">
        <v>5991</v>
      </c>
      <c r="M594" s="2" t="s">
        <v>5992</v>
      </c>
      <c r="N594" s="3" t="s">
        <v>1046</v>
      </c>
      <c r="P594" s="3" t="s">
        <v>66</v>
      </c>
      <c r="Q594" s="2" t="s">
        <v>5993</v>
      </c>
      <c r="R594" s="3" t="s">
        <v>67</v>
      </c>
      <c r="S594" s="4">
        <v>20</v>
      </c>
      <c r="T594" s="4">
        <v>109</v>
      </c>
      <c r="U594" s="5" t="s">
        <v>6004</v>
      </c>
      <c r="V594" s="5" t="s">
        <v>5995</v>
      </c>
      <c r="W594" s="5" t="s">
        <v>69</v>
      </c>
      <c r="X594" s="5" t="s">
        <v>69</v>
      </c>
      <c r="Y594" s="4">
        <v>666</v>
      </c>
      <c r="Z594" s="4">
        <v>28</v>
      </c>
      <c r="AA594" s="4">
        <v>33</v>
      </c>
      <c r="AB594" s="4">
        <v>2</v>
      </c>
      <c r="AC594" s="4">
        <v>3</v>
      </c>
      <c r="AD594" s="4">
        <v>94</v>
      </c>
      <c r="AE594" s="4">
        <v>104</v>
      </c>
      <c r="AF594" s="4">
        <v>1</v>
      </c>
      <c r="AG594" s="4">
        <v>1</v>
      </c>
      <c r="AH594" s="4">
        <v>80</v>
      </c>
      <c r="AI594" s="4">
        <v>88</v>
      </c>
      <c r="AJ594" s="4">
        <v>16</v>
      </c>
      <c r="AK594" s="4">
        <v>20</v>
      </c>
      <c r="AL594" s="4">
        <v>44</v>
      </c>
      <c r="AM594" s="4">
        <v>49</v>
      </c>
      <c r="AN594" s="4">
        <v>0</v>
      </c>
      <c r="AO594" s="4">
        <v>0</v>
      </c>
      <c r="AP594" s="4">
        <v>20</v>
      </c>
      <c r="AQ594" s="4">
        <v>24</v>
      </c>
      <c r="AR594" s="3" t="s">
        <v>63</v>
      </c>
      <c r="AS594" s="3" t="s">
        <v>63</v>
      </c>
      <c r="AT594" s="3" t="s">
        <v>62</v>
      </c>
      <c r="AU594" s="6" t="str">
        <f>HYPERLINK("http://catalog.hathitrust.org/Record/001353194","HathiTrust Record")</f>
        <v>HathiTrust Record</v>
      </c>
      <c r="AV594" s="6" t="str">
        <f>HYPERLINK("http://mcgill.on.worldcat.org/oclc/170210","Catalog Record")</f>
        <v>Catalog Record</v>
      </c>
      <c r="AW594" s="6" t="str">
        <f>HYPERLINK("http://www.worldcat.org/oclc/170210","WorldCat Record")</f>
        <v>WorldCat Record</v>
      </c>
      <c r="AX594" s="3" t="s">
        <v>5996</v>
      </c>
      <c r="AY594" s="3" t="s">
        <v>5997</v>
      </c>
      <c r="AZ594" s="3" t="s">
        <v>5998</v>
      </c>
      <c r="BA594" s="3" t="s">
        <v>5998</v>
      </c>
      <c r="BB594" s="3" t="s">
        <v>6005</v>
      </c>
      <c r="BC594" s="3" t="s">
        <v>82</v>
      </c>
      <c r="BD594" s="3" t="s">
        <v>70</v>
      </c>
      <c r="BE594" s="3" t="s">
        <v>6000</v>
      </c>
      <c r="BF594" s="3" t="s">
        <v>6005</v>
      </c>
      <c r="BG594" s="3" t="s">
        <v>6006</v>
      </c>
    </row>
    <row r="595" spans="1:59" ht="60" x14ac:dyDescent="0.25">
      <c r="A595" s="2" t="s">
        <v>59</v>
      </c>
      <c r="B595" s="2" t="s">
        <v>60</v>
      </c>
      <c r="C595" s="2" t="s">
        <v>6007</v>
      </c>
      <c r="D595" s="2" t="s">
        <v>6008</v>
      </c>
      <c r="E595" s="2" t="s">
        <v>6009</v>
      </c>
      <c r="G595" s="3" t="s">
        <v>63</v>
      </c>
      <c r="I595" s="3" t="s">
        <v>63</v>
      </c>
      <c r="J595" s="3" t="s">
        <v>63</v>
      </c>
      <c r="K595" s="3" t="s">
        <v>64</v>
      </c>
      <c r="M595" s="2" t="s">
        <v>6010</v>
      </c>
      <c r="N595" s="3" t="s">
        <v>1023</v>
      </c>
      <c r="P595" s="3" t="s">
        <v>66</v>
      </c>
      <c r="R595" s="3" t="s">
        <v>67</v>
      </c>
      <c r="S595" s="4">
        <v>21</v>
      </c>
      <c r="T595" s="4">
        <v>21</v>
      </c>
      <c r="U595" s="5" t="s">
        <v>6011</v>
      </c>
      <c r="V595" s="5" t="s">
        <v>6011</v>
      </c>
      <c r="W595" s="5" t="s">
        <v>69</v>
      </c>
      <c r="X595" s="5" t="s">
        <v>69</v>
      </c>
      <c r="Y595" s="4">
        <v>366</v>
      </c>
      <c r="Z595" s="4">
        <v>23</v>
      </c>
      <c r="AA595" s="4">
        <v>99</v>
      </c>
      <c r="AB595" s="4">
        <v>1</v>
      </c>
      <c r="AC595" s="4">
        <v>17</v>
      </c>
      <c r="AD595" s="4">
        <v>114</v>
      </c>
      <c r="AE595" s="4">
        <v>146</v>
      </c>
      <c r="AF595" s="4">
        <v>0</v>
      </c>
      <c r="AG595" s="4">
        <v>8</v>
      </c>
      <c r="AH595" s="4">
        <v>103</v>
      </c>
      <c r="AI595" s="4">
        <v>109</v>
      </c>
      <c r="AJ595" s="4">
        <v>18</v>
      </c>
      <c r="AK595" s="4">
        <v>25</v>
      </c>
      <c r="AL595" s="4">
        <v>55</v>
      </c>
      <c r="AM595" s="4">
        <v>57</v>
      </c>
      <c r="AN595" s="4">
        <v>0</v>
      </c>
      <c r="AO595" s="4">
        <v>0</v>
      </c>
      <c r="AP595" s="4">
        <v>20</v>
      </c>
      <c r="AQ595" s="4">
        <v>46</v>
      </c>
      <c r="AR595" s="3" t="s">
        <v>63</v>
      </c>
      <c r="AS595" s="3" t="s">
        <v>63</v>
      </c>
      <c r="AT595" s="3" t="s">
        <v>62</v>
      </c>
      <c r="AU595" s="6" t="str">
        <f>HYPERLINK("http://catalog.hathitrust.org/Record/002808405","HathiTrust Record")</f>
        <v>HathiTrust Record</v>
      </c>
      <c r="AV595" s="6" t="str">
        <f>HYPERLINK("http://mcgill.on.worldcat.org/oclc/28929121","Catalog Record")</f>
        <v>Catalog Record</v>
      </c>
      <c r="AW595" s="6" t="str">
        <f>HYPERLINK("http://www.worldcat.org/oclc/28929121","WorldCat Record")</f>
        <v>WorldCat Record</v>
      </c>
      <c r="AX595" s="3" t="s">
        <v>6012</v>
      </c>
      <c r="AY595" s="3" t="s">
        <v>6013</v>
      </c>
      <c r="AZ595" s="3" t="s">
        <v>6014</v>
      </c>
      <c r="BA595" s="3" t="s">
        <v>6014</v>
      </c>
      <c r="BB595" s="3" t="s">
        <v>6015</v>
      </c>
      <c r="BC595" s="3" t="s">
        <v>82</v>
      </c>
      <c r="BD595" s="3" t="s">
        <v>70</v>
      </c>
      <c r="BE595" s="3" t="s">
        <v>6016</v>
      </c>
      <c r="BF595" s="3" t="s">
        <v>6015</v>
      </c>
      <c r="BG595" s="3" t="s">
        <v>6017</v>
      </c>
    </row>
    <row r="596" spans="1:59" ht="60" x14ac:dyDescent="0.25">
      <c r="A596" s="2" t="s">
        <v>59</v>
      </c>
      <c r="B596" s="2" t="s">
        <v>60</v>
      </c>
      <c r="C596" s="2" t="s">
        <v>6018</v>
      </c>
      <c r="D596" s="2" t="s">
        <v>6019</v>
      </c>
      <c r="E596" s="2" t="s">
        <v>6020</v>
      </c>
      <c r="G596" s="3" t="s">
        <v>63</v>
      </c>
      <c r="I596" s="3" t="s">
        <v>63</v>
      </c>
      <c r="J596" s="3" t="s">
        <v>63</v>
      </c>
      <c r="K596" s="3" t="s">
        <v>64</v>
      </c>
      <c r="L596" s="2" t="s">
        <v>6021</v>
      </c>
      <c r="M596" s="2" t="s">
        <v>6022</v>
      </c>
      <c r="N596" s="3" t="s">
        <v>1023</v>
      </c>
      <c r="P596" s="3" t="s">
        <v>66</v>
      </c>
      <c r="Q596" s="2" t="s">
        <v>5294</v>
      </c>
      <c r="R596" s="3" t="s">
        <v>67</v>
      </c>
      <c r="S596" s="4">
        <v>41</v>
      </c>
      <c r="T596" s="4">
        <v>41</v>
      </c>
      <c r="U596" s="5" t="s">
        <v>6023</v>
      </c>
      <c r="V596" s="5" t="s">
        <v>6023</v>
      </c>
      <c r="W596" s="5" t="s">
        <v>69</v>
      </c>
      <c r="X596" s="5" t="s">
        <v>69</v>
      </c>
      <c r="Y596" s="4">
        <v>349</v>
      </c>
      <c r="Z596" s="4">
        <v>22</v>
      </c>
      <c r="AA596" s="4">
        <v>27</v>
      </c>
      <c r="AB596" s="4">
        <v>1</v>
      </c>
      <c r="AC596" s="4">
        <v>5</v>
      </c>
      <c r="AD596" s="4">
        <v>104</v>
      </c>
      <c r="AE596" s="4">
        <v>110</v>
      </c>
      <c r="AF596" s="4">
        <v>0</v>
      </c>
      <c r="AG596" s="4">
        <v>2</v>
      </c>
      <c r="AH596" s="4">
        <v>95</v>
      </c>
      <c r="AI596" s="4">
        <v>100</v>
      </c>
      <c r="AJ596" s="4">
        <v>16</v>
      </c>
      <c r="AK596" s="4">
        <v>19</v>
      </c>
      <c r="AL596" s="4">
        <v>52</v>
      </c>
      <c r="AM596" s="4">
        <v>53</v>
      </c>
      <c r="AN596" s="4">
        <v>0</v>
      </c>
      <c r="AO596" s="4">
        <v>0</v>
      </c>
      <c r="AP596" s="4">
        <v>18</v>
      </c>
      <c r="AQ596" s="4">
        <v>20</v>
      </c>
      <c r="AR596" s="3" t="s">
        <v>63</v>
      </c>
      <c r="AS596" s="3" t="s">
        <v>63</v>
      </c>
      <c r="AT596" s="3" t="s">
        <v>62</v>
      </c>
      <c r="AU596" s="6" t="str">
        <f>HYPERLINK("http://catalog.hathitrust.org/Record/002959901","HathiTrust Record")</f>
        <v>HathiTrust Record</v>
      </c>
      <c r="AV596" s="6" t="str">
        <f>HYPERLINK("http://mcgill.on.worldcat.org/oclc/29594985","Catalog Record")</f>
        <v>Catalog Record</v>
      </c>
      <c r="AW596" s="6" t="str">
        <f>HYPERLINK("http://www.worldcat.org/oclc/29594985","WorldCat Record")</f>
        <v>WorldCat Record</v>
      </c>
      <c r="AX596" s="3" t="s">
        <v>6024</v>
      </c>
      <c r="AY596" s="3" t="s">
        <v>6025</v>
      </c>
      <c r="AZ596" s="3" t="s">
        <v>6026</v>
      </c>
      <c r="BA596" s="3" t="s">
        <v>6026</v>
      </c>
      <c r="BB596" s="3" t="s">
        <v>6027</v>
      </c>
      <c r="BC596" s="3" t="s">
        <v>82</v>
      </c>
      <c r="BD596" s="3" t="s">
        <v>538</v>
      </c>
      <c r="BE596" s="3" t="s">
        <v>6028</v>
      </c>
      <c r="BF596" s="3" t="s">
        <v>6027</v>
      </c>
      <c r="BG596" s="3" t="s">
        <v>6029</v>
      </c>
    </row>
    <row r="597" spans="1:59" ht="75" x14ac:dyDescent="0.25">
      <c r="A597" s="2" t="s">
        <v>59</v>
      </c>
      <c r="B597" s="2" t="s">
        <v>60</v>
      </c>
      <c r="C597" s="2" t="s">
        <v>6030</v>
      </c>
      <c r="D597" s="2" t="s">
        <v>6031</v>
      </c>
      <c r="E597" s="2" t="s">
        <v>6032</v>
      </c>
      <c r="G597" s="3" t="s">
        <v>63</v>
      </c>
      <c r="I597" s="3" t="s">
        <v>63</v>
      </c>
      <c r="J597" s="3" t="s">
        <v>63</v>
      </c>
      <c r="K597" s="3" t="s">
        <v>64</v>
      </c>
      <c r="L597" s="2" t="s">
        <v>4670</v>
      </c>
      <c r="M597" s="2" t="s">
        <v>6033</v>
      </c>
      <c r="N597" s="3" t="s">
        <v>668</v>
      </c>
      <c r="P597" s="3" t="s">
        <v>66</v>
      </c>
      <c r="R597" s="3" t="s">
        <v>67</v>
      </c>
      <c r="S597" s="4">
        <v>10</v>
      </c>
      <c r="T597" s="4">
        <v>10</v>
      </c>
      <c r="U597" s="5" t="s">
        <v>719</v>
      </c>
      <c r="V597" s="5" t="s">
        <v>719</v>
      </c>
      <c r="W597" s="5" t="s">
        <v>69</v>
      </c>
      <c r="X597" s="5" t="s">
        <v>69</v>
      </c>
      <c r="Y597" s="4">
        <v>288</v>
      </c>
      <c r="Z597" s="4">
        <v>19</v>
      </c>
      <c r="AA597" s="4">
        <v>19</v>
      </c>
      <c r="AB597" s="4">
        <v>1</v>
      </c>
      <c r="AC597" s="4">
        <v>1</v>
      </c>
      <c r="AD597" s="4">
        <v>108</v>
      </c>
      <c r="AE597" s="4">
        <v>108</v>
      </c>
      <c r="AF597" s="4">
        <v>0</v>
      </c>
      <c r="AG597" s="4">
        <v>0</v>
      </c>
      <c r="AH597" s="4">
        <v>101</v>
      </c>
      <c r="AI597" s="4">
        <v>101</v>
      </c>
      <c r="AJ597" s="4">
        <v>14</v>
      </c>
      <c r="AK597" s="4">
        <v>14</v>
      </c>
      <c r="AL597" s="4">
        <v>57</v>
      </c>
      <c r="AM597" s="4">
        <v>57</v>
      </c>
      <c r="AN597" s="4">
        <v>0</v>
      </c>
      <c r="AO597" s="4">
        <v>0</v>
      </c>
      <c r="AP597" s="4">
        <v>14</v>
      </c>
      <c r="AQ597" s="4">
        <v>14</v>
      </c>
      <c r="AR597" s="3" t="s">
        <v>63</v>
      </c>
      <c r="AS597" s="3" t="s">
        <v>63</v>
      </c>
      <c r="AT597" s="3" t="s">
        <v>62</v>
      </c>
      <c r="AU597" s="6" t="str">
        <f>HYPERLINK("http://catalog.hathitrust.org/Record/002062127","HathiTrust Record")</f>
        <v>HathiTrust Record</v>
      </c>
      <c r="AV597" s="6" t="str">
        <f>HYPERLINK("http://mcgill.on.worldcat.org/oclc/20671158","Catalog Record")</f>
        <v>Catalog Record</v>
      </c>
      <c r="AW597" s="6" t="str">
        <f>HYPERLINK("http://www.worldcat.org/oclc/20671158","WorldCat Record")</f>
        <v>WorldCat Record</v>
      </c>
      <c r="AX597" s="3" t="s">
        <v>6034</v>
      </c>
      <c r="AY597" s="3" t="s">
        <v>6035</v>
      </c>
      <c r="AZ597" s="3" t="s">
        <v>6036</v>
      </c>
      <c r="BA597" s="3" t="s">
        <v>6036</v>
      </c>
      <c r="BB597" s="3" t="s">
        <v>6037</v>
      </c>
      <c r="BC597" s="3" t="s">
        <v>82</v>
      </c>
      <c r="BD597" s="3" t="s">
        <v>538</v>
      </c>
      <c r="BE597" s="3" t="s">
        <v>6038</v>
      </c>
      <c r="BF597" s="3" t="s">
        <v>6037</v>
      </c>
      <c r="BG597" s="3" t="s">
        <v>6039</v>
      </c>
    </row>
    <row r="598" spans="1:59" ht="60" x14ac:dyDescent="0.25">
      <c r="A598" s="2" t="s">
        <v>59</v>
      </c>
      <c r="B598" s="2" t="s">
        <v>60</v>
      </c>
      <c r="C598" s="2" t="s">
        <v>6040</v>
      </c>
      <c r="D598" s="2" t="s">
        <v>6041</v>
      </c>
      <c r="E598" s="2" t="s">
        <v>6042</v>
      </c>
      <c r="G598" s="3" t="s">
        <v>63</v>
      </c>
      <c r="I598" s="3" t="s">
        <v>63</v>
      </c>
      <c r="J598" s="3" t="s">
        <v>63</v>
      </c>
      <c r="K598" s="3" t="s">
        <v>64</v>
      </c>
      <c r="L598" s="2" t="s">
        <v>6043</v>
      </c>
      <c r="M598" s="2" t="s">
        <v>6044</v>
      </c>
      <c r="N598" s="3" t="s">
        <v>362</v>
      </c>
      <c r="P598" s="3" t="s">
        <v>66</v>
      </c>
      <c r="Q598" s="2" t="s">
        <v>6045</v>
      </c>
      <c r="R598" s="3" t="s">
        <v>67</v>
      </c>
      <c r="S598" s="4">
        <v>14</v>
      </c>
      <c r="T598" s="4">
        <v>14</v>
      </c>
      <c r="U598" s="5" t="s">
        <v>3628</v>
      </c>
      <c r="V598" s="5" t="s">
        <v>3628</v>
      </c>
      <c r="W598" s="5" t="s">
        <v>69</v>
      </c>
      <c r="X598" s="5" t="s">
        <v>69</v>
      </c>
      <c r="Y598" s="4">
        <v>232</v>
      </c>
      <c r="Z598" s="4">
        <v>15</v>
      </c>
      <c r="AA598" s="4">
        <v>16</v>
      </c>
      <c r="AB598" s="4">
        <v>2</v>
      </c>
      <c r="AC598" s="4">
        <v>3</v>
      </c>
      <c r="AD598" s="4">
        <v>88</v>
      </c>
      <c r="AE598" s="4">
        <v>89</v>
      </c>
      <c r="AF598" s="4">
        <v>0</v>
      </c>
      <c r="AG598" s="4">
        <v>1</v>
      </c>
      <c r="AH598" s="4">
        <v>81</v>
      </c>
      <c r="AI598" s="4">
        <v>82</v>
      </c>
      <c r="AJ598" s="4">
        <v>12</v>
      </c>
      <c r="AK598" s="4">
        <v>13</v>
      </c>
      <c r="AL598" s="4">
        <v>49</v>
      </c>
      <c r="AM598" s="4">
        <v>49</v>
      </c>
      <c r="AN598" s="4">
        <v>0</v>
      </c>
      <c r="AO598" s="4">
        <v>0</v>
      </c>
      <c r="AP598" s="4">
        <v>12</v>
      </c>
      <c r="AQ598" s="4">
        <v>13</v>
      </c>
      <c r="AR598" s="3" t="s">
        <v>63</v>
      </c>
      <c r="AS598" s="3" t="s">
        <v>63</v>
      </c>
      <c r="AT598" s="3" t="s">
        <v>63</v>
      </c>
      <c r="AV598" s="6" t="str">
        <f>HYPERLINK("http://mcgill.on.worldcat.org/oclc/45446276","Catalog Record")</f>
        <v>Catalog Record</v>
      </c>
      <c r="AW598" s="6" t="str">
        <f>HYPERLINK("http://www.worldcat.org/oclc/45446276","WorldCat Record")</f>
        <v>WorldCat Record</v>
      </c>
      <c r="AX598" s="3" t="s">
        <v>6046</v>
      </c>
      <c r="AY598" s="3" t="s">
        <v>6047</v>
      </c>
      <c r="AZ598" s="3" t="s">
        <v>6048</v>
      </c>
      <c r="BA598" s="3" t="s">
        <v>6048</v>
      </c>
      <c r="BB598" s="3" t="s">
        <v>6049</v>
      </c>
      <c r="BC598" s="3" t="s">
        <v>82</v>
      </c>
      <c r="BD598" s="3" t="s">
        <v>70</v>
      </c>
      <c r="BE598" s="3" t="s">
        <v>6050</v>
      </c>
      <c r="BF598" s="3" t="s">
        <v>6049</v>
      </c>
      <c r="BG598" s="3" t="s">
        <v>6051</v>
      </c>
    </row>
    <row r="599" spans="1:59" ht="60" x14ac:dyDescent="0.25">
      <c r="A599" s="2" t="s">
        <v>59</v>
      </c>
      <c r="B599" s="2" t="s">
        <v>60</v>
      </c>
      <c r="C599" s="2" t="s">
        <v>6052</v>
      </c>
      <c r="D599" s="2" t="s">
        <v>6053</v>
      </c>
      <c r="E599" s="2" t="s">
        <v>6054</v>
      </c>
      <c r="G599" s="3" t="s">
        <v>63</v>
      </c>
      <c r="I599" s="3" t="s">
        <v>63</v>
      </c>
      <c r="J599" s="3" t="s">
        <v>63</v>
      </c>
      <c r="K599" s="3" t="s">
        <v>64</v>
      </c>
      <c r="L599" s="2" t="s">
        <v>6055</v>
      </c>
      <c r="M599" s="2" t="s">
        <v>1214</v>
      </c>
      <c r="N599" s="3" t="s">
        <v>130</v>
      </c>
      <c r="P599" s="3" t="s">
        <v>66</v>
      </c>
      <c r="R599" s="3" t="s">
        <v>67</v>
      </c>
      <c r="S599" s="4">
        <v>6</v>
      </c>
      <c r="T599" s="4">
        <v>6</v>
      </c>
      <c r="U599" s="5" t="s">
        <v>6056</v>
      </c>
      <c r="V599" s="5" t="s">
        <v>6056</v>
      </c>
      <c r="W599" s="5" t="s">
        <v>69</v>
      </c>
      <c r="X599" s="5" t="s">
        <v>69</v>
      </c>
      <c r="Y599" s="4">
        <v>198</v>
      </c>
      <c r="Z599" s="4">
        <v>12</v>
      </c>
      <c r="AA599" s="4">
        <v>29</v>
      </c>
      <c r="AB599" s="4">
        <v>1</v>
      </c>
      <c r="AC599" s="4">
        <v>5</v>
      </c>
      <c r="AD599" s="4">
        <v>85</v>
      </c>
      <c r="AE599" s="4">
        <v>101</v>
      </c>
      <c r="AF599" s="4">
        <v>0</v>
      </c>
      <c r="AG599" s="4">
        <v>2</v>
      </c>
      <c r="AH599" s="4">
        <v>80</v>
      </c>
      <c r="AI599" s="4">
        <v>86</v>
      </c>
      <c r="AJ599" s="4">
        <v>9</v>
      </c>
      <c r="AK599" s="4">
        <v>17</v>
      </c>
      <c r="AL599" s="4">
        <v>53</v>
      </c>
      <c r="AM599" s="4">
        <v>55</v>
      </c>
      <c r="AN599" s="4">
        <v>0</v>
      </c>
      <c r="AO599" s="4">
        <v>0</v>
      </c>
      <c r="AP599" s="4">
        <v>9</v>
      </c>
      <c r="AQ599" s="4">
        <v>21</v>
      </c>
      <c r="AR599" s="3" t="s">
        <v>63</v>
      </c>
      <c r="AS599" s="3" t="s">
        <v>63</v>
      </c>
      <c r="AT599" s="3" t="s">
        <v>63</v>
      </c>
      <c r="AV599" s="6" t="str">
        <f>HYPERLINK("http://mcgill.on.worldcat.org/oclc/793973901","Catalog Record")</f>
        <v>Catalog Record</v>
      </c>
      <c r="AW599" s="6" t="str">
        <f>HYPERLINK("http://www.worldcat.org/oclc/793973901","WorldCat Record")</f>
        <v>WorldCat Record</v>
      </c>
      <c r="AX599" s="3" t="s">
        <v>6057</v>
      </c>
      <c r="AY599" s="3" t="s">
        <v>6058</v>
      </c>
      <c r="AZ599" s="3" t="s">
        <v>6059</v>
      </c>
      <c r="BA599" s="3" t="s">
        <v>6059</v>
      </c>
      <c r="BB599" s="3" t="s">
        <v>6060</v>
      </c>
      <c r="BC599" s="3" t="s">
        <v>82</v>
      </c>
      <c r="BD599" s="3" t="s">
        <v>538</v>
      </c>
      <c r="BE599" s="3" t="s">
        <v>6061</v>
      </c>
      <c r="BF599" s="3" t="s">
        <v>6060</v>
      </c>
      <c r="BG599" s="3" t="s">
        <v>6062</v>
      </c>
    </row>
    <row r="600" spans="1:59" ht="60" x14ac:dyDescent="0.25">
      <c r="A600" s="2" t="s">
        <v>59</v>
      </c>
      <c r="B600" s="2" t="s">
        <v>60</v>
      </c>
      <c r="C600" s="2" t="s">
        <v>6063</v>
      </c>
      <c r="D600" s="2" t="s">
        <v>6064</v>
      </c>
      <c r="E600" s="2" t="s">
        <v>6065</v>
      </c>
      <c r="G600" s="3" t="s">
        <v>63</v>
      </c>
      <c r="I600" s="3" t="s">
        <v>63</v>
      </c>
      <c r="J600" s="3" t="s">
        <v>63</v>
      </c>
      <c r="K600" s="3" t="s">
        <v>64</v>
      </c>
      <c r="M600" s="2" t="s">
        <v>6066</v>
      </c>
      <c r="N600" s="3" t="s">
        <v>274</v>
      </c>
      <c r="P600" s="3" t="s">
        <v>66</v>
      </c>
      <c r="Q600" s="2" t="s">
        <v>6067</v>
      </c>
      <c r="R600" s="3" t="s">
        <v>67</v>
      </c>
      <c r="S600" s="4">
        <v>17</v>
      </c>
      <c r="T600" s="4">
        <v>17</v>
      </c>
      <c r="U600" s="5" t="s">
        <v>6068</v>
      </c>
      <c r="V600" s="5" t="s">
        <v>6068</v>
      </c>
      <c r="W600" s="5" t="s">
        <v>69</v>
      </c>
      <c r="X600" s="5" t="s">
        <v>69</v>
      </c>
      <c r="Y600" s="4">
        <v>133</v>
      </c>
      <c r="Z600" s="4">
        <v>13</v>
      </c>
      <c r="AA600" s="4">
        <v>13</v>
      </c>
      <c r="AB600" s="4">
        <v>1</v>
      </c>
      <c r="AC600" s="4">
        <v>1</v>
      </c>
      <c r="AD600" s="4">
        <v>69</v>
      </c>
      <c r="AE600" s="4">
        <v>69</v>
      </c>
      <c r="AF600" s="4">
        <v>0</v>
      </c>
      <c r="AG600" s="4">
        <v>0</v>
      </c>
      <c r="AH600" s="4">
        <v>62</v>
      </c>
      <c r="AI600" s="4">
        <v>62</v>
      </c>
      <c r="AJ600" s="4">
        <v>11</v>
      </c>
      <c r="AK600" s="4">
        <v>11</v>
      </c>
      <c r="AL600" s="4">
        <v>44</v>
      </c>
      <c r="AM600" s="4">
        <v>44</v>
      </c>
      <c r="AN600" s="4">
        <v>0</v>
      </c>
      <c r="AO600" s="4">
        <v>0</v>
      </c>
      <c r="AP600" s="4">
        <v>11</v>
      </c>
      <c r="AQ600" s="4">
        <v>11</v>
      </c>
      <c r="AR600" s="3" t="s">
        <v>63</v>
      </c>
      <c r="AS600" s="3" t="s">
        <v>63</v>
      </c>
      <c r="AT600" s="3" t="s">
        <v>63</v>
      </c>
      <c r="AV600" s="6" t="str">
        <f>HYPERLINK("http://mcgill.on.worldcat.org/oclc/41243460","Catalog Record")</f>
        <v>Catalog Record</v>
      </c>
      <c r="AW600" s="6" t="str">
        <f>HYPERLINK("http://www.worldcat.org/oclc/41243460","WorldCat Record")</f>
        <v>WorldCat Record</v>
      </c>
      <c r="AX600" s="3" t="s">
        <v>6069</v>
      </c>
      <c r="AY600" s="3" t="s">
        <v>6070</v>
      </c>
      <c r="AZ600" s="3" t="s">
        <v>6071</v>
      </c>
      <c r="BA600" s="3" t="s">
        <v>6071</v>
      </c>
      <c r="BB600" s="3" t="s">
        <v>6072</v>
      </c>
      <c r="BC600" s="3" t="s">
        <v>82</v>
      </c>
      <c r="BD600" s="3" t="s">
        <v>70</v>
      </c>
      <c r="BE600" s="3" t="s">
        <v>6073</v>
      </c>
      <c r="BF600" s="3" t="s">
        <v>6072</v>
      </c>
      <c r="BG600" s="3" t="s">
        <v>6074</v>
      </c>
    </row>
    <row r="601" spans="1:59" ht="60" x14ac:dyDescent="0.25">
      <c r="A601" s="2" t="s">
        <v>59</v>
      </c>
      <c r="B601" s="2" t="s">
        <v>60</v>
      </c>
      <c r="C601" s="2" t="s">
        <v>6075</v>
      </c>
      <c r="D601" s="2" t="s">
        <v>6076</v>
      </c>
      <c r="E601" s="2" t="s">
        <v>6077</v>
      </c>
      <c r="G601" s="3" t="s">
        <v>63</v>
      </c>
      <c r="I601" s="3" t="s">
        <v>63</v>
      </c>
      <c r="J601" s="3" t="s">
        <v>63</v>
      </c>
      <c r="K601" s="3" t="s">
        <v>64</v>
      </c>
      <c r="L601" s="2" t="s">
        <v>6078</v>
      </c>
      <c r="M601" s="2" t="s">
        <v>6079</v>
      </c>
      <c r="N601" s="3" t="s">
        <v>427</v>
      </c>
      <c r="P601" s="3" t="s">
        <v>66</v>
      </c>
      <c r="R601" s="3" t="s">
        <v>67</v>
      </c>
      <c r="S601" s="4">
        <v>12</v>
      </c>
      <c r="T601" s="4">
        <v>12</v>
      </c>
      <c r="U601" s="5" t="s">
        <v>6080</v>
      </c>
      <c r="V601" s="5" t="s">
        <v>6080</v>
      </c>
      <c r="W601" s="5" t="s">
        <v>69</v>
      </c>
      <c r="X601" s="5" t="s">
        <v>69</v>
      </c>
      <c r="Y601" s="4">
        <v>307</v>
      </c>
      <c r="Z601" s="4">
        <v>17</v>
      </c>
      <c r="AA601" s="4">
        <v>86</v>
      </c>
      <c r="AB601" s="4">
        <v>2</v>
      </c>
      <c r="AC601" s="4">
        <v>17</v>
      </c>
      <c r="AD601" s="4">
        <v>102</v>
      </c>
      <c r="AE601" s="4">
        <v>140</v>
      </c>
      <c r="AF601" s="4">
        <v>0</v>
      </c>
      <c r="AG601" s="4">
        <v>8</v>
      </c>
      <c r="AH601" s="4">
        <v>96</v>
      </c>
      <c r="AI601" s="4">
        <v>107</v>
      </c>
      <c r="AJ601" s="4">
        <v>14</v>
      </c>
      <c r="AK601" s="4">
        <v>25</v>
      </c>
      <c r="AL601" s="4">
        <v>54</v>
      </c>
      <c r="AM601" s="4">
        <v>58</v>
      </c>
      <c r="AN601" s="4">
        <v>0</v>
      </c>
      <c r="AO601" s="4">
        <v>0</v>
      </c>
      <c r="AP601" s="4">
        <v>14</v>
      </c>
      <c r="AQ601" s="4">
        <v>44</v>
      </c>
      <c r="AR601" s="3" t="s">
        <v>63</v>
      </c>
      <c r="AS601" s="3" t="s">
        <v>63</v>
      </c>
      <c r="AT601" s="3" t="s">
        <v>63</v>
      </c>
      <c r="AV601" s="6" t="str">
        <f>HYPERLINK("http://mcgill.on.worldcat.org/oclc/17506652","Catalog Record")</f>
        <v>Catalog Record</v>
      </c>
      <c r="AW601" s="6" t="str">
        <f>HYPERLINK("http://www.worldcat.org/oclc/17506652","WorldCat Record")</f>
        <v>WorldCat Record</v>
      </c>
      <c r="AX601" s="3" t="s">
        <v>6081</v>
      </c>
      <c r="AY601" s="3" t="s">
        <v>6082</v>
      </c>
      <c r="AZ601" s="3" t="s">
        <v>6083</v>
      </c>
      <c r="BA601" s="3" t="s">
        <v>6083</v>
      </c>
      <c r="BB601" s="3" t="s">
        <v>6084</v>
      </c>
      <c r="BC601" s="3" t="s">
        <v>82</v>
      </c>
      <c r="BD601" s="3" t="s">
        <v>70</v>
      </c>
      <c r="BE601" s="3" t="s">
        <v>6085</v>
      </c>
      <c r="BF601" s="3" t="s">
        <v>6084</v>
      </c>
      <c r="BG601" s="3" t="s">
        <v>6086</v>
      </c>
    </row>
    <row r="602" spans="1:59" ht="60" x14ac:dyDescent="0.25">
      <c r="A602" s="2" t="s">
        <v>59</v>
      </c>
      <c r="B602" s="2" t="s">
        <v>60</v>
      </c>
      <c r="C602" s="2" t="s">
        <v>6087</v>
      </c>
      <c r="D602" s="2" t="s">
        <v>6088</v>
      </c>
      <c r="E602" s="2" t="s">
        <v>6089</v>
      </c>
      <c r="G602" s="3" t="s">
        <v>63</v>
      </c>
      <c r="I602" s="3" t="s">
        <v>63</v>
      </c>
      <c r="J602" s="3" t="s">
        <v>63</v>
      </c>
      <c r="K602" s="3" t="s">
        <v>64</v>
      </c>
      <c r="L602" s="2" t="s">
        <v>6090</v>
      </c>
      <c r="M602" s="2" t="s">
        <v>6091</v>
      </c>
      <c r="N602" s="3" t="s">
        <v>313</v>
      </c>
      <c r="P602" s="3" t="s">
        <v>66</v>
      </c>
      <c r="Q602" s="2" t="s">
        <v>5412</v>
      </c>
      <c r="R602" s="3" t="s">
        <v>67</v>
      </c>
      <c r="S602" s="4">
        <v>1</v>
      </c>
      <c r="T602" s="4">
        <v>1</v>
      </c>
      <c r="U602" s="5" t="s">
        <v>719</v>
      </c>
      <c r="V602" s="5" t="s">
        <v>719</v>
      </c>
      <c r="W602" s="5" t="s">
        <v>69</v>
      </c>
      <c r="X602" s="5" t="s">
        <v>69</v>
      </c>
      <c r="Y602" s="4">
        <v>217</v>
      </c>
      <c r="Z602" s="4">
        <v>18</v>
      </c>
      <c r="AA602" s="4">
        <v>110</v>
      </c>
      <c r="AB602" s="4">
        <v>1</v>
      </c>
      <c r="AC602" s="4">
        <v>18</v>
      </c>
      <c r="AD602" s="4">
        <v>87</v>
      </c>
      <c r="AE602" s="4">
        <v>136</v>
      </c>
      <c r="AF602" s="4">
        <v>0</v>
      </c>
      <c r="AG602" s="4">
        <v>8</v>
      </c>
      <c r="AH602" s="4">
        <v>81</v>
      </c>
      <c r="AI602" s="4">
        <v>98</v>
      </c>
      <c r="AJ602" s="4">
        <v>12</v>
      </c>
      <c r="AK602" s="4">
        <v>23</v>
      </c>
      <c r="AL602" s="4">
        <v>52</v>
      </c>
      <c r="AM602" s="4">
        <v>57</v>
      </c>
      <c r="AN602" s="4">
        <v>0</v>
      </c>
      <c r="AO602" s="4">
        <v>0</v>
      </c>
      <c r="AP602" s="4">
        <v>12</v>
      </c>
      <c r="AQ602" s="4">
        <v>45</v>
      </c>
      <c r="AR602" s="3" t="s">
        <v>63</v>
      </c>
      <c r="AS602" s="3" t="s">
        <v>63</v>
      </c>
      <c r="AT602" s="3" t="s">
        <v>63</v>
      </c>
      <c r="AV602" s="6" t="str">
        <f>HYPERLINK("http://mcgill.on.worldcat.org/oclc/555650391","Catalog Record")</f>
        <v>Catalog Record</v>
      </c>
      <c r="AW602" s="6" t="str">
        <f>HYPERLINK("http://www.worldcat.org/oclc/555650391","WorldCat Record")</f>
        <v>WorldCat Record</v>
      </c>
      <c r="AX602" s="3" t="s">
        <v>6092</v>
      </c>
      <c r="AY602" s="3" t="s">
        <v>6093</v>
      </c>
      <c r="AZ602" s="3" t="s">
        <v>6094</v>
      </c>
      <c r="BA602" s="3" t="s">
        <v>6094</v>
      </c>
      <c r="BB602" s="3" t="s">
        <v>6095</v>
      </c>
      <c r="BC602" s="3" t="s">
        <v>82</v>
      </c>
      <c r="BD602" s="3" t="s">
        <v>70</v>
      </c>
      <c r="BE602" s="3" t="s">
        <v>6096</v>
      </c>
      <c r="BF602" s="3" t="s">
        <v>6095</v>
      </c>
      <c r="BG602" s="3" t="s">
        <v>6097</v>
      </c>
    </row>
    <row r="603" spans="1:59" ht="60" x14ac:dyDescent="0.25">
      <c r="A603" s="2" t="s">
        <v>59</v>
      </c>
      <c r="B603" s="2" t="s">
        <v>60</v>
      </c>
      <c r="C603" s="2" t="s">
        <v>6098</v>
      </c>
      <c r="D603" s="2" t="s">
        <v>6099</v>
      </c>
      <c r="E603" s="2" t="s">
        <v>6100</v>
      </c>
      <c r="G603" s="3" t="s">
        <v>63</v>
      </c>
      <c r="I603" s="3" t="s">
        <v>63</v>
      </c>
      <c r="J603" s="3" t="s">
        <v>63</v>
      </c>
      <c r="K603" s="3" t="s">
        <v>64</v>
      </c>
      <c r="L603" s="2" t="s">
        <v>6101</v>
      </c>
      <c r="M603" s="2" t="s">
        <v>6102</v>
      </c>
      <c r="N603" s="3" t="s">
        <v>326</v>
      </c>
      <c r="P603" s="3" t="s">
        <v>66</v>
      </c>
      <c r="Q603" s="2" t="s">
        <v>6103</v>
      </c>
      <c r="R603" s="3" t="s">
        <v>67</v>
      </c>
      <c r="S603" s="4">
        <v>2</v>
      </c>
      <c r="T603" s="4">
        <v>2</v>
      </c>
      <c r="U603" s="5" t="s">
        <v>6080</v>
      </c>
      <c r="V603" s="5" t="s">
        <v>6080</v>
      </c>
      <c r="W603" s="5" t="s">
        <v>69</v>
      </c>
      <c r="X603" s="5" t="s">
        <v>69</v>
      </c>
      <c r="Y603" s="4">
        <v>191</v>
      </c>
      <c r="Z603" s="4">
        <v>16</v>
      </c>
      <c r="AA603" s="4">
        <v>86</v>
      </c>
      <c r="AB603" s="4">
        <v>2</v>
      </c>
      <c r="AC603" s="4">
        <v>16</v>
      </c>
      <c r="AD603" s="4">
        <v>83</v>
      </c>
      <c r="AE603" s="4">
        <v>132</v>
      </c>
      <c r="AF603" s="4">
        <v>0</v>
      </c>
      <c r="AG603" s="4">
        <v>8</v>
      </c>
      <c r="AH603" s="4">
        <v>77</v>
      </c>
      <c r="AI603" s="4">
        <v>97</v>
      </c>
      <c r="AJ603" s="4">
        <v>10</v>
      </c>
      <c r="AK603" s="4">
        <v>21</v>
      </c>
      <c r="AL603" s="4">
        <v>50</v>
      </c>
      <c r="AM603" s="4">
        <v>55</v>
      </c>
      <c r="AN603" s="4">
        <v>0</v>
      </c>
      <c r="AO603" s="4">
        <v>0</v>
      </c>
      <c r="AP603" s="4">
        <v>11</v>
      </c>
      <c r="AQ603" s="4">
        <v>41</v>
      </c>
      <c r="AR603" s="3" t="s">
        <v>63</v>
      </c>
      <c r="AS603" s="3" t="s">
        <v>63</v>
      </c>
      <c r="AT603" s="3" t="s">
        <v>63</v>
      </c>
      <c r="AV603" s="6" t="str">
        <f>HYPERLINK("http://mcgill.on.worldcat.org/oclc/268797394","Catalog Record")</f>
        <v>Catalog Record</v>
      </c>
      <c r="AW603" s="6" t="str">
        <f>HYPERLINK("http://www.worldcat.org/oclc/268797394","WorldCat Record")</f>
        <v>WorldCat Record</v>
      </c>
      <c r="AX603" s="3" t="s">
        <v>6104</v>
      </c>
      <c r="AY603" s="3" t="s">
        <v>6105</v>
      </c>
      <c r="AZ603" s="3" t="s">
        <v>6106</v>
      </c>
      <c r="BA603" s="3" t="s">
        <v>6106</v>
      </c>
      <c r="BB603" s="3" t="s">
        <v>6107</v>
      </c>
      <c r="BC603" s="3" t="s">
        <v>82</v>
      </c>
      <c r="BD603" s="3" t="s">
        <v>70</v>
      </c>
      <c r="BE603" s="3" t="s">
        <v>6108</v>
      </c>
      <c r="BF603" s="3" t="s">
        <v>6107</v>
      </c>
      <c r="BG603" s="3" t="s">
        <v>6109</v>
      </c>
    </row>
    <row r="604" spans="1:59" ht="60" x14ac:dyDescent="0.25">
      <c r="A604" s="2" t="s">
        <v>59</v>
      </c>
      <c r="B604" s="2" t="s">
        <v>60</v>
      </c>
      <c r="C604" s="2" t="s">
        <v>6110</v>
      </c>
      <c r="D604" s="2" t="s">
        <v>6111</v>
      </c>
      <c r="E604" s="2" t="s">
        <v>6112</v>
      </c>
      <c r="G604" s="3" t="s">
        <v>63</v>
      </c>
      <c r="I604" s="3" t="s">
        <v>63</v>
      </c>
      <c r="J604" s="3" t="s">
        <v>63</v>
      </c>
      <c r="K604" s="3" t="s">
        <v>64</v>
      </c>
      <c r="L604" s="2" t="s">
        <v>6113</v>
      </c>
      <c r="M604" s="2" t="s">
        <v>6114</v>
      </c>
      <c r="N604" s="3" t="s">
        <v>313</v>
      </c>
      <c r="P604" s="3" t="s">
        <v>66</v>
      </c>
      <c r="R604" s="3" t="s">
        <v>67</v>
      </c>
      <c r="S604" s="4">
        <v>2</v>
      </c>
      <c r="T604" s="4">
        <v>2</v>
      </c>
      <c r="U604" s="5" t="s">
        <v>276</v>
      </c>
      <c r="V604" s="5" t="s">
        <v>276</v>
      </c>
      <c r="W604" s="5" t="s">
        <v>69</v>
      </c>
      <c r="X604" s="5" t="s">
        <v>69</v>
      </c>
      <c r="Y604" s="4">
        <v>191</v>
      </c>
      <c r="Z604" s="4">
        <v>14</v>
      </c>
      <c r="AA604" s="4">
        <v>14</v>
      </c>
      <c r="AB604" s="4">
        <v>1</v>
      </c>
      <c r="AC604" s="4">
        <v>1</v>
      </c>
      <c r="AD604" s="4">
        <v>79</v>
      </c>
      <c r="AE604" s="4">
        <v>79</v>
      </c>
      <c r="AF604" s="4">
        <v>0</v>
      </c>
      <c r="AG604" s="4">
        <v>0</v>
      </c>
      <c r="AH604" s="4">
        <v>75</v>
      </c>
      <c r="AI604" s="4">
        <v>75</v>
      </c>
      <c r="AJ604" s="4">
        <v>9</v>
      </c>
      <c r="AK604" s="4">
        <v>9</v>
      </c>
      <c r="AL604" s="4">
        <v>45</v>
      </c>
      <c r="AM604" s="4">
        <v>45</v>
      </c>
      <c r="AN604" s="4">
        <v>0</v>
      </c>
      <c r="AO604" s="4">
        <v>0</v>
      </c>
      <c r="AP604" s="4">
        <v>10</v>
      </c>
      <c r="AQ604" s="4">
        <v>10</v>
      </c>
      <c r="AR604" s="3" t="s">
        <v>63</v>
      </c>
      <c r="AS604" s="3" t="s">
        <v>63</v>
      </c>
      <c r="AT604" s="3" t="s">
        <v>63</v>
      </c>
      <c r="AV604" s="6" t="str">
        <f>HYPERLINK("http://mcgill.on.worldcat.org/oclc/497574289","Catalog Record")</f>
        <v>Catalog Record</v>
      </c>
      <c r="AW604" s="6" t="str">
        <f>HYPERLINK("http://www.worldcat.org/oclc/497574289","WorldCat Record")</f>
        <v>WorldCat Record</v>
      </c>
      <c r="AX604" s="3" t="s">
        <v>6115</v>
      </c>
      <c r="AY604" s="3" t="s">
        <v>6116</v>
      </c>
      <c r="AZ604" s="3" t="s">
        <v>6117</v>
      </c>
      <c r="BA604" s="3" t="s">
        <v>6117</v>
      </c>
      <c r="BB604" s="3" t="s">
        <v>6118</v>
      </c>
      <c r="BC604" s="3" t="s">
        <v>82</v>
      </c>
      <c r="BD604" s="3" t="s">
        <v>70</v>
      </c>
      <c r="BE604" s="3" t="s">
        <v>6119</v>
      </c>
      <c r="BF604" s="3" t="s">
        <v>6118</v>
      </c>
      <c r="BG604" s="3" t="s">
        <v>6120</v>
      </c>
    </row>
    <row r="605" spans="1:59" ht="60" x14ac:dyDescent="0.25">
      <c r="A605" s="2" t="s">
        <v>59</v>
      </c>
      <c r="B605" s="2" t="s">
        <v>60</v>
      </c>
      <c r="C605" s="2" t="s">
        <v>6121</v>
      </c>
      <c r="D605" s="2" t="s">
        <v>6122</v>
      </c>
      <c r="E605" s="2" t="s">
        <v>6123</v>
      </c>
      <c r="G605" s="3" t="s">
        <v>63</v>
      </c>
      <c r="I605" s="3" t="s">
        <v>63</v>
      </c>
      <c r="J605" s="3" t="s">
        <v>63</v>
      </c>
      <c r="K605" s="3" t="s">
        <v>64</v>
      </c>
      <c r="L605" s="2" t="s">
        <v>6124</v>
      </c>
      <c r="M605" s="2" t="s">
        <v>6125</v>
      </c>
      <c r="N605" s="3" t="s">
        <v>427</v>
      </c>
      <c r="P605" s="3" t="s">
        <v>66</v>
      </c>
      <c r="R605" s="3" t="s">
        <v>67</v>
      </c>
      <c r="S605" s="4">
        <v>16</v>
      </c>
      <c r="T605" s="4">
        <v>16</v>
      </c>
      <c r="U605" s="5" t="s">
        <v>6126</v>
      </c>
      <c r="V605" s="5" t="s">
        <v>6126</v>
      </c>
      <c r="W605" s="5" t="s">
        <v>69</v>
      </c>
      <c r="X605" s="5" t="s">
        <v>69</v>
      </c>
      <c r="Y605" s="4">
        <v>339</v>
      </c>
      <c r="Z605" s="4">
        <v>23</v>
      </c>
      <c r="AA605" s="4">
        <v>23</v>
      </c>
      <c r="AB605" s="4">
        <v>1</v>
      </c>
      <c r="AC605" s="4">
        <v>1</v>
      </c>
      <c r="AD605" s="4">
        <v>116</v>
      </c>
      <c r="AE605" s="4">
        <v>116</v>
      </c>
      <c r="AF605" s="4">
        <v>0</v>
      </c>
      <c r="AG605" s="4">
        <v>0</v>
      </c>
      <c r="AH605" s="4">
        <v>104</v>
      </c>
      <c r="AI605" s="4">
        <v>104</v>
      </c>
      <c r="AJ605" s="4">
        <v>20</v>
      </c>
      <c r="AK605" s="4">
        <v>20</v>
      </c>
      <c r="AL605" s="4">
        <v>57</v>
      </c>
      <c r="AM605" s="4">
        <v>57</v>
      </c>
      <c r="AN605" s="4">
        <v>0</v>
      </c>
      <c r="AO605" s="4">
        <v>0</v>
      </c>
      <c r="AP605" s="4">
        <v>21</v>
      </c>
      <c r="AQ605" s="4">
        <v>21</v>
      </c>
      <c r="AR605" s="3" t="s">
        <v>63</v>
      </c>
      <c r="AS605" s="3" t="s">
        <v>63</v>
      </c>
      <c r="AT605" s="3" t="s">
        <v>63</v>
      </c>
      <c r="AV605" s="6" t="str">
        <f>HYPERLINK("http://mcgill.on.worldcat.org/oclc/17649084","Catalog Record")</f>
        <v>Catalog Record</v>
      </c>
      <c r="AW605" s="6" t="str">
        <f>HYPERLINK("http://www.worldcat.org/oclc/17649084","WorldCat Record")</f>
        <v>WorldCat Record</v>
      </c>
      <c r="AX605" s="3" t="s">
        <v>6127</v>
      </c>
      <c r="AY605" s="3" t="s">
        <v>6128</v>
      </c>
      <c r="AZ605" s="3" t="s">
        <v>6129</v>
      </c>
      <c r="BA605" s="3" t="s">
        <v>6129</v>
      </c>
      <c r="BB605" s="3" t="s">
        <v>6130</v>
      </c>
      <c r="BC605" s="3" t="s">
        <v>82</v>
      </c>
      <c r="BD605" s="3" t="s">
        <v>70</v>
      </c>
      <c r="BE605" s="3" t="s">
        <v>6131</v>
      </c>
      <c r="BF605" s="3" t="s">
        <v>6130</v>
      </c>
      <c r="BG605" s="3" t="s">
        <v>6132</v>
      </c>
    </row>
    <row r="606" spans="1:59" ht="60" x14ac:dyDescent="0.25">
      <c r="A606" s="2" t="s">
        <v>59</v>
      </c>
      <c r="B606" s="2" t="s">
        <v>60</v>
      </c>
      <c r="C606" s="2" t="s">
        <v>6133</v>
      </c>
      <c r="D606" s="2" t="s">
        <v>6134</v>
      </c>
      <c r="E606" s="2" t="s">
        <v>6135</v>
      </c>
      <c r="G606" s="3" t="s">
        <v>63</v>
      </c>
      <c r="I606" s="3" t="s">
        <v>63</v>
      </c>
      <c r="J606" s="3" t="s">
        <v>63</v>
      </c>
      <c r="K606" s="3" t="s">
        <v>64</v>
      </c>
      <c r="L606" s="2" t="s">
        <v>6136</v>
      </c>
      <c r="M606" s="2" t="s">
        <v>6137</v>
      </c>
      <c r="N606" s="3" t="s">
        <v>76</v>
      </c>
      <c r="P606" s="3" t="s">
        <v>66</v>
      </c>
      <c r="R606" s="3" t="s">
        <v>67</v>
      </c>
      <c r="S606" s="4">
        <v>2</v>
      </c>
      <c r="T606" s="4">
        <v>2</v>
      </c>
      <c r="U606" s="5" t="s">
        <v>6138</v>
      </c>
      <c r="V606" s="5" t="s">
        <v>6138</v>
      </c>
      <c r="W606" s="5" t="s">
        <v>69</v>
      </c>
      <c r="X606" s="5" t="s">
        <v>69</v>
      </c>
      <c r="Y606" s="4">
        <v>137</v>
      </c>
      <c r="Z606" s="4">
        <v>13</v>
      </c>
      <c r="AA606" s="4">
        <v>16</v>
      </c>
      <c r="AB606" s="4">
        <v>1</v>
      </c>
      <c r="AC606" s="4">
        <v>3</v>
      </c>
      <c r="AD606" s="4">
        <v>68</v>
      </c>
      <c r="AE606" s="4">
        <v>75</v>
      </c>
      <c r="AF606" s="4">
        <v>0</v>
      </c>
      <c r="AG606" s="4">
        <v>0</v>
      </c>
      <c r="AH606" s="4">
        <v>64</v>
      </c>
      <c r="AI606" s="4">
        <v>70</v>
      </c>
      <c r="AJ606" s="4">
        <v>10</v>
      </c>
      <c r="AK606" s="4">
        <v>10</v>
      </c>
      <c r="AL606" s="4">
        <v>43</v>
      </c>
      <c r="AM606" s="4">
        <v>47</v>
      </c>
      <c r="AN606" s="4">
        <v>0</v>
      </c>
      <c r="AO606" s="4">
        <v>0</v>
      </c>
      <c r="AP606" s="4">
        <v>10</v>
      </c>
      <c r="AQ606" s="4">
        <v>11</v>
      </c>
      <c r="AR606" s="3" t="s">
        <v>63</v>
      </c>
      <c r="AS606" s="3" t="s">
        <v>63</v>
      </c>
      <c r="AT606" s="3" t="s">
        <v>63</v>
      </c>
      <c r="AV606" s="6" t="str">
        <f>HYPERLINK("http://mcgill.on.worldcat.org/oclc/788267879","Catalog Record")</f>
        <v>Catalog Record</v>
      </c>
      <c r="AW606" s="6" t="str">
        <f>HYPERLINK("http://www.worldcat.org/oclc/788267879","WorldCat Record")</f>
        <v>WorldCat Record</v>
      </c>
      <c r="AX606" s="3" t="s">
        <v>6139</v>
      </c>
      <c r="AY606" s="3" t="s">
        <v>6140</v>
      </c>
      <c r="AZ606" s="3" t="s">
        <v>6141</v>
      </c>
      <c r="BA606" s="3" t="s">
        <v>6141</v>
      </c>
      <c r="BB606" s="3" t="s">
        <v>6142</v>
      </c>
      <c r="BC606" s="3" t="s">
        <v>82</v>
      </c>
      <c r="BD606" s="3" t="s">
        <v>538</v>
      </c>
      <c r="BE606" s="3" t="s">
        <v>6143</v>
      </c>
      <c r="BF606" s="3" t="s">
        <v>6142</v>
      </c>
      <c r="BG606" s="3" t="s">
        <v>6144</v>
      </c>
    </row>
    <row r="607" spans="1:59" ht="60" x14ac:dyDescent="0.25">
      <c r="A607" s="2" t="s">
        <v>59</v>
      </c>
      <c r="B607" s="2" t="s">
        <v>60</v>
      </c>
      <c r="C607" s="2" t="s">
        <v>6145</v>
      </c>
      <c r="D607" s="2" t="s">
        <v>6146</v>
      </c>
      <c r="E607" s="2" t="s">
        <v>6147</v>
      </c>
      <c r="G607" s="3" t="s">
        <v>63</v>
      </c>
      <c r="I607" s="3" t="s">
        <v>63</v>
      </c>
      <c r="J607" s="3" t="s">
        <v>63</v>
      </c>
      <c r="K607" s="3" t="s">
        <v>64</v>
      </c>
      <c r="L607" s="2" t="s">
        <v>6148</v>
      </c>
      <c r="M607" s="2" t="s">
        <v>6149</v>
      </c>
      <c r="N607" s="3" t="s">
        <v>1023</v>
      </c>
      <c r="P607" s="3" t="s">
        <v>66</v>
      </c>
      <c r="R607" s="3" t="s">
        <v>67</v>
      </c>
      <c r="S607" s="4">
        <v>21</v>
      </c>
      <c r="T607" s="4">
        <v>21</v>
      </c>
      <c r="U607" s="5" t="s">
        <v>6150</v>
      </c>
      <c r="V607" s="5" t="s">
        <v>6150</v>
      </c>
      <c r="W607" s="5" t="s">
        <v>69</v>
      </c>
      <c r="X607" s="5" t="s">
        <v>69</v>
      </c>
      <c r="Y607" s="4">
        <v>281</v>
      </c>
      <c r="Z607" s="4">
        <v>18</v>
      </c>
      <c r="AA607" s="4">
        <v>18</v>
      </c>
      <c r="AB607" s="4">
        <v>1</v>
      </c>
      <c r="AC607" s="4">
        <v>1</v>
      </c>
      <c r="AD607" s="4">
        <v>108</v>
      </c>
      <c r="AE607" s="4">
        <v>108</v>
      </c>
      <c r="AF607" s="4">
        <v>0</v>
      </c>
      <c r="AG607" s="4">
        <v>0</v>
      </c>
      <c r="AH607" s="4">
        <v>101</v>
      </c>
      <c r="AI607" s="4">
        <v>101</v>
      </c>
      <c r="AJ607" s="4">
        <v>14</v>
      </c>
      <c r="AK607" s="4">
        <v>14</v>
      </c>
      <c r="AL607" s="4">
        <v>55</v>
      </c>
      <c r="AM607" s="4">
        <v>55</v>
      </c>
      <c r="AN607" s="4">
        <v>0</v>
      </c>
      <c r="AO607" s="4">
        <v>0</v>
      </c>
      <c r="AP607" s="4">
        <v>15</v>
      </c>
      <c r="AQ607" s="4">
        <v>15</v>
      </c>
      <c r="AR607" s="3" t="s">
        <v>63</v>
      </c>
      <c r="AS607" s="3" t="s">
        <v>63</v>
      </c>
      <c r="AT607" s="3" t="s">
        <v>62</v>
      </c>
      <c r="AU607" s="6" t="str">
        <f>HYPERLINK("http://catalog.hathitrust.org/Record/002911764","HathiTrust Record")</f>
        <v>HathiTrust Record</v>
      </c>
      <c r="AV607" s="6" t="str">
        <f>HYPERLINK("http://mcgill.on.worldcat.org/oclc/28181836","Catalog Record")</f>
        <v>Catalog Record</v>
      </c>
      <c r="AW607" s="6" t="str">
        <f>HYPERLINK("http://www.worldcat.org/oclc/28181836","WorldCat Record")</f>
        <v>WorldCat Record</v>
      </c>
      <c r="AX607" s="3" t="s">
        <v>6151</v>
      </c>
      <c r="AY607" s="3" t="s">
        <v>6152</v>
      </c>
      <c r="AZ607" s="3" t="s">
        <v>6153</v>
      </c>
      <c r="BA607" s="3" t="s">
        <v>6153</v>
      </c>
      <c r="BB607" s="3" t="s">
        <v>6154</v>
      </c>
      <c r="BC607" s="3" t="s">
        <v>82</v>
      </c>
      <c r="BD607" s="3" t="s">
        <v>70</v>
      </c>
      <c r="BE607" s="3" t="s">
        <v>6155</v>
      </c>
      <c r="BF607" s="3" t="s">
        <v>6154</v>
      </c>
      <c r="BG607" s="3" t="s">
        <v>6156</v>
      </c>
    </row>
    <row r="608" spans="1:59" ht="60" x14ac:dyDescent="0.25">
      <c r="A608" s="2" t="s">
        <v>59</v>
      </c>
      <c r="B608" s="2" t="s">
        <v>60</v>
      </c>
      <c r="C608" s="2" t="s">
        <v>6157</v>
      </c>
      <c r="D608" s="2" t="s">
        <v>6158</v>
      </c>
      <c r="E608" s="2" t="s">
        <v>6159</v>
      </c>
      <c r="G608" s="3" t="s">
        <v>63</v>
      </c>
      <c r="I608" s="3" t="s">
        <v>63</v>
      </c>
      <c r="J608" s="3" t="s">
        <v>63</v>
      </c>
      <c r="K608" s="3" t="s">
        <v>64</v>
      </c>
      <c r="M608" s="2" t="s">
        <v>2346</v>
      </c>
      <c r="N608" s="3" t="s">
        <v>2103</v>
      </c>
      <c r="P608" s="3" t="s">
        <v>66</v>
      </c>
      <c r="R608" s="3" t="s">
        <v>67</v>
      </c>
      <c r="S608" s="4">
        <v>2</v>
      </c>
      <c r="T608" s="4">
        <v>2</v>
      </c>
      <c r="U608" s="5" t="s">
        <v>4990</v>
      </c>
      <c r="V608" s="5" t="s">
        <v>4990</v>
      </c>
      <c r="W608" s="5" t="s">
        <v>69</v>
      </c>
      <c r="X608" s="5" t="s">
        <v>69</v>
      </c>
      <c r="Y608" s="4">
        <v>127</v>
      </c>
      <c r="Z608" s="4">
        <v>11</v>
      </c>
      <c r="AA608" s="4">
        <v>11</v>
      </c>
      <c r="AB608" s="4">
        <v>2</v>
      </c>
      <c r="AC608" s="4">
        <v>2</v>
      </c>
      <c r="AD608" s="4">
        <v>68</v>
      </c>
      <c r="AE608" s="4">
        <v>68</v>
      </c>
      <c r="AF608" s="4">
        <v>0</v>
      </c>
      <c r="AG608" s="4">
        <v>0</v>
      </c>
      <c r="AH608" s="4">
        <v>64</v>
      </c>
      <c r="AI608" s="4">
        <v>64</v>
      </c>
      <c r="AJ608" s="4">
        <v>8</v>
      </c>
      <c r="AK608" s="4">
        <v>8</v>
      </c>
      <c r="AL608" s="4">
        <v>40</v>
      </c>
      <c r="AM608" s="4">
        <v>40</v>
      </c>
      <c r="AN608" s="4">
        <v>0</v>
      </c>
      <c r="AO608" s="4">
        <v>0</v>
      </c>
      <c r="AP608" s="4">
        <v>8</v>
      </c>
      <c r="AQ608" s="4">
        <v>8</v>
      </c>
      <c r="AR608" s="3" t="s">
        <v>63</v>
      </c>
      <c r="AS608" s="3" t="s">
        <v>63</v>
      </c>
      <c r="AT608" s="3" t="s">
        <v>62</v>
      </c>
      <c r="AU608" s="6" t="str">
        <f>HYPERLINK("http://catalog.hathitrust.org/Record/004760416","HathiTrust Record")</f>
        <v>HathiTrust Record</v>
      </c>
      <c r="AV608" s="6" t="str">
        <f>HYPERLINK("http://mcgill.on.worldcat.org/oclc/50606443","Catalog Record")</f>
        <v>Catalog Record</v>
      </c>
      <c r="AW608" s="6" t="str">
        <f>HYPERLINK("http://www.worldcat.org/oclc/50606443","WorldCat Record")</f>
        <v>WorldCat Record</v>
      </c>
      <c r="AX608" s="3" t="s">
        <v>6160</v>
      </c>
      <c r="AY608" s="3" t="s">
        <v>6161</v>
      </c>
      <c r="AZ608" s="3" t="s">
        <v>6162</v>
      </c>
      <c r="BA608" s="3" t="s">
        <v>6162</v>
      </c>
      <c r="BB608" s="3" t="s">
        <v>6163</v>
      </c>
      <c r="BC608" s="3" t="s">
        <v>82</v>
      </c>
      <c r="BD608" s="3" t="s">
        <v>70</v>
      </c>
      <c r="BE608" s="3" t="s">
        <v>6164</v>
      </c>
      <c r="BF608" s="3" t="s">
        <v>6163</v>
      </c>
      <c r="BG608" s="3" t="s">
        <v>6165</v>
      </c>
    </row>
    <row r="609" spans="1:59" ht="60" x14ac:dyDescent="0.25">
      <c r="A609" s="2" t="s">
        <v>59</v>
      </c>
      <c r="B609" s="2" t="s">
        <v>60</v>
      </c>
      <c r="C609" s="2" t="s">
        <v>6166</v>
      </c>
      <c r="D609" s="2" t="s">
        <v>6167</v>
      </c>
      <c r="E609" s="2" t="s">
        <v>6168</v>
      </c>
      <c r="G609" s="3" t="s">
        <v>63</v>
      </c>
      <c r="I609" s="3" t="s">
        <v>63</v>
      </c>
      <c r="J609" s="3" t="s">
        <v>63</v>
      </c>
      <c r="K609" s="3" t="s">
        <v>64</v>
      </c>
      <c r="M609" s="2" t="s">
        <v>6169</v>
      </c>
      <c r="N609" s="3" t="s">
        <v>2144</v>
      </c>
      <c r="P609" s="3" t="s">
        <v>90</v>
      </c>
      <c r="R609" s="3" t="s">
        <v>67</v>
      </c>
      <c r="S609" s="4">
        <v>1</v>
      </c>
      <c r="T609" s="4">
        <v>1</v>
      </c>
      <c r="U609" s="5" t="s">
        <v>6170</v>
      </c>
      <c r="V609" s="5" t="s">
        <v>6170</v>
      </c>
      <c r="W609" s="5" t="s">
        <v>69</v>
      </c>
      <c r="X609" s="5" t="s">
        <v>69</v>
      </c>
      <c r="Y609" s="4">
        <v>94</v>
      </c>
      <c r="Z609" s="4">
        <v>8</v>
      </c>
      <c r="AA609" s="4">
        <v>8</v>
      </c>
      <c r="AB609" s="4">
        <v>1</v>
      </c>
      <c r="AC609" s="4">
        <v>1</v>
      </c>
      <c r="AD609" s="4">
        <v>57</v>
      </c>
      <c r="AE609" s="4">
        <v>58</v>
      </c>
      <c r="AF609" s="4">
        <v>0</v>
      </c>
      <c r="AG609" s="4">
        <v>0</v>
      </c>
      <c r="AH609" s="4">
        <v>54</v>
      </c>
      <c r="AI609" s="4">
        <v>55</v>
      </c>
      <c r="AJ609" s="4">
        <v>7</v>
      </c>
      <c r="AK609" s="4">
        <v>7</v>
      </c>
      <c r="AL609" s="4">
        <v>39</v>
      </c>
      <c r="AM609" s="4">
        <v>39</v>
      </c>
      <c r="AN609" s="4">
        <v>0</v>
      </c>
      <c r="AO609" s="4">
        <v>0</v>
      </c>
      <c r="AP609" s="4">
        <v>7</v>
      </c>
      <c r="AQ609" s="4">
        <v>7</v>
      </c>
      <c r="AR609" s="3" t="s">
        <v>63</v>
      </c>
      <c r="AS609" s="3" t="s">
        <v>63</v>
      </c>
      <c r="AT609" s="3" t="s">
        <v>62</v>
      </c>
      <c r="AU609" s="6" t="str">
        <f>HYPERLINK("http://catalog.hathitrust.org/Record/001731212","HathiTrust Record")</f>
        <v>HathiTrust Record</v>
      </c>
      <c r="AV609" s="6" t="str">
        <f>HYPERLINK("http://mcgill.on.worldcat.org/oclc/504026","Catalog Record")</f>
        <v>Catalog Record</v>
      </c>
      <c r="AW609" s="6" t="str">
        <f>HYPERLINK("http://www.worldcat.org/oclc/504026","WorldCat Record")</f>
        <v>WorldCat Record</v>
      </c>
      <c r="AX609" s="3" t="s">
        <v>6171</v>
      </c>
      <c r="AY609" s="3" t="s">
        <v>6172</v>
      </c>
      <c r="AZ609" s="3" t="s">
        <v>6173</v>
      </c>
      <c r="BA609" s="3" t="s">
        <v>6173</v>
      </c>
      <c r="BB609" s="3" t="s">
        <v>6174</v>
      </c>
      <c r="BC609" s="3" t="s">
        <v>82</v>
      </c>
      <c r="BD609" s="3" t="s">
        <v>70</v>
      </c>
      <c r="BF609" s="3" t="s">
        <v>6174</v>
      </c>
      <c r="BG609" s="3" t="s">
        <v>6175</v>
      </c>
    </row>
    <row r="610" spans="1:59" ht="60" x14ac:dyDescent="0.25">
      <c r="A610" s="2" t="s">
        <v>59</v>
      </c>
      <c r="B610" s="2" t="s">
        <v>60</v>
      </c>
      <c r="C610" s="2" t="s">
        <v>6176</v>
      </c>
      <c r="D610" s="2" t="s">
        <v>6177</v>
      </c>
      <c r="E610" s="2" t="s">
        <v>6178</v>
      </c>
      <c r="G610" s="3" t="s">
        <v>63</v>
      </c>
      <c r="I610" s="3" t="s">
        <v>63</v>
      </c>
      <c r="J610" s="3" t="s">
        <v>63</v>
      </c>
      <c r="K610" s="3" t="s">
        <v>64</v>
      </c>
      <c r="L610" s="2" t="s">
        <v>6179</v>
      </c>
      <c r="M610" s="2" t="s">
        <v>6180</v>
      </c>
      <c r="N610" s="3" t="s">
        <v>2951</v>
      </c>
      <c r="P610" s="3" t="s">
        <v>66</v>
      </c>
      <c r="R610" s="3" t="s">
        <v>67</v>
      </c>
      <c r="S610" s="4">
        <v>24</v>
      </c>
      <c r="T610" s="4">
        <v>24</v>
      </c>
      <c r="U610" s="5" t="s">
        <v>6080</v>
      </c>
      <c r="V610" s="5" t="s">
        <v>6080</v>
      </c>
      <c r="W610" s="5" t="s">
        <v>69</v>
      </c>
      <c r="X610" s="5" t="s">
        <v>69</v>
      </c>
      <c r="Y610" s="4">
        <v>237</v>
      </c>
      <c r="Z610" s="4">
        <v>15</v>
      </c>
      <c r="AA610" s="4">
        <v>29</v>
      </c>
      <c r="AB610" s="4">
        <v>1</v>
      </c>
      <c r="AC610" s="4">
        <v>5</v>
      </c>
      <c r="AD610" s="4">
        <v>71</v>
      </c>
      <c r="AE610" s="4">
        <v>113</v>
      </c>
      <c r="AF610" s="4">
        <v>0</v>
      </c>
      <c r="AG610" s="4">
        <v>3</v>
      </c>
      <c r="AH610" s="4">
        <v>63</v>
      </c>
      <c r="AI610" s="4">
        <v>100</v>
      </c>
      <c r="AJ610" s="4">
        <v>11</v>
      </c>
      <c r="AK610" s="4">
        <v>22</v>
      </c>
      <c r="AL610" s="4">
        <v>30</v>
      </c>
      <c r="AM610" s="4">
        <v>50</v>
      </c>
      <c r="AN610" s="4">
        <v>0</v>
      </c>
      <c r="AO610" s="4">
        <v>0</v>
      </c>
      <c r="AP610" s="4">
        <v>11</v>
      </c>
      <c r="AQ610" s="4">
        <v>21</v>
      </c>
      <c r="AR610" s="3" t="s">
        <v>63</v>
      </c>
      <c r="AS610" s="3" t="s">
        <v>63</v>
      </c>
      <c r="AT610" s="3" t="s">
        <v>62</v>
      </c>
      <c r="AU610" s="6" t="str">
        <f>HYPERLINK("http://catalog.hathitrust.org/Record/007103159","HathiTrust Record")</f>
        <v>HathiTrust Record</v>
      </c>
      <c r="AV610" s="6" t="str">
        <f>HYPERLINK("http://mcgill.on.worldcat.org/oclc/5564501","Catalog Record")</f>
        <v>Catalog Record</v>
      </c>
      <c r="AW610" s="6" t="str">
        <f>HYPERLINK("http://www.worldcat.org/oclc/5564501","WorldCat Record")</f>
        <v>WorldCat Record</v>
      </c>
      <c r="AX610" s="3" t="s">
        <v>6181</v>
      </c>
      <c r="AY610" s="3" t="s">
        <v>6182</v>
      </c>
      <c r="AZ610" s="3" t="s">
        <v>6183</v>
      </c>
      <c r="BA610" s="3" t="s">
        <v>6183</v>
      </c>
      <c r="BB610" s="3" t="s">
        <v>6184</v>
      </c>
      <c r="BC610" s="3" t="s">
        <v>82</v>
      </c>
      <c r="BD610" s="3" t="s">
        <v>70</v>
      </c>
      <c r="BE610" s="3" t="s">
        <v>6185</v>
      </c>
      <c r="BF610" s="3" t="s">
        <v>6184</v>
      </c>
      <c r="BG610" s="3" t="s">
        <v>6186</v>
      </c>
    </row>
    <row r="611" spans="1:59" ht="60" x14ac:dyDescent="0.25">
      <c r="A611" s="2" t="s">
        <v>59</v>
      </c>
      <c r="B611" s="2" t="s">
        <v>60</v>
      </c>
      <c r="C611" s="2" t="s">
        <v>6187</v>
      </c>
      <c r="D611" s="2" t="s">
        <v>6188</v>
      </c>
      <c r="E611" s="2" t="s">
        <v>6189</v>
      </c>
      <c r="G611" s="3" t="s">
        <v>63</v>
      </c>
      <c r="I611" s="3" t="s">
        <v>63</v>
      </c>
      <c r="J611" s="3" t="s">
        <v>63</v>
      </c>
      <c r="K611" s="3" t="s">
        <v>64</v>
      </c>
      <c r="L611" s="2" t="s">
        <v>6190</v>
      </c>
      <c r="M611" s="2" t="s">
        <v>6191</v>
      </c>
      <c r="N611" s="3" t="s">
        <v>1418</v>
      </c>
      <c r="P611" s="3" t="s">
        <v>90</v>
      </c>
      <c r="R611" s="3" t="s">
        <v>67</v>
      </c>
      <c r="S611" s="4">
        <v>7</v>
      </c>
      <c r="T611" s="4">
        <v>7</v>
      </c>
      <c r="U611" s="5" t="s">
        <v>3117</v>
      </c>
      <c r="V611" s="5" t="s">
        <v>3117</v>
      </c>
      <c r="W611" s="5" t="s">
        <v>69</v>
      </c>
      <c r="X611" s="5" t="s">
        <v>69</v>
      </c>
      <c r="Y611" s="4">
        <v>75</v>
      </c>
      <c r="Z611" s="4">
        <v>9</v>
      </c>
      <c r="AA611" s="4">
        <v>9</v>
      </c>
      <c r="AB611" s="4">
        <v>2</v>
      </c>
      <c r="AC611" s="4">
        <v>2</v>
      </c>
      <c r="AD611" s="4">
        <v>53</v>
      </c>
      <c r="AE611" s="4">
        <v>53</v>
      </c>
      <c r="AF611" s="4">
        <v>0</v>
      </c>
      <c r="AG611" s="4">
        <v>0</v>
      </c>
      <c r="AH611" s="4">
        <v>50</v>
      </c>
      <c r="AI611" s="4">
        <v>50</v>
      </c>
      <c r="AJ611" s="4">
        <v>6</v>
      </c>
      <c r="AK611" s="4">
        <v>6</v>
      </c>
      <c r="AL611" s="4">
        <v>39</v>
      </c>
      <c r="AM611" s="4">
        <v>39</v>
      </c>
      <c r="AN611" s="4">
        <v>0</v>
      </c>
      <c r="AO611" s="4">
        <v>0</v>
      </c>
      <c r="AP611" s="4">
        <v>6</v>
      </c>
      <c r="AQ611" s="4">
        <v>6</v>
      </c>
      <c r="AR611" s="3" t="s">
        <v>63</v>
      </c>
      <c r="AS611" s="3" t="s">
        <v>63</v>
      </c>
      <c r="AT611" s="3" t="s">
        <v>63</v>
      </c>
      <c r="AV611" s="6" t="str">
        <f>HYPERLINK("http://mcgill.on.worldcat.org/oclc/17550470","Catalog Record")</f>
        <v>Catalog Record</v>
      </c>
      <c r="AW611" s="6" t="str">
        <f>HYPERLINK("http://www.worldcat.org/oclc/17550470","WorldCat Record")</f>
        <v>WorldCat Record</v>
      </c>
      <c r="AX611" s="3" t="s">
        <v>6192</v>
      </c>
      <c r="AY611" s="3" t="s">
        <v>6193</v>
      </c>
      <c r="AZ611" s="3" t="s">
        <v>6194</v>
      </c>
      <c r="BA611" s="3" t="s">
        <v>6194</v>
      </c>
      <c r="BB611" s="3" t="s">
        <v>6195</v>
      </c>
      <c r="BC611" s="3" t="s">
        <v>82</v>
      </c>
      <c r="BD611" s="3" t="s">
        <v>70</v>
      </c>
      <c r="BF611" s="3" t="s">
        <v>6195</v>
      </c>
      <c r="BG611" s="3" t="s">
        <v>6196</v>
      </c>
    </row>
    <row r="612" spans="1:59" ht="60" x14ac:dyDescent="0.25">
      <c r="A612" s="2" t="s">
        <v>59</v>
      </c>
      <c r="B612" s="2" t="s">
        <v>60</v>
      </c>
      <c r="C612" s="2" t="s">
        <v>6197</v>
      </c>
      <c r="D612" s="2" t="s">
        <v>6198</v>
      </c>
      <c r="E612" s="2" t="s">
        <v>6199</v>
      </c>
      <c r="G612" s="3" t="s">
        <v>63</v>
      </c>
      <c r="I612" s="3" t="s">
        <v>63</v>
      </c>
      <c r="J612" s="3" t="s">
        <v>63</v>
      </c>
      <c r="K612" s="3" t="s">
        <v>64</v>
      </c>
      <c r="M612" s="2" t="s">
        <v>6200</v>
      </c>
      <c r="N612" s="3" t="s">
        <v>1296</v>
      </c>
      <c r="P612" s="3" t="s">
        <v>90</v>
      </c>
      <c r="R612" s="3" t="s">
        <v>67</v>
      </c>
      <c r="S612" s="4">
        <v>3</v>
      </c>
      <c r="T612" s="4">
        <v>3</v>
      </c>
      <c r="U612" s="5" t="s">
        <v>6170</v>
      </c>
      <c r="V612" s="5" t="s">
        <v>6170</v>
      </c>
      <c r="W612" s="5" t="s">
        <v>69</v>
      </c>
      <c r="X612" s="5" t="s">
        <v>69</v>
      </c>
      <c r="Y612" s="4">
        <v>114</v>
      </c>
      <c r="Z612" s="4">
        <v>12</v>
      </c>
      <c r="AA612" s="4">
        <v>14</v>
      </c>
      <c r="AB612" s="4">
        <v>1</v>
      </c>
      <c r="AC612" s="4">
        <v>2</v>
      </c>
      <c r="AD612" s="4">
        <v>64</v>
      </c>
      <c r="AE612" s="4">
        <v>70</v>
      </c>
      <c r="AF612" s="4">
        <v>0</v>
      </c>
      <c r="AG612" s="4">
        <v>1</v>
      </c>
      <c r="AH612" s="4">
        <v>59</v>
      </c>
      <c r="AI612" s="4">
        <v>65</v>
      </c>
      <c r="AJ612" s="4">
        <v>9</v>
      </c>
      <c r="AK612" s="4">
        <v>11</v>
      </c>
      <c r="AL612" s="4">
        <v>43</v>
      </c>
      <c r="AM612" s="4">
        <v>44</v>
      </c>
      <c r="AN612" s="4">
        <v>0</v>
      </c>
      <c r="AO612" s="4">
        <v>0</v>
      </c>
      <c r="AP612" s="4">
        <v>9</v>
      </c>
      <c r="AQ612" s="4">
        <v>11</v>
      </c>
      <c r="AR612" s="3" t="s">
        <v>63</v>
      </c>
      <c r="AS612" s="3" t="s">
        <v>63</v>
      </c>
      <c r="AT612" s="3" t="s">
        <v>62</v>
      </c>
      <c r="AU612" s="6" t="str">
        <f>HYPERLINK("http://catalog.hathitrust.org/Record/009448142","HathiTrust Record")</f>
        <v>HathiTrust Record</v>
      </c>
      <c r="AV612" s="6" t="str">
        <f>HYPERLINK("http://mcgill.on.worldcat.org/oclc/2570411","Catalog Record")</f>
        <v>Catalog Record</v>
      </c>
      <c r="AW612" s="6" t="str">
        <f>HYPERLINK("http://www.worldcat.org/oclc/2570411","WorldCat Record")</f>
        <v>WorldCat Record</v>
      </c>
      <c r="AX612" s="3" t="s">
        <v>6201</v>
      </c>
      <c r="AY612" s="3" t="s">
        <v>6202</v>
      </c>
      <c r="AZ612" s="3" t="s">
        <v>6203</v>
      </c>
      <c r="BA612" s="3" t="s">
        <v>6203</v>
      </c>
      <c r="BB612" s="3" t="s">
        <v>6204</v>
      </c>
      <c r="BC612" s="3" t="s">
        <v>82</v>
      </c>
      <c r="BD612" s="3" t="s">
        <v>70</v>
      </c>
      <c r="BF612" s="3" t="s">
        <v>6204</v>
      </c>
      <c r="BG612" s="3" t="s">
        <v>6205</v>
      </c>
    </row>
    <row r="613" spans="1:59" ht="60" x14ac:dyDescent="0.25">
      <c r="A613" s="2" t="s">
        <v>59</v>
      </c>
      <c r="B613" s="2" t="s">
        <v>60</v>
      </c>
      <c r="C613" s="2" t="s">
        <v>6206</v>
      </c>
      <c r="D613" s="2" t="s">
        <v>6207</v>
      </c>
      <c r="E613" s="2" t="s">
        <v>6208</v>
      </c>
      <c r="G613" s="3" t="s">
        <v>63</v>
      </c>
      <c r="I613" s="3" t="s">
        <v>63</v>
      </c>
      <c r="J613" s="3" t="s">
        <v>63</v>
      </c>
      <c r="K613" s="3" t="s">
        <v>64</v>
      </c>
      <c r="L613" s="2" t="s">
        <v>6209</v>
      </c>
      <c r="M613" s="2" t="s">
        <v>6210</v>
      </c>
      <c r="N613" s="3" t="s">
        <v>2225</v>
      </c>
      <c r="P613" s="3" t="s">
        <v>90</v>
      </c>
      <c r="R613" s="3" t="s">
        <v>67</v>
      </c>
      <c r="S613" s="4">
        <v>5</v>
      </c>
      <c r="T613" s="4">
        <v>5</v>
      </c>
      <c r="U613" s="5" t="s">
        <v>6170</v>
      </c>
      <c r="V613" s="5" t="s">
        <v>6170</v>
      </c>
      <c r="W613" s="5" t="s">
        <v>69</v>
      </c>
      <c r="X613" s="5" t="s">
        <v>69</v>
      </c>
      <c r="Y613" s="4">
        <v>108</v>
      </c>
      <c r="Z613" s="4">
        <v>7</v>
      </c>
      <c r="AA613" s="4">
        <v>7</v>
      </c>
      <c r="AB613" s="4">
        <v>1</v>
      </c>
      <c r="AC613" s="4">
        <v>1</v>
      </c>
      <c r="AD613" s="4">
        <v>58</v>
      </c>
      <c r="AE613" s="4">
        <v>58</v>
      </c>
      <c r="AF613" s="4">
        <v>0</v>
      </c>
      <c r="AG613" s="4">
        <v>0</v>
      </c>
      <c r="AH613" s="4">
        <v>55</v>
      </c>
      <c r="AI613" s="4">
        <v>55</v>
      </c>
      <c r="AJ613" s="4">
        <v>6</v>
      </c>
      <c r="AK613" s="4">
        <v>6</v>
      </c>
      <c r="AL613" s="4">
        <v>37</v>
      </c>
      <c r="AM613" s="4">
        <v>37</v>
      </c>
      <c r="AN613" s="4">
        <v>0</v>
      </c>
      <c r="AO613" s="4">
        <v>0</v>
      </c>
      <c r="AP613" s="4">
        <v>6</v>
      </c>
      <c r="AQ613" s="4">
        <v>6</v>
      </c>
      <c r="AR613" s="3" t="s">
        <v>63</v>
      </c>
      <c r="AS613" s="3" t="s">
        <v>63</v>
      </c>
      <c r="AT613" s="3" t="s">
        <v>62</v>
      </c>
      <c r="AU613" s="6" t="str">
        <f>HYPERLINK("http://catalog.hathitrust.org/Record/001849065","HathiTrust Record")</f>
        <v>HathiTrust Record</v>
      </c>
      <c r="AV613" s="6" t="str">
        <f>HYPERLINK("http://mcgill.on.worldcat.org/oclc/4369475","Catalog Record")</f>
        <v>Catalog Record</v>
      </c>
      <c r="AW613" s="6" t="str">
        <f>HYPERLINK("http://www.worldcat.org/oclc/4369475","WorldCat Record")</f>
        <v>WorldCat Record</v>
      </c>
      <c r="AX613" s="3" t="s">
        <v>6211</v>
      </c>
      <c r="AY613" s="3" t="s">
        <v>6212</v>
      </c>
      <c r="AZ613" s="3" t="s">
        <v>6213</v>
      </c>
      <c r="BA613" s="3" t="s">
        <v>6213</v>
      </c>
      <c r="BB613" s="3" t="s">
        <v>6214</v>
      </c>
      <c r="BC613" s="3" t="s">
        <v>82</v>
      </c>
      <c r="BD613" s="3" t="s">
        <v>70</v>
      </c>
      <c r="BF613" s="3" t="s">
        <v>6214</v>
      </c>
      <c r="BG613" s="3" t="s">
        <v>6215</v>
      </c>
    </row>
    <row r="614" spans="1:59" ht="75" x14ac:dyDescent="0.25">
      <c r="A614" s="2" t="s">
        <v>59</v>
      </c>
      <c r="B614" s="2" t="s">
        <v>60</v>
      </c>
      <c r="C614" s="2" t="s">
        <v>6216</v>
      </c>
      <c r="D614" s="2" t="s">
        <v>6217</v>
      </c>
      <c r="E614" s="2" t="s">
        <v>6218</v>
      </c>
      <c r="G614" s="3" t="s">
        <v>63</v>
      </c>
      <c r="I614" s="3" t="s">
        <v>63</v>
      </c>
      <c r="J614" s="3" t="s">
        <v>63</v>
      </c>
      <c r="K614" s="3" t="s">
        <v>64</v>
      </c>
      <c r="M614" s="2" t="s">
        <v>6219</v>
      </c>
      <c r="N614" s="3" t="s">
        <v>1916</v>
      </c>
      <c r="P614" s="3" t="s">
        <v>90</v>
      </c>
      <c r="R614" s="3" t="s">
        <v>67</v>
      </c>
      <c r="S614" s="4">
        <v>1</v>
      </c>
      <c r="T614" s="4">
        <v>1</v>
      </c>
      <c r="U614" s="5" t="s">
        <v>6080</v>
      </c>
      <c r="V614" s="5" t="s">
        <v>6080</v>
      </c>
      <c r="W614" s="5" t="s">
        <v>69</v>
      </c>
      <c r="X614" s="5" t="s">
        <v>69</v>
      </c>
      <c r="Y614" s="4">
        <v>49</v>
      </c>
      <c r="Z614" s="4">
        <v>3</v>
      </c>
      <c r="AA614" s="4">
        <v>3</v>
      </c>
      <c r="AB614" s="4">
        <v>2</v>
      </c>
      <c r="AC614" s="4">
        <v>2</v>
      </c>
      <c r="AD614" s="4">
        <v>32</v>
      </c>
      <c r="AE614" s="4">
        <v>32</v>
      </c>
      <c r="AF614" s="4">
        <v>0</v>
      </c>
      <c r="AG614" s="4">
        <v>0</v>
      </c>
      <c r="AH614" s="4">
        <v>31</v>
      </c>
      <c r="AI614" s="4">
        <v>31</v>
      </c>
      <c r="AJ614" s="4">
        <v>1</v>
      </c>
      <c r="AK614" s="4">
        <v>1</v>
      </c>
      <c r="AL614" s="4">
        <v>23</v>
      </c>
      <c r="AM614" s="4">
        <v>23</v>
      </c>
      <c r="AN614" s="4">
        <v>3</v>
      </c>
      <c r="AO614" s="4">
        <v>3</v>
      </c>
      <c r="AP614" s="4">
        <v>1</v>
      </c>
      <c r="AQ614" s="4">
        <v>1</v>
      </c>
      <c r="AR614" s="3" t="s">
        <v>63</v>
      </c>
      <c r="AS614" s="3" t="s">
        <v>63</v>
      </c>
      <c r="AT614" s="3" t="s">
        <v>62</v>
      </c>
      <c r="AU614" s="6" t="str">
        <f>HYPERLINK("http://catalog.hathitrust.org/Record/000941860","HathiTrust Record")</f>
        <v>HathiTrust Record</v>
      </c>
      <c r="AV614" s="6" t="str">
        <f>HYPERLINK("http://mcgill.on.worldcat.org/oclc/14818508","Catalog Record")</f>
        <v>Catalog Record</v>
      </c>
      <c r="AW614" s="6" t="str">
        <f>HYPERLINK("http://www.worldcat.org/oclc/14818508","WorldCat Record")</f>
        <v>WorldCat Record</v>
      </c>
      <c r="AX614" s="3" t="s">
        <v>6220</v>
      </c>
      <c r="AY614" s="3" t="s">
        <v>6221</v>
      </c>
      <c r="AZ614" s="3" t="s">
        <v>6222</v>
      </c>
      <c r="BA614" s="3" t="s">
        <v>6222</v>
      </c>
      <c r="BB614" s="3" t="s">
        <v>6223</v>
      </c>
      <c r="BC614" s="3" t="s">
        <v>82</v>
      </c>
      <c r="BD614" s="3" t="s">
        <v>70</v>
      </c>
      <c r="BF614" s="3" t="s">
        <v>6223</v>
      </c>
      <c r="BG614" s="3" t="s">
        <v>6224</v>
      </c>
    </row>
    <row r="615" spans="1:59" ht="60" x14ac:dyDescent="0.25">
      <c r="A615" s="2" t="s">
        <v>59</v>
      </c>
      <c r="B615" s="2" t="s">
        <v>60</v>
      </c>
      <c r="C615" s="2" t="s">
        <v>6225</v>
      </c>
      <c r="D615" s="2" t="s">
        <v>6226</v>
      </c>
      <c r="E615" s="2" t="s">
        <v>6227</v>
      </c>
      <c r="G615" s="3" t="s">
        <v>63</v>
      </c>
      <c r="I615" s="3" t="s">
        <v>63</v>
      </c>
      <c r="J615" s="3" t="s">
        <v>63</v>
      </c>
      <c r="K615" s="3" t="s">
        <v>64</v>
      </c>
      <c r="L615" s="2" t="s">
        <v>6179</v>
      </c>
      <c r="M615" s="2" t="s">
        <v>6228</v>
      </c>
      <c r="N615" s="3" t="s">
        <v>220</v>
      </c>
      <c r="P615" s="3" t="s">
        <v>66</v>
      </c>
      <c r="R615" s="3" t="s">
        <v>67</v>
      </c>
      <c r="S615" s="4">
        <v>16</v>
      </c>
      <c r="T615" s="4">
        <v>16</v>
      </c>
      <c r="U615" s="5" t="s">
        <v>276</v>
      </c>
      <c r="V615" s="5" t="s">
        <v>276</v>
      </c>
      <c r="W615" s="5" t="s">
        <v>69</v>
      </c>
      <c r="X615" s="5" t="s">
        <v>69</v>
      </c>
      <c r="Y615" s="4">
        <v>49</v>
      </c>
      <c r="Z615" s="4">
        <v>5</v>
      </c>
      <c r="AA615" s="4">
        <v>21</v>
      </c>
      <c r="AB615" s="4">
        <v>1</v>
      </c>
      <c r="AC615" s="4">
        <v>3</v>
      </c>
      <c r="AD615" s="4">
        <v>14</v>
      </c>
      <c r="AE615" s="4">
        <v>104</v>
      </c>
      <c r="AF615" s="4">
        <v>0</v>
      </c>
      <c r="AG615" s="4">
        <v>1</v>
      </c>
      <c r="AH615" s="4">
        <v>14</v>
      </c>
      <c r="AI615" s="4">
        <v>94</v>
      </c>
      <c r="AJ615" s="4">
        <v>3</v>
      </c>
      <c r="AK615" s="4">
        <v>17</v>
      </c>
      <c r="AL615" s="4">
        <v>9</v>
      </c>
      <c r="AM615" s="4">
        <v>53</v>
      </c>
      <c r="AN615" s="4">
        <v>5</v>
      </c>
      <c r="AO615" s="4">
        <v>5</v>
      </c>
      <c r="AP615" s="4">
        <v>3</v>
      </c>
      <c r="AQ615" s="4">
        <v>17</v>
      </c>
      <c r="AR615" s="3" t="s">
        <v>63</v>
      </c>
      <c r="AS615" s="3" t="s">
        <v>63</v>
      </c>
      <c r="AT615" s="3" t="s">
        <v>62</v>
      </c>
      <c r="AU615" s="6" t="str">
        <f>HYPERLINK("http://catalog.hathitrust.org/Record/101944309","HathiTrust Record")</f>
        <v>HathiTrust Record</v>
      </c>
      <c r="AV615" s="6" t="str">
        <f>HYPERLINK("http://mcgill.on.worldcat.org/oclc/28300029","Catalog Record")</f>
        <v>Catalog Record</v>
      </c>
      <c r="AW615" s="6" t="str">
        <f>HYPERLINK("http://www.worldcat.org/oclc/28300029","WorldCat Record")</f>
        <v>WorldCat Record</v>
      </c>
      <c r="AX615" s="3" t="s">
        <v>6229</v>
      </c>
      <c r="AY615" s="3" t="s">
        <v>6230</v>
      </c>
      <c r="AZ615" s="3" t="s">
        <v>6231</v>
      </c>
      <c r="BA615" s="3" t="s">
        <v>6231</v>
      </c>
      <c r="BB615" s="3" t="s">
        <v>6232</v>
      </c>
      <c r="BC615" s="3" t="s">
        <v>82</v>
      </c>
      <c r="BD615" s="3" t="s">
        <v>70</v>
      </c>
      <c r="BE615" s="3" t="s">
        <v>6233</v>
      </c>
      <c r="BF615" s="3" t="s">
        <v>6232</v>
      </c>
      <c r="BG615" s="3" t="s">
        <v>6234</v>
      </c>
    </row>
    <row r="616" spans="1:59" ht="60" x14ac:dyDescent="0.25">
      <c r="A616" s="2" t="s">
        <v>59</v>
      </c>
      <c r="B616" s="2" t="s">
        <v>60</v>
      </c>
      <c r="C616" s="2" t="s">
        <v>6235</v>
      </c>
      <c r="D616" s="2" t="s">
        <v>6236</v>
      </c>
      <c r="E616" s="2" t="s">
        <v>6237</v>
      </c>
      <c r="G616" s="3" t="s">
        <v>63</v>
      </c>
      <c r="I616" s="3" t="s">
        <v>63</v>
      </c>
      <c r="J616" s="3" t="s">
        <v>63</v>
      </c>
      <c r="K616" s="3" t="s">
        <v>64</v>
      </c>
      <c r="L616" s="2" t="s">
        <v>6238</v>
      </c>
      <c r="M616" s="2" t="s">
        <v>6239</v>
      </c>
      <c r="N616" s="3" t="s">
        <v>204</v>
      </c>
      <c r="P616" s="3" t="s">
        <v>66</v>
      </c>
      <c r="Q616" s="2" t="s">
        <v>6240</v>
      </c>
      <c r="R616" s="3" t="s">
        <v>67</v>
      </c>
      <c r="S616" s="4">
        <v>5</v>
      </c>
      <c r="T616" s="4">
        <v>5</v>
      </c>
      <c r="U616" s="5" t="s">
        <v>4600</v>
      </c>
      <c r="V616" s="5" t="s">
        <v>4600</v>
      </c>
      <c r="W616" s="5" t="s">
        <v>69</v>
      </c>
      <c r="X616" s="5" t="s">
        <v>69</v>
      </c>
      <c r="Y616" s="4">
        <v>101</v>
      </c>
      <c r="Z616" s="4">
        <v>8</v>
      </c>
      <c r="AA616" s="4">
        <v>8</v>
      </c>
      <c r="AB616" s="4">
        <v>1</v>
      </c>
      <c r="AC616" s="4">
        <v>1</v>
      </c>
      <c r="AD616" s="4">
        <v>58</v>
      </c>
      <c r="AE616" s="4">
        <v>58</v>
      </c>
      <c r="AF616" s="4">
        <v>0</v>
      </c>
      <c r="AG616" s="4">
        <v>0</v>
      </c>
      <c r="AH616" s="4">
        <v>55</v>
      </c>
      <c r="AI616" s="4">
        <v>55</v>
      </c>
      <c r="AJ616" s="4">
        <v>6</v>
      </c>
      <c r="AK616" s="4">
        <v>6</v>
      </c>
      <c r="AL616" s="4">
        <v>42</v>
      </c>
      <c r="AM616" s="4">
        <v>42</v>
      </c>
      <c r="AN616" s="4">
        <v>0</v>
      </c>
      <c r="AO616" s="4">
        <v>0</v>
      </c>
      <c r="AP616" s="4">
        <v>6</v>
      </c>
      <c r="AQ616" s="4">
        <v>6</v>
      </c>
      <c r="AR616" s="3" t="s">
        <v>63</v>
      </c>
      <c r="AS616" s="3" t="s">
        <v>63</v>
      </c>
      <c r="AT616" s="3" t="s">
        <v>62</v>
      </c>
      <c r="AU616" s="6" t="str">
        <f>HYPERLINK("http://catalog.hathitrust.org/Record/003067693","HathiTrust Record")</f>
        <v>HathiTrust Record</v>
      </c>
      <c r="AV616" s="6" t="str">
        <f>HYPERLINK("http://mcgill.on.worldcat.org/oclc/34829029","Catalog Record")</f>
        <v>Catalog Record</v>
      </c>
      <c r="AW616" s="6" t="str">
        <f>HYPERLINK("http://www.worldcat.org/oclc/34829029","WorldCat Record")</f>
        <v>WorldCat Record</v>
      </c>
      <c r="AX616" s="3" t="s">
        <v>6241</v>
      </c>
      <c r="AY616" s="3" t="s">
        <v>6242</v>
      </c>
      <c r="AZ616" s="3" t="s">
        <v>6243</v>
      </c>
      <c r="BA616" s="3" t="s">
        <v>6243</v>
      </c>
      <c r="BB616" s="3" t="s">
        <v>6244</v>
      </c>
      <c r="BC616" s="3" t="s">
        <v>82</v>
      </c>
      <c r="BD616" s="3" t="s">
        <v>70</v>
      </c>
      <c r="BE616" s="3" t="s">
        <v>6245</v>
      </c>
      <c r="BF616" s="3" t="s">
        <v>6244</v>
      </c>
      <c r="BG616" s="3" t="s">
        <v>6246</v>
      </c>
    </row>
    <row r="617" spans="1:59" ht="60" x14ac:dyDescent="0.25">
      <c r="A617" s="2" t="s">
        <v>59</v>
      </c>
      <c r="B617" s="2" t="s">
        <v>60</v>
      </c>
      <c r="C617" s="2" t="s">
        <v>6247</v>
      </c>
      <c r="D617" s="2" t="s">
        <v>6248</v>
      </c>
      <c r="E617" s="2" t="s">
        <v>6249</v>
      </c>
      <c r="G617" s="3" t="s">
        <v>63</v>
      </c>
      <c r="I617" s="3" t="s">
        <v>63</v>
      </c>
      <c r="J617" s="3" t="s">
        <v>63</v>
      </c>
      <c r="K617" s="3" t="s">
        <v>64</v>
      </c>
      <c r="L617" s="2" t="s">
        <v>6250</v>
      </c>
      <c r="M617" s="2" t="s">
        <v>6251</v>
      </c>
      <c r="N617" s="3" t="s">
        <v>261</v>
      </c>
      <c r="P617" s="3" t="s">
        <v>66</v>
      </c>
      <c r="R617" s="3" t="s">
        <v>67</v>
      </c>
      <c r="S617" s="4">
        <v>4</v>
      </c>
      <c r="T617" s="4">
        <v>4</v>
      </c>
      <c r="U617" s="5" t="s">
        <v>6252</v>
      </c>
      <c r="V617" s="5" t="s">
        <v>6252</v>
      </c>
      <c r="W617" s="5" t="s">
        <v>69</v>
      </c>
      <c r="X617" s="5" t="s">
        <v>69</v>
      </c>
      <c r="Y617" s="4">
        <v>218</v>
      </c>
      <c r="Z617" s="4">
        <v>13</v>
      </c>
      <c r="AA617" s="4">
        <v>13</v>
      </c>
      <c r="AB617" s="4">
        <v>1</v>
      </c>
      <c r="AC617" s="4">
        <v>1</v>
      </c>
      <c r="AD617" s="4">
        <v>92</v>
      </c>
      <c r="AE617" s="4">
        <v>92</v>
      </c>
      <c r="AF617" s="4">
        <v>0</v>
      </c>
      <c r="AG617" s="4">
        <v>0</v>
      </c>
      <c r="AH617" s="4">
        <v>86</v>
      </c>
      <c r="AI617" s="4">
        <v>86</v>
      </c>
      <c r="AJ617" s="4">
        <v>10</v>
      </c>
      <c r="AK617" s="4">
        <v>10</v>
      </c>
      <c r="AL617" s="4">
        <v>51</v>
      </c>
      <c r="AM617" s="4">
        <v>51</v>
      </c>
      <c r="AN617" s="4">
        <v>0</v>
      </c>
      <c r="AO617" s="4">
        <v>0</v>
      </c>
      <c r="AP617" s="4">
        <v>10</v>
      </c>
      <c r="AQ617" s="4">
        <v>10</v>
      </c>
      <c r="AR617" s="3" t="s">
        <v>63</v>
      </c>
      <c r="AS617" s="3" t="s">
        <v>63</v>
      </c>
      <c r="AT617" s="3" t="s">
        <v>62</v>
      </c>
      <c r="AU617" s="6" t="str">
        <f>HYPERLINK("http://catalog.hathitrust.org/Record/005574829","HathiTrust Record")</f>
        <v>HathiTrust Record</v>
      </c>
      <c r="AV617" s="6" t="str">
        <f>HYPERLINK("http://mcgill.on.worldcat.org/oclc/81252664","Catalog Record")</f>
        <v>Catalog Record</v>
      </c>
      <c r="AW617" s="6" t="str">
        <f>HYPERLINK("http://www.worldcat.org/oclc/81252664","WorldCat Record")</f>
        <v>WorldCat Record</v>
      </c>
      <c r="AX617" s="3" t="s">
        <v>6253</v>
      </c>
      <c r="AY617" s="3" t="s">
        <v>6254</v>
      </c>
      <c r="AZ617" s="3" t="s">
        <v>6255</v>
      </c>
      <c r="BA617" s="3" t="s">
        <v>6255</v>
      </c>
      <c r="BB617" s="3" t="s">
        <v>6256</v>
      </c>
      <c r="BC617" s="3" t="s">
        <v>82</v>
      </c>
      <c r="BD617" s="3" t="s">
        <v>70</v>
      </c>
      <c r="BE617" s="3" t="s">
        <v>6257</v>
      </c>
      <c r="BF617" s="3" t="s">
        <v>6256</v>
      </c>
      <c r="BG617" s="3" t="s">
        <v>6258</v>
      </c>
    </row>
    <row r="618" spans="1:59" ht="60" x14ac:dyDescent="0.25">
      <c r="A618" s="2" t="s">
        <v>59</v>
      </c>
      <c r="B618" s="2" t="s">
        <v>60</v>
      </c>
      <c r="C618" s="2" t="s">
        <v>6259</v>
      </c>
      <c r="D618" s="2" t="s">
        <v>6260</v>
      </c>
      <c r="E618" s="2" t="s">
        <v>6261</v>
      </c>
      <c r="G618" s="3" t="s">
        <v>63</v>
      </c>
      <c r="I618" s="3" t="s">
        <v>63</v>
      </c>
      <c r="J618" s="3" t="s">
        <v>63</v>
      </c>
      <c r="K618" s="3" t="s">
        <v>64</v>
      </c>
      <c r="L618" s="2" t="s">
        <v>6148</v>
      </c>
      <c r="M618" s="2" t="s">
        <v>6262</v>
      </c>
      <c r="N618" s="3" t="s">
        <v>731</v>
      </c>
      <c r="P618" s="3" t="s">
        <v>66</v>
      </c>
      <c r="Q618" s="2" t="s">
        <v>6263</v>
      </c>
      <c r="R618" s="3" t="s">
        <v>67</v>
      </c>
      <c r="S618" s="4">
        <v>46</v>
      </c>
      <c r="T618" s="4">
        <v>46</v>
      </c>
      <c r="U618" s="5" t="s">
        <v>3117</v>
      </c>
      <c r="V618" s="5" t="s">
        <v>3117</v>
      </c>
      <c r="W618" s="5" t="s">
        <v>69</v>
      </c>
      <c r="X618" s="5" t="s">
        <v>69</v>
      </c>
      <c r="Y618" s="4">
        <v>208</v>
      </c>
      <c r="Z618" s="4">
        <v>16</v>
      </c>
      <c r="AA618" s="4">
        <v>82</v>
      </c>
      <c r="AB618" s="4">
        <v>1</v>
      </c>
      <c r="AC618" s="4">
        <v>14</v>
      </c>
      <c r="AD618" s="4">
        <v>89</v>
      </c>
      <c r="AE618" s="4">
        <v>135</v>
      </c>
      <c r="AF618" s="4">
        <v>0</v>
      </c>
      <c r="AG618" s="4">
        <v>8</v>
      </c>
      <c r="AH618" s="4">
        <v>82</v>
      </c>
      <c r="AI618" s="4">
        <v>100</v>
      </c>
      <c r="AJ618" s="4">
        <v>11</v>
      </c>
      <c r="AK618" s="4">
        <v>24</v>
      </c>
      <c r="AL618" s="4">
        <v>48</v>
      </c>
      <c r="AM618" s="4">
        <v>53</v>
      </c>
      <c r="AN618" s="4">
        <v>0</v>
      </c>
      <c r="AO618" s="4">
        <v>0</v>
      </c>
      <c r="AP618" s="4">
        <v>12</v>
      </c>
      <c r="AQ618" s="4">
        <v>43</v>
      </c>
      <c r="AR618" s="3" t="s">
        <v>63</v>
      </c>
      <c r="AS618" s="3" t="s">
        <v>63</v>
      </c>
      <c r="AT618" s="3" t="s">
        <v>62</v>
      </c>
      <c r="AU618" s="6" t="str">
        <f>HYPERLINK("http://catalog.hathitrust.org/Record/000253701","HathiTrust Record")</f>
        <v>HathiTrust Record</v>
      </c>
      <c r="AV618" s="6" t="str">
        <f>HYPERLINK("http://mcgill.on.worldcat.org/oclc/3073527","Catalog Record")</f>
        <v>Catalog Record</v>
      </c>
      <c r="AW618" s="6" t="str">
        <f>HYPERLINK("http://www.worldcat.org/oclc/3073527","WorldCat Record")</f>
        <v>WorldCat Record</v>
      </c>
      <c r="AX618" s="3" t="s">
        <v>6264</v>
      </c>
      <c r="AY618" s="3" t="s">
        <v>6265</v>
      </c>
      <c r="AZ618" s="3" t="s">
        <v>6266</v>
      </c>
      <c r="BA618" s="3" t="s">
        <v>6266</v>
      </c>
      <c r="BB618" s="3" t="s">
        <v>6267</v>
      </c>
      <c r="BC618" s="3" t="s">
        <v>82</v>
      </c>
      <c r="BD618" s="3" t="s">
        <v>70</v>
      </c>
      <c r="BE618" s="3" t="s">
        <v>6268</v>
      </c>
      <c r="BF618" s="3" t="s">
        <v>6267</v>
      </c>
      <c r="BG618" s="3" t="s">
        <v>6269</v>
      </c>
    </row>
    <row r="619" spans="1:59" ht="60" x14ac:dyDescent="0.25">
      <c r="A619" s="2" t="s">
        <v>59</v>
      </c>
      <c r="B619" s="2" t="s">
        <v>60</v>
      </c>
      <c r="C619" s="2" t="s">
        <v>6270</v>
      </c>
      <c r="D619" s="2" t="s">
        <v>6271</v>
      </c>
      <c r="E619" s="2" t="s">
        <v>6272</v>
      </c>
      <c r="G619" s="3" t="s">
        <v>63</v>
      </c>
      <c r="I619" s="3" t="s">
        <v>63</v>
      </c>
      <c r="J619" s="3" t="s">
        <v>63</v>
      </c>
      <c r="K619" s="3" t="s">
        <v>64</v>
      </c>
      <c r="L619" s="2" t="s">
        <v>6179</v>
      </c>
      <c r="M619" s="2" t="s">
        <v>6273</v>
      </c>
      <c r="N619" s="3" t="s">
        <v>247</v>
      </c>
      <c r="P619" s="3" t="s">
        <v>66</v>
      </c>
      <c r="R619" s="3" t="s">
        <v>67</v>
      </c>
      <c r="S619" s="4">
        <v>22</v>
      </c>
      <c r="T619" s="4">
        <v>22</v>
      </c>
      <c r="U619" s="5" t="s">
        <v>6080</v>
      </c>
      <c r="V619" s="5" t="s">
        <v>6080</v>
      </c>
      <c r="W619" s="5" t="s">
        <v>69</v>
      </c>
      <c r="X619" s="5" t="s">
        <v>69</v>
      </c>
      <c r="Y619" s="4">
        <v>139</v>
      </c>
      <c r="Z619" s="4">
        <v>20</v>
      </c>
      <c r="AA619" s="4">
        <v>29</v>
      </c>
      <c r="AB619" s="4">
        <v>1</v>
      </c>
      <c r="AC619" s="4">
        <v>4</v>
      </c>
      <c r="AD619" s="4">
        <v>54</v>
      </c>
      <c r="AE619" s="4">
        <v>106</v>
      </c>
      <c r="AF619" s="4">
        <v>0</v>
      </c>
      <c r="AG619" s="4">
        <v>1</v>
      </c>
      <c r="AH619" s="4">
        <v>48</v>
      </c>
      <c r="AI619" s="4">
        <v>93</v>
      </c>
      <c r="AJ619" s="4">
        <v>14</v>
      </c>
      <c r="AK619" s="4">
        <v>18</v>
      </c>
      <c r="AL619" s="4">
        <v>25</v>
      </c>
      <c r="AM619" s="4">
        <v>50</v>
      </c>
      <c r="AN619" s="4">
        <v>0</v>
      </c>
      <c r="AO619" s="4">
        <v>0</v>
      </c>
      <c r="AP619" s="4">
        <v>15</v>
      </c>
      <c r="AQ619" s="4">
        <v>20</v>
      </c>
      <c r="AR619" s="3" t="s">
        <v>63</v>
      </c>
      <c r="AS619" s="3" t="s">
        <v>63</v>
      </c>
      <c r="AT619" s="3" t="s">
        <v>62</v>
      </c>
      <c r="AU619" s="6" t="str">
        <f>HYPERLINK("http://catalog.hathitrust.org/Record/000261452","HathiTrust Record")</f>
        <v>HathiTrust Record</v>
      </c>
      <c r="AV619" s="6" t="str">
        <f>HYPERLINK("http://mcgill.on.worldcat.org/oclc/8248070","Catalog Record")</f>
        <v>Catalog Record</v>
      </c>
      <c r="AW619" s="6" t="str">
        <f>HYPERLINK("http://www.worldcat.org/oclc/8248070","WorldCat Record")</f>
        <v>WorldCat Record</v>
      </c>
      <c r="AX619" s="3" t="s">
        <v>6274</v>
      </c>
      <c r="AY619" s="3" t="s">
        <v>6275</v>
      </c>
      <c r="AZ619" s="3" t="s">
        <v>6276</v>
      </c>
      <c r="BA619" s="3" t="s">
        <v>6276</v>
      </c>
      <c r="BB619" s="3" t="s">
        <v>6277</v>
      </c>
      <c r="BC619" s="3" t="s">
        <v>82</v>
      </c>
      <c r="BD619" s="3" t="s">
        <v>70</v>
      </c>
      <c r="BE619" s="3" t="s">
        <v>6278</v>
      </c>
      <c r="BF619" s="3" t="s">
        <v>6277</v>
      </c>
      <c r="BG619" s="3" t="s">
        <v>6279</v>
      </c>
    </row>
    <row r="620" spans="1:59" ht="60" x14ac:dyDescent="0.25">
      <c r="A620" s="2" t="s">
        <v>59</v>
      </c>
      <c r="B620" s="2" t="s">
        <v>60</v>
      </c>
      <c r="C620" s="2" t="s">
        <v>6280</v>
      </c>
      <c r="D620" s="2" t="s">
        <v>6281</v>
      </c>
      <c r="E620" s="2" t="s">
        <v>6282</v>
      </c>
      <c r="G620" s="3" t="s">
        <v>63</v>
      </c>
      <c r="I620" s="3" t="s">
        <v>63</v>
      </c>
      <c r="J620" s="3" t="s">
        <v>63</v>
      </c>
      <c r="K620" s="3" t="s">
        <v>64</v>
      </c>
      <c r="M620" s="2" t="s">
        <v>6283</v>
      </c>
      <c r="N620" s="3" t="s">
        <v>814</v>
      </c>
      <c r="P620" s="3" t="s">
        <v>66</v>
      </c>
      <c r="R620" s="3" t="s">
        <v>67</v>
      </c>
      <c r="S620" s="4">
        <v>32</v>
      </c>
      <c r="T620" s="4">
        <v>32</v>
      </c>
      <c r="U620" s="5" t="s">
        <v>5687</v>
      </c>
      <c r="V620" s="5" t="s">
        <v>5687</v>
      </c>
      <c r="W620" s="5" t="s">
        <v>69</v>
      </c>
      <c r="X620" s="5" t="s">
        <v>69</v>
      </c>
      <c r="Y620" s="4">
        <v>544</v>
      </c>
      <c r="Z620" s="4">
        <v>36</v>
      </c>
      <c r="AA620" s="4">
        <v>37</v>
      </c>
      <c r="AB620" s="4">
        <v>2</v>
      </c>
      <c r="AC620" s="4">
        <v>3</v>
      </c>
      <c r="AD620" s="4">
        <v>125</v>
      </c>
      <c r="AE620" s="4">
        <v>126</v>
      </c>
      <c r="AF620" s="4">
        <v>1</v>
      </c>
      <c r="AG620" s="4">
        <v>2</v>
      </c>
      <c r="AH620" s="4">
        <v>107</v>
      </c>
      <c r="AI620" s="4">
        <v>107</v>
      </c>
      <c r="AJ620" s="4">
        <v>21</v>
      </c>
      <c r="AK620" s="4">
        <v>22</v>
      </c>
      <c r="AL620" s="4">
        <v>56</v>
      </c>
      <c r="AM620" s="4">
        <v>56</v>
      </c>
      <c r="AN620" s="4">
        <v>0</v>
      </c>
      <c r="AO620" s="4">
        <v>0</v>
      </c>
      <c r="AP620" s="4">
        <v>25</v>
      </c>
      <c r="AQ620" s="4">
        <v>26</v>
      </c>
      <c r="AR620" s="3" t="s">
        <v>63</v>
      </c>
      <c r="AS620" s="3" t="s">
        <v>63</v>
      </c>
      <c r="AT620" s="3" t="s">
        <v>62</v>
      </c>
      <c r="AU620" s="6" t="str">
        <f>HYPERLINK("http://catalog.hathitrust.org/Record/000181681","HathiTrust Record")</f>
        <v>HathiTrust Record</v>
      </c>
      <c r="AV620" s="6" t="str">
        <f>HYPERLINK("http://mcgill.on.worldcat.org/oclc/4219547","Catalog Record")</f>
        <v>Catalog Record</v>
      </c>
      <c r="AW620" s="6" t="str">
        <f>HYPERLINK("http://www.worldcat.org/oclc/4219547","WorldCat Record")</f>
        <v>WorldCat Record</v>
      </c>
      <c r="AX620" s="3" t="s">
        <v>6284</v>
      </c>
      <c r="AY620" s="3" t="s">
        <v>6285</v>
      </c>
      <c r="AZ620" s="3" t="s">
        <v>6286</v>
      </c>
      <c r="BA620" s="3" t="s">
        <v>6286</v>
      </c>
      <c r="BB620" s="3" t="s">
        <v>6287</v>
      </c>
      <c r="BC620" s="3" t="s">
        <v>82</v>
      </c>
      <c r="BD620" s="3" t="s">
        <v>70</v>
      </c>
      <c r="BE620" s="3" t="s">
        <v>6288</v>
      </c>
      <c r="BF620" s="3" t="s">
        <v>6287</v>
      </c>
      <c r="BG620" s="3" t="s">
        <v>6289</v>
      </c>
    </row>
    <row r="621" spans="1:59" ht="60" x14ac:dyDescent="0.25">
      <c r="A621" s="2" t="s">
        <v>59</v>
      </c>
      <c r="B621" s="2" t="s">
        <v>60</v>
      </c>
      <c r="C621" s="2" t="s">
        <v>6290</v>
      </c>
      <c r="D621" s="2" t="s">
        <v>6291</v>
      </c>
      <c r="E621" s="2" t="s">
        <v>6292</v>
      </c>
      <c r="F621" s="3" t="s">
        <v>582</v>
      </c>
      <c r="G621" s="3" t="s">
        <v>62</v>
      </c>
      <c r="I621" s="3" t="s">
        <v>63</v>
      </c>
      <c r="J621" s="3" t="s">
        <v>63</v>
      </c>
      <c r="K621" s="3" t="s">
        <v>64</v>
      </c>
      <c r="L621" s="2" t="s">
        <v>6293</v>
      </c>
      <c r="M621" s="2" t="s">
        <v>6294</v>
      </c>
      <c r="N621" s="3" t="s">
        <v>274</v>
      </c>
      <c r="P621" s="3" t="s">
        <v>90</v>
      </c>
      <c r="Q621" s="2" t="s">
        <v>6295</v>
      </c>
      <c r="R621" s="3" t="s">
        <v>67</v>
      </c>
      <c r="S621" s="4">
        <v>1</v>
      </c>
      <c r="T621" s="4">
        <v>1</v>
      </c>
      <c r="U621" s="5" t="s">
        <v>6296</v>
      </c>
      <c r="V621" s="5" t="s">
        <v>6296</v>
      </c>
      <c r="W621" s="5" t="s">
        <v>69</v>
      </c>
      <c r="X621" s="5" t="s">
        <v>69</v>
      </c>
      <c r="Y621" s="4">
        <v>3</v>
      </c>
      <c r="Z621" s="4">
        <v>1</v>
      </c>
      <c r="AA621" s="4">
        <v>4</v>
      </c>
      <c r="AB621" s="4">
        <v>1</v>
      </c>
      <c r="AC621" s="4">
        <v>1</v>
      </c>
      <c r="AD621" s="4">
        <v>2</v>
      </c>
      <c r="AE621" s="4">
        <v>13</v>
      </c>
      <c r="AF621" s="4">
        <v>0</v>
      </c>
      <c r="AG621" s="4">
        <v>0</v>
      </c>
      <c r="AH621" s="4">
        <v>2</v>
      </c>
      <c r="AI621" s="4">
        <v>12</v>
      </c>
      <c r="AJ621" s="4">
        <v>0</v>
      </c>
      <c r="AK621" s="4">
        <v>2</v>
      </c>
      <c r="AL621" s="4">
        <v>1</v>
      </c>
      <c r="AM621" s="4">
        <v>10</v>
      </c>
      <c r="AN621" s="4">
        <v>0</v>
      </c>
      <c r="AO621" s="4">
        <v>0</v>
      </c>
      <c r="AP621" s="4">
        <v>0</v>
      </c>
      <c r="AQ621" s="4">
        <v>2</v>
      </c>
      <c r="AR621" s="3" t="s">
        <v>63</v>
      </c>
      <c r="AS621" s="3" t="s">
        <v>63</v>
      </c>
      <c r="AT621" s="3" t="s">
        <v>62</v>
      </c>
      <c r="AU621" s="6" t="str">
        <f>HYPERLINK("http://catalog.hathitrust.org/Record/007016323","HathiTrust Record")</f>
        <v>HathiTrust Record</v>
      </c>
      <c r="AV621" s="6" t="str">
        <f>HYPERLINK("http://mcgill.on.worldcat.org/oclc/54800816","Catalog Record")</f>
        <v>Catalog Record</v>
      </c>
      <c r="AW621" s="6" t="str">
        <f>HYPERLINK("http://www.worldcat.org/oclc/54800816","WorldCat Record")</f>
        <v>WorldCat Record</v>
      </c>
      <c r="AX621" s="3" t="s">
        <v>6297</v>
      </c>
      <c r="AY621" s="3" t="s">
        <v>6298</v>
      </c>
      <c r="AZ621" s="3" t="s">
        <v>6299</v>
      </c>
      <c r="BA621" s="3" t="s">
        <v>6299</v>
      </c>
      <c r="BB621" s="3" t="s">
        <v>6300</v>
      </c>
      <c r="BC621" s="3" t="s">
        <v>82</v>
      </c>
      <c r="BD621" s="3" t="s">
        <v>70</v>
      </c>
      <c r="BE621" s="3" t="s">
        <v>6301</v>
      </c>
      <c r="BF621" s="3" t="s">
        <v>6300</v>
      </c>
      <c r="BG621" s="3" t="s">
        <v>6302</v>
      </c>
    </row>
    <row r="622" spans="1:59" ht="60" x14ac:dyDescent="0.25">
      <c r="A622" s="2" t="s">
        <v>59</v>
      </c>
      <c r="B622" s="2" t="s">
        <v>60</v>
      </c>
      <c r="C622" s="2" t="s">
        <v>6303</v>
      </c>
      <c r="D622" s="2" t="s">
        <v>6304</v>
      </c>
      <c r="E622" s="2" t="s">
        <v>6305</v>
      </c>
      <c r="G622" s="3" t="s">
        <v>63</v>
      </c>
      <c r="I622" s="3" t="s">
        <v>63</v>
      </c>
      <c r="J622" s="3" t="s">
        <v>63</v>
      </c>
      <c r="K622" s="3" t="s">
        <v>64</v>
      </c>
      <c r="L622" s="2" t="s">
        <v>6306</v>
      </c>
      <c r="M622" s="2" t="s">
        <v>6307</v>
      </c>
      <c r="N622" s="3" t="s">
        <v>374</v>
      </c>
      <c r="P622" s="3" t="s">
        <v>66</v>
      </c>
      <c r="R622" s="3" t="s">
        <v>67</v>
      </c>
      <c r="S622" s="4">
        <v>5</v>
      </c>
      <c r="T622" s="4">
        <v>5</v>
      </c>
      <c r="U622" s="5" t="s">
        <v>6308</v>
      </c>
      <c r="V622" s="5" t="s">
        <v>6308</v>
      </c>
      <c r="W622" s="5" t="s">
        <v>69</v>
      </c>
      <c r="X622" s="5" t="s">
        <v>69</v>
      </c>
      <c r="Y622" s="4">
        <v>54</v>
      </c>
      <c r="Z622" s="4">
        <v>4</v>
      </c>
      <c r="AA622" s="4">
        <v>10</v>
      </c>
      <c r="AB622" s="4">
        <v>1</v>
      </c>
      <c r="AC622" s="4">
        <v>3</v>
      </c>
      <c r="AD622" s="4">
        <v>23</v>
      </c>
      <c r="AE622" s="4">
        <v>36</v>
      </c>
      <c r="AF622" s="4">
        <v>0</v>
      </c>
      <c r="AG622" s="4">
        <v>0</v>
      </c>
      <c r="AH622" s="4">
        <v>22</v>
      </c>
      <c r="AI622" s="4">
        <v>33</v>
      </c>
      <c r="AJ622" s="4">
        <v>1</v>
      </c>
      <c r="AK622" s="4">
        <v>4</v>
      </c>
      <c r="AL622" s="4">
        <v>18</v>
      </c>
      <c r="AM622" s="4">
        <v>26</v>
      </c>
      <c r="AN622" s="4">
        <v>0</v>
      </c>
      <c r="AO622" s="4">
        <v>0</v>
      </c>
      <c r="AP622" s="4">
        <v>1</v>
      </c>
      <c r="AQ622" s="4">
        <v>5</v>
      </c>
      <c r="AR622" s="3" t="s">
        <v>63</v>
      </c>
      <c r="AS622" s="3" t="s">
        <v>63</v>
      </c>
      <c r="AT622" s="3" t="s">
        <v>63</v>
      </c>
      <c r="AV622" s="6" t="str">
        <f>HYPERLINK("http://mcgill.on.worldcat.org/oclc/34697061","Catalog Record")</f>
        <v>Catalog Record</v>
      </c>
      <c r="AW622" s="6" t="str">
        <f>HYPERLINK("http://www.worldcat.org/oclc/34697061","WorldCat Record")</f>
        <v>WorldCat Record</v>
      </c>
      <c r="AX622" s="3" t="s">
        <v>6309</v>
      </c>
      <c r="AY622" s="3" t="s">
        <v>6310</v>
      </c>
      <c r="AZ622" s="3" t="s">
        <v>6311</v>
      </c>
      <c r="BA622" s="3" t="s">
        <v>6311</v>
      </c>
      <c r="BB622" s="3" t="s">
        <v>6312</v>
      </c>
      <c r="BC622" s="3" t="s">
        <v>82</v>
      </c>
      <c r="BD622" s="3" t="s">
        <v>70</v>
      </c>
      <c r="BE622" s="3" t="s">
        <v>6313</v>
      </c>
      <c r="BF622" s="3" t="s">
        <v>6312</v>
      </c>
      <c r="BG622" s="3" t="s">
        <v>6314</v>
      </c>
    </row>
    <row r="623" spans="1:59" ht="60" x14ac:dyDescent="0.25">
      <c r="A623" s="2" t="s">
        <v>59</v>
      </c>
      <c r="B623" s="2" t="s">
        <v>60</v>
      </c>
      <c r="C623" s="2" t="s">
        <v>6315</v>
      </c>
      <c r="D623" s="2" t="s">
        <v>6316</v>
      </c>
      <c r="E623" s="2" t="s">
        <v>6317</v>
      </c>
      <c r="G623" s="3" t="s">
        <v>63</v>
      </c>
      <c r="I623" s="3" t="s">
        <v>63</v>
      </c>
      <c r="J623" s="3" t="s">
        <v>63</v>
      </c>
      <c r="K623" s="3" t="s">
        <v>64</v>
      </c>
      <c r="L623" s="2" t="s">
        <v>6318</v>
      </c>
      <c r="M623" s="2" t="s">
        <v>6319</v>
      </c>
      <c r="N623" s="3" t="s">
        <v>1023</v>
      </c>
      <c r="P623" s="3" t="s">
        <v>66</v>
      </c>
      <c r="R623" s="3" t="s">
        <v>67</v>
      </c>
      <c r="S623" s="4">
        <v>26</v>
      </c>
      <c r="T623" s="4">
        <v>26</v>
      </c>
      <c r="U623" s="5" t="s">
        <v>6320</v>
      </c>
      <c r="V623" s="5" t="s">
        <v>6320</v>
      </c>
      <c r="W623" s="5" t="s">
        <v>69</v>
      </c>
      <c r="X623" s="5" t="s">
        <v>69</v>
      </c>
      <c r="Y623" s="4">
        <v>357</v>
      </c>
      <c r="Z623" s="4">
        <v>24</v>
      </c>
      <c r="AA623" s="4">
        <v>26</v>
      </c>
      <c r="AB623" s="4">
        <v>1</v>
      </c>
      <c r="AC623" s="4">
        <v>3</v>
      </c>
      <c r="AD623" s="4">
        <v>114</v>
      </c>
      <c r="AE623" s="4">
        <v>115</v>
      </c>
      <c r="AF623" s="4">
        <v>0</v>
      </c>
      <c r="AG623" s="4">
        <v>1</v>
      </c>
      <c r="AH623" s="4">
        <v>101</v>
      </c>
      <c r="AI623" s="4">
        <v>101</v>
      </c>
      <c r="AJ623" s="4">
        <v>17</v>
      </c>
      <c r="AK623" s="4">
        <v>18</v>
      </c>
      <c r="AL623" s="4">
        <v>54</v>
      </c>
      <c r="AM623" s="4">
        <v>54</v>
      </c>
      <c r="AN623" s="4">
        <v>0</v>
      </c>
      <c r="AO623" s="4">
        <v>0</v>
      </c>
      <c r="AP623" s="4">
        <v>21</v>
      </c>
      <c r="AQ623" s="4">
        <v>21</v>
      </c>
      <c r="AR623" s="3" t="s">
        <v>63</v>
      </c>
      <c r="AS623" s="3" t="s">
        <v>63</v>
      </c>
      <c r="AT623" s="3" t="s">
        <v>62</v>
      </c>
      <c r="AU623" s="6" t="str">
        <f>HYPERLINK("http://catalog.hathitrust.org/Record/002895645","HathiTrust Record")</f>
        <v>HathiTrust Record</v>
      </c>
      <c r="AV623" s="6" t="str">
        <f>HYPERLINK("http://mcgill.on.worldcat.org/oclc/28722021","Catalog Record")</f>
        <v>Catalog Record</v>
      </c>
      <c r="AW623" s="6" t="str">
        <f>HYPERLINK("http://www.worldcat.org/oclc/28722021","WorldCat Record")</f>
        <v>WorldCat Record</v>
      </c>
      <c r="AX623" s="3" t="s">
        <v>6321</v>
      </c>
      <c r="AY623" s="3" t="s">
        <v>6322</v>
      </c>
      <c r="AZ623" s="3" t="s">
        <v>6323</v>
      </c>
      <c r="BA623" s="3" t="s">
        <v>6323</v>
      </c>
      <c r="BB623" s="3" t="s">
        <v>6324</v>
      </c>
      <c r="BC623" s="3" t="s">
        <v>82</v>
      </c>
      <c r="BD623" s="3" t="s">
        <v>70</v>
      </c>
      <c r="BE623" s="3" t="s">
        <v>6325</v>
      </c>
      <c r="BF623" s="3" t="s">
        <v>6324</v>
      </c>
      <c r="BG623" s="3" t="s">
        <v>6326</v>
      </c>
    </row>
    <row r="624" spans="1:59" ht="60" x14ac:dyDescent="0.25">
      <c r="A624" s="2" t="s">
        <v>59</v>
      </c>
      <c r="B624" s="2" t="s">
        <v>60</v>
      </c>
      <c r="C624" s="2" t="s">
        <v>6393</v>
      </c>
      <c r="D624" s="2" t="s">
        <v>6394</v>
      </c>
      <c r="E624" s="2" t="s">
        <v>6395</v>
      </c>
      <c r="G624" s="3" t="s">
        <v>62</v>
      </c>
      <c r="I624" s="3" t="s">
        <v>63</v>
      </c>
      <c r="J624" s="3" t="s">
        <v>63</v>
      </c>
      <c r="K624" s="3" t="s">
        <v>64</v>
      </c>
      <c r="L624" s="2" t="s">
        <v>6377</v>
      </c>
      <c r="M624" s="2" t="s">
        <v>6396</v>
      </c>
      <c r="N624" s="3" t="s">
        <v>313</v>
      </c>
      <c r="O624" s="2" t="s">
        <v>6397</v>
      </c>
      <c r="P624" s="3" t="s">
        <v>90</v>
      </c>
      <c r="Q624" s="2" t="s">
        <v>6398</v>
      </c>
      <c r="R624" s="3" t="s">
        <v>67</v>
      </c>
      <c r="S624" s="4">
        <v>0</v>
      </c>
      <c r="T624" s="4">
        <v>0</v>
      </c>
      <c r="W624" s="5" t="s">
        <v>69</v>
      </c>
      <c r="X624" s="5" t="s">
        <v>69</v>
      </c>
      <c r="Y624" s="4">
        <v>7</v>
      </c>
      <c r="Z624" s="4">
        <v>3</v>
      </c>
      <c r="AA624" s="4">
        <v>3</v>
      </c>
      <c r="AB624" s="4">
        <v>1</v>
      </c>
      <c r="AC624" s="4">
        <v>1</v>
      </c>
      <c r="AD624" s="4">
        <v>3</v>
      </c>
      <c r="AE624" s="4">
        <v>3</v>
      </c>
      <c r="AF624" s="4">
        <v>0</v>
      </c>
      <c r="AG624" s="4">
        <v>0</v>
      </c>
      <c r="AH624" s="4">
        <v>3</v>
      </c>
      <c r="AI624" s="4">
        <v>3</v>
      </c>
      <c r="AJ624" s="4">
        <v>1</v>
      </c>
      <c r="AK624" s="4">
        <v>1</v>
      </c>
      <c r="AL624" s="4">
        <v>2</v>
      </c>
      <c r="AM624" s="4">
        <v>2</v>
      </c>
      <c r="AN624" s="4">
        <v>0</v>
      </c>
      <c r="AO624" s="4">
        <v>0</v>
      </c>
      <c r="AP624" s="4">
        <v>1</v>
      </c>
      <c r="AQ624" s="4">
        <v>1</v>
      </c>
      <c r="AR624" s="3" t="s">
        <v>63</v>
      </c>
      <c r="AS624" s="3" t="s">
        <v>63</v>
      </c>
      <c r="AT624" s="3" t="s">
        <v>63</v>
      </c>
      <c r="AV624" s="6" t="str">
        <f>HYPERLINK("http://mcgill.on.worldcat.org/oclc/635861693","Catalog Record")</f>
        <v>Catalog Record</v>
      </c>
      <c r="AW624" s="6" t="str">
        <f>HYPERLINK("http://www.worldcat.org/oclc/635861693","WorldCat Record")</f>
        <v>WorldCat Record</v>
      </c>
      <c r="AX624" s="3" t="s">
        <v>6399</v>
      </c>
      <c r="AY624" s="3" t="s">
        <v>6400</v>
      </c>
      <c r="AZ624" s="3" t="s">
        <v>6401</v>
      </c>
      <c r="BA624" s="3" t="s">
        <v>6401</v>
      </c>
      <c r="BB624" s="3" t="s">
        <v>6402</v>
      </c>
      <c r="BC624" s="3" t="s">
        <v>82</v>
      </c>
      <c r="BD624" s="3" t="s">
        <v>70</v>
      </c>
      <c r="BE624" s="3" t="s">
        <v>6403</v>
      </c>
      <c r="BF624" s="3" t="s">
        <v>6402</v>
      </c>
      <c r="BG624" s="3" t="s">
        <v>6404</v>
      </c>
    </row>
    <row r="625" spans="1:59" ht="60" x14ac:dyDescent="0.25">
      <c r="A625" s="2" t="s">
        <v>59</v>
      </c>
      <c r="B625" s="2" t="s">
        <v>60</v>
      </c>
      <c r="C625" s="2" t="s">
        <v>6327</v>
      </c>
      <c r="D625" s="2" t="s">
        <v>6328</v>
      </c>
      <c r="E625" s="2" t="s">
        <v>6329</v>
      </c>
      <c r="G625" s="3" t="s">
        <v>63</v>
      </c>
      <c r="I625" s="3" t="s">
        <v>63</v>
      </c>
      <c r="J625" s="3" t="s">
        <v>63</v>
      </c>
      <c r="K625" s="3" t="s">
        <v>64</v>
      </c>
      <c r="L625" s="2" t="s">
        <v>6330</v>
      </c>
      <c r="M625" s="2" t="s">
        <v>6331</v>
      </c>
      <c r="N625" s="3" t="s">
        <v>143</v>
      </c>
      <c r="P625" s="3" t="s">
        <v>90</v>
      </c>
      <c r="R625" s="3" t="s">
        <v>67</v>
      </c>
      <c r="S625" s="4">
        <v>0</v>
      </c>
      <c r="T625" s="4">
        <v>0</v>
      </c>
      <c r="W625" s="5" t="s">
        <v>69</v>
      </c>
      <c r="X625" s="5" t="s">
        <v>69</v>
      </c>
      <c r="Y625" s="4">
        <v>33</v>
      </c>
      <c r="Z625" s="4">
        <v>5</v>
      </c>
      <c r="AA625" s="4">
        <v>5</v>
      </c>
      <c r="AB625" s="4">
        <v>1</v>
      </c>
      <c r="AC625" s="4">
        <v>1</v>
      </c>
      <c r="AD625" s="4">
        <v>27</v>
      </c>
      <c r="AE625" s="4">
        <v>27</v>
      </c>
      <c r="AF625" s="4">
        <v>0</v>
      </c>
      <c r="AG625" s="4">
        <v>0</v>
      </c>
      <c r="AH625" s="4">
        <v>26</v>
      </c>
      <c r="AI625" s="4">
        <v>26</v>
      </c>
      <c r="AJ625" s="4">
        <v>3</v>
      </c>
      <c r="AK625" s="4">
        <v>3</v>
      </c>
      <c r="AL625" s="4">
        <v>17</v>
      </c>
      <c r="AM625" s="4">
        <v>17</v>
      </c>
      <c r="AN625" s="4">
        <v>0</v>
      </c>
      <c r="AO625" s="4">
        <v>0</v>
      </c>
      <c r="AP625" s="4">
        <v>3</v>
      </c>
      <c r="AQ625" s="4">
        <v>3</v>
      </c>
      <c r="AR625" s="3" t="s">
        <v>63</v>
      </c>
      <c r="AS625" s="3" t="s">
        <v>63</v>
      </c>
      <c r="AT625" s="3" t="s">
        <v>63</v>
      </c>
      <c r="AV625" s="6" t="str">
        <f>HYPERLINK("http://mcgill.on.worldcat.org/oclc/871240905","Catalog Record")</f>
        <v>Catalog Record</v>
      </c>
      <c r="AW625" s="6" t="str">
        <f>HYPERLINK("http://www.worldcat.org/oclc/871240905","WorldCat Record")</f>
        <v>WorldCat Record</v>
      </c>
      <c r="AX625" s="3" t="s">
        <v>6332</v>
      </c>
      <c r="AY625" s="3" t="s">
        <v>6333</v>
      </c>
      <c r="AZ625" s="3" t="s">
        <v>6334</v>
      </c>
      <c r="BA625" s="3" t="s">
        <v>6334</v>
      </c>
      <c r="BB625" s="3" t="s">
        <v>6335</v>
      </c>
      <c r="BC625" s="3" t="s">
        <v>82</v>
      </c>
      <c r="BD625" s="3" t="s">
        <v>70</v>
      </c>
      <c r="BE625" s="3" t="s">
        <v>6336</v>
      </c>
      <c r="BF625" s="3" t="s">
        <v>6335</v>
      </c>
      <c r="BG625" s="3" t="s">
        <v>6337</v>
      </c>
    </row>
    <row r="626" spans="1:59" ht="60" x14ac:dyDescent="0.25">
      <c r="A626" s="2" t="s">
        <v>59</v>
      </c>
      <c r="B626" s="2" t="s">
        <v>60</v>
      </c>
      <c r="C626" s="2" t="s">
        <v>6338</v>
      </c>
      <c r="D626" s="2" t="s">
        <v>6339</v>
      </c>
      <c r="E626" s="2" t="s">
        <v>6340</v>
      </c>
      <c r="G626" s="3" t="s">
        <v>63</v>
      </c>
      <c r="I626" s="3" t="s">
        <v>63</v>
      </c>
      <c r="J626" s="3" t="s">
        <v>63</v>
      </c>
      <c r="K626" s="3" t="s">
        <v>64</v>
      </c>
      <c r="L626" s="2" t="s">
        <v>6341</v>
      </c>
      <c r="M626" s="2" t="s">
        <v>6342</v>
      </c>
      <c r="N626" s="3" t="s">
        <v>693</v>
      </c>
      <c r="P626" s="3" t="s">
        <v>90</v>
      </c>
      <c r="Q626" s="2" t="s">
        <v>6343</v>
      </c>
      <c r="R626" s="3" t="s">
        <v>67</v>
      </c>
      <c r="S626" s="4">
        <v>1</v>
      </c>
      <c r="T626" s="4">
        <v>1</v>
      </c>
      <c r="U626" s="5" t="s">
        <v>6344</v>
      </c>
      <c r="V626" s="5" t="s">
        <v>6344</v>
      </c>
      <c r="W626" s="5" t="s">
        <v>69</v>
      </c>
      <c r="X626" s="5" t="s">
        <v>69</v>
      </c>
      <c r="Y626" s="4">
        <v>47</v>
      </c>
      <c r="Z626" s="4">
        <v>5</v>
      </c>
      <c r="AA626" s="4">
        <v>5</v>
      </c>
      <c r="AB626" s="4">
        <v>1</v>
      </c>
      <c r="AC626" s="4">
        <v>1</v>
      </c>
      <c r="AD626" s="4">
        <v>40</v>
      </c>
      <c r="AE626" s="4">
        <v>40</v>
      </c>
      <c r="AF626" s="4">
        <v>0</v>
      </c>
      <c r="AG626" s="4">
        <v>0</v>
      </c>
      <c r="AH626" s="4">
        <v>39</v>
      </c>
      <c r="AI626" s="4">
        <v>39</v>
      </c>
      <c r="AJ626" s="4">
        <v>3</v>
      </c>
      <c r="AK626" s="4">
        <v>3</v>
      </c>
      <c r="AL626" s="4">
        <v>30</v>
      </c>
      <c r="AM626" s="4">
        <v>30</v>
      </c>
      <c r="AN626" s="4">
        <v>0</v>
      </c>
      <c r="AO626" s="4">
        <v>0</v>
      </c>
      <c r="AP626" s="4">
        <v>3</v>
      </c>
      <c r="AQ626" s="4">
        <v>3</v>
      </c>
      <c r="AR626" s="3" t="s">
        <v>63</v>
      </c>
      <c r="AS626" s="3" t="s">
        <v>63</v>
      </c>
      <c r="AT626" s="3" t="s">
        <v>62</v>
      </c>
      <c r="AU626" s="6" t="str">
        <f>HYPERLINK("http://catalog.hathitrust.org/Record/005071453","HathiTrust Record")</f>
        <v>HathiTrust Record</v>
      </c>
      <c r="AV626" s="6" t="str">
        <f>HYPERLINK("http://mcgill.on.worldcat.org/oclc/57455524","Catalog Record")</f>
        <v>Catalog Record</v>
      </c>
      <c r="AW626" s="6" t="str">
        <f>HYPERLINK("http://www.worldcat.org/oclc/57455524","WorldCat Record")</f>
        <v>WorldCat Record</v>
      </c>
      <c r="AX626" s="3" t="s">
        <v>6345</v>
      </c>
      <c r="AY626" s="3" t="s">
        <v>6346</v>
      </c>
      <c r="AZ626" s="3" t="s">
        <v>6347</v>
      </c>
      <c r="BA626" s="3" t="s">
        <v>6347</v>
      </c>
      <c r="BB626" s="3" t="s">
        <v>6348</v>
      </c>
      <c r="BC626" s="3" t="s">
        <v>82</v>
      </c>
      <c r="BD626" s="3" t="s">
        <v>70</v>
      </c>
      <c r="BE626" s="3" t="s">
        <v>6349</v>
      </c>
      <c r="BF626" s="3" t="s">
        <v>6348</v>
      </c>
      <c r="BG626" s="3" t="s">
        <v>6350</v>
      </c>
    </row>
    <row r="627" spans="1:59" ht="60" x14ac:dyDescent="0.25">
      <c r="A627" s="2" t="s">
        <v>59</v>
      </c>
      <c r="B627" s="2" t="s">
        <v>60</v>
      </c>
      <c r="C627" s="2" t="s">
        <v>6351</v>
      </c>
      <c r="D627" s="2" t="s">
        <v>6352</v>
      </c>
      <c r="E627" s="2" t="s">
        <v>6353</v>
      </c>
      <c r="G627" s="3" t="s">
        <v>63</v>
      </c>
      <c r="I627" s="3" t="s">
        <v>63</v>
      </c>
      <c r="J627" s="3" t="s">
        <v>63</v>
      </c>
      <c r="K627" s="3" t="s">
        <v>64</v>
      </c>
      <c r="L627" s="2" t="s">
        <v>6354</v>
      </c>
      <c r="M627" s="2" t="s">
        <v>6355</v>
      </c>
      <c r="N627" s="3" t="s">
        <v>2765</v>
      </c>
      <c r="P627" s="3" t="s">
        <v>90</v>
      </c>
      <c r="Q627" s="2" t="s">
        <v>4553</v>
      </c>
      <c r="R627" s="3" t="s">
        <v>67</v>
      </c>
      <c r="S627" s="4">
        <v>0</v>
      </c>
      <c r="T627" s="4">
        <v>0</v>
      </c>
      <c r="W627" s="5" t="s">
        <v>69</v>
      </c>
      <c r="X627" s="5" t="s">
        <v>69</v>
      </c>
      <c r="Y627" s="4">
        <v>44</v>
      </c>
      <c r="Z627" s="4">
        <v>4</v>
      </c>
      <c r="AA627" s="4">
        <v>4</v>
      </c>
      <c r="AB627" s="4">
        <v>1</v>
      </c>
      <c r="AC627" s="4">
        <v>1</v>
      </c>
      <c r="AD627" s="4">
        <v>32</v>
      </c>
      <c r="AE627" s="4">
        <v>32</v>
      </c>
      <c r="AF627" s="4">
        <v>0</v>
      </c>
      <c r="AG627" s="4">
        <v>0</v>
      </c>
      <c r="AH627" s="4">
        <v>31</v>
      </c>
      <c r="AI627" s="4">
        <v>31</v>
      </c>
      <c r="AJ627" s="4">
        <v>2</v>
      </c>
      <c r="AK627" s="4">
        <v>2</v>
      </c>
      <c r="AL627" s="4">
        <v>24</v>
      </c>
      <c r="AM627" s="4">
        <v>24</v>
      </c>
      <c r="AN627" s="4">
        <v>0</v>
      </c>
      <c r="AO627" s="4">
        <v>0</v>
      </c>
      <c r="AP627" s="4">
        <v>2</v>
      </c>
      <c r="AQ627" s="4">
        <v>2</v>
      </c>
      <c r="AR627" s="3" t="s">
        <v>63</v>
      </c>
      <c r="AS627" s="3" t="s">
        <v>63</v>
      </c>
      <c r="AT627" s="3" t="s">
        <v>63</v>
      </c>
      <c r="AV627" s="6" t="str">
        <f>HYPERLINK("http://mcgill.on.worldcat.org/oclc/900161317","Catalog Record")</f>
        <v>Catalog Record</v>
      </c>
      <c r="AW627" s="6" t="str">
        <f>HYPERLINK("http://www.worldcat.org/oclc/900161317","WorldCat Record")</f>
        <v>WorldCat Record</v>
      </c>
      <c r="AX627" s="3" t="s">
        <v>6356</v>
      </c>
      <c r="AY627" s="3" t="s">
        <v>6357</v>
      </c>
      <c r="AZ627" s="3" t="s">
        <v>6358</v>
      </c>
      <c r="BA627" s="3" t="s">
        <v>6358</v>
      </c>
      <c r="BB627" s="3" t="s">
        <v>6359</v>
      </c>
      <c r="BC627" s="3" t="s">
        <v>82</v>
      </c>
      <c r="BD627" s="3" t="s">
        <v>70</v>
      </c>
      <c r="BE627" s="3" t="s">
        <v>6360</v>
      </c>
      <c r="BF627" s="3" t="s">
        <v>6359</v>
      </c>
      <c r="BG627" s="3" t="s">
        <v>6361</v>
      </c>
    </row>
    <row r="628" spans="1:59" ht="60" x14ac:dyDescent="0.25">
      <c r="A628" s="2" t="s">
        <v>59</v>
      </c>
      <c r="B628" s="2" t="s">
        <v>60</v>
      </c>
      <c r="C628" s="2" t="s">
        <v>6362</v>
      </c>
      <c r="D628" s="2" t="s">
        <v>6363</v>
      </c>
      <c r="E628" s="2" t="s">
        <v>6364</v>
      </c>
      <c r="G628" s="3" t="s">
        <v>63</v>
      </c>
      <c r="I628" s="3" t="s">
        <v>63</v>
      </c>
      <c r="J628" s="3" t="s">
        <v>63</v>
      </c>
      <c r="K628" s="3" t="s">
        <v>64</v>
      </c>
      <c r="L628" s="2" t="s">
        <v>6365</v>
      </c>
      <c r="M628" s="2" t="s">
        <v>4552</v>
      </c>
      <c r="N628" s="3" t="s">
        <v>313</v>
      </c>
      <c r="P628" s="3" t="s">
        <v>90</v>
      </c>
      <c r="Q628" s="2" t="s">
        <v>6366</v>
      </c>
      <c r="R628" s="3" t="s">
        <v>67</v>
      </c>
      <c r="S628" s="4">
        <v>0</v>
      </c>
      <c r="T628" s="4">
        <v>0</v>
      </c>
      <c r="W628" s="5" t="s">
        <v>69</v>
      </c>
      <c r="X628" s="5" t="s">
        <v>69</v>
      </c>
      <c r="Y628" s="4">
        <v>31</v>
      </c>
      <c r="Z628" s="4">
        <v>3</v>
      </c>
      <c r="AA628" s="4">
        <v>3</v>
      </c>
      <c r="AB628" s="4">
        <v>1</v>
      </c>
      <c r="AC628" s="4">
        <v>1</v>
      </c>
      <c r="AD628" s="4">
        <v>25</v>
      </c>
      <c r="AE628" s="4">
        <v>25</v>
      </c>
      <c r="AF628" s="4">
        <v>0</v>
      </c>
      <c r="AG628" s="4">
        <v>0</v>
      </c>
      <c r="AH628" s="4">
        <v>24</v>
      </c>
      <c r="AI628" s="4">
        <v>24</v>
      </c>
      <c r="AJ628" s="4">
        <v>2</v>
      </c>
      <c r="AK628" s="4">
        <v>2</v>
      </c>
      <c r="AL628" s="4">
        <v>20</v>
      </c>
      <c r="AM628" s="4">
        <v>20</v>
      </c>
      <c r="AN628" s="4">
        <v>0</v>
      </c>
      <c r="AO628" s="4">
        <v>0</v>
      </c>
      <c r="AP628" s="4">
        <v>2</v>
      </c>
      <c r="AQ628" s="4">
        <v>2</v>
      </c>
      <c r="AR628" s="3" t="s">
        <v>63</v>
      </c>
      <c r="AS628" s="3" t="s">
        <v>63</v>
      </c>
      <c r="AT628" s="3" t="s">
        <v>63</v>
      </c>
      <c r="AV628" s="6" t="str">
        <f>HYPERLINK("http://mcgill.on.worldcat.org/oclc/493998354","Catalog Record")</f>
        <v>Catalog Record</v>
      </c>
      <c r="AW628" s="6" t="str">
        <f>HYPERLINK("http://www.worldcat.org/oclc/493998354","WorldCat Record")</f>
        <v>WorldCat Record</v>
      </c>
      <c r="AX628" s="3" t="s">
        <v>6367</v>
      </c>
      <c r="AY628" s="3" t="s">
        <v>6368</v>
      </c>
      <c r="AZ628" s="3" t="s">
        <v>6369</v>
      </c>
      <c r="BA628" s="3" t="s">
        <v>6369</v>
      </c>
      <c r="BB628" s="3" t="s">
        <v>6370</v>
      </c>
      <c r="BC628" s="3" t="s">
        <v>82</v>
      </c>
      <c r="BD628" s="3" t="s">
        <v>70</v>
      </c>
      <c r="BE628" s="3" t="s">
        <v>6371</v>
      </c>
      <c r="BF628" s="3" t="s">
        <v>6370</v>
      </c>
      <c r="BG628" s="3" t="s">
        <v>6372</v>
      </c>
    </row>
    <row r="629" spans="1:59" ht="60" x14ac:dyDescent="0.25">
      <c r="A629" s="2" t="s">
        <v>59</v>
      </c>
      <c r="B629" s="2" t="s">
        <v>60</v>
      </c>
      <c r="C629" s="2" t="s">
        <v>6373</v>
      </c>
      <c r="D629" s="2" t="s">
        <v>6374</v>
      </c>
      <c r="E629" s="2" t="s">
        <v>6375</v>
      </c>
      <c r="F629" s="3" t="s">
        <v>6376</v>
      </c>
      <c r="G629" s="3" t="s">
        <v>62</v>
      </c>
      <c r="I629" s="3" t="s">
        <v>63</v>
      </c>
      <c r="J629" s="3" t="s">
        <v>63</v>
      </c>
      <c r="K629" s="3" t="s">
        <v>64</v>
      </c>
      <c r="L629" s="2" t="s">
        <v>6377</v>
      </c>
      <c r="M629" s="2" t="s">
        <v>6378</v>
      </c>
      <c r="N629" s="3" t="s">
        <v>362</v>
      </c>
      <c r="P629" s="3" t="s">
        <v>90</v>
      </c>
      <c r="R629" s="3" t="s">
        <v>67</v>
      </c>
      <c r="S629" s="4">
        <v>5</v>
      </c>
      <c r="T629" s="4">
        <v>19</v>
      </c>
      <c r="U629" s="5" t="s">
        <v>6379</v>
      </c>
      <c r="V629" s="5" t="s">
        <v>6380</v>
      </c>
      <c r="W629" s="5" t="s">
        <v>69</v>
      </c>
      <c r="X629" s="5" t="s">
        <v>69</v>
      </c>
      <c r="Y629" s="4">
        <v>62</v>
      </c>
      <c r="Z629" s="4">
        <v>4</v>
      </c>
      <c r="AA629" s="4">
        <v>7</v>
      </c>
      <c r="AB629" s="4">
        <v>2</v>
      </c>
      <c r="AC629" s="4">
        <v>2</v>
      </c>
      <c r="AD629" s="4">
        <v>43</v>
      </c>
      <c r="AE629" s="4">
        <v>45</v>
      </c>
      <c r="AF629" s="4">
        <v>0</v>
      </c>
      <c r="AG629" s="4">
        <v>0</v>
      </c>
      <c r="AH629" s="4">
        <v>41</v>
      </c>
      <c r="AI629" s="4">
        <v>43</v>
      </c>
      <c r="AJ629" s="4">
        <v>2</v>
      </c>
      <c r="AK629" s="4">
        <v>4</v>
      </c>
      <c r="AL629" s="4">
        <v>34</v>
      </c>
      <c r="AM629" s="4">
        <v>35</v>
      </c>
      <c r="AN629" s="4">
        <v>0</v>
      </c>
      <c r="AO629" s="4">
        <v>0</v>
      </c>
      <c r="AP629" s="4">
        <v>2</v>
      </c>
      <c r="AQ629" s="4">
        <v>4</v>
      </c>
      <c r="AR629" s="3" t="s">
        <v>63</v>
      </c>
      <c r="AS629" s="3" t="s">
        <v>63</v>
      </c>
      <c r="AT629" s="3" t="s">
        <v>63</v>
      </c>
      <c r="AV629" s="6" t="str">
        <f>HYPERLINK("http://mcgill.on.worldcat.org/oclc/48149105","Catalog Record")</f>
        <v>Catalog Record</v>
      </c>
      <c r="AW629" s="6" t="str">
        <f>HYPERLINK("http://www.worldcat.org/oclc/48149105","WorldCat Record")</f>
        <v>WorldCat Record</v>
      </c>
      <c r="AX629" s="3" t="s">
        <v>6381</v>
      </c>
      <c r="AY629" s="3" t="s">
        <v>6382</v>
      </c>
      <c r="AZ629" s="3" t="s">
        <v>6383</v>
      </c>
      <c r="BA629" s="3" t="s">
        <v>6383</v>
      </c>
      <c r="BB629" s="3" t="s">
        <v>6384</v>
      </c>
      <c r="BC629" s="3" t="s">
        <v>82</v>
      </c>
      <c r="BD629" s="3" t="s">
        <v>70</v>
      </c>
      <c r="BE629" s="3" t="s">
        <v>6385</v>
      </c>
      <c r="BF629" s="3" t="s">
        <v>6384</v>
      </c>
      <c r="BG629" s="3" t="s">
        <v>6386</v>
      </c>
    </row>
    <row r="630" spans="1:59" ht="60" x14ac:dyDescent="0.25">
      <c r="A630" s="2" t="s">
        <v>59</v>
      </c>
      <c r="B630" s="2" t="s">
        <v>60</v>
      </c>
      <c r="C630" s="2" t="s">
        <v>6373</v>
      </c>
      <c r="D630" s="2" t="s">
        <v>6374</v>
      </c>
      <c r="E630" s="2" t="s">
        <v>6375</v>
      </c>
      <c r="F630" s="3" t="s">
        <v>6387</v>
      </c>
      <c r="G630" s="3" t="s">
        <v>62</v>
      </c>
      <c r="I630" s="3" t="s">
        <v>63</v>
      </c>
      <c r="J630" s="3" t="s">
        <v>63</v>
      </c>
      <c r="K630" s="3" t="s">
        <v>64</v>
      </c>
      <c r="L630" s="2" t="s">
        <v>6377</v>
      </c>
      <c r="M630" s="2" t="s">
        <v>6378</v>
      </c>
      <c r="N630" s="3" t="s">
        <v>362</v>
      </c>
      <c r="P630" s="3" t="s">
        <v>90</v>
      </c>
      <c r="R630" s="3" t="s">
        <v>67</v>
      </c>
      <c r="S630" s="4">
        <v>9</v>
      </c>
      <c r="T630" s="4">
        <v>19</v>
      </c>
      <c r="U630" s="5" t="s">
        <v>6380</v>
      </c>
      <c r="V630" s="5" t="s">
        <v>6380</v>
      </c>
      <c r="W630" s="5" t="s">
        <v>69</v>
      </c>
      <c r="X630" s="5" t="s">
        <v>69</v>
      </c>
      <c r="Y630" s="4">
        <v>62</v>
      </c>
      <c r="Z630" s="4">
        <v>4</v>
      </c>
      <c r="AA630" s="4">
        <v>7</v>
      </c>
      <c r="AB630" s="4">
        <v>2</v>
      </c>
      <c r="AC630" s="4">
        <v>2</v>
      </c>
      <c r="AD630" s="4">
        <v>43</v>
      </c>
      <c r="AE630" s="4">
        <v>45</v>
      </c>
      <c r="AF630" s="4">
        <v>0</v>
      </c>
      <c r="AG630" s="4">
        <v>0</v>
      </c>
      <c r="AH630" s="4">
        <v>41</v>
      </c>
      <c r="AI630" s="4">
        <v>43</v>
      </c>
      <c r="AJ630" s="4">
        <v>2</v>
      </c>
      <c r="AK630" s="4">
        <v>4</v>
      </c>
      <c r="AL630" s="4">
        <v>34</v>
      </c>
      <c r="AM630" s="4">
        <v>35</v>
      </c>
      <c r="AN630" s="4">
        <v>0</v>
      </c>
      <c r="AO630" s="4">
        <v>0</v>
      </c>
      <c r="AP630" s="4">
        <v>2</v>
      </c>
      <c r="AQ630" s="4">
        <v>4</v>
      </c>
      <c r="AR630" s="3" t="s">
        <v>63</v>
      </c>
      <c r="AS630" s="3" t="s">
        <v>63</v>
      </c>
      <c r="AT630" s="3" t="s">
        <v>63</v>
      </c>
      <c r="AV630" s="6" t="str">
        <f>HYPERLINK("http://mcgill.on.worldcat.org/oclc/48149105","Catalog Record")</f>
        <v>Catalog Record</v>
      </c>
      <c r="AW630" s="6" t="str">
        <f>HYPERLINK("http://www.worldcat.org/oclc/48149105","WorldCat Record")</f>
        <v>WorldCat Record</v>
      </c>
      <c r="AX630" s="3" t="s">
        <v>6381</v>
      </c>
      <c r="AY630" s="3" t="s">
        <v>6382</v>
      </c>
      <c r="AZ630" s="3" t="s">
        <v>6383</v>
      </c>
      <c r="BA630" s="3" t="s">
        <v>6383</v>
      </c>
      <c r="BB630" s="3" t="s">
        <v>6388</v>
      </c>
      <c r="BC630" s="3" t="s">
        <v>82</v>
      </c>
      <c r="BD630" s="3" t="s">
        <v>70</v>
      </c>
      <c r="BE630" s="3" t="s">
        <v>6385</v>
      </c>
      <c r="BF630" s="3" t="s">
        <v>6388</v>
      </c>
      <c r="BG630" s="3" t="s">
        <v>6389</v>
      </c>
    </row>
    <row r="631" spans="1:59" ht="60" x14ac:dyDescent="0.25">
      <c r="A631" s="2" t="s">
        <v>59</v>
      </c>
      <c r="B631" s="2" t="s">
        <v>60</v>
      </c>
      <c r="C631" s="2" t="s">
        <v>6373</v>
      </c>
      <c r="D631" s="2" t="s">
        <v>6374</v>
      </c>
      <c r="E631" s="2" t="s">
        <v>6375</v>
      </c>
      <c r="F631" s="3" t="s">
        <v>6390</v>
      </c>
      <c r="G631" s="3" t="s">
        <v>62</v>
      </c>
      <c r="I631" s="3" t="s">
        <v>63</v>
      </c>
      <c r="J631" s="3" t="s">
        <v>63</v>
      </c>
      <c r="K631" s="3" t="s">
        <v>64</v>
      </c>
      <c r="L631" s="2" t="s">
        <v>6377</v>
      </c>
      <c r="M631" s="2" t="s">
        <v>6378</v>
      </c>
      <c r="N631" s="3" t="s">
        <v>362</v>
      </c>
      <c r="P631" s="3" t="s">
        <v>90</v>
      </c>
      <c r="R631" s="3" t="s">
        <v>67</v>
      </c>
      <c r="S631" s="4">
        <v>5</v>
      </c>
      <c r="T631" s="4">
        <v>19</v>
      </c>
      <c r="U631" s="5" t="s">
        <v>6379</v>
      </c>
      <c r="V631" s="5" t="s">
        <v>6380</v>
      </c>
      <c r="W631" s="5" t="s">
        <v>69</v>
      </c>
      <c r="X631" s="5" t="s">
        <v>69</v>
      </c>
      <c r="Y631" s="4">
        <v>62</v>
      </c>
      <c r="Z631" s="4">
        <v>4</v>
      </c>
      <c r="AA631" s="4">
        <v>7</v>
      </c>
      <c r="AB631" s="4">
        <v>2</v>
      </c>
      <c r="AC631" s="4">
        <v>2</v>
      </c>
      <c r="AD631" s="4">
        <v>43</v>
      </c>
      <c r="AE631" s="4">
        <v>45</v>
      </c>
      <c r="AF631" s="4">
        <v>0</v>
      </c>
      <c r="AG631" s="4">
        <v>0</v>
      </c>
      <c r="AH631" s="4">
        <v>41</v>
      </c>
      <c r="AI631" s="4">
        <v>43</v>
      </c>
      <c r="AJ631" s="4">
        <v>2</v>
      </c>
      <c r="AK631" s="4">
        <v>4</v>
      </c>
      <c r="AL631" s="4">
        <v>34</v>
      </c>
      <c r="AM631" s="4">
        <v>35</v>
      </c>
      <c r="AN631" s="4">
        <v>0</v>
      </c>
      <c r="AO631" s="4">
        <v>0</v>
      </c>
      <c r="AP631" s="4">
        <v>2</v>
      </c>
      <c r="AQ631" s="4">
        <v>4</v>
      </c>
      <c r="AR631" s="3" t="s">
        <v>63</v>
      </c>
      <c r="AS631" s="3" t="s">
        <v>63</v>
      </c>
      <c r="AT631" s="3" t="s">
        <v>63</v>
      </c>
      <c r="AV631" s="6" t="str">
        <f>HYPERLINK("http://mcgill.on.worldcat.org/oclc/48149105","Catalog Record")</f>
        <v>Catalog Record</v>
      </c>
      <c r="AW631" s="6" t="str">
        <f>HYPERLINK("http://www.worldcat.org/oclc/48149105","WorldCat Record")</f>
        <v>WorldCat Record</v>
      </c>
      <c r="AX631" s="3" t="s">
        <v>6381</v>
      </c>
      <c r="AY631" s="3" t="s">
        <v>6382</v>
      </c>
      <c r="AZ631" s="3" t="s">
        <v>6383</v>
      </c>
      <c r="BA631" s="3" t="s">
        <v>6383</v>
      </c>
      <c r="BB631" s="3" t="s">
        <v>6391</v>
      </c>
      <c r="BC631" s="3" t="s">
        <v>82</v>
      </c>
      <c r="BD631" s="3" t="s">
        <v>70</v>
      </c>
      <c r="BE631" s="3" t="s">
        <v>6385</v>
      </c>
      <c r="BF631" s="3" t="s">
        <v>6391</v>
      </c>
      <c r="BG631" s="3" t="s">
        <v>6392</v>
      </c>
    </row>
    <row r="632" spans="1:59" ht="60" x14ac:dyDescent="0.25">
      <c r="A632" s="2" t="s">
        <v>59</v>
      </c>
      <c r="B632" s="2" t="s">
        <v>60</v>
      </c>
      <c r="C632" s="2" t="s">
        <v>6405</v>
      </c>
      <c r="D632" s="2" t="s">
        <v>6406</v>
      </c>
      <c r="E632" s="2" t="s">
        <v>6407</v>
      </c>
      <c r="G632" s="3" t="s">
        <v>63</v>
      </c>
      <c r="I632" s="3" t="s">
        <v>63</v>
      </c>
      <c r="J632" s="3" t="s">
        <v>63</v>
      </c>
      <c r="K632" s="3" t="s">
        <v>64</v>
      </c>
      <c r="L632" s="2" t="s">
        <v>4622</v>
      </c>
      <c r="M632" s="2" t="s">
        <v>6408</v>
      </c>
      <c r="N632" s="3" t="s">
        <v>161</v>
      </c>
      <c r="P632" s="3" t="s">
        <v>66</v>
      </c>
      <c r="Q632" s="2" t="s">
        <v>6409</v>
      </c>
      <c r="R632" s="3" t="s">
        <v>67</v>
      </c>
      <c r="S632" s="4">
        <v>5</v>
      </c>
      <c r="T632" s="4">
        <v>5</v>
      </c>
      <c r="U632" s="5" t="s">
        <v>6410</v>
      </c>
      <c r="V632" s="5" t="s">
        <v>6410</v>
      </c>
      <c r="W632" s="5" t="s">
        <v>69</v>
      </c>
      <c r="X632" s="5" t="s">
        <v>69</v>
      </c>
      <c r="Y632" s="4">
        <v>191</v>
      </c>
      <c r="Z632" s="4">
        <v>17</v>
      </c>
      <c r="AA632" s="4">
        <v>20</v>
      </c>
      <c r="AB632" s="4">
        <v>1</v>
      </c>
      <c r="AC632" s="4">
        <v>1</v>
      </c>
      <c r="AD632" s="4">
        <v>99</v>
      </c>
      <c r="AE632" s="4">
        <v>100</v>
      </c>
      <c r="AF632" s="4">
        <v>0</v>
      </c>
      <c r="AG632" s="4">
        <v>0</v>
      </c>
      <c r="AH632" s="4">
        <v>91</v>
      </c>
      <c r="AI632" s="4">
        <v>92</v>
      </c>
      <c r="AJ632" s="4">
        <v>15</v>
      </c>
      <c r="AK632" s="4">
        <v>16</v>
      </c>
      <c r="AL632" s="4">
        <v>49</v>
      </c>
      <c r="AM632" s="4">
        <v>50</v>
      </c>
      <c r="AN632" s="4">
        <v>1</v>
      </c>
      <c r="AO632" s="4">
        <v>1</v>
      </c>
      <c r="AP632" s="4">
        <v>16</v>
      </c>
      <c r="AQ632" s="4">
        <v>17</v>
      </c>
      <c r="AR632" s="3" t="s">
        <v>63</v>
      </c>
      <c r="AS632" s="3" t="s">
        <v>63</v>
      </c>
      <c r="AT632" s="3" t="s">
        <v>62</v>
      </c>
      <c r="AU632" s="6" t="str">
        <f>HYPERLINK("http://catalog.hathitrust.org/Record/001093477","HathiTrust Record")</f>
        <v>HathiTrust Record</v>
      </c>
      <c r="AV632" s="6" t="str">
        <f>HYPERLINK("http://mcgill.on.worldcat.org/oclc/19446858","Catalog Record")</f>
        <v>Catalog Record</v>
      </c>
      <c r="AW632" s="6" t="str">
        <f>HYPERLINK("http://www.worldcat.org/oclc/19446858","WorldCat Record")</f>
        <v>WorldCat Record</v>
      </c>
      <c r="AX632" s="3" t="s">
        <v>6411</v>
      </c>
      <c r="AY632" s="3" t="s">
        <v>6412</v>
      </c>
      <c r="AZ632" s="3" t="s">
        <v>6413</v>
      </c>
      <c r="BA632" s="3" t="s">
        <v>6413</v>
      </c>
      <c r="BB632" s="3" t="s">
        <v>6414</v>
      </c>
      <c r="BC632" s="3" t="s">
        <v>82</v>
      </c>
      <c r="BD632" s="3" t="s">
        <v>70</v>
      </c>
      <c r="BE632" s="3" t="s">
        <v>6415</v>
      </c>
      <c r="BF632" s="3" t="s">
        <v>6414</v>
      </c>
      <c r="BG632" s="3" t="s">
        <v>6416</v>
      </c>
    </row>
    <row r="633" spans="1:59" ht="60" x14ac:dyDescent="0.25">
      <c r="A633" s="2" t="s">
        <v>59</v>
      </c>
      <c r="B633" s="2" t="s">
        <v>60</v>
      </c>
      <c r="C633" s="2" t="s">
        <v>6417</v>
      </c>
      <c r="D633" s="2" t="s">
        <v>6418</v>
      </c>
      <c r="E633" s="2" t="s">
        <v>6419</v>
      </c>
      <c r="G633" s="3" t="s">
        <v>63</v>
      </c>
      <c r="I633" s="3" t="s">
        <v>63</v>
      </c>
      <c r="J633" s="3" t="s">
        <v>63</v>
      </c>
      <c r="K633" s="3" t="s">
        <v>64</v>
      </c>
      <c r="L633" s="2" t="s">
        <v>6420</v>
      </c>
      <c r="M633" s="2" t="s">
        <v>6421</v>
      </c>
      <c r="N633" s="3" t="s">
        <v>2765</v>
      </c>
      <c r="P633" s="3" t="s">
        <v>90</v>
      </c>
      <c r="Q633" s="2" t="s">
        <v>6422</v>
      </c>
      <c r="R633" s="3" t="s">
        <v>67</v>
      </c>
      <c r="S633" s="4">
        <v>0</v>
      </c>
      <c r="T633" s="4">
        <v>0</v>
      </c>
      <c r="W633" s="5" t="s">
        <v>69</v>
      </c>
      <c r="X633" s="5" t="s">
        <v>69</v>
      </c>
      <c r="Y633" s="4">
        <v>30</v>
      </c>
      <c r="Z633" s="4">
        <v>1</v>
      </c>
      <c r="AA633" s="4">
        <v>1</v>
      </c>
      <c r="AB633" s="4">
        <v>1</v>
      </c>
      <c r="AC633" s="4">
        <v>1</v>
      </c>
      <c r="AD633" s="4">
        <v>20</v>
      </c>
      <c r="AE633" s="4">
        <v>20</v>
      </c>
      <c r="AF633" s="4">
        <v>0</v>
      </c>
      <c r="AG633" s="4">
        <v>0</v>
      </c>
      <c r="AH633" s="4">
        <v>20</v>
      </c>
      <c r="AI633" s="4">
        <v>20</v>
      </c>
      <c r="AJ633" s="4">
        <v>0</v>
      </c>
      <c r="AK633" s="4">
        <v>0</v>
      </c>
      <c r="AL633" s="4">
        <v>15</v>
      </c>
      <c r="AM633" s="4">
        <v>15</v>
      </c>
      <c r="AN633" s="4">
        <v>0</v>
      </c>
      <c r="AO633" s="4">
        <v>0</v>
      </c>
      <c r="AP633" s="4">
        <v>0</v>
      </c>
      <c r="AQ633" s="4">
        <v>0</v>
      </c>
      <c r="AR633" s="3" t="s">
        <v>63</v>
      </c>
      <c r="AS633" s="3" t="s">
        <v>63</v>
      </c>
      <c r="AT633" s="3" t="s">
        <v>63</v>
      </c>
      <c r="AV633" s="6" t="str">
        <f>HYPERLINK("http://mcgill.on.worldcat.org/oclc/919350857","Catalog Record")</f>
        <v>Catalog Record</v>
      </c>
      <c r="AW633" s="6" t="str">
        <f>HYPERLINK("http://www.worldcat.org/oclc/919350857","WorldCat Record")</f>
        <v>WorldCat Record</v>
      </c>
      <c r="AX633" s="3" t="s">
        <v>6423</v>
      </c>
      <c r="AY633" s="3" t="s">
        <v>6424</v>
      </c>
      <c r="AZ633" s="3" t="s">
        <v>6425</v>
      </c>
      <c r="BA633" s="3" t="s">
        <v>6425</v>
      </c>
      <c r="BB633" s="3" t="s">
        <v>6426</v>
      </c>
      <c r="BC633" s="3" t="s">
        <v>82</v>
      </c>
      <c r="BD633" s="3" t="s">
        <v>70</v>
      </c>
      <c r="BE633" s="3" t="s">
        <v>6427</v>
      </c>
      <c r="BF633" s="3" t="s">
        <v>6426</v>
      </c>
      <c r="BG633" s="3" t="s">
        <v>6428</v>
      </c>
    </row>
    <row r="634" spans="1:59" ht="75" x14ac:dyDescent="0.25">
      <c r="A634" s="2" t="s">
        <v>59</v>
      </c>
      <c r="B634" s="2" t="s">
        <v>60</v>
      </c>
      <c r="C634" s="2" t="s">
        <v>6429</v>
      </c>
      <c r="D634" s="2" t="s">
        <v>6430</v>
      </c>
      <c r="E634" s="2" t="s">
        <v>6431</v>
      </c>
      <c r="G634" s="3" t="s">
        <v>63</v>
      </c>
      <c r="I634" s="3" t="s">
        <v>63</v>
      </c>
      <c r="J634" s="3" t="s">
        <v>63</v>
      </c>
      <c r="K634" s="3" t="s">
        <v>64</v>
      </c>
      <c r="M634" s="2" t="s">
        <v>6432</v>
      </c>
      <c r="N634" s="3" t="s">
        <v>629</v>
      </c>
      <c r="P634" s="3" t="s">
        <v>66</v>
      </c>
      <c r="R634" s="3" t="s">
        <v>67</v>
      </c>
      <c r="S634" s="4">
        <v>0</v>
      </c>
      <c r="T634" s="4">
        <v>0</v>
      </c>
      <c r="W634" s="5" t="s">
        <v>69</v>
      </c>
      <c r="X634" s="5" t="s">
        <v>69</v>
      </c>
      <c r="Y634" s="4">
        <v>26</v>
      </c>
      <c r="Z634" s="4">
        <v>3</v>
      </c>
      <c r="AA634" s="4">
        <v>3</v>
      </c>
      <c r="AB634" s="4">
        <v>1</v>
      </c>
      <c r="AC634" s="4">
        <v>1</v>
      </c>
      <c r="AD634" s="4">
        <v>17</v>
      </c>
      <c r="AE634" s="4">
        <v>17</v>
      </c>
      <c r="AF634" s="4">
        <v>0</v>
      </c>
      <c r="AG634" s="4">
        <v>0</v>
      </c>
      <c r="AH634" s="4">
        <v>17</v>
      </c>
      <c r="AI634" s="4">
        <v>17</v>
      </c>
      <c r="AJ634" s="4">
        <v>2</v>
      </c>
      <c r="AK634" s="4">
        <v>2</v>
      </c>
      <c r="AL634" s="4">
        <v>12</v>
      </c>
      <c r="AM634" s="4">
        <v>12</v>
      </c>
      <c r="AN634" s="4">
        <v>0</v>
      </c>
      <c r="AO634" s="4">
        <v>0</v>
      </c>
      <c r="AP634" s="4">
        <v>2</v>
      </c>
      <c r="AQ634" s="4">
        <v>2</v>
      </c>
      <c r="AR634" s="3" t="s">
        <v>63</v>
      </c>
      <c r="AS634" s="3" t="s">
        <v>63</v>
      </c>
      <c r="AT634" s="3" t="s">
        <v>63</v>
      </c>
      <c r="AV634" s="6" t="str">
        <f>HYPERLINK("http://mcgill.on.worldcat.org/oclc/768169105","Catalog Record")</f>
        <v>Catalog Record</v>
      </c>
      <c r="AW634" s="6" t="str">
        <f>HYPERLINK("http://www.worldcat.org/oclc/768169105","WorldCat Record")</f>
        <v>WorldCat Record</v>
      </c>
      <c r="AX634" s="3" t="s">
        <v>6433</v>
      </c>
      <c r="AY634" s="3" t="s">
        <v>6434</v>
      </c>
      <c r="AZ634" s="3" t="s">
        <v>6435</v>
      </c>
      <c r="BA634" s="3" t="s">
        <v>6435</v>
      </c>
      <c r="BB634" s="3" t="s">
        <v>6436</v>
      </c>
      <c r="BC634" s="3" t="s">
        <v>82</v>
      </c>
      <c r="BD634" s="3" t="s">
        <v>70</v>
      </c>
      <c r="BE634" s="3" t="s">
        <v>6437</v>
      </c>
      <c r="BF634" s="3" t="s">
        <v>6436</v>
      </c>
      <c r="BG634" s="3" t="s">
        <v>6438</v>
      </c>
    </row>
    <row r="635" spans="1:59" ht="60" x14ac:dyDescent="0.25">
      <c r="A635" s="2" t="s">
        <v>59</v>
      </c>
      <c r="B635" s="2" t="s">
        <v>60</v>
      </c>
      <c r="C635" s="2" t="s">
        <v>6439</v>
      </c>
      <c r="D635" s="2" t="s">
        <v>6440</v>
      </c>
      <c r="E635" s="2" t="s">
        <v>6441</v>
      </c>
      <c r="G635" s="3" t="s">
        <v>63</v>
      </c>
      <c r="I635" s="3" t="s">
        <v>63</v>
      </c>
      <c r="J635" s="3" t="s">
        <v>63</v>
      </c>
      <c r="K635" s="3" t="s">
        <v>64</v>
      </c>
      <c r="M635" s="2" t="s">
        <v>6442</v>
      </c>
      <c r="N635" s="3" t="s">
        <v>629</v>
      </c>
      <c r="P635" s="3" t="s">
        <v>90</v>
      </c>
      <c r="Q635" s="2" t="s">
        <v>6443</v>
      </c>
      <c r="R635" s="3" t="s">
        <v>67</v>
      </c>
      <c r="S635" s="4">
        <v>0</v>
      </c>
      <c r="T635" s="4">
        <v>0</v>
      </c>
      <c r="W635" s="5" t="s">
        <v>69</v>
      </c>
      <c r="X635" s="5" t="s">
        <v>69</v>
      </c>
      <c r="Y635" s="4">
        <v>33</v>
      </c>
      <c r="Z635" s="4">
        <v>2</v>
      </c>
      <c r="AA635" s="4">
        <v>2</v>
      </c>
      <c r="AB635" s="4">
        <v>1</v>
      </c>
      <c r="AC635" s="4">
        <v>1</v>
      </c>
      <c r="AD635" s="4">
        <v>19</v>
      </c>
      <c r="AE635" s="4">
        <v>19</v>
      </c>
      <c r="AF635" s="4">
        <v>0</v>
      </c>
      <c r="AG635" s="4">
        <v>0</v>
      </c>
      <c r="AH635" s="4">
        <v>17</v>
      </c>
      <c r="AI635" s="4">
        <v>17</v>
      </c>
      <c r="AJ635" s="4">
        <v>1</v>
      </c>
      <c r="AK635" s="4">
        <v>1</v>
      </c>
      <c r="AL635" s="4">
        <v>17</v>
      </c>
      <c r="AM635" s="4">
        <v>17</v>
      </c>
      <c r="AN635" s="4">
        <v>0</v>
      </c>
      <c r="AO635" s="4">
        <v>0</v>
      </c>
      <c r="AP635" s="4">
        <v>1</v>
      </c>
      <c r="AQ635" s="4">
        <v>1</v>
      </c>
      <c r="AR635" s="3" t="s">
        <v>63</v>
      </c>
      <c r="AS635" s="3" t="s">
        <v>63</v>
      </c>
      <c r="AT635" s="3" t="s">
        <v>63</v>
      </c>
      <c r="AV635" s="6" t="str">
        <f>HYPERLINK("http://mcgill.on.worldcat.org/oclc/774871595","Catalog Record")</f>
        <v>Catalog Record</v>
      </c>
      <c r="AW635" s="6" t="str">
        <f>HYPERLINK("http://www.worldcat.org/oclc/774871595","WorldCat Record")</f>
        <v>WorldCat Record</v>
      </c>
      <c r="AX635" s="3" t="s">
        <v>6444</v>
      </c>
      <c r="AY635" s="3" t="s">
        <v>6445</v>
      </c>
      <c r="AZ635" s="3" t="s">
        <v>6446</v>
      </c>
      <c r="BA635" s="3" t="s">
        <v>6446</v>
      </c>
      <c r="BB635" s="3" t="s">
        <v>6447</v>
      </c>
      <c r="BC635" s="3" t="s">
        <v>82</v>
      </c>
      <c r="BD635" s="3" t="s">
        <v>70</v>
      </c>
      <c r="BE635" s="3" t="s">
        <v>6448</v>
      </c>
      <c r="BF635" s="3" t="s">
        <v>6447</v>
      </c>
      <c r="BG635" s="3" t="s">
        <v>6449</v>
      </c>
    </row>
    <row r="636" spans="1:59" ht="60" x14ac:dyDescent="0.25">
      <c r="A636" s="2" t="s">
        <v>59</v>
      </c>
      <c r="B636" s="2" t="s">
        <v>60</v>
      </c>
      <c r="C636" s="2" t="s">
        <v>6450</v>
      </c>
      <c r="D636" s="2" t="s">
        <v>6451</v>
      </c>
      <c r="E636" s="2" t="s">
        <v>6452</v>
      </c>
      <c r="G636" s="3" t="s">
        <v>63</v>
      </c>
      <c r="I636" s="3" t="s">
        <v>63</v>
      </c>
      <c r="J636" s="3" t="s">
        <v>63</v>
      </c>
      <c r="K636" s="3" t="s">
        <v>64</v>
      </c>
      <c r="L636" s="2" t="s">
        <v>6453</v>
      </c>
      <c r="M636" s="2" t="s">
        <v>6454</v>
      </c>
      <c r="N636" s="3" t="s">
        <v>76</v>
      </c>
      <c r="P636" s="3" t="s">
        <v>90</v>
      </c>
      <c r="R636" s="3" t="s">
        <v>67</v>
      </c>
      <c r="S636" s="4">
        <v>0</v>
      </c>
      <c r="T636" s="4">
        <v>0</v>
      </c>
      <c r="W636" s="5" t="s">
        <v>69</v>
      </c>
      <c r="X636" s="5" t="s">
        <v>69</v>
      </c>
      <c r="Y636" s="4">
        <v>25</v>
      </c>
      <c r="Z636" s="4">
        <v>3</v>
      </c>
      <c r="AA636" s="4">
        <v>3</v>
      </c>
      <c r="AB636" s="4">
        <v>1</v>
      </c>
      <c r="AC636" s="4">
        <v>1</v>
      </c>
      <c r="AD636" s="4">
        <v>17</v>
      </c>
      <c r="AE636" s="4">
        <v>17</v>
      </c>
      <c r="AF636" s="4">
        <v>0</v>
      </c>
      <c r="AG636" s="4">
        <v>0</v>
      </c>
      <c r="AH636" s="4">
        <v>16</v>
      </c>
      <c r="AI636" s="4">
        <v>16</v>
      </c>
      <c r="AJ636" s="4">
        <v>1</v>
      </c>
      <c r="AK636" s="4">
        <v>1</v>
      </c>
      <c r="AL636" s="4">
        <v>15</v>
      </c>
      <c r="AM636" s="4">
        <v>15</v>
      </c>
      <c r="AN636" s="4">
        <v>0</v>
      </c>
      <c r="AO636" s="4">
        <v>0</v>
      </c>
      <c r="AP636" s="4">
        <v>1</v>
      </c>
      <c r="AQ636" s="4">
        <v>1</v>
      </c>
      <c r="AR636" s="3" t="s">
        <v>63</v>
      </c>
      <c r="AS636" s="3" t="s">
        <v>63</v>
      </c>
      <c r="AT636" s="3" t="s">
        <v>63</v>
      </c>
      <c r="AV636" s="6" t="str">
        <f>HYPERLINK("http://mcgill.on.worldcat.org/oclc/785986713","Catalog Record")</f>
        <v>Catalog Record</v>
      </c>
      <c r="AW636" s="6" t="str">
        <f>HYPERLINK("http://www.worldcat.org/oclc/785986713","WorldCat Record")</f>
        <v>WorldCat Record</v>
      </c>
      <c r="AX636" s="3" t="s">
        <v>6455</v>
      </c>
      <c r="AY636" s="3" t="s">
        <v>6456</v>
      </c>
      <c r="AZ636" s="3" t="s">
        <v>6457</v>
      </c>
      <c r="BA636" s="3" t="s">
        <v>6457</v>
      </c>
      <c r="BB636" s="3" t="s">
        <v>6458</v>
      </c>
      <c r="BC636" s="3" t="s">
        <v>82</v>
      </c>
      <c r="BD636" s="3" t="s">
        <v>70</v>
      </c>
      <c r="BE636" s="3" t="s">
        <v>6459</v>
      </c>
      <c r="BF636" s="3" t="s">
        <v>6458</v>
      </c>
      <c r="BG636" s="3" t="s">
        <v>6460</v>
      </c>
    </row>
    <row r="637" spans="1:59" ht="90" x14ac:dyDescent="0.25">
      <c r="A637" s="2" t="s">
        <v>59</v>
      </c>
      <c r="B637" s="2" t="s">
        <v>60</v>
      </c>
      <c r="C637" s="2" t="s">
        <v>6461</v>
      </c>
      <c r="D637" s="2" t="s">
        <v>6462</v>
      </c>
      <c r="E637" s="2" t="s">
        <v>6463</v>
      </c>
      <c r="G637" s="3" t="s">
        <v>63</v>
      </c>
      <c r="I637" s="3" t="s">
        <v>63</v>
      </c>
      <c r="J637" s="3" t="s">
        <v>63</v>
      </c>
      <c r="K637" s="3" t="s">
        <v>64</v>
      </c>
      <c r="M637" s="2" t="s">
        <v>6464</v>
      </c>
      <c r="N637" s="3" t="s">
        <v>629</v>
      </c>
      <c r="P637" s="3" t="s">
        <v>90</v>
      </c>
      <c r="Q637" s="2" t="s">
        <v>6398</v>
      </c>
      <c r="R637" s="3" t="s">
        <v>67</v>
      </c>
      <c r="S637" s="4">
        <v>0</v>
      </c>
      <c r="T637" s="4">
        <v>0</v>
      </c>
      <c r="W637" s="5" t="s">
        <v>69</v>
      </c>
      <c r="X637" s="5" t="s">
        <v>69</v>
      </c>
      <c r="Y637" s="4">
        <v>10</v>
      </c>
      <c r="Z637" s="4">
        <v>1</v>
      </c>
      <c r="AA637" s="4">
        <v>1</v>
      </c>
      <c r="AB637" s="4">
        <v>1</v>
      </c>
      <c r="AC637" s="4">
        <v>1</v>
      </c>
      <c r="AD637" s="4">
        <v>7</v>
      </c>
      <c r="AE637" s="4">
        <v>7</v>
      </c>
      <c r="AF637" s="4">
        <v>0</v>
      </c>
      <c r="AG637" s="4">
        <v>0</v>
      </c>
      <c r="AH637" s="4">
        <v>7</v>
      </c>
      <c r="AI637" s="4">
        <v>7</v>
      </c>
      <c r="AJ637" s="4">
        <v>0</v>
      </c>
      <c r="AK637" s="4">
        <v>0</v>
      </c>
      <c r="AL637" s="4">
        <v>7</v>
      </c>
      <c r="AM637" s="4">
        <v>7</v>
      </c>
      <c r="AN637" s="4">
        <v>0</v>
      </c>
      <c r="AO637" s="4">
        <v>0</v>
      </c>
      <c r="AP637" s="4">
        <v>0</v>
      </c>
      <c r="AQ637" s="4">
        <v>0</v>
      </c>
      <c r="AR637" s="3" t="s">
        <v>63</v>
      </c>
      <c r="AS637" s="3" t="s">
        <v>63</v>
      </c>
      <c r="AT637" s="3" t="s">
        <v>63</v>
      </c>
      <c r="AV637" s="6" t="str">
        <f>HYPERLINK("http://mcgill.on.worldcat.org/oclc/777013536","Catalog Record")</f>
        <v>Catalog Record</v>
      </c>
      <c r="AW637" s="6" t="str">
        <f>HYPERLINK("http://www.worldcat.org/oclc/777013536","WorldCat Record")</f>
        <v>WorldCat Record</v>
      </c>
      <c r="AX637" s="3" t="s">
        <v>6465</v>
      </c>
      <c r="AY637" s="3" t="s">
        <v>6466</v>
      </c>
      <c r="AZ637" s="3" t="s">
        <v>6467</v>
      </c>
      <c r="BA637" s="3" t="s">
        <v>6467</v>
      </c>
      <c r="BB637" s="3" t="s">
        <v>6468</v>
      </c>
      <c r="BC637" s="3" t="s">
        <v>82</v>
      </c>
      <c r="BD637" s="3" t="s">
        <v>70</v>
      </c>
      <c r="BE637" s="3" t="s">
        <v>6469</v>
      </c>
      <c r="BF637" s="3" t="s">
        <v>6468</v>
      </c>
      <c r="BG637" s="3" t="s">
        <v>6470</v>
      </c>
    </row>
    <row r="638" spans="1:59" ht="60" x14ac:dyDescent="0.25">
      <c r="A638" s="2" t="s">
        <v>59</v>
      </c>
      <c r="B638" s="2" t="s">
        <v>60</v>
      </c>
      <c r="C638" s="2" t="s">
        <v>6471</v>
      </c>
      <c r="D638" s="2" t="s">
        <v>6472</v>
      </c>
      <c r="E638" s="2" t="s">
        <v>6473</v>
      </c>
      <c r="G638" s="3" t="s">
        <v>63</v>
      </c>
      <c r="I638" s="3" t="s">
        <v>63</v>
      </c>
      <c r="J638" s="3" t="s">
        <v>63</v>
      </c>
      <c r="K638" s="3" t="s">
        <v>64</v>
      </c>
      <c r="L638" s="2" t="s">
        <v>6474</v>
      </c>
      <c r="M638" s="2" t="s">
        <v>6475</v>
      </c>
      <c r="N638" s="3" t="s">
        <v>374</v>
      </c>
      <c r="P638" s="3" t="s">
        <v>90</v>
      </c>
      <c r="R638" s="3" t="s">
        <v>67</v>
      </c>
      <c r="S638" s="4">
        <v>8</v>
      </c>
      <c r="T638" s="4">
        <v>8</v>
      </c>
      <c r="U638" s="5" t="s">
        <v>6476</v>
      </c>
      <c r="V638" s="5" t="s">
        <v>6476</v>
      </c>
      <c r="W638" s="5" t="s">
        <v>69</v>
      </c>
      <c r="X638" s="5" t="s">
        <v>69</v>
      </c>
      <c r="Y638" s="4">
        <v>99</v>
      </c>
      <c r="Z638" s="4">
        <v>4</v>
      </c>
      <c r="AA638" s="4">
        <v>4</v>
      </c>
      <c r="AB638" s="4">
        <v>1</v>
      </c>
      <c r="AC638" s="4">
        <v>1</v>
      </c>
      <c r="AD638" s="4">
        <v>54</v>
      </c>
      <c r="AE638" s="4">
        <v>54</v>
      </c>
      <c r="AF638" s="4">
        <v>0</v>
      </c>
      <c r="AG638" s="4">
        <v>0</v>
      </c>
      <c r="AH638" s="4">
        <v>52</v>
      </c>
      <c r="AI638" s="4">
        <v>52</v>
      </c>
      <c r="AJ638" s="4">
        <v>3</v>
      </c>
      <c r="AK638" s="4">
        <v>3</v>
      </c>
      <c r="AL638" s="4">
        <v>38</v>
      </c>
      <c r="AM638" s="4">
        <v>38</v>
      </c>
      <c r="AN638" s="4">
        <v>0</v>
      </c>
      <c r="AO638" s="4">
        <v>0</v>
      </c>
      <c r="AP638" s="4">
        <v>3</v>
      </c>
      <c r="AQ638" s="4">
        <v>3</v>
      </c>
      <c r="AR638" s="3" t="s">
        <v>63</v>
      </c>
      <c r="AS638" s="3" t="s">
        <v>63</v>
      </c>
      <c r="AT638" s="3" t="s">
        <v>62</v>
      </c>
      <c r="AU638" s="6" t="str">
        <f>HYPERLINK("http://catalog.hathitrust.org/Record/003616362","HathiTrust Record")</f>
        <v>HathiTrust Record</v>
      </c>
      <c r="AV638" s="6" t="str">
        <f>HYPERLINK("http://mcgill.on.worldcat.org/oclc/32782392","Catalog Record")</f>
        <v>Catalog Record</v>
      </c>
      <c r="AW638" s="6" t="str">
        <f>HYPERLINK("http://www.worldcat.org/oclc/32782392","WorldCat Record")</f>
        <v>WorldCat Record</v>
      </c>
      <c r="AX638" s="3" t="s">
        <v>6477</v>
      </c>
      <c r="AY638" s="3" t="s">
        <v>6478</v>
      </c>
      <c r="AZ638" s="3" t="s">
        <v>6479</v>
      </c>
      <c r="BA638" s="3" t="s">
        <v>6479</v>
      </c>
      <c r="BB638" s="3" t="s">
        <v>6480</v>
      </c>
      <c r="BC638" s="3" t="s">
        <v>82</v>
      </c>
      <c r="BD638" s="3" t="s">
        <v>70</v>
      </c>
      <c r="BE638" s="3" t="s">
        <v>6481</v>
      </c>
      <c r="BF638" s="3" t="s">
        <v>6480</v>
      </c>
      <c r="BG638" s="3" t="s">
        <v>6482</v>
      </c>
    </row>
    <row r="639" spans="1:59" ht="60" x14ac:dyDescent="0.25">
      <c r="A639" s="2" t="s">
        <v>59</v>
      </c>
      <c r="B639" s="2" t="s">
        <v>60</v>
      </c>
      <c r="C639" s="2" t="s">
        <v>6483</v>
      </c>
      <c r="D639" s="2" t="s">
        <v>6484</v>
      </c>
      <c r="E639" s="2" t="s">
        <v>6485</v>
      </c>
      <c r="G639" s="3" t="s">
        <v>63</v>
      </c>
      <c r="I639" s="3" t="s">
        <v>63</v>
      </c>
      <c r="J639" s="3" t="s">
        <v>63</v>
      </c>
      <c r="K639" s="3" t="s">
        <v>64</v>
      </c>
      <c r="L639" s="2" t="s">
        <v>6486</v>
      </c>
      <c r="M639" s="2" t="s">
        <v>6487</v>
      </c>
      <c r="N639" s="3" t="s">
        <v>2765</v>
      </c>
      <c r="P639" s="3" t="s">
        <v>90</v>
      </c>
      <c r="R639" s="3" t="s">
        <v>67</v>
      </c>
      <c r="S639" s="4">
        <v>0</v>
      </c>
      <c r="T639" s="4">
        <v>0</v>
      </c>
      <c r="W639" s="5" t="s">
        <v>69</v>
      </c>
      <c r="X639" s="5" t="s">
        <v>69</v>
      </c>
      <c r="Y639" s="4">
        <v>34</v>
      </c>
      <c r="Z639" s="4">
        <v>4</v>
      </c>
      <c r="AA639" s="4">
        <v>4</v>
      </c>
      <c r="AB639" s="4">
        <v>1</v>
      </c>
      <c r="AC639" s="4">
        <v>1</v>
      </c>
      <c r="AD639" s="4">
        <v>27</v>
      </c>
      <c r="AE639" s="4">
        <v>27</v>
      </c>
      <c r="AF639" s="4">
        <v>0</v>
      </c>
      <c r="AG639" s="4">
        <v>0</v>
      </c>
      <c r="AH639" s="4">
        <v>26</v>
      </c>
      <c r="AI639" s="4">
        <v>26</v>
      </c>
      <c r="AJ639" s="4">
        <v>2</v>
      </c>
      <c r="AK639" s="4">
        <v>2</v>
      </c>
      <c r="AL639" s="4">
        <v>20</v>
      </c>
      <c r="AM639" s="4">
        <v>20</v>
      </c>
      <c r="AN639" s="4">
        <v>0</v>
      </c>
      <c r="AO639" s="4">
        <v>0</v>
      </c>
      <c r="AP639" s="4">
        <v>2</v>
      </c>
      <c r="AQ639" s="4">
        <v>2</v>
      </c>
      <c r="AR639" s="3" t="s">
        <v>63</v>
      </c>
      <c r="AS639" s="3" t="s">
        <v>63</v>
      </c>
      <c r="AT639" s="3" t="s">
        <v>63</v>
      </c>
      <c r="AV639" s="6" t="str">
        <f>HYPERLINK("http://mcgill.on.worldcat.org/oclc/934426603","Catalog Record")</f>
        <v>Catalog Record</v>
      </c>
      <c r="AW639" s="6" t="str">
        <f>HYPERLINK("http://www.worldcat.org/oclc/934426603","WorldCat Record")</f>
        <v>WorldCat Record</v>
      </c>
      <c r="AX639" s="3" t="s">
        <v>6488</v>
      </c>
      <c r="AY639" s="3" t="s">
        <v>6489</v>
      </c>
      <c r="AZ639" s="3" t="s">
        <v>6490</v>
      </c>
      <c r="BA639" s="3" t="s">
        <v>6490</v>
      </c>
      <c r="BB639" s="3" t="s">
        <v>6491</v>
      </c>
      <c r="BC639" s="3" t="s">
        <v>82</v>
      </c>
      <c r="BD639" s="3" t="s">
        <v>70</v>
      </c>
      <c r="BE639" s="3" t="s">
        <v>6492</v>
      </c>
      <c r="BF639" s="3" t="s">
        <v>6491</v>
      </c>
      <c r="BG639" s="3" t="s">
        <v>6493</v>
      </c>
    </row>
    <row r="640" spans="1:59" ht="75" x14ac:dyDescent="0.25">
      <c r="A640" s="2" t="s">
        <v>59</v>
      </c>
      <c r="B640" s="2" t="s">
        <v>60</v>
      </c>
      <c r="C640" s="2" t="s">
        <v>6494</v>
      </c>
      <c r="D640" s="2" t="s">
        <v>6495</v>
      </c>
      <c r="E640" s="2" t="s">
        <v>6496</v>
      </c>
      <c r="G640" s="3" t="s">
        <v>63</v>
      </c>
      <c r="I640" s="3" t="s">
        <v>63</v>
      </c>
      <c r="J640" s="3" t="s">
        <v>63</v>
      </c>
      <c r="K640" s="3" t="s">
        <v>64</v>
      </c>
      <c r="L640" s="2" t="s">
        <v>6497</v>
      </c>
      <c r="M640" s="2" t="s">
        <v>6498</v>
      </c>
      <c r="N640" s="3" t="s">
        <v>1343</v>
      </c>
      <c r="P640" s="3" t="s">
        <v>66</v>
      </c>
      <c r="Q640" s="2" t="s">
        <v>6499</v>
      </c>
      <c r="R640" s="3" t="s">
        <v>67</v>
      </c>
      <c r="S640" s="4">
        <v>17</v>
      </c>
      <c r="T640" s="4">
        <v>17</v>
      </c>
      <c r="U640" s="5" t="s">
        <v>6500</v>
      </c>
      <c r="V640" s="5" t="s">
        <v>6500</v>
      </c>
      <c r="W640" s="5" t="s">
        <v>69</v>
      </c>
      <c r="X640" s="5" t="s">
        <v>69</v>
      </c>
      <c r="Y640" s="4">
        <v>154</v>
      </c>
      <c r="Z640" s="4">
        <v>12</v>
      </c>
      <c r="AA640" s="4">
        <v>15</v>
      </c>
      <c r="AB640" s="4">
        <v>1</v>
      </c>
      <c r="AC640" s="4">
        <v>2</v>
      </c>
      <c r="AD640" s="4">
        <v>79</v>
      </c>
      <c r="AE640" s="4">
        <v>84</v>
      </c>
      <c r="AF640" s="4">
        <v>0</v>
      </c>
      <c r="AG640" s="4">
        <v>1</v>
      </c>
      <c r="AH640" s="4">
        <v>72</v>
      </c>
      <c r="AI640" s="4">
        <v>75</v>
      </c>
      <c r="AJ640" s="4">
        <v>9</v>
      </c>
      <c r="AK640" s="4">
        <v>12</v>
      </c>
      <c r="AL640" s="4">
        <v>45</v>
      </c>
      <c r="AM640" s="4">
        <v>47</v>
      </c>
      <c r="AN640" s="4">
        <v>0</v>
      </c>
      <c r="AO640" s="4">
        <v>0</v>
      </c>
      <c r="AP640" s="4">
        <v>10</v>
      </c>
      <c r="AQ640" s="4">
        <v>12</v>
      </c>
      <c r="AR640" s="3" t="s">
        <v>63</v>
      </c>
      <c r="AS640" s="3" t="s">
        <v>63</v>
      </c>
      <c r="AT640" s="3" t="s">
        <v>63</v>
      </c>
      <c r="AV640" s="6" t="str">
        <f>HYPERLINK("http://mcgill.on.worldcat.org/oclc/43561928","Catalog Record")</f>
        <v>Catalog Record</v>
      </c>
      <c r="AW640" s="6" t="str">
        <f>HYPERLINK("http://www.worldcat.org/oclc/43561928","WorldCat Record")</f>
        <v>WorldCat Record</v>
      </c>
      <c r="AX640" s="3" t="s">
        <v>6501</v>
      </c>
      <c r="AY640" s="3" t="s">
        <v>6502</v>
      </c>
      <c r="AZ640" s="3" t="s">
        <v>6503</v>
      </c>
      <c r="BA640" s="3" t="s">
        <v>6503</v>
      </c>
      <c r="BB640" s="3" t="s">
        <v>6504</v>
      </c>
      <c r="BC640" s="3" t="s">
        <v>82</v>
      </c>
      <c r="BD640" s="3" t="s">
        <v>70</v>
      </c>
      <c r="BE640" s="3" t="s">
        <v>6505</v>
      </c>
      <c r="BF640" s="3" t="s">
        <v>6504</v>
      </c>
      <c r="BG640" s="3" t="s">
        <v>6506</v>
      </c>
    </row>
    <row r="641" spans="1:59" ht="60" x14ac:dyDescent="0.25">
      <c r="A641" s="2" t="s">
        <v>59</v>
      </c>
      <c r="B641" s="2" t="s">
        <v>60</v>
      </c>
      <c r="C641" s="2" t="s">
        <v>6507</v>
      </c>
      <c r="D641" s="2" t="s">
        <v>6508</v>
      </c>
      <c r="E641" s="2" t="s">
        <v>6509</v>
      </c>
      <c r="G641" s="3" t="s">
        <v>63</v>
      </c>
      <c r="I641" s="3" t="s">
        <v>63</v>
      </c>
      <c r="J641" s="3" t="s">
        <v>63</v>
      </c>
      <c r="K641" s="3" t="s">
        <v>64</v>
      </c>
      <c r="M641" s="2" t="s">
        <v>6510</v>
      </c>
      <c r="N641" s="3" t="s">
        <v>629</v>
      </c>
      <c r="P641" s="3" t="s">
        <v>66</v>
      </c>
      <c r="Q641" s="2" t="s">
        <v>6511</v>
      </c>
      <c r="R641" s="3" t="s">
        <v>67</v>
      </c>
      <c r="S641" s="4">
        <v>9</v>
      </c>
      <c r="T641" s="4">
        <v>9</v>
      </c>
      <c r="U641" s="5" t="s">
        <v>4990</v>
      </c>
      <c r="V641" s="5" t="s">
        <v>4990</v>
      </c>
      <c r="W641" s="5" t="s">
        <v>69</v>
      </c>
      <c r="X641" s="5" t="s">
        <v>69</v>
      </c>
      <c r="Y641" s="4">
        <v>336</v>
      </c>
      <c r="Z641" s="4">
        <v>17</v>
      </c>
      <c r="AA641" s="4">
        <v>29</v>
      </c>
      <c r="AB641" s="4">
        <v>1</v>
      </c>
      <c r="AC641" s="4">
        <v>5</v>
      </c>
      <c r="AD641" s="4">
        <v>87</v>
      </c>
      <c r="AE641" s="4">
        <v>108</v>
      </c>
      <c r="AF641" s="4">
        <v>0</v>
      </c>
      <c r="AG641" s="4">
        <v>3</v>
      </c>
      <c r="AH641" s="4">
        <v>81</v>
      </c>
      <c r="AI641" s="4">
        <v>97</v>
      </c>
      <c r="AJ641" s="4">
        <v>11</v>
      </c>
      <c r="AK641" s="4">
        <v>19</v>
      </c>
      <c r="AL641" s="4">
        <v>45</v>
      </c>
      <c r="AM641" s="4">
        <v>54</v>
      </c>
      <c r="AN641" s="4">
        <v>0</v>
      </c>
      <c r="AO641" s="4">
        <v>0</v>
      </c>
      <c r="AP641" s="4">
        <v>11</v>
      </c>
      <c r="AQ641" s="4">
        <v>20</v>
      </c>
      <c r="AR641" s="3" t="s">
        <v>63</v>
      </c>
      <c r="AS641" s="3" t="s">
        <v>63</v>
      </c>
      <c r="AT641" s="3" t="s">
        <v>63</v>
      </c>
      <c r="AV641" s="6" t="str">
        <f>HYPERLINK("http://mcgill.on.worldcat.org/oclc/670324889","Catalog Record")</f>
        <v>Catalog Record</v>
      </c>
      <c r="AW641" s="6" t="str">
        <f>HYPERLINK("http://www.worldcat.org/oclc/670324889","WorldCat Record")</f>
        <v>WorldCat Record</v>
      </c>
      <c r="AX641" s="3" t="s">
        <v>6512</v>
      </c>
      <c r="AY641" s="3" t="s">
        <v>6513</v>
      </c>
      <c r="AZ641" s="3" t="s">
        <v>6514</v>
      </c>
      <c r="BA641" s="3" t="s">
        <v>6514</v>
      </c>
      <c r="BB641" s="3" t="s">
        <v>6515</v>
      </c>
      <c r="BC641" s="3" t="s">
        <v>82</v>
      </c>
      <c r="BD641" s="3" t="s">
        <v>70</v>
      </c>
      <c r="BE641" s="3" t="s">
        <v>6516</v>
      </c>
      <c r="BF641" s="3" t="s">
        <v>6515</v>
      </c>
      <c r="BG641" s="3" t="s">
        <v>6517</v>
      </c>
    </row>
    <row r="642" spans="1:59" ht="60" x14ac:dyDescent="0.25">
      <c r="A642" s="2" t="s">
        <v>59</v>
      </c>
      <c r="B642" s="2" t="s">
        <v>60</v>
      </c>
      <c r="C642" s="2" t="s">
        <v>6518</v>
      </c>
      <c r="D642" s="2" t="s">
        <v>6519</v>
      </c>
      <c r="E642" s="2" t="s">
        <v>6520</v>
      </c>
      <c r="G642" s="3" t="s">
        <v>63</v>
      </c>
      <c r="I642" s="3" t="s">
        <v>63</v>
      </c>
      <c r="J642" s="3" t="s">
        <v>63</v>
      </c>
      <c r="K642" s="3" t="s">
        <v>64</v>
      </c>
      <c r="L642" s="2" t="s">
        <v>6521</v>
      </c>
      <c r="M642" s="2" t="s">
        <v>6522</v>
      </c>
      <c r="N642" s="3" t="s">
        <v>274</v>
      </c>
      <c r="P642" s="3" t="s">
        <v>66</v>
      </c>
      <c r="R642" s="3" t="s">
        <v>67</v>
      </c>
      <c r="S642" s="4">
        <v>10</v>
      </c>
      <c r="T642" s="4">
        <v>10</v>
      </c>
      <c r="U642" s="5" t="s">
        <v>4990</v>
      </c>
      <c r="V642" s="5" t="s">
        <v>4990</v>
      </c>
      <c r="W642" s="5" t="s">
        <v>69</v>
      </c>
      <c r="X642" s="5" t="s">
        <v>69</v>
      </c>
      <c r="Y642" s="4">
        <v>498</v>
      </c>
      <c r="Z642" s="4">
        <v>23</v>
      </c>
      <c r="AA642" s="4">
        <v>71</v>
      </c>
      <c r="AB642" s="4">
        <v>1</v>
      </c>
      <c r="AC642" s="4">
        <v>4</v>
      </c>
      <c r="AD642" s="4">
        <v>114</v>
      </c>
      <c r="AE642" s="4">
        <v>136</v>
      </c>
      <c r="AF642" s="4">
        <v>0</v>
      </c>
      <c r="AG642" s="4">
        <v>2</v>
      </c>
      <c r="AH642" s="4">
        <v>103</v>
      </c>
      <c r="AI642" s="4">
        <v>105</v>
      </c>
      <c r="AJ642" s="4">
        <v>13</v>
      </c>
      <c r="AK642" s="4">
        <v>21</v>
      </c>
      <c r="AL642" s="4">
        <v>56</v>
      </c>
      <c r="AM642" s="4">
        <v>56</v>
      </c>
      <c r="AN642" s="4">
        <v>0</v>
      </c>
      <c r="AO642" s="4">
        <v>0</v>
      </c>
      <c r="AP642" s="4">
        <v>17</v>
      </c>
      <c r="AQ642" s="4">
        <v>37</v>
      </c>
      <c r="AR642" s="3" t="s">
        <v>63</v>
      </c>
      <c r="AS642" s="3" t="s">
        <v>63</v>
      </c>
      <c r="AT642" s="3" t="s">
        <v>62</v>
      </c>
      <c r="AU642" s="6" t="str">
        <f>HYPERLINK("http://catalog.hathitrust.org/Record/004039376","HathiTrust Record")</f>
        <v>HathiTrust Record</v>
      </c>
      <c r="AV642" s="6" t="str">
        <f>HYPERLINK("http://mcgill.on.worldcat.org/oclc/40840154","Catalog Record")</f>
        <v>Catalog Record</v>
      </c>
      <c r="AW642" s="6" t="str">
        <f>HYPERLINK("http://www.worldcat.org/oclc/40840154","WorldCat Record")</f>
        <v>WorldCat Record</v>
      </c>
      <c r="AX642" s="3" t="s">
        <v>6523</v>
      </c>
      <c r="AY642" s="3" t="s">
        <v>6524</v>
      </c>
      <c r="AZ642" s="3" t="s">
        <v>6525</v>
      </c>
      <c r="BA642" s="3" t="s">
        <v>6525</v>
      </c>
      <c r="BB642" s="3" t="s">
        <v>6526</v>
      </c>
      <c r="BC642" s="3" t="s">
        <v>82</v>
      </c>
      <c r="BD642" s="3" t="s">
        <v>70</v>
      </c>
      <c r="BE642" s="3" t="s">
        <v>6527</v>
      </c>
      <c r="BF642" s="3" t="s">
        <v>6526</v>
      </c>
      <c r="BG642" s="3" t="s">
        <v>6528</v>
      </c>
    </row>
    <row r="643" spans="1:59" ht="60" x14ac:dyDescent="0.25">
      <c r="A643" s="2" t="s">
        <v>59</v>
      </c>
      <c r="B643" s="2" t="s">
        <v>60</v>
      </c>
      <c r="C643" s="2" t="s">
        <v>6529</v>
      </c>
      <c r="D643" s="2" t="s">
        <v>6530</v>
      </c>
      <c r="E643" s="2" t="s">
        <v>6531</v>
      </c>
      <c r="G643" s="3" t="s">
        <v>63</v>
      </c>
      <c r="I643" s="3" t="s">
        <v>62</v>
      </c>
      <c r="J643" s="3" t="s">
        <v>63</v>
      </c>
      <c r="K643" s="3" t="s">
        <v>64</v>
      </c>
      <c r="L643" s="2" t="s">
        <v>6532</v>
      </c>
      <c r="M643" s="2" t="s">
        <v>6533</v>
      </c>
      <c r="N643" s="3" t="s">
        <v>2393</v>
      </c>
      <c r="P643" s="3" t="s">
        <v>66</v>
      </c>
      <c r="Q643" s="2" t="s">
        <v>6534</v>
      </c>
      <c r="R643" s="3" t="s">
        <v>67</v>
      </c>
      <c r="S643" s="4">
        <v>13</v>
      </c>
      <c r="T643" s="4">
        <v>19</v>
      </c>
      <c r="U643" s="5" t="s">
        <v>6308</v>
      </c>
      <c r="V643" s="5" t="s">
        <v>6308</v>
      </c>
      <c r="W643" s="5" t="s">
        <v>69</v>
      </c>
      <c r="X643" s="5" t="s">
        <v>69</v>
      </c>
      <c r="Y643" s="4">
        <v>666</v>
      </c>
      <c r="Z643" s="4">
        <v>36</v>
      </c>
      <c r="AA643" s="4">
        <v>43</v>
      </c>
      <c r="AB643" s="4">
        <v>4</v>
      </c>
      <c r="AC643" s="4">
        <v>4</v>
      </c>
      <c r="AD643" s="4">
        <v>116</v>
      </c>
      <c r="AE643" s="4">
        <v>121</v>
      </c>
      <c r="AF643" s="4">
        <v>2</v>
      </c>
      <c r="AG643" s="4">
        <v>2</v>
      </c>
      <c r="AH643" s="4">
        <v>97</v>
      </c>
      <c r="AI643" s="4">
        <v>99</v>
      </c>
      <c r="AJ643" s="4">
        <v>18</v>
      </c>
      <c r="AK643" s="4">
        <v>22</v>
      </c>
      <c r="AL643" s="4">
        <v>51</v>
      </c>
      <c r="AM643" s="4">
        <v>51</v>
      </c>
      <c r="AN643" s="4">
        <v>0</v>
      </c>
      <c r="AO643" s="4">
        <v>0</v>
      </c>
      <c r="AP643" s="4">
        <v>25</v>
      </c>
      <c r="AQ643" s="4">
        <v>30</v>
      </c>
      <c r="AR643" s="3" t="s">
        <v>63</v>
      </c>
      <c r="AS643" s="3" t="s">
        <v>63</v>
      </c>
      <c r="AT643" s="3" t="s">
        <v>62</v>
      </c>
      <c r="AU643" s="6" t="str">
        <f>HYPERLINK("http://catalog.hathitrust.org/Record/001061862","HathiTrust Record")</f>
        <v>HathiTrust Record</v>
      </c>
      <c r="AV643" s="6" t="str">
        <f>HYPERLINK("http://mcgill.on.worldcat.org/oclc/984183","Catalog Record")</f>
        <v>Catalog Record</v>
      </c>
      <c r="AW643" s="6" t="str">
        <f>HYPERLINK("http://www.worldcat.org/oclc/984183","WorldCat Record")</f>
        <v>WorldCat Record</v>
      </c>
      <c r="AX643" s="3" t="s">
        <v>6535</v>
      </c>
      <c r="AY643" s="3" t="s">
        <v>6536</v>
      </c>
      <c r="AZ643" s="3" t="s">
        <v>6537</v>
      </c>
      <c r="BA643" s="3" t="s">
        <v>6537</v>
      </c>
      <c r="BB643" s="3" t="s">
        <v>6538</v>
      </c>
      <c r="BC643" s="3" t="s">
        <v>82</v>
      </c>
      <c r="BD643" s="3" t="s">
        <v>70</v>
      </c>
      <c r="BE643" s="3" t="s">
        <v>6539</v>
      </c>
      <c r="BF643" s="3" t="s">
        <v>6538</v>
      </c>
      <c r="BG643" s="3" t="s">
        <v>6540</v>
      </c>
    </row>
    <row r="644" spans="1:59" ht="60" x14ac:dyDescent="0.25">
      <c r="A644" s="2" t="s">
        <v>59</v>
      </c>
      <c r="B644" s="2" t="s">
        <v>60</v>
      </c>
      <c r="C644" s="2" t="s">
        <v>6529</v>
      </c>
      <c r="D644" s="2" t="s">
        <v>6530</v>
      </c>
      <c r="E644" s="2" t="s">
        <v>6531</v>
      </c>
      <c r="G644" s="3" t="s">
        <v>63</v>
      </c>
      <c r="I644" s="3" t="s">
        <v>62</v>
      </c>
      <c r="J644" s="3" t="s">
        <v>63</v>
      </c>
      <c r="K644" s="3" t="s">
        <v>64</v>
      </c>
      <c r="L644" s="2" t="s">
        <v>6532</v>
      </c>
      <c r="M644" s="2" t="s">
        <v>6533</v>
      </c>
      <c r="N644" s="3" t="s">
        <v>2393</v>
      </c>
      <c r="P644" s="3" t="s">
        <v>66</v>
      </c>
      <c r="Q644" s="2" t="s">
        <v>6534</v>
      </c>
      <c r="R644" s="3" t="s">
        <v>67</v>
      </c>
      <c r="S644" s="4">
        <v>6</v>
      </c>
      <c r="T644" s="4">
        <v>19</v>
      </c>
      <c r="U644" s="5" t="s">
        <v>6541</v>
      </c>
      <c r="V644" s="5" t="s">
        <v>6308</v>
      </c>
      <c r="W644" s="5" t="s">
        <v>69</v>
      </c>
      <c r="X644" s="5" t="s">
        <v>69</v>
      </c>
      <c r="Y644" s="4">
        <v>666</v>
      </c>
      <c r="Z644" s="4">
        <v>36</v>
      </c>
      <c r="AA644" s="4">
        <v>43</v>
      </c>
      <c r="AB644" s="4">
        <v>4</v>
      </c>
      <c r="AC644" s="4">
        <v>4</v>
      </c>
      <c r="AD644" s="4">
        <v>116</v>
      </c>
      <c r="AE644" s="4">
        <v>121</v>
      </c>
      <c r="AF644" s="4">
        <v>2</v>
      </c>
      <c r="AG644" s="4">
        <v>2</v>
      </c>
      <c r="AH644" s="4">
        <v>97</v>
      </c>
      <c r="AI644" s="4">
        <v>99</v>
      </c>
      <c r="AJ644" s="4">
        <v>18</v>
      </c>
      <c r="AK644" s="4">
        <v>22</v>
      </c>
      <c r="AL644" s="4">
        <v>51</v>
      </c>
      <c r="AM644" s="4">
        <v>51</v>
      </c>
      <c r="AN644" s="4">
        <v>0</v>
      </c>
      <c r="AO644" s="4">
        <v>0</v>
      </c>
      <c r="AP644" s="4">
        <v>25</v>
      </c>
      <c r="AQ644" s="4">
        <v>30</v>
      </c>
      <c r="AR644" s="3" t="s">
        <v>63</v>
      </c>
      <c r="AS644" s="3" t="s">
        <v>63</v>
      </c>
      <c r="AT644" s="3" t="s">
        <v>62</v>
      </c>
      <c r="AU644" s="6" t="str">
        <f>HYPERLINK("http://catalog.hathitrust.org/Record/001061862","HathiTrust Record")</f>
        <v>HathiTrust Record</v>
      </c>
      <c r="AV644" s="6" t="str">
        <f>HYPERLINK("http://mcgill.on.worldcat.org/oclc/984183","Catalog Record")</f>
        <v>Catalog Record</v>
      </c>
      <c r="AW644" s="6" t="str">
        <f>HYPERLINK("http://www.worldcat.org/oclc/984183","WorldCat Record")</f>
        <v>WorldCat Record</v>
      </c>
      <c r="AX644" s="3" t="s">
        <v>6535</v>
      </c>
      <c r="AY644" s="3" t="s">
        <v>6536</v>
      </c>
      <c r="AZ644" s="3" t="s">
        <v>6537</v>
      </c>
      <c r="BA644" s="3" t="s">
        <v>6537</v>
      </c>
      <c r="BB644" s="3" t="s">
        <v>6542</v>
      </c>
      <c r="BC644" s="3" t="s">
        <v>82</v>
      </c>
      <c r="BD644" s="3" t="s">
        <v>70</v>
      </c>
      <c r="BE644" s="3" t="s">
        <v>6539</v>
      </c>
      <c r="BF644" s="3" t="s">
        <v>6542</v>
      </c>
      <c r="BG644" s="3" t="s">
        <v>6543</v>
      </c>
    </row>
    <row r="645" spans="1:59" ht="60" x14ac:dyDescent="0.25">
      <c r="A645" s="2" t="s">
        <v>59</v>
      </c>
      <c r="B645" s="2" t="s">
        <v>60</v>
      </c>
      <c r="C645" s="2" t="s">
        <v>6544</v>
      </c>
      <c r="D645" s="2" t="s">
        <v>6545</v>
      </c>
      <c r="E645" s="2" t="s">
        <v>6546</v>
      </c>
      <c r="G645" s="3" t="s">
        <v>63</v>
      </c>
      <c r="I645" s="3" t="s">
        <v>63</v>
      </c>
      <c r="J645" s="3" t="s">
        <v>63</v>
      </c>
      <c r="K645" s="3" t="s">
        <v>64</v>
      </c>
      <c r="L645" s="2" t="s">
        <v>6547</v>
      </c>
      <c r="M645" s="2" t="s">
        <v>6548</v>
      </c>
      <c r="N645" s="3" t="s">
        <v>1557</v>
      </c>
      <c r="P645" s="3" t="s">
        <v>66</v>
      </c>
      <c r="Q645" s="2" t="s">
        <v>6549</v>
      </c>
      <c r="R645" s="3" t="s">
        <v>67</v>
      </c>
      <c r="S645" s="4">
        <v>0</v>
      </c>
      <c r="T645" s="4">
        <v>0</v>
      </c>
      <c r="W645" s="5" t="s">
        <v>69</v>
      </c>
      <c r="X645" s="5" t="s">
        <v>69</v>
      </c>
      <c r="Y645" s="4">
        <v>56</v>
      </c>
      <c r="Z645" s="4">
        <v>4</v>
      </c>
      <c r="AA645" s="4">
        <v>6</v>
      </c>
      <c r="AB645" s="4">
        <v>1</v>
      </c>
      <c r="AC645" s="4">
        <v>3</v>
      </c>
      <c r="AD645" s="4">
        <v>27</v>
      </c>
      <c r="AE645" s="4">
        <v>30</v>
      </c>
      <c r="AF645" s="4">
        <v>0</v>
      </c>
      <c r="AG645" s="4">
        <v>0</v>
      </c>
      <c r="AH645" s="4">
        <v>25</v>
      </c>
      <c r="AI645" s="4">
        <v>27</v>
      </c>
      <c r="AJ645" s="4">
        <v>3</v>
      </c>
      <c r="AK645" s="4">
        <v>3</v>
      </c>
      <c r="AL645" s="4">
        <v>19</v>
      </c>
      <c r="AM645" s="4">
        <v>21</v>
      </c>
      <c r="AN645" s="4">
        <v>0</v>
      </c>
      <c r="AO645" s="4">
        <v>0</v>
      </c>
      <c r="AP645" s="4">
        <v>3</v>
      </c>
      <c r="AQ645" s="4">
        <v>3</v>
      </c>
      <c r="AR645" s="3" t="s">
        <v>63</v>
      </c>
      <c r="AS645" s="3" t="s">
        <v>63</v>
      </c>
      <c r="AT645" s="3" t="s">
        <v>63</v>
      </c>
      <c r="AV645" s="6" t="str">
        <f>HYPERLINK("http://mcgill.on.worldcat.org/oclc/974700123","Catalog Record")</f>
        <v>Catalog Record</v>
      </c>
      <c r="AW645" s="6" t="str">
        <f>HYPERLINK("http://www.worldcat.org/oclc/974700123","WorldCat Record")</f>
        <v>WorldCat Record</v>
      </c>
      <c r="AX645" s="3" t="s">
        <v>6550</v>
      </c>
      <c r="AY645" s="3" t="s">
        <v>6551</v>
      </c>
      <c r="AZ645" s="3" t="s">
        <v>6552</v>
      </c>
      <c r="BA645" s="3" t="s">
        <v>6552</v>
      </c>
      <c r="BB645" s="3" t="s">
        <v>6553</v>
      </c>
      <c r="BC645" s="3" t="s">
        <v>82</v>
      </c>
      <c r="BD645" s="3" t="s">
        <v>70</v>
      </c>
      <c r="BE645" s="3" t="s">
        <v>6554</v>
      </c>
      <c r="BF645" s="3" t="s">
        <v>6553</v>
      </c>
      <c r="BG645" s="3" t="s">
        <v>6555</v>
      </c>
    </row>
    <row r="646" spans="1:59" ht="60" x14ac:dyDescent="0.25">
      <c r="A646" s="2" t="s">
        <v>59</v>
      </c>
      <c r="B646" s="2" t="s">
        <v>60</v>
      </c>
      <c r="C646" s="2" t="s">
        <v>6556</v>
      </c>
      <c r="D646" s="2" t="s">
        <v>6557</v>
      </c>
      <c r="E646" s="2" t="s">
        <v>4695</v>
      </c>
      <c r="F646" s="3" t="s">
        <v>6558</v>
      </c>
      <c r="G646" s="3" t="s">
        <v>62</v>
      </c>
      <c r="I646" s="3" t="s">
        <v>63</v>
      </c>
      <c r="J646" s="3" t="s">
        <v>63</v>
      </c>
      <c r="K646" s="3" t="s">
        <v>64</v>
      </c>
      <c r="M646" s="2" t="s">
        <v>4697</v>
      </c>
      <c r="N646" s="3" t="s">
        <v>1418</v>
      </c>
      <c r="P646" s="3" t="s">
        <v>548</v>
      </c>
      <c r="R646" s="3" t="s">
        <v>67</v>
      </c>
      <c r="S646" s="4">
        <v>0</v>
      </c>
      <c r="T646" s="4">
        <v>23</v>
      </c>
      <c r="V646" s="5" t="s">
        <v>4698</v>
      </c>
      <c r="W646" s="5" t="s">
        <v>69</v>
      </c>
      <c r="X646" s="5" t="s">
        <v>69</v>
      </c>
      <c r="Y646" s="4">
        <v>74</v>
      </c>
      <c r="Z646" s="4">
        <v>7</v>
      </c>
      <c r="AA646" s="4">
        <v>7</v>
      </c>
      <c r="AB646" s="4">
        <v>1</v>
      </c>
      <c r="AC646" s="4">
        <v>1</v>
      </c>
      <c r="AD646" s="4">
        <v>38</v>
      </c>
      <c r="AE646" s="4">
        <v>42</v>
      </c>
      <c r="AF646" s="4">
        <v>0</v>
      </c>
      <c r="AG646" s="4">
        <v>0</v>
      </c>
      <c r="AH646" s="4">
        <v>35</v>
      </c>
      <c r="AI646" s="4">
        <v>39</v>
      </c>
      <c r="AJ646" s="4">
        <v>4</v>
      </c>
      <c r="AK646" s="4">
        <v>4</v>
      </c>
      <c r="AL646" s="4">
        <v>30</v>
      </c>
      <c r="AM646" s="4">
        <v>33</v>
      </c>
      <c r="AN646" s="4">
        <v>0</v>
      </c>
      <c r="AO646" s="4">
        <v>0</v>
      </c>
      <c r="AP646" s="4">
        <v>5</v>
      </c>
      <c r="AQ646" s="4">
        <v>5</v>
      </c>
      <c r="AR646" s="3" t="s">
        <v>63</v>
      </c>
      <c r="AS646" s="3" t="s">
        <v>63</v>
      </c>
      <c r="AT646" s="3" t="s">
        <v>62</v>
      </c>
      <c r="AU646" s="6" t="str">
        <f>HYPERLINK("http://catalog.hathitrust.org/Record/000927435","HathiTrust Record")</f>
        <v>HathiTrust Record</v>
      </c>
      <c r="AV646" s="6" t="str">
        <f>HYPERLINK("http://mcgill.on.worldcat.org/oclc/18588527","Catalog Record")</f>
        <v>Catalog Record</v>
      </c>
      <c r="AW646" s="6" t="str">
        <f>HYPERLINK("http://www.worldcat.org/oclc/18588527","WorldCat Record")</f>
        <v>WorldCat Record</v>
      </c>
      <c r="AX646" s="3" t="s">
        <v>4699</v>
      </c>
      <c r="AY646" s="3" t="s">
        <v>4700</v>
      </c>
      <c r="AZ646" s="3" t="s">
        <v>4701</v>
      </c>
      <c r="BA646" s="3" t="s">
        <v>4701</v>
      </c>
      <c r="BB646" s="3" t="s">
        <v>6559</v>
      </c>
      <c r="BC646" s="3" t="s">
        <v>82</v>
      </c>
      <c r="BD646" s="3" t="s">
        <v>70</v>
      </c>
      <c r="BE646" s="3" t="s">
        <v>4703</v>
      </c>
      <c r="BF646" s="3" t="s">
        <v>6559</v>
      </c>
      <c r="BG646" s="3" t="s">
        <v>6560</v>
      </c>
    </row>
    <row r="647" spans="1:59" ht="60" x14ac:dyDescent="0.25">
      <c r="A647" s="2" t="s">
        <v>59</v>
      </c>
      <c r="B647" s="2" t="s">
        <v>60</v>
      </c>
      <c r="C647" s="2" t="s">
        <v>6561</v>
      </c>
      <c r="D647" s="2" t="s">
        <v>6562</v>
      </c>
      <c r="E647" s="2" t="s">
        <v>6563</v>
      </c>
      <c r="G647" s="3" t="s">
        <v>63</v>
      </c>
      <c r="I647" s="3" t="s">
        <v>63</v>
      </c>
      <c r="J647" s="3" t="s">
        <v>63</v>
      </c>
      <c r="K647" s="3" t="s">
        <v>64</v>
      </c>
      <c r="L647" s="2" t="s">
        <v>6564</v>
      </c>
      <c r="M647" s="2" t="s">
        <v>6565</v>
      </c>
      <c r="N647" s="3" t="s">
        <v>1557</v>
      </c>
      <c r="P647" s="3" t="s">
        <v>66</v>
      </c>
      <c r="R647" s="3" t="s">
        <v>67</v>
      </c>
      <c r="S647" s="4">
        <v>1</v>
      </c>
      <c r="T647" s="4">
        <v>1</v>
      </c>
      <c r="U647" s="5" t="s">
        <v>6566</v>
      </c>
      <c r="V647" s="5" t="s">
        <v>6566</v>
      </c>
      <c r="W647" s="5" t="s">
        <v>69</v>
      </c>
      <c r="X647" s="5" t="s">
        <v>69</v>
      </c>
      <c r="Y647" s="4">
        <v>93</v>
      </c>
      <c r="Z647" s="4">
        <v>4</v>
      </c>
      <c r="AA647" s="4">
        <v>6</v>
      </c>
      <c r="AB647" s="4">
        <v>1</v>
      </c>
      <c r="AC647" s="4">
        <v>2</v>
      </c>
      <c r="AD647" s="4">
        <v>50</v>
      </c>
      <c r="AE647" s="4">
        <v>52</v>
      </c>
      <c r="AF647" s="4">
        <v>0</v>
      </c>
      <c r="AG647" s="4">
        <v>0</v>
      </c>
      <c r="AH647" s="4">
        <v>47</v>
      </c>
      <c r="AI647" s="4">
        <v>48</v>
      </c>
      <c r="AJ647" s="4">
        <v>3</v>
      </c>
      <c r="AK647" s="4">
        <v>4</v>
      </c>
      <c r="AL647" s="4">
        <v>36</v>
      </c>
      <c r="AM647" s="4">
        <v>37</v>
      </c>
      <c r="AN647" s="4">
        <v>0</v>
      </c>
      <c r="AO647" s="4">
        <v>0</v>
      </c>
      <c r="AP647" s="4">
        <v>3</v>
      </c>
      <c r="AQ647" s="4">
        <v>4</v>
      </c>
      <c r="AR647" s="3" t="s">
        <v>63</v>
      </c>
      <c r="AS647" s="3" t="s">
        <v>63</v>
      </c>
      <c r="AT647" s="3" t="s">
        <v>63</v>
      </c>
      <c r="AV647" s="6" t="str">
        <f>HYPERLINK("http://mcgill.on.worldcat.org/oclc/974612416","Catalog Record")</f>
        <v>Catalog Record</v>
      </c>
      <c r="AW647" s="6" t="str">
        <f>HYPERLINK("http://www.worldcat.org/oclc/974612416","WorldCat Record")</f>
        <v>WorldCat Record</v>
      </c>
      <c r="AX647" s="3" t="s">
        <v>6567</v>
      </c>
      <c r="AY647" s="3" t="s">
        <v>6568</v>
      </c>
      <c r="AZ647" s="3" t="s">
        <v>6569</v>
      </c>
      <c r="BA647" s="3" t="s">
        <v>6569</v>
      </c>
      <c r="BB647" s="3" t="s">
        <v>6570</v>
      </c>
      <c r="BC647" s="3" t="s">
        <v>82</v>
      </c>
      <c r="BD647" s="3" t="s">
        <v>70</v>
      </c>
      <c r="BE647" s="3" t="s">
        <v>6571</v>
      </c>
      <c r="BF647" s="3" t="s">
        <v>6570</v>
      </c>
      <c r="BG647" s="3" t="s">
        <v>6572</v>
      </c>
    </row>
    <row r="648" spans="1:59" ht="120" x14ac:dyDescent="0.25">
      <c r="A648" s="2" t="s">
        <v>59</v>
      </c>
      <c r="B648" s="2" t="s">
        <v>60</v>
      </c>
      <c r="C648" s="2" t="s">
        <v>6573</v>
      </c>
      <c r="D648" s="2" t="s">
        <v>6574</v>
      </c>
      <c r="E648" s="2" t="s">
        <v>6575</v>
      </c>
      <c r="G648" s="3" t="s">
        <v>63</v>
      </c>
      <c r="I648" s="3" t="s">
        <v>63</v>
      </c>
      <c r="J648" s="3" t="s">
        <v>63</v>
      </c>
      <c r="K648" s="3" t="s">
        <v>64</v>
      </c>
      <c r="M648" s="2" t="s">
        <v>6576</v>
      </c>
      <c r="N648" s="3" t="s">
        <v>2765</v>
      </c>
      <c r="P648" s="3" t="s">
        <v>90</v>
      </c>
      <c r="R648" s="3" t="s">
        <v>67</v>
      </c>
      <c r="S648" s="4">
        <v>0</v>
      </c>
      <c r="T648" s="4">
        <v>0</v>
      </c>
      <c r="W648" s="5" t="s">
        <v>69</v>
      </c>
      <c r="X648" s="5" t="s">
        <v>69</v>
      </c>
      <c r="Y648" s="4">
        <v>35</v>
      </c>
      <c r="Z648" s="4">
        <v>4</v>
      </c>
      <c r="AA648" s="4">
        <v>4</v>
      </c>
      <c r="AB648" s="4">
        <v>1</v>
      </c>
      <c r="AC648" s="4">
        <v>1</v>
      </c>
      <c r="AD648" s="4">
        <v>24</v>
      </c>
      <c r="AE648" s="4">
        <v>24</v>
      </c>
      <c r="AF648" s="4">
        <v>0</v>
      </c>
      <c r="AG648" s="4">
        <v>0</v>
      </c>
      <c r="AH648" s="4">
        <v>23</v>
      </c>
      <c r="AI648" s="4">
        <v>23</v>
      </c>
      <c r="AJ648" s="4">
        <v>2</v>
      </c>
      <c r="AK648" s="4">
        <v>2</v>
      </c>
      <c r="AL648" s="4">
        <v>21</v>
      </c>
      <c r="AM648" s="4">
        <v>21</v>
      </c>
      <c r="AN648" s="4">
        <v>0</v>
      </c>
      <c r="AO648" s="4">
        <v>0</v>
      </c>
      <c r="AP648" s="4">
        <v>2</v>
      </c>
      <c r="AQ648" s="4">
        <v>2</v>
      </c>
      <c r="AR648" s="3" t="s">
        <v>63</v>
      </c>
      <c r="AS648" s="3" t="s">
        <v>63</v>
      </c>
      <c r="AT648" s="3" t="s">
        <v>63</v>
      </c>
      <c r="AV648" s="6" t="str">
        <f>HYPERLINK("http://mcgill.on.worldcat.org/oclc/900161686","Catalog Record")</f>
        <v>Catalog Record</v>
      </c>
      <c r="AW648" s="6" t="str">
        <f>HYPERLINK("http://www.worldcat.org/oclc/900161686","WorldCat Record")</f>
        <v>WorldCat Record</v>
      </c>
      <c r="AX648" s="3" t="s">
        <v>6577</v>
      </c>
      <c r="AY648" s="3" t="s">
        <v>6578</v>
      </c>
      <c r="AZ648" s="3" t="s">
        <v>6579</v>
      </c>
      <c r="BA648" s="3" t="s">
        <v>6579</v>
      </c>
      <c r="BB648" s="3" t="s">
        <v>6580</v>
      </c>
      <c r="BC648" s="3" t="s">
        <v>82</v>
      </c>
      <c r="BD648" s="3" t="s">
        <v>70</v>
      </c>
      <c r="BE648" s="3" t="s">
        <v>6581</v>
      </c>
      <c r="BF648" s="3" t="s">
        <v>6580</v>
      </c>
      <c r="BG648" s="3" t="s">
        <v>6582</v>
      </c>
    </row>
    <row r="649" spans="1:59" ht="60" x14ac:dyDescent="0.25">
      <c r="A649" s="2" t="s">
        <v>59</v>
      </c>
      <c r="B649" s="2" t="s">
        <v>60</v>
      </c>
      <c r="C649" s="2" t="s">
        <v>6583</v>
      </c>
      <c r="D649" s="2" t="s">
        <v>6584</v>
      </c>
      <c r="E649" s="2" t="s">
        <v>6585</v>
      </c>
      <c r="G649" s="3" t="s">
        <v>63</v>
      </c>
      <c r="I649" s="3" t="s">
        <v>63</v>
      </c>
      <c r="J649" s="3" t="s">
        <v>63</v>
      </c>
      <c r="K649" s="3" t="s">
        <v>64</v>
      </c>
      <c r="L649" s="2" t="s">
        <v>6586</v>
      </c>
      <c r="M649" s="2" t="s">
        <v>6587</v>
      </c>
      <c r="N649" s="3" t="s">
        <v>743</v>
      </c>
      <c r="P649" s="3" t="s">
        <v>548</v>
      </c>
      <c r="R649" s="3" t="s">
        <v>67</v>
      </c>
      <c r="S649" s="4">
        <v>8</v>
      </c>
      <c r="T649" s="4">
        <v>8</v>
      </c>
      <c r="U649" s="5" t="s">
        <v>389</v>
      </c>
      <c r="V649" s="5" t="s">
        <v>389</v>
      </c>
      <c r="W649" s="5" t="s">
        <v>69</v>
      </c>
      <c r="X649" s="5" t="s">
        <v>69</v>
      </c>
      <c r="Y649" s="4">
        <v>3</v>
      </c>
      <c r="Z649" s="4">
        <v>2</v>
      </c>
      <c r="AA649" s="4">
        <v>2</v>
      </c>
      <c r="AB649" s="4">
        <v>1</v>
      </c>
      <c r="AC649" s="4">
        <v>1</v>
      </c>
      <c r="AD649" s="4">
        <v>2</v>
      </c>
      <c r="AE649" s="4">
        <v>2</v>
      </c>
      <c r="AF649" s="4">
        <v>0</v>
      </c>
      <c r="AG649" s="4">
        <v>0</v>
      </c>
      <c r="AH649" s="4">
        <v>2</v>
      </c>
      <c r="AI649" s="4">
        <v>2</v>
      </c>
      <c r="AJ649" s="4">
        <v>1</v>
      </c>
      <c r="AK649" s="4">
        <v>1</v>
      </c>
      <c r="AL649" s="4">
        <v>1</v>
      </c>
      <c r="AM649" s="4">
        <v>1</v>
      </c>
      <c r="AN649" s="4">
        <v>0</v>
      </c>
      <c r="AO649" s="4">
        <v>0</v>
      </c>
      <c r="AP649" s="4">
        <v>1</v>
      </c>
      <c r="AQ649" s="4">
        <v>1</v>
      </c>
      <c r="AR649" s="3" t="s">
        <v>63</v>
      </c>
      <c r="AS649" s="3" t="s">
        <v>63</v>
      </c>
      <c r="AT649" s="3" t="s">
        <v>63</v>
      </c>
      <c r="AV649" s="6" t="str">
        <f>HYPERLINK("http://mcgill.on.worldcat.org/oclc/61590943","Catalog Record")</f>
        <v>Catalog Record</v>
      </c>
      <c r="AW649" s="6" t="str">
        <f>HYPERLINK("http://www.worldcat.org/oclc/61590943","WorldCat Record")</f>
        <v>WorldCat Record</v>
      </c>
      <c r="AX649" s="3" t="s">
        <v>6588</v>
      </c>
      <c r="AY649" s="3" t="s">
        <v>6589</v>
      </c>
      <c r="AZ649" s="3" t="s">
        <v>6590</v>
      </c>
      <c r="BA649" s="3" t="s">
        <v>6590</v>
      </c>
      <c r="BB649" s="3" t="s">
        <v>6591</v>
      </c>
      <c r="BC649" s="3" t="s">
        <v>82</v>
      </c>
      <c r="BD649" s="3" t="s">
        <v>70</v>
      </c>
      <c r="BF649" s="3" t="s">
        <v>6591</v>
      </c>
      <c r="BG649" s="3" t="s">
        <v>6592</v>
      </c>
    </row>
    <row r="650" spans="1:59" ht="105" x14ac:dyDescent="0.25">
      <c r="A650" s="2" t="s">
        <v>59</v>
      </c>
      <c r="B650" s="2" t="s">
        <v>60</v>
      </c>
      <c r="C650" s="2" t="s">
        <v>6593</v>
      </c>
      <c r="D650" s="2" t="s">
        <v>6594</v>
      </c>
      <c r="E650" s="2" t="s">
        <v>6595</v>
      </c>
      <c r="G650" s="3" t="s">
        <v>63</v>
      </c>
      <c r="I650" s="3" t="s">
        <v>63</v>
      </c>
      <c r="J650" s="3" t="s">
        <v>63</v>
      </c>
      <c r="K650" s="3" t="s">
        <v>64</v>
      </c>
      <c r="M650" s="2" t="s">
        <v>6596</v>
      </c>
      <c r="N650" s="3" t="s">
        <v>427</v>
      </c>
      <c r="P650" s="3" t="s">
        <v>66</v>
      </c>
      <c r="R650" s="3" t="s">
        <v>67</v>
      </c>
      <c r="S650" s="4">
        <v>31</v>
      </c>
      <c r="T650" s="4">
        <v>31</v>
      </c>
      <c r="U650" s="5" t="s">
        <v>389</v>
      </c>
      <c r="V650" s="5" t="s">
        <v>389</v>
      </c>
      <c r="W650" s="5" t="s">
        <v>69</v>
      </c>
      <c r="X650" s="5" t="s">
        <v>69</v>
      </c>
      <c r="Y650" s="4">
        <v>363</v>
      </c>
      <c r="Z650" s="4">
        <v>26</v>
      </c>
      <c r="AA650" s="4">
        <v>28</v>
      </c>
      <c r="AB650" s="4">
        <v>2</v>
      </c>
      <c r="AC650" s="4">
        <v>4</v>
      </c>
      <c r="AD650" s="4">
        <v>111</v>
      </c>
      <c r="AE650" s="4">
        <v>113</v>
      </c>
      <c r="AF650" s="4">
        <v>0</v>
      </c>
      <c r="AG650" s="4">
        <v>2</v>
      </c>
      <c r="AH650" s="4">
        <v>99</v>
      </c>
      <c r="AI650" s="4">
        <v>100</v>
      </c>
      <c r="AJ650" s="4">
        <v>18</v>
      </c>
      <c r="AK650" s="4">
        <v>20</v>
      </c>
      <c r="AL650" s="4">
        <v>53</v>
      </c>
      <c r="AM650" s="4">
        <v>53</v>
      </c>
      <c r="AN650" s="4">
        <v>0</v>
      </c>
      <c r="AO650" s="4">
        <v>0</v>
      </c>
      <c r="AP650" s="4">
        <v>20</v>
      </c>
      <c r="AQ650" s="4">
        <v>21</v>
      </c>
      <c r="AR650" s="3" t="s">
        <v>63</v>
      </c>
      <c r="AS650" s="3" t="s">
        <v>63</v>
      </c>
      <c r="AT650" s="3" t="s">
        <v>62</v>
      </c>
      <c r="AU650" s="6" t="str">
        <f>HYPERLINK("http://catalog.hathitrust.org/Record/001084982","HathiTrust Record")</f>
        <v>HathiTrust Record</v>
      </c>
      <c r="AV650" s="6" t="str">
        <f>HYPERLINK("http://mcgill.on.worldcat.org/oclc/17953039","Catalog Record")</f>
        <v>Catalog Record</v>
      </c>
      <c r="AW650" s="6" t="str">
        <f>HYPERLINK("http://www.worldcat.org/oclc/17953039","WorldCat Record")</f>
        <v>WorldCat Record</v>
      </c>
      <c r="AX650" s="3" t="s">
        <v>6597</v>
      </c>
      <c r="AY650" s="3" t="s">
        <v>6598</v>
      </c>
      <c r="AZ650" s="3" t="s">
        <v>6599</v>
      </c>
      <c r="BA650" s="3" t="s">
        <v>6599</v>
      </c>
      <c r="BB650" s="3" t="s">
        <v>6600</v>
      </c>
      <c r="BC650" s="3" t="s">
        <v>82</v>
      </c>
      <c r="BD650" s="3" t="s">
        <v>70</v>
      </c>
      <c r="BE650" s="3" t="s">
        <v>6601</v>
      </c>
      <c r="BF650" s="3" t="s">
        <v>6600</v>
      </c>
      <c r="BG650" s="3" t="s">
        <v>6602</v>
      </c>
    </row>
    <row r="651" spans="1:59" ht="60" x14ac:dyDescent="0.25">
      <c r="A651" s="2" t="s">
        <v>59</v>
      </c>
      <c r="B651" s="2" t="s">
        <v>60</v>
      </c>
      <c r="C651" s="2" t="s">
        <v>6603</v>
      </c>
      <c r="D651" s="2" t="s">
        <v>6604</v>
      </c>
      <c r="E651" s="2" t="s">
        <v>6605</v>
      </c>
      <c r="G651" s="3" t="s">
        <v>63</v>
      </c>
      <c r="I651" s="3" t="s">
        <v>63</v>
      </c>
      <c r="J651" s="3" t="s">
        <v>63</v>
      </c>
      <c r="K651" s="3" t="s">
        <v>64</v>
      </c>
      <c r="L651" s="2" t="s">
        <v>6606</v>
      </c>
      <c r="M651" s="2" t="s">
        <v>6607</v>
      </c>
      <c r="N651" s="3" t="s">
        <v>161</v>
      </c>
      <c r="O651" s="2" t="s">
        <v>6608</v>
      </c>
      <c r="P651" s="3" t="s">
        <v>548</v>
      </c>
      <c r="Q651" s="2" t="s">
        <v>6609</v>
      </c>
      <c r="R651" s="3" t="s">
        <v>67</v>
      </c>
      <c r="S651" s="4">
        <v>8</v>
      </c>
      <c r="T651" s="4">
        <v>8</v>
      </c>
      <c r="U651" s="5" t="s">
        <v>389</v>
      </c>
      <c r="V651" s="5" t="s">
        <v>389</v>
      </c>
      <c r="W651" s="5" t="s">
        <v>69</v>
      </c>
      <c r="X651" s="5" t="s">
        <v>69</v>
      </c>
      <c r="Y651" s="4">
        <v>69</v>
      </c>
      <c r="Z651" s="4">
        <v>7</v>
      </c>
      <c r="AA651" s="4">
        <v>13</v>
      </c>
      <c r="AB651" s="4">
        <v>1</v>
      </c>
      <c r="AC651" s="4">
        <v>5</v>
      </c>
      <c r="AD651" s="4">
        <v>35</v>
      </c>
      <c r="AE651" s="4">
        <v>40</v>
      </c>
      <c r="AF651" s="4">
        <v>0</v>
      </c>
      <c r="AG651" s="4">
        <v>3</v>
      </c>
      <c r="AH651" s="4">
        <v>31</v>
      </c>
      <c r="AI651" s="4">
        <v>33</v>
      </c>
      <c r="AJ651" s="4">
        <v>5</v>
      </c>
      <c r="AK651" s="4">
        <v>9</v>
      </c>
      <c r="AL651" s="4">
        <v>25</v>
      </c>
      <c r="AM651" s="4">
        <v>25</v>
      </c>
      <c r="AN651" s="4">
        <v>0</v>
      </c>
      <c r="AO651" s="4">
        <v>0</v>
      </c>
      <c r="AP651" s="4">
        <v>4</v>
      </c>
      <c r="AQ651" s="4">
        <v>8</v>
      </c>
      <c r="AR651" s="3" t="s">
        <v>63</v>
      </c>
      <c r="AS651" s="3" t="s">
        <v>63</v>
      </c>
      <c r="AT651" s="3" t="s">
        <v>62</v>
      </c>
      <c r="AU651" s="6" t="str">
        <f>HYPERLINK("http://catalog.hathitrust.org/Record/001955450","HathiTrust Record")</f>
        <v>HathiTrust Record</v>
      </c>
      <c r="AV651" s="6" t="str">
        <f>HYPERLINK("http://mcgill.on.worldcat.org/oclc/22116814","Catalog Record")</f>
        <v>Catalog Record</v>
      </c>
      <c r="AW651" s="6" t="str">
        <f>HYPERLINK("http://www.worldcat.org/oclc/22116814","WorldCat Record")</f>
        <v>WorldCat Record</v>
      </c>
      <c r="AX651" s="3" t="s">
        <v>6610</v>
      </c>
      <c r="AY651" s="3" t="s">
        <v>6611</v>
      </c>
      <c r="AZ651" s="3" t="s">
        <v>6612</v>
      </c>
      <c r="BA651" s="3" t="s">
        <v>6612</v>
      </c>
      <c r="BB651" s="3" t="s">
        <v>6613</v>
      </c>
      <c r="BC651" s="3" t="s">
        <v>82</v>
      </c>
      <c r="BD651" s="3" t="s">
        <v>70</v>
      </c>
      <c r="BE651" s="3" t="s">
        <v>6614</v>
      </c>
      <c r="BF651" s="3" t="s">
        <v>6613</v>
      </c>
      <c r="BG651" s="3" t="s">
        <v>6615</v>
      </c>
    </row>
    <row r="652" spans="1:59" ht="105" x14ac:dyDescent="0.25">
      <c r="A652" s="2" t="s">
        <v>59</v>
      </c>
      <c r="B652" s="2" t="s">
        <v>60</v>
      </c>
      <c r="C652" s="2" t="s">
        <v>6616</v>
      </c>
      <c r="D652" s="2" t="s">
        <v>6617</v>
      </c>
      <c r="E652" s="2" t="s">
        <v>6618</v>
      </c>
      <c r="G652" s="3" t="s">
        <v>63</v>
      </c>
      <c r="I652" s="3" t="s">
        <v>63</v>
      </c>
      <c r="J652" s="3" t="s">
        <v>63</v>
      </c>
      <c r="K652" s="3" t="s">
        <v>64</v>
      </c>
      <c r="M652" s="2" t="s">
        <v>6619</v>
      </c>
      <c r="N652" s="3" t="s">
        <v>190</v>
      </c>
      <c r="O652" s="2" t="s">
        <v>6620</v>
      </c>
      <c r="P652" s="3" t="s">
        <v>66</v>
      </c>
      <c r="R652" s="3" t="s">
        <v>67</v>
      </c>
      <c r="S652" s="4">
        <v>8</v>
      </c>
      <c r="T652" s="4">
        <v>8</v>
      </c>
      <c r="U652" s="5" t="s">
        <v>6621</v>
      </c>
      <c r="V652" s="5" t="s">
        <v>6621</v>
      </c>
      <c r="W652" s="5" t="s">
        <v>69</v>
      </c>
      <c r="X652" s="5" t="s">
        <v>69</v>
      </c>
      <c r="Y652" s="4">
        <v>54</v>
      </c>
      <c r="Z652" s="4">
        <v>8</v>
      </c>
      <c r="AA652" s="4">
        <v>8</v>
      </c>
      <c r="AB652" s="4">
        <v>1</v>
      </c>
      <c r="AC652" s="4">
        <v>1</v>
      </c>
      <c r="AD652" s="4">
        <v>36</v>
      </c>
      <c r="AE652" s="4">
        <v>36</v>
      </c>
      <c r="AF652" s="4">
        <v>0</v>
      </c>
      <c r="AG652" s="4">
        <v>0</v>
      </c>
      <c r="AH652" s="4">
        <v>33</v>
      </c>
      <c r="AI652" s="4">
        <v>33</v>
      </c>
      <c r="AJ652" s="4">
        <v>4</v>
      </c>
      <c r="AK652" s="4">
        <v>4</v>
      </c>
      <c r="AL652" s="4">
        <v>20</v>
      </c>
      <c r="AM652" s="4">
        <v>20</v>
      </c>
      <c r="AN652" s="4">
        <v>2</v>
      </c>
      <c r="AO652" s="4">
        <v>2</v>
      </c>
      <c r="AP652" s="4">
        <v>6</v>
      </c>
      <c r="AQ652" s="4">
        <v>6</v>
      </c>
      <c r="AR652" s="3" t="s">
        <v>63</v>
      </c>
      <c r="AS652" s="3" t="s">
        <v>63</v>
      </c>
      <c r="AT652" s="3" t="s">
        <v>62</v>
      </c>
      <c r="AU652" s="6" t="str">
        <f>HYPERLINK("http://catalog.hathitrust.org/Record/005236191","HathiTrust Record")</f>
        <v>HathiTrust Record</v>
      </c>
      <c r="AV652" s="6" t="str">
        <f>HYPERLINK("http://mcgill.on.worldcat.org/oclc/74334656","Catalog Record")</f>
        <v>Catalog Record</v>
      </c>
      <c r="AW652" s="6" t="str">
        <f>HYPERLINK("http://www.worldcat.org/oclc/74334656","WorldCat Record")</f>
        <v>WorldCat Record</v>
      </c>
      <c r="AX652" s="3" t="s">
        <v>6622</v>
      </c>
      <c r="AY652" s="3" t="s">
        <v>6623</v>
      </c>
      <c r="AZ652" s="3" t="s">
        <v>6624</v>
      </c>
      <c r="BA652" s="3" t="s">
        <v>6624</v>
      </c>
      <c r="BB652" s="3" t="s">
        <v>6625</v>
      </c>
      <c r="BC652" s="3" t="s">
        <v>82</v>
      </c>
      <c r="BD652" s="3" t="s">
        <v>70</v>
      </c>
      <c r="BE652" s="3" t="s">
        <v>6626</v>
      </c>
      <c r="BF652" s="3" t="s">
        <v>6625</v>
      </c>
      <c r="BG652" s="3" t="s">
        <v>6627</v>
      </c>
    </row>
    <row r="653" spans="1:59" ht="60" x14ac:dyDescent="0.25">
      <c r="A653" s="2" t="s">
        <v>59</v>
      </c>
      <c r="B653" s="2" t="s">
        <v>60</v>
      </c>
      <c r="C653" s="2" t="s">
        <v>6628</v>
      </c>
      <c r="D653" s="2" t="s">
        <v>6629</v>
      </c>
      <c r="E653" s="2" t="s">
        <v>6630</v>
      </c>
      <c r="G653" s="3" t="s">
        <v>63</v>
      </c>
      <c r="I653" s="3" t="s">
        <v>63</v>
      </c>
      <c r="J653" s="3" t="s">
        <v>63</v>
      </c>
      <c r="K653" s="3" t="s">
        <v>64</v>
      </c>
      <c r="M653" s="2" t="s">
        <v>6631</v>
      </c>
      <c r="N653" s="3" t="s">
        <v>480</v>
      </c>
      <c r="P653" s="3" t="s">
        <v>90</v>
      </c>
      <c r="Q653" s="2" t="s">
        <v>6632</v>
      </c>
      <c r="R653" s="3" t="s">
        <v>67</v>
      </c>
      <c r="S653" s="4">
        <v>4</v>
      </c>
      <c r="T653" s="4">
        <v>4</v>
      </c>
      <c r="U653" s="5" t="s">
        <v>6633</v>
      </c>
      <c r="V653" s="5" t="s">
        <v>6633</v>
      </c>
      <c r="W653" s="5" t="s">
        <v>69</v>
      </c>
      <c r="X653" s="5" t="s">
        <v>69</v>
      </c>
      <c r="Y653" s="4">
        <v>63</v>
      </c>
      <c r="Z653" s="4">
        <v>8</v>
      </c>
      <c r="AA653" s="4">
        <v>8</v>
      </c>
      <c r="AB653" s="4">
        <v>1</v>
      </c>
      <c r="AC653" s="4">
        <v>1</v>
      </c>
      <c r="AD653" s="4">
        <v>39</v>
      </c>
      <c r="AE653" s="4">
        <v>39</v>
      </c>
      <c r="AF653" s="4">
        <v>0</v>
      </c>
      <c r="AG653" s="4">
        <v>0</v>
      </c>
      <c r="AH653" s="4">
        <v>36</v>
      </c>
      <c r="AI653" s="4">
        <v>36</v>
      </c>
      <c r="AJ653" s="4">
        <v>6</v>
      </c>
      <c r="AK653" s="4">
        <v>6</v>
      </c>
      <c r="AL653" s="4">
        <v>26</v>
      </c>
      <c r="AM653" s="4">
        <v>26</v>
      </c>
      <c r="AN653" s="4">
        <v>0</v>
      </c>
      <c r="AO653" s="4">
        <v>0</v>
      </c>
      <c r="AP653" s="4">
        <v>6</v>
      </c>
      <c r="AQ653" s="4">
        <v>6</v>
      </c>
      <c r="AR653" s="3" t="s">
        <v>63</v>
      </c>
      <c r="AS653" s="3" t="s">
        <v>63</v>
      </c>
      <c r="AT653" s="3" t="s">
        <v>62</v>
      </c>
      <c r="AU653" s="6" t="str">
        <f>HYPERLINK("http://catalog.hathitrust.org/Record/002981604","HathiTrust Record")</f>
        <v>HathiTrust Record</v>
      </c>
      <c r="AV653" s="6" t="str">
        <f>HYPERLINK("http://mcgill.on.worldcat.org/oclc/26455351","Catalog Record")</f>
        <v>Catalog Record</v>
      </c>
      <c r="AW653" s="6" t="str">
        <f>HYPERLINK("http://www.worldcat.org/oclc/26455351","WorldCat Record")</f>
        <v>WorldCat Record</v>
      </c>
      <c r="AX653" s="3" t="s">
        <v>6634</v>
      </c>
      <c r="AY653" s="3" t="s">
        <v>6635</v>
      </c>
      <c r="AZ653" s="3" t="s">
        <v>6636</v>
      </c>
      <c r="BA653" s="3" t="s">
        <v>6636</v>
      </c>
      <c r="BB653" s="3" t="s">
        <v>6637</v>
      </c>
      <c r="BC653" s="3" t="s">
        <v>82</v>
      </c>
      <c r="BD653" s="3" t="s">
        <v>70</v>
      </c>
      <c r="BE653" s="3" t="s">
        <v>6638</v>
      </c>
      <c r="BF653" s="3" t="s">
        <v>6637</v>
      </c>
      <c r="BG653" s="3" t="s">
        <v>6639</v>
      </c>
    </row>
    <row r="654" spans="1:59" ht="90" x14ac:dyDescent="0.25">
      <c r="A654" s="2" t="s">
        <v>59</v>
      </c>
      <c r="B654" s="2" t="s">
        <v>60</v>
      </c>
      <c r="C654" s="2" t="s">
        <v>6640</v>
      </c>
      <c r="D654" s="2" t="s">
        <v>6641</v>
      </c>
      <c r="E654" s="2" t="s">
        <v>6642</v>
      </c>
      <c r="G654" s="3" t="s">
        <v>63</v>
      </c>
      <c r="I654" s="3" t="s">
        <v>63</v>
      </c>
      <c r="J654" s="3" t="s">
        <v>63</v>
      </c>
      <c r="K654" s="3" t="s">
        <v>64</v>
      </c>
      <c r="L654" s="2" t="s">
        <v>6643</v>
      </c>
      <c r="M654" s="2" t="s">
        <v>6644</v>
      </c>
      <c r="N654" s="3" t="s">
        <v>274</v>
      </c>
      <c r="P654" s="3" t="s">
        <v>66</v>
      </c>
      <c r="Q654" s="2" t="s">
        <v>3902</v>
      </c>
      <c r="R654" s="3" t="s">
        <v>67</v>
      </c>
      <c r="S654" s="4">
        <v>8</v>
      </c>
      <c r="T654" s="4">
        <v>8</v>
      </c>
      <c r="U654" s="5" t="s">
        <v>3208</v>
      </c>
      <c r="V654" s="5" t="s">
        <v>3208</v>
      </c>
      <c r="W654" s="5" t="s">
        <v>69</v>
      </c>
      <c r="X654" s="5" t="s">
        <v>69</v>
      </c>
      <c r="Y654" s="4">
        <v>221</v>
      </c>
      <c r="Z654" s="4">
        <v>11</v>
      </c>
      <c r="AA654" s="4">
        <v>12</v>
      </c>
      <c r="AB654" s="4">
        <v>1</v>
      </c>
      <c r="AC654" s="4">
        <v>1</v>
      </c>
      <c r="AD654" s="4">
        <v>99</v>
      </c>
      <c r="AE654" s="4">
        <v>101</v>
      </c>
      <c r="AF654" s="4">
        <v>0</v>
      </c>
      <c r="AG654" s="4">
        <v>0</v>
      </c>
      <c r="AH654" s="4">
        <v>92</v>
      </c>
      <c r="AI654" s="4">
        <v>93</v>
      </c>
      <c r="AJ654" s="4">
        <v>9</v>
      </c>
      <c r="AK654" s="4">
        <v>9</v>
      </c>
      <c r="AL654" s="4">
        <v>54</v>
      </c>
      <c r="AM654" s="4">
        <v>54</v>
      </c>
      <c r="AN654" s="4">
        <v>0</v>
      </c>
      <c r="AO654" s="4">
        <v>0</v>
      </c>
      <c r="AP654" s="4">
        <v>9</v>
      </c>
      <c r="AQ654" s="4">
        <v>10</v>
      </c>
      <c r="AR654" s="3" t="s">
        <v>63</v>
      </c>
      <c r="AS654" s="3" t="s">
        <v>63</v>
      </c>
      <c r="AT654" s="3" t="s">
        <v>62</v>
      </c>
      <c r="AU654" s="6" t="str">
        <f>HYPERLINK("http://catalog.hathitrust.org/Record/004013850","HathiTrust Record")</f>
        <v>HathiTrust Record</v>
      </c>
      <c r="AV654" s="6" t="str">
        <f>HYPERLINK("http://mcgill.on.worldcat.org/oclc/39700764","Catalog Record")</f>
        <v>Catalog Record</v>
      </c>
      <c r="AW654" s="6" t="str">
        <f>HYPERLINK("http://www.worldcat.org/oclc/39700764","WorldCat Record")</f>
        <v>WorldCat Record</v>
      </c>
      <c r="AX654" s="3" t="s">
        <v>6645</v>
      </c>
      <c r="AY654" s="3" t="s">
        <v>6646</v>
      </c>
      <c r="AZ654" s="3" t="s">
        <v>6647</v>
      </c>
      <c r="BA654" s="3" t="s">
        <v>6647</v>
      </c>
      <c r="BB654" s="3" t="s">
        <v>6648</v>
      </c>
      <c r="BC654" s="3" t="s">
        <v>82</v>
      </c>
      <c r="BD654" s="3" t="s">
        <v>70</v>
      </c>
      <c r="BE654" s="3" t="s">
        <v>6649</v>
      </c>
      <c r="BF654" s="3" t="s">
        <v>6648</v>
      </c>
      <c r="BG654" s="3" t="s">
        <v>6650</v>
      </c>
    </row>
    <row r="655" spans="1:59" ht="60" x14ac:dyDescent="0.25">
      <c r="A655" s="2" t="s">
        <v>59</v>
      </c>
      <c r="B655" s="2" t="s">
        <v>60</v>
      </c>
      <c r="C655" s="2" t="s">
        <v>6651</v>
      </c>
      <c r="D655" s="2" t="s">
        <v>6652</v>
      </c>
      <c r="E655" s="2" t="s">
        <v>6653</v>
      </c>
      <c r="G655" s="3" t="s">
        <v>63</v>
      </c>
      <c r="I655" s="3" t="s">
        <v>62</v>
      </c>
      <c r="J655" s="3" t="s">
        <v>63</v>
      </c>
      <c r="K655" s="3" t="s">
        <v>64</v>
      </c>
      <c r="M655" s="2" t="s">
        <v>6654</v>
      </c>
      <c r="N655" s="3" t="s">
        <v>468</v>
      </c>
      <c r="P655" s="3" t="s">
        <v>66</v>
      </c>
      <c r="R655" s="3" t="s">
        <v>67</v>
      </c>
      <c r="S655" s="4">
        <v>29</v>
      </c>
      <c r="T655" s="4">
        <v>54</v>
      </c>
      <c r="U655" s="5" t="s">
        <v>1241</v>
      </c>
      <c r="V655" s="5" t="s">
        <v>1241</v>
      </c>
      <c r="W655" s="5" t="s">
        <v>69</v>
      </c>
      <c r="X655" s="5" t="s">
        <v>69</v>
      </c>
      <c r="Y655" s="4">
        <v>758</v>
      </c>
      <c r="Z655" s="4">
        <v>37</v>
      </c>
      <c r="AA655" s="4">
        <v>38</v>
      </c>
      <c r="AB655" s="4">
        <v>4</v>
      </c>
      <c r="AC655" s="4">
        <v>5</v>
      </c>
      <c r="AD655" s="4">
        <v>124</v>
      </c>
      <c r="AE655" s="4">
        <v>125</v>
      </c>
      <c r="AF655" s="4">
        <v>1</v>
      </c>
      <c r="AG655" s="4">
        <v>2</v>
      </c>
      <c r="AH655" s="4">
        <v>107</v>
      </c>
      <c r="AI655" s="4">
        <v>107</v>
      </c>
      <c r="AJ655" s="4">
        <v>21</v>
      </c>
      <c r="AK655" s="4">
        <v>22</v>
      </c>
      <c r="AL655" s="4">
        <v>55</v>
      </c>
      <c r="AM655" s="4">
        <v>55</v>
      </c>
      <c r="AN655" s="4">
        <v>0</v>
      </c>
      <c r="AO655" s="4">
        <v>0</v>
      </c>
      <c r="AP655" s="4">
        <v>27</v>
      </c>
      <c r="AQ655" s="4">
        <v>27</v>
      </c>
      <c r="AR655" s="3" t="s">
        <v>63</v>
      </c>
      <c r="AS655" s="3" t="s">
        <v>63</v>
      </c>
      <c r="AT655" s="3" t="s">
        <v>62</v>
      </c>
      <c r="AU655" s="6" t="str">
        <f>HYPERLINK("http://catalog.hathitrust.org/Record/000707823","HathiTrust Record")</f>
        <v>HathiTrust Record</v>
      </c>
      <c r="AV655" s="6" t="str">
        <f>HYPERLINK("http://mcgill.on.worldcat.org/oclc/2285401","Catalog Record")</f>
        <v>Catalog Record</v>
      </c>
      <c r="AW655" s="6" t="str">
        <f>HYPERLINK("http://www.worldcat.org/oclc/2285401","WorldCat Record")</f>
        <v>WorldCat Record</v>
      </c>
      <c r="AX655" s="3" t="s">
        <v>6655</v>
      </c>
      <c r="AY655" s="3" t="s">
        <v>6656</v>
      </c>
      <c r="AZ655" s="3" t="s">
        <v>6657</v>
      </c>
      <c r="BA655" s="3" t="s">
        <v>6657</v>
      </c>
      <c r="BB655" s="3" t="s">
        <v>6658</v>
      </c>
      <c r="BC655" s="3" t="s">
        <v>82</v>
      </c>
      <c r="BD655" s="3" t="s">
        <v>70</v>
      </c>
      <c r="BE655" s="3" t="s">
        <v>6659</v>
      </c>
      <c r="BF655" s="3" t="s">
        <v>6658</v>
      </c>
      <c r="BG655" s="3" t="s">
        <v>6660</v>
      </c>
    </row>
    <row r="656" spans="1:59" ht="60" x14ac:dyDescent="0.25">
      <c r="A656" s="2" t="s">
        <v>59</v>
      </c>
      <c r="B656" s="2" t="s">
        <v>60</v>
      </c>
      <c r="C656" s="2" t="s">
        <v>6651</v>
      </c>
      <c r="D656" s="2" t="s">
        <v>6652</v>
      </c>
      <c r="E656" s="2" t="s">
        <v>6653</v>
      </c>
      <c r="G656" s="3" t="s">
        <v>63</v>
      </c>
      <c r="I656" s="3" t="s">
        <v>62</v>
      </c>
      <c r="J656" s="3" t="s">
        <v>63</v>
      </c>
      <c r="K656" s="3" t="s">
        <v>64</v>
      </c>
      <c r="M656" s="2" t="s">
        <v>6654</v>
      </c>
      <c r="N656" s="3" t="s">
        <v>468</v>
      </c>
      <c r="P656" s="3" t="s">
        <v>66</v>
      </c>
      <c r="R656" s="3" t="s">
        <v>67</v>
      </c>
      <c r="S656" s="4">
        <v>25</v>
      </c>
      <c r="T656" s="4">
        <v>54</v>
      </c>
      <c r="U656" s="5" t="s">
        <v>6661</v>
      </c>
      <c r="V656" s="5" t="s">
        <v>1241</v>
      </c>
      <c r="W656" s="5" t="s">
        <v>69</v>
      </c>
      <c r="X656" s="5" t="s">
        <v>69</v>
      </c>
      <c r="Y656" s="4">
        <v>758</v>
      </c>
      <c r="Z656" s="4">
        <v>37</v>
      </c>
      <c r="AA656" s="4">
        <v>38</v>
      </c>
      <c r="AB656" s="4">
        <v>4</v>
      </c>
      <c r="AC656" s="4">
        <v>5</v>
      </c>
      <c r="AD656" s="4">
        <v>124</v>
      </c>
      <c r="AE656" s="4">
        <v>125</v>
      </c>
      <c r="AF656" s="4">
        <v>1</v>
      </c>
      <c r="AG656" s="4">
        <v>2</v>
      </c>
      <c r="AH656" s="4">
        <v>107</v>
      </c>
      <c r="AI656" s="4">
        <v>107</v>
      </c>
      <c r="AJ656" s="4">
        <v>21</v>
      </c>
      <c r="AK656" s="4">
        <v>22</v>
      </c>
      <c r="AL656" s="4">
        <v>55</v>
      </c>
      <c r="AM656" s="4">
        <v>55</v>
      </c>
      <c r="AN656" s="4">
        <v>0</v>
      </c>
      <c r="AO656" s="4">
        <v>0</v>
      </c>
      <c r="AP656" s="4">
        <v>27</v>
      </c>
      <c r="AQ656" s="4">
        <v>27</v>
      </c>
      <c r="AR656" s="3" t="s">
        <v>63</v>
      </c>
      <c r="AS656" s="3" t="s">
        <v>63</v>
      </c>
      <c r="AT656" s="3" t="s">
        <v>62</v>
      </c>
      <c r="AU656" s="6" t="str">
        <f>HYPERLINK("http://catalog.hathitrust.org/Record/000707823","HathiTrust Record")</f>
        <v>HathiTrust Record</v>
      </c>
      <c r="AV656" s="6" t="str">
        <f>HYPERLINK("http://mcgill.on.worldcat.org/oclc/2285401","Catalog Record")</f>
        <v>Catalog Record</v>
      </c>
      <c r="AW656" s="6" t="str">
        <f>HYPERLINK("http://www.worldcat.org/oclc/2285401","WorldCat Record")</f>
        <v>WorldCat Record</v>
      </c>
      <c r="AX656" s="3" t="s">
        <v>6655</v>
      </c>
      <c r="AY656" s="3" t="s">
        <v>6656</v>
      </c>
      <c r="AZ656" s="3" t="s">
        <v>6657</v>
      </c>
      <c r="BA656" s="3" t="s">
        <v>6657</v>
      </c>
      <c r="BB656" s="3" t="s">
        <v>6662</v>
      </c>
      <c r="BC656" s="3" t="s">
        <v>82</v>
      </c>
      <c r="BD656" s="3" t="s">
        <v>70</v>
      </c>
      <c r="BE656" s="3" t="s">
        <v>6659</v>
      </c>
      <c r="BF656" s="3" t="s">
        <v>6662</v>
      </c>
      <c r="BG656" s="3" t="s">
        <v>6663</v>
      </c>
    </row>
    <row r="657" spans="1:59" ht="75" x14ac:dyDescent="0.25">
      <c r="A657" s="2" t="s">
        <v>59</v>
      </c>
      <c r="B657" s="2" t="s">
        <v>60</v>
      </c>
      <c r="C657" s="2" t="s">
        <v>6664</v>
      </c>
      <c r="D657" s="2" t="s">
        <v>6665</v>
      </c>
      <c r="E657" s="2" t="s">
        <v>6666</v>
      </c>
      <c r="G657" s="3" t="s">
        <v>63</v>
      </c>
      <c r="I657" s="3" t="s">
        <v>63</v>
      </c>
      <c r="J657" s="3" t="s">
        <v>63</v>
      </c>
      <c r="K657" s="3" t="s">
        <v>64</v>
      </c>
      <c r="M657" s="2" t="s">
        <v>6667</v>
      </c>
      <c r="N657" s="3" t="s">
        <v>106</v>
      </c>
      <c r="P657" s="3" t="s">
        <v>90</v>
      </c>
      <c r="Q657" s="2" t="s">
        <v>6668</v>
      </c>
      <c r="R657" s="3" t="s">
        <v>67</v>
      </c>
      <c r="S657" s="4">
        <v>1</v>
      </c>
      <c r="T657" s="4">
        <v>1</v>
      </c>
      <c r="U657" s="5" t="s">
        <v>6669</v>
      </c>
      <c r="V657" s="5" t="s">
        <v>6669</v>
      </c>
      <c r="W657" s="5" t="s">
        <v>69</v>
      </c>
      <c r="X657" s="5" t="s">
        <v>69</v>
      </c>
      <c r="Y657" s="4">
        <v>18</v>
      </c>
      <c r="Z657" s="4">
        <v>1</v>
      </c>
      <c r="AA657" s="4">
        <v>1</v>
      </c>
      <c r="AB657" s="4">
        <v>1</v>
      </c>
      <c r="AC657" s="4">
        <v>1</v>
      </c>
      <c r="AD657" s="4">
        <v>15</v>
      </c>
      <c r="AE657" s="4">
        <v>15</v>
      </c>
      <c r="AF657" s="4">
        <v>0</v>
      </c>
      <c r="AG657" s="4">
        <v>0</v>
      </c>
      <c r="AH657" s="4">
        <v>14</v>
      </c>
      <c r="AI657" s="4">
        <v>14</v>
      </c>
      <c r="AJ657" s="4">
        <v>0</v>
      </c>
      <c r="AK657" s="4">
        <v>0</v>
      </c>
      <c r="AL657" s="4">
        <v>13</v>
      </c>
      <c r="AM657" s="4">
        <v>13</v>
      </c>
      <c r="AN657" s="4">
        <v>0</v>
      </c>
      <c r="AO657" s="4">
        <v>0</v>
      </c>
      <c r="AP657" s="4">
        <v>0</v>
      </c>
      <c r="AQ657" s="4">
        <v>0</v>
      </c>
      <c r="AR657" s="3" t="s">
        <v>63</v>
      </c>
      <c r="AS657" s="3" t="s">
        <v>63</v>
      </c>
      <c r="AT657" s="3" t="s">
        <v>63</v>
      </c>
      <c r="AV657" s="6" t="str">
        <f>HYPERLINK("http://mcgill.on.worldcat.org/oclc/982248664","Catalog Record")</f>
        <v>Catalog Record</v>
      </c>
      <c r="AW657" s="6" t="str">
        <f>HYPERLINK("http://www.worldcat.org/oclc/982248664","WorldCat Record")</f>
        <v>WorldCat Record</v>
      </c>
      <c r="AX657" s="3" t="s">
        <v>6670</v>
      </c>
      <c r="AY657" s="3" t="s">
        <v>6671</v>
      </c>
      <c r="AZ657" s="3" t="s">
        <v>6672</v>
      </c>
      <c r="BA657" s="3" t="s">
        <v>6672</v>
      </c>
      <c r="BB657" s="3" t="s">
        <v>6673</v>
      </c>
      <c r="BC657" s="3" t="s">
        <v>82</v>
      </c>
      <c r="BD657" s="3" t="s">
        <v>70</v>
      </c>
      <c r="BE657" s="3" t="s">
        <v>6674</v>
      </c>
      <c r="BF657" s="3" t="s">
        <v>6673</v>
      </c>
      <c r="BG657" s="3" t="s">
        <v>6675</v>
      </c>
    </row>
    <row r="658" spans="1:59" ht="75" x14ac:dyDescent="0.25">
      <c r="A658" s="2" t="s">
        <v>59</v>
      </c>
      <c r="B658" s="2" t="s">
        <v>60</v>
      </c>
      <c r="C658" s="2" t="s">
        <v>6676</v>
      </c>
      <c r="D658" s="2" t="s">
        <v>6677</v>
      </c>
      <c r="E658" s="2" t="s">
        <v>6678</v>
      </c>
      <c r="G658" s="3" t="s">
        <v>63</v>
      </c>
      <c r="I658" s="3" t="s">
        <v>63</v>
      </c>
      <c r="J658" s="3" t="s">
        <v>63</v>
      </c>
      <c r="K658" s="3" t="s">
        <v>64</v>
      </c>
      <c r="L658" s="2" t="s">
        <v>6679</v>
      </c>
      <c r="M658" s="2" t="s">
        <v>6680</v>
      </c>
      <c r="N658" s="3" t="s">
        <v>287</v>
      </c>
      <c r="P658" s="3" t="s">
        <v>66</v>
      </c>
      <c r="R658" s="3" t="s">
        <v>67</v>
      </c>
      <c r="S658" s="4">
        <v>0</v>
      </c>
      <c r="T658" s="4">
        <v>0</v>
      </c>
      <c r="W658" s="5" t="s">
        <v>69</v>
      </c>
      <c r="X658" s="5" t="s">
        <v>69</v>
      </c>
      <c r="Y658" s="4">
        <v>92</v>
      </c>
      <c r="Z658" s="4">
        <v>5</v>
      </c>
      <c r="AA658" s="4">
        <v>71</v>
      </c>
      <c r="AB658" s="4">
        <v>1</v>
      </c>
      <c r="AC658" s="4">
        <v>15</v>
      </c>
      <c r="AD658" s="4">
        <v>46</v>
      </c>
      <c r="AE658" s="4">
        <v>105</v>
      </c>
      <c r="AF658" s="4">
        <v>0</v>
      </c>
      <c r="AG658" s="4">
        <v>8</v>
      </c>
      <c r="AH658" s="4">
        <v>41</v>
      </c>
      <c r="AI658" s="4">
        <v>72</v>
      </c>
      <c r="AJ658" s="4">
        <v>3</v>
      </c>
      <c r="AK658" s="4">
        <v>17</v>
      </c>
      <c r="AL658" s="4">
        <v>31</v>
      </c>
      <c r="AM658" s="4">
        <v>42</v>
      </c>
      <c r="AN658" s="4">
        <v>0</v>
      </c>
      <c r="AO658" s="4">
        <v>0</v>
      </c>
      <c r="AP658" s="4">
        <v>3</v>
      </c>
      <c r="AQ658" s="4">
        <v>36</v>
      </c>
      <c r="AR658" s="3" t="s">
        <v>63</v>
      </c>
      <c r="AS658" s="3" t="s">
        <v>63</v>
      </c>
      <c r="AT658" s="3" t="s">
        <v>63</v>
      </c>
      <c r="AV658" s="6" t="str">
        <f>HYPERLINK("http://mcgill.on.worldcat.org/oclc/1028904684","Catalog Record")</f>
        <v>Catalog Record</v>
      </c>
      <c r="AW658" s="6" t="str">
        <f>HYPERLINK("http://www.worldcat.org/oclc/1028904684","WorldCat Record")</f>
        <v>WorldCat Record</v>
      </c>
      <c r="AX658" s="3" t="s">
        <v>6681</v>
      </c>
      <c r="AY658" s="3" t="s">
        <v>6682</v>
      </c>
      <c r="AZ658" s="3" t="s">
        <v>6683</v>
      </c>
      <c r="BA658" s="3" t="s">
        <v>6683</v>
      </c>
      <c r="BB658" s="3" t="s">
        <v>6684</v>
      </c>
      <c r="BC658" s="3" t="s">
        <v>82</v>
      </c>
      <c r="BD658" s="3" t="s">
        <v>70</v>
      </c>
      <c r="BE658" s="3" t="s">
        <v>6685</v>
      </c>
      <c r="BF658" s="3" t="s">
        <v>6684</v>
      </c>
      <c r="BG658" s="3" t="s">
        <v>6686</v>
      </c>
    </row>
    <row r="659" spans="1:59" ht="60" x14ac:dyDescent="0.25">
      <c r="A659" s="2" t="s">
        <v>59</v>
      </c>
      <c r="B659" s="2" t="s">
        <v>60</v>
      </c>
      <c r="C659" s="2" t="s">
        <v>6687</v>
      </c>
      <c r="D659" s="2" t="s">
        <v>6688</v>
      </c>
      <c r="E659" s="2" t="s">
        <v>6689</v>
      </c>
      <c r="G659" s="3" t="s">
        <v>63</v>
      </c>
      <c r="I659" s="3" t="s">
        <v>63</v>
      </c>
      <c r="J659" s="3" t="s">
        <v>63</v>
      </c>
      <c r="K659" s="3" t="s">
        <v>64</v>
      </c>
      <c r="L659" s="2" t="s">
        <v>6690</v>
      </c>
      <c r="M659" s="2" t="s">
        <v>6691</v>
      </c>
      <c r="N659" s="3" t="s">
        <v>468</v>
      </c>
      <c r="P659" s="3" t="s">
        <v>66</v>
      </c>
      <c r="Q659" s="2" t="s">
        <v>6692</v>
      </c>
      <c r="R659" s="3" t="s">
        <v>67</v>
      </c>
      <c r="S659" s="4">
        <v>5</v>
      </c>
      <c r="T659" s="4">
        <v>5</v>
      </c>
      <c r="U659" s="5" t="s">
        <v>2183</v>
      </c>
      <c r="V659" s="5" t="s">
        <v>2183</v>
      </c>
      <c r="W659" s="5" t="s">
        <v>69</v>
      </c>
      <c r="X659" s="5" t="s">
        <v>69</v>
      </c>
      <c r="Y659" s="4">
        <v>137</v>
      </c>
      <c r="Z659" s="4">
        <v>16</v>
      </c>
      <c r="AA659" s="4">
        <v>16</v>
      </c>
      <c r="AB659" s="4">
        <v>1</v>
      </c>
      <c r="AC659" s="4">
        <v>1</v>
      </c>
      <c r="AD659" s="4">
        <v>77</v>
      </c>
      <c r="AE659" s="4">
        <v>77</v>
      </c>
      <c r="AF659" s="4">
        <v>0</v>
      </c>
      <c r="AG659" s="4">
        <v>0</v>
      </c>
      <c r="AH659" s="4">
        <v>69</v>
      </c>
      <c r="AI659" s="4">
        <v>69</v>
      </c>
      <c r="AJ659" s="4">
        <v>12</v>
      </c>
      <c r="AK659" s="4">
        <v>12</v>
      </c>
      <c r="AL659" s="4">
        <v>39</v>
      </c>
      <c r="AM659" s="4">
        <v>39</v>
      </c>
      <c r="AN659" s="4">
        <v>0</v>
      </c>
      <c r="AO659" s="4">
        <v>0</v>
      </c>
      <c r="AP659" s="4">
        <v>13</v>
      </c>
      <c r="AQ659" s="4">
        <v>13</v>
      </c>
      <c r="AR659" s="3" t="s">
        <v>63</v>
      </c>
      <c r="AS659" s="3" t="s">
        <v>63</v>
      </c>
      <c r="AT659" s="3" t="s">
        <v>62</v>
      </c>
      <c r="AU659" s="6" t="str">
        <f>HYPERLINK("http://catalog.hathitrust.org/Record/000090795","HathiTrust Record")</f>
        <v>HathiTrust Record</v>
      </c>
      <c r="AV659" s="6" t="str">
        <f>HYPERLINK("http://mcgill.on.worldcat.org/oclc/3590393","Catalog Record")</f>
        <v>Catalog Record</v>
      </c>
      <c r="AW659" s="6" t="str">
        <f>HYPERLINK("http://www.worldcat.org/oclc/3590393","WorldCat Record")</f>
        <v>WorldCat Record</v>
      </c>
      <c r="AX659" s="3" t="s">
        <v>6693</v>
      </c>
      <c r="AY659" s="3" t="s">
        <v>6694</v>
      </c>
      <c r="AZ659" s="3" t="s">
        <v>6695</v>
      </c>
      <c r="BA659" s="3" t="s">
        <v>6695</v>
      </c>
      <c r="BB659" s="3" t="s">
        <v>6696</v>
      </c>
      <c r="BC659" s="3" t="s">
        <v>82</v>
      </c>
      <c r="BD659" s="3" t="s">
        <v>70</v>
      </c>
      <c r="BE659" s="3" t="s">
        <v>6697</v>
      </c>
      <c r="BF659" s="3" t="s">
        <v>6696</v>
      </c>
      <c r="BG659" s="3" t="s">
        <v>6698</v>
      </c>
    </row>
    <row r="660" spans="1:59" ht="60" x14ac:dyDescent="0.25">
      <c r="A660" s="2" t="s">
        <v>59</v>
      </c>
      <c r="B660" s="2" t="s">
        <v>60</v>
      </c>
      <c r="C660" s="2" t="s">
        <v>6699</v>
      </c>
      <c r="D660" s="2" t="s">
        <v>6700</v>
      </c>
      <c r="E660" s="2" t="s">
        <v>6701</v>
      </c>
      <c r="G660" s="3" t="s">
        <v>63</v>
      </c>
      <c r="I660" s="3" t="s">
        <v>63</v>
      </c>
      <c r="J660" s="3" t="s">
        <v>63</v>
      </c>
      <c r="K660" s="3" t="s">
        <v>64</v>
      </c>
      <c r="L660" s="2" t="s">
        <v>6702</v>
      </c>
      <c r="M660" s="2" t="s">
        <v>6703</v>
      </c>
      <c r="N660" s="3" t="s">
        <v>130</v>
      </c>
      <c r="P660" s="3" t="s">
        <v>90</v>
      </c>
      <c r="R660" s="3" t="s">
        <v>67</v>
      </c>
      <c r="S660" s="4">
        <v>0</v>
      </c>
      <c r="T660" s="4">
        <v>0</v>
      </c>
      <c r="W660" s="5" t="s">
        <v>69</v>
      </c>
      <c r="X660" s="5" t="s">
        <v>69</v>
      </c>
      <c r="Y660" s="4">
        <v>19</v>
      </c>
      <c r="Z660" s="4">
        <v>3</v>
      </c>
      <c r="AA660" s="4">
        <v>6</v>
      </c>
      <c r="AB660" s="4">
        <v>1</v>
      </c>
      <c r="AC660" s="4">
        <v>1</v>
      </c>
      <c r="AD660" s="4">
        <v>9</v>
      </c>
      <c r="AE660" s="4">
        <v>26</v>
      </c>
      <c r="AF660" s="4">
        <v>0</v>
      </c>
      <c r="AG660" s="4">
        <v>0</v>
      </c>
      <c r="AH660" s="4">
        <v>9</v>
      </c>
      <c r="AI660" s="4">
        <v>25</v>
      </c>
      <c r="AJ660" s="4">
        <v>1</v>
      </c>
      <c r="AK660" s="4">
        <v>3</v>
      </c>
      <c r="AL660" s="4">
        <v>6</v>
      </c>
      <c r="AM660" s="4">
        <v>19</v>
      </c>
      <c r="AN660" s="4">
        <v>0</v>
      </c>
      <c r="AO660" s="4">
        <v>0</v>
      </c>
      <c r="AP660" s="4">
        <v>1</v>
      </c>
      <c r="AQ660" s="4">
        <v>3</v>
      </c>
      <c r="AR660" s="3" t="s">
        <v>63</v>
      </c>
      <c r="AS660" s="3" t="s">
        <v>63</v>
      </c>
      <c r="AT660" s="3" t="s">
        <v>63</v>
      </c>
      <c r="AV660" s="6" t="str">
        <f>HYPERLINK("http://mcgill.on.worldcat.org/oclc/828035863","Catalog Record")</f>
        <v>Catalog Record</v>
      </c>
      <c r="AW660" s="6" t="str">
        <f>HYPERLINK("http://www.worldcat.org/oclc/828035863","WorldCat Record")</f>
        <v>WorldCat Record</v>
      </c>
      <c r="AX660" s="3" t="s">
        <v>6704</v>
      </c>
      <c r="AY660" s="3" t="s">
        <v>6705</v>
      </c>
      <c r="AZ660" s="3" t="s">
        <v>6706</v>
      </c>
      <c r="BA660" s="3" t="s">
        <v>6706</v>
      </c>
      <c r="BB660" s="3" t="s">
        <v>6707</v>
      </c>
      <c r="BC660" s="3" t="s">
        <v>82</v>
      </c>
      <c r="BD660" s="3" t="s">
        <v>70</v>
      </c>
      <c r="BE660" s="3" t="s">
        <v>6708</v>
      </c>
      <c r="BF660" s="3" t="s">
        <v>6707</v>
      </c>
      <c r="BG660" s="3" t="s">
        <v>6709</v>
      </c>
    </row>
    <row r="661" spans="1:59" ht="60" x14ac:dyDescent="0.25">
      <c r="A661" s="2" t="s">
        <v>59</v>
      </c>
      <c r="B661" s="2" t="s">
        <v>60</v>
      </c>
      <c r="C661" s="2" t="s">
        <v>6710</v>
      </c>
      <c r="D661" s="2" t="s">
        <v>6711</v>
      </c>
      <c r="E661" s="2" t="s">
        <v>6712</v>
      </c>
      <c r="G661" s="3" t="s">
        <v>63</v>
      </c>
      <c r="I661" s="3" t="s">
        <v>63</v>
      </c>
      <c r="J661" s="3" t="s">
        <v>63</v>
      </c>
      <c r="K661" s="3" t="s">
        <v>64</v>
      </c>
      <c r="L661" s="2" t="s">
        <v>4909</v>
      </c>
      <c r="M661" s="2" t="s">
        <v>6713</v>
      </c>
      <c r="N661" s="3" t="s">
        <v>362</v>
      </c>
      <c r="P661" s="3" t="s">
        <v>66</v>
      </c>
      <c r="R661" s="3" t="s">
        <v>67</v>
      </c>
      <c r="S661" s="4">
        <v>13</v>
      </c>
      <c r="T661" s="4">
        <v>13</v>
      </c>
      <c r="U661" s="5" t="s">
        <v>6714</v>
      </c>
      <c r="V661" s="5" t="s">
        <v>6714</v>
      </c>
      <c r="W661" s="5" t="s">
        <v>69</v>
      </c>
      <c r="X661" s="5" t="s">
        <v>69</v>
      </c>
      <c r="Y661" s="4">
        <v>243</v>
      </c>
      <c r="Z661" s="4">
        <v>12</v>
      </c>
      <c r="AA661" s="4">
        <v>12</v>
      </c>
      <c r="AB661" s="4">
        <v>2</v>
      </c>
      <c r="AC661" s="4">
        <v>2</v>
      </c>
      <c r="AD661" s="4">
        <v>101</v>
      </c>
      <c r="AE661" s="4">
        <v>101</v>
      </c>
      <c r="AF661" s="4">
        <v>0</v>
      </c>
      <c r="AG661" s="4">
        <v>0</v>
      </c>
      <c r="AH661" s="4">
        <v>95</v>
      </c>
      <c r="AI661" s="4">
        <v>95</v>
      </c>
      <c r="AJ661" s="4">
        <v>8</v>
      </c>
      <c r="AK661" s="4">
        <v>8</v>
      </c>
      <c r="AL661" s="4">
        <v>58</v>
      </c>
      <c r="AM661" s="4">
        <v>58</v>
      </c>
      <c r="AN661" s="4">
        <v>0</v>
      </c>
      <c r="AO661" s="4">
        <v>0</v>
      </c>
      <c r="AP661" s="4">
        <v>8</v>
      </c>
      <c r="AQ661" s="4">
        <v>8</v>
      </c>
      <c r="AR661" s="3" t="s">
        <v>63</v>
      </c>
      <c r="AS661" s="3" t="s">
        <v>63</v>
      </c>
      <c r="AT661" s="3" t="s">
        <v>63</v>
      </c>
      <c r="AV661" s="6" t="str">
        <f>HYPERLINK("http://mcgill.on.worldcat.org/oclc/46456280","Catalog Record")</f>
        <v>Catalog Record</v>
      </c>
      <c r="AW661" s="6" t="str">
        <f>HYPERLINK("http://www.worldcat.org/oclc/46456280","WorldCat Record")</f>
        <v>WorldCat Record</v>
      </c>
      <c r="AX661" s="3" t="s">
        <v>6715</v>
      </c>
      <c r="AY661" s="3" t="s">
        <v>6716</v>
      </c>
      <c r="AZ661" s="3" t="s">
        <v>6717</v>
      </c>
      <c r="BA661" s="3" t="s">
        <v>6717</v>
      </c>
      <c r="BB661" s="3" t="s">
        <v>6718</v>
      </c>
      <c r="BC661" s="3" t="s">
        <v>82</v>
      </c>
      <c r="BD661" s="3" t="s">
        <v>70</v>
      </c>
      <c r="BE661" s="3" t="s">
        <v>6719</v>
      </c>
      <c r="BF661" s="3" t="s">
        <v>6718</v>
      </c>
      <c r="BG661" s="3" t="s">
        <v>6720</v>
      </c>
    </row>
    <row r="662" spans="1:59" ht="60" x14ac:dyDescent="0.25">
      <c r="A662" s="2" t="s">
        <v>59</v>
      </c>
      <c r="B662" s="2" t="s">
        <v>60</v>
      </c>
      <c r="C662" s="2" t="s">
        <v>6721</v>
      </c>
      <c r="D662" s="2" t="s">
        <v>6722</v>
      </c>
      <c r="E662" s="2" t="s">
        <v>6723</v>
      </c>
      <c r="G662" s="3" t="s">
        <v>63</v>
      </c>
      <c r="I662" s="3" t="s">
        <v>63</v>
      </c>
      <c r="J662" s="3" t="s">
        <v>62</v>
      </c>
      <c r="K662" s="3" t="s">
        <v>64</v>
      </c>
      <c r="L662" s="2" t="s">
        <v>6724</v>
      </c>
      <c r="M662" s="2" t="s">
        <v>6725</v>
      </c>
      <c r="P662" s="3" t="s">
        <v>66</v>
      </c>
      <c r="Q662" s="2" t="s">
        <v>6726</v>
      </c>
      <c r="R662" s="3" t="s">
        <v>67</v>
      </c>
      <c r="S662" s="4">
        <v>9</v>
      </c>
      <c r="T662" s="4">
        <v>9</v>
      </c>
      <c r="U662" s="5" t="s">
        <v>6068</v>
      </c>
      <c r="V662" s="5" t="s">
        <v>6068</v>
      </c>
      <c r="W662" s="5" t="s">
        <v>69</v>
      </c>
      <c r="X662" s="5" t="s">
        <v>69</v>
      </c>
      <c r="Y662" s="4">
        <v>314</v>
      </c>
      <c r="Z662" s="4">
        <v>16</v>
      </c>
      <c r="AA662" s="4">
        <v>45</v>
      </c>
      <c r="AB662" s="4">
        <v>1</v>
      </c>
      <c r="AC662" s="4">
        <v>5</v>
      </c>
      <c r="AD662" s="4">
        <v>81</v>
      </c>
      <c r="AE662" s="4">
        <v>129</v>
      </c>
      <c r="AF662" s="4">
        <v>0</v>
      </c>
      <c r="AG662" s="4">
        <v>2</v>
      </c>
      <c r="AH662" s="4">
        <v>75</v>
      </c>
      <c r="AI662" s="4">
        <v>105</v>
      </c>
      <c r="AJ662" s="4">
        <v>9</v>
      </c>
      <c r="AK662" s="4">
        <v>20</v>
      </c>
      <c r="AL662" s="4">
        <v>44</v>
      </c>
      <c r="AM662" s="4">
        <v>56</v>
      </c>
      <c r="AN662" s="4">
        <v>0</v>
      </c>
      <c r="AO662" s="4">
        <v>0</v>
      </c>
      <c r="AP662" s="4">
        <v>12</v>
      </c>
      <c r="AQ662" s="4">
        <v>30</v>
      </c>
      <c r="AR662" s="3" t="s">
        <v>63</v>
      </c>
      <c r="AS662" s="3" t="s">
        <v>63</v>
      </c>
      <c r="AT662" s="3" t="s">
        <v>62</v>
      </c>
      <c r="AU662" s="6" t="str">
        <f>HYPERLINK("http://catalog.hathitrust.org/Record/001055034","HathiTrust Record")</f>
        <v>HathiTrust Record</v>
      </c>
      <c r="AV662" s="6" t="str">
        <f>HYPERLINK("http://mcgill.on.worldcat.org/oclc/4853704","Catalog Record")</f>
        <v>Catalog Record</v>
      </c>
      <c r="AW662" s="6" t="str">
        <f>HYPERLINK("http://www.worldcat.org/oclc/4853704","WorldCat Record")</f>
        <v>WorldCat Record</v>
      </c>
      <c r="AX662" s="3" t="s">
        <v>6727</v>
      </c>
      <c r="AY662" s="3" t="s">
        <v>6728</v>
      </c>
      <c r="AZ662" s="3" t="s">
        <v>6729</v>
      </c>
      <c r="BA662" s="3" t="s">
        <v>6729</v>
      </c>
      <c r="BB662" s="3" t="s">
        <v>6730</v>
      </c>
      <c r="BC662" s="3" t="s">
        <v>82</v>
      </c>
      <c r="BD662" s="3" t="s">
        <v>70</v>
      </c>
      <c r="BF662" s="3" t="s">
        <v>6730</v>
      </c>
      <c r="BG662" s="3" t="s">
        <v>6731</v>
      </c>
    </row>
    <row r="663" spans="1:59" ht="60" x14ac:dyDescent="0.25">
      <c r="A663" s="2" t="s">
        <v>59</v>
      </c>
      <c r="B663" s="2" t="s">
        <v>60</v>
      </c>
      <c r="C663" s="2" t="s">
        <v>6732</v>
      </c>
      <c r="D663" s="2" t="s">
        <v>6733</v>
      </c>
      <c r="E663" s="2" t="s">
        <v>6734</v>
      </c>
      <c r="G663" s="3" t="s">
        <v>63</v>
      </c>
      <c r="I663" s="3" t="s">
        <v>63</v>
      </c>
      <c r="J663" s="3" t="s">
        <v>63</v>
      </c>
      <c r="K663" s="3" t="s">
        <v>64</v>
      </c>
      <c r="L663" s="2" t="s">
        <v>6735</v>
      </c>
      <c r="M663" s="2" t="s">
        <v>6736</v>
      </c>
      <c r="N663" s="3" t="s">
        <v>313</v>
      </c>
      <c r="P663" s="3" t="s">
        <v>90</v>
      </c>
      <c r="R663" s="3" t="s">
        <v>67</v>
      </c>
      <c r="S663" s="4">
        <v>0</v>
      </c>
      <c r="T663" s="4">
        <v>0</v>
      </c>
      <c r="W663" s="5" t="s">
        <v>69</v>
      </c>
      <c r="X663" s="5" t="s">
        <v>69</v>
      </c>
      <c r="Y663" s="4">
        <v>52</v>
      </c>
      <c r="Z663" s="4">
        <v>7</v>
      </c>
      <c r="AA663" s="4">
        <v>7</v>
      </c>
      <c r="AB663" s="4">
        <v>1</v>
      </c>
      <c r="AC663" s="4">
        <v>1</v>
      </c>
      <c r="AD663" s="4">
        <v>36</v>
      </c>
      <c r="AE663" s="4">
        <v>36</v>
      </c>
      <c r="AF663" s="4">
        <v>0</v>
      </c>
      <c r="AG663" s="4">
        <v>0</v>
      </c>
      <c r="AH663" s="4">
        <v>35</v>
      </c>
      <c r="AI663" s="4">
        <v>35</v>
      </c>
      <c r="AJ663" s="4">
        <v>4</v>
      </c>
      <c r="AK663" s="4">
        <v>4</v>
      </c>
      <c r="AL663" s="4">
        <v>24</v>
      </c>
      <c r="AM663" s="4">
        <v>24</v>
      </c>
      <c r="AN663" s="4">
        <v>0</v>
      </c>
      <c r="AO663" s="4">
        <v>0</v>
      </c>
      <c r="AP663" s="4">
        <v>4</v>
      </c>
      <c r="AQ663" s="4">
        <v>4</v>
      </c>
      <c r="AR663" s="3" t="s">
        <v>63</v>
      </c>
      <c r="AS663" s="3" t="s">
        <v>63</v>
      </c>
      <c r="AT663" s="3" t="s">
        <v>63</v>
      </c>
      <c r="AV663" s="6" t="str">
        <f>HYPERLINK("http://mcgill.on.worldcat.org/oclc/608631811","Catalog Record")</f>
        <v>Catalog Record</v>
      </c>
      <c r="AW663" s="6" t="str">
        <f>HYPERLINK("http://www.worldcat.org/oclc/608631811","WorldCat Record")</f>
        <v>WorldCat Record</v>
      </c>
      <c r="AX663" s="3" t="s">
        <v>6737</v>
      </c>
      <c r="AY663" s="3" t="s">
        <v>6738</v>
      </c>
      <c r="AZ663" s="3" t="s">
        <v>6739</v>
      </c>
      <c r="BA663" s="3" t="s">
        <v>6739</v>
      </c>
      <c r="BB663" s="3" t="s">
        <v>6740</v>
      </c>
      <c r="BC663" s="3" t="s">
        <v>82</v>
      </c>
      <c r="BD663" s="3" t="s">
        <v>70</v>
      </c>
      <c r="BE663" s="3" t="s">
        <v>6741</v>
      </c>
      <c r="BF663" s="3" t="s">
        <v>6740</v>
      </c>
      <c r="BG663" s="3" t="s">
        <v>6742</v>
      </c>
    </row>
    <row r="664" spans="1:59" ht="60" x14ac:dyDescent="0.25">
      <c r="A664" s="2" t="s">
        <v>59</v>
      </c>
      <c r="B664" s="2" t="s">
        <v>60</v>
      </c>
      <c r="C664" s="2" t="s">
        <v>6743</v>
      </c>
      <c r="D664" s="2" t="s">
        <v>6744</v>
      </c>
      <c r="E664" s="2" t="s">
        <v>6745</v>
      </c>
      <c r="G664" s="3" t="s">
        <v>63</v>
      </c>
      <c r="I664" s="3" t="s">
        <v>63</v>
      </c>
      <c r="J664" s="3" t="s">
        <v>63</v>
      </c>
      <c r="K664" s="3" t="s">
        <v>64</v>
      </c>
      <c r="M664" s="2" t="s">
        <v>6746</v>
      </c>
      <c r="N664" s="3" t="s">
        <v>3640</v>
      </c>
      <c r="P664" s="3" t="s">
        <v>90</v>
      </c>
      <c r="R664" s="3" t="s">
        <v>67</v>
      </c>
      <c r="S664" s="4">
        <v>1</v>
      </c>
      <c r="T664" s="4">
        <v>1</v>
      </c>
      <c r="U664" s="5" t="s">
        <v>4314</v>
      </c>
      <c r="V664" s="5" t="s">
        <v>4314</v>
      </c>
      <c r="W664" s="5" t="s">
        <v>69</v>
      </c>
      <c r="X664" s="5" t="s">
        <v>69</v>
      </c>
      <c r="Y664" s="4">
        <v>69</v>
      </c>
      <c r="Z664" s="4">
        <v>8</v>
      </c>
      <c r="AA664" s="4">
        <v>11</v>
      </c>
      <c r="AB664" s="4">
        <v>1</v>
      </c>
      <c r="AC664" s="4">
        <v>1</v>
      </c>
      <c r="AD664" s="4">
        <v>49</v>
      </c>
      <c r="AE664" s="4">
        <v>53</v>
      </c>
      <c r="AF664" s="4">
        <v>0</v>
      </c>
      <c r="AG664" s="4">
        <v>0</v>
      </c>
      <c r="AH664" s="4">
        <v>46</v>
      </c>
      <c r="AI664" s="4">
        <v>50</v>
      </c>
      <c r="AJ664" s="4">
        <v>5</v>
      </c>
      <c r="AK664" s="4">
        <v>8</v>
      </c>
      <c r="AL664" s="4">
        <v>36</v>
      </c>
      <c r="AM664" s="4">
        <v>36</v>
      </c>
      <c r="AN664" s="4">
        <v>0</v>
      </c>
      <c r="AO664" s="4">
        <v>0</v>
      </c>
      <c r="AP664" s="4">
        <v>5</v>
      </c>
      <c r="AQ664" s="4">
        <v>8</v>
      </c>
      <c r="AR664" s="3" t="s">
        <v>63</v>
      </c>
      <c r="AS664" s="3" t="s">
        <v>63</v>
      </c>
      <c r="AT664" s="3" t="s">
        <v>62</v>
      </c>
      <c r="AU664" s="6" t="str">
        <f>HYPERLINK("http://catalog.hathitrust.org/Record/000188044","HathiTrust Record")</f>
        <v>HathiTrust Record</v>
      </c>
      <c r="AV664" s="6" t="str">
        <f>HYPERLINK("http://mcgill.on.worldcat.org/oclc/9635463","Catalog Record")</f>
        <v>Catalog Record</v>
      </c>
      <c r="AW664" s="6" t="str">
        <f>HYPERLINK("http://www.worldcat.org/oclc/9635463","WorldCat Record")</f>
        <v>WorldCat Record</v>
      </c>
      <c r="AX664" s="3" t="s">
        <v>6747</v>
      </c>
      <c r="AY664" s="3" t="s">
        <v>6748</v>
      </c>
      <c r="AZ664" s="3" t="s">
        <v>6749</v>
      </c>
      <c r="BA664" s="3" t="s">
        <v>6749</v>
      </c>
      <c r="BB664" s="3" t="s">
        <v>6750</v>
      </c>
      <c r="BC664" s="3" t="s">
        <v>82</v>
      </c>
      <c r="BD664" s="3" t="s">
        <v>70</v>
      </c>
      <c r="BF664" s="3" t="s">
        <v>6750</v>
      </c>
      <c r="BG664" s="3" t="s">
        <v>6751</v>
      </c>
    </row>
    <row r="665" spans="1:59" ht="60" x14ac:dyDescent="0.25">
      <c r="A665" s="2" t="s">
        <v>59</v>
      </c>
      <c r="B665" s="2" t="s">
        <v>60</v>
      </c>
      <c r="C665" s="2" t="s">
        <v>6752</v>
      </c>
      <c r="D665" s="2" t="s">
        <v>6753</v>
      </c>
      <c r="E665" s="2" t="s">
        <v>6754</v>
      </c>
      <c r="G665" s="3" t="s">
        <v>63</v>
      </c>
      <c r="I665" s="3" t="s">
        <v>62</v>
      </c>
      <c r="J665" s="3" t="s">
        <v>63</v>
      </c>
      <c r="K665" s="3" t="s">
        <v>64</v>
      </c>
      <c r="L665" s="2" t="s">
        <v>6755</v>
      </c>
      <c r="M665" s="2" t="s">
        <v>6756</v>
      </c>
      <c r="N665" s="3" t="s">
        <v>814</v>
      </c>
      <c r="P665" s="3" t="s">
        <v>66</v>
      </c>
      <c r="R665" s="3" t="s">
        <v>67</v>
      </c>
      <c r="S665" s="4">
        <v>33</v>
      </c>
      <c r="T665" s="4">
        <v>64</v>
      </c>
      <c r="U665" s="5" t="s">
        <v>6757</v>
      </c>
      <c r="V665" s="5" t="s">
        <v>6758</v>
      </c>
      <c r="W665" s="5" t="s">
        <v>69</v>
      </c>
      <c r="X665" s="5" t="s">
        <v>69</v>
      </c>
      <c r="Y665" s="4">
        <v>1028</v>
      </c>
      <c r="Z665" s="4">
        <v>47</v>
      </c>
      <c r="AA665" s="4">
        <v>52</v>
      </c>
      <c r="AB665" s="4">
        <v>3</v>
      </c>
      <c r="AC665" s="4">
        <v>6</v>
      </c>
      <c r="AD665" s="4">
        <v>132</v>
      </c>
      <c r="AE665" s="4">
        <v>135</v>
      </c>
      <c r="AF665" s="4">
        <v>1</v>
      </c>
      <c r="AG665" s="4">
        <v>3</v>
      </c>
      <c r="AH665" s="4">
        <v>107</v>
      </c>
      <c r="AI665" s="4">
        <v>108</v>
      </c>
      <c r="AJ665" s="4">
        <v>19</v>
      </c>
      <c r="AK665" s="4">
        <v>22</v>
      </c>
      <c r="AL665" s="4">
        <v>56</v>
      </c>
      <c r="AM665" s="4">
        <v>56</v>
      </c>
      <c r="AN665" s="4">
        <v>0</v>
      </c>
      <c r="AO665" s="4">
        <v>0</v>
      </c>
      <c r="AP665" s="4">
        <v>31</v>
      </c>
      <c r="AQ665" s="4">
        <v>33</v>
      </c>
      <c r="AR665" s="3" t="s">
        <v>63</v>
      </c>
      <c r="AS665" s="3" t="s">
        <v>63</v>
      </c>
      <c r="AT665" s="3" t="s">
        <v>62</v>
      </c>
      <c r="AU665" s="6" t="str">
        <f>HYPERLINK("http://catalog.hathitrust.org/Record/000728523","HathiTrust Record")</f>
        <v>HathiTrust Record</v>
      </c>
      <c r="AV665" s="6" t="str">
        <f>HYPERLINK("http://mcgill.on.worldcat.org/oclc/2876008","Catalog Record")</f>
        <v>Catalog Record</v>
      </c>
      <c r="AW665" s="6" t="str">
        <f>HYPERLINK("http://www.worldcat.org/oclc/2876008","WorldCat Record")</f>
        <v>WorldCat Record</v>
      </c>
      <c r="AX665" s="3" t="s">
        <v>6759</v>
      </c>
      <c r="AY665" s="3" t="s">
        <v>6760</v>
      </c>
      <c r="AZ665" s="3" t="s">
        <v>6761</v>
      </c>
      <c r="BA665" s="3" t="s">
        <v>6761</v>
      </c>
      <c r="BB665" s="3" t="s">
        <v>6762</v>
      </c>
      <c r="BC665" s="3" t="s">
        <v>82</v>
      </c>
      <c r="BD665" s="3" t="s">
        <v>70</v>
      </c>
      <c r="BE665" s="3" t="s">
        <v>6763</v>
      </c>
      <c r="BF665" s="3" t="s">
        <v>6762</v>
      </c>
      <c r="BG665" s="3" t="s">
        <v>6764</v>
      </c>
    </row>
    <row r="666" spans="1:59" ht="60" x14ac:dyDescent="0.25">
      <c r="A666" s="2" t="s">
        <v>59</v>
      </c>
      <c r="B666" s="2" t="s">
        <v>60</v>
      </c>
      <c r="C666" s="2" t="s">
        <v>6752</v>
      </c>
      <c r="D666" s="2" t="s">
        <v>6753</v>
      </c>
      <c r="E666" s="2" t="s">
        <v>6754</v>
      </c>
      <c r="G666" s="3" t="s">
        <v>63</v>
      </c>
      <c r="I666" s="3" t="s">
        <v>62</v>
      </c>
      <c r="J666" s="3" t="s">
        <v>63</v>
      </c>
      <c r="K666" s="3" t="s">
        <v>64</v>
      </c>
      <c r="L666" s="2" t="s">
        <v>6755</v>
      </c>
      <c r="M666" s="2" t="s">
        <v>6756</v>
      </c>
      <c r="N666" s="3" t="s">
        <v>814</v>
      </c>
      <c r="P666" s="3" t="s">
        <v>66</v>
      </c>
      <c r="R666" s="3" t="s">
        <v>67</v>
      </c>
      <c r="S666" s="4">
        <v>31</v>
      </c>
      <c r="T666" s="4">
        <v>64</v>
      </c>
      <c r="U666" s="5" t="s">
        <v>6758</v>
      </c>
      <c r="V666" s="5" t="s">
        <v>6758</v>
      </c>
      <c r="W666" s="5" t="s">
        <v>69</v>
      </c>
      <c r="X666" s="5" t="s">
        <v>69</v>
      </c>
      <c r="Y666" s="4">
        <v>1028</v>
      </c>
      <c r="Z666" s="4">
        <v>47</v>
      </c>
      <c r="AA666" s="4">
        <v>52</v>
      </c>
      <c r="AB666" s="4">
        <v>3</v>
      </c>
      <c r="AC666" s="4">
        <v>6</v>
      </c>
      <c r="AD666" s="4">
        <v>132</v>
      </c>
      <c r="AE666" s="4">
        <v>135</v>
      </c>
      <c r="AF666" s="4">
        <v>1</v>
      </c>
      <c r="AG666" s="4">
        <v>3</v>
      </c>
      <c r="AH666" s="4">
        <v>107</v>
      </c>
      <c r="AI666" s="4">
        <v>108</v>
      </c>
      <c r="AJ666" s="4">
        <v>19</v>
      </c>
      <c r="AK666" s="4">
        <v>22</v>
      </c>
      <c r="AL666" s="4">
        <v>56</v>
      </c>
      <c r="AM666" s="4">
        <v>56</v>
      </c>
      <c r="AN666" s="4">
        <v>0</v>
      </c>
      <c r="AO666" s="4">
        <v>0</v>
      </c>
      <c r="AP666" s="4">
        <v>31</v>
      </c>
      <c r="AQ666" s="4">
        <v>33</v>
      </c>
      <c r="AR666" s="3" t="s">
        <v>63</v>
      </c>
      <c r="AS666" s="3" t="s">
        <v>63</v>
      </c>
      <c r="AT666" s="3" t="s">
        <v>62</v>
      </c>
      <c r="AU666" s="6" t="str">
        <f>HYPERLINK("http://catalog.hathitrust.org/Record/000728523","HathiTrust Record")</f>
        <v>HathiTrust Record</v>
      </c>
      <c r="AV666" s="6" t="str">
        <f>HYPERLINK("http://mcgill.on.worldcat.org/oclc/2876008","Catalog Record")</f>
        <v>Catalog Record</v>
      </c>
      <c r="AW666" s="6" t="str">
        <f>HYPERLINK("http://www.worldcat.org/oclc/2876008","WorldCat Record")</f>
        <v>WorldCat Record</v>
      </c>
      <c r="AX666" s="3" t="s">
        <v>6759</v>
      </c>
      <c r="AY666" s="3" t="s">
        <v>6760</v>
      </c>
      <c r="AZ666" s="3" t="s">
        <v>6761</v>
      </c>
      <c r="BA666" s="3" t="s">
        <v>6761</v>
      </c>
      <c r="BB666" s="3" t="s">
        <v>6765</v>
      </c>
      <c r="BC666" s="3" t="s">
        <v>82</v>
      </c>
      <c r="BD666" s="3" t="s">
        <v>70</v>
      </c>
      <c r="BE666" s="3" t="s">
        <v>6763</v>
      </c>
      <c r="BF666" s="3" t="s">
        <v>6765</v>
      </c>
      <c r="BG666" s="3" t="s">
        <v>6766</v>
      </c>
    </row>
    <row r="667" spans="1:59" ht="60" x14ac:dyDescent="0.25">
      <c r="A667" s="2" t="s">
        <v>59</v>
      </c>
      <c r="B667" s="2" t="s">
        <v>60</v>
      </c>
      <c r="C667" s="2" t="s">
        <v>6767</v>
      </c>
      <c r="D667" s="2" t="s">
        <v>6768</v>
      </c>
      <c r="E667" s="2" t="s">
        <v>6769</v>
      </c>
      <c r="G667" s="3" t="s">
        <v>63</v>
      </c>
      <c r="I667" s="3" t="s">
        <v>63</v>
      </c>
      <c r="J667" s="3" t="s">
        <v>62</v>
      </c>
      <c r="K667" s="3" t="s">
        <v>64</v>
      </c>
      <c r="L667" s="2" t="s">
        <v>6770</v>
      </c>
      <c r="M667" s="2" t="s">
        <v>6771</v>
      </c>
      <c r="N667" s="3" t="s">
        <v>1296</v>
      </c>
      <c r="O667" s="2" t="s">
        <v>6772</v>
      </c>
      <c r="P667" s="3" t="s">
        <v>66</v>
      </c>
      <c r="Q667" s="2" t="s">
        <v>6773</v>
      </c>
      <c r="R667" s="3" t="s">
        <v>67</v>
      </c>
      <c r="S667" s="4">
        <v>56</v>
      </c>
      <c r="T667" s="4">
        <v>56</v>
      </c>
      <c r="U667" s="5" t="s">
        <v>6758</v>
      </c>
      <c r="V667" s="5" t="s">
        <v>6758</v>
      </c>
      <c r="W667" s="5" t="s">
        <v>69</v>
      </c>
      <c r="X667" s="5" t="s">
        <v>69</v>
      </c>
      <c r="Y667" s="4">
        <v>469</v>
      </c>
      <c r="Z667" s="4">
        <v>23</v>
      </c>
      <c r="AA667" s="4">
        <v>57</v>
      </c>
      <c r="AB667" s="4">
        <v>3</v>
      </c>
      <c r="AC667" s="4">
        <v>5</v>
      </c>
      <c r="AD667" s="4">
        <v>94</v>
      </c>
      <c r="AE667" s="4">
        <v>143</v>
      </c>
      <c r="AF667" s="4">
        <v>1</v>
      </c>
      <c r="AG667" s="4">
        <v>3</v>
      </c>
      <c r="AH667" s="4">
        <v>81</v>
      </c>
      <c r="AI667" s="4">
        <v>115</v>
      </c>
      <c r="AJ667" s="4">
        <v>11</v>
      </c>
      <c r="AK667" s="4">
        <v>25</v>
      </c>
      <c r="AL667" s="4">
        <v>47</v>
      </c>
      <c r="AM667" s="4">
        <v>61</v>
      </c>
      <c r="AN667" s="4">
        <v>0</v>
      </c>
      <c r="AO667" s="4">
        <v>0</v>
      </c>
      <c r="AP667" s="4">
        <v>18</v>
      </c>
      <c r="AQ667" s="4">
        <v>36</v>
      </c>
      <c r="AR667" s="3" t="s">
        <v>63</v>
      </c>
      <c r="AS667" s="3" t="s">
        <v>63</v>
      </c>
      <c r="AT667" s="3" t="s">
        <v>62</v>
      </c>
      <c r="AU667" s="6" t="str">
        <f>HYPERLINK("http://catalog.hathitrust.org/Record/001061612","HathiTrust Record")</f>
        <v>HathiTrust Record</v>
      </c>
      <c r="AV667" s="6" t="str">
        <f>HYPERLINK("http://mcgill.on.worldcat.org/oclc/22733","Catalog Record")</f>
        <v>Catalog Record</v>
      </c>
      <c r="AW667" s="6" t="str">
        <f>HYPERLINK("http://www.worldcat.org/oclc/22733","WorldCat Record")</f>
        <v>WorldCat Record</v>
      </c>
      <c r="AX667" s="3" t="s">
        <v>6774</v>
      </c>
      <c r="AY667" s="3" t="s">
        <v>6775</v>
      </c>
      <c r="AZ667" s="3" t="s">
        <v>6776</v>
      </c>
      <c r="BA667" s="3" t="s">
        <v>6776</v>
      </c>
      <c r="BB667" s="3" t="s">
        <v>6777</v>
      </c>
      <c r="BC667" s="3" t="s">
        <v>82</v>
      </c>
      <c r="BD667" s="3" t="s">
        <v>70</v>
      </c>
      <c r="BE667" s="3" t="s">
        <v>6778</v>
      </c>
      <c r="BF667" s="3" t="s">
        <v>6777</v>
      </c>
      <c r="BG667" s="3" t="s">
        <v>6779</v>
      </c>
    </row>
    <row r="668" spans="1:59" ht="60" x14ac:dyDescent="0.25">
      <c r="A668" s="2" t="s">
        <v>59</v>
      </c>
      <c r="B668" s="2" t="s">
        <v>60</v>
      </c>
      <c r="C668" s="2" t="s">
        <v>6780</v>
      </c>
      <c r="D668" s="2" t="s">
        <v>6781</v>
      </c>
      <c r="E668" s="2" t="s">
        <v>6782</v>
      </c>
      <c r="G668" s="3" t="s">
        <v>63</v>
      </c>
      <c r="I668" s="3" t="s">
        <v>62</v>
      </c>
      <c r="J668" s="3" t="s">
        <v>62</v>
      </c>
      <c r="K668" s="3" t="s">
        <v>64</v>
      </c>
      <c r="L668" s="2" t="s">
        <v>6770</v>
      </c>
      <c r="M668" s="2" t="s">
        <v>6783</v>
      </c>
      <c r="N668" s="3" t="s">
        <v>247</v>
      </c>
      <c r="O668" s="2" t="s">
        <v>6784</v>
      </c>
      <c r="P668" s="3" t="s">
        <v>66</v>
      </c>
      <c r="R668" s="3" t="s">
        <v>67</v>
      </c>
      <c r="S668" s="4">
        <v>151</v>
      </c>
      <c r="T668" s="4">
        <v>153</v>
      </c>
      <c r="U668" s="5" t="s">
        <v>5994</v>
      </c>
      <c r="V668" s="5" t="s">
        <v>5994</v>
      </c>
      <c r="W668" s="5" t="s">
        <v>69</v>
      </c>
      <c r="X668" s="5" t="s">
        <v>69</v>
      </c>
      <c r="Y668" s="4">
        <v>740</v>
      </c>
      <c r="Z668" s="4">
        <v>44</v>
      </c>
      <c r="AA668" s="4">
        <v>57</v>
      </c>
      <c r="AB668" s="4">
        <v>1</v>
      </c>
      <c r="AC668" s="4">
        <v>5</v>
      </c>
      <c r="AD668" s="4">
        <v>128</v>
      </c>
      <c r="AE668" s="4">
        <v>143</v>
      </c>
      <c r="AF668" s="4">
        <v>0</v>
      </c>
      <c r="AG668" s="4">
        <v>3</v>
      </c>
      <c r="AH668" s="4">
        <v>108</v>
      </c>
      <c r="AI668" s="4">
        <v>115</v>
      </c>
      <c r="AJ668" s="4">
        <v>21</v>
      </c>
      <c r="AK668" s="4">
        <v>25</v>
      </c>
      <c r="AL668" s="4">
        <v>59</v>
      </c>
      <c r="AM668" s="4">
        <v>61</v>
      </c>
      <c r="AN668" s="4">
        <v>0</v>
      </c>
      <c r="AO668" s="4">
        <v>0</v>
      </c>
      <c r="AP668" s="4">
        <v>27</v>
      </c>
      <c r="AQ668" s="4">
        <v>36</v>
      </c>
      <c r="AR668" s="3" t="s">
        <v>63</v>
      </c>
      <c r="AS668" s="3" t="s">
        <v>63</v>
      </c>
      <c r="AT668" s="3" t="s">
        <v>62</v>
      </c>
      <c r="AU668" s="6" t="str">
        <f>HYPERLINK("http://catalog.hathitrust.org/Record/000192493","HathiTrust Record")</f>
        <v>HathiTrust Record</v>
      </c>
      <c r="AV668" s="6" t="str">
        <f>HYPERLINK("http://mcgill.on.worldcat.org/oclc/8345466","Catalog Record")</f>
        <v>Catalog Record</v>
      </c>
      <c r="AW668" s="6" t="str">
        <f>HYPERLINK("http://www.worldcat.org/oclc/8345466","WorldCat Record")</f>
        <v>WorldCat Record</v>
      </c>
      <c r="AX668" s="3" t="s">
        <v>6774</v>
      </c>
      <c r="AY668" s="3" t="s">
        <v>6785</v>
      </c>
      <c r="AZ668" s="3" t="s">
        <v>6786</v>
      </c>
      <c r="BA668" s="3" t="s">
        <v>6786</v>
      </c>
      <c r="BB668" s="3" t="s">
        <v>6787</v>
      </c>
      <c r="BC668" s="3" t="s">
        <v>82</v>
      </c>
      <c r="BD668" s="3" t="s">
        <v>70</v>
      </c>
      <c r="BE668" s="3" t="s">
        <v>6788</v>
      </c>
      <c r="BF668" s="3" t="s">
        <v>6787</v>
      </c>
      <c r="BG668" s="3" t="s">
        <v>6789</v>
      </c>
    </row>
    <row r="669" spans="1:59" ht="60" x14ac:dyDescent="0.25">
      <c r="A669" s="2" t="s">
        <v>59</v>
      </c>
      <c r="B669" s="2" t="s">
        <v>60</v>
      </c>
      <c r="C669" s="2" t="s">
        <v>6780</v>
      </c>
      <c r="D669" s="2" t="s">
        <v>6781</v>
      </c>
      <c r="E669" s="2" t="s">
        <v>6782</v>
      </c>
      <c r="G669" s="3" t="s">
        <v>63</v>
      </c>
      <c r="I669" s="3" t="s">
        <v>62</v>
      </c>
      <c r="J669" s="3" t="s">
        <v>62</v>
      </c>
      <c r="K669" s="3" t="s">
        <v>64</v>
      </c>
      <c r="L669" s="2" t="s">
        <v>6770</v>
      </c>
      <c r="M669" s="2" t="s">
        <v>6783</v>
      </c>
      <c r="N669" s="3" t="s">
        <v>247</v>
      </c>
      <c r="O669" s="2" t="s">
        <v>6784</v>
      </c>
      <c r="P669" s="3" t="s">
        <v>66</v>
      </c>
      <c r="R669" s="3" t="s">
        <v>67</v>
      </c>
      <c r="S669" s="4">
        <v>2</v>
      </c>
      <c r="T669" s="4">
        <v>153</v>
      </c>
      <c r="U669" s="5" t="s">
        <v>4625</v>
      </c>
      <c r="V669" s="5" t="s">
        <v>5994</v>
      </c>
      <c r="W669" s="5" t="s">
        <v>69</v>
      </c>
      <c r="X669" s="5" t="s">
        <v>69</v>
      </c>
      <c r="Y669" s="4">
        <v>740</v>
      </c>
      <c r="Z669" s="4">
        <v>44</v>
      </c>
      <c r="AA669" s="4">
        <v>57</v>
      </c>
      <c r="AB669" s="4">
        <v>1</v>
      </c>
      <c r="AC669" s="4">
        <v>5</v>
      </c>
      <c r="AD669" s="4">
        <v>128</v>
      </c>
      <c r="AE669" s="4">
        <v>143</v>
      </c>
      <c r="AF669" s="4">
        <v>0</v>
      </c>
      <c r="AG669" s="4">
        <v>3</v>
      </c>
      <c r="AH669" s="4">
        <v>108</v>
      </c>
      <c r="AI669" s="4">
        <v>115</v>
      </c>
      <c r="AJ669" s="4">
        <v>21</v>
      </c>
      <c r="AK669" s="4">
        <v>25</v>
      </c>
      <c r="AL669" s="4">
        <v>59</v>
      </c>
      <c r="AM669" s="4">
        <v>61</v>
      </c>
      <c r="AN669" s="4">
        <v>0</v>
      </c>
      <c r="AO669" s="4">
        <v>0</v>
      </c>
      <c r="AP669" s="4">
        <v>27</v>
      </c>
      <c r="AQ669" s="4">
        <v>36</v>
      </c>
      <c r="AR669" s="3" t="s">
        <v>63</v>
      </c>
      <c r="AS669" s="3" t="s">
        <v>63</v>
      </c>
      <c r="AT669" s="3" t="s">
        <v>62</v>
      </c>
      <c r="AU669" s="6" t="str">
        <f>HYPERLINK("http://catalog.hathitrust.org/Record/000192493","HathiTrust Record")</f>
        <v>HathiTrust Record</v>
      </c>
      <c r="AV669" s="6" t="str">
        <f>HYPERLINK("http://mcgill.on.worldcat.org/oclc/8345466","Catalog Record")</f>
        <v>Catalog Record</v>
      </c>
      <c r="AW669" s="6" t="str">
        <f>HYPERLINK("http://www.worldcat.org/oclc/8345466","WorldCat Record")</f>
        <v>WorldCat Record</v>
      </c>
      <c r="AX669" s="3" t="s">
        <v>6774</v>
      </c>
      <c r="AY669" s="3" t="s">
        <v>6785</v>
      </c>
      <c r="AZ669" s="3" t="s">
        <v>6786</v>
      </c>
      <c r="BA669" s="3" t="s">
        <v>6786</v>
      </c>
      <c r="BB669" s="3" t="s">
        <v>6790</v>
      </c>
      <c r="BC669" s="3" t="s">
        <v>82</v>
      </c>
      <c r="BD669" s="3" t="s">
        <v>70</v>
      </c>
      <c r="BE669" s="3" t="s">
        <v>6788</v>
      </c>
      <c r="BF669" s="3" t="s">
        <v>6790</v>
      </c>
      <c r="BG669" s="3" t="s">
        <v>6791</v>
      </c>
    </row>
    <row r="670" spans="1:59" ht="60" x14ac:dyDescent="0.25">
      <c r="A670" s="2" t="s">
        <v>59</v>
      </c>
      <c r="B670" s="2" t="s">
        <v>60</v>
      </c>
      <c r="C670" s="2" t="s">
        <v>6792</v>
      </c>
      <c r="D670" s="2" t="s">
        <v>6793</v>
      </c>
      <c r="E670" s="2" t="s">
        <v>6794</v>
      </c>
      <c r="G670" s="3" t="s">
        <v>63</v>
      </c>
      <c r="I670" s="3" t="s">
        <v>63</v>
      </c>
      <c r="J670" s="3" t="s">
        <v>63</v>
      </c>
      <c r="K670" s="3" t="s">
        <v>64</v>
      </c>
      <c r="L670" s="2" t="s">
        <v>6795</v>
      </c>
      <c r="M670" s="2" t="s">
        <v>6796</v>
      </c>
      <c r="N670" s="3" t="s">
        <v>1343</v>
      </c>
      <c r="P670" s="3" t="s">
        <v>66</v>
      </c>
      <c r="Q670" s="2" t="s">
        <v>6797</v>
      </c>
      <c r="R670" s="3" t="s">
        <v>67</v>
      </c>
      <c r="S670" s="4">
        <v>10</v>
      </c>
      <c r="T670" s="4">
        <v>10</v>
      </c>
      <c r="U670" s="5" t="s">
        <v>2615</v>
      </c>
      <c r="V670" s="5" t="s">
        <v>2615</v>
      </c>
      <c r="W670" s="5" t="s">
        <v>69</v>
      </c>
      <c r="X670" s="5" t="s">
        <v>69</v>
      </c>
      <c r="Y670" s="4">
        <v>129</v>
      </c>
      <c r="Z670" s="4">
        <v>9</v>
      </c>
      <c r="AA670" s="4">
        <v>9</v>
      </c>
      <c r="AB670" s="4">
        <v>2</v>
      </c>
      <c r="AC670" s="4">
        <v>2</v>
      </c>
      <c r="AD670" s="4">
        <v>65</v>
      </c>
      <c r="AE670" s="4">
        <v>65</v>
      </c>
      <c r="AF670" s="4">
        <v>0</v>
      </c>
      <c r="AG670" s="4">
        <v>0</v>
      </c>
      <c r="AH670" s="4">
        <v>61</v>
      </c>
      <c r="AI670" s="4">
        <v>61</v>
      </c>
      <c r="AJ670" s="4">
        <v>6</v>
      </c>
      <c r="AK670" s="4">
        <v>6</v>
      </c>
      <c r="AL670" s="4">
        <v>37</v>
      </c>
      <c r="AM670" s="4">
        <v>37</v>
      </c>
      <c r="AN670" s="4">
        <v>0</v>
      </c>
      <c r="AO670" s="4">
        <v>0</v>
      </c>
      <c r="AP670" s="4">
        <v>6</v>
      </c>
      <c r="AQ670" s="4">
        <v>6</v>
      </c>
      <c r="AR670" s="3" t="s">
        <v>63</v>
      </c>
      <c r="AS670" s="3" t="s">
        <v>63</v>
      </c>
      <c r="AT670" s="3" t="s">
        <v>62</v>
      </c>
      <c r="AU670" s="6" t="str">
        <f>HYPERLINK("http://catalog.hathitrust.org/Record/003505744","HathiTrust Record")</f>
        <v>HathiTrust Record</v>
      </c>
      <c r="AV670" s="6" t="str">
        <f>HYPERLINK("http://mcgill.on.worldcat.org/oclc/44046975","Catalog Record")</f>
        <v>Catalog Record</v>
      </c>
      <c r="AW670" s="6" t="str">
        <f>HYPERLINK("http://www.worldcat.org/oclc/44046975","WorldCat Record")</f>
        <v>WorldCat Record</v>
      </c>
      <c r="AX670" s="3" t="s">
        <v>6798</v>
      </c>
      <c r="AY670" s="3" t="s">
        <v>6799</v>
      </c>
      <c r="AZ670" s="3" t="s">
        <v>6800</v>
      </c>
      <c r="BA670" s="3" t="s">
        <v>6800</v>
      </c>
      <c r="BB670" s="3" t="s">
        <v>6801</v>
      </c>
      <c r="BC670" s="3" t="s">
        <v>82</v>
      </c>
      <c r="BD670" s="3" t="s">
        <v>70</v>
      </c>
      <c r="BE670" s="3" t="s">
        <v>6802</v>
      </c>
      <c r="BF670" s="3" t="s">
        <v>6801</v>
      </c>
      <c r="BG670" s="3" t="s">
        <v>6803</v>
      </c>
    </row>
    <row r="671" spans="1:59" ht="75" x14ac:dyDescent="0.25">
      <c r="A671" s="2" t="s">
        <v>59</v>
      </c>
      <c r="B671" s="2" t="s">
        <v>60</v>
      </c>
      <c r="C671" s="2" t="s">
        <v>6804</v>
      </c>
      <c r="D671" s="2" t="s">
        <v>6805</v>
      </c>
      <c r="E671" s="2" t="s">
        <v>6806</v>
      </c>
      <c r="G671" s="3" t="s">
        <v>63</v>
      </c>
      <c r="I671" s="3" t="s">
        <v>63</v>
      </c>
      <c r="J671" s="3" t="s">
        <v>63</v>
      </c>
      <c r="K671" s="3" t="s">
        <v>64</v>
      </c>
      <c r="M671" s="2" t="s">
        <v>6807</v>
      </c>
      <c r="N671" s="3" t="s">
        <v>2103</v>
      </c>
      <c r="P671" s="3" t="s">
        <v>66</v>
      </c>
      <c r="Q671" s="2" t="s">
        <v>3902</v>
      </c>
      <c r="R671" s="3" t="s">
        <v>67</v>
      </c>
      <c r="S671" s="4">
        <v>2</v>
      </c>
      <c r="T671" s="4">
        <v>2</v>
      </c>
      <c r="U671" s="5" t="s">
        <v>6808</v>
      </c>
      <c r="V671" s="5" t="s">
        <v>6808</v>
      </c>
      <c r="W671" s="5" t="s">
        <v>69</v>
      </c>
      <c r="X671" s="5" t="s">
        <v>69</v>
      </c>
      <c r="Y671" s="4">
        <v>202</v>
      </c>
      <c r="Z671" s="4">
        <v>13</v>
      </c>
      <c r="AA671" s="4">
        <v>14</v>
      </c>
      <c r="AB671" s="4">
        <v>2</v>
      </c>
      <c r="AC671" s="4">
        <v>2</v>
      </c>
      <c r="AD671" s="4">
        <v>87</v>
      </c>
      <c r="AE671" s="4">
        <v>88</v>
      </c>
      <c r="AF671" s="4">
        <v>0</v>
      </c>
      <c r="AG671" s="4">
        <v>0</v>
      </c>
      <c r="AH671" s="4">
        <v>79</v>
      </c>
      <c r="AI671" s="4">
        <v>80</v>
      </c>
      <c r="AJ671" s="4">
        <v>8</v>
      </c>
      <c r="AK671" s="4">
        <v>9</v>
      </c>
      <c r="AL671" s="4">
        <v>54</v>
      </c>
      <c r="AM671" s="4">
        <v>54</v>
      </c>
      <c r="AN671" s="4">
        <v>0</v>
      </c>
      <c r="AO671" s="4">
        <v>0</v>
      </c>
      <c r="AP671" s="4">
        <v>9</v>
      </c>
      <c r="AQ671" s="4">
        <v>10</v>
      </c>
      <c r="AR671" s="3" t="s">
        <v>63</v>
      </c>
      <c r="AS671" s="3" t="s">
        <v>63</v>
      </c>
      <c r="AT671" s="3" t="s">
        <v>62</v>
      </c>
      <c r="AU671" s="6" t="str">
        <f>HYPERLINK("http://catalog.hathitrust.org/Record/004236009","HathiTrust Record")</f>
        <v>HathiTrust Record</v>
      </c>
      <c r="AV671" s="6" t="str">
        <f>HYPERLINK("http://mcgill.on.worldcat.org/oclc/47930772","Catalog Record")</f>
        <v>Catalog Record</v>
      </c>
      <c r="AW671" s="6" t="str">
        <f>HYPERLINK("http://www.worldcat.org/oclc/47930772","WorldCat Record")</f>
        <v>WorldCat Record</v>
      </c>
      <c r="AX671" s="3" t="s">
        <v>6809</v>
      </c>
      <c r="AY671" s="3" t="s">
        <v>6810</v>
      </c>
      <c r="AZ671" s="3" t="s">
        <v>6811</v>
      </c>
      <c r="BA671" s="3" t="s">
        <v>6811</v>
      </c>
      <c r="BB671" s="3" t="s">
        <v>6812</v>
      </c>
      <c r="BC671" s="3" t="s">
        <v>82</v>
      </c>
      <c r="BD671" s="3" t="s">
        <v>70</v>
      </c>
      <c r="BE671" s="3" t="s">
        <v>6813</v>
      </c>
      <c r="BF671" s="3" t="s">
        <v>6812</v>
      </c>
      <c r="BG671" s="3" t="s">
        <v>6814</v>
      </c>
    </row>
    <row r="672" spans="1:59" ht="60" x14ac:dyDescent="0.25">
      <c r="A672" s="2" t="s">
        <v>59</v>
      </c>
      <c r="B672" s="2" t="s">
        <v>60</v>
      </c>
      <c r="C672" s="2" t="s">
        <v>6815</v>
      </c>
      <c r="D672" s="2" t="s">
        <v>6816</v>
      </c>
      <c r="E672" s="2" t="s">
        <v>6817</v>
      </c>
      <c r="G672" s="3" t="s">
        <v>63</v>
      </c>
      <c r="I672" s="3" t="s">
        <v>62</v>
      </c>
      <c r="J672" s="3" t="s">
        <v>63</v>
      </c>
      <c r="K672" s="3" t="s">
        <v>64</v>
      </c>
      <c r="L672" s="2" t="s">
        <v>6818</v>
      </c>
      <c r="M672" s="2" t="s">
        <v>6819</v>
      </c>
      <c r="N672" s="3" t="s">
        <v>1023</v>
      </c>
      <c r="P672" s="3" t="s">
        <v>66</v>
      </c>
      <c r="R672" s="3" t="s">
        <v>67</v>
      </c>
      <c r="S672" s="4">
        <v>33</v>
      </c>
      <c r="T672" s="4">
        <v>35</v>
      </c>
      <c r="U672" s="5" t="s">
        <v>1356</v>
      </c>
      <c r="V672" s="5" t="s">
        <v>6320</v>
      </c>
      <c r="W672" s="5" t="s">
        <v>69</v>
      </c>
      <c r="X672" s="5" t="s">
        <v>69</v>
      </c>
      <c r="Y672" s="4">
        <v>490</v>
      </c>
      <c r="Z672" s="4">
        <v>25</v>
      </c>
      <c r="AA672" s="4">
        <v>26</v>
      </c>
      <c r="AB672" s="4">
        <v>1</v>
      </c>
      <c r="AC672" s="4">
        <v>2</v>
      </c>
      <c r="AD672" s="4">
        <v>114</v>
      </c>
      <c r="AE672" s="4">
        <v>115</v>
      </c>
      <c r="AF672" s="4">
        <v>0</v>
      </c>
      <c r="AG672" s="4">
        <v>1</v>
      </c>
      <c r="AH672" s="4">
        <v>102</v>
      </c>
      <c r="AI672" s="4">
        <v>102</v>
      </c>
      <c r="AJ672" s="4">
        <v>17</v>
      </c>
      <c r="AK672" s="4">
        <v>18</v>
      </c>
      <c r="AL672" s="4">
        <v>56</v>
      </c>
      <c r="AM672" s="4">
        <v>56</v>
      </c>
      <c r="AN672" s="4">
        <v>0</v>
      </c>
      <c r="AO672" s="4">
        <v>0</v>
      </c>
      <c r="AP672" s="4">
        <v>20</v>
      </c>
      <c r="AQ672" s="4">
        <v>20</v>
      </c>
      <c r="AR672" s="3" t="s">
        <v>63</v>
      </c>
      <c r="AS672" s="3" t="s">
        <v>63</v>
      </c>
      <c r="AT672" s="3" t="s">
        <v>62</v>
      </c>
      <c r="AU672" s="6" t="str">
        <f>HYPERLINK("http://catalog.hathitrust.org/Record/002804092","HathiTrust Record")</f>
        <v>HathiTrust Record</v>
      </c>
      <c r="AV672" s="6" t="str">
        <f>HYPERLINK("http://mcgill.on.worldcat.org/oclc/28374780","Catalog Record")</f>
        <v>Catalog Record</v>
      </c>
      <c r="AW672" s="6" t="str">
        <f>HYPERLINK("http://www.worldcat.org/oclc/28374780","WorldCat Record")</f>
        <v>WorldCat Record</v>
      </c>
      <c r="AX672" s="3" t="s">
        <v>6820</v>
      </c>
      <c r="AY672" s="3" t="s">
        <v>6821</v>
      </c>
      <c r="AZ672" s="3" t="s">
        <v>6822</v>
      </c>
      <c r="BA672" s="3" t="s">
        <v>6822</v>
      </c>
      <c r="BB672" s="3" t="s">
        <v>6823</v>
      </c>
      <c r="BC672" s="3" t="s">
        <v>82</v>
      </c>
      <c r="BD672" s="3" t="s">
        <v>70</v>
      </c>
      <c r="BE672" s="3" t="s">
        <v>6824</v>
      </c>
      <c r="BF672" s="3" t="s">
        <v>6823</v>
      </c>
      <c r="BG672" s="3" t="s">
        <v>6825</v>
      </c>
    </row>
    <row r="673" spans="1:59" ht="60" x14ac:dyDescent="0.25">
      <c r="A673" s="2" t="s">
        <v>59</v>
      </c>
      <c r="B673" s="2" t="s">
        <v>60</v>
      </c>
      <c r="C673" s="2" t="s">
        <v>6815</v>
      </c>
      <c r="D673" s="2" t="s">
        <v>6816</v>
      </c>
      <c r="E673" s="2" t="s">
        <v>6817</v>
      </c>
      <c r="G673" s="3" t="s">
        <v>63</v>
      </c>
      <c r="I673" s="3" t="s">
        <v>62</v>
      </c>
      <c r="J673" s="3" t="s">
        <v>63</v>
      </c>
      <c r="K673" s="3" t="s">
        <v>64</v>
      </c>
      <c r="L673" s="2" t="s">
        <v>6818</v>
      </c>
      <c r="M673" s="2" t="s">
        <v>6819</v>
      </c>
      <c r="N673" s="3" t="s">
        <v>1023</v>
      </c>
      <c r="P673" s="3" t="s">
        <v>66</v>
      </c>
      <c r="R673" s="3" t="s">
        <v>67</v>
      </c>
      <c r="S673" s="4">
        <v>2</v>
      </c>
      <c r="T673" s="4">
        <v>35</v>
      </c>
      <c r="U673" s="5" t="s">
        <v>6320</v>
      </c>
      <c r="V673" s="5" t="s">
        <v>6320</v>
      </c>
      <c r="W673" s="5" t="s">
        <v>69</v>
      </c>
      <c r="X673" s="5" t="s">
        <v>69</v>
      </c>
      <c r="Y673" s="4">
        <v>490</v>
      </c>
      <c r="Z673" s="4">
        <v>25</v>
      </c>
      <c r="AA673" s="4">
        <v>26</v>
      </c>
      <c r="AB673" s="4">
        <v>1</v>
      </c>
      <c r="AC673" s="4">
        <v>2</v>
      </c>
      <c r="AD673" s="4">
        <v>114</v>
      </c>
      <c r="AE673" s="4">
        <v>115</v>
      </c>
      <c r="AF673" s="4">
        <v>0</v>
      </c>
      <c r="AG673" s="4">
        <v>1</v>
      </c>
      <c r="AH673" s="4">
        <v>102</v>
      </c>
      <c r="AI673" s="4">
        <v>102</v>
      </c>
      <c r="AJ673" s="4">
        <v>17</v>
      </c>
      <c r="AK673" s="4">
        <v>18</v>
      </c>
      <c r="AL673" s="4">
        <v>56</v>
      </c>
      <c r="AM673" s="4">
        <v>56</v>
      </c>
      <c r="AN673" s="4">
        <v>0</v>
      </c>
      <c r="AO673" s="4">
        <v>0</v>
      </c>
      <c r="AP673" s="4">
        <v>20</v>
      </c>
      <c r="AQ673" s="4">
        <v>20</v>
      </c>
      <c r="AR673" s="3" t="s">
        <v>63</v>
      </c>
      <c r="AS673" s="3" t="s">
        <v>63</v>
      </c>
      <c r="AT673" s="3" t="s">
        <v>62</v>
      </c>
      <c r="AU673" s="6" t="str">
        <f>HYPERLINK("http://catalog.hathitrust.org/Record/002804092","HathiTrust Record")</f>
        <v>HathiTrust Record</v>
      </c>
      <c r="AV673" s="6" t="str">
        <f>HYPERLINK("http://mcgill.on.worldcat.org/oclc/28374780","Catalog Record")</f>
        <v>Catalog Record</v>
      </c>
      <c r="AW673" s="6" t="str">
        <f>HYPERLINK("http://www.worldcat.org/oclc/28374780","WorldCat Record")</f>
        <v>WorldCat Record</v>
      </c>
      <c r="AX673" s="3" t="s">
        <v>6820</v>
      </c>
      <c r="AY673" s="3" t="s">
        <v>6821</v>
      </c>
      <c r="AZ673" s="3" t="s">
        <v>6822</v>
      </c>
      <c r="BA673" s="3" t="s">
        <v>6822</v>
      </c>
      <c r="BB673" s="3" t="s">
        <v>6826</v>
      </c>
      <c r="BC673" s="3" t="s">
        <v>82</v>
      </c>
      <c r="BD673" s="3" t="s">
        <v>70</v>
      </c>
      <c r="BE673" s="3" t="s">
        <v>6824</v>
      </c>
      <c r="BF673" s="3" t="s">
        <v>6826</v>
      </c>
      <c r="BG673" s="3" t="s">
        <v>6827</v>
      </c>
    </row>
    <row r="674" spans="1:59" ht="60" x14ac:dyDescent="0.25">
      <c r="A674" s="2" t="s">
        <v>59</v>
      </c>
      <c r="B674" s="2" t="s">
        <v>60</v>
      </c>
      <c r="C674" s="2" t="s">
        <v>6828</v>
      </c>
      <c r="D674" s="2" t="s">
        <v>6829</v>
      </c>
      <c r="E674" s="2" t="s">
        <v>6830</v>
      </c>
      <c r="G674" s="3" t="s">
        <v>63</v>
      </c>
      <c r="I674" s="3" t="s">
        <v>62</v>
      </c>
      <c r="J674" s="3" t="s">
        <v>63</v>
      </c>
      <c r="K674" s="3" t="s">
        <v>64</v>
      </c>
      <c r="L674" s="2" t="s">
        <v>6831</v>
      </c>
      <c r="M674" s="2" t="s">
        <v>6832</v>
      </c>
      <c r="N674" s="3" t="s">
        <v>2271</v>
      </c>
      <c r="P674" s="3" t="s">
        <v>66</v>
      </c>
      <c r="R674" s="3" t="s">
        <v>67</v>
      </c>
      <c r="S674" s="4">
        <v>11</v>
      </c>
      <c r="T674" s="4">
        <v>40</v>
      </c>
      <c r="U674" s="5" t="s">
        <v>6833</v>
      </c>
      <c r="V674" s="5" t="s">
        <v>6833</v>
      </c>
      <c r="W674" s="5" t="s">
        <v>69</v>
      </c>
      <c r="X674" s="5" t="s">
        <v>69</v>
      </c>
      <c r="Y674" s="4">
        <v>647</v>
      </c>
      <c r="Z674" s="4">
        <v>34</v>
      </c>
      <c r="AA674" s="4">
        <v>37</v>
      </c>
      <c r="AB674" s="4">
        <v>2</v>
      </c>
      <c r="AC674" s="4">
        <v>2</v>
      </c>
      <c r="AD674" s="4">
        <v>114</v>
      </c>
      <c r="AE674" s="4">
        <v>120</v>
      </c>
      <c r="AF674" s="4">
        <v>1</v>
      </c>
      <c r="AG674" s="4">
        <v>1</v>
      </c>
      <c r="AH674" s="4">
        <v>96</v>
      </c>
      <c r="AI674" s="4">
        <v>101</v>
      </c>
      <c r="AJ674" s="4">
        <v>20</v>
      </c>
      <c r="AK674" s="4">
        <v>20</v>
      </c>
      <c r="AL674" s="4">
        <v>52</v>
      </c>
      <c r="AM674" s="4">
        <v>54</v>
      </c>
      <c r="AN674" s="4">
        <v>0</v>
      </c>
      <c r="AO674" s="4">
        <v>5</v>
      </c>
      <c r="AP674" s="4">
        <v>27</v>
      </c>
      <c r="AQ674" s="4">
        <v>28</v>
      </c>
      <c r="AR674" s="3" t="s">
        <v>63</v>
      </c>
      <c r="AS674" s="3" t="s">
        <v>63</v>
      </c>
      <c r="AT674" s="3" t="s">
        <v>62</v>
      </c>
      <c r="AU674" s="6" t="str">
        <f>HYPERLINK("http://catalog.hathitrust.org/Record/001110373","HathiTrust Record")</f>
        <v>HathiTrust Record</v>
      </c>
      <c r="AV674" s="6" t="str">
        <f>HYPERLINK("http://mcgill.on.worldcat.org/oclc/255994","Catalog Record")</f>
        <v>Catalog Record</v>
      </c>
      <c r="AW674" s="6" t="str">
        <f>HYPERLINK("http://www.worldcat.org/oclc/255994","WorldCat Record")</f>
        <v>WorldCat Record</v>
      </c>
      <c r="AX674" s="3" t="s">
        <v>6834</v>
      </c>
      <c r="AY674" s="3" t="s">
        <v>6835</v>
      </c>
      <c r="AZ674" s="3" t="s">
        <v>6836</v>
      </c>
      <c r="BA674" s="3" t="s">
        <v>6836</v>
      </c>
      <c r="BB674" s="3" t="s">
        <v>6837</v>
      </c>
      <c r="BC674" s="3" t="s">
        <v>82</v>
      </c>
      <c r="BD674" s="3" t="s">
        <v>70</v>
      </c>
      <c r="BF674" s="3" t="s">
        <v>6837</v>
      </c>
      <c r="BG674" s="3" t="s">
        <v>6838</v>
      </c>
    </row>
    <row r="675" spans="1:59" ht="60" x14ac:dyDescent="0.25">
      <c r="A675" s="2" t="s">
        <v>59</v>
      </c>
      <c r="B675" s="2" t="s">
        <v>60</v>
      </c>
      <c r="C675" s="2" t="s">
        <v>6828</v>
      </c>
      <c r="D675" s="2" t="s">
        <v>6829</v>
      </c>
      <c r="E675" s="2" t="s">
        <v>6830</v>
      </c>
      <c r="G675" s="3" t="s">
        <v>63</v>
      </c>
      <c r="I675" s="3" t="s">
        <v>62</v>
      </c>
      <c r="J675" s="3" t="s">
        <v>63</v>
      </c>
      <c r="K675" s="3" t="s">
        <v>64</v>
      </c>
      <c r="L675" s="2" t="s">
        <v>6831</v>
      </c>
      <c r="M675" s="2" t="s">
        <v>6832</v>
      </c>
      <c r="N675" s="3" t="s">
        <v>2271</v>
      </c>
      <c r="P675" s="3" t="s">
        <v>66</v>
      </c>
      <c r="R675" s="3" t="s">
        <v>67</v>
      </c>
      <c r="S675" s="4">
        <v>16</v>
      </c>
      <c r="T675" s="4">
        <v>40</v>
      </c>
      <c r="U675" s="5" t="s">
        <v>6839</v>
      </c>
      <c r="V675" s="5" t="s">
        <v>6833</v>
      </c>
      <c r="W675" s="5" t="s">
        <v>69</v>
      </c>
      <c r="X675" s="5" t="s">
        <v>69</v>
      </c>
      <c r="Y675" s="4">
        <v>647</v>
      </c>
      <c r="Z675" s="4">
        <v>34</v>
      </c>
      <c r="AA675" s="4">
        <v>37</v>
      </c>
      <c r="AB675" s="4">
        <v>2</v>
      </c>
      <c r="AC675" s="4">
        <v>2</v>
      </c>
      <c r="AD675" s="4">
        <v>114</v>
      </c>
      <c r="AE675" s="4">
        <v>120</v>
      </c>
      <c r="AF675" s="4">
        <v>1</v>
      </c>
      <c r="AG675" s="4">
        <v>1</v>
      </c>
      <c r="AH675" s="4">
        <v>96</v>
      </c>
      <c r="AI675" s="4">
        <v>101</v>
      </c>
      <c r="AJ675" s="4">
        <v>20</v>
      </c>
      <c r="AK675" s="4">
        <v>20</v>
      </c>
      <c r="AL675" s="4">
        <v>52</v>
      </c>
      <c r="AM675" s="4">
        <v>54</v>
      </c>
      <c r="AN675" s="4">
        <v>0</v>
      </c>
      <c r="AO675" s="4">
        <v>5</v>
      </c>
      <c r="AP675" s="4">
        <v>27</v>
      </c>
      <c r="AQ675" s="4">
        <v>28</v>
      </c>
      <c r="AR675" s="3" t="s">
        <v>63</v>
      </c>
      <c r="AS675" s="3" t="s">
        <v>63</v>
      </c>
      <c r="AT675" s="3" t="s">
        <v>62</v>
      </c>
      <c r="AU675" s="6" t="str">
        <f>HYPERLINK("http://catalog.hathitrust.org/Record/001110373","HathiTrust Record")</f>
        <v>HathiTrust Record</v>
      </c>
      <c r="AV675" s="6" t="str">
        <f>HYPERLINK("http://mcgill.on.worldcat.org/oclc/255994","Catalog Record")</f>
        <v>Catalog Record</v>
      </c>
      <c r="AW675" s="6" t="str">
        <f>HYPERLINK("http://www.worldcat.org/oclc/255994","WorldCat Record")</f>
        <v>WorldCat Record</v>
      </c>
      <c r="AX675" s="3" t="s">
        <v>6834</v>
      </c>
      <c r="AY675" s="3" t="s">
        <v>6835</v>
      </c>
      <c r="AZ675" s="3" t="s">
        <v>6836</v>
      </c>
      <c r="BA675" s="3" t="s">
        <v>6836</v>
      </c>
      <c r="BB675" s="3" t="s">
        <v>6840</v>
      </c>
      <c r="BC675" s="3" t="s">
        <v>82</v>
      </c>
      <c r="BD675" s="3" t="s">
        <v>70</v>
      </c>
      <c r="BF675" s="3" t="s">
        <v>6840</v>
      </c>
      <c r="BG675" s="3" t="s">
        <v>6841</v>
      </c>
    </row>
    <row r="676" spans="1:59" ht="60" x14ac:dyDescent="0.25">
      <c r="A676" s="2" t="s">
        <v>59</v>
      </c>
      <c r="B676" s="2" t="s">
        <v>60</v>
      </c>
      <c r="C676" s="2" t="s">
        <v>6828</v>
      </c>
      <c r="D676" s="2" t="s">
        <v>6829</v>
      </c>
      <c r="E676" s="2" t="s">
        <v>6830</v>
      </c>
      <c r="G676" s="3" t="s">
        <v>63</v>
      </c>
      <c r="I676" s="3" t="s">
        <v>62</v>
      </c>
      <c r="J676" s="3" t="s">
        <v>63</v>
      </c>
      <c r="K676" s="3" t="s">
        <v>64</v>
      </c>
      <c r="L676" s="2" t="s">
        <v>6831</v>
      </c>
      <c r="M676" s="2" t="s">
        <v>6832</v>
      </c>
      <c r="N676" s="3" t="s">
        <v>2271</v>
      </c>
      <c r="P676" s="3" t="s">
        <v>66</v>
      </c>
      <c r="R676" s="3" t="s">
        <v>67</v>
      </c>
      <c r="S676" s="4">
        <v>13</v>
      </c>
      <c r="T676" s="4">
        <v>40</v>
      </c>
      <c r="U676" s="5" t="s">
        <v>6842</v>
      </c>
      <c r="V676" s="5" t="s">
        <v>6833</v>
      </c>
      <c r="W676" s="5" t="s">
        <v>69</v>
      </c>
      <c r="X676" s="5" t="s">
        <v>69</v>
      </c>
      <c r="Y676" s="4">
        <v>647</v>
      </c>
      <c r="Z676" s="4">
        <v>34</v>
      </c>
      <c r="AA676" s="4">
        <v>37</v>
      </c>
      <c r="AB676" s="4">
        <v>2</v>
      </c>
      <c r="AC676" s="4">
        <v>2</v>
      </c>
      <c r="AD676" s="4">
        <v>114</v>
      </c>
      <c r="AE676" s="4">
        <v>120</v>
      </c>
      <c r="AF676" s="4">
        <v>1</v>
      </c>
      <c r="AG676" s="4">
        <v>1</v>
      </c>
      <c r="AH676" s="4">
        <v>96</v>
      </c>
      <c r="AI676" s="4">
        <v>101</v>
      </c>
      <c r="AJ676" s="4">
        <v>20</v>
      </c>
      <c r="AK676" s="4">
        <v>20</v>
      </c>
      <c r="AL676" s="4">
        <v>52</v>
      </c>
      <c r="AM676" s="4">
        <v>54</v>
      </c>
      <c r="AN676" s="4">
        <v>0</v>
      </c>
      <c r="AO676" s="4">
        <v>5</v>
      </c>
      <c r="AP676" s="4">
        <v>27</v>
      </c>
      <c r="AQ676" s="4">
        <v>28</v>
      </c>
      <c r="AR676" s="3" t="s">
        <v>63</v>
      </c>
      <c r="AS676" s="3" t="s">
        <v>63</v>
      </c>
      <c r="AT676" s="3" t="s">
        <v>62</v>
      </c>
      <c r="AU676" s="6" t="str">
        <f>HYPERLINK("http://catalog.hathitrust.org/Record/001110373","HathiTrust Record")</f>
        <v>HathiTrust Record</v>
      </c>
      <c r="AV676" s="6" t="str">
        <f>HYPERLINK("http://mcgill.on.worldcat.org/oclc/255994","Catalog Record")</f>
        <v>Catalog Record</v>
      </c>
      <c r="AW676" s="6" t="str">
        <f>HYPERLINK("http://www.worldcat.org/oclc/255994","WorldCat Record")</f>
        <v>WorldCat Record</v>
      </c>
      <c r="AX676" s="3" t="s">
        <v>6834</v>
      </c>
      <c r="AY676" s="3" t="s">
        <v>6835</v>
      </c>
      <c r="AZ676" s="3" t="s">
        <v>6836</v>
      </c>
      <c r="BA676" s="3" t="s">
        <v>6836</v>
      </c>
      <c r="BB676" s="3" t="s">
        <v>6843</v>
      </c>
      <c r="BC676" s="3" t="s">
        <v>82</v>
      </c>
      <c r="BD676" s="3" t="s">
        <v>70</v>
      </c>
      <c r="BF676" s="3" t="s">
        <v>6843</v>
      </c>
      <c r="BG676" s="3" t="s">
        <v>6844</v>
      </c>
    </row>
    <row r="677" spans="1:59" ht="60" x14ac:dyDescent="0.25">
      <c r="A677" s="2" t="s">
        <v>59</v>
      </c>
      <c r="B677" s="2" t="s">
        <v>60</v>
      </c>
      <c r="C677" s="2" t="s">
        <v>6845</v>
      </c>
      <c r="D677" s="2" t="s">
        <v>6846</v>
      </c>
      <c r="E677" s="2" t="s">
        <v>6847</v>
      </c>
      <c r="G677" s="3" t="s">
        <v>63</v>
      </c>
      <c r="I677" s="3" t="s">
        <v>62</v>
      </c>
      <c r="J677" s="3" t="s">
        <v>63</v>
      </c>
      <c r="K677" s="3" t="s">
        <v>64</v>
      </c>
      <c r="L677" s="2" t="s">
        <v>5914</v>
      </c>
      <c r="M677" s="2" t="s">
        <v>6848</v>
      </c>
      <c r="N677" s="3" t="s">
        <v>849</v>
      </c>
      <c r="P677" s="3" t="s">
        <v>66</v>
      </c>
      <c r="R677" s="3" t="s">
        <v>67</v>
      </c>
      <c r="S677" s="4">
        <v>36</v>
      </c>
      <c r="T677" s="4">
        <v>36</v>
      </c>
      <c r="U677" s="5" t="s">
        <v>6849</v>
      </c>
      <c r="V677" s="5" t="s">
        <v>6849</v>
      </c>
      <c r="W677" s="5" t="s">
        <v>69</v>
      </c>
      <c r="X677" s="5" t="s">
        <v>69</v>
      </c>
      <c r="Y677" s="4">
        <v>195</v>
      </c>
      <c r="Z677" s="4">
        <v>18</v>
      </c>
      <c r="AA677" s="4">
        <v>39</v>
      </c>
      <c r="AB677" s="4">
        <v>2</v>
      </c>
      <c r="AC677" s="4">
        <v>3</v>
      </c>
      <c r="AD677" s="4">
        <v>42</v>
      </c>
      <c r="AE677" s="4">
        <v>128</v>
      </c>
      <c r="AF677" s="4">
        <v>0</v>
      </c>
      <c r="AG677" s="4">
        <v>1</v>
      </c>
      <c r="AH677" s="4">
        <v>37</v>
      </c>
      <c r="AI677" s="4">
        <v>108</v>
      </c>
      <c r="AJ677" s="4">
        <v>9</v>
      </c>
      <c r="AK677" s="4">
        <v>23</v>
      </c>
      <c r="AL677" s="4">
        <v>20</v>
      </c>
      <c r="AM677" s="4">
        <v>58</v>
      </c>
      <c r="AN677" s="4">
        <v>0</v>
      </c>
      <c r="AO677" s="4">
        <v>0</v>
      </c>
      <c r="AP677" s="4">
        <v>9</v>
      </c>
      <c r="AQ677" s="4">
        <v>24</v>
      </c>
      <c r="AR677" s="3" t="s">
        <v>63</v>
      </c>
      <c r="AS677" s="3" t="s">
        <v>63</v>
      </c>
      <c r="AT677" s="3" t="s">
        <v>62</v>
      </c>
      <c r="AU677" s="6" t="str">
        <f>HYPERLINK("http://catalog.hathitrust.org/Record/000756707","HathiTrust Record")</f>
        <v>HathiTrust Record</v>
      </c>
      <c r="AV677" s="6" t="str">
        <f>HYPERLINK("http://mcgill.on.worldcat.org/oclc/5316266","Catalog Record")</f>
        <v>Catalog Record</v>
      </c>
      <c r="AW677" s="6" t="str">
        <f>HYPERLINK("http://www.worldcat.org/oclc/5316266","WorldCat Record")</f>
        <v>WorldCat Record</v>
      </c>
      <c r="AX677" s="3" t="s">
        <v>6850</v>
      </c>
      <c r="AY677" s="3" t="s">
        <v>6851</v>
      </c>
      <c r="AZ677" s="3" t="s">
        <v>6852</v>
      </c>
      <c r="BA677" s="3" t="s">
        <v>6852</v>
      </c>
      <c r="BB677" s="3" t="s">
        <v>6853</v>
      </c>
      <c r="BC677" s="3" t="s">
        <v>82</v>
      </c>
      <c r="BD677" s="3" t="s">
        <v>70</v>
      </c>
      <c r="BE677" s="3" t="s">
        <v>6854</v>
      </c>
      <c r="BF677" s="3" t="s">
        <v>6853</v>
      </c>
      <c r="BG677" s="3" t="s">
        <v>6855</v>
      </c>
    </row>
    <row r="678" spans="1:59" ht="60" x14ac:dyDescent="0.25">
      <c r="A678" s="2" t="s">
        <v>59</v>
      </c>
      <c r="B678" s="2" t="s">
        <v>60</v>
      </c>
      <c r="C678" s="2" t="s">
        <v>6845</v>
      </c>
      <c r="D678" s="2" t="s">
        <v>6846</v>
      </c>
      <c r="E678" s="2" t="s">
        <v>6847</v>
      </c>
      <c r="G678" s="3" t="s">
        <v>63</v>
      </c>
      <c r="I678" s="3" t="s">
        <v>62</v>
      </c>
      <c r="J678" s="3" t="s">
        <v>63</v>
      </c>
      <c r="K678" s="3" t="s">
        <v>64</v>
      </c>
      <c r="L678" s="2" t="s">
        <v>5914</v>
      </c>
      <c r="M678" s="2" t="s">
        <v>6848</v>
      </c>
      <c r="N678" s="3" t="s">
        <v>849</v>
      </c>
      <c r="P678" s="3" t="s">
        <v>66</v>
      </c>
      <c r="R678" s="3" t="s">
        <v>67</v>
      </c>
      <c r="S678" s="4">
        <v>0</v>
      </c>
      <c r="T678" s="4">
        <v>36</v>
      </c>
      <c r="V678" s="5" t="s">
        <v>6849</v>
      </c>
      <c r="W678" s="5" t="s">
        <v>69</v>
      </c>
      <c r="X678" s="5" t="s">
        <v>69</v>
      </c>
      <c r="Y678" s="4">
        <v>195</v>
      </c>
      <c r="Z678" s="4">
        <v>18</v>
      </c>
      <c r="AA678" s="4">
        <v>39</v>
      </c>
      <c r="AB678" s="4">
        <v>2</v>
      </c>
      <c r="AC678" s="4">
        <v>3</v>
      </c>
      <c r="AD678" s="4">
        <v>42</v>
      </c>
      <c r="AE678" s="4">
        <v>128</v>
      </c>
      <c r="AF678" s="4">
        <v>0</v>
      </c>
      <c r="AG678" s="4">
        <v>1</v>
      </c>
      <c r="AH678" s="4">
        <v>37</v>
      </c>
      <c r="AI678" s="4">
        <v>108</v>
      </c>
      <c r="AJ678" s="4">
        <v>9</v>
      </c>
      <c r="AK678" s="4">
        <v>23</v>
      </c>
      <c r="AL678" s="4">
        <v>20</v>
      </c>
      <c r="AM678" s="4">
        <v>58</v>
      </c>
      <c r="AN678" s="4">
        <v>0</v>
      </c>
      <c r="AO678" s="4">
        <v>0</v>
      </c>
      <c r="AP678" s="4">
        <v>9</v>
      </c>
      <c r="AQ678" s="4">
        <v>24</v>
      </c>
      <c r="AR678" s="3" t="s">
        <v>63</v>
      </c>
      <c r="AS678" s="3" t="s">
        <v>63</v>
      </c>
      <c r="AT678" s="3" t="s">
        <v>62</v>
      </c>
      <c r="AU678" s="6" t="str">
        <f>HYPERLINK("http://catalog.hathitrust.org/Record/000756707","HathiTrust Record")</f>
        <v>HathiTrust Record</v>
      </c>
      <c r="AV678" s="6" t="str">
        <f>HYPERLINK("http://mcgill.on.worldcat.org/oclc/5316266","Catalog Record")</f>
        <v>Catalog Record</v>
      </c>
      <c r="AW678" s="6" t="str">
        <f>HYPERLINK("http://www.worldcat.org/oclc/5316266","WorldCat Record")</f>
        <v>WorldCat Record</v>
      </c>
      <c r="AX678" s="3" t="s">
        <v>6850</v>
      </c>
      <c r="AY678" s="3" t="s">
        <v>6851</v>
      </c>
      <c r="AZ678" s="3" t="s">
        <v>6852</v>
      </c>
      <c r="BA678" s="3" t="s">
        <v>6852</v>
      </c>
      <c r="BB678" s="3" t="s">
        <v>6856</v>
      </c>
      <c r="BC678" s="3" t="s">
        <v>82</v>
      </c>
      <c r="BD678" s="3" t="s">
        <v>70</v>
      </c>
      <c r="BE678" s="3" t="s">
        <v>6854</v>
      </c>
      <c r="BF678" s="3" t="s">
        <v>6856</v>
      </c>
      <c r="BG678" s="3" t="s">
        <v>6857</v>
      </c>
    </row>
    <row r="679" spans="1:59" ht="60" x14ac:dyDescent="0.25">
      <c r="A679" s="2" t="s">
        <v>59</v>
      </c>
      <c r="B679" s="2" t="s">
        <v>60</v>
      </c>
      <c r="C679" s="2" t="s">
        <v>6858</v>
      </c>
      <c r="D679" s="2" t="s">
        <v>6859</v>
      </c>
      <c r="E679" s="2" t="s">
        <v>6860</v>
      </c>
      <c r="G679" s="3" t="s">
        <v>63</v>
      </c>
      <c r="I679" s="3" t="s">
        <v>63</v>
      </c>
      <c r="J679" s="3" t="s">
        <v>63</v>
      </c>
      <c r="K679" s="3" t="s">
        <v>64</v>
      </c>
      <c r="M679" s="2" t="s">
        <v>6861</v>
      </c>
      <c r="N679" s="3" t="s">
        <v>706</v>
      </c>
      <c r="P679" s="3" t="s">
        <v>66</v>
      </c>
      <c r="R679" s="3" t="s">
        <v>67</v>
      </c>
      <c r="S679" s="4">
        <v>42</v>
      </c>
      <c r="T679" s="4">
        <v>42</v>
      </c>
      <c r="U679" s="5" t="s">
        <v>4192</v>
      </c>
      <c r="V679" s="5" t="s">
        <v>4192</v>
      </c>
      <c r="W679" s="5" t="s">
        <v>69</v>
      </c>
      <c r="X679" s="5" t="s">
        <v>69</v>
      </c>
      <c r="Y679" s="4">
        <v>319</v>
      </c>
      <c r="Z679" s="4">
        <v>19</v>
      </c>
      <c r="AA679" s="4">
        <v>20</v>
      </c>
      <c r="AB679" s="4">
        <v>1</v>
      </c>
      <c r="AC679" s="4">
        <v>2</v>
      </c>
      <c r="AD679" s="4">
        <v>114</v>
      </c>
      <c r="AE679" s="4">
        <v>115</v>
      </c>
      <c r="AF679" s="4">
        <v>0</v>
      </c>
      <c r="AG679" s="4">
        <v>1</v>
      </c>
      <c r="AH679" s="4">
        <v>105</v>
      </c>
      <c r="AI679" s="4">
        <v>105</v>
      </c>
      <c r="AJ679" s="4">
        <v>17</v>
      </c>
      <c r="AK679" s="4">
        <v>18</v>
      </c>
      <c r="AL679" s="4">
        <v>56</v>
      </c>
      <c r="AM679" s="4">
        <v>56</v>
      </c>
      <c r="AN679" s="4">
        <v>0</v>
      </c>
      <c r="AO679" s="4">
        <v>0</v>
      </c>
      <c r="AP679" s="4">
        <v>17</v>
      </c>
      <c r="AQ679" s="4">
        <v>17</v>
      </c>
      <c r="AR679" s="3" t="s">
        <v>63</v>
      </c>
      <c r="AS679" s="3" t="s">
        <v>63</v>
      </c>
      <c r="AT679" s="3" t="s">
        <v>63</v>
      </c>
      <c r="AV679" s="6" t="str">
        <f>HYPERLINK("http://mcgill.on.worldcat.org/oclc/12947544","Catalog Record")</f>
        <v>Catalog Record</v>
      </c>
      <c r="AW679" s="6" t="str">
        <f>HYPERLINK("http://www.worldcat.org/oclc/12947544","WorldCat Record")</f>
        <v>WorldCat Record</v>
      </c>
      <c r="AX679" s="3" t="s">
        <v>6862</v>
      </c>
      <c r="AY679" s="3" t="s">
        <v>6863</v>
      </c>
      <c r="AZ679" s="3" t="s">
        <v>6864</v>
      </c>
      <c r="BA679" s="3" t="s">
        <v>6864</v>
      </c>
      <c r="BB679" s="3" t="s">
        <v>6865</v>
      </c>
      <c r="BC679" s="3" t="s">
        <v>82</v>
      </c>
      <c r="BD679" s="3" t="s">
        <v>70</v>
      </c>
      <c r="BE679" s="3" t="s">
        <v>6866</v>
      </c>
      <c r="BF679" s="3" t="s">
        <v>6865</v>
      </c>
      <c r="BG679" s="3" t="s">
        <v>6867</v>
      </c>
    </row>
    <row r="680" spans="1:59" ht="60" x14ac:dyDescent="0.25">
      <c r="A680" s="2" t="s">
        <v>59</v>
      </c>
      <c r="B680" s="2" t="s">
        <v>60</v>
      </c>
      <c r="C680" s="2" t="s">
        <v>6868</v>
      </c>
      <c r="D680" s="2" t="s">
        <v>6869</v>
      </c>
      <c r="E680" s="2" t="s">
        <v>6870</v>
      </c>
      <c r="G680" s="3" t="s">
        <v>63</v>
      </c>
      <c r="I680" s="3" t="s">
        <v>63</v>
      </c>
      <c r="J680" s="3" t="s">
        <v>63</v>
      </c>
      <c r="K680" s="3" t="s">
        <v>64</v>
      </c>
      <c r="L680" s="2" t="s">
        <v>6871</v>
      </c>
      <c r="M680" s="2" t="s">
        <v>6872</v>
      </c>
      <c r="N680" s="3" t="s">
        <v>531</v>
      </c>
      <c r="P680" s="3" t="s">
        <v>66</v>
      </c>
      <c r="R680" s="3" t="s">
        <v>67</v>
      </c>
      <c r="S680" s="4">
        <v>12</v>
      </c>
      <c r="T680" s="4">
        <v>12</v>
      </c>
      <c r="U680" s="5" t="s">
        <v>6873</v>
      </c>
      <c r="V680" s="5" t="s">
        <v>6873</v>
      </c>
      <c r="W680" s="5" t="s">
        <v>69</v>
      </c>
      <c r="X680" s="5" t="s">
        <v>69</v>
      </c>
      <c r="Y680" s="4">
        <v>319</v>
      </c>
      <c r="Z680" s="4">
        <v>20</v>
      </c>
      <c r="AA680" s="4">
        <v>21</v>
      </c>
      <c r="AB680" s="4">
        <v>1</v>
      </c>
      <c r="AC680" s="4">
        <v>2</v>
      </c>
      <c r="AD680" s="4">
        <v>111</v>
      </c>
      <c r="AE680" s="4">
        <v>112</v>
      </c>
      <c r="AF680" s="4">
        <v>0</v>
      </c>
      <c r="AG680" s="4">
        <v>1</v>
      </c>
      <c r="AH680" s="4">
        <v>101</v>
      </c>
      <c r="AI680" s="4">
        <v>101</v>
      </c>
      <c r="AJ680" s="4">
        <v>15</v>
      </c>
      <c r="AK680" s="4">
        <v>16</v>
      </c>
      <c r="AL680" s="4">
        <v>55</v>
      </c>
      <c r="AM680" s="4">
        <v>55</v>
      </c>
      <c r="AN680" s="4">
        <v>0</v>
      </c>
      <c r="AO680" s="4">
        <v>0</v>
      </c>
      <c r="AP680" s="4">
        <v>16</v>
      </c>
      <c r="AQ680" s="4">
        <v>17</v>
      </c>
      <c r="AR680" s="3" t="s">
        <v>63</v>
      </c>
      <c r="AS680" s="3" t="s">
        <v>63</v>
      </c>
      <c r="AT680" s="3" t="s">
        <v>62</v>
      </c>
      <c r="AU680" s="6" t="str">
        <f>HYPERLINK("http://catalog.hathitrust.org/Record/002607997","HathiTrust Record")</f>
        <v>HathiTrust Record</v>
      </c>
      <c r="AV680" s="6" t="str">
        <f>HYPERLINK("http://mcgill.on.worldcat.org/oclc/25787305","Catalog Record")</f>
        <v>Catalog Record</v>
      </c>
      <c r="AW680" s="6" t="str">
        <f>HYPERLINK("http://www.worldcat.org/oclc/25787305","WorldCat Record")</f>
        <v>WorldCat Record</v>
      </c>
      <c r="AX680" s="3" t="s">
        <v>6874</v>
      </c>
      <c r="AY680" s="3" t="s">
        <v>6875</v>
      </c>
      <c r="AZ680" s="3" t="s">
        <v>6876</v>
      </c>
      <c r="BA680" s="3" t="s">
        <v>6876</v>
      </c>
      <c r="BB680" s="3" t="s">
        <v>6877</v>
      </c>
      <c r="BC680" s="3" t="s">
        <v>82</v>
      </c>
      <c r="BD680" s="3" t="s">
        <v>70</v>
      </c>
      <c r="BE680" s="3" t="s">
        <v>6878</v>
      </c>
      <c r="BF680" s="3" t="s">
        <v>6877</v>
      </c>
      <c r="BG680" s="3" t="s">
        <v>6879</v>
      </c>
    </row>
    <row r="681" spans="1:59" ht="60" x14ac:dyDescent="0.25">
      <c r="A681" s="2" t="s">
        <v>59</v>
      </c>
      <c r="B681" s="2" t="s">
        <v>60</v>
      </c>
      <c r="C681" s="2" t="s">
        <v>6880</v>
      </c>
      <c r="D681" s="2" t="s">
        <v>6881</v>
      </c>
      <c r="E681" s="2" t="s">
        <v>6882</v>
      </c>
      <c r="G681" s="3" t="s">
        <v>63</v>
      </c>
      <c r="I681" s="3" t="s">
        <v>63</v>
      </c>
      <c r="J681" s="3" t="s">
        <v>63</v>
      </c>
      <c r="K681" s="3" t="s">
        <v>64</v>
      </c>
      <c r="M681" s="2" t="s">
        <v>6883</v>
      </c>
      <c r="N681" s="3" t="s">
        <v>274</v>
      </c>
      <c r="P681" s="3" t="s">
        <v>66</v>
      </c>
      <c r="R681" s="3" t="s">
        <v>67</v>
      </c>
      <c r="S681" s="4">
        <v>11</v>
      </c>
      <c r="T681" s="4">
        <v>11</v>
      </c>
      <c r="U681" s="5" t="s">
        <v>4990</v>
      </c>
      <c r="V681" s="5" t="s">
        <v>4990</v>
      </c>
      <c r="W681" s="5" t="s">
        <v>69</v>
      </c>
      <c r="X681" s="5" t="s">
        <v>69</v>
      </c>
      <c r="Y681" s="4">
        <v>99</v>
      </c>
      <c r="Z681" s="4">
        <v>11</v>
      </c>
      <c r="AA681" s="4">
        <v>11</v>
      </c>
      <c r="AB681" s="4">
        <v>1</v>
      </c>
      <c r="AC681" s="4">
        <v>1</v>
      </c>
      <c r="AD681" s="4">
        <v>55</v>
      </c>
      <c r="AE681" s="4">
        <v>55</v>
      </c>
      <c r="AF681" s="4">
        <v>0</v>
      </c>
      <c r="AG681" s="4">
        <v>0</v>
      </c>
      <c r="AH681" s="4">
        <v>48</v>
      </c>
      <c r="AI681" s="4">
        <v>48</v>
      </c>
      <c r="AJ681" s="4">
        <v>9</v>
      </c>
      <c r="AK681" s="4">
        <v>9</v>
      </c>
      <c r="AL681" s="4">
        <v>35</v>
      </c>
      <c r="AM681" s="4">
        <v>35</v>
      </c>
      <c r="AN681" s="4">
        <v>0</v>
      </c>
      <c r="AO681" s="4">
        <v>0</v>
      </c>
      <c r="AP681" s="4">
        <v>9</v>
      </c>
      <c r="AQ681" s="4">
        <v>9</v>
      </c>
      <c r="AR681" s="3" t="s">
        <v>63</v>
      </c>
      <c r="AS681" s="3" t="s">
        <v>63</v>
      </c>
      <c r="AT681" s="3" t="s">
        <v>62</v>
      </c>
      <c r="AU681" s="6" t="str">
        <f>HYPERLINK("http://catalog.hathitrust.org/Record/004067539","HathiTrust Record")</f>
        <v>HathiTrust Record</v>
      </c>
      <c r="AV681" s="6" t="str">
        <f>HYPERLINK("http://mcgill.on.worldcat.org/oclc/42406782","Catalog Record")</f>
        <v>Catalog Record</v>
      </c>
      <c r="AW681" s="6" t="str">
        <f>HYPERLINK("http://www.worldcat.org/oclc/42406782","WorldCat Record")</f>
        <v>WorldCat Record</v>
      </c>
      <c r="AX681" s="3" t="s">
        <v>6884</v>
      </c>
      <c r="AY681" s="3" t="s">
        <v>6885</v>
      </c>
      <c r="AZ681" s="3" t="s">
        <v>6886</v>
      </c>
      <c r="BA681" s="3" t="s">
        <v>6886</v>
      </c>
      <c r="BB681" s="3" t="s">
        <v>6887</v>
      </c>
      <c r="BC681" s="3" t="s">
        <v>82</v>
      </c>
      <c r="BD681" s="3" t="s">
        <v>70</v>
      </c>
      <c r="BE681" s="3" t="s">
        <v>6888</v>
      </c>
      <c r="BF681" s="3" t="s">
        <v>6887</v>
      </c>
      <c r="BG681" s="3" t="s">
        <v>6889</v>
      </c>
    </row>
    <row r="682" spans="1:59" ht="60" x14ac:dyDescent="0.25">
      <c r="A682" s="2" t="s">
        <v>59</v>
      </c>
      <c r="B682" s="2" t="s">
        <v>60</v>
      </c>
      <c r="C682" s="2" t="s">
        <v>6890</v>
      </c>
      <c r="D682" s="2" t="s">
        <v>6891</v>
      </c>
      <c r="E682" s="2" t="s">
        <v>6892</v>
      </c>
      <c r="G682" s="3" t="s">
        <v>63</v>
      </c>
      <c r="I682" s="3" t="s">
        <v>63</v>
      </c>
      <c r="J682" s="3" t="s">
        <v>63</v>
      </c>
      <c r="K682" s="3" t="s">
        <v>64</v>
      </c>
      <c r="L682" s="2" t="s">
        <v>6893</v>
      </c>
      <c r="M682" s="2" t="s">
        <v>6894</v>
      </c>
      <c r="N682" s="3" t="s">
        <v>1402</v>
      </c>
      <c r="P682" s="3" t="s">
        <v>66</v>
      </c>
      <c r="Q682" s="2" t="s">
        <v>6895</v>
      </c>
      <c r="R682" s="3" t="s">
        <v>67</v>
      </c>
      <c r="S682" s="4">
        <v>9</v>
      </c>
      <c r="T682" s="4">
        <v>9</v>
      </c>
      <c r="U682" s="5" t="s">
        <v>3861</v>
      </c>
      <c r="V682" s="5" t="s">
        <v>3861</v>
      </c>
      <c r="W682" s="5" t="s">
        <v>69</v>
      </c>
      <c r="X682" s="5" t="s">
        <v>69</v>
      </c>
      <c r="Y682" s="4">
        <v>605</v>
      </c>
      <c r="Z682" s="4">
        <v>23</v>
      </c>
      <c r="AA682" s="4">
        <v>46</v>
      </c>
      <c r="AB682" s="4">
        <v>1</v>
      </c>
      <c r="AC682" s="4">
        <v>5</v>
      </c>
      <c r="AD682" s="4">
        <v>96</v>
      </c>
      <c r="AE682" s="4">
        <v>135</v>
      </c>
      <c r="AF682" s="4">
        <v>0</v>
      </c>
      <c r="AG682" s="4">
        <v>3</v>
      </c>
      <c r="AH682" s="4">
        <v>83</v>
      </c>
      <c r="AI682" s="4">
        <v>108</v>
      </c>
      <c r="AJ682" s="4">
        <v>11</v>
      </c>
      <c r="AK682" s="4">
        <v>24</v>
      </c>
      <c r="AL682" s="4">
        <v>49</v>
      </c>
      <c r="AM682" s="4">
        <v>59</v>
      </c>
      <c r="AN682" s="4">
        <v>0</v>
      </c>
      <c r="AO682" s="4">
        <v>0</v>
      </c>
      <c r="AP682" s="4">
        <v>15</v>
      </c>
      <c r="AQ682" s="4">
        <v>34</v>
      </c>
      <c r="AR682" s="3" t="s">
        <v>63</v>
      </c>
      <c r="AS682" s="3" t="s">
        <v>63</v>
      </c>
      <c r="AT682" s="3" t="s">
        <v>62</v>
      </c>
      <c r="AU682" s="6" t="str">
        <f>HYPERLINK("http://catalog.hathitrust.org/Record/007128775","HathiTrust Record")</f>
        <v>HathiTrust Record</v>
      </c>
      <c r="AV682" s="6" t="str">
        <f>HYPERLINK("http://mcgill.on.worldcat.org/oclc/321982","Catalog Record")</f>
        <v>Catalog Record</v>
      </c>
      <c r="AW682" s="6" t="str">
        <f>HYPERLINK("http://www.worldcat.org/oclc/321982","WorldCat Record")</f>
        <v>WorldCat Record</v>
      </c>
      <c r="AX682" s="3" t="s">
        <v>6896</v>
      </c>
      <c r="AY682" s="3" t="s">
        <v>6897</v>
      </c>
      <c r="AZ682" s="3" t="s">
        <v>6898</v>
      </c>
      <c r="BA682" s="3" t="s">
        <v>6898</v>
      </c>
      <c r="BB682" s="3" t="s">
        <v>6899</v>
      </c>
      <c r="BC682" s="3" t="s">
        <v>82</v>
      </c>
      <c r="BD682" s="3" t="s">
        <v>70</v>
      </c>
      <c r="BF682" s="3" t="s">
        <v>6899</v>
      </c>
      <c r="BG682" s="3" t="s">
        <v>6900</v>
      </c>
    </row>
    <row r="683" spans="1:59" ht="60" x14ac:dyDescent="0.25">
      <c r="A683" s="2" t="s">
        <v>59</v>
      </c>
      <c r="B683" s="2" t="s">
        <v>60</v>
      </c>
      <c r="C683" s="2" t="s">
        <v>6901</v>
      </c>
      <c r="D683" s="2" t="s">
        <v>6902</v>
      </c>
      <c r="E683" s="2" t="s">
        <v>6903</v>
      </c>
      <c r="G683" s="3" t="s">
        <v>63</v>
      </c>
      <c r="I683" s="3" t="s">
        <v>62</v>
      </c>
      <c r="J683" s="3" t="s">
        <v>62</v>
      </c>
      <c r="K683" s="3" t="s">
        <v>64</v>
      </c>
      <c r="L683" s="2" t="s">
        <v>5991</v>
      </c>
      <c r="M683" s="2" t="s">
        <v>6904</v>
      </c>
      <c r="N683" s="3" t="s">
        <v>300</v>
      </c>
      <c r="P683" s="3" t="s">
        <v>66</v>
      </c>
      <c r="R683" s="3" t="s">
        <v>67</v>
      </c>
      <c r="S683" s="4">
        <v>0</v>
      </c>
      <c r="T683" s="4">
        <v>39</v>
      </c>
      <c r="V683" s="5" t="s">
        <v>2272</v>
      </c>
      <c r="W683" s="5" t="s">
        <v>69</v>
      </c>
      <c r="X683" s="5" t="s">
        <v>69</v>
      </c>
      <c r="Y683" s="4">
        <v>1083</v>
      </c>
      <c r="Z683" s="4">
        <v>39</v>
      </c>
      <c r="AA683" s="4">
        <v>64</v>
      </c>
      <c r="AB683" s="4">
        <v>3</v>
      </c>
      <c r="AC683" s="4">
        <v>8</v>
      </c>
      <c r="AD683" s="4">
        <v>125</v>
      </c>
      <c r="AE683" s="4">
        <v>147</v>
      </c>
      <c r="AF683" s="4">
        <v>1</v>
      </c>
      <c r="AG683" s="4">
        <v>6</v>
      </c>
      <c r="AH683" s="4">
        <v>101</v>
      </c>
      <c r="AI683" s="4">
        <v>112</v>
      </c>
      <c r="AJ683" s="4">
        <v>20</v>
      </c>
      <c r="AK683" s="4">
        <v>27</v>
      </c>
      <c r="AL683" s="4">
        <v>55</v>
      </c>
      <c r="AM683" s="4">
        <v>60</v>
      </c>
      <c r="AN683" s="4">
        <v>0</v>
      </c>
      <c r="AO683" s="4">
        <v>0</v>
      </c>
      <c r="AP683" s="4">
        <v>29</v>
      </c>
      <c r="AQ683" s="4">
        <v>42</v>
      </c>
      <c r="AR683" s="3" t="s">
        <v>63</v>
      </c>
      <c r="AS683" s="3" t="s">
        <v>63</v>
      </c>
      <c r="AT683" s="3" t="s">
        <v>62</v>
      </c>
      <c r="AU683" s="6" t="str">
        <f>HYPERLINK("http://catalog.hathitrust.org/Record/000980753","HathiTrust Record")</f>
        <v>HathiTrust Record</v>
      </c>
      <c r="AV683" s="6" t="str">
        <f>HYPERLINK("http://mcgill.on.worldcat.org/oclc/268794","Catalog Record")</f>
        <v>Catalog Record</v>
      </c>
      <c r="AW683" s="6" t="str">
        <f>HYPERLINK("http://www.worldcat.org/oclc/268794","WorldCat Record")</f>
        <v>WorldCat Record</v>
      </c>
      <c r="AX683" s="3" t="s">
        <v>6905</v>
      </c>
      <c r="AY683" s="3" t="s">
        <v>6906</v>
      </c>
      <c r="AZ683" s="3" t="s">
        <v>6907</v>
      </c>
      <c r="BA683" s="3" t="s">
        <v>6907</v>
      </c>
      <c r="BB683" s="3" t="s">
        <v>6908</v>
      </c>
      <c r="BC683" s="3" t="s">
        <v>82</v>
      </c>
      <c r="BD683" s="3" t="s">
        <v>70</v>
      </c>
      <c r="BF683" s="3" t="s">
        <v>6908</v>
      </c>
      <c r="BG683" s="3" t="s">
        <v>6909</v>
      </c>
    </row>
    <row r="684" spans="1:59" ht="60" x14ac:dyDescent="0.25">
      <c r="A684" s="2" t="s">
        <v>59</v>
      </c>
      <c r="B684" s="2" t="s">
        <v>60</v>
      </c>
      <c r="C684" s="2" t="s">
        <v>6901</v>
      </c>
      <c r="D684" s="2" t="s">
        <v>6902</v>
      </c>
      <c r="E684" s="2" t="s">
        <v>6903</v>
      </c>
      <c r="G684" s="3" t="s">
        <v>63</v>
      </c>
      <c r="I684" s="3" t="s">
        <v>62</v>
      </c>
      <c r="J684" s="3" t="s">
        <v>62</v>
      </c>
      <c r="K684" s="3" t="s">
        <v>64</v>
      </c>
      <c r="L684" s="2" t="s">
        <v>5991</v>
      </c>
      <c r="M684" s="2" t="s">
        <v>6904</v>
      </c>
      <c r="N684" s="3" t="s">
        <v>300</v>
      </c>
      <c r="P684" s="3" t="s">
        <v>66</v>
      </c>
      <c r="R684" s="3" t="s">
        <v>67</v>
      </c>
      <c r="S684" s="4">
        <v>0</v>
      </c>
      <c r="T684" s="4">
        <v>39</v>
      </c>
      <c r="V684" s="5" t="s">
        <v>2272</v>
      </c>
      <c r="W684" s="5" t="s">
        <v>69</v>
      </c>
      <c r="X684" s="5" t="s">
        <v>69</v>
      </c>
      <c r="Y684" s="4">
        <v>1083</v>
      </c>
      <c r="Z684" s="4">
        <v>39</v>
      </c>
      <c r="AA684" s="4">
        <v>64</v>
      </c>
      <c r="AB684" s="4">
        <v>3</v>
      </c>
      <c r="AC684" s="4">
        <v>8</v>
      </c>
      <c r="AD684" s="4">
        <v>125</v>
      </c>
      <c r="AE684" s="4">
        <v>147</v>
      </c>
      <c r="AF684" s="4">
        <v>1</v>
      </c>
      <c r="AG684" s="4">
        <v>6</v>
      </c>
      <c r="AH684" s="4">
        <v>101</v>
      </c>
      <c r="AI684" s="4">
        <v>112</v>
      </c>
      <c r="AJ684" s="4">
        <v>20</v>
      </c>
      <c r="AK684" s="4">
        <v>27</v>
      </c>
      <c r="AL684" s="4">
        <v>55</v>
      </c>
      <c r="AM684" s="4">
        <v>60</v>
      </c>
      <c r="AN684" s="4">
        <v>0</v>
      </c>
      <c r="AO684" s="4">
        <v>0</v>
      </c>
      <c r="AP684" s="4">
        <v>29</v>
      </c>
      <c r="AQ684" s="4">
        <v>42</v>
      </c>
      <c r="AR684" s="3" t="s">
        <v>63</v>
      </c>
      <c r="AS684" s="3" t="s">
        <v>63</v>
      </c>
      <c r="AT684" s="3" t="s">
        <v>62</v>
      </c>
      <c r="AU684" s="6" t="str">
        <f>HYPERLINK("http://catalog.hathitrust.org/Record/000980753","HathiTrust Record")</f>
        <v>HathiTrust Record</v>
      </c>
      <c r="AV684" s="6" t="str">
        <f>HYPERLINK("http://mcgill.on.worldcat.org/oclc/268794","Catalog Record")</f>
        <v>Catalog Record</v>
      </c>
      <c r="AW684" s="6" t="str">
        <f>HYPERLINK("http://www.worldcat.org/oclc/268794","WorldCat Record")</f>
        <v>WorldCat Record</v>
      </c>
      <c r="AX684" s="3" t="s">
        <v>6905</v>
      </c>
      <c r="AY684" s="3" t="s">
        <v>6906</v>
      </c>
      <c r="AZ684" s="3" t="s">
        <v>6907</v>
      </c>
      <c r="BA684" s="3" t="s">
        <v>6907</v>
      </c>
      <c r="BB684" s="3" t="s">
        <v>6910</v>
      </c>
      <c r="BC684" s="3" t="s">
        <v>82</v>
      </c>
      <c r="BD684" s="3" t="s">
        <v>70</v>
      </c>
      <c r="BF684" s="3" t="s">
        <v>6910</v>
      </c>
      <c r="BG684" s="3" t="s">
        <v>6911</v>
      </c>
    </row>
    <row r="685" spans="1:59" ht="60" x14ac:dyDescent="0.25">
      <c r="A685" s="2" t="s">
        <v>59</v>
      </c>
      <c r="B685" s="2" t="s">
        <v>60</v>
      </c>
      <c r="C685" s="2" t="s">
        <v>6901</v>
      </c>
      <c r="D685" s="2" t="s">
        <v>6902</v>
      </c>
      <c r="E685" s="2" t="s">
        <v>6903</v>
      </c>
      <c r="G685" s="3" t="s">
        <v>63</v>
      </c>
      <c r="I685" s="3" t="s">
        <v>62</v>
      </c>
      <c r="J685" s="3" t="s">
        <v>62</v>
      </c>
      <c r="K685" s="3" t="s">
        <v>64</v>
      </c>
      <c r="L685" s="2" t="s">
        <v>5991</v>
      </c>
      <c r="M685" s="2" t="s">
        <v>6904</v>
      </c>
      <c r="N685" s="3" t="s">
        <v>300</v>
      </c>
      <c r="P685" s="3" t="s">
        <v>66</v>
      </c>
      <c r="R685" s="3" t="s">
        <v>67</v>
      </c>
      <c r="S685" s="4">
        <v>26</v>
      </c>
      <c r="T685" s="4">
        <v>39</v>
      </c>
      <c r="U685" s="5" t="s">
        <v>6912</v>
      </c>
      <c r="V685" s="5" t="s">
        <v>2272</v>
      </c>
      <c r="W685" s="5" t="s">
        <v>69</v>
      </c>
      <c r="X685" s="5" t="s">
        <v>69</v>
      </c>
      <c r="Y685" s="4">
        <v>1083</v>
      </c>
      <c r="Z685" s="4">
        <v>39</v>
      </c>
      <c r="AA685" s="4">
        <v>64</v>
      </c>
      <c r="AB685" s="4">
        <v>3</v>
      </c>
      <c r="AC685" s="4">
        <v>8</v>
      </c>
      <c r="AD685" s="4">
        <v>125</v>
      </c>
      <c r="AE685" s="4">
        <v>147</v>
      </c>
      <c r="AF685" s="4">
        <v>1</v>
      </c>
      <c r="AG685" s="4">
        <v>6</v>
      </c>
      <c r="AH685" s="4">
        <v>101</v>
      </c>
      <c r="AI685" s="4">
        <v>112</v>
      </c>
      <c r="AJ685" s="4">
        <v>20</v>
      </c>
      <c r="AK685" s="4">
        <v>27</v>
      </c>
      <c r="AL685" s="4">
        <v>55</v>
      </c>
      <c r="AM685" s="4">
        <v>60</v>
      </c>
      <c r="AN685" s="4">
        <v>0</v>
      </c>
      <c r="AO685" s="4">
        <v>0</v>
      </c>
      <c r="AP685" s="4">
        <v>29</v>
      </c>
      <c r="AQ685" s="4">
        <v>42</v>
      </c>
      <c r="AR685" s="3" t="s">
        <v>63</v>
      </c>
      <c r="AS685" s="3" t="s">
        <v>63</v>
      </c>
      <c r="AT685" s="3" t="s">
        <v>62</v>
      </c>
      <c r="AU685" s="6" t="str">
        <f>HYPERLINK("http://catalog.hathitrust.org/Record/000980753","HathiTrust Record")</f>
        <v>HathiTrust Record</v>
      </c>
      <c r="AV685" s="6" t="str">
        <f>HYPERLINK("http://mcgill.on.worldcat.org/oclc/268794","Catalog Record")</f>
        <v>Catalog Record</v>
      </c>
      <c r="AW685" s="6" t="str">
        <f>HYPERLINK("http://www.worldcat.org/oclc/268794","WorldCat Record")</f>
        <v>WorldCat Record</v>
      </c>
      <c r="AX685" s="3" t="s">
        <v>6905</v>
      </c>
      <c r="AY685" s="3" t="s">
        <v>6906</v>
      </c>
      <c r="AZ685" s="3" t="s">
        <v>6907</v>
      </c>
      <c r="BA685" s="3" t="s">
        <v>6907</v>
      </c>
      <c r="BB685" s="3" t="s">
        <v>6913</v>
      </c>
      <c r="BC685" s="3" t="s">
        <v>82</v>
      </c>
      <c r="BD685" s="3" t="s">
        <v>70</v>
      </c>
      <c r="BF685" s="3" t="s">
        <v>6913</v>
      </c>
      <c r="BG685" s="3" t="s">
        <v>6914</v>
      </c>
    </row>
    <row r="686" spans="1:59" ht="60" x14ac:dyDescent="0.25">
      <c r="A686" s="2" t="s">
        <v>59</v>
      </c>
      <c r="B686" s="2" t="s">
        <v>60</v>
      </c>
      <c r="C686" s="2" t="s">
        <v>6901</v>
      </c>
      <c r="D686" s="2" t="s">
        <v>6902</v>
      </c>
      <c r="E686" s="2" t="s">
        <v>6903</v>
      </c>
      <c r="G686" s="3" t="s">
        <v>63</v>
      </c>
      <c r="I686" s="3" t="s">
        <v>62</v>
      </c>
      <c r="J686" s="3" t="s">
        <v>62</v>
      </c>
      <c r="K686" s="3" t="s">
        <v>64</v>
      </c>
      <c r="L686" s="2" t="s">
        <v>5991</v>
      </c>
      <c r="M686" s="2" t="s">
        <v>6904</v>
      </c>
      <c r="N686" s="3" t="s">
        <v>300</v>
      </c>
      <c r="P686" s="3" t="s">
        <v>66</v>
      </c>
      <c r="R686" s="3" t="s">
        <v>67</v>
      </c>
      <c r="S686" s="4">
        <v>0</v>
      </c>
      <c r="T686" s="4">
        <v>39</v>
      </c>
      <c r="V686" s="5" t="s">
        <v>2272</v>
      </c>
      <c r="W686" s="5" t="s">
        <v>69</v>
      </c>
      <c r="X686" s="5" t="s">
        <v>69</v>
      </c>
      <c r="Y686" s="4">
        <v>1083</v>
      </c>
      <c r="Z686" s="4">
        <v>39</v>
      </c>
      <c r="AA686" s="4">
        <v>64</v>
      </c>
      <c r="AB686" s="4">
        <v>3</v>
      </c>
      <c r="AC686" s="4">
        <v>8</v>
      </c>
      <c r="AD686" s="4">
        <v>125</v>
      </c>
      <c r="AE686" s="4">
        <v>147</v>
      </c>
      <c r="AF686" s="4">
        <v>1</v>
      </c>
      <c r="AG686" s="4">
        <v>6</v>
      </c>
      <c r="AH686" s="4">
        <v>101</v>
      </c>
      <c r="AI686" s="4">
        <v>112</v>
      </c>
      <c r="AJ686" s="4">
        <v>20</v>
      </c>
      <c r="AK686" s="4">
        <v>27</v>
      </c>
      <c r="AL686" s="4">
        <v>55</v>
      </c>
      <c r="AM686" s="4">
        <v>60</v>
      </c>
      <c r="AN686" s="4">
        <v>0</v>
      </c>
      <c r="AO686" s="4">
        <v>0</v>
      </c>
      <c r="AP686" s="4">
        <v>29</v>
      </c>
      <c r="AQ686" s="4">
        <v>42</v>
      </c>
      <c r="AR686" s="3" t="s">
        <v>63</v>
      </c>
      <c r="AS686" s="3" t="s">
        <v>63</v>
      </c>
      <c r="AT686" s="3" t="s">
        <v>62</v>
      </c>
      <c r="AU686" s="6" t="str">
        <f>HYPERLINK("http://catalog.hathitrust.org/Record/000980753","HathiTrust Record")</f>
        <v>HathiTrust Record</v>
      </c>
      <c r="AV686" s="6" t="str">
        <f>HYPERLINK("http://mcgill.on.worldcat.org/oclc/268794","Catalog Record")</f>
        <v>Catalog Record</v>
      </c>
      <c r="AW686" s="6" t="str">
        <f>HYPERLINK("http://www.worldcat.org/oclc/268794","WorldCat Record")</f>
        <v>WorldCat Record</v>
      </c>
      <c r="AX686" s="3" t="s">
        <v>6905</v>
      </c>
      <c r="AY686" s="3" t="s">
        <v>6906</v>
      </c>
      <c r="AZ686" s="3" t="s">
        <v>6907</v>
      </c>
      <c r="BA686" s="3" t="s">
        <v>6907</v>
      </c>
      <c r="BB686" s="3" t="s">
        <v>6915</v>
      </c>
      <c r="BC686" s="3" t="s">
        <v>82</v>
      </c>
      <c r="BD686" s="3" t="s">
        <v>70</v>
      </c>
      <c r="BF686" s="3" t="s">
        <v>6915</v>
      </c>
      <c r="BG686" s="3" t="s">
        <v>6916</v>
      </c>
    </row>
    <row r="687" spans="1:59" ht="60" x14ac:dyDescent="0.25">
      <c r="A687" s="2" t="s">
        <v>59</v>
      </c>
      <c r="B687" s="2" t="s">
        <v>60</v>
      </c>
      <c r="C687" s="2" t="s">
        <v>6901</v>
      </c>
      <c r="D687" s="2" t="s">
        <v>6902</v>
      </c>
      <c r="E687" s="2" t="s">
        <v>6903</v>
      </c>
      <c r="G687" s="3" t="s">
        <v>63</v>
      </c>
      <c r="I687" s="3" t="s">
        <v>62</v>
      </c>
      <c r="J687" s="3" t="s">
        <v>62</v>
      </c>
      <c r="K687" s="3" t="s">
        <v>64</v>
      </c>
      <c r="L687" s="2" t="s">
        <v>5991</v>
      </c>
      <c r="M687" s="2" t="s">
        <v>6904</v>
      </c>
      <c r="N687" s="3" t="s">
        <v>300</v>
      </c>
      <c r="P687" s="3" t="s">
        <v>66</v>
      </c>
      <c r="R687" s="3" t="s">
        <v>67</v>
      </c>
      <c r="S687" s="4">
        <v>0</v>
      </c>
      <c r="T687" s="4">
        <v>39</v>
      </c>
      <c r="V687" s="5" t="s">
        <v>2272</v>
      </c>
      <c r="W687" s="5" t="s">
        <v>69</v>
      </c>
      <c r="X687" s="5" t="s">
        <v>69</v>
      </c>
      <c r="Y687" s="4">
        <v>1083</v>
      </c>
      <c r="Z687" s="4">
        <v>39</v>
      </c>
      <c r="AA687" s="4">
        <v>64</v>
      </c>
      <c r="AB687" s="4">
        <v>3</v>
      </c>
      <c r="AC687" s="4">
        <v>8</v>
      </c>
      <c r="AD687" s="4">
        <v>125</v>
      </c>
      <c r="AE687" s="4">
        <v>147</v>
      </c>
      <c r="AF687" s="4">
        <v>1</v>
      </c>
      <c r="AG687" s="4">
        <v>6</v>
      </c>
      <c r="AH687" s="4">
        <v>101</v>
      </c>
      <c r="AI687" s="4">
        <v>112</v>
      </c>
      <c r="AJ687" s="4">
        <v>20</v>
      </c>
      <c r="AK687" s="4">
        <v>27</v>
      </c>
      <c r="AL687" s="4">
        <v>55</v>
      </c>
      <c r="AM687" s="4">
        <v>60</v>
      </c>
      <c r="AN687" s="4">
        <v>0</v>
      </c>
      <c r="AO687" s="4">
        <v>0</v>
      </c>
      <c r="AP687" s="4">
        <v>29</v>
      </c>
      <c r="AQ687" s="4">
        <v>42</v>
      </c>
      <c r="AR687" s="3" t="s">
        <v>63</v>
      </c>
      <c r="AS687" s="3" t="s">
        <v>63</v>
      </c>
      <c r="AT687" s="3" t="s">
        <v>62</v>
      </c>
      <c r="AU687" s="6" t="str">
        <f>HYPERLINK("http://catalog.hathitrust.org/Record/000980753","HathiTrust Record")</f>
        <v>HathiTrust Record</v>
      </c>
      <c r="AV687" s="6" t="str">
        <f>HYPERLINK("http://mcgill.on.worldcat.org/oclc/268794","Catalog Record")</f>
        <v>Catalog Record</v>
      </c>
      <c r="AW687" s="6" t="str">
        <f>HYPERLINK("http://www.worldcat.org/oclc/268794","WorldCat Record")</f>
        <v>WorldCat Record</v>
      </c>
      <c r="AX687" s="3" t="s">
        <v>6905</v>
      </c>
      <c r="AY687" s="3" t="s">
        <v>6906</v>
      </c>
      <c r="AZ687" s="3" t="s">
        <v>6907</v>
      </c>
      <c r="BA687" s="3" t="s">
        <v>6907</v>
      </c>
      <c r="BB687" s="3" t="s">
        <v>6917</v>
      </c>
      <c r="BC687" s="3" t="s">
        <v>82</v>
      </c>
      <c r="BD687" s="3" t="s">
        <v>70</v>
      </c>
      <c r="BF687" s="3" t="s">
        <v>6917</v>
      </c>
      <c r="BG687" s="3" t="s">
        <v>6918</v>
      </c>
    </row>
    <row r="688" spans="1:59" ht="60" x14ac:dyDescent="0.25">
      <c r="A688" s="2" t="s">
        <v>59</v>
      </c>
      <c r="B688" s="2" t="s">
        <v>60</v>
      </c>
      <c r="C688" s="2" t="s">
        <v>6901</v>
      </c>
      <c r="D688" s="2" t="s">
        <v>6902</v>
      </c>
      <c r="E688" s="2" t="s">
        <v>6903</v>
      </c>
      <c r="G688" s="3" t="s">
        <v>63</v>
      </c>
      <c r="I688" s="3" t="s">
        <v>62</v>
      </c>
      <c r="J688" s="3" t="s">
        <v>62</v>
      </c>
      <c r="K688" s="3" t="s">
        <v>64</v>
      </c>
      <c r="L688" s="2" t="s">
        <v>5991</v>
      </c>
      <c r="M688" s="2" t="s">
        <v>6904</v>
      </c>
      <c r="N688" s="3" t="s">
        <v>300</v>
      </c>
      <c r="P688" s="3" t="s">
        <v>66</v>
      </c>
      <c r="R688" s="3" t="s">
        <v>67</v>
      </c>
      <c r="S688" s="4">
        <v>6</v>
      </c>
      <c r="T688" s="4">
        <v>39</v>
      </c>
      <c r="U688" s="5" t="s">
        <v>6919</v>
      </c>
      <c r="V688" s="5" t="s">
        <v>2272</v>
      </c>
      <c r="W688" s="5" t="s">
        <v>69</v>
      </c>
      <c r="X688" s="5" t="s">
        <v>69</v>
      </c>
      <c r="Y688" s="4">
        <v>1083</v>
      </c>
      <c r="Z688" s="4">
        <v>39</v>
      </c>
      <c r="AA688" s="4">
        <v>64</v>
      </c>
      <c r="AB688" s="4">
        <v>3</v>
      </c>
      <c r="AC688" s="4">
        <v>8</v>
      </c>
      <c r="AD688" s="4">
        <v>125</v>
      </c>
      <c r="AE688" s="4">
        <v>147</v>
      </c>
      <c r="AF688" s="4">
        <v>1</v>
      </c>
      <c r="AG688" s="4">
        <v>6</v>
      </c>
      <c r="AH688" s="4">
        <v>101</v>
      </c>
      <c r="AI688" s="4">
        <v>112</v>
      </c>
      <c r="AJ688" s="4">
        <v>20</v>
      </c>
      <c r="AK688" s="4">
        <v>27</v>
      </c>
      <c r="AL688" s="4">
        <v>55</v>
      </c>
      <c r="AM688" s="4">
        <v>60</v>
      </c>
      <c r="AN688" s="4">
        <v>0</v>
      </c>
      <c r="AO688" s="4">
        <v>0</v>
      </c>
      <c r="AP688" s="4">
        <v>29</v>
      </c>
      <c r="AQ688" s="4">
        <v>42</v>
      </c>
      <c r="AR688" s="3" t="s">
        <v>63</v>
      </c>
      <c r="AS688" s="3" t="s">
        <v>63</v>
      </c>
      <c r="AT688" s="3" t="s">
        <v>62</v>
      </c>
      <c r="AU688" s="6" t="str">
        <f>HYPERLINK("http://catalog.hathitrust.org/Record/000980753","HathiTrust Record")</f>
        <v>HathiTrust Record</v>
      </c>
      <c r="AV688" s="6" t="str">
        <f>HYPERLINK("http://mcgill.on.worldcat.org/oclc/268794","Catalog Record")</f>
        <v>Catalog Record</v>
      </c>
      <c r="AW688" s="6" t="str">
        <f>HYPERLINK("http://www.worldcat.org/oclc/268794","WorldCat Record")</f>
        <v>WorldCat Record</v>
      </c>
      <c r="AX688" s="3" t="s">
        <v>6905</v>
      </c>
      <c r="AY688" s="3" t="s">
        <v>6906</v>
      </c>
      <c r="AZ688" s="3" t="s">
        <v>6907</v>
      </c>
      <c r="BA688" s="3" t="s">
        <v>6907</v>
      </c>
      <c r="BB688" s="3" t="s">
        <v>6920</v>
      </c>
      <c r="BC688" s="3" t="s">
        <v>82</v>
      </c>
      <c r="BD688" s="3" t="s">
        <v>70</v>
      </c>
      <c r="BF688" s="3" t="s">
        <v>6920</v>
      </c>
      <c r="BG688" s="3" t="s">
        <v>6921</v>
      </c>
    </row>
    <row r="689" spans="1:59" ht="60" x14ac:dyDescent="0.25">
      <c r="A689" s="2" t="s">
        <v>59</v>
      </c>
      <c r="B689" s="2" t="s">
        <v>60</v>
      </c>
      <c r="C689" s="2" t="s">
        <v>6901</v>
      </c>
      <c r="D689" s="2" t="s">
        <v>6902</v>
      </c>
      <c r="E689" s="2" t="s">
        <v>6903</v>
      </c>
      <c r="G689" s="3" t="s">
        <v>63</v>
      </c>
      <c r="I689" s="3" t="s">
        <v>62</v>
      </c>
      <c r="J689" s="3" t="s">
        <v>62</v>
      </c>
      <c r="K689" s="3" t="s">
        <v>64</v>
      </c>
      <c r="L689" s="2" t="s">
        <v>5991</v>
      </c>
      <c r="M689" s="2" t="s">
        <v>6904</v>
      </c>
      <c r="N689" s="3" t="s">
        <v>300</v>
      </c>
      <c r="P689" s="3" t="s">
        <v>66</v>
      </c>
      <c r="R689" s="3" t="s">
        <v>67</v>
      </c>
      <c r="S689" s="4">
        <v>0</v>
      </c>
      <c r="T689" s="4">
        <v>39</v>
      </c>
      <c r="V689" s="5" t="s">
        <v>2272</v>
      </c>
      <c r="W689" s="5" t="s">
        <v>69</v>
      </c>
      <c r="X689" s="5" t="s">
        <v>69</v>
      </c>
      <c r="Y689" s="4">
        <v>1083</v>
      </c>
      <c r="Z689" s="4">
        <v>39</v>
      </c>
      <c r="AA689" s="4">
        <v>64</v>
      </c>
      <c r="AB689" s="4">
        <v>3</v>
      </c>
      <c r="AC689" s="4">
        <v>8</v>
      </c>
      <c r="AD689" s="4">
        <v>125</v>
      </c>
      <c r="AE689" s="4">
        <v>147</v>
      </c>
      <c r="AF689" s="4">
        <v>1</v>
      </c>
      <c r="AG689" s="4">
        <v>6</v>
      </c>
      <c r="AH689" s="4">
        <v>101</v>
      </c>
      <c r="AI689" s="4">
        <v>112</v>
      </c>
      <c r="AJ689" s="4">
        <v>20</v>
      </c>
      <c r="AK689" s="4">
        <v>27</v>
      </c>
      <c r="AL689" s="4">
        <v>55</v>
      </c>
      <c r="AM689" s="4">
        <v>60</v>
      </c>
      <c r="AN689" s="4">
        <v>0</v>
      </c>
      <c r="AO689" s="4">
        <v>0</v>
      </c>
      <c r="AP689" s="4">
        <v>29</v>
      </c>
      <c r="AQ689" s="4">
        <v>42</v>
      </c>
      <c r="AR689" s="3" t="s">
        <v>63</v>
      </c>
      <c r="AS689" s="3" t="s">
        <v>63</v>
      </c>
      <c r="AT689" s="3" t="s">
        <v>62</v>
      </c>
      <c r="AU689" s="6" t="str">
        <f>HYPERLINK("http://catalog.hathitrust.org/Record/000980753","HathiTrust Record")</f>
        <v>HathiTrust Record</v>
      </c>
      <c r="AV689" s="6" t="str">
        <f>HYPERLINK("http://mcgill.on.worldcat.org/oclc/268794","Catalog Record")</f>
        <v>Catalog Record</v>
      </c>
      <c r="AW689" s="6" t="str">
        <f>HYPERLINK("http://www.worldcat.org/oclc/268794","WorldCat Record")</f>
        <v>WorldCat Record</v>
      </c>
      <c r="AX689" s="3" t="s">
        <v>6905</v>
      </c>
      <c r="AY689" s="3" t="s">
        <v>6906</v>
      </c>
      <c r="AZ689" s="3" t="s">
        <v>6907</v>
      </c>
      <c r="BA689" s="3" t="s">
        <v>6907</v>
      </c>
      <c r="BB689" s="3" t="s">
        <v>6922</v>
      </c>
      <c r="BC689" s="3" t="s">
        <v>82</v>
      </c>
      <c r="BD689" s="3" t="s">
        <v>70</v>
      </c>
      <c r="BF689" s="3" t="s">
        <v>6922</v>
      </c>
      <c r="BG689" s="3" t="s">
        <v>6923</v>
      </c>
    </row>
    <row r="690" spans="1:59" ht="60" x14ac:dyDescent="0.25">
      <c r="A690" s="2" t="s">
        <v>59</v>
      </c>
      <c r="B690" s="2" t="s">
        <v>60</v>
      </c>
      <c r="C690" s="2" t="s">
        <v>6901</v>
      </c>
      <c r="D690" s="2" t="s">
        <v>6902</v>
      </c>
      <c r="E690" s="2" t="s">
        <v>6903</v>
      </c>
      <c r="G690" s="3" t="s">
        <v>63</v>
      </c>
      <c r="I690" s="3" t="s">
        <v>62</v>
      </c>
      <c r="J690" s="3" t="s">
        <v>62</v>
      </c>
      <c r="K690" s="3" t="s">
        <v>64</v>
      </c>
      <c r="L690" s="2" t="s">
        <v>5991</v>
      </c>
      <c r="M690" s="2" t="s">
        <v>6904</v>
      </c>
      <c r="N690" s="3" t="s">
        <v>300</v>
      </c>
      <c r="P690" s="3" t="s">
        <v>66</v>
      </c>
      <c r="R690" s="3" t="s">
        <v>67</v>
      </c>
      <c r="S690" s="4">
        <v>7</v>
      </c>
      <c r="T690" s="4">
        <v>39</v>
      </c>
      <c r="U690" s="5" t="s">
        <v>2272</v>
      </c>
      <c r="V690" s="5" t="s">
        <v>2272</v>
      </c>
      <c r="W690" s="5" t="s">
        <v>69</v>
      </c>
      <c r="X690" s="5" t="s">
        <v>69</v>
      </c>
      <c r="Y690" s="4">
        <v>1083</v>
      </c>
      <c r="Z690" s="4">
        <v>39</v>
      </c>
      <c r="AA690" s="4">
        <v>64</v>
      </c>
      <c r="AB690" s="4">
        <v>3</v>
      </c>
      <c r="AC690" s="4">
        <v>8</v>
      </c>
      <c r="AD690" s="4">
        <v>125</v>
      </c>
      <c r="AE690" s="4">
        <v>147</v>
      </c>
      <c r="AF690" s="4">
        <v>1</v>
      </c>
      <c r="AG690" s="4">
        <v>6</v>
      </c>
      <c r="AH690" s="4">
        <v>101</v>
      </c>
      <c r="AI690" s="4">
        <v>112</v>
      </c>
      <c r="AJ690" s="4">
        <v>20</v>
      </c>
      <c r="AK690" s="4">
        <v>27</v>
      </c>
      <c r="AL690" s="4">
        <v>55</v>
      </c>
      <c r="AM690" s="4">
        <v>60</v>
      </c>
      <c r="AN690" s="4">
        <v>0</v>
      </c>
      <c r="AO690" s="4">
        <v>0</v>
      </c>
      <c r="AP690" s="4">
        <v>29</v>
      </c>
      <c r="AQ690" s="4">
        <v>42</v>
      </c>
      <c r="AR690" s="3" t="s">
        <v>63</v>
      </c>
      <c r="AS690" s="3" t="s">
        <v>63</v>
      </c>
      <c r="AT690" s="3" t="s">
        <v>62</v>
      </c>
      <c r="AU690" s="6" t="str">
        <f>HYPERLINK("http://catalog.hathitrust.org/Record/000980753","HathiTrust Record")</f>
        <v>HathiTrust Record</v>
      </c>
      <c r="AV690" s="6" t="str">
        <f>HYPERLINK("http://mcgill.on.worldcat.org/oclc/268794","Catalog Record")</f>
        <v>Catalog Record</v>
      </c>
      <c r="AW690" s="6" t="str">
        <f>HYPERLINK("http://www.worldcat.org/oclc/268794","WorldCat Record")</f>
        <v>WorldCat Record</v>
      </c>
      <c r="AX690" s="3" t="s">
        <v>6905</v>
      </c>
      <c r="AY690" s="3" t="s">
        <v>6906</v>
      </c>
      <c r="AZ690" s="3" t="s">
        <v>6907</v>
      </c>
      <c r="BA690" s="3" t="s">
        <v>6907</v>
      </c>
      <c r="BB690" s="3" t="s">
        <v>6924</v>
      </c>
      <c r="BC690" s="3" t="s">
        <v>82</v>
      </c>
      <c r="BD690" s="3" t="s">
        <v>70</v>
      </c>
      <c r="BF690" s="3" t="s">
        <v>6924</v>
      </c>
      <c r="BG690" s="3" t="s">
        <v>6925</v>
      </c>
    </row>
    <row r="691" spans="1:59" ht="60" x14ac:dyDescent="0.25">
      <c r="A691" s="2" t="s">
        <v>59</v>
      </c>
      <c r="B691" s="2" t="s">
        <v>60</v>
      </c>
      <c r="C691" s="2" t="s">
        <v>6926</v>
      </c>
      <c r="D691" s="2" t="s">
        <v>6927</v>
      </c>
      <c r="E691" s="2" t="s">
        <v>6928</v>
      </c>
      <c r="G691" s="3" t="s">
        <v>63</v>
      </c>
      <c r="I691" s="3" t="s">
        <v>62</v>
      </c>
      <c r="J691" s="3" t="s">
        <v>63</v>
      </c>
      <c r="K691" s="3" t="s">
        <v>64</v>
      </c>
      <c r="L691" s="2" t="s">
        <v>6929</v>
      </c>
      <c r="M691" s="2" t="s">
        <v>6930</v>
      </c>
      <c r="N691" s="3" t="s">
        <v>826</v>
      </c>
      <c r="O691" s="2" t="s">
        <v>976</v>
      </c>
      <c r="P691" s="3" t="s">
        <v>66</v>
      </c>
      <c r="R691" s="3" t="s">
        <v>67</v>
      </c>
      <c r="S691" s="4">
        <v>6</v>
      </c>
      <c r="T691" s="4">
        <v>70</v>
      </c>
      <c r="U691" s="5" t="s">
        <v>6931</v>
      </c>
      <c r="V691" s="5" t="s">
        <v>6931</v>
      </c>
      <c r="W691" s="5" t="s">
        <v>69</v>
      </c>
      <c r="X691" s="5" t="s">
        <v>69</v>
      </c>
      <c r="Y691" s="4">
        <v>878</v>
      </c>
      <c r="Z691" s="4">
        <v>40</v>
      </c>
      <c r="AA691" s="4">
        <v>54</v>
      </c>
      <c r="AB691" s="4">
        <v>4</v>
      </c>
      <c r="AC691" s="4">
        <v>7</v>
      </c>
      <c r="AD691" s="4">
        <v>124</v>
      </c>
      <c r="AE691" s="4">
        <v>133</v>
      </c>
      <c r="AF691" s="4">
        <v>2</v>
      </c>
      <c r="AG691" s="4">
        <v>5</v>
      </c>
      <c r="AH691" s="4">
        <v>100</v>
      </c>
      <c r="AI691" s="4">
        <v>104</v>
      </c>
      <c r="AJ691" s="4">
        <v>17</v>
      </c>
      <c r="AK691" s="4">
        <v>23</v>
      </c>
      <c r="AL691" s="4">
        <v>53</v>
      </c>
      <c r="AM691" s="4">
        <v>55</v>
      </c>
      <c r="AN691" s="4">
        <v>0</v>
      </c>
      <c r="AO691" s="4">
        <v>0</v>
      </c>
      <c r="AP691" s="4">
        <v>29</v>
      </c>
      <c r="AQ691" s="4">
        <v>36</v>
      </c>
      <c r="AR691" s="3" t="s">
        <v>63</v>
      </c>
      <c r="AS691" s="3" t="s">
        <v>63</v>
      </c>
      <c r="AT691" s="3" t="s">
        <v>63</v>
      </c>
      <c r="AV691" s="6" t="str">
        <f>HYPERLINK("http://mcgill.on.worldcat.org/oclc/128350","Catalog Record")</f>
        <v>Catalog Record</v>
      </c>
      <c r="AW691" s="6" t="str">
        <f>HYPERLINK("http://www.worldcat.org/oclc/128350","WorldCat Record")</f>
        <v>WorldCat Record</v>
      </c>
      <c r="AX691" s="3" t="s">
        <v>6932</v>
      </c>
      <c r="AY691" s="3" t="s">
        <v>6933</v>
      </c>
      <c r="AZ691" s="3" t="s">
        <v>6934</v>
      </c>
      <c r="BA691" s="3" t="s">
        <v>6934</v>
      </c>
      <c r="BB691" s="3" t="s">
        <v>6935</v>
      </c>
      <c r="BC691" s="3" t="s">
        <v>82</v>
      </c>
      <c r="BD691" s="3" t="s">
        <v>70</v>
      </c>
      <c r="BE691" s="3" t="s">
        <v>6936</v>
      </c>
      <c r="BF691" s="3" t="s">
        <v>6935</v>
      </c>
      <c r="BG691" s="3" t="s">
        <v>6937</v>
      </c>
    </row>
    <row r="692" spans="1:59" ht="60" x14ac:dyDescent="0.25">
      <c r="A692" s="2" t="s">
        <v>59</v>
      </c>
      <c r="B692" s="2" t="s">
        <v>60</v>
      </c>
      <c r="C692" s="2" t="s">
        <v>6926</v>
      </c>
      <c r="D692" s="2" t="s">
        <v>6927</v>
      </c>
      <c r="E692" s="2" t="s">
        <v>6928</v>
      </c>
      <c r="G692" s="3" t="s">
        <v>63</v>
      </c>
      <c r="I692" s="3" t="s">
        <v>62</v>
      </c>
      <c r="J692" s="3" t="s">
        <v>63</v>
      </c>
      <c r="K692" s="3" t="s">
        <v>64</v>
      </c>
      <c r="L692" s="2" t="s">
        <v>6929</v>
      </c>
      <c r="M692" s="2" t="s">
        <v>6930</v>
      </c>
      <c r="N692" s="3" t="s">
        <v>826</v>
      </c>
      <c r="O692" s="2" t="s">
        <v>976</v>
      </c>
      <c r="P692" s="3" t="s">
        <v>66</v>
      </c>
      <c r="R692" s="3" t="s">
        <v>67</v>
      </c>
      <c r="S692" s="4">
        <v>36</v>
      </c>
      <c r="T692" s="4">
        <v>70</v>
      </c>
      <c r="U692" s="5" t="s">
        <v>6938</v>
      </c>
      <c r="V692" s="5" t="s">
        <v>6931</v>
      </c>
      <c r="W692" s="5" t="s">
        <v>69</v>
      </c>
      <c r="X692" s="5" t="s">
        <v>69</v>
      </c>
      <c r="Y692" s="4">
        <v>878</v>
      </c>
      <c r="Z692" s="4">
        <v>40</v>
      </c>
      <c r="AA692" s="4">
        <v>54</v>
      </c>
      <c r="AB692" s="4">
        <v>4</v>
      </c>
      <c r="AC692" s="4">
        <v>7</v>
      </c>
      <c r="AD692" s="4">
        <v>124</v>
      </c>
      <c r="AE692" s="4">
        <v>133</v>
      </c>
      <c r="AF692" s="4">
        <v>2</v>
      </c>
      <c r="AG692" s="4">
        <v>5</v>
      </c>
      <c r="AH692" s="4">
        <v>100</v>
      </c>
      <c r="AI692" s="4">
        <v>104</v>
      </c>
      <c r="AJ692" s="4">
        <v>17</v>
      </c>
      <c r="AK692" s="4">
        <v>23</v>
      </c>
      <c r="AL692" s="4">
        <v>53</v>
      </c>
      <c r="AM692" s="4">
        <v>55</v>
      </c>
      <c r="AN692" s="4">
        <v>0</v>
      </c>
      <c r="AO692" s="4">
        <v>0</v>
      </c>
      <c r="AP692" s="4">
        <v>29</v>
      </c>
      <c r="AQ692" s="4">
        <v>36</v>
      </c>
      <c r="AR692" s="3" t="s">
        <v>63</v>
      </c>
      <c r="AS692" s="3" t="s">
        <v>63</v>
      </c>
      <c r="AT692" s="3" t="s">
        <v>63</v>
      </c>
      <c r="AV692" s="6" t="str">
        <f>HYPERLINK("http://mcgill.on.worldcat.org/oclc/128350","Catalog Record")</f>
        <v>Catalog Record</v>
      </c>
      <c r="AW692" s="6" t="str">
        <f>HYPERLINK("http://www.worldcat.org/oclc/128350","WorldCat Record")</f>
        <v>WorldCat Record</v>
      </c>
      <c r="AX692" s="3" t="s">
        <v>6932</v>
      </c>
      <c r="AY692" s="3" t="s">
        <v>6933</v>
      </c>
      <c r="AZ692" s="3" t="s">
        <v>6934</v>
      </c>
      <c r="BA692" s="3" t="s">
        <v>6934</v>
      </c>
      <c r="BB692" s="3" t="s">
        <v>6939</v>
      </c>
      <c r="BC692" s="3" t="s">
        <v>82</v>
      </c>
      <c r="BD692" s="3" t="s">
        <v>70</v>
      </c>
      <c r="BE692" s="3" t="s">
        <v>6936</v>
      </c>
      <c r="BF692" s="3" t="s">
        <v>6939</v>
      </c>
      <c r="BG692" s="3" t="s">
        <v>6940</v>
      </c>
    </row>
    <row r="693" spans="1:59" ht="60" x14ac:dyDescent="0.25">
      <c r="A693" s="2" t="s">
        <v>59</v>
      </c>
      <c r="B693" s="2" t="s">
        <v>60</v>
      </c>
      <c r="C693" s="2" t="s">
        <v>6926</v>
      </c>
      <c r="D693" s="2" t="s">
        <v>6927</v>
      </c>
      <c r="E693" s="2" t="s">
        <v>6928</v>
      </c>
      <c r="G693" s="3" t="s">
        <v>63</v>
      </c>
      <c r="I693" s="3" t="s">
        <v>62</v>
      </c>
      <c r="J693" s="3" t="s">
        <v>63</v>
      </c>
      <c r="K693" s="3" t="s">
        <v>64</v>
      </c>
      <c r="L693" s="2" t="s">
        <v>6929</v>
      </c>
      <c r="M693" s="2" t="s">
        <v>6930</v>
      </c>
      <c r="N693" s="3" t="s">
        <v>826</v>
      </c>
      <c r="O693" s="2" t="s">
        <v>976</v>
      </c>
      <c r="P693" s="3" t="s">
        <v>66</v>
      </c>
      <c r="R693" s="3" t="s">
        <v>67</v>
      </c>
      <c r="S693" s="4">
        <v>28</v>
      </c>
      <c r="T693" s="4">
        <v>70</v>
      </c>
      <c r="U693" s="5" t="s">
        <v>6941</v>
      </c>
      <c r="V693" s="5" t="s">
        <v>6931</v>
      </c>
      <c r="W693" s="5" t="s">
        <v>69</v>
      </c>
      <c r="X693" s="5" t="s">
        <v>69</v>
      </c>
      <c r="Y693" s="4">
        <v>878</v>
      </c>
      <c r="Z693" s="4">
        <v>40</v>
      </c>
      <c r="AA693" s="4">
        <v>54</v>
      </c>
      <c r="AB693" s="4">
        <v>4</v>
      </c>
      <c r="AC693" s="4">
        <v>7</v>
      </c>
      <c r="AD693" s="4">
        <v>124</v>
      </c>
      <c r="AE693" s="4">
        <v>133</v>
      </c>
      <c r="AF693" s="4">
        <v>2</v>
      </c>
      <c r="AG693" s="4">
        <v>5</v>
      </c>
      <c r="AH693" s="4">
        <v>100</v>
      </c>
      <c r="AI693" s="4">
        <v>104</v>
      </c>
      <c r="AJ693" s="4">
        <v>17</v>
      </c>
      <c r="AK693" s="4">
        <v>23</v>
      </c>
      <c r="AL693" s="4">
        <v>53</v>
      </c>
      <c r="AM693" s="4">
        <v>55</v>
      </c>
      <c r="AN693" s="4">
        <v>0</v>
      </c>
      <c r="AO693" s="4">
        <v>0</v>
      </c>
      <c r="AP693" s="4">
        <v>29</v>
      </c>
      <c r="AQ693" s="4">
        <v>36</v>
      </c>
      <c r="AR693" s="3" t="s">
        <v>63</v>
      </c>
      <c r="AS693" s="3" t="s">
        <v>63</v>
      </c>
      <c r="AT693" s="3" t="s">
        <v>63</v>
      </c>
      <c r="AV693" s="6" t="str">
        <f>HYPERLINK("http://mcgill.on.worldcat.org/oclc/128350","Catalog Record")</f>
        <v>Catalog Record</v>
      </c>
      <c r="AW693" s="6" t="str">
        <f>HYPERLINK("http://www.worldcat.org/oclc/128350","WorldCat Record")</f>
        <v>WorldCat Record</v>
      </c>
      <c r="AX693" s="3" t="s">
        <v>6932</v>
      </c>
      <c r="AY693" s="3" t="s">
        <v>6933</v>
      </c>
      <c r="AZ693" s="3" t="s">
        <v>6934</v>
      </c>
      <c r="BA693" s="3" t="s">
        <v>6934</v>
      </c>
      <c r="BB693" s="3" t="s">
        <v>6942</v>
      </c>
      <c r="BC693" s="3" t="s">
        <v>82</v>
      </c>
      <c r="BD693" s="3" t="s">
        <v>70</v>
      </c>
      <c r="BE693" s="3" t="s">
        <v>6936</v>
      </c>
      <c r="BF693" s="3" t="s">
        <v>6942</v>
      </c>
      <c r="BG693" s="3" t="s">
        <v>6943</v>
      </c>
    </row>
    <row r="694" spans="1:59" ht="60" x14ac:dyDescent="0.25">
      <c r="A694" s="2" t="s">
        <v>59</v>
      </c>
      <c r="B694" s="2" t="s">
        <v>60</v>
      </c>
      <c r="C694" s="2" t="s">
        <v>6944</v>
      </c>
      <c r="D694" s="2" t="s">
        <v>6945</v>
      </c>
      <c r="E694" s="2" t="s">
        <v>6946</v>
      </c>
      <c r="G694" s="3" t="s">
        <v>63</v>
      </c>
      <c r="I694" s="3" t="s">
        <v>63</v>
      </c>
      <c r="J694" s="3" t="s">
        <v>63</v>
      </c>
      <c r="K694" s="3" t="s">
        <v>64</v>
      </c>
      <c r="L694" s="2" t="s">
        <v>6947</v>
      </c>
      <c r="M694" s="2" t="s">
        <v>6948</v>
      </c>
      <c r="N694" s="3" t="s">
        <v>247</v>
      </c>
      <c r="P694" s="3" t="s">
        <v>548</v>
      </c>
      <c r="Q694" s="2" t="s">
        <v>6949</v>
      </c>
      <c r="R694" s="3" t="s">
        <v>67</v>
      </c>
      <c r="S694" s="4">
        <v>11</v>
      </c>
      <c r="T694" s="4">
        <v>11</v>
      </c>
      <c r="U694" s="5" t="s">
        <v>6950</v>
      </c>
      <c r="V694" s="5" t="s">
        <v>6950</v>
      </c>
      <c r="W694" s="5" t="s">
        <v>69</v>
      </c>
      <c r="X694" s="5" t="s">
        <v>69</v>
      </c>
      <c r="Y694" s="4">
        <v>76</v>
      </c>
      <c r="Z694" s="4">
        <v>9</v>
      </c>
      <c r="AA694" s="4">
        <v>19</v>
      </c>
      <c r="AB694" s="4">
        <v>1</v>
      </c>
      <c r="AC694" s="4">
        <v>8</v>
      </c>
      <c r="AD694" s="4">
        <v>40</v>
      </c>
      <c r="AE694" s="4">
        <v>47</v>
      </c>
      <c r="AF694" s="4">
        <v>0</v>
      </c>
      <c r="AG694" s="4">
        <v>4</v>
      </c>
      <c r="AH694" s="4">
        <v>36</v>
      </c>
      <c r="AI694" s="4">
        <v>38</v>
      </c>
      <c r="AJ694" s="4">
        <v>6</v>
      </c>
      <c r="AK694" s="4">
        <v>13</v>
      </c>
      <c r="AL694" s="4">
        <v>27</v>
      </c>
      <c r="AM694" s="4">
        <v>27</v>
      </c>
      <c r="AN694" s="4">
        <v>0</v>
      </c>
      <c r="AO694" s="4">
        <v>2</v>
      </c>
      <c r="AP694" s="4">
        <v>7</v>
      </c>
      <c r="AQ694" s="4">
        <v>12</v>
      </c>
      <c r="AR694" s="3" t="s">
        <v>63</v>
      </c>
      <c r="AS694" s="3" t="s">
        <v>63</v>
      </c>
      <c r="AT694" s="3" t="s">
        <v>62</v>
      </c>
      <c r="AU694" s="6" t="str">
        <f>HYPERLINK("http://catalog.hathitrust.org/Record/000189810","HathiTrust Record")</f>
        <v>HathiTrust Record</v>
      </c>
      <c r="AV694" s="6" t="str">
        <f>HYPERLINK("http://mcgill.on.worldcat.org/oclc/9315583","Catalog Record")</f>
        <v>Catalog Record</v>
      </c>
      <c r="AW694" s="6" t="str">
        <f>HYPERLINK("http://www.worldcat.org/oclc/9315583","WorldCat Record")</f>
        <v>WorldCat Record</v>
      </c>
      <c r="AX694" s="3" t="s">
        <v>6951</v>
      </c>
      <c r="AY694" s="3" t="s">
        <v>6952</v>
      </c>
      <c r="AZ694" s="3" t="s">
        <v>6953</v>
      </c>
      <c r="BA694" s="3" t="s">
        <v>6953</v>
      </c>
      <c r="BB694" s="3" t="s">
        <v>6954</v>
      </c>
      <c r="BC694" s="3" t="s">
        <v>82</v>
      </c>
      <c r="BD694" s="3" t="s">
        <v>70</v>
      </c>
      <c r="BF694" s="3" t="s">
        <v>6954</v>
      </c>
      <c r="BG694" s="3" t="s">
        <v>6955</v>
      </c>
    </row>
    <row r="695" spans="1:59" ht="60" x14ac:dyDescent="0.25">
      <c r="A695" s="2" t="s">
        <v>59</v>
      </c>
      <c r="B695" s="2" t="s">
        <v>60</v>
      </c>
      <c r="C695" s="2" t="s">
        <v>6956</v>
      </c>
      <c r="D695" s="2" t="s">
        <v>6957</v>
      </c>
      <c r="E695" s="2" t="s">
        <v>6958</v>
      </c>
      <c r="G695" s="3" t="s">
        <v>63</v>
      </c>
      <c r="I695" s="3" t="s">
        <v>63</v>
      </c>
      <c r="J695" s="3" t="s">
        <v>63</v>
      </c>
      <c r="K695" s="3" t="s">
        <v>64</v>
      </c>
      <c r="L695" s="2" t="s">
        <v>6959</v>
      </c>
      <c r="M695" s="2" t="s">
        <v>6960</v>
      </c>
      <c r="N695" s="3" t="s">
        <v>1343</v>
      </c>
      <c r="P695" s="3" t="s">
        <v>66</v>
      </c>
      <c r="R695" s="3" t="s">
        <v>67</v>
      </c>
      <c r="S695" s="4">
        <v>36</v>
      </c>
      <c r="T695" s="4">
        <v>36</v>
      </c>
      <c r="U695" s="5" t="s">
        <v>6961</v>
      </c>
      <c r="V695" s="5" t="s">
        <v>6961</v>
      </c>
      <c r="W695" s="5" t="s">
        <v>69</v>
      </c>
      <c r="X695" s="5" t="s">
        <v>69</v>
      </c>
      <c r="Y695" s="4">
        <v>476</v>
      </c>
      <c r="Z695" s="4">
        <v>26</v>
      </c>
      <c r="AA695" s="4">
        <v>28</v>
      </c>
      <c r="AB695" s="4">
        <v>1</v>
      </c>
      <c r="AC695" s="4">
        <v>3</v>
      </c>
      <c r="AD695" s="4">
        <v>118</v>
      </c>
      <c r="AE695" s="4">
        <v>120</v>
      </c>
      <c r="AF695" s="4">
        <v>0</v>
      </c>
      <c r="AG695" s="4">
        <v>2</v>
      </c>
      <c r="AH695" s="4">
        <v>102</v>
      </c>
      <c r="AI695" s="4">
        <v>103</v>
      </c>
      <c r="AJ695" s="4">
        <v>12</v>
      </c>
      <c r="AK695" s="4">
        <v>14</v>
      </c>
      <c r="AL695" s="4">
        <v>57</v>
      </c>
      <c r="AM695" s="4">
        <v>57</v>
      </c>
      <c r="AN695" s="4">
        <v>0</v>
      </c>
      <c r="AO695" s="4">
        <v>0</v>
      </c>
      <c r="AP695" s="4">
        <v>21</v>
      </c>
      <c r="AQ695" s="4">
        <v>22</v>
      </c>
      <c r="AR695" s="3" t="s">
        <v>63</v>
      </c>
      <c r="AS695" s="3" t="s">
        <v>63</v>
      </c>
      <c r="AT695" s="3" t="s">
        <v>62</v>
      </c>
      <c r="AU695" s="6" t="str">
        <f>HYPERLINK("http://catalog.hathitrust.org/Record/004139424","HathiTrust Record")</f>
        <v>HathiTrust Record</v>
      </c>
      <c r="AV695" s="6" t="str">
        <f>HYPERLINK("http://mcgill.on.worldcat.org/oclc/43884757","Catalog Record")</f>
        <v>Catalog Record</v>
      </c>
      <c r="AW695" s="6" t="str">
        <f>HYPERLINK("http://www.worldcat.org/oclc/43884757","WorldCat Record")</f>
        <v>WorldCat Record</v>
      </c>
      <c r="AX695" s="3" t="s">
        <v>6962</v>
      </c>
      <c r="AY695" s="3" t="s">
        <v>6963</v>
      </c>
      <c r="AZ695" s="3" t="s">
        <v>6964</v>
      </c>
      <c r="BA695" s="3" t="s">
        <v>6964</v>
      </c>
      <c r="BB695" s="3" t="s">
        <v>6965</v>
      </c>
      <c r="BC695" s="3" t="s">
        <v>82</v>
      </c>
      <c r="BD695" s="3" t="s">
        <v>70</v>
      </c>
      <c r="BE695" s="3" t="s">
        <v>6966</v>
      </c>
      <c r="BF695" s="3" t="s">
        <v>6965</v>
      </c>
      <c r="BG695" s="3" t="s">
        <v>6967</v>
      </c>
    </row>
    <row r="696" spans="1:59" ht="60" x14ac:dyDescent="0.25">
      <c r="A696" s="2" t="s">
        <v>59</v>
      </c>
      <c r="B696" s="2" t="s">
        <v>60</v>
      </c>
      <c r="C696" s="2" t="s">
        <v>6968</v>
      </c>
      <c r="D696" s="2" t="s">
        <v>6969</v>
      </c>
      <c r="E696" s="2" t="s">
        <v>6970</v>
      </c>
      <c r="G696" s="3" t="s">
        <v>63</v>
      </c>
      <c r="I696" s="3" t="s">
        <v>63</v>
      </c>
      <c r="J696" s="3" t="s">
        <v>63</v>
      </c>
      <c r="K696" s="3" t="s">
        <v>64</v>
      </c>
      <c r="L696" s="2" t="s">
        <v>6971</v>
      </c>
      <c r="M696" s="2" t="s">
        <v>6972</v>
      </c>
      <c r="N696" s="3" t="s">
        <v>3640</v>
      </c>
      <c r="P696" s="3" t="s">
        <v>66</v>
      </c>
      <c r="R696" s="3" t="s">
        <v>67</v>
      </c>
      <c r="S696" s="4">
        <v>6</v>
      </c>
      <c r="T696" s="4">
        <v>6</v>
      </c>
      <c r="U696" s="5" t="s">
        <v>2183</v>
      </c>
      <c r="V696" s="5" t="s">
        <v>2183</v>
      </c>
      <c r="W696" s="5" t="s">
        <v>69</v>
      </c>
      <c r="X696" s="5" t="s">
        <v>69</v>
      </c>
      <c r="Y696" s="4">
        <v>484</v>
      </c>
      <c r="Z696" s="4">
        <v>22</v>
      </c>
      <c r="AA696" s="4">
        <v>22</v>
      </c>
      <c r="AB696" s="4">
        <v>1</v>
      </c>
      <c r="AC696" s="4">
        <v>1</v>
      </c>
      <c r="AD696" s="4">
        <v>117</v>
      </c>
      <c r="AE696" s="4">
        <v>117</v>
      </c>
      <c r="AF696" s="4">
        <v>0</v>
      </c>
      <c r="AG696" s="4">
        <v>0</v>
      </c>
      <c r="AH696" s="4">
        <v>107</v>
      </c>
      <c r="AI696" s="4">
        <v>107</v>
      </c>
      <c r="AJ696" s="4">
        <v>16</v>
      </c>
      <c r="AK696" s="4">
        <v>16</v>
      </c>
      <c r="AL696" s="4">
        <v>56</v>
      </c>
      <c r="AM696" s="4">
        <v>56</v>
      </c>
      <c r="AN696" s="4">
        <v>0</v>
      </c>
      <c r="AO696" s="4">
        <v>0</v>
      </c>
      <c r="AP696" s="4">
        <v>17</v>
      </c>
      <c r="AQ696" s="4">
        <v>17</v>
      </c>
      <c r="AR696" s="3" t="s">
        <v>63</v>
      </c>
      <c r="AS696" s="3" t="s">
        <v>63</v>
      </c>
      <c r="AT696" s="3" t="s">
        <v>62</v>
      </c>
      <c r="AU696" s="6" t="str">
        <f>HYPERLINK("http://catalog.hathitrust.org/Record/000274424","HathiTrust Record")</f>
        <v>HathiTrust Record</v>
      </c>
      <c r="AV696" s="6" t="str">
        <f>HYPERLINK("http://mcgill.on.worldcat.org/oclc/7978150","Catalog Record")</f>
        <v>Catalog Record</v>
      </c>
      <c r="AW696" s="6" t="str">
        <f>HYPERLINK("http://www.worldcat.org/oclc/7978150","WorldCat Record")</f>
        <v>WorldCat Record</v>
      </c>
      <c r="AX696" s="3" t="s">
        <v>6973</v>
      </c>
      <c r="AY696" s="3" t="s">
        <v>6974</v>
      </c>
      <c r="AZ696" s="3" t="s">
        <v>6975</v>
      </c>
      <c r="BA696" s="3" t="s">
        <v>6975</v>
      </c>
      <c r="BB696" s="3" t="s">
        <v>6976</v>
      </c>
      <c r="BC696" s="3" t="s">
        <v>82</v>
      </c>
      <c r="BD696" s="3" t="s">
        <v>70</v>
      </c>
      <c r="BE696" s="3" t="s">
        <v>6977</v>
      </c>
      <c r="BF696" s="3" t="s">
        <v>6976</v>
      </c>
      <c r="BG696" s="3" t="s">
        <v>6978</v>
      </c>
    </row>
    <row r="697" spans="1:59" ht="60" x14ac:dyDescent="0.25">
      <c r="A697" s="2" t="s">
        <v>59</v>
      </c>
      <c r="B697" s="2" t="s">
        <v>60</v>
      </c>
      <c r="C697" s="2" t="s">
        <v>6979</v>
      </c>
      <c r="D697" s="2" t="s">
        <v>6980</v>
      </c>
      <c r="E697" s="2" t="s">
        <v>6981</v>
      </c>
      <c r="G697" s="3" t="s">
        <v>63</v>
      </c>
      <c r="I697" s="3" t="s">
        <v>63</v>
      </c>
      <c r="J697" s="3" t="s">
        <v>63</v>
      </c>
      <c r="K697" s="3" t="s">
        <v>64</v>
      </c>
      <c r="L697" s="2" t="s">
        <v>6982</v>
      </c>
      <c r="M697" s="2" t="s">
        <v>6983</v>
      </c>
      <c r="N697" s="3" t="s">
        <v>1557</v>
      </c>
      <c r="P697" s="3" t="s">
        <v>66</v>
      </c>
      <c r="R697" s="3" t="s">
        <v>67</v>
      </c>
      <c r="S697" s="4">
        <v>0</v>
      </c>
      <c r="T697" s="4">
        <v>0</v>
      </c>
      <c r="W697" s="5" t="s">
        <v>69</v>
      </c>
      <c r="X697" s="5" t="s">
        <v>69</v>
      </c>
      <c r="Y697" s="4">
        <v>115</v>
      </c>
      <c r="Z697" s="4">
        <v>6</v>
      </c>
      <c r="AA697" s="4">
        <v>11</v>
      </c>
      <c r="AB697" s="4">
        <v>3</v>
      </c>
      <c r="AC697" s="4">
        <v>6</v>
      </c>
      <c r="AD697" s="4">
        <v>47</v>
      </c>
      <c r="AE697" s="4">
        <v>54</v>
      </c>
      <c r="AF697" s="4">
        <v>1</v>
      </c>
      <c r="AG697" s="4">
        <v>2</v>
      </c>
      <c r="AH697" s="4">
        <v>44</v>
      </c>
      <c r="AI697" s="4">
        <v>50</v>
      </c>
      <c r="AJ697" s="4">
        <v>4</v>
      </c>
      <c r="AK697" s="4">
        <v>7</v>
      </c>
      <c r="AL697" s="4">
        <v>33</v>
      </c>
      <c r="AM697" s="4">
        <v>36</v>
      </c>
      <c r="AN697" s="4">
        <v>0</v>
      </c>
      <c r="AO697" s="4">
        <v>0</v>
      </c>
      <c r="AP697" s="4">
        <v>4</v>
      </c>
      <c r="AQ697" s="4">
        <v>7</v>
      </c>
      <c r="AR697" s="3" t="s">
        <v>63</v>
      </c>
      <c r="AS697" s="3" t="s">
        <v>63</v>
      </c>
      <c r="AT697" s="3" t="s">
        <v>63</v>
      </c>
      <c r="AV697" s="6" t="str">
        <f>HYPERLINK("http://mcgill.on.worldcat.org/oclc/953630548","Catalog Record")</f>
        <v>Catalog Record</v>
      </c>
      <c r="AW697" s="6" t="str">
        <f>HYPERLINK("http://www.worldcat.org/oclc/953630548","WorldCat Record")</f>
        <v>WorldCat Record</v>
      </c>
      <c r="AX697" s="3" t="s">
        <v>6984</v>
      </c>
      <c r="AY697" s="3" t="s">
        <v>6985</v>
      </c>
      <c r="AZ697" s="3" t="s">
        <v>6986</v>
      </c>
      <c r="BA697" s="3" t="s">
        <v>6986</v>
      </c>
      <c r="BB697" s="3" t="s">
        <v>6987</v>
      </c>
      <c r="BC697" s="3" t="s">
        <v>82</v>
      </c>
      <c r="BD697" s="3" t="s">
        <v>70</v>
      </c>
      <c r="BE697" s="3" t="s">
        <v>6988</v>
      </c>
      <c r="BF697" s="3" t="s">
        <v>6987</v>
      </c>
      <c r="BG697" s="3" t="s">
        <v>6989</v>
      </c>
    </row>
    <row r="698" spans="1:59" ht="60" x14ac:dyDescent="0.25">
      <c r="A698" s="2" t="s">
        <v>59</v>
      </c>
      <c r="B698" s="2" t="s">
        <v>60</v>
      </c>
      <c r="C698" s="2" t="s">
        <v>6990</v>
      </c>
      <c r="D698" s="2" t="s">
        <v>6991</v>
      </c>
      <c r="E698" s="2" t="s">
        <v>6992</v>
      </c>
      <c r="G698" s="3" t="s">
        <v>63</v>
      </c>
      <c r="I698" s="3" t="s">
        <v>63</v>
      </c>
      <c r="J698" s="3" t="s">
        <v>63</v>
      </c>
      <c r="K698" s="3" t="s">
        <v>64</v>
      </c>
      <c r="L698" s="2" t="s">
        <v>6993</v>
      </c>
      <c r="M698" s="2" t="s">
        <v>6994</v>
      </c>
      <c r="N698" s="3" t="s">
        <v>143</v>
      </c>
      <c r="P698" s="3" t="s">
        <v>90</v>
      </c>
      <c r="R698" s="3" t="s">
        <v>67</v>
      </c>
      <c r="S698" s="4">
        <v>0</v>
      </c>
      <c r="T698" s="4">
        <v>0</v>
      </c>
      <c r="W698" s="5" t="s">
        <v>69</v>
      </c>
      <c r="X698" s="5" t="s">
        <v>69</v>
      </c>
      <c r="Y698" s="4">
        <v>37</v>
      </c>
      <c r="Z698" s="4">
        <v>3</v>
      </c>
      <c r="AA698" s="4">
        <v>6</v>
      </c>
      <c r="AB698" s="4">
        <v>1</v>
      </c>
      <c r="AC698" s="4">
        <v>1</v>
      </c>
      <c r="AD698" s="4">
        <v>29</v>
      </c>
      <c r="AE698" s="4">
        <v>31</v>
      </c>
      <c r="AF698" s="4">
        <v>0</v>
      </c>
      <c r="AG698" s="4">
        <v>0</v>
      </c>
      <c r="AH698" s="4">
        <v>28</v>
      </c>
      <c r="AI698" s="4">
        <v>30</v>
      </c>
      <c r="AJ698" s="4">
        <v>2</v>
      </c>
      <c r="AK698" s="4">
        <v>4</v>
      </c>
      <c r="AL698" s="4">
        <v>23</v>
      </c>
      <c r="AM698" s="4">
        <v>24</v>
      </c>
      <c r="AN698" s="4">
        <v>0</v>
      </c>
      <c r="AO698" s="4">
        <v>0</v>
      </c>
      <c r="AP698" s="4">
        <v>2</v>
      </c>
      <c r="AQ698" s="4">
        <v>4</v>
      </c>
      <c r="AR698" s="3" t="s">
        <v>63</v>
      </c>
      <c r="AS698" s="3" t="s">
        <v>63</v>
      </c>
      <c r="AT698" s="3" t="s">
        <v>63</v>
      </c>
      <c r="AV698" s="6" t="str">
        <f>HYPERLINK("http://mcgill.on.worldcat.org/oclc/879321308","Catalog Record")</f>
        <v>Catalog Record</v>
      </c>
      <c r="AW698" s="6" t="str">
        <f>HYPERLINK("http://www.worldcat.org/oclc/879321308","WorldCat Record")</f>
        <v>WorldCat Record</v>
      </c>
      <c r="AX698" s="3" t="s">
        <v>6995</v>
      </c>
      <c r="AY698" s="3" t="s">
        <v>6996</v>
      </c>
      <c r="AZ698" s="3" t="s">
        <v>6997</v>
      </c>
      <c r="BA698" s="3" t="s">
        <v>6997</v>
      </c>
      <c r="BB698" s="3" t="s">
        <v>6998</v>
      </c>
      <c r="BC698" s="3" t="s">
        <v>82</v>
      </c>
      <c r="BD698" s="3" t="s">
        <v>70</v>
      </c>
      <c r="BE698" s="3" t="s">
        <v>6999</v>
      </c>
      <c r="BF698" s="3" t="s">
        <v>6998</v>
      </c>
      <c r="BG698" s="3" t="s">
        <v>7000</v>
      </c>
    </row>
    <row r="699" spans="1:59" ht="60" x14ac:dyDescent="0.25">
      <c r="A699" s="2" t="s">
        <v>59</v>
      </c>
      <c r="B699" s="2" t="s">
        <v>60</v>
      </c>
      <c r="C699" s="2" t="s">
        <v>7001</v>
      </c>
      <c r="D699" s="2" t="s">
        <v>7002</v>
      </c>
      <c r="E699" s="2" t="s">
        <v>7003</v>
      </c>
      <c r="G699" s="3" t="s">
        <v>63</v>
      </c>
      <c r="I699" s="3" t="s">
        <v>63</v>
      </c>
      <c r="J699" s="3" t="s">
        <v>63</v>
      </c>
      <c r="K699" s="3" t="s">
        <v>64</v>
      </c>
      <c r="L699" s="2" t="s">
        <v>7004</v>
      </c>
      <c r="M699" s="2" t="s">
        <v>7005</v>
      </c>
      <c r="N699" s="3" t="s">
        <v>2535</v>
      </c>
      <c r="P699" s="3" t="s">
        <v>66</v>
      </c>
      <c r="Q699" s="2" t="s">
        <v>7006</v>
      </c>
      <c r="R699" s="3" t="s">
        <v>67</v>
      </c>
      <c r="S699" s="4">
        <v>32</v>
      </c>
      <c r="T699" s="4">
        <v>32</v>
      </c>
      <c r="U699" s="5" t="s">
        <v>7007</v>
      </c>
      <c r="V699" s="5" t="s">
        <v>7007</v>
      </c>
      <c r="W699" s="5" t="s">
        <v>69</v>
      </c>
      <c r="X699" s="5" t="s">
        <v>69</v>
      </c>
      <c r="Y699" s="4">
        <v>165</v>
      </c>
      <c r="Z699" s="4">
        <v>16</v>
      </c>
      <c r="AA699" s="4">
        <v>26</v>
      </c>
      <c r="AB699" s="4">
        <v>2</v>
      </c>
      <c r="AC699" s="4">
        <v>3</v>
      </c>
      <c r="AD699" s="4">
        <v>57</v>
      </c>
      <c r="AE699" s="4">
        <v>109</v>
      </c>
      <c r="AF699" s="4">
        <v>0</v>
      </c>
      <c r="AG699" s="4">
        <v>1</v>
      </c>
      <c r="AH699" s="4">
        <v>52</v>
      </c>
      <c r="AI699" s="4">
        <v>96</v>
      </c>
      <c r="AJ699" s="4">
        <v>7</v>
      </c>
      <c r="AK699" s="4">
        <v>14</v>
      </c>
      <c r="AL699" s="4">
        <v>27</v>
      </c>
      <c r="AM699" s="4">
        <v>54</v>
      </c>
      <c r="AN699" s="4">
        <v>0</v>
      </c>
      <c r="AO699" s="4">
        <v>0</v>
      </c>
      <c r="AP699" s="4">
        <v>10</v>
      </c>
      <c r="AQ699" s="4">
        <v>18</v>
      </c>
      <c r="AR699" s="3" t="s">
        <v>63</v>
      </c>
      <c r="AS699" s="3" t="s">
        <v>63</v>
      </c>
      <c r="AT699" s="3" t="s">
        <v>62</v>
      </c>
      <c r="AU699" s="6" t="str">
        <f>HYPERLINK("http://catalog.hathitrust.org/Record/001055022","HathiTrust Record")</f>
        <v>HathiTrust Record</v>
      </c>
      <c r="AV699" s="6" t="str">
        <f>HYPERLINK("http://mcgill.on.worldcat.org/oclc/3090834","Catalog Record")</f>
        <v>Catalog Record</v>
      </c>
      <c r="AW699" s="6" t="str">
        <f>HYPERLINK("http://www.worldcat.org/oclc/3090834","WorldCat Record")</f>
        <v>WorldCat Record</v>
      </c>
      <c r="AX699" s="3" t="s">
        <v>7008</v>
      </c>
      <c r="AY699" s="3" t="s">
        <v>7009</v>
      </c>
      <c r="AZ699" s="3" t="s">
        <v>7010</v>
      </c>
      <c r="BA699" s="3" t="s">
        <v>7010</v>
      </c>
      <c r="BB699" s="3" t="s">
        <v>7011</v>
      </c>
      <c r="BC699" s="3" t="s">
        <v>82</v>
      </c>
      <c r="BD699" s="3" t="s">
        <v>70</v>
      </c>
      <c r="BE699" s="3" t="s">
        <v>7012</v>
      </c>
      <c r="BF699" s="3" t="s">
        <v>7011</v>
      </c>
      <c r="BG699" s="3" t="s">
        <v>7013</v>
      </c>
    </row>
    <row r="700" spans="1:59" ht="75" x14ac:dyDescent="0.25">
      <c r="A700" s="2" t="s">
        <v>59</v>
      </c>
      <c r="B700" s="2" t="s">
        <v>60</v>
      </c>
      <c r="C700" s="2" t="s">
        <v>7014</v>
      </c>
      <c r="D700" s="2" t="s">
        <v>7015</v>
      </c>
      <c r="E700" s="2" t="s">
        <v>7016</v>
      </c>
      <c r="G700" s="3" t="s">
        <v>63</v>
      </c>
      <c r="I700" s="3" t="s">
        <v>63</v>
      </c>
      <c r="J700" s="3" t="s">
        <v>63</v>
      </c>
      <c r="K700" s="3" t="s">
        <v>64</v>
      </c>
      <c r="M700" s="2" t="s">
        <v>7017</v>
      </c>
      <c r="N700" s="3" t="s">
        <v>1557</v>
      </c>
      <c r="P700" s="3" t="s">
        <v>90</v>
      </c>
      <c r="Q700" s="2" t="s">
        <v>7018</v>
      </c>
      <c r="R700" s="3" t="s">
        <v>67</v>
      </c>
      <c r="S700" s="4">
        <v>1</v>
      </c>
      <c r="T700" s="4">
        <v>1</v>
      </c>
      <c r="U700" s="5" t="s">
        <v>7019</v>
      </c>
      <c r="V700" s="5" t="s">
        <v>7019</v>
      </c>
      <c r="W700" s="5" t="s">
        <v>69</v>
      </c>
      <c r="X700" s="5" t="s">
        <v>69</v>
      </c>
      <c r="Y700" s="4">
        <v>32</v>
      </c>
      <c r="Z700" s="4">
        <v>1</v>
      </c>
      <c r="AA700" s="4">
        <v>1</v>
      </c>
      <c r="AB700" s="4">
        <v>1</v>
      </c>
      <c r="AC700" s="4">
        <v>1</v>
      </c>
      <c r="AD700" s="4">
        <v>23</v>
      </c>
      <c r="AE700" s="4">
        <v>24</v>
      </c>
      <c r="AF700" s="4">
        <v>0</v>
      </c>
      <c r="AG700" s="4">
        <v>0</v>
      </c>
      <c r="AH700" s="4">
        <v>22</v>
      </c>
      <c r="AI700" s="4">
        <v>23</v>
      </c>
      <c r="AJ700" s="4">
        <v>0</v>
      </c>
      <c r="AK700" s="4">
        <v>0</v>
      </c>
      <c r="AL700" s="4">
        <v>19</v>
      </c>
      <c r="AM700" s="4">
        <v>20</v>
      </c>
      <c r="AN700" s="4">
        <v>0</v>
      </c>
      <c r="AO700" s="4">
        <v>0</v>
      </c>
      <c r="AP700" s="4">
        <v>0</v>
      </c>
      <c r="AQ700" s="4">
        <v>0</v>
      </c>
      <c r="AR700" s="3" t="s">
        <v>63</v>
      </c>
      <c r="AS700" s="3" t="s">
        <v>63</v>
      </c>
      <c r="AT700" s="3" t="s">
        <v>63</v>
      </c>
      <c r="AV700" s="6" t="str">
        <f>HYPERLINK("http://mcgill.on.worldcat.org/oclc/987295206","Catalog Record")</f>
        <v>Catalog Record</v>
      </c>
      <c r="AW700" s="6" t="str">
        <f>HYPERLINK("http://www.worldcat.org/oclc/987295206","WorldCat Record")</f>
        <v>WorldCat Record</v>
      </c>
      <c r="AX700" s="3" t="s">
        <v>7020</v>
      </c>
      <c r="AY700" s="3" t="s">
        <v>7021</v>
      </c>
      <c r="AZ700" s="3" t="s">
        <v>7022</v>
      </c>
      <c r="BA700" s="3" t="s">
        <v>7022</v>
      </c>
      <c r="BB700" s="3" t="s">
        <v>7023</v>
      </c>
      <c r="BC700" s="3" t="s">
        <v>82</v>
      </c>
      <c r="BD700" s="3" t="s">
        <v>70</v>
      </c>
      <c r="BE700" s="3" t="s">
        <v>7024</v>
      </c>
      <c r="BF700" s="3" t="s">
        <v>7023</v>
      </c>
      <c r="BG700" s="3" t="s">
        <v>7025</v>
      </c>
    </row>
    <row r="701" spans="1:59" ht="60" x14ac:dyDescent="0.25">
      <c r="A701" s="2" t="s">
        <v>59</v>
      </c>
      <c r="B701" s="2" t="s">
        <v>60</v>
      </c>
      <c r="C701" s="2" t="s">
        <v>7026</v>
      </c>
      <c r="D701" s="2" t="s">
        <v>7027</v>
      </c>
      <c r="E701" s="2" t="s">
        <v>7028</v>
      </c>
      <c r="G701" s="3" t="s">
        <v>63</v>
      </c>
      <c r="I701" s="3" t="s">
        <v>62</v>
      </c>
      <c r="J701" s="3" t="s">
        <v>62</v>
      </c>
      <c r="K701" s="3" t="s">
        <v>64</v>
      </c>
      <c r="L701" s="2" t="s">
        <v>6818</v>
      </c>
      <c r="M701" s="2" t="s">
        <v>7029</v>
      </c>
      <c r="N701" s="3" t="s">
        <v>1296</v>
      </c>
      <c r="O701" s="2" t="s">
        <v>7030</v>
      </c>
      <c r="P701" s="3" t="s">
        <v>66</v>
      </c>
      <c r="Q701" s="2" t="s">
        <v>7031</v>
      </c>
      <c r="R701" s="3" t="s">
        <v>67</v>
      </c>
      <c r="S701" s="4">
        <v>9</v>
      </c>
      <c r="T701" s="4">
        <v>23</v>
      </c>
      <c r="U701" s="5" t="s">
        <v>2032</v>
      </c>
      <c r="V701" s="5" t="s">
        <v>2032</v>
      </c>
      <c r="W701" s="5" t="s">
        <v>69</v>
      </c>
      <c r="X701" s="5" t="s">
        <v>69</v>
      </c>
      <c r="Y701" s="4">
        <v>236</v>
      </c>
      <c r="Z701" s="4">
        <v>15</v>
      </c>
      <c r="AA701" s="4">
        <v>99</v>
      </c>
      <c r="AB701" s="4">
        <v>2</v>
      </c>
      <c r="AC701" s="4">
        <v>15</v>
      </c>
      <c r="AD701" s="4">
        <v>55</v>
      </c>
      <c r="AE701" s="4">
        <v>156</v>
      </c>
      <c r="AF701" s="4">
        <v>1</v>
      </c>
      <c r="AG701" s="4">
        <v>8</v>
      </c>
      <c r="AH701" s="4">
        <v>48</v>
      </c>
      <c r="AI701" s="4">
        <v>114</v>
      </c>
      <c r="AJ701" s="4">
        <v>9</v>
      </c>
      <c r="AK701" s="4">
        <v>28</v>
      </c>
      <c r="AL701" s="4">
        <v>28</v>
      </c>
      <c r="AM701" s="4">
        <v>61</v>
      </c>
      <c r="AN701" s="4">
        <v>5</v>
      </c>
      <c r="AO701" s="4">
        <v>5</v>
      </c>
      <c r="AP701" s="4">
        <v>11</v>
      </c>
      <c r="AQ701" s="4">
        <v>50</v>
      </c>
      <c r="AR701" s="3" t="s">
        <v>63</v>
      </c>
      <c r="AS701" s="3" t="s">
        <v>63</v>
      </c>
      <c r="AT701" s="3" t="s">
        <v>62</v>
      </c>
      <c r="AU701" s="6" t="str">
        <f>HYPERLINK("http://catalog.hathitrust.org/Record/101860153","HathiTrust Record")</f>
        <v>HathiTrust Record</v>
      </c>
      <c r="AV701" s="6" t="str">
        <f>HYPERLINK("http://mcgill.on.worldcat.org/oclc/78374","Catalog Record")</f>
        <v>Catalog Record</v>
      </c>
      <c r="AW701" s="6" t="str">
        <f>HYPERLINK("http://www.worldcat.org/oclc/78374","WorldCat Record")</f>
        <v>WorldCat Record</v>
      </c>
      <c r="AX701" s="3" t="s">
        <v>7032</v>
      </c>
      <c r="AY701" s="3" t="s">
        <v>7033</v>
      </c>
      <c r="AZ701" s="3" t="s">
        <v>7034</v>
      </c>
      <c r="BA701" s="3" t="s">
        <v>7034</v>
      </c>
      <c r="BB701" s="3" t="s">
        <v>7035</v>
      </c>
      <c r="BC701" s="3" t="s">
        <v>82</v>
      </c>
      <c r="BD701" s="3" t="s">
        <v>70</v>
      </c>
      <c r="BF701" s="3" t="s">
        <v>7035</v>
      </c>
      <c r="BG701" s="3" t="s">
        <v>7036</v>
      </c>
    </row>
    <row r="702" spans="1:59" ht="60" x14ac:dyDescent="0.25">
      <c r="A702" s="2" t="s">
        <v>59</v>
      </c>
      <c r="B702" s="2" t="s">
        <v>60</v>
      </c>
      <c r="C702" s="2" t="s">
        <v>7026</v>
      </c>
      <c r="D702" s="2" t="s">
        <v>7027</v>
      </c>
      <c r="E702" s="2" t="s">
        <v>7028</v>
      </c>
      <c r="G702" s="3" t="s">
        <v>63</v>
      </c>
      <c r="I702" s="3" t="s">
        <v>62</v>
      </c>
      <c r="J702" s="3" t="s">
        <v>62</v>
      </c>
      <c r="K702" s="3" t="s">
        <v>64</v>
      </c>
      <c r="L702" s="2" t="s">
        <v>6818</v>
      </c>
      <c r="M702" s="2" t="s">
        <v>7029</v>
      </c>
      <c r="N702" s="3" t="s">
        <v>1296</v>
      </c>
      <c r="O702" s="2" t="s">
        <v>7030</v>
      </c>
      <c r="P702" s="3" t="s">
        <v>66</v>
      </c>
      <c r="Q702" s="2" t="s">
        <v>7031</v>
      </c>
      <c r="R702" s="3" t="s">
        <v>67</v>
      </c>
      <c r="S702" s="4">
        <v>14</v>
      </c>
      <c r="T702" s="4">
        <v>23</v>
      </c>
      <c r="U702" s="5" t="s">
        <v>7037</v>
      </c>
      <c r="V702" s="5" t="s">
        <v>2032</v>
      </c>
      <c r="W702" s="5" t="s">
        <v>69</v>
      </c>
      <c r="X702" s="5" t="s">
        <v>69</v>
      </c>
      <c r="Y702" s="4">
        <v>236</v>
      </c>
      <c r="Z702" s="4">
        <v>15</v>
      </c>
      <c r="AA702" s="4">
        <v>99</v>
      </c>
      <c r="AB702" s="4">
        <v>2</v>
      </c>
      <c r="AC702" s="4">
        <v>15</v>
      </c>
      <c r="AD702" s="4">
        <v>55</v>
      </c>
      <c r="AE702" s="4">
        <v>156</v>
      </c>
      <c r="AF702" s="4">
        <v>1</v>
      </c>
      <c r="AG702" s="4">
        <v>8</v>
      </c>
      <c r="AH702" s="4">
        <v>48</v>
      </c>
      <c r="AI702" s="4">
        <v>114</v>
      </c>
      <c r="AJ702" s="4">
        <v>9</v>
      </c>
      <c r="AK702" s="4">
        <v>28</v>
      </c>
      <c r="AL702" s="4">
        <v>28</v>
      </c>
      <c r="AM702" s="4">
        <v>61</v>
      </c>
      <c r="AN702" s="4">
        <v>5</v>
      </c>
      <c r="AO702" s="4">
        <v>5</v>
      </c>
      <c r="AP702" s="4">
        <v>11</v>
      </c>
      <c r="AQ702" s="4">
        <v>50</v>
      </c>
      <c r="AR702" s="3" t="s">
        <v>63</v>
      </c>
      <c r="AS702" s="3" t="s">
        <v>63</v>
      </c>
      <c r="AT702" s="3" t="s">
        <v>62</v>
      </c>
      <c r="AU702" s="6" t="str">
        <f>HYPERLINK("http://catalog.hathitrust.org/Record/101860153","HathiTrust Record")</f>
        <v>HathiTrust Record</v>
      </c>
      <c r="AV702" s="6" t="str">
        <f>HYPERLINK("http://mcgill.on.worldcat.org/oclc/78374","Catalog Record")</f>
        <v>Catalog Record</v>
      </c>
      <c r="AW702" s="6" t="str">
        <f>HYPERLINK("http://www.worldcat.org/oclc/78374","WorldCat Record")</f>
        <v>WorldCat Record</v>
      </c>
      <c r="AX702" s="3" t="s">
        <v>7032</v>
      </c>
      <c r="AY702" s="3" t="s">
        <v>7033</v>
      </c>
      <c r="AZ702" s="3" t="s">
        <v>7034</v>
      </c>
      <c r="BA702" s="3" t="s">
        <v>7034</v>
      </c>
      <c r="BB702" s="3" t="s">
        <v>7038</v>
      </c>
      <c r="BC702" s="3" t="s">
        <v>82</v>
      </c>
      <c r="BD702" s="3" t="s">
        <v>70</v>
      </c>
      <c r="BF702" s="3" t="s">
        <v>7038</v>
      </c>
      <c r="BG702" s="3" t="s">
        <v>7039</v>
      </c>
    </row>
    <row r="703" spans="1:59" ht="60" x14ac:dyDescent="0.25">
      <c r="A703" s="2" t="s">
        <v>59</v>
      </c>
      <c r="B703" s="2" t="s">
        <v>60</v>
      </c>
      <c r="C703" s="2" t="s">
        <v>7040</v>
      </c>
      <c r="D703" s="2" t="s">
        <v>7041</v>
      </c>
      <c r="E703" s="2" t="s">
        <v>7042</v>
      </c>
      <c r="G703" s="3" t="s">
        <v>63</v>
      </c>
      <c r="I703" s="3" t="s">
        <v>63</v>
      </c>
      <c r="J703" s="3" t="s">
        <v>62</v>
      </c>
      <c r="K703" s="3" t="s">
        <v>64</v>
      </c>
      <c r="L703" s="2" t="s">
        <v>6818</v>
      </c>
      <c r="M703" s="2" t="s">
        <v>7043</v>
      </c>
      <c r="N703" s="3" t="s">
        <v>2951</v>
      </c>
      <c r="O703" s="2" t="s">
        <v>402</v>
      </c>
      <c r="P703" s="3" t="s">
        <v>66</v>
      </c>
      <c r="Q703" s="2" t="s">
        <v>7044</v>
      </c>
      <c r="R703" s="3" t="s">
        <v>67</v>
      </c>
      <c r="S703" s="4">
        <v>38</v>
      </c>
      <c r="T703" s="4">
        <v>38</v>
      </c>
      <c r="U703" s="5" t="s">
        <v>7045</v>
      </c>
      <c r="V703" s="5" t="s">
        <v>7045</v>
      </c>
      <c r="W703" s="5" t="s">
        <v>69</v>
      </c>
      <c r="X703" s="5" t="s">
        <v>69</v>
      </c>
      <c r="Y703" s="4">
        <v>141</v>
      </c>
      <c r="Z703" s="4">
        <v>8</v>
      </c>
      <c r="AA703" s="4">
        <v>99</v>
      </c>
      <c r="AB703" s="4">
        <v>1</v>
      </c>
      <c r="AC703" s="4">
        <v>15</v>
      </c>
      <c r="AD703" s="4">
        <v>39</v>
      </c>
      <c r="AE703" s="4">
        <v>156</v>
      </c>
      <c r="AF703" s="4">
        <v>0</v>
      </c>
      <c r="AG703" s="4">
        <v>8</v>
      </c>
      <c r="AH703" s="4">
        <v>34</v>
      </c>
      <c r="AI703" s="4">
        <v>114</v>
      </c>
      <c r="AJ703" s="4">
        <v>5</v>
      </c>
      <c r="AK703" s="4">
        <v>28</v>
      </c>
      <c r="AL703" s="4">
        <v>25</v>
      </c>
      <c r="AM703" s="4">
        <v>61</v>
      </c>
      <c r="AN703" s="4">
        <v>0</v>
      </c>
      <c r="AO703" s="4">
        <v>5</v>
      </c>
      <c r="AP703" s="4">
        <v>5</v>
      </c>
      <c r="AQ703" s="4">
        <v>50</v>
      </c>
      <c r="AR703" s="3" t="s">
        <v>63</v>
      </c>
      <c r="AS703" s="3" t="s">
        <v>63</v>
      </c>
      <c r="AT703" s="3" t="s">
        <v>62</v>
      </c>
      <c r="AU703" s="6" t="str">
        <f>HYPERLINK("http://catalog.hathitrust.org/Record/000745170","HathiTrust Record")</f>
        <v>HathiTrust Record</v>
      </c>
      <c r="AV703" s="6" t="str">
        <f>HYPERLINK("http://mcgill.on.worldcat.org/oclc/6150074","Catalog Record")</f>
        <v>Catalog Record</v>
      </c>
      <c r="AW703" s="6" t="str">
        <f>HYPERLINK("http://www.worldcat.org/oclc/6150074","WorldCat Record")</f>
        <v>WorldCat Record</v>
      </c>
      <c r="AX703" s="3" t="s">
        <v>7032</v>
      </c>
      <c r="AY703" s="3" t="s">
        <v>7046</v>
      </c>
      <c r="AZ703" s="3" t="s">
        <v>7047</v>
      </c>
      <c r="BA703" s="3" t="s">
        <v>7047</v>
      </c>
      <c r="BB703" s="3" t="s">
        <v>7048</v>
      </c>
      <c r="BC703" s="3" t="s">
        <v>82</v>
      </c>
      <c r="BD703" s="3" t="s">
        <v>70</v>
      </c>
      <c r="BE703" s="3" t="s">
        <v>7049</v>
      </c>
      <c r="BF703" s="3" t="s">
        <v>7048</v>
      </c>
      <c r="BG703" s="3" t="s">
        <v>7050</v>
      </c>
    </row>
    <row r="704" spans="1:59" ht="60" x14ac:dyDescent="0.25">
      <c r="A704" s="2" t="s">
        <v>59</v>
      </c>
      <c r="B704" s="2" t="s">
        <v>60</v>
      </c>
      <c r="C704" s="2" t="s">
        <v>7051</v>
      </c>
      <c r="D704" s="2" t="s">
        <v>7052</v>
      </c>
      <c r="E704" s="2" t="s">
        <v>7053</v>
      </c>
      <c r="G704" s="3" t="s">
        <v>63</v>
      </c>
      <c r="I704" s="3" t="s">
        <v>63</v>
      </c>
      <c r="J704" s="3" t="s">
        <v>63</v>
      </c>
      <c r="K704" s="3" t="s">
        <v>64</v>
      </c>
      <c r="M704" s="2" t="s">
        <v>7054</v>
      </c>
      <c r="N704" s="3" t="s">
        <v>65</v>
      </c>
      <c r="P704" s="3" t="s">
        <v>66</v>
      </c>
      <c r="Q704" s="2" t="s">
        <v>7055</v>
      </c>
      <c r="R704" s="3" t="s">
        <v>67</v>
      </c>
      <c r="S704" s="4">
        <v>10</v>
      </c>
      <c r="T704" s="4">
        <v>10</v>
      </c>
      <c r="U704" s="5" t="s">
        <v>1929</v>
      </c>
      <c r="V704" s="5" t="s">
        <v>1929</v>
      </c>
      <c r="W704" s="5" t="s">
        <v>69</v>
      </c>
      <c r="X704" s="5" t="s">
        <v>69</v>
      </c>
      <c r="Y704" s="4">
        <v>114</v>
      </c>
      <c r="Z704" s="4">
        <v>18</v>
      </c>
      <c r="AA704" s="4">
        <v>20</v>
      </c>
      <c r="AB704" s="4">
        <v>2</v>
      </c>
      <c r="AC704" s="4">
        <v>3</v>
      </c>
      <c r="AD704" s="4">
        <v>62</v>
      </c>
      <c r="AE704" s="4">
        <v>64</v>
      </c>
      <c r="AF704" s="4">
        <v>1</v>
      </c>
      <c r="AG704" s="4">
        <v>2</v>
      </c>
      <c r="AH704" s="4">
        <v>54</v>
      </c>
      <c r="AI704" s="4">
        <v>56</v>
      </c>
      <c r="AJ704" s="4">
        <v>16</v>
      </c>
      <c r="AK704" s="4">
        <v>18</v>
      </c>
      <c r="AL704" s="4">
        <v>33</v>
      </c>
      <c r="AM704" s="4">
        <v>33</v>
      </c>
      <c r="AN704" s="4">
        <v>0</v>
      </c>
      <c r="AO704" s="4">
        <v>0</v>
      </c>
      <c r="AP704" s="4">
        <v>16</v>
      </c>
      <c r="AQ704" s="4">
        <v>18</v>
      </c>
      <c r="AR704" s="3" t="s">
        <v>63</v>
      </c>
      <c r="AS704" s="3" t="s">
        <v>63</v>
      </c>
      <c r="AT704" s="3" t="s">
        <v>63</v>
      </c>
      <c r="AV704" s="6" t="str">
        <f>HYPERLINK("http://mcgill.on.worldcat.org/oclc/4422297","Catalog Record")</f>
        <v>Catalog Record</v>
      </c>
      <c r="AW704" s="6" t="str">
        <f>HYPERLINK("http://www.worldcat.org/oclc/4422297","WorldCat Record")</f>
        <v>WorldCat Record</v>
      </c>
      <c r="AX704" s="3" t="s">
        <v>7056</v>
      </c>
      <c r="AY704" s="3" t="s">
        <v>7057</v>
      </c>
      <c r="AZ704" s="3" t="s">
        <v>7058</v>
      </c>
      <c r="BA704" s="3" t="s">
        <v>7058</v>
      </c>
      <c r="BB704" s="3" t="s">
        <v>7059</v>
      </c>
      <c r="BC704" s="3" t="s">
        <v>82</v>
      </c>
      <c r="BD704" s="3" t="s">
        <v>70</v>
      </c>
      <c r="BF704" s="3" t="s">
        <v>7059</v>
      </c>
      <c r="BG704" s="3" t="s">
        <v>7060</v>
      </c>
    </row>
    <row r="705" spans="1:59" ht="60" x14ac:dyDescent="0.25">
      <c r="A705" s="2" t="s">
        <v>59</v>
      </c>
      <c r="B705" s="2" t="s">
        <v>60</v>
      </c>
      <c r="C705" s="2" t="s">
        <v>7061</v>
      </c>
      <c r="D705" s="2" t="s">
        <v>7062</v>
      </c>
      <c r="E705" s="2" t="s">
        <v>7063</v>
      </c>
      <c r="G705" s="3" t="s">
        <v>63</v>
      </c>
      <c r="I705" s="3" t="s">
        <v>63</v>
      </c>
      <c r="J705" s="3" t="s">
        <v>63</v>
      </c>
      <c r="K705" s="3" t="s">
        <v>64</v>
      </c>
      <c r="L705" s="2" t="s">
        <v>7064</v>
      </c>
      <c r="M705" s="2" t="s">
        <v>7065</v>
      </c>
      <c r="N705" s="3" t="s">
        <v>76</v>
      </c>
      <c r="P705" s="3" t="s">
        <v>90</v>
      </c>
      <c r="Q705" s="2" t="s">
        <v>7066</v>
      </c>
      <c r="R705" s="3" t="s">
        <v>67</v>
      </c>
      <c r="S705" s="4">
        <v>0</v>
      </c>
      <c r="T705" s="4">
        <v>0</v>
      </c>
      <c r="W705" s="5" t="s">
        <v>69</v>
      </c>
      <c r="X705" s="5" t="s">
        <v>69</v>
      </c>
      <c r="Y705" s="4">
        <v>34</v>
      </c>
      <c r="Z705" s="4">
        <v>4</v>
      </c>
      <c r="AA705" s="4">
        <v>4</v>
      </c>
      <c r="AB705" s="4">
        <v>1</v>
      </c>
      <c r="AC705" s="4">
        <v>1</v>
      </c>
      <c r="AD705" s="4">
        <v>26</v>
      </c>
      <c r="AE705" s="4">
        <v>26</v>
      </c>
      <c r="AF705" s="4">
        <v>0</v>
      </c>
      <c r="AG705" s="4">
        <v>0</v>
      </c>
      <c r="AH705" s="4">
        <v>25</v>
      </c>
      <c r="AI705" s="4">
        <v>25</v>
      </c>
      <c r="AJ705" s="4">
        <v>2</v>
      </c>
      <c r="AK705" s="4">
        <v>2</v>
      </c>
      <c r="AL705" s="4">
        <v>22</v>
      </c>
      <c r="AM705" s="4">
        <v>22</v>
      </c>
      <c r="AN705" s="4">
        <v>0</v>
      </c>
      <c r="AO705" s="4">
        <v>0</v>
      </c>
      <c r="AP705" s="4">
        <v>2</v>
      </c>
      <c r="AQ705" s="4">
        <v>2</v>
      </c>
      <c r="AR705" s="3" t="s">
        <v>63</v>
      </c>
      <c r="AS705" s="3" t="s">
        <v>63</v>
      </c>
      <c r="AT705" s="3" t="s">
        <v>63</v>
      </c>
      <c r="AV705" s="6" t="str">
        <f>HYPERLINK("http://mcgill.on.worldcat.org/oclc/794175798","Catalog Record")</f>
        <v>Catalog Record</v>
      </c>
      <c r="AW705" s="6" t="str">
        <f>HYPERLINK("http://www.worldcat.org/oclc/794175798","WorldCat Record")</f>
        <v>WorldCat Record</v>
      </c>
      <c r="AX705" s="3" t="s">
        <v>7067</v>
      </c>
      <c r="AY705" s="3" t="s">
        <v>7068</v>
      </c>
      <c r="AZ705" s="3" t="s">
        <v>7069</v>
      </c>
      <c r="BA705" s="3" t="s">
        <v>7069</v>
      </c>
      <c r="BB705" s="3" t="s">
        <v>7070</v>
      </c>
      <c r="BC705" s="3" t="s">
        <v>82</v>
      </c>
      <c r="BD705" s="3" t="s">
        <v>70</v>
      </c>
      <c r="BE705" s="3" t="s">
        <v>7071</v>
      </c>
      <c r="BF705" s="3" t="s">
        <v>7070</v>
      </c>
      <c r="BG705" s="3" t="s">
        <v>7072</v>
      </c>
    </row>
    <row r="706" spans="1:59" ht="60" x14ac:dyDescent="0.25">
      <c r="A706" s="2" t="s">
        <v>59</v>
      </c>
      <c r="B706" s="2" t="s">
        <v>60</v>
      </c>
      <c r="C706" s="2" t="s">
        <v>7073</v>
      </c>
      <c r="D706" s="2" t="s">
        <v>7074</v>
      </c>
      <c r="E706" s="2" t="s">
        <v>7075</v>
      </c>
      <c r="G706" s="3" t="s">
        <v>63</v>
      </c>
      <c r="I706" s="3" t="s">
        <v>63</v>
      </c>
      <c r="J706" s="3" t="s">
        <v>63</v>
      </c>
      <c r="K706" s="3" t="s">
        <v>64</v>
      </c>
      <c r="L706" s="2" t="s">
        <v>7076</v>
      </c>
      <c r="M706" s="2" t="s">
        <v>7077</v>
      </c>
      <c r="N706" s="3" t="s">
        <v>939</v>
      </c>
      <c r="P706" s="3" t="s">
        <v>66</v>
      </c>
      <c r="Q706" s="2" t="s">
        <v>7078</v>
      </c>
      <c r="R706" s="3" t="s">
        <v>67</v>
      </c>
      <c r="S706" s="4">
        <v>9</v>
      </c>
      <c r="T706" s="4">
        <v>9</v>
      </c>
      <c r="U706" s="5" t="s">
        <v>1356</v>
      </c>
      <c r="V706" s="5" t="s">
        <v>1356</v>
      </c>
      <c r="W706" s="5" t="s">
        <v>69</v>
      </c>
      <c r="X706" s="5" t="s">
        <v>69</v>
      </c>
      <c r="Y706" s="4">
        <v>313</v>
      </c>
      <c r="Z706" s="4">
        <v>23</v>
      </c>
      <c r="AA706" s="4">
        <v>27</v>
      </c>
      <c r="AB706" s="4">
        <v>1</v>
      </c>
      <c r="AC706" s="4">
        <v>4</v>
      </c>
      <c r="AD706" s="4">
        <v>109</v>
      </c>
      <c r="AE706" s="4">
        <v>113</v>
      </c>
      <c r="AF706" s="4">
        <v>0</v>
      </c>
      <c r="AG706" s="4">
        <v>3</v>
      </c>
      <c r="AH706" s="4">
        <v>95</v>
      </c>
      <c r="AI706" s="4">
        <v>97</v>
      </c>
      <c r="AJ706" s="4">
        <v>18</v>
      </c>
      <c r="AK706" s="4">
        <v>22</v>
      </c>
      <c r="AL706" s="4">
        <v>53</v>
      </c>
      <c r="AM706" s="4">
        <v>53</v>
      </c>
      <c r="AN706" s="4">
        <v>0</v>
      </c>
      <c r="AO706" s="4">
        <v>0</v>
      </c>
      <c r="AP706" s="4">
        <v>21</v>
      </c>
      <c r="AQ706" s="4">
        <v>24</v>
      </c>
      <c r="AR706" s="3" t="s">
        <v>63</v>
      </c>
      <c r="AS706" s="3" t="s">
        <v>63</v>
      </c>
      <c r="AT706" s="3" t="s">
        <v>62</v>
      </c>
      <c r="AU706" s="6" t="str">
        <f>HYPERLINK("http://catalog.hathitrust.org/Record/000002687","HathiTrust Record")</f>
        <v>HathiTrust Record</v>
      </c>
      <c r="AV706" s="6" t="str">
        <f>HYPERLINK("http://mcgill.on.worldcat.org/oclc/181691","Catalog Record")</f>
        <v>Catalog Record</v>
      </c>
      <c r="AW706" s="6" t="str">
        <f>HYPERLINK("http://www.worldcat.org/oclc/181691","WorldCat Record")</f>
        <v>WorldCat Record</v>
      </c>
      <c r="AX706" s="3" t="s">
        <v>7079</v>
      </c>
      <c r="AY706" s="3" t="s">
        <v>7080</v>
      </c>
      <c r="AZ706" s="3" t="s">
        <v>7081</v>
      </c>
      <c r="BA706" s="3" t="s">
        <v>7081</v>
      </c>
      <c r="BB706" s="3" t="s">
        <v>7082</v>
      </c>
      <c r="BC706" s="3" t="s">
        <v>82</v>
      </c>
      <c r="BD706" s="3" t="s">
        <v>70</v>
      </c>
      <c r="BF706" s="3" t="s">
        <v>7082</v>
      </c>
      <c r="BG706" s="3" t="s">
        <v>7083</v>
      </c>
    </row>
    <row r="707" spans="1:59" ht="60" x14ac:dyDescent="0.25">
      <c r="A707" s="2" t="s">
        <v>59</v>
      </c>
      <c r="B707" s="2" t="s">
        <v>60</v>
      </c>
      <c r="C707" s="2" t="s">
        <v>7084</v>
      </c>
      <c r="D707" s="2" t="s">
        <v>7085</v>
      </c>
      <c r="E707" s="2" t="s">
        <v>7086</v>
      </c>
      <c r="F707" s="3" t="s">
        <v>7087</v>
      </c>
      <c r="G707" s="3" t="s">
        <v>62</v>
      </c>
      <c r="I707" s="3" t="s">
        <v>63</v>
      </c>
      <c r="J707" s="3" t="s">
        <v>63</v>
      </c>
      <c r="K707" s="3" t="s">
        <v>64</v>
      </c>
      <c r="L707" s="2" t="s">
        <v>7088</v>
      </c>
      <c r="M707" s="2" t="s">
        <v>7089</v>
      </c>
      <c r="N707" s="3" t="s">
        <v>1296</v>
      </c>
      <c r="P707" s="3" t="s">
        <v>442</v>
      </c>
      <c r="Q707" s="2" t="s">
        <v>7090</v>
      </c>
      <c r="R707" s="3" t="s">
        <v>67</v>
      </c>
      <c r="S707" s="4">
        <v>3</v>
      </c>
      <c r="T707" s="4">
        <v>3</v>
      </c>
      <c r="U707" s="5" t="s">
        <v>7091</v>
      </c>
      <c r="V707" s="5" t="s">
        <v>7091</v>
      </c>
      <c r="W707" s="5" t="s">
        <v>69</v>
      </c>
      <c r="X707" s="5" t="s">
        <v>69</v>
      </c>
      <c r="Y707" s="4">
        <v>172</v>
      </c>
      <c r="Z707" s="4">
        <v>20</v>
      </c>
      <c r="AA707" s="4">
        <v>20</v>
      </c>
      <c r="AB707" s="4">
        <v>1</v>
      </c>
      <c r="AC707" s="4">
        <v>1</v>
      </c>
      <c r="AD707" s="4">
        <v>90</v>
      </c>
      <c r="AE707" s="4">
        <v>90</v>
      </c>
      <c r="AF707" s="4">
        <v>0</v>
      </c>
      <c r="AG707" s="4">
        <v>0</v>
      </c>
      <c r="AH707" s="4">
        <v>83</v>
      </c>
      <c r="AI707" s="4">
        <v>83</v>
      </c>
      <c r="AJ707" s="4">
        <v>17</v>
      </c>
      <c r="AK707" s="4">
        <v>17</v>
      </c>
      <c r="AL707" s="4">
        <v>50</v>
      </c>
      <c r="AM707" s="4">
        <v>50</v>
      </c>
      <c r="AN707" s="4">
        <v>0</v>
      </c>
      <c r="AO707" s="4">
        <v>0</v>
      </c>
      <c r="AP707" s="4">
        <v>17</v>
      </c>
      <c r="AQ707" s="4">
        <v>17</v>
      </c>
      <c r="AR707" s="3" t="s">
        <v>63</v>
      </c>
      <c r="AS707" s="3" t="s">
        <v>63</v>
      </c>
      <c r="AT707" s="3" t="s">
        <v>62</v>
      </c>
      <c r="AU707" s="6" t="str">
        <f>HYPERLINK("http://catalog.hathitrust.org/Record/001225130","HathiTrust Record")</f>
        <v>HathiTrust Record</v>
      </c>
      <c r="AV707" s="6" t="str">
        <f>HYPERLINK("http://mcgill.on.worldcat.org/oclc/2032370","Catalog Record")</f>
        <v>Catalog Record</v>
      </c>
      <c r="AW707" s="6" t="str">
        <f>HYPERLINK("http://www.worldcat.org/oclc/2032370","WorldCat Record")</f>
        <v>WorldCat Record</v>
      </c>
      <c r="AX707" s="3" t="s">
        <v>7092</v>
      </c>
      <c r="AY707" s="3" t="s">
        <v>7093</v>
      </c>
      <c r="AZ707" s="3" t="s">
        <v>7094</v>
      </c>
      <c r="BA707" s="3" t="s">
        <v>7094</v>
      </c>
      <c r="BB707" s="3" t="s">
        <v>7095</v>
      </c>
      <c r="BC707" s="3" t="s">
        <v>82</v>
      </c>
      <c r="BD707" s="3" t="s">
        <v>70</v>
      </c>
      <c r="BF707" s="3" t="s">
        <v>7095</v>
      </c>
      <c r="BG707" s="3" t="s">
        <v>7096</v>
      </c>
    </row>
    <row r="708" spans="1:59" ht="60" x14ac:dyDescent="0.25">
      <c r="A708" s="2" t="s">
        <v>59</v>
      </c>
      <c r="B708" s="2" t="s">
        <v>60</v>
      </c>
      <c r="C708" s="2" t="s">
        <v>7084</v>
      </c>
      <c r="D708" s="2" t="s">
        <v>7085</v>
      </c>
      <c r="E708" s="2" t="s">
        <v>7086</v>
      </c>
      <c r="F708" s="3" t="s">
        <v>7097</v>
      </c>
      <c r="G708" s="3" t="s">
        <v>62</v>
      </c>
      <c r="I708" s="3" t="s">
        <v>63</v>
      </c>
      <c r="J708" s="3" t="s">
        <v>63</v>
      </c>
      <c r="K708" s="3" t="s">
        <v>64</v>
      </c>
      <c r="L708" s="2" t="s">
        <v>7088</v>
      </c>
      <c r="M708" s="2" t="s">
        <v>7089</v>
      </c>
      <c r="N708" s="3" t="s">
        <v>1296</v>
      </c>
      <c r="P708" s="3" t="s">
        <v>442</v>
      </c>
      <c r="Q708" s="2" t="s">
        <v>7090</v>
      </c>
      <c r="R708" s="3" t="s">
        <v>67</v>
      </c>
      <c r="S708" s="4">
        <v>0</v>
      </c>
      <c r="T708" s="4">
        <v>3</v>
      </c>
      <c r="V708" s="5" t="s">
        <v>7091</v>
      </c>
      <c r="W708" s="5" t="s">
        <v>69</v>
      </c>
      <c r="X708" s="5" t="s">
        <v>69</v>
      </c>
      <c r="Y708" s="4">
        <v>172</v>
      </c>
      <c r="Z708" s="4">
        <v>20</v>
      </c>
      <c r="AA708" s="4">
        <v>20</v>
      </c>
      <c r="AB708" s="4">
        <v>1</v>
      </c>
      <c r="AC708" s="4">
        <v>1</v>
      </c>
      <c r="AD708" s="4">
        <v>90</v>
      </c>
      <c r="AE708" s="4">
        <v>90</v>
      </c>
      <c r="AF708" s="4">
        <v>0</v>
      </c>
      <c r="AG708" s="4">
        <v>0</v>
      </c>
      <c r="AH708" s="4">
        <v>83</v>
      </c>
      <c r="AI708" s="4">
        <v>83</v>
      </c>
      <c r="AJ708" s="4">
        <v>17</v>
      </c>
      <c r="AK708" s="4">
        <v>17</v>
      </c>
      <c r="AL708" s="4">
        <v>50</v>
      </c>
      <c r="AM708" s="4">
        <v>50</v>
      </c>
      <c r="AN708" s="4">
        <v>0</v>
      </c>
      <c r="AO708" s="4">
        <v>0</v>
      </c>
      <c r="AP708" s="4">
        <v>17</v>
      </c>
      <c r="AQ708" s="4">
        <v>17</v>
      </c>
      <c r="AR708" s="3" t="s">
        <v>63</v>
      </c>
      <c r="AS708" s="3" t="s">
        <v>63</v>
      </c>
      <c r="AT708" s="3" t="s">
        <v>62</v>
      </c>
      <c r="AU708" s="6" t="str">
        <f>HYPERLINK("http://catalog.hathitrust.org/Record/001225130","HathiTrust Record")</f>
        <v>HathiTrust Record</v>
      </c>
      <c r="AV708" s="6" t="str">
        <f>HYPERLINK("http://mcgill.on.worldcat.org/oclc/2032370","Catalog Record")</f>
        <v>Catalog Record</v>
      </c>
      <c r="AW708" s="6" t="str">
        <f>HYPERLINK("http://www.worldcat.org/oclc/2032370","WorldCat Record")</f>
        <v>WorldCat Record</v>
      </c>
      <c r="AX708" s="3" t="s">
        <v>7092</v>
      </c>
      <c r="AY708" s="3" t="s">
        <v>7093</v>
      </c>
      <c r="AZ708" s="3" t="s">
        <v>7094</v>
      </c>
      <c r="BA708" s="3" t="s">
        <v>7094</v>
      </c>
      <c r="BB708" s="3" t="s">
        <v>7098</v>
      </c>
      <c r="BC708" s="3" t="s">
        <v>82</v>
      </c>
      <c r="BD708" s="3" t="s">
        <v>70</v>
      </c>
      <c r="BF708" s="3" t="s">
        <v>7098</v>
      </c>
      <c r="BG708" s="3" t="s">
        <v>7099</v>
      </c>
    </row>
    <row r="709" spans="1:59" ht="60" x14ac:dyDescent="0.25">
      <c r="A709" s="2" t="s">
        <v>59</v>
      </c>
      <c r="B709" s="2" t="s">
        <v>60</v>
      </c>
      <c r="C709" s="2" t="s">
        <v>7100</v>
      </c>
      <c r="D709" s="2" t="s">
        <v>7101</v>
      </c>
      <c r="E709" s="2" t="s">
        <v>7102</v>
      </c>
      <c r="G709" s="3" t="s">
        <v>63</v>
      </c>
      <c r="I709" s="3" t="s">
        <v>62</v>
      </c>
      <c r="J709" s="3" t="s">
        <v>62</v>
      </c>
      <c r="K709" s="3" t="s">
        <v>64</v>
      </c>
      <c r="L709" s="2" t="s">
        <v>7103</v>
      </c>
      <c r="M709" s="2" t="s">
        <v>7104</v>
      </c>
      <c r="N709" s="3" t="s">
        <v>401</v>
      </c>
      <c r="P709" s="3" t="s">
        <v>548</v>
      </c>
      <c r="Q709" s="2" t="s">
        <v>7105</v>
      </c>
      <c r="R709" s="3" t="s">
        <v>67</v>
      </c>
      <c r="S709" s="4">
        <v>20</v>
      </c>
      <c r="T709" s="4">
        <v>64</v>
      </c>
      <c r="U709" s="5" t="s">
        <v>7106</v>
      </c>
      <c r="V709" s="5" t="s">
        <v>7107</v>
      </c>
      <c r="W709" s="5" t="s">
        <v>69</v>
      </c>
      <c r="X709" s="5" t="s">
        <v>69</v>
      </c>
      <c r="Y709" s="4">
        <v>233</v>
      </c>
      <c r="Z709" s="4">
        <v>7</v>
      </c>
      <c r="AA709" s="4">
        <v>23</v>
      </c>
      <c r="AB709" s="4">
        <v>1</v>
      </c>
      <c r="AC709" s="4">
        <v>9</v>
      </c>
      <c r="AD709" s="4">
        <v>80</v>
      </c>
      <c r="AE709" s="4">
        <v>92</v>
      </c>
      <c r="AF709" s="4">
        <v>0</v>
      </c>
      <c r="AG709" s="4">
        <v>3</v>
      </c>
      <c r="AH709" s="4">
        <v>78</v>
      </c>
      <c r="AI709" s="4">
        <v>85</v>
      </c>
      <c r="AJ709" s="4">
        <v>3</v>
      </c>
      <c r="AK709" s="4">
        <v>10</v>
      </c>
      <c r="AL709" s="4">
        <v>49</v>
      </c>
      <c r="AM709" s="4">
        <v>49</v>
      </c>
      <c r="AN709" s="4">
        <v>0</v>
      </c>
      <c r="AO709" s="4">
        <v>0</v>
      </c>
      <c r="AP709" s="4">
        <v>4</v>
      </c>
      <c r="AQ709" s="4">
        <v>13</v>
      </c>
      <c r="AR709" s="3" t="s">
        <v>63</v>
      </c>
      <c r="AS709" s="3" t="s">
        <v>63</v>
      </c>
      <c r="AT709" s="3" t="s">
        <v>62</v>
      </c>
      <c r="AU709" s="6" t="str">
        <f>HYPERLINK("http://catalog.hathitrust.org/Record/001225150","HathiTrust Record")</f>
        <v>HathiTrust Record</v>
      </c>
      <c r="AV709" s="6" t="str">
        <f>HYPERLINK("http://mcgill.on.worldcat.org/oclc/321116","Catalog Record")</f>
        <v>Catalog Record</v>
      </c>
      <c r="AW709" s="6" t="str">
        <f>HYPERLINK("http://www.worldcat.org/oclc/321116","WorldCat Record")</f>
        <v>WorldCat Record</v>
      </c>
      <c r="AX709" s="3" t="s">
        <v>7108</v>
      </c>
      <c r="AY709" s="3" t="s">
        <v>7109</v>
      </c>
      <c r="AZ709" s="3" t="s">
        <v>7110</v>
      </c>
      <c r="BA709" s="3" t="s">
        <v>7110</v>
      </c>
      <c r="BB709" s="3" t="s">
        <v>7111</v>
      </c>
      <c r="BC709" s="3" t="s">
        <v>82</v>
      </c>
      <c r="BD709" s="3" t="s">
        <v>70</v>
      </c>
      <c r="BF709" s="3" t="s">
        <v>7111</v>
      </c>
      <c r="BG709" s="3" t="s">
        <v>7112</v>
      </c>
    </row>
    <row r="710" spans="1:59" ht="60" x14ac:dyDescent="0.25">
      <c r="A710" s="2" t="s">
        <v>59</v>
      </c>
      <c r="B710" s="2" t="s">
        <v>60</v>
      </c>
      <c r="C710" s="2" t="s">
        <v>7100</v>
      </c>
      <c r="D710" s="2" t="s">
        <v>7101</v>
      </c>
      <c r="E710" s="2" t="s">
        <v>7102</v>
      </c>
      <c r="G710" s="3" t="s">
        <v>63</v>
      </c>
      <c r="I710" s="3" t="s">
        <v>62</v>
      </c>
      <c r="J710" s="3" t="s">
        <v>62</v>
      </c>
      <c r="K710" s="3" t="s">
        <v>64</v>
      </c>
      <c r="L710" s="2" t="s">
        <v>7103</v>
      </c>
      <c r="M710" s="2" t="s">
        <v>7104</v>
      </c>
      <c r="N710" s="3" t="s">
        <v>401</v>
      </c>
      <c r="P710" s="3" t="s">
        <v>548</v>
      </c>
      <c r="Q710" s="2" t="s">
        <v>7105</v>
      </c>
      <c r="R710" s="3" t="s">
        <v>67</v>
      </c>
      <c r="S710" s="4">
        <v>0</v>
      </c>
      <c r="T710" s="4">
        <v>64</v>
      </c>
      <c r="V710" s="5" t="s">
        <v>7107</v>
      </c>
      <c r="W710" s="5" t="s">
        <v>69</v>
      </c>
      <c r="X710" s="5" t="s">
        <v>69</v>
      </c>
      <c r="Y710" s="4">
        <v>233</v>
      </c>
      <c r="Z710" s="4">
        <v>7</v>
      </c>
      <c r="AA710" s="4">
        <v>23</v>
      </c>
      <c r="AB710" s="4">
        <v>1</v>
      </c>
      <c r="AC710" s="4">
        <v>9</v>
      </c>
      <c r="AD710" s="4">
        <v>80</v>
      </c>
      <c r="AE710" s="4">
        <v>92</v>
      </c>
      <c r="AF710" s="4">
        <v>0</v>
      </c>
      <c r="AG710" s="4">
        <v>3</v>
      </c>
      <c r="AH710" s="4">
        <v>78</v>
      </c>
      <c r="AI710" s="4">
        <v>85</v>
      </c>
      <c r="AJ710" s="4">
        <v>3</v>
      </c>
      <c r="AK710" s="4">
        <v>10</v>
      </c>
      <c r="AL710" s="4">
        <v>49</v>
      </c>
      <c r="AM710" s="4">
        <v>49</v>
      </c>
      <c r="AN710" s="4">
        <v>0</v>
      </c>
      <c r="AO710" s="4">
        <v>0</v>
      </c>
      <c r="AP710" s="4">
        <v>4</v>
      </c>
      <c r="AQ710" s="4">
        <v>13</v>
      </c>
      <c r="AR710" s="3" t="s">
        <v>63</v>
      </c>
      <c r="AS710" s="3" t="s">
        <v>63</v>
      </c>
      <c r="AT710" s="3" t="s">
        <v>62</v>
      </c>
      <c r="AU710" s="6" t="str">
        <f>HYPERLINK("http://catalog.hathitrust.org/Record/001225150","HathiTrust Record")</f>
        <v>HathiTrust Record</v>
      </c>
      <c r="AV710" s="6" t="str">
        <f>HYPERLINK("http://mcgill.on.worldcat.org/oclc/321116","Catalog Record")</f>
        <v>Catalog Record</v>
      </c>
      <c r="AW710" s="6" t="str">
        <f>HYPERLINK("http://www.worldcat.org/oclc/321116","WorldCat Record")</f>
        <v>WorldCat Record</v>
      </c>
      <c r="AX710" s="3" t="s">
        <v>7108</v>
      </c>
      <c r="AY710" s="3" t="s">
        <v>7109</v>
      </c>
      <c r="AZ710" s="3" t="s">
        <v>7110</v>
      </c>
      <c r="BA710" s="3" t="s">
        <v>7110</v>
      </c>
      <c r="BB710" s="3" t="s">
        <v>7113</v>
      </c>
      <c r="BC710" s="3" t="s">
        <v>82</v>
      </c>
      <c r="BD710" s="3" t="s">
        <v>70</v>
      </c>
      <c r="BF710" s="3" t="s">
        <v>7113</v>
      </c>
      <c r="BG710" s="3" t="s">
        <v>7114</v>
      </c>
    </row>
    <row r="711" spans="1:59" ht="60" x14ac:dyDescent="0.25">
      <c r="A711" s="2" t="s">
        <v>59</v>
      </c>
      <c r="B711" s="2" t="s">
        <v>60</v>
      </c>
      <c r="C711" s="2" t="s">
        <v>7100</v>
      </c>
      <c r="D711" s="2" t="s">
        <v>7101</v>
      </c>
      <c r="E711" s="2" t="s">
        <v>7102</v>
      </c>
      <c r="G711" s="3" t="s">
        <v>63</v>
      </c>
      <c r="I711" s="3" t="s">
        <v>62</v>
      </c>
      <c r="J711" s="3" t="s">
        <v>62</v>
      </c>
      <c r="K711" s="3" t="s">
        <v>64</v>
      </c>
      <c r="L711" s="2" t="s">
        <v>7103</v>
      </c>
      <c r="M711" s="2" t="s">
        <v>7104</v>
      </c>
      <c r="N711" s="3" t="s">
        <v>401</v>
      </c>
      <c r="P711" s="3" t="s">
        <v>548</v>
      </c>
      <c r="Q711" s="2" t="s">
        <v>7105</v>
      </c>
      <c r="R711" s="3" t="s">
        <v>67</v>
      </c>
      <c r="S711" s="4">
        <v>27</v>
      </c>
      <c r="T711" s="4">
        <v>64</v>
      </c>
      <c r="U711" s="5" t="s">
        <v>7107</v>
      </c>
      <c r="V711" s="5" t="s">
        <v>7107</v>
      </c>
      <c r="W711" s="5" t="s">
        <v>69</v>
      </c>
      <c r="X711" s="5" t="s">
        <v>69</v>
      </c>
      <c r="Y711" s="4">
        <v>233</v>
      </c>
      <c r="Z711" s="4">
        <v>7</v>
      </c>
      <c r="AA711" s="4">
        <v>23</v>
      </c>
      <c r="AB711" s="4">
        <v>1</v>
      </c>
      <c r="AC711" s="4">
        <v>9</v>
      </c>
      <c r="AD711" s="4">
        <v>80</v>
      </c>
      <c r="AE711" s="4">
        <v>92</v>
      </c>
      <c r="AF711" s="4">
        <v>0</v>
      </c>
      <c r="AG711" s="4">
        <v>3</v>
      </c>
      <c r="AH711" s="4">
        <v>78</v>
      </c>
      <c r="AI711" s="4">
        <v>85</v>
      </c>
      <c r="AJ711" s="4">
        <v>3</v>
      </c>
      <c r="AK711" s="4">
        <v>10</v>
      </c>
      <c r="AL711" s="4">
        <v>49</v>
      </c>
      <c r="AM711" s="4">
        <v>49</v>
      </c>
      <c r="AN711" s="4">
        <v>0</v>
      </c>
      <c r="AO711" s="4">
        <v>0</v>
      </c>
      <c r="AP711" s="4">
        <v>4</v>
      </c>
      <c r="AQ711" s="4">
        <v>13</v>
      </c>
      <c r="AR711" s="3" t="s">
        <v>63</v>
      </c>
      <c r="AS711" s="3" t="s">
        <v>63</v>
      </c>
      <c r="AT711" s="3" t="s">
        <v>62</v>
      </c>
      <c r="AU711" s="6" t="str">
        <f>HYPERLINK("http://catalog.hathitrust.org/Record/001225150","HathiTrust Record")</f>
        <v>HathiTrust Record</v>
      </c>
      <c r="AV711" s="6" t="str">
        <f>HYPERLINK("http://mcgill.on.worldcat.org/oclc/321116","Catalog Record")</f>
        <v>Catalog Record</v>
      </c>
      <c r="AW711" s="6" t="str">
        <f>HYPERLINK("http://www.worldcat.org/oclc/321116","WorldCat Record")</f>
        <v>WorldCat Record</v>
      </c>
      <c r="AX711" s="3" t="s">
        <v>7108</v>
      </c>
      <c r="AY711" s="3" t="s">
        <v>7109</v>
      </c>
      <c r="AZ711" s="3" t="s">
        <v>7110</v>
      </c>
      <c r="BA711" s="3" t="s">
        <v>7110</v>
      </c>
      <c r="BB711" s="3" t="s">
        <v>7115</v>
      </c>
      <c r="BC711" s="3" t="s">
        <v>82</v>
      </c>
      <c r="BD711" s="3" t="s">
        <v>70</v>
      </c>
      <c r="BF711" s="3" t="s">
        <v>7115</v>
      </c>
      <c r="BG711" s="3" t="s">
        <v>7116</v>
      </c>
    </row>
    <row r="712" spans="1:59" ht="60" x14ac:dyDescent="0.25">
      <c r="A712" s="2" t="s">
        <v>59</v>
      </c>
      <c r="B712" s="2" t="s">
        <v>60</v>
      </c>
      <c r="C712" s="2" t="s">
        <v>7100</v>
      </c>
      <c r="D712" s="2" t="s">
        <v>7101</v>
      </c>
      <c r="E712" s="2" t="s">
        <v>7102</v>
      </c>
      <c r="G712" s="3" t="s">
        <v>63</v>
      </c>
      <c r="I712" s="3" t="s">
        <v>62</v>
      </c>
      <c r="J712" s="3" t="s">
        <v>62</v>
      </c>
      <c r="K712" s="3" t="s">
        <v>64</v>
      </c>
      <c r="L712" s="2" t="s">
        <v>7103</v>
      </c>
      <c r="M712" s="2" t="s">
        <v>7104</v>
      </c>
      <c r="N712" s="3" t="s">
        <v>401</v>
      </c>
      <c r="P712" s="3" t="s">
        <v>548</v>
      </c>
      <c r="Q712" s="2" t="s">
        <v>7105</v>
      </c>
      <c r="R712" s="3" t="s">
        <v>67</v>
      </c>
      <c r="S712" s="4">
        <v>17</v>
      </c>
      <c r="T712" s="4">
        <v>64</v>
      </c>
      <c r="U712" s="5" t="s">
        <v>7117</v>
      </c>
      <c r="V712" s="5" t="s">
        <v>7107</v>
      </c>
      <c r="W712" s="5" t="s">
        <v>69</v>
      </c>
      <c r="X712" s="5" t="s">
        <v>69</v>
      </c>
      <c r="Y712" s="4">
        <v>233</v>
      </c>
      <c r="Z712" s="4">
        <v>7</v>
      </c>
      <c r="AA712" s="4">
        <v>23</v>
      </c>
      <c r="AB712" s="4">
        <v>1</v>
      </c>
      <c r="AC712" s="4">
        <v>9</v>
      </c>
      <c r="AD712" s="4">
        <v>80</v>
      </c>
      <c r="AE712" s="4">
        <v>92</v>
      </c>
      <c r="AF712" s="4">
        <v>0</v>
      </c>
      <c r="AG712" s="4">
        <v>3</v>
      </c>
      <c r="AH712" s="4">
        <v>78</v>
      </c>
      <c r="AI712" s="4">
        <v>85</v>
      </c>
      <c r="AJ712" s="4">
        <v>3</v>
      </c>
      <c r="AK712" s="4">
        <v>10</v>
      </c>
      <c r="AL712" s="4">
        <v>49</v>
      </c>
      <c r="AM712" s="4">
        <v>49</v>
      </c>
      <c r="AN712" s="4">
        <v>0</v>
      </c>
      <c r="AO712" s="4">
        <v>0</v>
      </c>
      <c r="AP712" s="4">
        <v>4</v>
      </c>
      <c r="AQ712" s="4">
        <v>13</v>
      </c>
      <c r="AR712" s="3" t="s">
        <v>63</v>
      </c>
      <c r="AS712" s="3" t="s">
        <v>63</v>
      </c>
      <c r="AT712" s="3" t="s">
        <v>62</v>
      </c>
      <c r="AU712" s="6" t="str">
        <f>HYPERLINK("http://catalog.hathitrust.org/Record/001225150","HathiTrust Record")</f>
        <v>HathiTrust Record</v>
      </c>
      <c r="AV712" s="6" t="str">
        <f>HYPERLINK("http://mcgill.on.worldcat.org/oclc/321116","Catalog Record")</f>
        <v>Catalog Record</v>
      </c>
      <c r="AW712" s="6" t="str">
        <f>HYPERLINK("http://www.worldcat.org/oclc/321116","WorldCat Record")</f>
        <v>WorldCat Record</v>
      </c>
      <c r="AX712" s="3" t="s">
        <v>7108</v>
      </c>
      <c r="AY712" s="3" t="s">
        <v>7109</v>
      </c>
      <c r="AZ712" s="3" t="s">
        <v>7110</v>
      </c>
      <c r="BA712" s="3" t="s">
        <v>7110</v>
      </c>
      <c r="BB712" s="3" t="s">
        <v>7118</v>
      </c>
      <c r="BC712" s="3" t="s">
        <v>82</v>
      </c>
      <c r="BD712" s="3" t="s">
        <v>70</v>
      </c>
      <c r="BF712" s="3" t="s">
        <v>7118</v>
      </c>
      <c r="BG712" s="3" t="s">
        <v>7119</v>
      </c>
    </row>
    <row r="713" spans="1:59" ht="60" x14ac:dyDescent="0.25">
      <c r="A713" s="2" t="s">
        <v>59</v>
      </c>
      <c r="B713" s="2" t="s">
        <v>60</v>
      </c>
      <c r="C713" s="2" t="s">
        <v>7120</v>
      </c>
      <c r="D713" s="2" t="s">
        <v>7121</v>
      </c>
      <c r="E713" s="2" t="s">
        <v>7122</v>
      </c>
      <c r="G713" s="3" t="s">
        <v>63</v>
      </c>
      <c r="I713" s="3" t="s">
        <v>63</v>
      </c>
      <c r="J713" s="3" t="s">
        <v>62</v>
      </c>
      <c r="K713" s="3" t="s">
        <v>64</v>
      </c>
      <c r="M713" s="2" t="s">
        <v>7123</v>
      </c>
      <c r="N713" s="3" t="s">
        <v>362</v>
      </c>
      <c r="O713" s="2" t="s">
        <v>7124</v>
      </c>
      <c r="P713" s="3" t="s">
        <v>548</v>
      </c>
      <c r="Q713" s="2" t="s">
        <v>7125</v>
      </c>
      <c r="R713" s="3" t="s">
        <v>67</v>
      </c>
      <c r="S713" s="4">
        <v>6</v>
      </c>
      <c r="T713" s="4">
        <v>6</v>
      </c>
      <c r="U713" s="5" t="s">
        <v>7126</v>
      </c>
      <c r="V713" s="5" t="s">
        <v>7126</v>
      </c>
      <c r="W713" s="5" t="s">
        <v>69</v>
      </c>
      <c r="X713" s="5" t="s">
        <v>69</v>
      </c>
      <c r="Y713" s="4">
        <v>15</v>
      </c>
      <c r="Z713" s="4">
        <v>2</v>
      </c>
      <c r="AA713" s="4">
        <v>23</v>
      </c>
      <c r="AB713" s="4">
        <v>2</v>
      </c>
      <c r="AC713" s="4">
        <v>9</v>
      </c>
      <c r="AD713" s="4">
        <v>6</v>
      </c>
      <c r="AE713" s="4">
        <v>92</v>
      </c>
      <c r="AF713" s="4">
        <v>0</v>
      </c>
      <c r="AG713" s="4">
        <v>3</v>
      </c>
      <c r="AH713" s="4">
        <v>6</v>
      </c>
      <c r="AI713" s="4">
        <v>85</v>
      </c>
      <c r="AJ713" s="4">
        <v>0</v>
      </c>
      <c r="AK713" s="4">
        <v>10</v>
      </c>
      <c r="AL713" s="4">
        <v>4</v>
      </c>
      <c r="AM713" s="4">
        <v>49</v>
      </c>
      <c r="AN713" s="4">
        <v>0</v>
      </c>
      <c r="AO713" s="4">
        <v>0</v>
      </c>
      <c r="AP713" s="4">
        <v>0</v>
      </c>
      <c r="AQ713" s="4">
        <v>13</v>
      </c>
      <c r="AR713" s="3" t="s">
        <v>63</v>
      </c>
      <c r="AS713" s="3" t="s">
        <v>63</v>
      </c>
      <c r="AT713" s="3" t="s">
        <v>63</v>
      </c>
      <c r="AV713" s="6" t="str">
        <f>HYPERLINK("http://mcgill.on.worldcat.org/oclc/47745211","Catalog Record")</f>
        <v>Catalog Record</v>
      </c>
      <c r="AW713" s="6" t="str">
        <f>HYPERLINK("http://www.worldcat.org/oclc/47745211","WorldCat Record")</f>
        <v>WorldCat Record</v>
      </c>
      <c r="AX713" s="3" t="s">
        <v>7108</v>
      </c>
      <c r="AY713" s="3" t="s">
        <v>7127</v>
      </c>
      <c r="AZ713" s="3" t="s">
        <v>7128</v>
      </c>
      <c r="BA713" s="3" t="s">
        <v>7128</v>
      </c>
      <c r="BB713" s="3" t="s">
        <v>7129</v>
      </c>
      <c r="BC713" s="3" t="s">
        <v>82</v>
      </c>
      <c r="BD713" s="3" t="s">
        <v>70</v>
      </c>
      <c r="BE713" s="3" t="s">
        <v>7130</v>
      </c>
      <c r="BF713" s="3" t="s">
        <v>7129</v>
      </c>
      <c r="BG713" s="3" t="s">
        <v>7131</v>
      </c>
    </row>
    <row r="714" spans="1:59" ht="60" x14ac:dyDescent="0.25">
      <c r="A714" s="2" t="s">
        <v>59</v>
      </c>
      <c r="B714" s="2" t="s">
        <v>60</v>
      </c>
      <c r="C714" s="2" t="s">
        <v>7132</v>
      </c>
      <c r="D714" s="2" t="s">
        <v>7133</v>
      </c>
      <c r="E714" s="2" t="s">
        <v>7134</v>
      </c>
      <c r="G714" s="3" t="s">
        <v>63</v>
      </c>
      <c r="I714" s="3" t="s">
        <v>63</v>
      </c>
      <c r="J714" s="3" t="s">
        <v>63</v>
      </c>
      <c r="K714" s="3" t="s">
        <v>215</v>
      </c>
      <c r="L714" s="2" t="s">
        <v>7135</v>
      </c>
      <c r="M714" s="2" t="s">
        <v>7136</v>
      </c>
      <c r="N714" s="3" t="s">
        <v>2103</v>
      </c>
      <c r="P714" s="3" t="s">
        <v>66</v>
      </c>
      <c r="Q714" s="2" t="s">
        <v>7137</v>
      </c>
      <c r="R714" s="3" t="s">
        <v>67</v>
      </c>
      <c r="S714" s="4">
        <v>12</v>
      </c>
      <c r="T714" s="4">
        <v>12</v>
      </c>
      <c r="U714" s="5" t="s">
        <v>7138</v>
      </c>
      <c r="V714" s="5" t="s">
        <v>7138</v>
      </c>
      <c r="W714" s="5" t="s">
        <v>69</v>
      </c>
      <c r="X714" s="5" t="s">
        <v>69</v>
      </c>
      <c r="Y714" s="4">
        <v>356</v>
      </c>
      <c r="Z714" s="4">
        <v>22</v>
      </c>
      <c r="AA714" s="4">
        <v>87</v>
      </c>
      <c r="AB714" s="4">
        <v>2</v>
      </c>
      <c r="AC714" s="4">
        <v>15</v>
      </c>
      <c r="AD714" s="4">
        <v>114</v>
      </c>
      <c r="AE714" s="4">
        <v>145</v>
      </c>
      <c r="AF714" s="4">
        <v>1</v>
      </c>
      <c r="AG714" s="4">
        <v>8</v>
      </c>
      <c r="AH714" s="4">
        <v>104</v>
      </c>
      <c r="AI714" s="4">
        <v>110</v>
      </c>
      <c r="AJ714" s="4">
        <v>16</v>
      </c>
      <c r="AK714" s="4">
        <v>25</v>
      </c>
      <c r="AL714" s="4">
        <v>56</v>
      </c>
      <c r="AM714" s="4">
        <v>58</v>
      </c>
      <c r="AN714" s="4">
        <v>0</v>
      </c>
      <c r="AO714" s="4">
        <v>0</v>
      </c>
      <c r="AP714" s="4">
        <v>18</v>
      </c>
      <c r="AQ714" s="4">
        <v>45</v>
      </c>
      <c r="AR714" s="3" t="s">
        <v>63</v>
      </c>
      <c r="AS714" s="3" t="s">
        <v>63</v>
      </c>
      <c r="AT714" s="3" t="s">
        <v>62</v>
      </c>
      <c r="AU714" s="6" t="str">
        <f>HYPERLINK("http://catalog.hathitrust.org/Record/004284083","HathiTrust Record")</f>
        <v>HathiTrust Record</v>
      </c>
      <c r="AV714" s="6" t="str">
        <f>HYPERLINK("http://mcgill.on.worldcat.org/oclc/49284077","Catalog Record")</f>
        <v>Catalog Record</v>
      </c>
      <c r="AW714" s="6" t="str">
        <f>HYPERLINK("http://www.worldcat.org/oclc/49284077","WorldCat Record")</f>
        <v>WorldCat Record</v>
      </c>
      <c r="AX714" s="3" t="s">
        <v>7139</v>
      </c>
      <c r="AY714" s="3" t="s">
        <v>7140</v>
      </c>
      <c r="AZ714" s="3" t="s">
        <v>7141</v>
      </c>
      <c r="BA714" s="3" t="s">
        <v>7141</v>
      </c>
      <c r="BB714" s="3" t="s">
        <v>7142</v>
      </c>
      <c r="BC714" s="3" t="s">
        <v>82</v>
      </c>
      <c r="BD714" s="3" t="s">
        <v>70</v>
      </c>
      <c r="BE714" s="3" t="s">
        <v>7143</v>
      </c>
      <c r="BF714" s="3" t="s">
        <v>7142</v>
      </c>
      <c r="BG714" s="3" t="s">
        <v>7144</v>
      </c>
    </row>
    <row r="715" spans="1:59" ht="75" x14ac:dyDescent="0.25">
      <c r="A715" s="2" t="s">
        <v>59</v>
      </c>
      <c r="B715" s="2" t="s">
        <v>60</v>
      </c>
      <c r="C715" s="2" t="s">
        <v>7145</v>
      </c>
      <c r="D715" s="2" t="s">
        <v>7146</v>
      </c>
      <c r="E715" s="2" t="s">
        <v>7147</v>
      </c>
      <c r="G715" s="3" t="s">
        <v>63</v>
      </c>
      <c r="I715" s="3" t="s">
        <v>63</v>
      </c>
      <c r="J715" s="3" t="s">
        <v>63</v>
      </c>
      <c r="K715" s="3" t="s">
        <v>64</v>
      </c>
      <c r="L715" s="2" t="s">
        <v>7148</v>
      </c>
      <c r="M715" s="2" t="s">
        <v>7149</v>
      </c>
      <c r="N715" s="3" t="s">
        <v>2459</v>
      </c>
      <c r="P715" s="3" t="s">
        <v>66</v>
      </c>
      <c r="Q715" s="2" t="s">
        <v>1443</v>
      </c>
      <c r="R715" s="3" t="s">
        <v>67</v>
      </c>
      <c r="S715" s="4">
        <v>11</v>
      </c>
      <c r="T715" s="4">
        <v>11</v>
      </c>
      <c r="U715" s="5" t="s">
        <v>4911</v>
      </c>
      <c r="V715" s="5" t="s">
        <v>4911</v>
      </c>
      <c r="W715" s="5" t="s">
        <v>69</v>
      </c>
      <c r="X715" s="5" t="s">
        <v>69</v>
      </c>
      <c r="Y715" s="4">
        <v>279</v>
      </c>
      <c r="Z715" s="4">
        <v>23</v>
      </c>
      <c r="AA715" s="4">
        <v>92</v>
      </c>
      <c r="AB715" s="4">
        <v>1</v>
      </c>
      <c r="AC715" s="4">
        <v>15</v>
      </c>
      <c r="AD715" s="4">
        <v>101</v>
      </c>
      <c r="AE715" s="4">
        <v>140</v>
      </c>
      <c r="AF715" s="4">
        <v>0</v>
      </c>
      <c r="AG715" s="4">
        <v>8</v>
      </c>
      <c r="AH715" s="4">
        <v>93</v>
      </c>
      <c r="AI715" s="4">
        <v>105</v>
      </c>
      <c r="AJ715" s="4">
        <v>14</v>
      </c>
      <c r="AK715" s="4">
        <v>23</v>
      </c>
      <c r="AL715" s="4">
        <v>54</v>
      </c>
      <c r="AM715" s="4">
        <v>58</v>
      </c>
      <c r="AN715" s="4">
        <v>0</v>
      </c>
      <c r="AO715" s="4">
        <v>0</v>
      </c>
      <c r="AP715" s="4">
        <v>16</v>
      </c>
      <c r="AQ715" s="4">
        <v>44</v>
      </c>
      <c r="AR715" s="3" t="s">
        <v>63</v>
      </c>
      <c r="AS715" s="3" t="s">
        <v>63</v>
      </c>
      <c r="AT715" s="3" t="s">
        <v>63</v>
      </c>
      <c r="AV715" s="6" t="str">
        <f>HYPERLINK("http://mcgill.on.worldcat.org/oclc/184822173","Catalog Record")</f>
        <v>Catalog Record</v>
      </c>
      <c r="AW715" s="6" t="str">
        <f>HYPERLINK("http://www.worldcat.org/oclc/184822173","WorldCat Record")</f>
        <v>WorldCat Record</v>
      </c>
      <c r="AX715" s="3" t="s">
        <v>7150</v>
      </c>
      <c r="AY715" s="3" t="s">
        <v>7151</v>
      </c>
      <c r="AZ715" s="3" t="s">
        <v>7152</v>
      </c>
      <c r="BA715" s="3" t="s">
        <v>7152</v>
      </c>
      <c r="BB715" s="3" t="s">
        <v>7153</v>
      </c>
      <c r="BC715" s="3" t="s">
        <v>82</v>
      </c>
      <c r="BD715" s="3" t="s">
        <v>70</v>
      </c>
      <c r="BE715" s="3" t="s">
        <v>7154</v>
      </c>
      <c r="BF715" s="3" t="s">
        <v>7153</v>
      </c>
      <c r="BG715" s="3" t="s">
        <v>7155</v>
      </c>
    </row>
    <row r="716" spans="1:59" ht="60" x14ac:dyDescent="0.25">
      <c r="A716" s="2" t="s">
        <v>59</v>
      </c>
      <c r="B716" s="2" t="s">
        <v>60</v>
      </c>
      <c r="C716" s="2" t="s">
        <v>7156</v>
      </c>
      <c r="D716" s="2" t="s">
        <v>7157</v>
      </c>
      <c r="E716" s="2" t="s">
        <v>7158</v>
      </c>
      <c r="G716" s="3" t="s">
        <v>63</v>
      </c>
      <c r="I716" s="3" t="s">
        <v>63</v>
      </c>
      <c r="J716" s="3" t="s">
        <v>63</v>
      </c>
      <c r="K716" s="3" t="s">
        <v>64</v>
      </c>
      <c r="L716" s="2" t="s">
        <v>7159</v>
      </c>
      <c r="M716" s="2" t="s">
        <v>7160</v>
      </c>
      <c r="N716" s="3" t="s">
        <v>7161</v>
      </c>
      <c r="P716" s="3" t="s">
        <v>90</v>
      </c>
      <c r="R716" s="3" t="s">
        <v>67</v>
      </c>
      <c r="S716" s="4">
        <v>1</v>
      </c>
      <c r="T716" s="4">
        <v>1</v>
      </c>
      <c r="U716" s="5" t="s">
        <v>7162</v>
      </c>
      <c r="V716" s="5" t="s">
        <v>7162</v>
      </c>
      <c r="W716" s="5" t="s">
        <v>69</v>
      </c>
      <c r="X716" s="5" t="s">
        <v>69</v>
      </c>
      <c r="Y716" s="4">
        <v>3</v>
      </c>
      <c r="Z716" s="4">
        <v>1</v>
      </c>
      <c r="AA716" s="4">
        <v>3</v>
      </c>
      <c r="AB716" s="4">
        <v>1</v>
      </c>
      <c r="AC716" s="4">
        <v>1</v>
      </c>
      <c r="AD716" s="4">
        <v>1</v>
      </c>
      <c r="AE716" s="4">
        <v>3</v>
      </c>
      <c r="AF716" s="4">
        <v>0</v>
      </c>
      <c r="AG716" s="4">
        <v>0</v>
      </c>
      <c r="AH716" s="4">
        <v>1</v>
      </c>
      <c r="AI716" s="4">
        <v>3</v>
      </c>
      <c r="AJ716" s="4">
        <v>0</v>
      </c>
      <c r="AK716" s="4">
        <v>1</v>
      </c>
      <c r="AL716" s="4">
        <v>0</v>
      </c>
      <c r="AM716" s="4">
        <v>2</v>
      </c>
      <c r="AN716" s="4">
        <v>0</v>
      </c>
      <c r="AO716" s="4">
        <v>0</v>
      </c>
      <c r="AP716" s="4">
        <v>0</v>
      </c>
      <c r="AQ716" s="4">
        <v>1</v>
      </c>
      <c r="AR716" s="3" t="s">
        <v>63</v>
      </c>
      <c r="AS716" s="3" t="s">
        <v>63</v>
      </c>
      <c r="AT716" s="3" t="s">
        <v>63</v>
      </c>
      <c r="AV716" s="6" t="str">
        <f>HYPERLINK("http://mcgill.on.worldcat.org/oclc/61614523","Catalog Record")</f>
        <v>Catalog Record</v>
      </c>
      <c r="AW716" s="6" t="str">
        <f>HYPERLINK("http://www.worldcat.org/oclc/61614523","WorldCat Record")</f>
        <v>WorldCat Record</v>
      </c>
      <c r="AX716" s="3" t="s">
        <v>7163</v>
      </c>
      <c r="AY716" s="3" t="s">
        <v>7164</v>
      </c>
      <c r="AZ716" s="3" t="s">
        <v>7165</v>
      </c>
      <c r="BA716" s="3" t="s">
        <v>7165</v>
      </c>
      <c r="BB716" s="3" t="s">
        <v>7166</v>
      </c>
      <c r="BC716" s="3" t="s">
        <v>82</v>
      </c>
      <c r="BD716" s="3" t="s">
        <v>70</v>
      </c>
      <c r="BF716" s="3" t="s">
        <v>7166</v>
      </c>
      <c r="BG716" s="3" t="s">
        <v>7167</v>
      </c>
    </row>
    <row r="717" spans="1:59" ht="60" x14ac:dyDescent="0.25">
      <c r="A717" s="2" t="s">
        <v>59</v>
      </c>
      <c r="B717" s="2" t="s">
        <v>60</v>
      </c>
      <c r="C717" s="2" t="s">
        <v>7168</v>
      </c>
      <c r="D717" s="2" t="s">
        <v>7169</v>
      </c>
      <c r="E717" s="2" t="s">
        <v>7170</v>
      </c>
      <c r="G717" s="3" t="s">
        <v>63</v>
      </c>
      <c r="I717" s="3" t="s">
        <v>62</v>
      </c>
      <c r="J717" s="3" t="s">
        <v>63</v>
      </c>
      <c r="K717" s="3" t="s">
        <v>64</v>
      </c>
      <c r="L717" s="2" t="s">
        <v>7171</v>
      </c>
      <c r="M717" s="2" t="s">
        <v>7172</v>
      </c>
      <c r="N717" s="3" t="s">
        <v>758</v>
      </c>
      <c r="P717" s="3" t="s">
        <v>66</v>
      </c>
      <c r="Q717" s="2" t="s">
        <v>7173</v>
      </c>
      <c r="R717" s="3" t="s">
        <v>67</v>
      </c>
      <c r="S717" s="4">
        <v>16</v>
      </c>
      <c r="T717" s="4">
        <v>22</v>
      </c>
      <c r="U717" s="5" t="s">
        <v>7174</v>
      </c>
      <c r="V717" s="5" t="s">
        <v>7174</v>
      </c>
      <c r="W717" s="5" t="s">
        <v>69</v>
      </c>
      <c r="X717" s="5" t="s">
        <v>69</v>
      </c>
      <c r="Y717" s="4">
        <v>533</v>
      </c>
      <c r="Z717" s="4">
        <v>36</v>
      </c>
      <c r="AA717" s="4">
        <v>63</v>
      </c>
      <c r="AB717" s="4">
        <v>2</v>
      </c>
      <c r="AC717" s="4">
        <v>7</v>
      </c>
      <c r="AD717" s="4">
        <v>80</v>
      </c>
      <c r="AE717" s="4">
        <v>146</v>
      </c>
      <c r="AF717" s="4">
        <v>1</v>
      </c>
      <c r="AG717" s="4">
        <v>5</v>
      </c>
      <c r="AH717" s="4">
        <v>62</v>
      </c>
      <c r="AI717" s="4">
        <v>109</v>
      </c>
      <c r="AJ717" s="4">
        <v>13</v>
      </c>
      <c r="AK717" s="4">
        <v>27</v>
      </c>
      <c r="AL717" s="4">
        <v>38</v>
      </c>
      <c r="AM717" s="4">
        <v>59</v>
      </c>
      <c r="AN717" s="4">
        <v>4</v>
      </c>
      <c r="AO717" s="4">
        <v>4</v>
      </c>
      <c r="AP717" s="4">
        <v>24</v>
      </c>
      <c r="AQ717" s="4">
        <v>44</v>
      </c>
      <c r="AR717" s="3" t="s">
        <v>63</v>
      </c>
      <c r="AS717" s="3" t="s">
        <v>63</v>
      </c>
      <c r="AT717" s="3" t="s">
        <v>63</v>
      </c>
      <c r="AU717" s="6" t="str">
        <f>HYPERLINK("http://catalog.hathitrust.org/Record/001849063","HathiTrust Record")</f>
        <v>HathiTrust Record</v>
      </c>
      <c r="AV717" s="6" t="str">
        <f>HYPERLINK("http://mcgill.on.worldcat.org/oclc/8020597","Catalog Record")</f>
        <v>Catalog Record</v>
      </c>
      <c r="AW717" s="6" t="str">
        <f>HYPERLINK("http://www.worldcat.org/oclc/8020597","WorldCat Record")</f>
        <v>WorldCat Record</v>
      </c>
      <c r="AX717" s="3" t="s">
        <v>7175</v>
      </c>
      <c r="AY717" s="3" t="s">
        <v>7176</v>
      </c>
      <c r="AZ717" s="3" t="s">
        <v>7177</v>
      </c>
      <c r="BA717" s="3" t="s">
        <v>7177</v>
      </c>
      <c r="BB717" s="3" t="s">
        <v>7178</v>
      </c>
      <c r="BC717" s="3" t="s">
        <v>82</v>
      </c>
      <c r="BD717" s="3" t="s">
        <v>70</v>
      </c>
      <c r="BE717" s="3" t="s">
        <v>7179</v>
      </c>
      <c r="BF717" s="3" t="s">
        <v>7178</v>
      </c>
      <c r="BG717" s="3" t="s">
        <v>7180</v>
      </c>
    </row>
    <row r="718" spans="1:59" ht="60" x14ac:dyDescent="0.25">
      <c r="A718" s="2" t="s">
        <v>59</v>
      </c>
      <c r="B718" s="2" t="s">
        <v>60</v>
      </c>
      <c r="C718" s="2" t="s">
        <v>7168</v>
      </c>
      <c r="D718" s="2" t="s">
        <v>7169</v>
      </c>
      <c r="E718" s="2" t="s">
        <v>7170</v>
      </c>
      <c r="G718" s="3" t="s">
        <v>63</v>
      </c>
      <c r="I718" s="3" t="s">
        <v>62</v>
      </c>
      <c r="J718" s="3" t="s">
        <v>63</v>
      </c>
      <c r="K718" s="3" t="s">
        <v>64</v>
      </c>
      <c r="L718" s="2" t="s">
        <v>7171</v>
      </c>
      <c r="M718" s="2" t="s">
        <v>7172</v>
      </c>
      <c r="N718" s="3" t="s">
        <v>758</v>
      </c>
      <c r="P718" s="3" t="s">
        <v>66</v>
      </c>
      <c r="Q718" s="2" t="s">
        <v>7173</v>
      </c>
      <c r="R718" s="3" t="s">
        <v>67</v>
      </c>
      <c r="S718" s="4">
        <v>6</v>
      </c>
      <c r="T718" s="4">
        <v>22</v>
      </c>
      <c r="U718" s="5" t="s">
        <v>7181</v>
      </c>
      <c r="V718" s="5" t="s">
        <v>7174</v>
      </c>
      <c r="W718" s="5" t="s">
        <v>69</v>
      </c>
      <c r="X718" s="5" t="s">
        <v>69</v>
      </c>
      <c r="Y718" s="4">
        <v>533</v>
      </c>
      <c r="Z718" s="4">
        <v>36</v>
      </c>
      <c r="AA718" s="4">
        <v>63</v>
      </c>
      <c r="AB718" s="4">
        <v>2</v>
      </c>
      <c r="AC718" s="4">
        <v>7</v>
      </c>
      <c r="AD718" s="4">
        <v>80</v>
      </c>
      <c r="AE718" s="4">
        <v>146</v>
      </c>
      <c r="AF718" s="4">
        <v>1</v>
      </c>
      <c r="AG718" s="4">
        <v>5</v>
      </c>
      <c r="AH718" s="4">
        <v>62</v>
      </c>
      <c r="AI718" s="4">
        <v>109</v>
      </c>
      <c r="AJ718" s="4">
        <v>13</v>
      </c>
      <c r="AK718" s="4">
        <v>27</v>
      </c>
      <c r="AL718" s="4">
        <v>38</v>
      </c>
      <c r="AM718" s="4">
        <v>59</v>
      </c>
      <c r="AN718" s="4">
        <v>4</v>
      </c>
      <c r="AO718" s="4">
        <v>4</v>
      </c>
      <c r="AP718" s="4">
        <v>24</v>
      </c>
      <c r="AQ718" s="4">
        <v>44</v>
      </c>
      <c r="AR718" s="3" t="s">
        <v>63</v>
      </c>
      <c r="AS718" s="3" t="s">
        <v>63</v>
      </c>
      <c r="AT718" s="3" t="s">
        <v>63</v>
      </c>
      <c r="AU718" s="6" t="str">
        <f>HYPERLINK("http://catalog.hathitrust.org/Record/001849063","HathiTrust Record")</f>
        <v>HathiTrust Record</v>
      </c>
      <c r="AV718" s="6" t="str">
        <f>HYPERLINK("http://mcgill.on.worldcat.org/oclc/8020597","Catalog Record")</f>
        <v>Catalog Record</v>
      </c>
      <c r="AW718" s="6" t="str">
        <f>HYPERLINK("http://www.worldcat.org/oclc/8020597","WorldCat Record")</f>
        <v>WorldCat Record</v>
      </c>
      <c r="AX718" s="3" t="s">
        <v>7175</v>
      </c>
      <c r="AY718" s="3" t="s">
        <v>7176</v>
      </c>
      <c r="AZ718" s="3" t="s">
        <v>7177</v>
      </c>
      <c r="BA718" s="3" t="s">
        <v>7177</v>
      </c>
      <c r="BB718" s="3" t="s">
        <v>7182</v>
      </c>
      <c r="BC718" s="3" t="s">
        <v>82</v>
      </c>
      <c r="BD718" s="3" t="s">
        <v>70</v>
      </c>
      <c r="BE718" s="3" t="s">
        <v>7179</v>
      </c>
      <c r="BF718" s="3" t="s">
        <v>7182</v>
      </c>
      <c r="BG718" s="3" t="s">
        <v>7183</v>
      </c>
    </row>
    <row r="719" spans="1:59" ht="60" x14ac:dyDescent="0.25">
      <c r="A719" s="2" t="s">
        <v>59</v>
      </c>
      <c r="B719" s="2" t="s">
        <v>60</v>
      </c>
      <c r="C719" s="2" t="s">
        <v>7184</v>
      </c>
      <c r="D719" s="2" t="s">
        <v>7185</v>
      </c>
      <c r="E719" s="2" t="s">
        <v>7186</v>
      </c>
      <c r="G719" s="3" t="s">
        <v>63</v>
      </c>
      <c r="I719" s="3" t="s">
        <v>63</v>
      </c>
      <c r="J719" s="3" t="s">
        <v>63</v>
      </c>
      <c r="K719" s="3" t="s">
        <v>64</v>
      </c>
      <c r="L719" s="2" t="s">
        <v>7187</v>
      </c>
      <c r="M719" s="2" t="s">
        <v>7188</v>
      </c>
      <c r="N719" s="3" t="s">
        <v>480</v>
      </c>
      <c r="P719" s="3" t="s">
        <v>66</v>
      </c>
      <c r="R719" s="3" t="s">
        <v>67</v>
      </c>
      <c r="S719" s="4">
        <v>41</v>
      </c>
      <c r="T719" s="4">
        <v>41</v>
      </c>
      <c r="U719" s="5" t="s">
        <v>7189</v>
      </c>
      <c r="V719" s="5" t="s">
        <v>7189</v>
      </c>
      <c r="W719" s="5" t="s">
        <v>69</v>
      </c>
      <c r="X719" s="5" t="s">
        <v>69</v>
      </c>
      <c r="Y719" s="4">
        <v>39</v>
      </c>
      <c r="Z719" s="4">
        <v>3</v>
      </c>
      <c r="AA719" s="4">
        <v>9</v>
      </c>
      <c r="AB719" s="4">
        <v>1</v>
      </c>
      <c r="AC719" s="4">
        <v>4</v>
      </c>
      <c r="AD719" s="4">
        <v>6</v>
      </c>
      <c r="AE719" s="4">
        <v>10</v>
      </c>
      <c r="AF719" s="4">
        <v>0</v>
      </c>
      <c r="AG719" s="4">
        <v>1</v>
      </c>
      <c r="AH719" s="4">
        <v>5</v>
      </c>
      <c r="AI719" s="4">
        <v>8</v>
      </c>
      <c r="AJ719" s="4">
        <v>1</v>
      </c>
      <c r="AK719" s="4">
        <v>3</v>
      </c>
      <c r="AL719" s="4">
        <v>3</v>
      </c>
      <c r="AM719" s="4">
        <v>4</v>
      </c>
      <c r="AN719" s="4">
        <v>0</v>
      </c>
      <c r="AO719" s="4">
        <v>0</v>
      </c>
      <c r="AP719" s="4">
        <v>2</v>
      </c>
      <c r="AQ719" s="4">
        <v>5</v>
      </c>
      <c r="AR719" s="3" t="s">
        <v>63</v>
      </c>
      <c r="AS719" s="3" t="s">
        <v>63</v>
      </c>
      <c r="AT719" s="3" t="s">
        <v>62</v>
      </c>
      <c r="AU719" s="6" t="str">
        <f>HYPERLINK("http://catalog.hathitrust.org/Record/007016256","HathiTrust Record")</f>
        <v>HathiTrust Record</v>
      </c>
      <c r="AV719" s="6" t="str">
        <f>HYPERLINK("http://mcgill.on.worldcat.org/oclc/24741756","Catalog Record")</f>
        <v>Catalog Record</v>
      </c>
      <c r="AW719" s="6" t="str">
        <f>HYPERLINK("http://www.worldcat.org/oclc/24741756","WorldCat Record")</f>
        <v>WorldCat Record</v>
      </c>
      <c r="AX719" s="3" t="s">
        <v>7190</v>
      </c>
      <c r="AY719" s="3" t="s">
        <v>7191</v>
      </c>
      <c r="AZ719" s="3" t="s">
        <v>7192</v>
      </c>
      <c r="BA719" s="3" t="s">
        <v>7192</v>
      </c>
      <c r="BB719" s="3" t="s">
        <v>7193</v>
      </c>
      <c r="BC719" s="3" t="s">
        <v>82</v>
      </c>
      <c r="BD719" s="3" t="s">
        <v>70</v>
      </c>
      <c r="BE719" s="3" t="s">
        <v>7194</v>
      </c>
      <c r="BF719" s="3" t="s">
        <v>7193</v>
      </c>
      <c r="BG719" s="3" t="s">
        <v>7195</v>
      </c>
    </row>
    <row r="720" spans="1:59" ht="60" x14ac:dyDescent="0.25">
      <c r="A720" s="2" t="s">
        <v>59</v>
      </c>
      <c r="B720" s="2" t="s">
        <v>60</v>
      </c>
      <c r="C720" s="2" t="s">
        <v>7196</v>
      </c>
      <c r="D720" s="2" t="s">
        <v>7197</v>
      </c>
      <c r="E720" s="2" t="s">
        <v>7198</v>
      </c>
      <c r="G720" s="3" t="s">
        <v>63</v>
      </c>
      <c r="I720" s="3" t="s">
        <v>63</v>
      </c>
      <c r="J720" s="3" t="s">
        <v>63</v>
      </c>
      <c r="K720" s="3" t="s">
        <v>64</v>
      </c>
      <c r="L720" s="2" t="s">
        <v>7199</v>
      </c>
      <c r="M720" s="2" t="s">
        <v>6091</v>
      </c>
      <c r="N720" s="3" t="s">
        <v>313</v>
      </c>
      <c r="P720" s="3" t="s">
        <v>66</v>
      </c>
      <c r="R720" s="3" t="s">
        <v>67</v>
      </c>
      <c r="S720" s="4">
        <v>2</v>
      </c>
      <c r="T720" s="4">
        <v>2</v>
      </c>
      <c r="U720" s="5" t="s">
        <v>7200</v>
      </c>
      <c r="V720" s="5" t="s">
        <v>7200</v>
      </c>
      <c r="W720" s="5" t="s">
        <v>69</v>
      </c>
      <c r="X720" s="5" t="s">
        <v>69</v>
      </c>
      <c r="Y720" s="4">
        <v>260</v>
      </c>
      <c r="Z720" s="4">
        <v>16</v>
      </c>
      <c r="AA720" s="4">
        <v>105</v>
      </c>
      <c r="AB720" s="4">
        <v>2</v>
      </c>
      <c r="AC720" s="4">
        <v>18</v>
      </c>
      <c r="AD720" s="4">
        <v>93</v>
      </c>
      <c r="AE720" s="4">
        <v>137</v>
      </c>
      <c r="AF720" s="4">
        <v>1</v>
      </c>
      <c r="AG720" s="4">
        <v>8</v>
      </c>
      <c r="AH720" s="4">
        <v>85</v>
      </c>
      <c r="AI720" s="4">
        <v>99</v>
      </c>
      <c r="AJ720" s="4">
        <v>12</v>
      </c>
      <c r="AK720" s="4">
        <v>22</v>
      </c>
      <c r="AL720" s="4">
        <v>51</v>
      </c>
      <c r="AM720" s="4">
        <v>56</v>
      </c>
      <c r="AN720" s="4">
        <v>0</v>
      </c>
      <c r="AO720" s="4">
        <v>0</v>
      </c>
      <c r="AP720" s="4">
        <v>13</v>
      </c>
      <c r="AQ720" s="4">
        <v>44</v>
      </c>
      <c r="AR720" s="3" t="s">
        <v>63</v>
      </c>
      <c r="AS720" s="3" t="s">
        <v>63</v>
      </c>
      <c r="AT720" s="3" t="s">
        <v>63</v>
      </c>
      <c r="AV720" s="6" t="str">
        <f>HYPERLINK("http://mcgill.on.worldcat.org/oclc/463307375","Catalog Record")</f>
        <v>Catalog Record</v>
      </c>
      <c r="AW720" s="6" t="str">
        <f>HYPERLINK("http://www.worldcat.org/oclc/463307375","WorldCat Record")</f>
        <v>WorldCat Record</v>
      </c>
      <c r="AX720" s="3" t="s">
        <v>7201</v>
      </c>
      <c r="AY720" s="3" t="s">
        <v>7202</v>
      </c>
      <c r="AZ720" s="3" t="s">
        <v>7203</v>
      </c>
      <c r="BA720" s="3" t="s">
        <v>7203</v>
      </c>
      <c r="BB720" s="3" t="s">
        <v>7204</v>
      </c>
      <c r="BC720" s="3" t="s">
        <v>82</v>
      </c>
      <c r="BD720" s="3" t="s">
        <v>70</v>
      </c>
      <c r="BE720" s="3" t="s">
        <v>7205</v>
      </c>
      <c r="BF720" s="3" t="s">
        <v>7204</v>
      </c>
      <c r="BG720" s="3" t="s">
        <v>7206</v>
      </c>
    </row>
    <row r="721" spans="1:59" ht="60" x14ac:dyDescent="0.25">
      <c r="A721" s="2" t="s">
        <v>59</v>
      </c>
      <c r="B721" s="2" t="s">
        <v>60</v>
      </c>
      <c r="C721" s="2" t="s">
        <v>7207</v>
      </c>
      <c r="D721" s="2" t="s">
        <v>7208</v>
      </c>
      <c r="E721" s="2" t="s">
        <v>7209</v>
      </c>
      <c r="G721" s="3" t="s">
        <v>63</v>
      </c>
      <c r="I721" s="3" t="s">
        <v>63</v>
      </c>
      <c r="J721" s="3" t="s">
        <v>63</v>
      </c>
      <c r="K721" s="3" t="s">
        <v>64</v>
      </c>
      <c r="L721" s="2" t="s">
        <v>7210</v>
      </c>
      <c r="M721" s="2" t="s">
        <v>7211</v>
      </c>
      <c r="N721" s="3" t="s">
        <v>261</v>
      </c>
      <c r="P721" s="3" t="s">
        <v>66</v>
      </c>
      <c r="R721" s="3" t="s">
        <v>67</v>
      </c>
      <c r="S721" s="4">
        <v>13</v>
      </c>
      <c r="T721" s="4">
        <v>13</v>
      </c>
      <c r="U721" s="5" t="s">
        <v>7212</v>
      </c>
      <c r="V721" s="5" t="s">
        <v>7212</v>
      </c>
      <c r="W721" s="5" t="s">
        <v>69</v>
      </c>
      <c r="X721" s="5" t="s">
        <v>69</v>
      </c>
      <c r="Y721" s="4">
        <v>188</v>
      </c>
      <c r="Z721" s="4">
        <v>28</v>
      </c>
      <c r="AA721" s="4">
        <v>116</v>
      </c>
      <c r="AB721" s="4">
        <v>1</v>
      </c>
      <c r="AC721" s="4">
        <v>20</v>
      </c>
      <c r="AD721" s="4">
        <v>98</v>
      </c>
      <c r="AE721" s="4">
        <v>144</v>
      </c>
      <c r="AF721" s="4">
        <v>0</v>
      </c>
      <c r="AG721" s="4">
        <v>8</v>
      </c>
      <c r="AH721" s="4">
        <v>81</v>
      </c>
      <c r="AI721" s="4">
        <v>101</v>
      </c>
      <c r="AJ721" s="4">
        <v>19</v>
      </c>
      <c r="AK721" s="4">
        <v>26</v>
      </c>
      <c r="AL721" s="4">
        <v>51</v>
      </c>
      <c r="AM721" s="4">
        <v>57</v>
      </c>
      <c r="AN721" s="4">
        <v>0</v>
      </c>
      <c r="AO721" s="4">
        <v>0</v>
      </c>
      <c r="AP721" s="4">
        <v>23</v>
      </c>
      <c r="AQ721" s="4">
        <v>50</v>
      </c>
      <c r="AR721" s="3" t="s">
        <v>62</v>
      </c>
      <c r="AS721" s="3" t="s">
        <v>63</v>
      </c>
      <c r="AT721" s="3" t="s">
        <v>62</v>
      </c>
      <c r="AU721" s="6" t="str">
        <f>HYPERLINK("http://catalog.hathitrust.org/Record/005564033","HathiTrust Record")</f>
        <v>HathiTrust Record</v>
      </c>
      <c r="AV721" s="6" t="str">
        <f>HYPERLINK("http://mcgill.on.worldcat.org/oclc/82771412","Catalog Record")</f>
        <v>Catalog Record</v>
      </c>
      <c r="AW721" s="6" t="str">
        <f>HYPERLINK("http://www.worldcat.org/oclc/82771412","WorldCat Record")</f>
        <v>WorldCat Record</v>
      </c>
      <c r="AX721" s="3" t="s">
        <v>7213</v>
      </c>
      <c r="AY721" s="3" t="s">
        <v>7214</v>
      </c>
      <c r="AZ721" s="3" t="s">
        <v>7215</v>
      </c>
      <c r="BA721" s="3" t="s">
        <v>7215</v>
      </c>
      <c r="BB721" s="3" t="s">
        <v>7216</v>
      </c>
      <c r="BC721" s="3" t="s">
        <v>82</v>
      </c>
      <c r="BD721" s="3" t="s">
        <v>70</v>
      </c>
      <c r="BE721" s="3" t="s">
        <v>7217</v>
      </c>
      <c r="BF721" s="3" t="s">
        <v>7216</v>
      </c>
      <c r="BG721" s="3" t="s">
        <v>7218</v>
      </c>
    </row>
    <row r="722" spans="1:59" ht="60" x14ac:dyDescent="0.25">
      <c r="A722" s="2" t="s">
        <v>59</v>
      </c>
      <c r="B722" s="2" t="s">
        <v>60</v>
      </c>
      <c r="C722" s="2" t="s">
        <v>7219</v>
      </c>
      <c r="D722" s="2" t="s">
        <v>7220</v>
      </c>
      <c r="E722" s="2" t="s">
        <v>7221</v>
      </c>
      <c r="G722" s="3" t="s">
        <v>63</v>
      </c>
      <c r="I722" s="3" t="s">
        <v>63</v>
      </c>
      <c r="J722" s="3" t="s">
        <v>63</v>
      </c>
      <c r="K722" s="3" t="s">
        <v>64</v>
      </c>
      <c r="L722" s="2" t="s">
        <v>7222</v>
      </c>
      <c r="M722" s="2" t="s">
        <v>7223</v>
      </c>
      <c r="N722" s="3" t="s">
        <v>629</v>
      </c>
      <c r="P722" s="3" t="s">
        <v>90</v>
      </c>
      <c r="Q722" s="2" t="s">
        <v>7224</v>
      </c>
      <c r="R722" s="3" t="s">
        <v>67</v>
      </c>
      <c r="S722" s="4">
        <v>0</v>
      </c>
      <c r="T722" s="4">
        <v>0</v>
      </c>
      <c r="W722" s="5" t="s">
        <v>69</v>
      </c>
      <c r="X722" s="5" t="s">
        <v>69</v>
      </c>
      <c r="Y722" s="4">
        <v>30</v>
      </c>
      <c r="Z722" s="4">
        <v>4</v>
      </c>
      <c r="AA722" s="4">
        <v>4</v>
      </c>
      <c r="AB722" s="4">
        <v>1</v>
      </c>
      <c r="AC722" s="4">
        <v>1</v>
      </c>
      <c r="AD722" s="4">
        <v>24</v>
      </c>
      <c r="AE722" s="4">
        <v>24</v>
      </c>
      <c r="AF722" s="4">
        <v>0</v>
      </c>
      <c r="AG722" s="4">
        <v>0</v>
      </c>
      <c r="AH722" s="4">
        <v>23</v>
      </c>
      <c r="AI722" s="4">
        <v>23</v>
      </c>
      <c r="AJ722" s="4">
        <v>2</v>
      </c>
      <c r="AK722" s="4">
        <v>2</v>
      </c>
      <c r="AL722" s="4">
        <v>20</v>
      </c>
      <c r="AM722" s="4">
        <v>20</v>
      </c>
      <c r="AN722" s="4">
        <v>0</v>
      </c>
      <c r="AO722" s="4">
        <v>0</v>
      </c>
      <c r="AP722" s="4">
        <v>2</v>
      </c>
      <c r="AQ722" s="4">
        <v>2</v>
      </c>
      <c r="AR722" s="3" t="s">
        <v>63</v>
      </c>
      <c r="AS722" s="3" t="s">
        <v>63</v>
      </c>
      <c r="AT722" s="3" t="s">
        <v>63</v>
      </c>
      <c r="AV722" s="6" t="str">
        <f>HYPERLINK("http://mcgill.on.worldcat.org/oclc/719860339","Catalog Record")</f>
        <v>Catalog Record</v>
      </c>
      <c r="AW722" s="6" t="str">
        <f>HYPERLINK("http://www.worldcat.org/oclc/719860339","WorldCat Record")</f>
        <v>WorldCat Record</v>
      </c>
      <c r="AX722" s="3" t="s">
        <v>7225</v>
      </c>
      <c r="AY722" s="3" t="s">
        <v>7226</v>
      </c>
      <c r="AZ722" s="3" t="s">
        <v>7227</v>
      </c>
      <c r="BA722" s="3" t="s">
        <v>7227</v>
      </c>
      <c r="BB722" s="3" t="s">
        <v>7228</v>
      </c>
      <c r="BC722" s="3" t="s">
        <v>82</v>
      </c>
      <c r="BD722" s="3" t="s">
        <v>70</v>
      </c>
      <c r="BE722" s="3" t="s">
        <v>7229</v>
      </c>
      <c r="BF722" s="3" t="s">
        <v>7228</v>
      </c>
      <c r="BG722" s="3" t="s">
        <v>7230</v>
      </c>
    </row>
    <row r="723" spans="1:59" ht="60" x14ac:dyDescent="0.25">
      <c r="A723" s="2" t="s">
        <v>59</v>
      </c>
      <c r="B723" s="2" t="s">
        <v>60</v>
      </c>
      <c r="C723" s="2" t="s">
        <v>7231</v>
      </c>
      <c r="D723" s="2" t="s">
        <v>7232</v>
      </c>
      <c r="E723" s="2" t="s">
        <v>7233</v>
      </c>
      <c r="G723" s="3" t="s">
        <v>63</v>
      </c>
      <c r="I723" s="3" t="s">
        <v>63</v>
      </c>
      <c r="J723" s="3" t="s">
        <v>63</v>
      </c>
      <c r="K723" s="3" t="s">
        <v>64</v>
      </c>
      <c r="L723" s="2" t="s">
        <v>7234</v>
      </c>
      <c r="M723" s="2" t="s">
        <v>7235</v>
      </c>
      <c r="N723" s="3" t="s">
        <v>143</v>
      </c>
      <c r="P723" s="3" t="s">
        <v>90</v>
      </c>
      <c r="R723" s="3" t="s">
        <v>67</v>
      </c>
      <c r="S723" s="4">
        <v>1</v>
      </c>
      <c r="T723" s="4">
        <v>1</v>
      </c>
      <c r="U723" s="5" t="s">
        <v>7236</v>
      </c>
      <c r="V723" s="5" t="s">
        <v>7236</v>
      </c>
      <c r="W723" s="5" t="s">
        <v>69</v>
      </c>
      <c r="X723" s="5" t="s">
        <v>69</v>
      </c>
      <c r="Y723" s="4">
        <v>9</v>
      </c>
      <c r="Z723" s="4">
        <v>3</v>
      </c>
      <c r="AA723" s="4">
        <v>3</v>
      </c>
      <c r="AB723" s="4">
        <v>1</v>
      </c>
      <c r="AC723" s="4">
        <v>1</v>
      </c>
      <c r="AD723" s="4">
        <v>5</v>
      </c>
      <c r="AE723" s="4">
        <v>12</v>
      </c>
      <c r="AF723" s="4">
        <v>0</v>
      </c>
      <c r="AG723" s="4">
        <v>0</v>
      </c>
      <c r="AH723" s="4">
        <v>5</v>
      </c>
      <c r="AI723" s="4">
        <v>11</v>
      </c>
      <c r="AJ723" s="4">
        <v>1</v>
      </c>
      <c r="AK723" s="4">
        <v>1</v>
      </c>
      <c r="AL723" s="4">
        <v>5</v>
      </c>
      <c r="AM723" s="4">
        <v>9</v>
      </c>
      <c r="AN723" s="4">
        <v>0</v>
      </c>
      <c r="AO723" s="4">
        <v>0</v>
      </c>
      <c r="AP723" s="4">
        <v>1</v>
      </c>
      <c r="AQ723" s="4">
        <v>1</v>
      </c>
      <c r="AR723" s="3" t="s">
        <v>63</v>
      </c>
      <c r="AS723" s="3" t="s">
        <v>63</v>
      </c>
      <c r="AT723" s="3" t="s">
        <v>63</v>
      </c>
      <c r="AV723" s="6" t="str">
        <f>HYPERLINK("http://mcgill.on.worldcat.org/oclc/902622760","Catalog Record")</f>
        <v>Catalog Record</v>
      </c>
      <c r="AW723" s="6" t="str">
        <f>HYPERLINK("http://www.worldcat.org/oclc/902622760","WorldCat Record")</f>
        <v>WorldCat Record</v>
      </c>
      <c r="AX723" s="3" t="s">
        <v>7237</v>
      </c>
      <c r="AY723" s="3" t="s">
        <v>7238</v>
      </c>
      <c r="AZ723" s="3" t="s">
        <v>7239</v>
      </c>
      <c r="BA723" s="3" t="s">
        <v>7239</v>
      </c>
      <c r="BB723" s="3" t="s">
        <v>7240</v>
      </c>
      <c r="BC723" s="3" t="s">
        <v>82</v>
      </c>
      <c r="BD723" s="3" t="s">
        <v>70</v>
      </c>
      <c r="BE723" s="3" t="s">
        <v>7241</v>
      </c>
      <c r="BF723" s="3" t="s">
        <v>7240</v>
      </c>
      <c r="BG723" s="3" t="s">
        <v>7242</v>
      </c>
    </row>
    <row r="724" spans="1:59" ht="60" x14ac:dyDescent="0.25">
      <c r="A724" s="2" t="s">
        <v>59</v>
      </c>
      <c r="B724" s="2" t="s">
        <v>60</v>
      </c>
      <c r="C724" s="2" t="s">
        <v>7243</v>
      </c>
      <c r="D724" s="2" t="s">
        <v>7244</v>
      </c>
      <c r="E724" s="2" t="s">
        <v>7245</v>
      </c>
      <c r="G724" s="3" t="s">
        <v>63</v>
      </c>
      <c r="I724" s="3" t="s">
        <v>63</v>
      </c>
      <c r="J724" s="3" t="s">
        <v>63</v>
      </c>
      <c r="K724" s="3" t="s">
        <v>64</v>
      </c>
      <c r="L724" s="2" t="s">
        <v>7246</v>
      </c>
      <c r="N724" s="3" t="s">
        <v>826</v>
      </c>
      <c r="P724" s="3" t="s">
        <v>66</v>
      </c>
      <c r="R724" s="3" t="s">
        <v>67</v>
      </c>
      <c r="S724" s="4">
        <v>15</v>
      </c>
      <c r="T724" s="4">
        <v>15</v>
      </c>
      <c r="U724" s="5" t="s">
        <v>7247</v>
      </c>
      <c r="V724" s="5" t="s">
        <v>7247</v>
      </c>
      <c r="W724" s="5" t="s">
        <v>69</v>
      </c>
      <c r="X724" s="5" t="s">
        <v>69</v>
      </c>
      <c r="Y724" s="4">
        <v>8</v>
      </c>
      <c r="Z724" s="4">
        <v>2</v>
      </c>
      <c r="AA724" s="4">
        <v>5</v>
      </c>
      <c r="AB724" s="4">
        <v>1</v>
      </c>
      <c r="AC724" s="4">
        <v>1</v>
      </c>
      <c r="AD724" s="4">
        <v>6</v>
      </c>
      <c r="AE724" s="4">
        <v>9</v>
      </c>
      <c r="AF724" s="4">
        <v>0</v>
      </c>
      <c r="AG724" s="4">
        <v>0</v>
      </c>
      <c r="AH724" s="4">
        <v>6</v>
      </c>
      <c r="AI724" s="4">
        <v>9</v>
      </c>
      <c r="AJ724" s="4">
        <v>1</v>
      </c>
      <c r="AK724" s="4">
        <v>3</v>
      </c>
      <c r="AL724" s="4">
        <v>4</v>
      </c>
      <c r="AM724" s="4">
        <v>4</v>
      </c>
      <c r="AN724" s="4">
        <v>1</v>
      </c>
      <c r="AO724" s="4">
        <v>1</v>
      </c>
      <c r="AP724" s="4">
        <v>1</v>
      </c>
      <c r="AQ724" s="4">
        <v>4</v>
      </c>
      <c r="AR724" s="3" t="s">
        <v>63</v>
      </c>
      <c r="AS724" s="3" t="s">
        <v>63</v>
      </c>
      <c r="AT724" s="3" t="s">
        <v>62</v>
      </c>
      <c r="AU724" s="6" t="str">
        <f>HYPERLINK("http://catalog.hathitrust.org/Record/102089232","HathiTrust Record")</f>
        <v>HathiTrust Record</v>
      </c>
      <c r="AV724" s="6" t="str">
        <f>HYPERLINK("http://mcgill.on.worldcat.org/oclc/3911373","Catalog Record")</f>
        <v>Catalog Record</v>
      </c>
      <c r="AW724" s="6" t="str">
        <f>HYPERLINK("http://www.worldcat.org/oclc/3911373","WorldCat Record")</f>
        <v>WorldCat Record</v>
      </c>
      <c r="AX724" s="3" t="s">
        <v>7248</v>
      </c>
      <c r="AY724" s="3" t="s">
        <v>7249</v>
      </c>
      <c r="AZ724" s="3" t="s">
        <v>7250</v>
      </c>
      <c r="BA724" s="3" t="s">
        <v>7250</v>
      </c>
      <c r="BB724" s="3" t="s">
        <v>7251</v>
      </c>
      <c r="BC724" s="3" t="s">
        <v>524</v>
      </c>
      <c r="BD724" s="3" t="s">
        <v>70</v>
      </c>
      <c r="BF724" s="3" t="s">
        <v>7251</v>
      </c>
      <c r="BG724" s="3" t="s">
        <v>7252</v>
      </c>
    </row>
    <row r="725" spans="1:59" ht="60" x14ac:dyDescent="0.25">
      <c r="A725" s="2" t="s">
        <v>59</v>
      </c>
      <c r="B725" s="2" t="s">
        <v>60</v>
      </c>
      <c r="C725" s="2" t="s">
        <v>7253</v>
      </c>
      <c r="D725" s="2" t="s">
        <v>7254</v>
      </c>
      <c r="E725" s="2" t="s">
        <v>7255</v>
      </c>
      <c r="G725" s="3" t="s">
        <v>63</v>
      </c>
      <c r="I725" s="3" t="s">
        <v>63</v>
      </c>
      <c r="J725" s="3" t="s">
        <v>63</v>
      </c>
      <c r="K725" s="3" t="s">
        <v>64</v>
      </c>
      <c r="L725" s="2" t="s">
        <v>7256</v>
      </c>
      <c r="M725" s="2" t="s">
        <v>7257</v>
      </c>
      <c r="N725" s="3" t="s">
        <v>374</v>
      </c>
      <c r="P725" s="3" t="s">
        <v>66</v>
      </c>
      <c r="Q725" s="2" t="s">
        <v>5294</v>
      </c>
      <c r="R725" s="3" t="s">
        <v>67</v>
      </c>
      <c r="S725" s="4">
        <v>14</v>
      </c>
      <c r="T725" s="4">
        <v>14</v>
      </c>
      <c r="U725" s="5" t="s">
        <v>7258</v>
      </c>
      <c r="V725" s="5" t="s">
        <v>7258</v>
      </c>
      <c r="W725" s="5" t="s">
        <v>69</v>
      </c>
      <c r="X725" s="5" t="s">
        <v>69</v>
      </c>
      <c r="Y725" s="4">
        <v>269</v>
      </c>
      <c r="Z725" s="4">
        <v>20</v>
      </c>
      <c r="AA725" s="4">
        <v>24</v>
      </c>
      <c r="AB725" s="4">
        <v>1</v>
      </c>
      <c r="AC725" s="4">
        <v>3</v>
      </c>
      <c r="AD725" s="4">
        <v>107</v>
      </c>
      <c r="AE725" s="4">
        <v>110</v>
      </c>
      <c r="AF725" s="4">
        <v>0</v>
      </c>
      <c r="AG725" s="4">
        <v>1</v>
      </c>
      <c r="AH725" s="4">
        <v>99</v>
      </c>
      <c r="AI725" s="4">
        <v>100</v>
      </c>
      <c r="AJ725" s="4">
        <v>15</v>
      </c>
      <c r="AK725" s="4">
        <v>18</v>
      </c>
      <c r="AL725" s="4">
        <v>54</v>
      </c>
      <c r="AM725" s="4">
        <v>54</v>
      </c>
      <c r="AN725" s="4">
        <v>0</v>
      </c>
      <c r="AO725" s="4">
        <v>0</v>
      </c>
      <c r="AP725" s="4">
        <v>16</v>
      </c>
      <c r="AQ725" s="4">
        <v>18</v>
      </c>
      <c r="AR725" s="3" t="s">
        <v>63</v>
      </c>
      <c r="AS725" s="3" t="s">
        <v>63</v>
      </c>
      <c r="AT725" s="3" t="s">
        <v>63</v>
      </c>
      <c r="AV725" s="6" t="str">
        <f>HYPERLINK("http://mcgill.on.worldcat.org/oclc/31969735","Catalog Record")</f>
        <v>Catalog Record</v>
      </c>
      <c r="AW725" s="6" t="str">
        <f>HYPERLINK("http://www.worldcat.org/oclc/31969735","WorldCat Record")</f>
        <v>WorldCat Record</v>
      </c>
      <c r="AX725" s="3" t="s">
        <v>7259</v>
      </c>
      <c r="AY725" s="3" t="s">
        <v>7260</v>
      </c>
      <c r="AZ725" s="3" t="s">
        <v>7261</v>
      </c>
      <c r="BA725" s="3" t="s">
        <v>7261</v>
      </c>
      <c r="BB725" s="3" t="s">
        <v>7262</v>
      </c>
      <c r="BC725" s="3" t="s">
        <v>82</v>
      </c>
      <c r="BD725" s="3" t="s">
        <v>70</v>
      </c>
      <c r="BE725" s="3" t="s">
        <v>7263</v>
      </c>
      <c r="BF725" s="3" t="s">
        <v>7262</v>
      </c>
      <c r="BG725" s="3" t="s">
        <v>7264</v>
      </c>
    </row>
    <row r="726" spans="1:59" ht="60" x14ac:dyDescent="0.25">
      <c r="A726" s="2" t="s">
        <v>59</v>
      </c>
      <c r="B726" s="2" t="s">
        <v>60</v>
      </c>
      <c r="C726" s="2" t="s">
        <v>7265</v>
      </c>
      <c r="D726" s="2" t="s">
        <v>7266</v>
      </c>
      <c r="E726" s="2" t="s">
        <v>7267</v>
      </c>
      <c r="G726" s="3" t="s">
        <v>63</v>
      </c>
      <c r="I726" s="3" t="s">
        <v>63</v>
      </c>
      <c r="J726" s="3" t="s">
        <v>63</v>
      </c>
      <c r="K726" s="3" t="s">
        <v>64</v>
      </c>
      <c r="L726" s="2" t="s">
        <v>7256</v>
      </c>
      <c r="M726" s="2" t="s">
        <v>7268</v>
      </c>
      <c r="N726" s="3" t="s">
        <v>326</v>
      </c>
      <c r="P726" s="3" t="s">
        <v>66</v>
      </c>
      <c r="R726" s="3" t="s">
        <v>67</v>
      </c>
      <c r="S726" s="4">
        <v>4</v>
      </c>
      <c r="T726" s="4">
        <v>4</v>
      </c>
      <c r="U726" s="5" t="s">
        <v>4955</v>
      </c>
      <c r="V726" s="5" t="s">
        <v>4955</v>
      </c>
      <c r="W726" s="5" t="s">
        <v>69</v>
      </c>
      <c r="X726" s="5" t="s">
        <v>69</v>
      </c>
      <c r="Y726" s="4">
        <v>284</v>
      </c>
      <c r="Z726" s="4">
        <v>16</v>
      </c>
      <c r="AA726" s="4">
        <v>105</v>
      </c>
      <c r="AB726" s="4">
        <v>2</v>
      </c>
      <c r="AC726" s="4">
        <v>20</v>
      </c>
      <c r="AD726" s="4">
        <v>93</v>
      </c>
      <c r="AE726" s="4">
        <v>146</v>
      </c>
      <c r="AF726" s="4">
        <v>0</v>
      </c>
      <c r="AG726" s="4">
        <v>8</v>
      </c>
      <c r="AH726" s="4">
        <v>86</v>
      </c>
      <c r="AI726" s="4">
        <v>104</v>
      </c>
      <c r="AJ726" s="4">
        <v>10</v>
      </c>
      <c r="AK726" s="4">
        <v>23</v>
      </c>
      <c r="AL726" s="4">
        <v>57</v>
      </c>
      <c r="AM726" s="4">
        <v>61</v>
      </c>
      <c r="AN726" s="4">
        <v>0</v>
      </c>
      <c r="AO726" s="4">
        <v>0</v>
      </c>
      <c r="AP726" s="4">
        <v>11</v>
      </c>
      <c r="AQ726" s="4">
        <v>47</v>
      </c>
      <c r="AR726" s="3" t="s">
        <v>63</v>
      </c>
      <c r="AS726" s="3" t="s">
        <v>63</v>
      </c>
      <c r="AT726" s="3" t="s">
        <v>63</v>
      </c>
      <c r="AV726" s="6" t="str">
        <f>HYPERLINK("http://mcgill.on.worldcat.org/oclc/317623379","Catalog Record")</f>
        <v>Catalog Record</v>
      </c>
      <c r="AW726" s="6" t="str">
        <f>HYPERLINK("http://www.worldcat.org/oclc/317623379","WorldCat Record")</f>
        <v>WorldCat Record</v>
      </c>
      <c r="AX726" s="3" t="s">
        <v>7269</v>
      </c>
      <c r="AY726" s="3" t="s">
        <v>7270</v>
      </c>
      <c r="AZ726" s="3" t="s">
        <v>7271</v>
      </c>
      <c r="BA726" s="3" t="s">
        <v>7271</v>
      </c>
      <c r="BB726" s="3" t="s">
        <v>7272</v>
      </c>
      <c r="BC726" s="3" t="s">
        <v>82</v>
      </c>
      <c r="BD726" s="3" t="s">
        <v>70</v>
      </c>
      <c r="BE726" s="3" t="s">
        <v>7273</v>
      </c>
      <c r="BF726" s="3" t="s">
        <v>7272</v>
      </c>
      <c r="BG726" s="3" t="s">
        <v>7274</v>
      </c>
    </row>
    <row r="727" spans="1:59" ht="60" x14ac:dyDescent="0.25">
      <c r="A727" s="2" t="s">
        <v>59</v>
      </c>
      <c r="B727" s="2" t="s">
        <v>60</v>
      </c>
      <c r="C727" s="2" t="s">
        <v>7275</v>
      </c>
      <c r="D727" s="2" t="s">
        <v>7276</v>
      </c>
      <c r="E727" s="2" t="s">
        <v>7277</v>
      </c>
      <c r="G727" s="3" t="s">
        <v>63</v>
      </c>
      <c r="I727" s="3" t="s">
        <v>63</v>
      </c>
      <c r="J727" s="3" t="s">
        <v>63</v>
      </c>
      <c r="K727" s="3" t="s">
        <v>215</v>
      </c>
      <c r="L727" s="2" t="s">
        <v>7278</v>
      </c>
      <c r="M727" s="2" t="s">
        <v>7279</v>
      </c>
      <c r="N727" s="3" t="s">
        <v>1226</v>
      </c>
      <c r="P727" s="3" t="s">
        <v>66</v>
      </c>
      <c r="R727" s="3" t="s">
        <v>67</v>
      </c>
      <c r="S727" s="4">
        <v>9</v>
      </c>
      <c r="T727" s="4">
        <v>9</v>
      </c>
      <c r="U727" s="5" t="s">
        <v>7280</v>
      </c>
      <c r="V727" s="5" t="s">
        <v>7280</v>
      </c>
      <c r="W727" s="5" t="s">
        <v>69</v>
      </c>
      <c r="X727" s="5" t="s">
        <v>69</v>
      </c>
      <c r="Y727" s="4">
        <v>316</v>
      </c>
      <c r="Z727" s="4">
        <v>20</v>
      </c>
      <c r="AA727" s="4">
        <v>25</v>
      </c>
      <c r="AB727" s="4">
        <v>2</v>
      </c>
      <c r="AC727" s="4">
        <v>4</v>
      </c>
      <c r="AD727" s="4">
        <v>106</v>
      </c>
      <c r="AE727" s="4">
        <v>109</v>
      </c>
      <c r="AF727" s="4">
        <v>0</v>
      </c>
      <c r="AG727" s="4">
        <v>1</v>
      </c>
      <c r="AH727" s="4">
        <v>98</v>
      </c>
      <c r="AI727" s="4">
        <v>100</v>
      </c>
      <c r="AJ727" s="4">
        <v>14</v>
      </c>
      <c r="AK727" s="4">
        <v>15</v>
      </c>
      <c r="AL727" s="4">
        <v>55</v>
      </c>
      <c r="AM727" s="4">
        <v>55</v>
      </c>
      <c r="AN727" s="4">
        <v>0</v>
      </c>
      <c r="AO727" s="4">
        <v>0</v>
      </c>
      <c r="AP727" s="4">
        <v>13</v>
      </c>
      <c r="AQ727" s="4">
        <v>15</v>
      </c>
      <c r="AR727" s="3" t="s">
        <v>63</v>
      </c>
      <c r="AS727" s="3" t="s">
        <v>63</v>
      </c>
      <c r="AT727" s="3" t="s">
        <v>63</v>
      </c>
      <c r="AV727" s="6" t="str">
        <f>HYPERLINK("http://mcgill.on.worldcat.org/oclc/51969057","Catalog Record")</f>
        <v>Catalog Record</v>
      </c>
      <c r="AW727" s="6" t="str">
        <f>HYPERLINK("http://www.worldcat.org/oclc/51969057","WorldCat Record")</f>
        <v>WorldCat Record</v>
      </c>
      <c r="AX727" s="3" t="s">
        <v>7281</v>
      </c>
      <c r="AY727" s="3" t="s">
        <v>7282</v>
      </c>
      <c r="AZ727" s="3" t="s">
        <v>7283</v>
      </c>
      <c r="BA727" s="3" t="s">
        <v>7283</v>
      </c>
      <c r="BB727" s="3" t="s">
        <v>7284</v>
      </c>
      <c r="BC727" s="3" t="s">
        <v>82</v>
      </c>
      <c r="BD727" s="3" t="s">
        <v>70</v>
      </c>
      <c r="BE727" s="3" t="s">
        <v>7285</v>
      </c>
      <c r="BF727" s="3" t="s">
        <v>7284</v>
      </c>
      <c r="BG727" s="3" t="s">
        <v>7286</v>
      </c>
    </row>
    <row r="728" spans="1:59" ht="60" x14ac:dyDescent="0.25">
      <c r="A728" s="2" t="s">
        <v>59</v>
      </c>
      <c r="B728" s="2" t="s">
        <v>60</v>
      </c>
      <c r="C728" s="2" t="s">
        <v>7287</v>
      </c>
      <c r="D728" s="2" t="s">
        <v>7288</v>
      </c>
      <c r="E728" s="2" t="s">
        <v>7289</v>
      </c>
      <c r="G728" s="3" t="s">
        <v>63</v>
      </c>
      <c r="I728" s="3" t="s">
        <v>63</v>
      </c>
      <c r="J728" s="3" t="s">
        <v>63</v>
      </c>
      <c r="K728" s="3" t="s">
        <v>64</v>
      </c>
      <c r="L728" s="2" t="s">
        <v>4909</v>
      </c>
      <c r="M728" s="2" t="s">
        <v>7290</v>
      </c>
      <c r="N728" s="3" t="s">
        <v>220</v>
      </c>
      <c r="P728" s="3" t="s">
        <v>90</v>
      </c>
      <c r="Q728" s="2" t="s">
        <v>7291</v>
      </c>
      <c r="R728" s="3" t="s">
        <v>67</v>
      </c>
      <c r="S728" s="4">
        <v>3</v>
      </c>
      <c r="T728" s="4">
        <v>3</v>
      </c>
      <c r="U728" s="5" t="s">
        <v>7292</v>
      </c>
      <c r="V728" s="5" t="s">
        <v>7292</v>
      </c>
      <c r="W728" s="5" t="s">
        <v>69</v>
      </c>
      <c r="X728" s="5" t="s">
        <v>69</v>
      </c>
      <c r="Y728" s="4">
        <v>68</v>
      </c>
      <c r="Z728" s="4">
        <v>6</v>
      </c>
      <c r="AA728" s="4">
        <v>8</v>
      </c>
      <c r="AB728" s="4">
        <v>1</v>
      </c>
      <c r="AC728" s="4">
        <v>1</v>
      </c>
      <c r="AD728" s="4">
        <v>42</v>
      </c>
      <c r="AE728" s="4">
        <v>44</v>
      </c>
      <c r="AF728" s="4">
        <v>0</v>
      </c>
      <c r="AG728" s="4">
        <v>0</v>
      </c>
      <c r="AH728" s="4">
        <v>40</v>
      </c>
      <c r="AI728" s="4">
        <v>41</v>
      </c>
      <c r="AJ728" s="4">
        <v>4</v>
      </c>
      <c r="AK728" s="4">
        <v>5</v>
      </c>
      <c r="AL728" s="4">
        <v>32</v>
      </c>
      <c r="AM728" s="4">
        <v>32</v>
      </c>
      <c r="AN728" s="4">
        <v>1</v>
      </c>
      <c r="AO728" s="4">
        <v>1</v>
      </c>
      <c r="AP728" s="4">
        <v>4</v>
      </c>
      <c r="AQ728" s="4">
        <v>5</v>
      </c>
      <c r="AR728" s="3" t="s">
        <v>63</v>
      </c>
      <c r="AS728" s="3" t="s">
        <v>63</v>
      </c>
      <c r="AT728" s="3" t="s">
        <v>62</v>
      </c>
      <c r="AU728" s="6" t="str">
        <f>HYPERLINK("http://catalog.hathitrust.org/Record/003020702","HathiTrust Record")</f>
        <v>HathiTrust Record</v>
      </c>
      <c r="AV728" s="6" t="str">
        <f>HYPERLINK("http://mcgill.on.worldcat.org/oclc/29549343","Catalog Record")</f>
        <v>Catalog Record</v>
      </c>
      <c r="AW728" s="6" t="str">
        <f>HYPERLINK("http://www.worldcat.org/oclc/29549343","WorldCat Record")</f>
        <v>WorldCat Record</v>
      </c>
      <c r="AX728" s="3" t="s">
        <v>7293</v>
      </c>
      <c r="AY728" s="3" t="s">
        <v>7294</v>
      </c>
      <c r="AZ728" s="3" t="s">
        <v>7295</v>
      </c>
      <c r="BA728" s="3" t="s">
        <v>7295</v>
      </c>
      <c r="BB728" s="3" t="s">
        <v>7296</v>
      </c>
      <c r="BC728" s="3" t="s">
        <v>82</v>
      </c>
      <c r="BD728" s="3" t="s">
        <v>538</v>
      </c>
      <c r="BE728" s="3" t="s">
        <v>7297</v>
      </c>
      <c r="BF728" s="3" t="s">
        <v>7296</v>
      </c>
      <c r="BG728" s="3" t="s">
        <v>7298</v>
      </c>
    </row>
    <row r="729" spans="1:59" ht="60" x14ac:dyDescent="0.25">
      <c r="A729" s="2" t="s">
        <v>59</v>
      </c>
      <c r="B729" s="2" t="s">
        <v>60</v>
      </c>
      <c r="C729" s="2" t="s">
        <v>7299</v>
      </c>
      <c r="D729" s="2" t="s">
        <v>7300</v>
      </c>
      <c r="E729" s="2" t="s">
        <v>7301</v>
      </c>
      <c r="G729" s="3" t="s">
        <v>63</v>
      </c>
      <c r="I729" s="3" t="s">
        <v>63</v>
      </c>
      <c r="J729" s="3" t="s">
        <v>63</v>
      </c>
      <c r="K729" s="3" t="s">
        <v>64</v>
      </c>
      <c r="L729" s="2" t="s">
        <v>7302</v>
      </c>
      <c r="M729" s="2" t="s">
        <v>7303</v>
      </c>
      <c r="N729" s="3" t="s">
        <v>274</v>
      </c>
      <c r="P729" s="3" t="s">
        <v>66</v>
      </c>
      <c r="Q729" s="2" t="s">
        <v>7304</v>
      </c>
      <c r="R729" s="3" t="s">
        <v>67</v>
      </c>
      <c r="S729" s="4">
        <v>25</v>
      </c>
      <c r="T729" s="4">
        <v>25</v>
      </c>
      <c r="U729" s="5" t="s">
        <v>2615</v>
      </c>
      <c r="V729" s="5" t="s">
        <v>2615</v>
      </c>
      <c r="W729" s="5" t="s">
        <v>69</v>
      </c>
      <c r="X729" s="5" t="s">
        <v>69</v>
      </c>
      <c r="Y729" s="4">
        <v>80</v>
      </c>
      <c r="Z729" s="4">
        <v>5</v>
      </c>
      <c r="AA729" s="4">
        <v>5</v>
      </c>
      <c r="AB729" s="4">
        <v>1</v>
      </c>
      <c r="AC729" s="4">
        <v>1</v>
      </c>
      <c r="AD729" s="4">
        <v>37</v>
      </c>
      <c r="AE729" s="4">
        <v>37</v>
      </c>
      <c r="AF729" s="4">
        <v>0</v>
      </c>
      <c r="AG729" s="4">
        <v>0</v>
      </c>
      <c r="AH729" s="4">
        <v>37</v>
      </c>
      <c r="AI729" s="4">
        <v>37</v>
      </c>
      <c r="AJ729" s="4">
        <v>3</v>
      </c>
      <c r="AK729" s="4">
        <v>3</v>
      </c>
      <c r="AL729" s="4">
        <v>22</v>
      </c>
      <c r="AM729" s="4">
        <v>22</v>
      </c>
      <c r="AN729" s="4">
        <v>0</v>
      </c>
      <c r="AO729" s="4">
        <v>0</v>
      </c>
      <c r="AP729" s="4">
        <v>3</v>
      </c>
      <c r="AQ729" s="4">
        <v>3</v>
      </c>
      <c r="AR729" s="3" t="s">
        <v>63</v>
      </c>
      <c r="AS729" s="3" t="s">
        <v>63</v>
      </c>
      <c r="AT729" s="3" t="s">
        <v>63</v>
      </c>
      <c r="AV729" s="6" t="str">
        <f>HYPERLINK("http://mcgill.on.worldcat.org/oclc/41464922","Catalog Record")</f>
        <v>Catalog Record</v>
      </c>
      <c r="AW729" s="6" t="str">
        <f>HYPERLINK("http://www.worldcat.org/oclc/41464922","WorldCat Record")</f>
        <v>WorldCat Record</v>
      </c>
      <c r="AX729" s="3" t="s">
        <v>7305</v>
      </c>
      <c r="AY729" s="3" t="s">
        <v>7306</v>
      </c>
      <c r="AZ729" s="3" t="s">
        <v>7307</v>
      </c>
      <c r="BA729" s="3" t="s">
        <v>7307</v>
      </c>
      <c r="BB729" s="3" t="s">
        <v>7308</v>
      </c>
      <c r="BC729" s="3" t="s">
        <v>82</v>
      </c>
      <c r="BD729" s="3" t="s">
        <v>70</v>
      </c>
      <c r="BE729" s="3" t="s">
        <v>7309</v>
      </c>
      <c r="BF729" s="3" t="s">
        <v>7308</v>
      </c>
      <c r="BG729" s="3" t="s">
        <v>7310</v>
      </c>
    </row>
    <row r="730" spans="1:59" ht="60" x14ac:dyDescent="0.25">
      <c r="A730" s="2" t="s">
        <v>59</v>
      </c>
      <c r="B730" s="2" t="s">
        <v>60</v>
      </c>
      <c r="C730" s="2" t="s">
        <v>7311</v>
      </c>
      <c r="D730" s="2" t="s">
        <v>7312</v>
      </c>
      <c r="E730" s="2" t="s">
        <v>7313</v>
      </c>
      <c r="G730" s="3" t="s">
        <v>63</v>
      </c>
      <c r="I730" s="3" t="s">
        <v>63</v>
      </c>
      <c r="J730" s="3" t="s">
        <v>63</v>
      </c>
      <c r="K730" s="3" t="s">
        <v>64</v>
      </c>
      <c r="L730" s="2" t="s">
        <v>7314</v>
      </c>
      <c r="M730" s="2" t="s">
        <v>7315</v>
      </c>
      <c r="N730" s="3" t="s">
        <v>2535</v>
      </c>
      <c r="P730" s="3" t="s">
        <v>66</v>
      </c>
      <c r="R730" s="3" t="s">
        <v>67</v>
      </c>
      <c r="S730" s="4">
        <v>40</v>
      </c>
      <c r="T730" s="4">
        <v>40</v>
      </c>
      <c r="U730" s="5" t="s">
        <v>3892</v>
      </c>
      <c r="V730" s="5" t="s">
        <v>3892</v>
      </c>
      <c r="W730" s="5" t="s">
        <v>69</v>
      </c>
      <c r="X730" s="5" t="s">
        <v>69</v>
      </c>
      <c r="Y730" s="4">
        <v>175</v>
      </c>
      <c r="Z730" s="4">
        <v>19</v>
      </c>
      <c r="AA730" s="4">
        <v>38</v>
      </c>
      <c r="AB730" s="4">
        <v>2</v>
      </c>
      <c r="AC730" s="4">
        <v>6</v>
      </c>
      <c r="AD730" s="4">
        <v>39</v>
      </c>
      <c r="AE730" s="4">
        <v>118</v>
      </c>
      <c r="AF730" s="4">
        <v>1</v>
      </c>
      <c r="AG730" s="4">
        <v>4</v>
      </c>
      <c r="AH730" s="4">
        <v>32</v>
      </c>
      <c r="AI730" s="4">
        <v>98</v>
      </c>
      <c r="AJ730" s="4">
        <v>11</v>
      </c>
      <c r="AK730" s="4">
        <v>22</v>
      </c>
      <c r="AL730" s="4">
        <v>12</v>
      </c>
      <c r="AM730" s="4">
        <v>48</v>
      </c>
      <c r="AN730" s="4">
        <v>0</v>
      </c>
      <c r="AO730" s="4">
        <v>0</v>
      </c>
      <c r="AP730" s="4">
        <v>15</v>
      </c>
      <c r="AQ730" s="4">
        <v>29</v>
      </c>
      <c r="AR730" s="3" t="s">
        <v>63</v>
      </c>
      <c r="AS730" s="3" t="s">
        <v>63</v>
      </c>
      <c r="AT730" s="3" t="s">
        <v>63</v>
      </c>
      <c r="AV730" s="6" t="str">
        <f>HYPERLINK("http://mcgill.on.worldcat.org/oclc/856951","Catalog Record")</f>
        <v>Catalog Record</v>
      </c>
      <c r="AW730" s="6" t="str">
        <f>HYPERLINK("http://www.worldcat.org/oclc/856951","WorldCat Record")</f>
        <v>WorldCat Record</v>
      </c>
      <c r="AX730" s="3" t="s">
        <v>7316</v>
      </c>
      <c r="AY730" s="3" t="s">
        <v>7317</v>
      </c>
      <c r="AZ730" s="3" t="s">
        <v>7318</v>
      </c>
      <c r="BA730" s="3" t="s">
        <v>7318</v>
      </c>
      <c r="BB730" s="3" t="s">
        <v>7319</v>
      </c>
      <c r="BC730" s="3" t="s">
        <v>82</v>
      </c>
      <c r="BD730" s="3" t="s">
        <v>70</v>
      </c>
      <c r="BE730" s="3" t="s">
        <v>7320</v>
      </c>
      <c r="BF730" s="3" t="s">
        <v>7319</v>
      </c>
      <c r="BG730" s="3" t="s">
        <v>7321</v>
      </c>
    </row>
    <row r="731" spans="1:59" ht="60" x14ac:dyDescent="0.25">
      <c r="A731" s="2" t="s">
        <v>59</v>
      </c>
      <c r="B731" s="2" t="s">
        <v>60</v>
      </c>
      <c r="C731" s="2" t="s">
        <v>7322</v>
      </c>
      <c r="D731" s="2" t="s">
        <v>7323</v>
      </c>
      <c r="E731" s="2" t="s">
        <v>7324</v>
      </c>
      <c r="G731" s="3" t="s">
        <v>63</v>
      </c>
      <c r="I731" s="3" t="s">
        <v>63</v>
      </c>
      <c r="J731" s="3" t="s">
        <v>63</v>
      </c>
      <c r="K731" s="3" t="s">
        <v>64</v>
      </c>
      <c r="L731" s="2" t="s">
        <v>7325</v>
      </c>
      <c r="M731" s="2" t="s">
        <v>7326</v>
      </c>
      <c r="N731" s="3" t="s">
        <v>130</v>
      </c>
      <c r="P731" s="3" t="s">
        <v>66</v>
      </c>
      <c r="Q731" s="2" t="s">
        <v>7327</v>
      </c>
      <c r="R731" s="3" t="s">
        <v>67</v>
      </c>
      <c r="S731" s="4">
        <v>2</v>
      </c>
      <c r="T731" s="4">
        <v>2</v>
      </c>
      <c r="U731" s="5" t="s">
        <v>7328</v>
      </c>
      <c r="V731" s="5" t="s">
        <v>7328</v>
      </c>
      <c r="W731" s="5" t="s">
        <v>69</v>
      </c>
      <c r="X731" s="5" t="s">
        <v>69</v>
      </c>
      <c r="Y731" s="4">
        <v>148</v>
      </c>
      <c r="Z731" s="4">
        <v>14</v>
      </c>
      <c r="AA731" s="4">
        <v>33</v>
      </c>
      <c r="AB731" s="4">
        <v>1</v>
      </c>
      <c r="AC731" s="4">
        <v>6</v>
      </c>
      <c r="AD731" s="4">
        <v>78</v>
      </c>
      <c r="AE731" s="4">
        <v>102</v>
      </c>
      <c r="AF731" s="4">
        <v>0</v>
      </c>
      <c r="AG731" s="4">
        <v>2</v>
      </c>
      <c r="AH731" s="4">
        <v>73</v>
      </c>
      <c r="AI731" s="4">
        <v>87</v>
      </c>
      <c r="AJ731" s="4">
        <v>11</v>
      </c>
      <c r="AK731" s="4">
        <v>15</v>
      </c>
      <c r="AL731" s="4">
        <v>46</v>
      </c>
      <c r="AM731" s="4">
        <v>50</v>
      </c>
      <c r="AN731" s="4">
        <v>0</v>
      </c>
      <c r="AO731" s="4">
        <v>0</v>
      </c>
      <c r="AP731" s="4">
        <v>11</v>
      </c>
      <c r="AQ731" s="4">
        <v>22</v>
      </c>
      <c r="AR731" s="3" t="s">
        <v>63</v>
      </c>
      <c r="AS731" s="3" t="s">
        <v>63</v>
      </c>
      <c r="AT731" s="3" t="s">
        <v>63</v>
      </c>
      <c r="AV731" s="6" t="str">
        <f>HYPERLINK("http://mcgill.on.worldcat.org/oclc/781680912","Catalog Record")</f>
        <v>Catalog Record</v>
      </c>
      <c r="AW731" s="6" t="str">
        <f>HYPERLINK("http://www.worldcat.org/oclc/781680912","WorldCat Record")</f>
        <v>WorldCat Record</v>
      </c>
      <c r="AX731" s="3" t="s">
        <v>7329</v>
      </c>
      <c r="AY731" s="3" t="s">
        <v>7330</v>
      </c>
      <c r="AZ731" s="3" t="s">
        <v>7331</v>
      </c>
      <c r="BA731" s="3" t="s">
        <v>7331</v>
      </c>
      <c r="BB731" s="3" t="s">
        <v>7332</v>
      </c>
      <c r="BC731" s="3" t="s">
        <v>82</v>
      </c>
      <c r="BD731" s="3" t="s">
        <v>70</v>
      </c>
      <c r="BE731" s="3" t="s">
        <v>7333</v>
      </c>
      <c r="BF731" s="3" t="s">
        <v>7332</v>
      </c>
      <c r="BG731" s="3" t="s">
        <v>7334</v>
      </c>
    </row>
    <row r="732" spans="1:59" ht="60" x14ac:dyDescent="0.25">
      <c r="A732" s="2" t="s">
        <v>59</v>
      </c>
      <c r="B732" s="2" t="s">
        <v>60</v>
      </c>
      <c r="C732" s="2" t="s">
        <v>7335</v>
      </c>
      <c r="D732" s="2" t="s">
        <v>7336</v>
      </c>
      <c r="E732" s="2" t="s">
        <v>7337</v>
      </c>
      <c r="G732" s="3" t="s">
        <v>63</v>
      </c>
      <c r="I732" s="3" t="s">
        <v>63</v>
      </c>
      <c r="J732" s="3" t="s">
        <v>63</v>
      </c>
      <c r="K732" s="3" t="s">
        <v>64</v>
      </c>
      <c r="L732" s="2" t="s">
        <v>7338</v>
      </c>
      <c r="M732" s="2" t="s">
        <v>7339</v>
      </c>
      <c r="N732" s="3" t="s">
        <v>326</v>
      </c>
      <c r="P732" s="3" t="s">
        <v>66</v>
      </c>
      <c r="R732" s="3" t="s">
        <v>67</v>
      </c>
      <c r="S732" s="4">
        <v>9</v>
      </c>
      <c r="T732" s="4">
        <v>9</v>
      </c>
      <c r="U732" s="5" t="s">
        <v>7340</v>
      </c>
      <c r="V732" s="5" t="s">
        <v>7340</v>
      </c>
      <c r="W732" s="5" t="s">
        <v>69</v>
      </c>
      <c r="X732" s="5" t="s">
        <v>69</v>
      </c>
      <c r="Y732" s="4">
        <v>265</v>
      </c>
      <c r="Z732" s="4">
        <v>22</v>
      </c>
      <c r="AA732" s="4">
        <v>23</v>
      </c>
      <c r="AB732" s="4">
        <v>2</v>
      </c>
      <c r="AC732" s="4">
        <v>3</v>
      </c>
      <c r="AD732" s="4">
        <v>99</v>
      </c>
      <c r="AE732" s="4">
        <v>100</v>
      </c>
      <c r="AF732" s="4">
        <v>1</v>
      </c>
      <c r="AG732" s="4">
        <v>2</v>
      </c>
      <c r="AH732" s="4">
        <v>89</v>
      </c>
      <c r="AI732" s="4">
        <v>89</v>
      </c>
      <c r="AJ732" s="4">
        <v>13</v>
      </c>
      <c r="AK732" s="4">
        <v>14</v>
      </c>
      <c r="AL732" s="4">
        <v>49</v>
      </c>
      <c r="AM732" s="4">
        <v>49</v>
      </c>
      <c r="AN732" s="4">
        <v>0</v>
      </c>
      <c r="AO732" s="4">
        <v>0</v>
      </c>
      <c r="AP732" s="4">
        <v>17</v>
      </c>
      <c r="AQ732" s="4">
        <v>18</v>
      </c>
      <c r="AR732" s="3" t="s">
        <v>63</v>
      </c>
      <c r="AS732" s="3" t="s">
        <v>63</v>
      </c>
      <c r="AT732" s="3" t="s">
        <v>63</v>
      </c>
      <c r="AV732" s="6" t="str">
        <f>HYPERLINK("http://mcgill.on.worldcat.org/oclc/217263479","Catalog Record")</f>
        <v>Catalog Record</v>
      </c>
      <c r="AW732" s="6" t="str">
        <f>HYPERLINK("http://www.worldcat.org/oclc/217263479","WorldCat Record")</f>
        <v>WorldCat Record</v>
      </c>
      <c r="AX732" s="3" t="s">
        <v>7341</v>
      </c>
      <c r="AY732" s="3" t="s">
        <v>7342</v>
      </c>
      <c r="AZ732" s="3" t="s">
        <v>7343</v>
      </c>
      <c r="BA732" s="3" t="s">
        <v>7343</v>
      </c>
      <c r="BB732" s="3" t="s">
        <v>7344</v>
      </c>
      <c r="BC732" s="3" t="s">
        <v>82</v>
      </c>
      <c r="BD732" s="3" t="s">
        <v>70</v>
      </c>
      <c r="BE732" s="3" t="s">
        <v>7345</v>
      </c>
      <c r="BF732" s="3" t="s">
        <v>7344</v>
      </c>
      <c r="BG732" s="3" t="s">
        <v>7346</v>
      </c>
    </row>
    <row r="733" spans="1:59" ht="60" x14ac:dyDescent="0.25">
      <c r="A733" s="2" t="s">
        <v>59</v>
      </c>
      <c r="B733" s="2" t="s">
        <v>60</v>
      </c>
      <c r="C733" s="2" t="s">
        <v>7347</v>
      </c>
      <c r="D733" s="2" t="s">
        <v>7348</v>
      </c>
      <c r="E733" s="2" t="s">
        <v>7349</v>
      </c>
      <c r="G733" s="3" t="s">
        <v>63</v>
      </c>
      <c r="I733" s="3" t="s">
        <v>63</v>
      </c>
      <c r="J733" s="3" t="s">
        <v>63</v>
      </c>
      <c r="K733" s="3" t="s">
        <v>64</v>
      </c>
      <c r="L733" s="2" t="s">
        <v>7350</v>
      </c>
      <c r="M733" s="2" t="s">
        <v>6872</v>
      </c>
      <c r="N733" s="3" t="s">
        <v>531</v>
      </c>
      <c r="P733" s="3" t="s">
        <v>66</v>
      </c>
      <c r="R733" s="3" t="s">
        <v>67</v>
      </c>
      <c r="S733" s="4">
        <v>72</v>
      </c>
      <c r="T733" s="4">
        <v>72</v>
      </c>
      <c r="U733" s="5" t="s">
        <v>3892</v>
      </c>
      <c r="V733" s="5" t="s">
        <v>3892</v>
      </c>
      <c r="W733" s="5" t="s">
        <v>69</v>
      </c>
      <c r="X733" s="5" t="s">
        <v>69</v>
      </c>
      <c r="Y733" s="4">
        <v>359</v>
      </c>
      <c r="Z733" s="4">
        <v>19</v>
      </c>
      <c r="AA733" s="4">
        <v>22</v>
      </c>
      <c r="AB733" s="4">
        <v>1</v>
      </c>
      <c r="AC733" s="4">
        <v>2</v>
      </c>
      <c r="AD733" s="4">
        <v>110</v>
      </c>
      <c r="AE733" s="4">
        <v>113</v>
      </c>
      <c r="AF733" s="4">
        <v>0</v>
      </c>
      <c r="AG733" s="4">
        <v>1</v>
      </c>
      <c r="AH733" s="4">
        <v>102</v>
      </c>
      <c r="AI733" s="4">
        <v>103</v>
      </c>
      <c r="AJ733" s="4">
        <v>14</v>
      </c>
      <c r="AK733" s="4">
        <v>17</v>
      </c>
      <c r="AL733" s="4">
        <v>56</v>
      </c>
      <c r="AM733" s="4">
        <v>56</v>
      </c>
      <c r="AN733" s="4">
        <v>0</v>
      </c>
      <c r="AO733" s="4">
        <v>0</v>
      </c>
      <c r="AP733" s="4">
        <v>16</v>
      </c>
      <c r="AQ733" s="4">
        <v>19</v>
      </c>
      <c r="AR733" s="3" t="s">
        <v>63</v>
      </c>
      <c r="AS733" s="3" t="s">
        <v>63</v>
      </c>
      <c r="AT733" s="3" t="s">
        <v>63</v>
      </c>
      <c r="AV733" s="6" t="str">
        <f>HYPERLINK("http://mcgill.on.worldcat.org/oclc/23689566","Catalog Record")</f>
        <v>Catalog Record</v>
      </c>
      <c r="AW733" s="6" t="str">
        <f>HYPERLINK("http://www.worldcat.org/oclc/23689566","WorldCat Record")</f>
        <v>WorldCat Record</v>
      </c>
      <c r="AX733" s="3" t="s">
        <v>7351</v>
      </c>
      <c r="AY733" s="3" t="s">
        <v>7352</v>
      </c>
      <c r="AZ733" s="3" t="s">
        <v>7353</v>
      </c>
      <c r="BA733" s="3" t="s">
        <v>7353</v>
      </c>
      <c r="BB733" s="3" t="s">
        <v>7354</v>
      </c>
      <c r="BC733" s="3" t="s">
        <v>82</v>
      </c>
      <c r="BD733" s="3" t="s">
        <v>70</v>
      </c>
      <c r="BE733" s="3" t="s">
        <v>7355</v>
      </c>
      <c r="BF733" s="3" t="s">
        <v>7354</v>
      </c>
      <c r="BG733" s="3" t="s">
        <v>7356</v>
      </c>
    </row>
    <row r="734" spans="1:59" ht="60" x14ac:dyDescent="0.25">
      <c r="A734" s="2" t="s">
        <v>59</v>
      </c>
      <c r="B734" s="2" t="s">
        <v>60</v>
      </c>
      <c r="C734" s="2" t="s">
        <v>7357</v>
      </c>
      <c r="D734" s="2" t="s">
        <v>7358</v>
      </c>
      <c r="E734" s="2" t="s">
        <v>7359</v>
      </c>
      <c r="G734" s="3" t="s">
        <v>63</v>
      </c>
      <c r="I734" s="3" t="s">
        <v>63</v>
      </c>
      <c r="J734" s="3" t="s">
        <v>63</v>
      </c>
      <c r="K734" s="3" t="s">
        <v>64</v>
      </c>
      <c r="L734" s="2" t="s">
        <v>7360</v>
      </c>
      <c r="M734" s="2" t="s">
        <v>7361</v>
      </c>
      <c r="N734" s="3" t="s">
        <v>2765</v>
      </c>
      <c r="P734" s="3" t="s">
        <v>66</v>
      </c>
      <c r="Q734" s="2" t="s">
        <v>7327</v>
      </c>
      <c r="R734" s="3" t="s">
        <v>67</v>
      </c>
      <c r="S734" s="4">
        <v>0</v>
      </c>
      <c r="T734" s="4">
        <v>0</v>
      </c>
      <c r="W734" s="5" t="s">
        <v>69</v>
      </c>
      <c r="X734" s="5" t="s">
        <v>69</v>
      </c>
      <c r="Y734" s="4">
        <v>135</v>
      </c>
      <c r="Z734" s="4">
        <v>11</v>
      </c>
      <c r="AA734" s="4">
        <v>19</v>
      </c>
      <c r="AB734" s="4">
        <v>1</v>
      </c>
      <c r="AC734" s="4">
        <v>7</v>
      </c>
      <c r="AD734" s="4">
        <v>62</v>
      </c>
      <c r="AE734" s="4">
        <v>73</v>
      </c>
      <c r="AF734" s="4">
        <v>0</v>
      </c>
      <c r="AG734" s="4">
        <v>3</v>
      </c>
      <c r="AH734" s="4">
        <v>58</v>
      </c>
      <c r="AI734" s="4">
        <v>64</v>
      </c>
      <c r="AJ734" s="4">
        <v>7</v>
      </c>
      <c r="AK734" s="4">
        <v>11</v>
      </c>
      <c r="AL734" s="4">
        <v>39</v>
      </c>
      <c r="AM734" s="4">
        <v>42</v>
      </c>
      <c r="AN734" s="4">
        <v>0</v>
      </c>
      <c r="AO734" s="4">
        <v>0</v>
      </c>
      <c r="AP734" s="4">
        <v>7</v>
      </c>
      <c r="AQ734" s="4">
        <v>12</v>
      </c>
      <c r="AR734" s="3" t="s">
        <v>63</v>
      </c>
      <c r="AS734" s="3" t="s">
        <v>63</v>
      </c>
      <c r="AT734" s="3" t="s">
        <v>63</v>
      </c>
      <c r="AV734" s="6" t="str">
        <f>HYPERLINK("http://mcgill.on.worldcat.org/oclc/898158771","Catalog Record")</f>
        <v>Catalog Record</v>
      </c>
      <c r="AW734" s="6" t="str">
        <f>HYPERLINK("http://www.worldcat.org/oclc/898158771","WorldCat Record")</f>
        <v>WorldCat Record</v>
      </c>
      <c r="AX734" s="3" t="s">
        <v>7362</v>
      </c>
      <c r="AY734" s="3" t="s">
        <v>7363</v>
      </c>
      <c r="AZ734" s="3" t="s">
        <v>7364</v>
      </c>
      <c r="BA734" s="3" t="s">
        <v>7364</v>
      </c>
      <c r="BB734" s="3" t="s">
        <v>7365</v>
      </c>
      <c r="BC734" s="3" t="s">
        <v>82</v>
      </c>
      <c r="BD734" s="3" t="s">
        <v>70</v>
      </c>
      <c r="BE734" s="3" t="s">
        <v>7366</v>
      </c>
      <c r="BF734" s="3" t="s">
        <v>7365</v>
      </c>
      <c r="BG734" s="3" t="s">
        <v>7367</v>
      </c>
    </row>
    <row r="735" spans="1:59" ht="60" x14ac:dyDescent="0.25">
      <c r="A735" s="2" t="s">
        <v>59</v>
      </c>
      <c r="B735" s="2" t="s">
        <v>60</v>
      </c>
      <c r="C735" s="2" t="s">
        <v>7368</v>
      </c>
      <c r="D735" s="2" t="s">
        <v>7369</v>
      </c>
      <c r="E735" s="2" t="s">
        <v>7370</v>
      </c>
      <c r="G735" s="3" t="s">
        <v>63</v>
      </c>
      <c r="I735" s="3" t="s">
        <v>63</v>
      </c>
      <c r="J735" s="3" t="s">
        <v>63</v>
      </c>
      <c r="K735" s="3" t="s">
        <v>64</v>
      </c>
      <c r="L735" s="2" t="s">
        <v>7371</v>
      </c>
      <c r="M735" s="2" t="s">
        <v>7372</v>
      </c>
      <c r="N735" s="3" t="s">
        <v>693</v>
      </c>
      <c r="P735" s="3" t="s">
        <v>66</v>
      </c>
      <c r="R735" s="3" t="s">
        <v>67</v>
      </c>
      <c r="S735" s="4">
        <v>13</v>
      </c>
      <c r="T735" s="4">
        <v>13</v>
      </c>
      <c r="U735" s="5" t="s">
        <v>6758</v>
      </c>
      <c r="V735" s="5" t="s">
        <v>6758</v>
      </c>
      <c r="W735" s="5" t="s">
        <v>69</v>
      </c>
      <c r="X735" s="5" t="s">
        <v>69</v>
      </c>
      <c r="Y735" s="4">
        <v>193</v>
      </c>
      <c r="Z735" s="4">
        <v>16</v>
      </c>
      <c r="AA735" s="4">
        <v>81</v>
      </c>
      <c r="AB735" s="4">
        <v>1</v>
      </c>
      <c r="AC735" s="4">
        <v>14</v>
      </c>
      <c r="AD735" s="4">
        <v>95</v>
      </c>
      <c r="AE735" s="4">
        <v>138</v>
      </c>
      <c r="AF735" s="4">
        <v>0</v>
      </c>
      <c r="AG735" s="4">
        <v>8</v>
      </c>
      <c r="AH735" s="4">
        <v>88</v>
      </c>
      <c r="AI735" s="4">
        <v>103</v>
      </c>
      <c r="AJ735" s="4">
        <v>12</v>
      </c>
      <c r="AK735" s="4">
        <v>24</v>
      </c>
      <c r="AL735" s="4">
        <v>52</v>
      </c>
      <c r="AM735" s="4">
        <v>55</v>
      </c>
      <c r="AN735" s="4">
        <v>0</v>
      </c>
      <c r="AO735" s="4">
        <v>0</v>
      </c>
      <c r="AP735" s="4">
        <v>13</v>
      </c>
      <c r="AQ735" s="4">
        <v>43</v>
      </c>
      <c r="AR735" s="3" t="s">
        <v>63</v>
      </c>
      <c r="AS735" s="3" t="s">
        <v>63</v>
      </c>
      <c r="AT735" s="3" t="s">
        <v>63</v>
      </c>
      <c r="AV735" s="6" t="str">
        <f>HYPERLINK("http://mcgill.on.worldcat.org/oclc/55738060","Catalog Record")</f>
        <v>Catalog Record</v>
      </c>
      <c r="AW735" s="6" t="str">
        <f>HYPERLINK("http://www.worldcat.org/oclc/55738060","WorldCat Record")</f>
        <v>WorldCat Record</v>
      </c>
      <c r="AX735" s="3" t="s">
        <v>7373</v>
      </c>
      <c r="AY735" s="3" t="s">
        <v>7374</v>
      </c>
      <c r="AZ735" s="3" t="s">
        <v>7375</v>
      </c>
      <c r="BA735" s="3" t="s">
        <v>7375</v>
      </c>
      <c r="BB735" s="3" t="s">
        <v>7376</v>
      </c>
      <c r="BC735" s="3" t="s">
        <v>82</v>
      </c>
      <c r="BD735" s="3" t="s">
        <v>538</v>
      </c>
      <c r="BE735" s="3" t="s">
        <v>7377</v>
      </c>
      <c r="BF735" s="3" t="s">
        <v>7376</v>
      </c>
      <c r="BG735" s="3" t="s">
        <v>7378</v>
      </c>
    </row>
    <row r="736" spans="1:59" ht="75" x14ac:dyDescent="0.25">
      <c r="A736" s="2" t="s">
        <v>59</v>
      </c>
      <c r="B736" s="2" t="s">
        <v>60</v>
      </c>
      <c r="C736" s="2" t="s">
        <v>7379</v>
      </c>
      <c r="D736" s="2" t="s">
        <v>7380</v>
      </c>
      <c r="E736" s="2" t="s">
        <v>7381</v>
      </c>
      <c r="G736" s="3" t="s">
        <v>63</v>
      </c>
      <c r="I736" s="3" t="s">
        <v>63</v>
      </c>
      <c r="J736" s="3" t="s">
        <v>63</v>
      </c>
      <c r="K736" s="3" t="s">
        <v>64</v>
      </c>
      <c r="L736" s="2" t="s">
        <v>7382</v>
      </c>
      <c r="M736" s="2" t="s">
        <v>7383</v>
      </c>
      <c r="N736" s="3" t="s">
        <v>629</v>
      </c>
      <c r="P736" s="3" t="s">
        <v>66</v>
      </c>
      <c r="Q736" s="2" t="s">
        <v>7384</v>
      </c>
      <c r="R736" s="3" t="s">
        <v>67</v>
      </c>
      <c r="S736" s="4">
        <v>1</v>
      </c>
      <c r="T736" s="4">
        <v>1</v>
      </c>
      <c r="U736" s="5" t="s">
        <v>7385</v>
      </c>
      <c r="V736" s="5" t="s">
        <v>7385</v>
      </c>
      <c r="W736" s="5" t="s">
        <v>69</v>
      </c>
      <c r="X736" s="5" t="s">
        <v>69</v>
      </c>
      <c r="Y736" s="4">
        <v>363</v>
      </c>
      <c r="Z736" s="4">
        <v>24</v>
      </c>
      <c r="AA736" s="4">
        <v>27</v>
      </c>
      <c r="AB736" s="4">
        <v>2</v>
      </c>
      <c r="AC736" s="4">
        <v>4</v>
      </c>
      <c r="AD736" s="4">
        <v>94</v>
      </c>
      <c r="AE736" s="4">
        <v>96</v>
      </c>
      <c r="AF736" s="4">
        <v>1</v>
      </c>
      <c r="AG736" s="4">
        <v>1</v>
      </c>
      <c r="AH736" s="4">
        <v>83</v>
      </c>
      <c r="AI736" s="4">
        <v>84</v>
      </c>
      <c r="AJ736" s="4">
        <v>14</v>
      </c>
      <c r="AK736" s="4">
        <v>14</v>
      </c>
      <c r="AL736" s="4">
        <v>49</v>
      </c>
      <c r="AM736" s="4">
        <v>49</v>
      </c>
      <c r="AN736" s="4">
        <v>0</v>
      </c>
      <c r="AO736" s="4">
        <v>0</v>
      </c>
      <c r="AP736" s="4">
        <v>17</v>
      </c>
      <c r="AQ736" s="4">
        <v>18</v>
      </c>
      <c r="AR736" s="3" t="s">
        <v>63</v>
      </c>
      <c r="AS736" s="3" t="s">
        <v>63</v>
      </c>
      <c r="AT736" s="3" t="s">
        <v>63</v>
      </c>
      <c r="AV736" s="6" t="str">
        <f>HYPERLINK("http://mcgill.on.worldcat.org/oclc/681500359","Catalog Record")</f>
        <v>Catalog Record</v>
      </c>
      <c r="AW736" s="6" t="str">
        <f>HYPERLINK("http://www.worldcat.org/oclc/681500359","WorldCat Record")</f>
        <v>WorldCat Record</v>
      </c>
      <c r="AX736" s="3" t="s">
        <v>7386</v>
      </c>
      <c r="AY736" s="3" t="s">
        <v>7387</v>
      </c>
      <c r="AZ736" s="3" t="s">
        <v>7388</v>
      </c>
      <c r="BA736" s="3" t="s">
        <v>7388</v>
      </c>
      <c r="BB736" s="3" t="s">
        <v>7389</v>
      </c>
      <c r="BC736" s="3" t="s">
        <v>82</v>
      </c>
      <c r="BD736" s="3" t="s">
        <v>70</v>
      </c>
      <c r="BE736" s="3" t="s">
        <v>7390</v>
      </c>
      <c r="BF736" s="3" t="s">
        <v>7389</v>
      </c>
      <c r="BG736" s="3" t="s">
        <v>7391</v>
      </c>
    </row>
    <row r="737" spans="1:59" ht="75" x14ac:dyDescent="0.25">
      <c r="A737" s="2" t="s">
        <v>59</v>
      </c>
      <c r="B737" s="2" t="s">
        <v>60</v>
      </c>
      <c r="C737" s="2" t="s">
        <v>7392</v>
      </c>
      <c r="D737" s="2" t="s">
        <v>7393</v>
      </c>
      <c r="E737" s="2" t="s">
        <v>7394</v>
      </c>
      <c r="G737" s="3" t="s">
        <v>63</v>
      </c>
      <c r="I737" s="3" t="s">
        <v>63</v>
      </c>
      <c r="J737" s="3" t="s">
        <v>63</v>
      </c>
      <c r="K737" s="3" t="s">
        <v>64</v>
      </c>
      <c r="L737" s="2" t="s">
        <v>7395</v>
      </c>
      <c r="M737" s="2" t="s">
        <v>7396</v>
      </c>
      <c r="N737" s="3" t="s">
        <v>204</v>
      </c>
      <c r="P737" s="3" t="s">
        <v>66</v>
      </c>
      <c r="R737" s="3" t="s">
        <v>67</v>
      </c>
      <c r="S737" s="4">
        <v>34</v>
      </c>
      <c r="T737" s="4">
        <v>34</v>
      </c>
      <c r="U737" s="5" t="s">
        <v>3861</v>
      </c>
      <c r="V737" s="5" t="s">
        <v>3861</v>
      </c>
      <c r="W737" s="5" t="s">
        <v>69</v>
      </c>
      <c r="X737" s="5" t="s">
        <v>69</v>
      </c>
      <c r="Y737" s="4">
        <v>341</v>
      </c>
      <c r="Z737" s="4">
        <v>20</v>
      </c>
      <c r="AA737" s="4">
        <v>21</v>
      </c>
      <c r="AB737" s="4">
        <v>2</v>
      </c>
      <c r="AC737" s="4">
        <v>3</v>
      </c>
      <c r="AD737" s="4">
        <v>110</v>
      </c>
      <c r="AE737" s="4">
        <v>111</v>
      </c>
      <c r="AF737" s="4">
        <v>1</v>
      </c>
      <c r="AG737" s="4">
        <v>2</v>
      </c>
      <c r="AH737" s="4">
        <v>101</v>
      </c>
      <c r="AI737" s="4">
        <v>102</v>
      </c>
      <c r="AJ737" s="4">
        <v>14</v>
      </c>
      <c r="AK737" s="4">
        <v>15</v>
      </c>
      <c r="AL737" s="4">
        <v>56</v>
      </c>
      <c r="AM737" s="4">
        <v>56</v>
      </c>
      <c r="AN737" s="4">
        <v>0</v>
      </c>
      <c r="AO737" s="4">
        <v>0</v>
      </c>
      <c r="AP737" s="4">
        <v>16</v>
      </c>
      <c r="AQ737" s="4">
        <v>17</v>
      </c>
      <c r="AR737" s="3" t="s">
        <v>63</v>
      </c>
      <c r="AS737" s="3" t="s">
        <v>63</v>
      </c>
      <c r="AT737" s="3" t="s">
        <v>62</v>
      </c>
      <c r="AU737" s="6" t="str">
        <f>HYPERLINK("http://catalog.hathitrust.org/Record/003170247","HathiTrust Record")</f>
        <v>HathiTrust Record</v>
      </c>
      <c r="AV737" s="6" t="str">
        <f>HYPERLINK("http://mcgill.on.worldcat.org/oclc/33666769","Catalog Record")</f>
        <v>Catalog Record</v>
      </c>
      <c r="AW737" s="6" t="str">
        <f>HYPERLINK("http://www.worldcat.org/oclc/33666769","WorldCat Record")</f>
        <v>WorldCat Record</v>
      </c>
      <c r="AX737" s="3" t="s">
        <v>7397</v>
      </c>
      <c r="AY737" s="3" t="s">
        <v>7398</v>
      </c>
      <c r="AZ737" s="3" t="s">
        <v>7399</v>
      </c>
      <c r="BA737" s="3" t="s">
        <v>7399</v>
      </c>
      <c r="BB737" s="3" t="s">
        <v>7400</v>
      </c>
      <c r="BC737" s="3" t="s">
        <v>82</v>
      </c>
      <c r="BD737" s="3" t="s">
        <v>538</v>
      </c>
      <c r="BE737" s="3" t="s">
        <v>7401</v>
      </c>
      <c r="BF737" s="3" t="s">
        <v>7400</v>
      </c>
      <c r="BG737" s="3" t="s">
        <v>7402</v>
      </c>
    </row>
    <row r="738" spans="1:59" ht="75" x14ac:dyDescent="0.25">
      <c r="A738" s="2" t="s">
        <v>59</v>
      </c>
      <c r="B738" s="2" t="s">
        <v>60</v>
      </c>
      <c r="C738" s="2" t="s">
        <v>7403</v>
      </c>
      <c r="D738" s="2" t="s">
        <v>7404</v>
      </c>
      <c r="E738" s="2" t="s">
        <v>7405</v>
      </c>
      <c r="G738" s="3" t="s">
        <v>63</v>
      </c>
      <c r="I738" s="3" t="s">
        <v>63</v>
      </c>
      <c r="J738" s="3" t="s">
        <v>63</v>
      </c>
      <c r="K738" s="3" t="s">
        <v>64</v>
      </c>
      <c r="L738" s="2" t="s">
        <v>7406</v>
      </c>
      <c r="M738" s="2" t="s">
        <v>7407</v>
      </c>
      <c r="N738" s="3" t="s">
        <v>234</v>
      </c>
      <c r="P738" s="3" t="s">
        <v>66</v>
      </c>
      <c r="Q738" s="2" t="s">
        <v>7408</v>
      </c>
      <c r="R738" s="3" t="s">
        <v>67</v>
      </c>
      <c r="S738" s="4">
        <v>4</v>
      </c>
      <c r="T738" s="4">
        <v>4</v>
      </c>
      <c r="U738" s="5" t="s">
        <v>3861</v>
      </c>
      <c r="V738" s="5" t="s">
        <v>3861</v>
      </c>
      <c r="W738" s="5" t="s">
        <v>69</v>
      </c>
      <c r="X738" s="5" t="s">
        <v>69</v>
      </c>
      <c r="Y738" s="4">
        <v>82</v>
      </c>
      <c r="Z738" s="4">
        <v>5</v>
      </c>
      <c r="AA738" s="4">
        <v>94</v>
      </c>
      <c r="AB738" s="4">
        <v>1</v>
      </c>
      <c r="AC738" s="4">
        <v>17</v>
      </c>
      <c r="AD738" s="4">
        <v>45</v>
      </c>
      <c r="AE738" s="4">
        <v>116</v>
      </c>
      <c r="AF738" s="4">
        <v>0</v>
      </c>
      <c r="AG738" s="4">
        <v>8</v>
      </c>
      <c r="AH738" s="4">
        <v>42</v>
      </c>
      <c r="AI738" s="4">
        <v>81</v>
      </c>
      <c r="AJ738" s="4">
        <v>3</v>
      </c>
      <c r="AK738" s="4">
        <v>19</v>
      </c>
      <c r="AL738" s="4">
        <v>36</v>
      </c>
      <c r="AM738" s="4">
        <v>47</v>
      </c>
      <c r="AN738" s="4">
        <v>0</v>
      </c>
      <c r="AO738" s="4">
        <v>0</v>
      </c>
      <c r="AP738" s="4">
        <v>3</v>
      </c>
      <c r="AQ738" s="4">
        <v>40</v>
      </c>
      <c r="AR738" s="3" t="s">
        <v>63</v>
      </c>
      <c r="AS738" s="3" t="s">
        <v>63</v>
      </c>
      <c r="AT738" s="3" t="s">
        <v>62</v>
      </c>
      <c r="AU738" s="6" t="str">
        <f>HYPERLINK("http://catalog.hathitrust.org/Record/005144164","HathiTrust Record")</f>
        <v>HathiTrust Record</v>
      </c>
      <c r="AV738" s="6" t="str">
        <f>HYPERLINK("http://mcgill.on.worldcat.org/oclc/63764207","Catalog Record")</f>
        <v>Catalog Record</v>
      </c>
      <c r="AW738" s="6" t="str">
        <f>HYPERLINK("http://www.worldcat.org/oclc/63764207","WorldCat Record")</f>
        <v>WorldCat Record</v>
      </c>
      <c r="AX738" s="3" t="s">
        <v>7409</v>
      </c>
      <c r="AY738" s="3" t="s">
        <v>7410</v>
      </c>
      <c r="AZ738" s="3" t="s">
        <v>7411</v>
      </c>
      <c r="BA738" s="3" t="s">
        <v>7411</v>
      </c>
      <c r="BB738" s="3" t="s">
        <v>7412</v>
      </c>
      <c r="BC738" s="3" t="s">
        <v>82</v>
      </c>
      <c r="BD738" s="3" t="s">
        <v>70</v>
      </c>
      <c r="BE738" s="3" t="s">
        <v>7413</v>
      </c>
      <c r="BF738" s="3" t="s">
        <v>7412</v>
      </c>
      <c r="BG738" s="3" t="s">
        <v>7414</v>
      </c>
    </row>
    <row r="739" spans="1:59" ht="75" x14ac:dyDescent="0.25">
      <c r="A739" s="2" t="s">
        <v>59</v>
      </c>
      <c r="B739" s="2" t="s">
        <v>60</v>
      </c>
      <c r="C739" s="2" t="s">
        <v>7415</v>
      </c>
      <c r="D739" s="2" t="s">
        <v>7416</v>
      </c>
      <c r="E739" s="2" t="s">
        <v>7417</v>
      </c>
      <c r="G739" s="3" t="s">
        <v>63</v>
      </c>
      <c r="I739" s="3" t="s">
        <v>63</v>
      </c>
      <c r="J739" s="3" t="s">
        <v>63</v>
      </c>
      <c r="K739" s="3" t="s">
        <v>64</v>
      </c>
      <c r="M739" s="2" t="s">
        <v>7418</v>
      </c>
      <c r="N739" s="3" t="s">
        <v>176</v>
      </c>
      <c r="P739" s="3" t="s">
        <v>66</v>
      </c>
      <c r="Q739" s="2" t="s">
        <v>7419</v>
      </c>
      <c r="R739" s="3" t="s">
        <v>67</v>
      </c>
      <c r="S739" s="4">
        <v>28</v>
      </c>
      <c r="T739" s="4">
        <v>28</v>
      </c>
      <c r="U739" s="5" t="s">
        <v>7420</v>
      </c>
      <c r="V739" s="5" t="s">
        <v>7420</v>
      </c>
      <c r="W739" s="5" t="s">
        <v>69</v>
      </c>
      <c r="X739" s="5" t="s">
        <v>69</v>
      </c>
      <c r="Y739" s="4">
        <v>255</v>
      </c>
      <c r="Z739" s="4">
        <v>16</v>
      </c>
      <c r="AA739" s="4">
        <v>33</v>
      </c>
      <c r="AB739" s="4">
        <v>1</v>
      </c>
      <c r="AC739" s="4">
        <v>7</v>
      </c>
      <c r="AD739" s="4">
        <v>97</v>
      </c>
      <c r="AE739" s="4">
        <v>111</v>
      </c>
      <c r="AF739" s="4">
        <v>0</v>
      </c>
      <c r="AG739" s="4">
        <v>2</v>
      </c>
      <c r="AH739" s="4">
        <v>89</v>
      </c>
      <c r="AI739" s="4">
        <v>95</v>
      </c>
      <c r="AJ739" s="4">
        <v>13</v>
      </c>
      <c r="AK739" s="4">
        <v>19</v>
      </c>
      <c r="AL739" s="4">
        <v>50</v>
      </c>
      <c r="AM739" s="4">
        <v>51</v>
      </c>
      <c r="AN739" s="4">
        <v>0</v>
      </c>
      <c r="AO739" s="4">
        <v>0</v>
      </c>
      <c r="AP739" s="4">
        <v>14</v>
      </c>
      <c r="AQ739" s="4">
        <v>24</v>
      </c>
      <c r="AR739" s="3" t="s">
        <v>63</v>
      </c>
      <c r="AS739" s="3" t="s">
        <v>63</v>
      </c>
      <c r="AT739" s="3" t="s">
        <v>62</v>
      </c>
      <c r="AU739" s="6" t="str">
        <f>HYPERLINK("http://catalog.hathitrust.org/Record/007140236","HathiTrust Record")</f>
        <v>HathiTrust Record</v>
      </c>
      <c r="AV739" s="6" t="str">
        <f>HYPERLINK("http://mcgill.on.worldcat.org/oclc/38580315","Catalog Record")</f>
        <v>Catalog Record</v>
      </c>
      <c r="AW739" s="6" t="str">
        <f>HYPERLINK("http://www.worldcat.org/oclc/38580315","WorldCat Record")</f>
        <v>WorldCat Record</v>
      </c>
      <c r="AX739" s="3" t="s">
        <v>7421</v>
      </c>
      <c r="AY739" s="3" t="s">
        <v>7422</v>
      </c>
      <c r="AZ739" s="3" t="s">
        <v>7423</v>
      </c>
      <c r="BA739" s="3" t="s">
        <v>7423</v>
      </c>
      <c r="BB739" s="3" t="s">
        <v>7424</v>
      </c>
      <c r="BC739" s="3" t="s">
        <v>82</v>
      </c>
      <c r="BD739" s="3" t="s">
        <v>538</v>
      </c>
      <c r="BE739" s="3" t="s">
        <v>7425</v>
      </c>
      <c r="BF739" s="3" t="s">
        <v>7424</v>
      </c>
      <c r="BG739" s="3" t="s">
        <v>7426</v>
      </c>
    </row>
    <row r="740" spans="1:59" ht="60" x14ac:dyDescent="0.25">
      <c r="A740" s="2" t="s">
        <v>59</v>
      </c>
      <c r="B740" s="2" t="s">
        <v>60</v>
      </c>
      <c r="C740" s="2" t="s">
        <v>7427</v>
      </c>
      <c r="D740" s="2" t="s">
        <v>7428</v>
      </c>
      <c r="E740" s="2" t="s">
        <v>7429</v>
      </c>
      <c r="G740" s="3" t="s">
        <v>63</v>
      </c>
      <c r="I740" s="3" t="s">
        <v>63</v>
      </c>
      <c r="J740" s="3" t="s">
        <v>63</v>
      </c>
      <c r="K740" s="3" t="s">
        <v>64</v>
      </c>
      <c r="L740" s="2" t="s">
        <v>6124</v>
      </c>
      <c r="M740" s="2" t="s">
        <v>7430</v>
      </c>
      <c r="N740" s="3" t="s">
        <v>629</v>
      </c>
      <c r="P740" s="3" t="s">
        <v>66</v>
      </c>
      <c r="Q740" s="2" t="s">
        <v>7137</v>
      </c>
      <c r="R740" s="3" t="s">
        <v>67</v>
      </c>
      <c r="S740" s="4">
        <v>3</v>
      </c>
      <c r="T740" s="4">
        <v>3</v>
      </c>
      <c r="U740" s="5" t="s">
        <v>7431</v>
      </c>
      <c r="V740" s="5" t="s">
        <v>7431</v>
      </c>
      <c r="W740" s="5" t="s">
        <v>69</v>
      </c>
      <c r="X740" s="5" t="s">
        <v>69</v>
      </c>
      <c r="Y740" s="4">
        <v>243</v>
      </c>
      <c r="Z740" s="4">
        <v>19</v>
      </c>
      <c r="AA740" s="4">
        <v>87</v>
      </c>
      <c r="AB740" s="4">
        <v>1</v>
      </c>
      <c r="AC740" s="4">
        <v>15</v>
      </c>
      <c r="AD740" s="4">
        <v>87</v>
      </c>
      <c r="AE740" s="4">
        <v>139</v>
      </c>
      <c r="AF740" s="4">
        <v>0</v>
      </c>
      <c r="AG740" s="4">
        <v>8</v>
      </c>
      <c r="AH740" s="4">
        <v>79</v>
      </c>
      <c r="AI740" s="4">
        <v>102</v>
      </c>
      <c r="AJ740" s="4">
        <v>12</v>
      </c>
      <c r="AK740" s="4">
        <v>23</v>
      </c>
      <c r="AL740" s="4">
        <v>48</v>
      </c>
      <c r="AM740" s="4">
        <v>56</v>
      </c>
      <c r="AN740" s="4">
        <v>0</v>
      </c>
      <c r="AO740" s="4">
        <v>0</v>
      </c>
      <c r="AP740" s="4">
        <v>14</v>
      </c>
      <c r="AQ740" s="4">
        <v>45</v>
      </c>
      <c r="AR740" s="3" t="s">
        <v>63</v>
      </c>
      <c r="AS740" s="3" t="s">
        <v>63</v>
      </c>
      <c r="AT740" s="3" t="s">
        <v>63</v>
      </c>
      <c r="AV740" s="6" t="str">
        <f>HYPERLINK("http://mcgill.on.worldcat.org/oclc/667990398","Catalog Record")</f>
        <v>Catalog Record</v>
      </c>
      <c r="AW740" s="6" t="str">
        <f>HYPERLINK("http://www.worldcat.org/oclc/667990398","WorldCat Record")</f>
        <v>WorldCat Record</v>
      </c>
      <c r="AX740" s="3" t="s">
        <v>7432</v>
      </c>
      <c r="AY740" s="3" t="s">
        <v>7433</v>
      </c>
      <c r="AZ740" s="3" t="s">
        <v>7434</v>
      </c>
      <c r="BA740" s="3" t="s">
        <v>7434</v>
      </c>
      <c r="BB740" s="3" t="s">
        <v>7435</v>
      </c>
      <c r="BC740" s="3" t="s">
        <v>82</v>
      </c>
      <c r="BD740" s="3" t="s">
        <v>70</v>
      </c>
      <c r="BE740" s="3" t="s">
        <v>7436</v>
      </c>
      <c r="BF740" s="3" t="s">
        <v>7435</v>
      </c>
      <c r="BG740" s="3" t="s">
        <v>7437</v>
      </c>
    </row>
    <row r="741" spans="1:59" ht="60" x14ac:dyDescent="0.25">
      <c r="A741" s="2" t="s">
        <v>59</v>
      </c>
      <c r="B741" s="2" t="s">
        <v>60</v>
      </c>
      <c r="C741" s="2" t="s">
        <v>7438</v>
      </c>
      <c r="D741" s="2" t="s">
        <v>7439</v>
      </c>
      <c r="E741" s="2" t="s">
        <v>7440</v>
      </c>
      <c r="G741" s="3" t="s">
        <v>63</v>
      </c>
      <c r="I741" s="3" t="s">
        <v>63</v>
      </c>
      <c r="J741" s="3" t="s">
        <v>63</v>
      </c>
      <c r="K741" s="3" t="s">
        <v>64</v>
      </c>
      <c r="L741" s="2" t="s">
        <v>7441</v>
      </c>
      <c r="M741" s="2" t="s">
        <v>7442</v>
      </c>
      <c r="N741" s="3" t="s">
        <v>629</v>
      </c>
      <c r="P741" s="3" t="s">
        <v>90</v>
      </c>
      <c r="Q741" s="2" t="s">
        <v>6366</v>
      </c>
      <c r="R741" s="3" t="s">
        <v>67</v>
      </c>
      <c r="S741" s="4">
        <v>0</v>
      </c>
      <c r="T741" s="4">
        <v>0</v>
      </c>
      <c r="W741" s="5" t="s">
        <v>69</v>
      </c>
      <c r="X741" s="5" t="s">
        <v>69</v>
      </c>
      <c r="Y741" s="4">
        <v>40</v>
      </c>
      <c r="Z741" s="4">
        <v>5</v>
      </c>
      <c r="AA741" s="4">
        <v>5</v>
      </c>
      <c r="AB741" s="4">
        <v>1</v>
      </c>
      <c r="AC741" s="4">
        <v>1</v>
      </c>
      <c r="AD741" s="4">
        <v>27</v>
      </c>
      <c r="AE741" s="4">
        <v>27</v>
      </c>
      <c r="AF741" s="4">
        <v>0</v>
      </c>
      <c r="AG741" s="4">
        <v>0</v>
      </c>
      <c r="AH741" s="4">
        <v>26</v>
      </c>
      <c r="AI741" s="4">
        <v>26</v>
      </c>
      <c r="AJ741" s="4">
        <v>3</v>
      </c>
      <c r="AK741" s="4">
        <v>3</v>
      </c>
      <c r="AL741" s="4">
        <v>20</v>
      </c>
      <c r="AM741" s="4">
        <v>20</v>
      </c>
      <c r="AN741" s="4">
        <v>0</v>
      </c>
      <c r="AO741" s="4">
        <v>0</v>
      </c>
      <c r="AP741" s="4">
        <v>3</v>
      </c>
      <c r="AQ741" s="4">
        <v>3</v>
      </c>
      <c r="AR741" s="3" t="s">
        <v>63</v>
      </c>
      <c r="AS741" s="3" t="s">
        <v>63</v>
      </c>
      <c r="AT741" s="3" t="s">
        <v>63</v>
      </c>
      <c r="AV741" s="6" t="str">
        <f>HYPERLINK("http://mcgill.on.worldcat.org/oclc/714293660","Catalog Record")</f>
        <v>Catalog Record</v>
      </c>
      <c r="AW741" s="6" t="str">
        <f>HYPERLINK("http://www.worldcat.org/oclc/714293660","WorldCat Record")</f>
        <v>WorldCat Record</v>
      </c>
      <c r="AX741" s="3" t="s">
        <v>7443</v>
      </c>
      <c r="AY741" s="3" t="s">
        <v>7444</v>
      </c>
      <c r="AZ741" s="3" t="s">
        <v>7445</v>
      </c>
      <c r="BA741" s="3" t="s">
        <v>7445</v>
      </c>
      <c r="BB741" s="3" t="s">
        <v>7446</v>
      </c>
      <c r="BC741" s="3" t="s">
        <v>82</v>
      </c>
      <c r="BD741" s="3" t="s">
        <v>70</v>
      </c>
      <c r="BE741" s="3" t="s">
        <v>7447</v>
      </c>
      <c r="BF741" s="3" t="s">
        <v>7446</v>
      </c>
      <c r="BG741" s="3" t="s">
        <v>7448</v>
      </c>
    </row>
    <row r="742" spans="1:59" ht="60" x14ac:dyDescent="0.25">
      <c r="A742" s="2" t="s">
        <v>59</v>
      </c>
      <c r="B742" s="2" t="s">
        <v>60</v>
      </c>
      <c r="C742" s="2" t="s">
        <v>7449</v>
      </c>
      <c r="D742" s="2" t="s">
        <v>7450</v>
      </c>
      <c r="E742" s="2" t="s">
        <v>7451</v>
      </c>
      <c r="G742" s="3" t="s">
        <v>63</v>
      </c>
      <c r="I742" s="3" t="s">
        <v>63</v>
      </c>
      <c r="J742" s="3" t="s">
        <v>63</v>
      </c>
      <c r="K742" s="3" t="s">
        <v>64</v>
      </c>
      <c r="M742" s="2" t="s">
        <v>7452</v>
      </c>
      <c r="N742" s="3" t="s">
        <v>2765</v>
      </c>
      <c r="P742" s="3" t="s">
        <v>66</v>
      </c>
      <c r="R742" s="3" t="s">
        <v>67</v>
      </c>
      <c r="S742" s="4">
        <v>4</v>
      </c>
      <c r="T742" s="4">
        <v>4</v>
      </c>
      <c r="U742" s="5" t="s">
        <v>4990</v>
      </c>
      <c r="V742" s="5" t="s">
        <v>4990</v>
      </c>
      <c r="W742" s="5" t="s">
        <v>69</v>
      </c>
      <c r="X742" s="5" t="s">
        <v>69</v>
      </c>
      <c r="Y742" s="4">
        <v>153</v>
      </c>
      <c r="Z742" s="4">
        <v>10</v>
      </c>
      <c r="AA742" s="4">
        <v>44</v>
      </c>
      <c r="AB742" s="4">
        <v>1</v>
      </c>
      <c r="AC742" s="4">
        <v>4</v>
      </c>
      <c r="AD742" s="4">
        <v>65</v>
      </c>
      <c r="AE742" s="4">
        <v>80</v>
      </c>
      <c r="AF742" s="4">
        <v>0</v>
      </c>
      <c r="AG742" s="4">
        <v>1</v>
      </c>
      <c r="AH742" s="4">
        <v>61</v>
      </c>
      <c r="AI742" s="4">
        <v>66</v>
      </c>
      <c r="AJ742" s="4">
        <v>6</v>
      </c>
      <c r="AK742" s="4">
        <v>12</v>
      </c>
      <c r="AL742" s="4">
        <v>42</v>
      </c>
      <c r="AM742" s="4">
        <v>44</v>
      </c>
      <c r="AN742" s="4">
        <v>0</v>
      </c>
      <c r="AO742" s="4">
        <v>0</v>
      </c>
      <c r="AP742" s="4">
        <v>6</v>
      </c>
      <c r="AQ742" s="4">
        <v>16</v>
      </c>
      <c r="AR742" s="3" t="s">
        <v>63</v>
      </c>
      <c r="AS742" s="3" t="s">
        <v>63</v>
      </c>
      <c r="AT742" s="3" t="s">
        <v>63</v>
      </c>
      <c r="AV742" s="6" t="str">
        <f>HYPERLINK("http://mcgill.on.worldcat.org/oclc/911240501","Catalog Record")</f>
        <v>Catalog Record</v>
      </c>
      <c r="AW742" s="6" t="str">
        <f>HYPERLINK("http://www.worldcat.org/oclc/911240501","WorldCat Record")</f>
        <v>WorldCat Record</v>
      </c>
      <c r="AX742" s="3" t="s">
        <v>7453</v>
      </c>
      <c r="AY742" s="3" t="s">
        <v>7454</v>
      </c>
      <c r="AZ742" s="3" t="s">
        <v>7455</v>
      </c>
      <c r="BA742" s="3" t="s">
        <v>7455</v>
      </c>
      <c r="BB742" s="3" t="s">
        <v>7456</v>
      </c>
      <c r="BC742" s="3" t="s">
        <v>82</v>
      </c>
      <c r="BD742" s="3" t="s">
        <v>70</v>
      </c>
      <c r="BE742" s="3" t="s">
        <v>7457</v>
      </c>
      <c r="BF742" s="3" t="s">
        <v>7456</v>
      </c>
      <c r="BG742" s="3" t="s">
        <v>7458</v>
      </c>
    </row>
    <row r="743" spans="1:59" ht="60" x14ac:dyDescent="0.25">
      <c r="A743" s="2" t="s">
        <v>59</v>
      </c>
      <c r="B743" s="2" t="s">
        <v>60</v>
      </c>
      <c r="C743" s="2" t="s">
        <v>7459</v>
      </c>
      <c r="D743" s="2" t="s">
        <v>7460</v>
      </c>
      <c r="E743" s="2" t="s">
        <v>7461</v>
      </c>
      <c r="G743" s="3" t="s">
        <v>63</v>
      </c>
      <c r="I743" s="3" t="s">
        <v>63</v>
      </c>
      <c r="J743" s="3" t="s">
        <v>63</v>
      </c>
      <c r="K743" s="3" t="s">
        <v>64</v>
      </c>
      <c r="L743" s="2" t="s">
        <v>7462</v>
      </c>
      <c r="M743" s="2" t="s">
        <v>7463</v>
      </c>
      <c r="N743" s="3" t="s">
        <v>1557</v>
      </c>
      <c r="P743" s="3" t="s">
        <v>66</v>
      </c>
      <c r="Q743" s="2" t="s">
        <v>4922</v>
      </c>
      <c r="R743" s="3" t="s">
        <v>67</v>
      </c>
      <c r="S743" s="4">
        <v>0</v>
      </c>
      <c r="T743" s="4">
        <v>0</v>
      </c>
      <c r="W743" s="5" t="s">
        <v>69</v>
      </c>
      <c r="X743" s="5" t="s">
        <v>69</v>
      </c>
      <c r="Y743" s="4">
        <v>91</v>
      </c>
      <c r="Z743" s="4">
        <v>6</v>
      </c>
      <c r="AA743" s="4">
        <v>75</v>
      </c>
      <c r="AB743" s="4">
        <v>1</v>
      </c>
      <c r="AC743" s="4">
        <v>14</v>
      </c>
      <c r="AD743" s="4">
        <v>46</v>
      </c>
      <c r="AE743" s="4">
        <v>101</v>
      </c>
      <c r="AF743" s="4">
        <v>0</v>
      </c>
      <c r="AG743" s="4">
        <v>8</v>
      </c>
      <c r="AH743" s="4">
        <v>41</v>
      </c>
      <c r="AI743" s="4">
        <v>69</v>
      </c>
      <c r="AJ743" s="4">
        <v>5</v>
      </c>
      <c r="AK743" s="4">
        <v>18</v>
      </c>
      <c r="AL743" s="4">
        <v>32</v>
      </c>
      <c r="AM743" s="4">
        <v>42</v>
      </c>
      <c r="AN743" s="4">
        <v>0</v>
      </c>
      <c r="AO743" s="4">
        <v>0</v>
      </c>
      <c r="AP743" s="4">
        <v>5</v>
      </c>
      <c r="AQ743" s="4">
        <v>37</v>
      </c>
      <c r="AR743" s="3" t="s">
        <v>63</v>
      </c>
      <c r="AS743" s="3" t="s">
        <v>63</v>
      </c>
      <c r="AT743" s="3" t="s">
        <v>63</v>
      </c>
      <c r="AV743" s="6" t="str">
        <f>HYPERLINK("http://mcgill.on.worldcat.org/oclc/958412183","Catalog Record")</f>
        <v>Catalog Record</v>
      </c>
      <c r="AW743" s="6" t="str">
        <f>HYPERLINK("http://www.worldcat.org/oclc/958412183","WorldCat Record")</f>
        <v>WorldCat Record</v>
      </c>
      <c r="AX743" s="3" t="s">
        <v>7464</v>
      </c>
      <c r="AY743" s="3" t="s">
        <v>7465</v>
      </c>
      <c r="AZ743" s="3" t="s">
        <v>7466</v>
      </c>
      <c r="BA743" s="3" t="s">
        <v>7466</v>
      </c>
      <c r="BB743" s="3" t="s">
        <v>7467</v>
      </c>
      <c r="BC743" s="3" t="s">
        <v>82</v>
      </c>
      <c r="BD743" s="3" t="s">
        <v>70</v>
      </c>
      <c r="BE743" s="3" t="s">
        <v>7468</v>
      </c>
      <c r="BF743" s="3" t="s">
        <v>7467</v>
      </c>
      <c r="BG743" s="3" t="s">
        <v>7469</v>
      </c>
    </row>
    <row r="744" spans="1:59" ht="60" x14ac:dyDescent="0.25">
      <c r="A744" s="2" t="s">
        <v>59</v>
      </c>
      <c r="B744" s="2" t="s">
        <v>60</v>
      </c>
      <c r="C744" s="2" t="s">
        <v>7470</v>
      </c>
      <c r="D744" s="2" t="s">
        <v>7471</v>
      </c>
      <c r="E744" s="2" t="s">
        <v>7472</v>
      </c>
      <c r="G744" s="3" t="s">
        <v>63</v>
      </c>
      <c r="I744" s="3" t="s">
        <v>63</v>
      </c>
      <c r="J744" s="3" t="s">
        <v>62</v>
      </c>
      <c r="K744" s="3" t="s">
        <v>64</v>
      </c>
      <c r="L744" s="2" t="s">
        <v>7473</v>
      </c>
      <c r="M744" s="2" t="s">
        <v>7474</v>
      </c>
      <c r="N744" s="3" t="s">
        <v>300</v>
      </c>
      <c r="O744" s="2" t="s">
        <v>7475</v>
      </c>
      <c r="P744" s="3" t="s">
        <v>442</v>
      </c>
      <c r="Q744" s="2" t="s">
        <v>7476</v>
      </c>
      <c r="R744" s="3" t="s">
        <v>67</v>
      </c>
      <c r="S744" s="4">
        <v>2</v>
      </c>
      <c r="T744" s="4">
        <v>2</v>
      </c>
      <c r="U744" s="5" t="s">
        <v>7477</v>
      </c>
      <c r="V744" s="5" t="s">
        <v>7477</v>
      </c>
      <c r="W744" s="5" t="s">
        <v>69</v>
      </c>
      <c r="X744" s="5" t="s">
        <v>69</v>
      </c>
      <c r="Y744" s="4">
        <v>44</v>
      </c>
      <c r="Z744" s="4">
        <v>2</v>
      </c>
      <c r="AA744" s="4">
        <v>9</v>
      </c>
      <c r="AB744" s="4">
        <v>1</v>
      </c>
      <c r="AC744" s="4">
        <v>2</v>
      </c>
      <c r="AD744" s="4">
        <v>10</v>
      </c>
      <c r="AE744" s="4">
        <v>75</v>
      </c>
      <c r="AF744" s="4">
        <v>0</v>
      </c>
      <c r="AG744" s="4">
        <v>1</v>
      </c>
      <c r="AH744" s="4">
        <v>9</v>
      </c>
      <c r="AI744" s="4">
        <v>69</v>
      </c>
      <c r="AJ744" s="4">
        <v>0</v>
      </c>
      <c r="AK744" s="4">
        <v>7</v>
      </c>
      <c r="AL744" s="4">
        <v>6</v>
      </c>
      <c r="AM744" s="4">
        <v>45</v>
      </c>
      <c r="AN744" s="4">
        <v>0</v>
      </c>
      <c r="AO744" s="4">
        <v>0</v>
      </c>
      <c r="AP744" s="4">
        <v>0</v>
      </c>
      <c r="AQ744" s="4">
        <v>5</v>
      </c>
      <c r="AR744" s="3" t="s">
        <v>63</v>
      </c>
      <c r="AS744" s="3" t="s">
        <v>63</v>
      </c>
      <c r="AT744" s="3" t="s">
        <v>63</v>
      </c>
      <c r="AV744" s="6" t="str">
        <f>HYPERLINK("http://mcgill.on.worldcat.org/oclc/2573614","Catalog Record")</f>
        <v>Catalog Record</v>
      </c>
      <c r="AW744" s="6" t="str">
        <f>HYPERLINK("http://www.worldcat.org/oclc/2573614","WorldCat Record")</f>
        <v>WorldCat Record</v>
      </c>
      <c r="AX744" s="3" t="s">
        <v>7478</v>
      </c>
      <c r="AY744" s="3" t="s">
        <v>7479</v>
      </c>
      <c r="AZ744" s="3" t="s">
        <v>7480</v>
      </c>
      <c r="BA744" s="3" t="s">
        <v>7480</v>
      </c>
      <c r="BB744" s="3" t="s">
        <v>7481</v>
      </c>
      <c r="BC744" s="3" t="s">
        <v>82</v>
      </c>
      <c r="BD744" s="3" t="s">
        <v>70</v>
      </c>
      <c r="BF744" s="3" t="s">
        <v>7481</v>
      </c>
      <c r="BG744" s="3" t="s">
        <v>7482</v>
      </c>
    </row>
    <row r="745" spans="1:59" ht="60" x14ac:dyDescent="0.25">
      <c r="A745" s="2" t="s">
        <v>59</v>
      </c>
      <c r="B745" s="2" t="s">
        <v>60</v>
      </c>
      <c r="C745" s="2" t="s">
        <v>7483</v>
      </c>
      <c r="D745" s="2" t="s">
        <v>7484</v>
      </c>
      <c r="E745" s="2" t="s">
        <v>7485</v>
      </c>
      <c r="G745" s="3" t="s">
        <v>63</v>
      </c>
      <c r="I745" s="3" t="s">
        <v>63</v>
      </c>
      <c r="J745" s="3" t="s">
        <v>63</v>
      </c>
      <c r="K745" s="3" t="s">
        <v>64</v>
      </c>
      <c r="L745" s="2" t="s">
        <v>7486</v>
      </c>
      <c r="M745" s="2" t="s">
        <v>7487</v>
      </c>
      <c r="N745" s="3" t="s">
        <v>668</v>
      </c>
      <c r="P745" s="3" t="s">
        <v>66</v>
      </c>
      <c r="R745" s="3" t="s">
        <v>67</v>
      </c>
      <c r="S745" s="4">
        <v>11</v>
      </c>
      <c r="T745" s="4">
        <v>11</v>
      </c>
      <c r="U745" s="5" t="s">
        <v>7488</v>
      </c>
      <c r="V745" s="5" t="s">
        <v>7488</v>
      </c>
      <c r="W745" s="5" t="s">
        <v>69</v>
      </c>
      <c r="X745" s="5" t="s">
        <v>69</v>
      </c>
      <c r="Y745" s="4">
        <v>9</v>
      </c>
      <c r="Z745" s="4">
        <v>3</v>
      </c>
      <c r="AA745" s="4">
        <v>28</v>
      </c>
      <c r="AB745" s="4">
        <v>1</v>
      </c>
      <c r="AC745" s="4">
        <v>2</v>
      </c>
      <c r="AD745" s="4">
        <v>4</v>
      </c>
      <c r="AE745" s="4">
        <v>123</v>
      </c>
      <c r="AF745" s="4">
        <v>0</v>
      </c>
      <c r="AG745" s="4">
        <v>1</v>
      </c>
      <c r="AH745" s="4">
        <v>2</v>
      </c>
      <c r="AI745" s="4">
        <v>108</v>
      </c>
      <c r="AJ745" s="4">
        <v>1</v>
      </c>
      <c r="AK745" s="4">
        <v>21</v>
      </c>
      <c r="AL745" s="4">
        <v>3</v>
      </c>
      <c r="AM745" s="4">
        <v>59</v>
      </c>
      <c r="AN745" s="4">
        <v>0</v>
      </c>
      <c r="AO745" s="4">
        <v>0</v>
      </c>
      <c r="AP745" s="4">
        <v>1</v>
      </c>
      <c r="AQ745" s="4">
        <v>23</v>
      </c>
      <c r="AR745" s="3" t="s">
        <v>63</v>
      </c>
      <c r="AS745" s="3" t="s">
        <v>63</v>
      </c>
      <c r="AT745" s="3" t="s">
        <v>62</v>
      </c>
      <c r="AU745" s="6" t="str">
        <f>HYPERLINK("http://catalog.hathitrust.org/Record/002497183","HathiTrust Record")</f>
        <v>HathiTrust Record</v>
      </c>
      <c r="AV745" s="6" t="str">
        <f>HYPERLINK("http://mcgill.on.worldcat.org/oclc/123207402","Catalog Record")</f>
        <v>Catalog Record</v>
      </c>
      <c r="AW745" s="6" t="str">
        <f>HYPERLINK("http://www.worldcat.org/oclc/123207402","WorldCat Record")</f>
        <v>WorldCat Record</v>
      </c>
      <c r="AX745" s="3" t="s">
        <v>7489</v>
      </c>
      <c r="AY745" s="3" t="s">
        <v>7490</v>
      </c>
      <c r="AZ745" s="3" t="s">
        <v>7491</v>
      </c>
      <c r="BA745" s="3" t="s">
        <v>7491</v>
      </c>
      <c r="BB745" s="3" t="s">
        <v>7492</v>
      </c>
      <c r="BC745" s="3" t="s">
        <v>82</v>
      </c>
      <c r="BD745" s="3" t="s">
        <v>70</v>
      </c>
      <c r="BE745" s="3" t="s">
        <v>7493</v>
      </c>
      <c r="BF745" s="3" t="s">
        <v>7492</v>
      </c>
      <c r="BG745" s="3" t="s">
        <v>7494</v>
      </c>
    </row>
    <row r="746" spans="1:59" ht="60" x14ac:dyDescent="0.25">
      <c r="A746" s="2" t="s">
        <v>59</v>
      </c>
      <c r="B746" s="2" t="s">
        <v>60</v>
      </c>
      <c r="C746" s="2" t="s">
        <v>7495</v>
      </c>
      <c r="D746" s="2" t="s">
        <v>7496</v>
      </c>
      <c r="E746" s="2" t="s">
        <v>7497</v>
      </c>
      <c r="G746" s="3" t="s">
        <v>63</v>
      </c>
      <c r="I746" s="3" t="s">
        <v>63</v>
      </c>
      <c r="J746" s="3" t="s">
        <v>63</v>
      </c>
      <c r="K746" s="3" t="s">
        <v>64</v>
      </c>
      <c r="L746" s="2" t="s">
        <v>7498</v>
      </c>
      <c r="M746" s="2" t="s">
        <v>7499</v>
      </c>
      <c r="N746" s="3" t="s">
        <v>106</v>
      </c>
      <c r="P746" s="3" t="s">
        <v>90</v>
      </c>
      <c r="R746" s="3" t="s">
        <v>67</v>
      </c>
      <c r="S746" s="4">
        <v>0</v>
      </c>
      <c r="T746" s="4">
        <v>0</v>
      </c>
      <c r="W746" s="5" t="s">
        <v>69</v>
      </c>
      <c r="X746" s="5" t="s">
        <v>69</v>
      </c>
      <c r="Y746" s="4">
        <v>7</v>
      </c>
      <c r="Z746" s="4">
        <v>1</v>
      </c>
      <c r="AA746" s="4">
        <v>1</v>
      </c>
      <c r="AB746" s="4">
        <v>1</v>
      </c>
      <c r="AC746" s="4">
        <v>1</v>
      </c>
      <c r="AD746" s="4">
        <v>5</v>
      </c>
      <c r="AE746" s="4">
        <v>10</v>
      </c>
      <c r="AF746" s="4">
        <v>0</v>
      </c>
      <c r="AG746" s="4">
        <v>0</v>
      </c>
      <c r="AH746" s="4">
        <v>5</v>
      </c>
      <c r="AI746" s="4">
        <v>10</v>
      </c>
      <c r="AJ746" s="4">
        <v>0</v>
      </c>
      <c r="AK746" s="4">
        <v>0</v>
      </c>
      <c r="AL746" s="4">
        <v>3</v>
      </c>
      <c r="AM746" s="4">
        <v>7</v>
      </c>
      <c r="AN746" s="4">
        <v>0</v>
      </c>
      <c r="AO746" s="4">
        <v>0</v>
      </c>
      <c r="AP746" s="4">
        <v>0</v>
      </c>
      <c r="AQ746" s="4">
        <v>0</v>
      </c>
      <c r="AR746" s="3" t="s">
        <v>63</v>
      </c>
      <c r="AS746" s="3" t="s">
        <v>63</v>
      </c>
      <c r="AT746" s="3" t="s">
        <v>63</v>
      </c>
      <c r="AV746" s="6" t="str">
        <f>HYPERLINK("http://mcgill.on.worldcat.org/oclc/1012820864","Catalog Record")</f>
        <v>Catalog Record</v>
      </c>
      <c r="AW746" s="6" t="str">
        <f>HYPERLINK("http://www.worldcat.org/oclc/1012820864","WorldCat Record")</f>
        <v>WorldCat Record</v>
      </c>
      <c r="AX746" s="3" t="s">
        <v>7500</v>
      </c>
      <c r="AY746" s="3" t="s">
        <v>7501</v>
      </c>
      <c r="AZ746" s="3" t="s">
        <v>7502</v>
      </c>
      <c r="BA746" s="3" t="s">
        <v>7502</v>
      </c>
      <c r="BB746" s="3" t="s">
        <v>7503</v>
      </c>
      <c r="BC746" s="3" t="s">
        <v>82</v>
      </c>
      <c r="BD746" s="3" t="s">
        <v>70</v>
      </c>
      <c r="BE746" s="3" t="s">
        <v>7504</v>
      </c>
      <c r="BF746" s="3" t="s">
        <v>7503</v>
      </c>
      <c r="BG746" s="3" t="s">
        <v>7505</v>
      </c>
    </row>
    <row r="747" spans="1:59" ht="60" x14ac:dyDescent="0.25">
      <c r="A747" s="2" t="s">
        <v>59</v>
      </c>
      <c r="B747" s="2" t="s">
        <v>60</v>
      </c>
      <c r="C747" s="2" t="s">
        <v>7506</v>
      </c>
      <c r="D747" s="2" t="s">
        <v>7507</v>
      </c>
      <c r="E747" s="2" t="s">
        <v>7508</v>
      </c>
      <c r="G747" s="3" t="s">
        <v>63</v>
      </c>
      <c r="I747" s="3" t="s">
        <v>63</v>
      </c>
      <c r="J747" s="3" t="s">
        <v>63</v>
      </c>
      <c r="K747" s="3" t="s">
        <v>64</v>
      </c>
      <c r="L747" s="2" t="s">
        <v>7509</v>
      </c>
      <c r="M747" s="2" t="s">
        <v>7510</v>
      </c>
      <c r="N747" s="3" t="s">
        <v>130</v>
      </c>
      <c r="P747" s="3" t="s">
        <v>66</v>
      </c>
      <c r="Q747" s="2" t="s">
        <v>7327</v>
      </c>
      <c r="R747" s="3" t="s">
        <v>67</v>
      </c>
      <c r="S747" s="4">
        <v>0</v>
      </c>
      <c r="T747" s="4">
        <v>0</v>
      </c>
      <c r="W747" s="5" t="s">
        <v>69</v>
      </c>
      <c r="X747" s="5" t="s">
        <v>69</v>
      </c>
      <c r="Y747" s="4">
        <v>118</v>
      </c>
      <c r="Z747" s="4">
        <v>9</v>
      </c>
      <c r="AA747" s="4">
        <v>30</v>
      </c>
      <c r="AB747" s="4">
        <v>1</v>
      </c>
      <c r="AC747" s="4">
        <v>7</v>
      </c>
      <c r="AD747" s="4">
        <v>66</v>
      </c>
      <c r="AE747" s="4">
        <v>99</v>
      </c>
      <c r="AF747" s="4">
        <v>0</v>
      </c>
      <c r="AG747" s="4">
        <v>3</v>
      </c>
      <c r="AH747" s="4">
        <v>63</v>
      </c>
      <c r="AI747" s="4">
        <v>84</v>
      </c>
      <c r="AJ747" s="4">
        <v>6</v>
      </c>
      <c r="AK747" s="4">
        <v>13</v>
      </c>
      <c r="AL747" s="4">
        <v>43</v>
      </c>
      <c r="AM747" s="4">
        <v>50</v>
      </c>
      <c r="AN747" s="4">
        <v>0</v>
      </c>
      <c r="AO747" s="4">
        <v>0</v>
      </c>
      <c r="AP747" s="4">
        <v>6</v>
      </c>
      <c r="AQ747" s="4">
        <v>20</v>
      </c>
      <c r="AR747" s="3" t="s">
        <v>63</v>
      </c>
      <c r="AS747" s="3" t="s">
        <v>63</v>
      </c>
      <c r="AT747" s="3" t="s">
        <v>63</v>
      </c>
      <c r="AV747" s="6" t="str">
        <f>HYPERLINK("http://mcgill.on.worldcat.org/oclc/827120187","Catalog Record")</f>
        <v>Catalog Record</v>
      </c>
      <c r="AW747" s="6" t="str">
        <f>HYPERLINK("http://www.worldcat.org/oclc/827120187","WorldCat Record")</f>
        <v>WorldCat Record</v>
      </c>
      <c r="AX747" s="3" t="s">
        <v>7511</v>
      </c>
      <c r="AY747" s="3" t="s">
        <v>7512</v>
      </c>
      <c r="AZ747" s="3" t="s">
        <v>7513</v>
      </c>
      <c r="BA747" s="3" t="s">
        <v>7513</v>
      </c>
      <c r="BB747" s="3" t="s">
        <v>7514</v>
      </c>
      <c r="BC747" s="3" t="s">
        <v>82</v>
      </c>
      <c r="BD747" s="3" t="s">
        <v>70</v>
      </c>
      <c r="BE747" s="3" t="s">
        <v>7515</v>
      </c>
      <c r="BF747" s="3" t="s">
        <v>7514</v>
      </c>
      <c r="BG747" s="3" t="s">
        <v>7516</v>
      </c>
    </row>
    <row r="748" spans="1:59" ht="60" x14ac:dyDescent="0.25">
      <c r="A748" s="2" t="s">
        <v>59</v>
      </c>
      <c r="B748" s="2" t="s">
        <v>60</v>
      </c>
      <c r="C748" s="2" t="s">
        <v>7517</v>
      </c>
      <c r="D748" s="2" t="s">
        <v>7518</v>
      </c>
      <c r="E748" s="2" t="s">
        <v>7519</v>
      </c>
      <c r="G748" s="3" t="s">
        <v>63</v>
      </c>
      <c r="I748" s="3" t="s">
        <v>63</v>
      </c>
      <c r="J748" s="3" t="s">
        <v>63</v>
      </c>
      <c r="K748" s="3" t="s">
        <v>64</v>
      </c>
      <c r="L748" s="2" t="s">
        <v>7520</v>
      </c>
      <c r="M748" s="2" t="s">
        <v>3300</v>
      </c>
      <c r="N748" s="3" t="s">
        <v>693</v>
      </c>
      <c r="P748" s="3" t="s">
        <v>66</v>
      </c>
      <c r="R748" s="3" t="s">
        <v>67</v>
      </c>
      <c r="S748" s="4">
        <v>17</v>
      </c>
      <c r="T748" s="4">
        <v>17</v>
      </c>
      <c r="U748" s="5" t="s">
        <v>7521</v>
      </c>
      <c r="V748" s="5" t="s">
        <v>7521</v>
      </c>
      <c r="W748" s="5" t="s">
        <v>69</v>
      </c>
      <c r="X748" s="5" t="s">
        <v>69</v>
      </c>
      <c r="Y748" s="4">
        <v>494</v>
      </c>
      <c r="Z748" s="4">
        <v>20</v>
      </c>
      <c r="AA748" s="4">
        <v>95</v>
      </c>
      <c r="AB748" s="4">
        <v>2</v>
      </c>
      <c r="AC748" s="4">
        <v>15</v>
      </c>
      <c r="AD748" s="4">
        <v>111</v>
      </c>
      <c r="AE748" s="4">
        <v>148</v>
      </c>
      <c r="AF748" s="4">
        <v>0</v>
      </c>
      <c r="AG748" s="4">
        <v>8</v>
      </c>
      <c r="AH748" s="4">
        <v>103</v>
      </c>
      <c r="AI748" s="4">
        <v>112</v>
      </c>
      <c r="AJ748" s="4">
        <v>13</v>
      </c>
      <c r="AK748" s="4">
        <v>24</v>
      </c>
      <c r="AL748" s="4">
        <v>58</v>
      </c>
      <c r="AM748" s="4">
        <v>60</v>
      </c>
      <c r="AN748" s="4">
        <v>0</v>
      </c>
      <c r="AO748" s="4">
        <v>0</v>
      </c>
      <c r="AP748" s="4">
        <v>14</v>
      </c>
      <c r="AQ748" s="4">
        <v>44</v>
      </c>
      <c r="AR748" s="3" t="s">
        <v>63</v>
      </c>
      <c r="AS748" s="3" t="s">
        <v>63</v>
      </c>
      <c r="AT748" s="3" t="s">
        <v>63</v>
      </c>
      <c r="AV748" s="6" t="str">
        <f>HYPERLINK("http://mcgill.on.worldcat.org/oclc/53058948","Catalog Record")</f>
        <v>Catalog Record</v>
      </c>
      <c r="AW748" s="6" t="str">
        <f>HYPERLINK("http://www.worldcat.org/oclc/53058948","WorldCat Record")</f>
        <v>WorldCat Record</v>
      </c>
      <c r="AX748" s="3" t="s">
        <v>7522</v>
      </c>
      <c r="AY748" s="3" t="s">
        <v>7523</v>
      </c>
      <c r="AZ748" s="3" t="s">
        <v>7524</v>
      </c>
      <c r="BA748" s="3" t="s">
        <v>7524</v>
      </c>
      <c r="BB748" s="3" t="s">
        <v>7525</v>
      </c>
      <c r="BC748" s="3" t="s">
        <v>82</v>
      </c>
      <c r="BD748" s="3" t="s">
        <v>70</v>
      </c>
      <c r="BE748" s="3" t="s">
        <v>7526</v>
      </c>
      <c r="BF748" s="3" t="s">
        <v>7525</v>
      </c>
      <c r="BG748" s="3" t="s">
        <v>7527</v>
      </c>
    </row>
    <row r="749" spans="1:59" ht="60" x14ac:dyDescent="0.25">
      <c r="A749" s="2" t="s">
        <v>59</v>
      </c>
      <c r="B749" s="2" t="s">
        <v>60</v>
      </c>
      <c r="C749" s="2" t="s">
        <v>7528</v>
      </c>
      <c r="D749" s="2" t="s">
        <v>7529</v>
      </c>
      <c r="E749" s="2" t="s">
        <v>7530</v>
      </c>
      <c r="G749" s="3" t="s">
        <v>63</v>
      </c>
      <c r="I749" s="3" t="s">
        <v>63</v>
      </c>
      <c r="J749" s="3" t="s">
        <v>63</v>
      </c>
      <c r="K749" s="3" t="s">
        <v>64</v>
      </c>
      <c r="M749" s="2" t="s">
        <v>7531</v>
      </c>
      <c r="N749" s="3" t="s">
        <v>313</v>
      </c>
      <c r="P749" s="3" t="s">
        <v>90</v>
      </c>
      <c r="R749" s="3" t="s">
        <v>67</v>
      </c>
      <c r="S749" s="4">
        <v>0</v>
      </c>
      <c r="T749" s="4">
        <v>0</v>
      </c>
      <c r="W749" s="5" t="s">
        <v>69</v>
      </c>
      <c r="X749" s="5" t="s">
        <v>69</v>
      </c>
      <c r="Y749" s="4">
        <v>18</v>
      </c>
      <c r="Z749" s="4">
        <v>4</v>
      </c>
      <c r="AA749" s="4">
        <v>4</v>
      </c>
      <c r="AB749" s="4">
        <v>1</v>
      </c>
      <c r="AC749" s="4">
        <v>1</v>
      </c>
      <c r="AD749" s="4">
        <v>14</v>
      </c>
      <c r="AE749" s="4">
        <v>14</v>
      </c>
      <c r="AF749" s="4">
        <v>0</v>
      </c>
      <c r="AG749" s="4">
        <v>0</v>
      </c>
      <c r="AH749" s="4">
        <v>13</v>
      </c>
      <c r="AI749" s="4">
        <v>13</v>
      </c>
      <c r="AJ749" s="4">
        <v>2</v>
      </c>
      <c r="AK749" s="4">
        <v>2</v>
      </c>
      <c r="AL749" s="4">
        <v>11</v>
      </c>
      <c r="AM749" s="4">
        <v>11</v>
      </c>
      <c r="AN749" s="4">
        <v>0</v>
      </c>
      <c r="AO749" s="4">
        <v>0</v>
      </c>
      <c r="AP749" s="4">
        <v>2</v>
      </c>
      <c r="AQ749" s="4">
        <v>2</v>
      </c>
      <c r="AR749" s="3" t="s">
        <v>63</v>
      </c>
      <c r="AS749" s="3" t="s">
        <v>63</v>
      </c>
      <c r="AT749" s="3" t="s">
        <v>63</v>
      </c>
      <c r="AV749" s="6" t="str">
        <f>HYPERLINK("http://mcgill.on.worldcat.org/oclc/689524097","Catalog Record")</f>
        <v>Catalog Record</v>
      </c>
      <c r="AW749" s="6" t="str">
        <f>HYPERLINK("http://www.worldcat.org/oclc/689524097","WorldCat Record")</f>
        <v>WorldCat Record</v>
      </c>
      <c r="AX749" s="3" t="s">
        <v>7532</v>
      </c>
      <c r="AY749" s="3" t="s">
        <v>7533</v>
      </c>
      <c r="AZ749" s="3" t="s">
        <v>7534</v>
      </c>
      <c r="BA749" s="3" t="s">
        <v>7534</v>
      </c>
      <c r="BB749" s="3" t="s">
        <v>7535</v>
      </c>
      <c r="BC749" s="3" t="s">
        <v>82</v>
      </c>
      <c r="BD749" s="3" t="s">
        <v>70</v>
      </c>
      <c r="BE749" s="3" t="s">
        <v>7536</v>
      </c>
      <c r="BF749" s="3" t="s">
        <v>7535</v>
      </c>
      <c r="BG749" s="3" t="s">
        <v>7537</v>
      </c>
    </row>
    <row r="750" spans="1:59" ht="60" x14ac:dyDescent="0.25">
      <c r="A750" s="2" t="s">
        <v>59</v>
      </c>
      <c r="B750" s="2" t="s">
        <v>60</v>
      </c>
      <c r="C750" s="2" t="s">
        <v>7538</v>
      </c>
      <c r="D750" s="2" t="s">
        <v>7539</v>
      </c>
      <c r="E750" s="2" t="s">
        <v>7540</v>
      </c>
      <c r="G750" s="3" t="s">
        <v>63</v>
      </c>
      <c r="I750" s="3" t="s">
        <v>63</v>
      </c>
      <c r="J750" s="3" t="s">
        <v>63</v>
      </c>
      <c r="K750" s="3" t="s">
        <v>64</v>
      </c>
      <c r="L750" s="2" t="s">
        <v>7541</v>
      </c>
      <c r="M750" s="2" t="s">
        <v>7542</v>
      </c>
      <c r="N750" s="3" t="s">
        <v>7161</v>
      </c>
      <c r="P750" s="3" t="s">
        <v>90</v>
      </c>
      <c r="Q750" s="2" t="s">
        <v>7543</v>
      </c>
      <c r="R750" s="3" t="s">
        <v>67</v>
      </c>
      <c r="S750" s="4">
        <v>7</v>
      </c>
      <c r="T750" s="4">
        <v>7</v>
      </c>
      <c r="U750" s="5" t="s">
        <v>7544</v>
      </c>
      <c r="V750" s="5" t="s">
        <v>7544</v>
      </c>
      <c r="W750" s="5" t="s">
        <v>69</v>
      </c>
      <c r="X750" s="5" t="s">
        <v>69</v>
      </c>
      <c r="Y750" s="4">
        <v>16</v>
      </c>
      <c r="Z750" s="4">
        <v>1</v>
      </c>
      <c r="AA750" s="4">
        <v>11</v>
      </c>
      <c r="AB750" s="4">
        <v>1</v>
      </c>
      <c r="AC750" s="4">
        <v>1</v>
      </c>
      <c r="AD750" s="4">
        <v>11</v>
      </c>
      <c r="AE750" s="4">
        <v>68</v>
      </c>
      <c r="AF750" s="4">
        <v>0</v>
      </c>
      <c r="AG750" s="4">
        <v>0</v>
      </c>
      <c r="AH750" s="4">
        <v>10</v>
      </c>
      <c r="AI750" s="4">
        <v>62</v>
      </c>
      <c r="AJ750" s="4">
        <v>0</v>
      </c>
      <c r="AK750" s="4">
        <v>10</v>
      </c>
      <c r="AL750" s="4">
        <v>10</v>
      </c>
      <c r="AM750" s="4">
        <v>43</v>
      </c>
      <c r="AN750" s="4">
        <v>0</v>
      </c>
      <c r="AO750" s="4">
        <v>0</v>
      </c>
      <c r="AP750" s="4">
        <v>0</v>
      </c>
      <c r="AQ750" s="4">
        <v>10</v>
      </c>
      <c r="AR750" s="3" t="s">
        <v>63</v>
      </c>
      <c r="AS750" s="3" t="s">
        <v>63</v>
      </c>
      <c r="AT750" s="3" t="s">
        <v>63</v>
      </c>
      <c r="AV750" s="6" t="str">
        <f>HYPERLINK("http://mcgill.on.worldcat.org/oclc/505739764","Catalog Record")</f>
        <v>Catalog Record</v>
      </c>
      <c r="AW750" s="6" t="str">
        <f>HYPERLINK("http://www.worldcat.org/oclc/505739764","WorldCat Record")</f>
        <v>WorldCat Record</v>
      </c>
      <c r="AX750" s="3" t="s">
        <v>7545</v>
      </c>
      <c r="AY750" s="3" t="s">
        <v>7546</v>
      </c>
      <c r="AZ750" s="3" t="s">
        <v>7547</v>
      </c>
      <c r="BA750" s="3" t="s">
        <v>7547</v>
      </c>
      <c r="BB750" s="3" t="s">
        <v>7548</v>
      </c>
      <c r="BC750" s="3" t="s">
        <v>82</v>
      </c>
      <c r="BD750" s="3" t="s">
        <v>70</v>
      </c>
      <c r="BF750" s="3" t="s">
        <v>7548</v>
      </c>
      <c r="BG750" s="3" t="s">
        <v>7549</v>
      </c>
    </row>
    <row r="751" spans="1:59" ht="60" x14ac:dyDescent="0.25">
      <c r="A751" s="2" t="s">
        <v>59</v>
      </c>
      <c r="B751" s="2" t="s">
        <v>60</v>
      </c>
      <c r="C751" s="2" t="s">
        <v>7550</v>
      </c>
      <c r="D751" s="2" t="s">
        <v>7551</v>
      </c>
      <c r="E751" s="2" t="s">
        <v>7552</v>
      </c>
      <c r="G751" s="3" t="s">
        <v>63</v>
      </c>
      <c r="I751" s="3" t="s">
        <v>63</v>
      </c>
      <c r="J751" s="3" t="s">
        <v>63</v>
      </c>
      <c r="K751" s="3" t="s">
        <v>64</v>
      </c>
      <c r="L751" s="2" t="s">
        <v>7553</v>
      </c>
      <c r="M751" s="2" t="s">
        <v>7554</v>
      </c>
      <c r="N751" s="3" t="s">
        <v>313</v>
      </c>
      <c r="P751" s="3" t="s">
        <v>90</v>
      </c>
      <c r="R751" s="3" t="s">
        <v>67</v>
      </c>
      <c r="S751" s="4">
        <v>0</v>
      </c>
      <c r="T751" s="4">
        <v>0</v>
      </c>
      <c r="W751" s="5" t="s">
        <v>69</v>
      </c>
      <c r="X751" s="5" t="s">
        <v>69</v>
      </c>
      <c r="Y751" s="4">
        <v>39</v>
      </c>
      <c r="Z751" s="4">
        <v>5</v>
      </c>
      <c r="AA751" s="4">
        <v>5</v>
      </c>
      <c r="AB751" s="4">
        <v>1</v>
      </c>
      <c r="AC751" s="4">
        <v>1</v>
      </c>
      <c r="AD751" s="4">
        <v>30</v>
      </c>
      <c r="AE751" s="4">
        <v>30</v>
      </c>
      <c r="AF751" s="4">
        <v>0</v>
      </c>
      <c r="AG751" s="4">
        <v>0</v>
      </c>
      <c r="AH751" s="4">
        <v>29</v>
      </c>
      <c r="AI751" s="4">
        <v>29</v>
      </c>
      <c r="AJ751" s="4">
        <v>3</v>
      </c>
      <c r="AK751" s="4">
        <v>3</v>
      </c>
      <c r="AL751" s="4">
        <v>23</v>
      </c>
      <c r="AM751" s="4">
        <v>23</v>
      </c>
      <c r="AN751" s="4">
        <v>0</v>
      </c>
      <c r="AO751" s="4">
        <v>0</v>
      </c>
      <c r="AP751" s="4">
        <v>3</v>
      </c>
      <c r="AQ751" s="4">
        <v>3</v>
      </c>
      <c r="AR751" s="3" t="s">
        <v>63</v>
      </c>
      <c r="AS751" s="3" t="s">
        <v>63</v>
      </c>
      <c r="AT751" s="3" t="s">
        <v>63</v>
      </c>
      <c r="AV751" s="6" t="str">
        <f>HYPERLINK("http://mcgill.on.worldcat.org/oclc/664333095","Catalog Record")</f>
        <v>Catalog Record</v>
      </c>
      <c r="AW751" s="6" t="str">
        <f>HYPERLINK("http://www.worldcat.org/oclc/664333095","WorldCat Record")</f>
        <v>WorldCat Record</v>
      </c>
      <c r="AX751" s="3" t="s">
        <v>7555</v>
      </c>
      <c r="AY751" s="3" t="s">
        <v>7556</v>
      </c>
      <c r="AZ751" s="3" t="s">
        <v>7557</v>
      </c>
      <c r="BA751" s="3" t="s">
        <v>7557</v>
      </c>
      <c r="BB751" s="3" t="s">
        <v>7558</v>
      </c>
      <c r="BC751" s="3" t="s">
        <v>82</v>
      </c>
      <c r="BD751" s="3" t="s">
        <v>70</v>
      </c>
      <c r="BE751" s="3" t="s">
        <v>7559</v>
      </c>
      <c r="BF751" s="3" t="s">
        <v>7558</v>
      </c>
      <c r="BG751" s="3" t="s">
        <v>7560</v>
      </c>
    </row>
    <row r="752" spans="1:59" ht="60" x14ac:dyDescent="0.25">
      <c r="A752" s="2" t="s">
        <v>59</v>
      </c>
      <c r="B752" s="2" t="s">
        <v>60</v>
      </c>
      <c r="C752" s="2" t="s">
        <v>7561</v>
      </c>
      <c r="D752" s="2" t="s">
        <v>7562</v>
      </c>
      <c r="E752" s="2" t="s">
        <v>7563</v>
      </c>
      <c r="G752" s="3" t="s">
        <v>63</v>
      </c>
      <c r="I752" s="3" t="s">
        <v>63</v>
      </c>
      <c r="J752" s="3" t="s">
        <v>63</v>
      </c>
      <c r="K752" s="3" t="s">
        <v>64</v>
      </c>
      <c r="L752" s="2" t="s">
        <v>7564</v>
      </c>
      <c r="M752" s="2" t="s">
        <v>7565</v>
      </c>
      <c r="N752" s="3" t="s">
        <v>1557</v>
      </c>
      <c r="P752" s="3" t="s">
        <v>90</v>
      </c>
      <c r="R752" s="3" t="s">
        <v>67</v>
      </c>
      <c r="S752" s="4">
        <v>0</v>
      </c>
      <c r="T752" s="4">
        <v>0</v>
      </c>
      <c r="W752" s="5" t="s">
        <v>69</v>
      </c>
      <c r="X752" s="5" t="s">
        <v>69</v>
      </c>
      <c r="Y752" s="4">
        <v>18</v>
      </c>
      <c r="Z752" s="4">
        <v>1</v>
      </c>
      <c r="AA752" s="4">
        <v>1</v>
      </c>
      <c r="AB752" s="4">
        <v>1</v>
      </c>
      <c r="AC752" s="4">
        <v>1</v>
      </c>
      <c r="AD752" s="4">
        <v>17</v>
      </c>
      <c r="AE752" s="4">
        <v>17</v>
      </c>
      <c r="AF752" s="4">
        <v>0</v>
      </c>
      <c r="AG752" s="4">
        <v>0</v>
      </c>
      <c r="AH752" s="4">
        <v>17</v>
      </c>
      <c r="AI752" s="4">
        <v>17</v>
      </c>
      <c r="AJ752" s="4">
        <v>0</v>
      </c>
      <c r="AK752" s="4">
        <v>0</v>
      </c>
      <c r="AL752" s="4">
        <v>13</v>
      </c>
      <c r="AM752" s="4">
        <v>13</v>
      </c>
      <c r="AN752" s="4">
        <v>0</v>
      </c>
      <c r="AO752" s="4">
        <v>0</v>
      </c>
      <c r="AP752" s="4">
        <v>0</v>
      </c>
      <c r="AQ752" s="4">
        <v>0</v>
      </c>
      <c r="AR752" s="3" t="s">
        <v>63</v>
      </c>
      <c r="AS752" s="3" t="s">
        <v>63</v>
      </c>
      <c r="AT752" s="3" t="s">
        <v>63</v>
      </c>
      <c r="AV752" s="6" t="str">
        <f>HYPERLINK("http://mcgill.on.worldcat.org/oclc/1013457933","Catalog Record")</f>
        <v>Catalog Record</v>
      </c>
      <c r="AW752" s="6" t="str">
        <f>HYPERLINK("http://www.worldcat.org/oclc/1013457933","WorldCat Record")</f>
        <v>WorldCat Record</v>
      </c>
      <c r="AX752" s="3" t="s">
        <v>7566</v>
      </c>
      <c r="AY752" s="3" t="s">
        <v>7567</v>
      </c>
      <c r="AZ752" s="3" t="s">
        <v>7568</v>
      </c>
      <c r="BA752" s="3" t="s">
        <v>7568</v>
      </c>
      <c r="BB752" s="3" t="s">
        <v>7569</v>
      </c>
      <c r="BC752" s="3" t="s">
        <v>82</v>
      </c>
      <c r="BD752" s="3" t="s">
        <v>70</v>
      </c>
      <c r="BE752" s="3" t="s">
        <v>7570</v>
      </c>
      <c r="BF752" s="3" t="s">
        <v>7569</v>
      </c>
      <c r="BG752" s="3" t="s">
        <v>7571</v>
      </c>
    </row>
    <row r="753" spans="1:59" ht="60" x14ac:dyDescent="0.25">
      <c r="A753" s="2" t="s">
        <v>59</v>
      </c>
      <c r="B753" s="2" t="s">
        <v>60</v>
      </c>
      <c r="C753" s="2" t="s">
        <v>7572</v>
      </c>
      <c r="D753" s="2" t="s">
        <v>7573</v>
      </c>
      <c r="E753" s="2" t="s">
        <v>7574</v>
      </c>
      <c r="G753" s="3" t="s">
        <v>63</v>
      </c>
      <c r="I753" s="3" t="s">
        <v>62</v>
      </c>
      <c r="J753" s="3" t="s">
        <v>63</v>
      </c>
      <c r="K753" s="3" t="s">
        <v>64</v>
      </c>
      <c r="L753" s="2" t="s">
        <v>7575</v>
      </c>
      <c r="M753" s="2" t="s">
        <v>7576</v>
      </c>
      <c r="N753" s="3" t="s">
        <v>247</v>
      </c>
      <c r="P753" s="3" t="s">
        <v>66</v>
      </c>
      <c r="Q753" s="2" t="s">
        <v>5294</v>
      </c>
      <c r="R753" s="3" t="s">
        <v>67</v>
      </c>
      <c r="S753" s="4">
        <v>8</v>
      </c>
      <c r="T753" s="4">
        <v>14</v>
      </c>
      <c r="U753" s="5" t="s">
        <v>7577</v>
      </c>
      <c r="V753" s="5" t="s">
        <v>7577</v>
      </c>
      <c r="W753" s="5" t="s">
        <v>69</v>
      </c>
      <c r="X753" s="5" t="s">
        <v>69</v>
      </c>
      <c r="Y753" s="4">
        <v>614</v>
      </c>
      <c r="Z753" s="4">
        <v>32</v>
      </c>
      <c r="AA753" s="4">
        <v>34</v>
      </c>
      <c r="AB753" s="4">
        <v>1</v>
      </c>
      <c r="AC753" s="4">
        <v>3</v>
      </c>
      <c r="AD753" s="4">
        <v>123</v>
      </c>
      <c r="AE753" s="4">
        <v>125</v>
      </c>
      <c r="AF753" s="4">
        <v>0</v>
      </c>
      <c r="AG753" s="4">
        <v>2</v>
      </c>
      <c r="AH753" s="4">
        <v>108</v>
      </c>
      <c r="AI753" s="4">
        <v>109</v>
      </c>
      <c r="AJ753" s="4">
        <v>20</v>
      </c>
      <c r="AK753" s="4">
        <v>22</v>
      </c>
      <c r="AL753" s="4">
        <v>56</v>
      </c>
      <c r="AM753" s="4">
        <v>56</v>
      </c>
      <c r="AN753" s="4">
        <v>0</v>
      </c>
      <c r="AO753" s="4">
        <v>0</v>
      </c>
      <c r="AP753" s="4">
        <v>23</v>
      </c>
      <c r="AQ753" s="4">
        <v>24</v>
      </c>
      <c r="AR753" s="3" t="s">
        <v>63</v>
      </c>
      <c r="AS753" s="3" t="s">
        <v>63</v>
      </c>
      <c r="AT753" s="3" t="s">
        <v>62</v>
      </c>
      <c r="AU753" s="6" t="str">
        <f>HYPERLINK("http://catalog.hathitrust.org/Record/000109650","HathiTrust Record")</f>
        <v>HathiTrust Record</v>
      </c>
      <c r="AV753" s="6" t="str">
        <f>HYPERLINK("http://mcgill.on.worldcat.org/oclc/8346136","Catalog Record")</f>
        <v>Catalog Record</v>
      </c>
      <c r="AW753" s="6" t="str">
        <f>HYPERLINK("http://www.worldcat.org/oclc/8346136","WorldCat Record")</f>
        <v>WorldCat Record</v>
      </c>
      <c r="AX753" s="3" t="s">
        <v>7578</v>
      </c>
      <c r="AY753" s="3" t="s">
        <v>7579</v>
      </c>
      <c r="AZ753" s="3" t="s">
        <v>7580</v>
      </c>
      <c r="BA753" s="3" t="s">
        <v>7580</v>
      </c>
      <c r="BB753" s="3" t="s">
        <v>7581</v>
      </c>
      <c r="BC753" s="3" t="s">
        <v>82</v>
      </c>
      <c r="BD753" s="3" t="s">
        <v>70</v>
      </c>
      <c r="BE753" s="3" t="s">
        <v>7582</v>
      </c>
      <c r="BF753" s="3" t="s">
        <v>7581</v>
      </c>
      <c r="BG753" s="3" t="s">
        <v>7583</v>
      </c>
    </row>
    <row r="754" spans="1:59" ht="60" x14ac:dyDescent="0.25">
      <c r="A754" s="2" t="s">
        <v>59</v>
      </c>
      <c r="B754" s="2" t="s">
        <v>60</v>
      </c>
      <c r="C754" s="2" t="s">
        <v>7572</v>
      </c>
      <c r="D754" s="2" t="s">
        <v>7573</v>
      </c>
      <c r="E754" s="2" t="s">
        <v>7574</v>
      </c>
      <c r="G754" s="3" t="s">
        <v>63</v>
      </c>
      <c r="I754" s="3" t="s">
        <v>62</v>
      </c>
      <c r="J754" s="3" t="s">
        <v>63</v>
      </c>
      <c r="K754" s="3" t="s">
        <v>64</v>
      </c>
      <c r="L754" s="2" t="s">
        <v>7575</v>
      </c>
      <c r="M754" s="2" t="s">
        <v>7576</v>
      </c>
      <c r="N754" s="3" t="s">
        <v>247</v>
      </c>
      <c r="P754" s="3" t="s">
        <v>66</v>
      </c>
      <c r="Q754" s="2" t="s">
        <v>5294</v>
      </c>
      <c r="R754" s="3" t="s">
        <v>67</v>
      </c>
      <c r="S754" s="4">
        <v>6</v>
      </c>
      <c r="T754" s="4">
        <v>14</v>
      </c>
      <c r="U754" s="5" t="s">
        <v>7584</v>
      </c>
      <c r="V754" s="5" t="s">
        <v>7577</v>
      </c>
      <c r="W754" s="5" t="s">
        <v>69</v>
      </c>
      <c r="X754" s="5" t="s">
        <v>69</v>
      </c>
      <c r="Y754" s="4">
        <v>614</v>
      </c>
      <c r="Z754" s="4">
        <v>32</v>
      </c>
      <c r="AA754" s="4">
        <v>34</v>
      </c>
      <c r="AB754" s="4">
        <v>1</v>
      </c>
      <c r="AC754" s="4">
        <v>3</v>
      </c>
      <c r="AD754" s="4">
        <v>123</v>
      </c>
      <c r="AE754" s="4">
        <v>125</v>
      </c>
      <c r="AF754" s="4">
        <v>0</v>
      </c>
      <c r="AG754" s="4">
        <v>2</v>
      </c>
      <c r="AH754" s="4">
        <v>108</v>
      </c>
      <c r="AI754" s="4">
        <v>109</v>
      </c>
      <c r="AJ754" s="4">
        <v>20</v>
      </c>
      <c r="AK754" s="4">
        <v>22</v>
      </c>
      <c r="AL754" s="4">
        <v>56</v>
      </c>
      <c r="AM754" s="4">
        <v>56</v>
      </c>
      <c r="AN754" s="4">
        <v>0</v>
      </c>
      <c r="AO754" s="4">
        <v>0</v>
      </c>
      <c r="AP754" s="4">
        <v>23</v>
      </c>
      <c r="AQ754" s="4">
        <v>24</v>
      </c>
      <c r="AR754" s="3" t="s">
        <v>63</v>
      </c>
      <c r="AS754" s="3" t="s">
        <v>63</v>
      </c>
      <c r="AT754" s="3" t="s">
        <v>62</v>
      </c>
      <c r="AU754" s="6" t="str">
        <f>HYPERLINK("http://catalog.hathitrust.org/Record/000109650","HathiTrust Record")</f>
        <v>HathiTrust Record</v>
      </c>
      <c r="AV754" s="6" t="str">
        <f>HYPERLINK("http://mcgill.on.worldcat.org/oclc/8346136","Catalog Record")</f>
        <v>Catalog Record</v>
      </c>
      <c r="AW754" s="6" t="str">
        <f>HYPERLINK("http://www.worldcat.org/oclc/8346136","WorldCat Record")</f>
        <v>WorldCat Record</v>
      </c>
      <c r="AX754" s="3" t="s">
        <v>7578</v>
      </c>
      <c r="AY754" s="3" t="s">
        <v>7579</v>
      </c>
      <c r="AZ754" s="3" t="s">
        <v>7580</v>
      </c>
      <c r="BA754" s="3" t="s">
        <v>7580</v>
      </c>
      <c r="BB754" s="3" t="s">
        <v>7585</v>
      </c>
      <c r="BC754" s="3" t="s">
        <v>82</v>
      </c>
      <c r="BD754" s="3" t="s">
        <v>70</v>
      </c>
      <c r="BE754" s="3" t="s">
        <v>7582</v>
      </c>
      <c r="BF754" s="3" t="s">
        <v>7585</v>
      </c>
      <c r="BG754" s="3" t="s">
        <v>7586</v>
      </c>
    </row>
    <row r="755" spans="1:59" ht="60" x14ac:dyDescent="0.25">
      <c r="A755" s="2" t="s">
        <v>59</v>
      </c>
      <c r="B755" s="2" t="s">
        <v>60</v>
      </c>
      <c r="C755" s="2" t="s">
        <v>7587</v>
      </c>
      <c r="D755" s="2" t="s">
        <v>7588</v>
      </c>
      <c r="E755" s="2" t="s">
        <v>7589</v>
      </c>
      <c r="G755" s="3" t="s">
        <v>63</v>
      </c>
      <c r="I755" s="3" t="s">
        <v>63</v>
      </c>
      <c r="J755" s="3" t="s">
        <v>63</v>
      </c>
      <c r="K755" s="3" t="s">
        <v>64</v>
      </c>
      <c r="L755" s="2" t="s">
        <v>7590</v>
      </c>
      <c r="M755" s="2" t="s">
        <v>7591</v>
      </c>
      <c r="N755" s="3" t="s">
        <v>1557</v>
      </c>
      <c r="P755" s="3" t="s">
        <v>90</v>
      </c>
      <c r="Q755" s="2" t="s">
        <v>7592</v>
      </c>
      <c r="R755" s="3" t="s">
        <v>67</v>
      </c>
      <c r="S755" s="4">
        <v>0</v>
      </c>
      <c r="T755" s="4">
        <v>0</v>
      </c>
      <c r="W755" s="5" t="s">
        <v>69</v>
      </c>
      <c r="X755" s="5" t="s">
        <v>69</v>
      </c>
      <c r="Y755" s="4">
        <v>26</v>
      </c>
      <c r="Z755" s="4">
        <v>2</v>
      </c>
      <c r="AA755" s="4">
        <v>2</v>
      </c>
      <c r="AB755" s="4">
        <v>1</v>
      </c>
      <c r="AC755" s="4">
        <v>1</v>
      </c>
      <c r="AD755" s="4">
        <v>22</v>
      </c>
      <c r="AE755" s="4">
        <v>23</v>
      </c>
      <c r="AF755" s="4">
        <v>0</v>
      </c>
      <c r="AG755" s="4">
        <v>0</v>
      </c>
      <c r="AH755" s="4">
        <v>22</v>
      </c>
      <c r="AI755" s="4">
        <v>23</v>
      </c>
      <c r="AJ755" s="4">
        <v>1</v>
      </c>
      <c r="AK755" s="4">
        <v>1</v>
      </c>
      <c r="AL755" s="4">
        <v>17</v>
      </c>
      <c r="AM755" s="4">
        <v>17</v>
      </c>
      <c r="AN755" s="4">
        <v>0</v>
      </c>
      <c r="AO755" s="4">
        <v>0</v>
      </c>
      <c r="AP755" s="4">
        <v>1</v>
      </c>
      <c r="AQ755" s="4">
        <v>1</v>
      </c>
      <c r="AR755" s="3" t="s">
        <v>63</v>
      </c>
      <c r="AS755" s="3" t="s">
        <v>63</v>
      </c>
      <c r="AT755" s="3" t="s">
        <v>63</v>
      </c>
      <c r="AV755" s="6" t="str">
        <f>HYPERLINK("http://mcgill.on.worldcat.org/oclc/1003322320","Catalog Record")</f>
        <v>Catalog Record</v>
      </c>
      <c r="AW755" s="6" t="str">
        <f>HYPERLINK("http://www.worldcat.org/oclc/1003322320","WorldCat Record")</f>
        <v>WorldCat Record</v>
      </c>
      <c r="AX755" s="3" t="s">
        <v>7593</v>
      </c>
      <c r="AY755" s="3" t="s">
        <v>7594</v>
      </c>
      <c r="AZ755" s="3" t="s">
        <v>7595</v>
      </c>
      <c r="BA755" s="3" t="s">
        <v>7595</v>
      </c>
      <c r="BB755" s="3" t="s">
        <v>7596</v>
      </c>
      <c r="BC755" s="3" t="s">
        <v>82</v>
      </c>
      <c r="BD755" s="3" t="s">
        <v>70</v>
      </c>
      <c r="BE755" s="3" t="s">
        <v>7597</v>
      </c>
      <c r="BF755" s="3" t="s">
        <v>7596</v>
      </c>
      <c r="BG755" s="3" t="s">
        <v>7598</v>
      </c>
    </row>
    <row r="756" spans="1:59" ht="60" x14ac:dyDescent="0.25">
      <c r="A756" s="2" t="s">
        <v>59</v>
      </c>
      <c r="B756" s="2" t="s">
        <v>60</v>
      </c>
      <c r="C756" s="2" t="s">
        <v>7599</v>
      </c>
      <c r="D756" s="2" t="s">
        <v>7600</v>
      </c>
      <c r="E756" s="2" t="s">
        <v>7601</v>
      </c>
      <c r="G756" s="3" t="s">
        <v>63</v>
      </c>
      <c r="I756" s="3" t="s">
        <v>62</v>
      </c>
      <c r="J756" s="3" t="s">
        <v>63</v>
      </c>
      <c r="K756" s="3" t="s">
        <v>64</v>
      </c>
      <c r="L756" s="2" t="s">
        <v>7602</v>
      </c>
      <c r="M756" s="2" t="s">
        <v>7603</v>
      </c>
      <c r="N756" s="3" t="s">
        <v>758</v>
      </c>
      <c r="P756" s="3" t="s">
        <v>66</v>
      </c>
      <c r="R756" s="3" t="s">
        <v>67</v>
      </c>
      <c r="S756" s="4">
        <v>6</v>
      </c>
      <c r="T756" s="4">
        <v>21</v>
      </c>
      <c r="U756" s="5" t="s">
        <v>7488</v>
      </c>
      <c r="V756" s="5" t="s">
        <v>7292</v>
      </c>
      <c r="W756" s="5" t="s">
        <v>69</v>
      </c>
      <c r="X756" s="5" t="s">
        <v>69</v>
      </c>
      <c r="Y756" s="4">
        <v>935</v>
      </c>
      <c r="Z756" s="4">
        <v>37</v>
      </c>
      <c r="AA756" s="4">
        <v>40</v>
      </c>
      <c r="AB756" s="4">
        <v>4</v>
      </c>
      <c r="AC756" s="4">
        <v>6</v>
      </c>
      <c r="AD756" s="4">
        <v>122</v>
      </c>
      <c r="AE756" s="4">
        <v>124</v>
      </c>
      <c r="AF756" s="4">
        <v>2</v>
      </c>
      <c r="AG756" s="4">
        <v>3</v>
      </c>
      <c r="AH756" s="4">
        <v>100</v>
      </c>
      <c r="AI756" s="4">
        <v>101</v>
      </c>
      <c r="AJ756" s="4">
        <v>18</v>
      </c>
      <c r="AK756" s="4">
        <v>20</v>
      </c>
      <c r="AL756" s="4">
        <v>54</v>
      </c>
      <c r="AM756" s="4">
        <v>54</v>
      </c>
      <c r="AN756" s="4">
        <v>0</v>
      </c>
      <c r="AO756" s="4">
        <v>0</v>
      </c>
      <c r="AP756" s="4">
        <v>25</v>
      </c>
      <c r="AQ756" s="4">
        <v>27</v>
      </c>
      <c r="AR756" s="3" t="s">
        <v>63</v>
      </c>
      <c r="AS756" s="3" t="s">
        <v>63</v>
      </c>
      <c r="AT756" s="3" t="s">
        <v>62</v>
      </c>
      <c r="AU756" s="6" t="str">
        <f>HYPERLINK("http://catalog.hathitrust.org/Record/001110380","HathiTrust Record")</f>
        <v>HathiTrust Record</v>
      </c>
      <c r="AV756" s="6" t="str">
        <f>HYPERLINK("http://mcgill.on.worldcat.org/oclc/319728","Catalog Record")</f>
        <v>Catalog Record</v>
      </c>
      <c r="AW756" s="6" t="str">
        <f>HYPERLINK("http://www.worldcat.org/oclc/319728","WorldCat Record")</f>
        <v>WorldCat Record</v>
      </c>
      <c r="AX756" s="3" t="s">
        <v>7604</v>
      </c>
      <c r="AY756" s="3" t="s">
        <v>7605</v>
      </c>
      <c r="AZ756" s="3" t="s">
        <v>7606</v>
      </c>
      <c r="BA756" s="3" t="s">
        <v>7606</v>
      </c>
      <c r="BB756" s="3" t="s">
        <v>7607</v>
      </c>
      <c r="BC756" s="3" t="s">
        <v>82</v>
      </c>
      <c r="BD756" s="3" t="s">
        <v>70</v>
      </c>
      <c r="BF756" s="3" t="s">
        <v>7607</v>
      </c>
      <c r="BG756" s="3" t="s">
        <v>7608</v>
      </c>
    </row>
    <row r="757" spans="1:59" ht="60" x14ac:dyDescent="0.25">
      <c r="A757" s="2" t="s">
        <v>59</v>
      </c>
      <c r="B757" s="2" t="s">
        <v>60</v>
      </c>
      <c r="C757" s="2" t="s">
        <v>7599</v>
      </c>
      <c r="D757" s="2" t="s">
        <v>7600</v>
      </c>
      <c r="E757" s="2" t="s">
        <v>7601</v>
      </c>
      <c r="G757" s="3" t="s">
        <v>63</v>
      </c>
      <c r="I757" s="3" t="s">
        <v>62</v>
      </c>
      <c r="J757" s="3" t="s">
        <v>63</v>
      </c>
      <c r="K757" s="3" t="s">
        <v>64</v>
      </c>
      <c r="L757" s="2" t="s">
        <v>7602</v>
      </c>
      <c r="M757" s="2" t="s">
        <v>7603</v>
      </c>
      <c r="N757" s="3" t="s">
        <v>758</v>
      </c>
      <c r="P757" s="3" t="s">
        <v>66</v>
      </c>
      <c r="R757" s="3" t="s">
        <v>67</v>
      </c>
      <c r="S757" s="4">
        <v>15</v>
      </c>
      <c r="T757" s="4">
        <v>21</v>
      </c>
      <c r="U757" s="5" t="s">
        <v>7292</v>
      </c>
      <c r="V757" s="5" t="s">
        <v>7292</v>
      </c>
      <c r="W757" s="5" t="s">
        <v>69</v>
      </c>
      <c r="X757" s="5" t="s">
        <v>69</v>
      </c>
      <c r="Y757" s="4">
        <v>935</v>
      </c>
      <c r="Z757" s="4">
        <v>37</v>
      </c>
      <c r="AA757" s="4">
        <v>40</v>
      </c>
      <c r="AB757" s="4">
        <v>4</v>
      </c>
      <c r="AC757" s="4">
        <v>6</v>
      </c>
      <c r="AD757" s="4">
        <v>122</v>
      </c>
      <c r="AE757" s="4">
        <v>124</v>
      </c>
      <c r="AF757" s="4">
        <v>2</v>
      </c>
      <c r="AG757" s="4">
        <v>3</v>
      </c>
      <c r="AH757" s="4">
        <v>100</v>
      </c>
      <c r="AI757" s="4">
        <v>101</v>
      </c>
      <c r="AJ757" s="4">
        <v>18</v>
      </c>
      <c r="AK757" s="4">
        <v>20</v>
      </c>
      <c r="AL757" s="4">
        <v>54</v>
      </c>
      <c r="AM757" s="4">
        <v>54</v>
      </c>
      <c r="AN757" s="4">
        <v>0</v>
      </c>
      <c r="AO757" s="4">
        <v>0</v>
      </c>
      <c r="AP757" s="4">
        <v>25</v>
      </c>
      <c r="AQ757" s="4">
        <v>27</v>
      </c>
      <c r="AR757" s="3" t="s">
        <v>63</v>
      </c>
      <c r="AS757" s="3" t="s">
        <v>63</v>
      </c>
      <c r="AT757" s="3" t="s">
        <v>62</v>
      </c>
      <c r="AU757" s="6" t="str">
        <f>HYPERLINK("http://catalog.hathitrust.org/Record/001110380","HathiTrust Record")</f>
        <v>HathiTrust Record</v>
      </c>
      <c r="AV757" s="6" t="str">
        <f>HYPERLINK("http://mcgill.on.worldcat.org/oclc/319728","Catalog Record")</f>
        <v>Catalog Record</v>
      </c>
      <c r="AW757" s="6" t="str">
        <f>HYPERLINK("http://www.worldcat.org/oclc/319728","WorldCat Record")</f>
        <v>WorldCat Record</v>
      </c>
      <c r="AX757" s="3" t="s">
        <v>7604</v>
      </c>
      <c r="AY757" s="3" t="s">
        <v>7605</v>
      </c>
      <c r="AZ757" s="3" t="s">
        <v>7606</v>
      </c>
      <c r="BA757" s="3" t="s">
        <v>7606</v>
      </c>
      <c r="BB757" s="3" t="s">
        <v>7609</v>
      </c>
      <c r="BC757" s="3" t="s">
        <v>82</v>
      </c>
      <c r="BD757" s="3" t="s">
        <v>538</v>
      </c>
      <c r="BF757" s="3" t="s">
        <v>7609</v>
      </c>
      <c r="BG757" s="3" t="s">
        <v>7610</v>
      </c>
    </row>
    <row r="758" spans="1:59" ht="75" x14ac:dyDescent="0.25">
      <c r="A758" s="2" t="s">
        <v>59</v>
      </c>
      <c r="B758" s="2" t="s">
        <v>60</v>
      </c>
      <c r="C758" s="2" t="s">
        <v>7611</v>
      </c>
      <c r="D758" s="2" t="s">
        <v>7612</v>
      </c>
      <c r="E758" s="2" t="s">
        <v>7613</v>
      </c>
      <c r="G758" s="3" t="s">
        <v>63</v>
      </c>
      <c r="I758" s="3" t="s">
        <v>63</v>
      </c>
      <c r="J758" s="3" t="s">
        <v>63</v>
      </c>
      <c r="K758" s="3" t="s">
        <v>64</v>
      </c>
      <c r="L758" s="2" t="s">
        <v>4294</v>
      </c>
      <c r="M758" s="2" t="s">
        <v>7614</v>
      </c>
      <c r="N758" s="3" t="s">
        <v>176</v>
      </c>
      <c r="P758" s="3" t="s">
        <v>66</v>
      </c>
      <c r="Q758" s="2" t="s">
        <v>7615</v>
      </c>
      <c r="R758" s="3" t="s">
        <v>67</v>
      </c>
      <c r="S758" s="4">
        <v>15</v>
      </c>
      <c r="T758" s="4">
        <v>15</v>
      </c>
      <c r="U758" s="5" t="s">
        <v>7488</v>
      </c>
      <c r="V758" s="5" t="s">
        <v>7488</v>
      </c>
      <c r="W758" s="5" t="s">
        <v>69</v>
      </c>
      <c r="X758" s="5" t="s">
        <v>69</v>
      </c>
      <c r="Y758" s="4">
        <v>196</v>
      </c>
      <c r="Z758" s="4">
        <v>12</v>
      </c>
      <c r="AA758" s="4">
        <v>12</v>
      </c>
      <c r="AB758" s="4">
        <v>1</v>
      </c>
      <c r="AC758" s="4">
        <v>1</v>
      </c>
      <c r="AD758" s="4">
        <v>64</v>
      </c>
      <c r="AE758" s="4">
        <v>64</v>
      </c>
      <c r="AF758" s="4">
        <v>0</v>
      </c>
      <c r="AG758" s="4">
        <v>0</v>
      </c>
      <c r="AH758" s="4">
        <v>59</v>
      </c>
      <c r="AI758" s="4">
        <v>59</v>
      </c>
      <c r="AJ758" s="4">
        <v>8</v>
      </c>
      <c r="AK758" s="4">
        <v>8</v>
      </c>
      <c r="AL758" s="4">
        <v>33</v>
      </c>
      <c r="AM758" s="4">
        <v>33</v>
      </c>
      <c r="AN758" s="4">
        <v>0</v>
      </c>
      <c r="AO758" s="4">
        <v>0</v>
      </c>
      <c r="AP758" s="4">
        <v>8</v>
      </c>
      <c r="AQ758" s="4">
        <v>8</v>
      </c>
      <c r="AR758" s="3" t="s">
        <v>63</v>
      </c>
      <c r="AS758" s="3" t="s">
        <v>63</v>
      </c>
      <c r="AT758" s="3" t="s">
        <v>63</v>
      </c>
      <c r="AV758" s="6" t="str">
        <f>HYPERLINK("http://mcgill.on.worldcat.org/oclc/40600230","Catalog Record")</f>
        <v>Catalog Record</v>
      </c>
      <c r="AW758" s="6" t="str">
        <f>HYPERLINK("http://www.worldcat.org/oclc/40600230","WorldCat Record")</f>
        <v>WorldCat Record</v>
      </c>
      <c r="AX758" s="3" t="s">
        <v>7616</v>
      </c>
      <c r="AY758" s="3" t="s">
        <v>7617</v>
      </c>
      <c r="AZ758" s="3" t="s">
        <v>7618</v>
      </c>
      <c r="BA758" s="3" t="s">
        <v>7618</v>
      </c>
      <c r="BB758" s="3" t="s">
        <v>7619</v>
      </c>
      <c r="BC758" s="3" t="s">
        <v>82</v>
      </c>
      <c r="BD758" s="3" t="s">
        <v>70</v>
      </c>
      <c r="BE758" s="3" t="s">
        <v>7620</v>
      </c>
      <c r="BF758" s="3" t="s">
        <v>7619</v>
      </c>
      <c r="BG758" s="3" t="s">
        <v>7621</v>
      </c>
    </row>
    <row r="759" spans="1:59" ht="60" x14ac:dyDescent="0.25">
      <c r="A759" s="2" t="s">
        <v>59</v>
      </c>
      <c r="B759" s="2" t="s">
        <v>60</v>
      </c>
      <c r="C759" s="2" t="s">
        <v>7622</v>
      </c>
      <c r="D759" s="2" t="s">
        <v>7623</v>
      </c>
      <c r="E759" s="2" t="s">
        <v>7624</v>
      </c>
      <c r="G759" s="3" t="s">
        <v>63</v>
      </c>
      <c r="I759" s="3" t="s">
        <v>63</v>
      </c>
      <c r="J759" s="3" t="s">
        <v>63</v>
      </c>
      <c r="K759" s="3" t="s">
        <v>64</v>
      </c>
      <c r="L759" s="2" t="s">
        <v>7625</v>
      </c>
      <c r="M759" s="2" t="s">
        <v>7626</v>
      </c>
      <c r="N759" s="3" t="s">
        <v>130</v>
      </c>
      <c r="P759" s="3" t="s">
        <v>90</v>
      </c>
      <c r="R759" s="3" t="s">
        <v>67</v>
      </c>
      <c r="S759" s="4">
        <v>0</v>
      </c>
      <c r="T759" s="4">
        <v>0</v>
      </c>
      <c r="W759" s="5" t="s">
        <v>69</v>
      </c>
      <c r="X759" s="5" t="s">
        <v>69</v>
      </c>
      <c r="Y759" s="4">
        <v>25</v>
      </c>
      <c r="Z759" s="4">
        <v>4</v>
      </c>
      <c r="AA759" s="4">
        <v>4</v>
      </c>
      <c r="AB759" s="4">
        <v>1</v>
      </c>
      <c r="AC759" s="4">
        <v>1</v>
      </c>
      <c r="AD759" s="4">
        <v>20</v>
      </c>
      <c r="AE759" s="4">
        <v>20</v>
      </c>
      <c r="AF759" s="4">
        <v>0</v>
      </c>
      <c r="AG759" s="4">
        <v>0</v>
      </c>
      <c r="AH759" s="4">
        <v>19</v>
      </c>
      <c r="AI759" s="4">
        <v>19</v>
      </c>
      <c r="AJ759" s="4">
        <v>2</v>
      </c>
      <c r="AK759" s="4">
        <v>2</v>
      </c>
      <c r="AL759" s="4">
        <v>17</v>
      </c>
      <c r="AM759" s="4">
        <v>17</v>
      </c>
      <c r="AN759" s="4">
        <v>0</v>
      </c>
      <c r="AO759" s="4">
        <v>0</v>
      </c>
      <c r="AP759" s="4">
        <v>2</v>
      </c>
      <c r="AQ759" s="4">
        <v>2</v>
      </c>
      <c r="AR759" s="3" t="s">
        <v>63</v>
      </c>
      <c r="AS759" s="3" t="s">
        <v>63</v>
      </c>
      <c r="AT759" s="3" t="s">
        <v>63</v>
      </c>
      <c r="AV759" s="6" t="str">
        <f>HYPERLINK("http://mcgill.on.worldcat.org/oclc/869833063","Catalog Record")</f>
        <v>Catalog Record</v>
      </c>
      <c r="AW759" s="6" t="str">
        <f>HYPERLINK("http://www.worldcat.org/oclc/869833063","WorldCat Record")</f>
        <v>WorldCat Record</v>
      </c>
      <c r="AX759" s="3" t="s">
        <v>7627</v>
      </c>
      <c r="AY759" s="3" t="s">
        <v>7628</v>
      </c>
      <c r="AZ759" s="3" t="s">
        <v>7629</v>
      </c>
      <c r="BA759" s="3" t="s">
        <v>7629</v>
      </c>
      <c r="BB759" s="3" t="s">
        <v>7630</v>
      </c>
      <c r="BC759" s="3" t="s">
        <v>82</v>
      </c>
      <c r="BD759" s="3" t="s">
        <v>70</v>
      </c>
      <c r="BE759" s="3" t="s">
        <v>7631</v>
      </c>
      <c r="BF759" s="3" t="s">
        <v>7630</v>
      </c>
      <c r="BG759" s="3" t="s">
        <v>7632</v>
      </c>
    </row>
    <row r="760" spans="1:59" ht="60" x14ac:dyDescent="0.25">
      <c r="A760" s="2" t="s">
        <v>59</v>
      </c>
      <c r="B760" s="2" t="s">
        <v>60</v>
      </c>
      <c r="C760" s="2" t="s">
        <v>7633</v>
      </c>
      <c r="D760" s="2" t="s">
        <v>7634</v>
      </c>
      <c r="E760" s="2" t="s">
        <v>7635</v>
      </c>
      <c r="G760" s="3" t="s">
        <v>63</v>
      </c>
      <c r="I760" s="3" t="s">
        <v>63</v>
      </c>
      <c r="J760" s="3" t="s">
        <v>63</v>
      </c>
      <c r="K760" s="3" t="s">
        <v>64</v>
      </c>
      <c r="M760" s="2" t="s">
        <v>7636</v>
      </c>
      <c r="N760" s="3" t="s">
        <v>1557</v>
      </c>
      <c r="P760" s="3" t="s">
        <v>66</v>
      </c>
      <c r="R760" s="3" t="s">
        <v>67</v>
      </c>
      <c r="S760" s="4">
        <v>0</v>
      </c>
      <c r="T760" s="4">
        <v>0</v>
      </c>
      <c r="W760" s="5" t="s">
        <v>69</v>
      </c>
      <c r="X760" s="5" t="s">
        <v>69</v>
      </c>
      <c r="Y760" s="4">
        <v>49</v>
      </c>
      <c r="Z760" s="4">
        <v>6</v>
      </c>
      <c r="AA760" s="4">
        <v>84</v>
      </c>
      <c r="AB760" s="4">
        <v>1</v>
      </c>
      <c r="AC760" s="4">
        <v>17</v>
      </c>
      <c r="AD760" s="4">
        <v>30</v>
      </c>
      <c r="AE760" s="4">
        <v>116</v>
      </c>
      <c r="AF760" s="4">
        <v>0</v>
      </c>
      <c r="AG760" s="4">
        <v>8</v>
      </c>
      <c r="AH760" s="4">
        <v>30</v>
      </c>
      <c r="AI760" s="4">
        <v>79</v>
      </c>
      <c r="AJ760" s="4">
        <v>5</v>
      </c>
      <c r="AK760" s="4">
        <v>20</v>
      </c>
      <c r="AL760" s="4">
        <v>19</v>
      </c>
      <c r="AM760" s="4">
        <v>44</v>
      </c>
      <c r="AN760" s="4">
        <v>0</v>
      </c>
      <c r="AO760" s="4">
        <v>0</v>
      </c>
      <c r="AP760" s="4">
        <v>5</v>
      </c>
      <c r="AQ760" s="4">
        <v>41</v>
      </c>
      <c r="AR760" s="3" t="s">
        <v>63</v>
      </c>
      <c r="AS760" s="3" t="s">
        <v>63</v>
      </c>
      <c r="AT760" s="3" t="s">
        <v>63</v>
      </c>
      <c r="AV760" s="6" t="str">
        <f>HYPERLINK("http://mcgill.on.worldcat.org/oclc/986240810","Catalog Record")</f>
        <v>Catalog Record</v>
      </c>
      <c r="AW760" s="6" t="str">
        <f>HYPERLINK("http://www.worldcat.org/oclc/986240810","WorldCat Record")</f>
        <v>WorldCat Record</v>
      </c>
      <c r="AX760" s="3" t="s">
        <v>7637</v>
      </c>
      <c r="AY760" s="3" t="s">
        <v>7638</v>
      </c>
      <c r="AZ760" s="3" t="s">
        <v>7639</v>
      </c>
      <c r="BA760" s="3" t="s">
        <v>7639</v>
      </c>
      <c r="BB760" s="3" t="s">
        <v>7640</v>
      </c>
      <c r="BC760" s="3" t="s">
        <v>82</v>
      </c>
      <c r="BD760" s="3" t="s">
        <v>70</v>
      </c>
      <c r="BE760" s="3" t="s">
        <v>7641</v>
      </c>
      <c r="BF760" s="3" t="s">
        <v>7640</v>
      </c>
      <c r="BG760" s="3" t="s">
        <v>7642</v>
      </c>
    </row>
    <row r="761" spans="1:59" ht="60" x14ac:dyDescent="0.25">
      <c r="A761" s="2" t="s">
        <v>59</v>
      </c>
      <c r="B761" s="2" t="s">
        <v>60</v>
      </c>
      <c r="C761" s="2" t="s">
        <v>7643</v>
      </c>
      <c r="D761" s="2" t="s">
        <v>7644</v>
      </c>
      <c r="E761" s="2" t="s">
        <v>7645</v>
      </c>
      <c r="G761" s="3" t="s">
        <v>63</v>
      </c>
      <c r="I761" s="3" t="s">
        <v>63</v>
      </c>
      <c r="J761" s="3" t="s">
        <v>63</v>
      </c>
      <c r="K761" s="3" t="s">
        <v>64</v>
      </c>
      <c r="L761" s="2" t="s">
        <v>7646</v>
      </c>
      <c r="M761" s="2" t="s">
        <v>7647</v>
      </c>
      <c r="N761" s="3" t="s">
        <v>313</v>
      </c>
      <c r="P761" s="3" t="s">
        <v>90</v>
      </c>
      <c r="Q761" s="2" t="s">
        <v>4502</v>
      </c>
      <c r="R761" s="3" t="s">
        <v>67</v>
      </c>
      <c r="S761" s="4">
        <v>2</v>
      </c>
      <c r="T761" s="4">
        <v>2</v>
      </c>
      <c r="U761" s="5" t="s">
        <v>6004</v>
      </c>
      <c r="V761" s="5" t="s">
        <v>6004</v>
      </c>
      <c r="W761" s="5" t="s">
        <v>69</v>
      </c>
      <c r="X761" s="5" t="s">
        <v>69</v>
      </c>
      <c r="Y761" s="4">
        <v>47</v>
      </c>
      <c r="Z761" s="4">
        <v>5</v>
      </c>
      <c r="AA761" s="4">
        <v>5</v>
      </c>
      <c r="AB761" s="4">
        <v>1</v>
      </c>
      <c r="AC761" s="4">
        <v>1</v>
      </c>
      <c r="AD761" s="4">
        <v>39</v>
      </c>
      <c r="AE761" s="4">
        <v>39</v>
      </c>
      <c r="AF761" s="4">
        <v>0</v>
      </c>
      <c r="AG761" s="4">
        <v>0</v>
      </c>
      <c r="AH761" s="4">
        <v>37</v>
      </c>
      <c r="AI761" s="4">
        <v>37</v>
      </c>
      <c r="AJ761" s="4">
        <v>3</v>
      </c>
      <c r="AK761" s="4">
        <v>3</v>
      </c>
      <c r="AL761" s="4">
        <v>31</v>
      </c>
      <c r="AM761" s="4">
        <v>31</v>
      </c>
      <c r="AN761" s="4">
        <v>0</v>
      </c>
      <c r="AO761" s="4">
        <v>0</v>
      </c>
      <c r="AP761" s="4">
        <v>3</v>
      </c>
      <c r="AQ761" s="4">
        <v>3</v>
      </c>
      <c r="AR761" s="3" t="s">
        <v>63</v>
      </c>
      <c r="AS761" s="3" t="s">
        <v>63</v>
      </c>
      <c r="AT761" s="3" t="s">
        <v>63</v>
      </c>
      <c r="AV761" s="6" t="str">
        <f>HYPERLINK("http://mcgill.on.worldcat.org/oclc/692180945","Catalog Record")</f>
        <v>Catalog Record</v>
      </c>
      <c r="AW761" s="6" t="str">
        <f>HYPERLINK("http://www.worldcat.org/oclc/692180945","WorldCat Record")</f>
        <v>WorldCat Record</v>
      </c>
      <c r="AX761" s="3" t="s">
        <v>7648</v>
      </c>
      <c r="AY761" s="3" t="s">
        <v>7649</v>
      </c>
      <c r="AZ761" s="3" t="s">
        <v>7650</v>
      </c>
      <c r="BA761" s="3" t="s">
        <v>7650</v>
      </c>
      <c r="BB761" s="3" t="s">
        <v>7651</v>
      </c>
      <c r="BC761" s="3" t="s">
        <v>82</v>
      </c>
      <c r="BD761" s="3" t="s">
        <v>70</v>
      </c>
      <c r="BE761" s="3" t="s">
        <v>7652</v>
      </c>
      <c r="BF761" s="3" t="s">
        <v>7651</v>
      </c>
      <c r="BG761" s="3" t="s">
        <v>7653</v>
      </c>
    </row>
    <row r="762" spans="1:59" ht="60" x14ac:dyDescent="0.25">
      <c r="A762" s="2" t="s">
        <v>59</v>
      </c>
      <c r="B762" s="2" t="s">
        <v>60</v>
      </c>
      <c r="C762" s="2" t="s">
        <v>7654</v>
      </c>
      <c r="D762" s="2" t="s">
        <v>7655</v>
      </c>
      <c r="E762" s="2" t="s">
        <v>7656</v>
      </c>
      <c r="G762" s="3" t="s">
        <v>63</v>
      </c>
      <c r="I762" s="3" t="s">
        <v>63</v>
      </c>
      <c r="J762" s="3" t="s">
        <v>63</v>
      </c>
      <c r="K762" s="3" t="s">
        <v>64</v>
      </c>
      <c r="L762" s="2" t="s">
        <v>7657</v>
      </c>
      <c r="M762" s="2" t="s">
        <v>7658</v>
      </c>
      <c r="N762" s="3" t="s">
        <v>287</v>
      </c>
      <c r="P762" s="3" t="s">
        <v>66</v>
      </c>
      <c r="Q762" s="2" t="s">
        <v>3902</v>
      </c>
      <c r="R762" s="3" t="s">
        <v>67</v>
      </c>
      <c r="S762" s="4">
        <v>0</v>
      </c>
      <c r="T762" s="4">
        <v>0</v>
      </c>
      <c r="W762" s="5" t="s">
        <v>69</v>
      </c>
      <c r="X762" s="5" t="s">
        <v>69</v>
      </c>
      <c r="Y762" s="4">
        <v>89</v>
      </c>
      <c r="Z762" s="4">
        <v>7</v>
      </c>
      <c r="AA762" s="4">
        <v>7</v>
      </c>
      <c r="AB762" s="4">
        <v>1</v>
      </c>
      <c r="AC762" s="4">
        <v>1</v>
      </c>
      <c r="AD762" s="4">
        <v>49</v>
      </c>
      <c r="AE762" s="4">
        <v>49</v>
      </c>
      <c r="AF762" s="4">
        <v>0</v>
      </c>
      <c r="AG762" s="4">
        <v>0</v>
      </c>
      <c r="AH762" s="4">
        <v>47</v>
      </c>
      <c r="AI762" s="4">
        <v>47</v>
      </c>
      <c r="AJ762" s="4">
        <v>5</v>
      </c>
      <c r="AK762" s="4">
        <v>5</v>
      </c>
      <c r="AL762" s="4">
        <v>33</v>
      </c>
      <c r="AM762" s="4">
        <v>33</v>
      </c>
      <c r="AN762" s="4">
        <v>0</v>
      </c>
      <c r="AO762" s="4">
        <v>0</v>
      </c>
      <c r="AP762" s="4">
        <v>5</v>
      </c>
      <c r="AQ762" s="4">
        <v>5</v>
      </c>
      <c r="AR762" s="3" t="s">
        <v>63</v>
      </c>
      <c r="AS762" s="3" t="s">
        <v>63</v>
      </c>
      <c r="AT762" s="3" t="s">
        <v>63</v>
      </c>
      <c r="AV762" s="6" t="str">
        <f>HYPERLINK("http://mcgill.on.worldcat.org/oclc/996407168","Catalog Record")</f>
        <v>Catalog Record</v>
      </c>
      <c r="AW762" s="6" t="str">
        <f>HYPERLINK("http://www.worldcat.org/oclc/996407168","WorldCat Record")</f>
        <v>WorldCat Record</v>
      </c>
      <c r="AX762" s="3" t="s">
        <v>7659</v>
      </c>
      <c r="AY762" s="3" t="s">
        <v>7660</v>
      </c>
      <c r="AZ762" s="3" t="s">
        <v>7661</v>
      </c>
      <c r="BA762" s="3" t="s">
        <v>7661</v>
      </c>
      <c r="BB762" s="3" t="s">
        <v>7662</v>
      </c>
      <c r="BC762" s="3" t="s">
        <v>82</v>
      </c>
      <c r="BD762" s="3" t="s">
        <v>70</v>
      </c>
      <c r="BE762" s="3" t="s">
        <v>7663</v>
      </c>
      <c r="BF762" s="3" t="s">
        <v>7662</v>
      </c>
      <c r="BG762" s="3" t="s">
        <v>7664</v>
      </c>
    </row>
    <row r="763" spans="1:59" ht="60" x14ac:dyDescent="0.25">
      <c r="A763" s="2" t="s">
        <v>59</v>
      </c>
      <c r="B763" s="2" t="s">
        <v>60</v>
      </c>
      <c r="C763" s="2" t="s">
        <v>7665</v>
      </c>
      <c r="D763" s="2" t="s">
        <v>7666</v>
      </c>
      <c r="E763" s="2" t="s">
        <v>7667</v>
      </c>
      <c r="G763" s="3" t="s">
        <v>63</v>
      </c>
      <c r="I763" s="3" t="s">
        <v>63</v>
      </c>
      <c r="J763" s="3" t="s">
        <v>63</v>
      </c>
      <c r="K763" s="3" t="s">
        <v>64</v>
      </c>
      <c r="L763" s="2" t="s">
        <v>7668</v>
      </c>
      <c r="M763" s="2" t="s">
        <v>7669</v>
      </c>
      <c r="N763" s="3" t="s">
        <v>455</v>
      </c>
      <c r="P763" s="3" t="s">
        <v>66</v>
      </c>
      <c r="Q763" s="2" t="s">
        <v>7670</v>
      </c>
      <c r="R763" s="3" t="s">
        <v>67</v>
      </c>
      <c r="S763" s="4">
        <v>11</v>
      </c>
      <c r="T763" s="4">
        <v>11</v>
      </c>
      <c r="U763" s="5" t="s">
        <v>7671</v>
      </c>
      <c r="V763" s="5" t="s">
        <v>7671</v>
      </c>
      <c r="W763" s="5" t="s">
        <v>69</v>
      </c>
      <c r="X763" s="5" t="s">
        <v>69</v>
      </c>
      <c r="Y763" s="4">
        <v>364</v>
      </c>
      <c r="Z763" s="4">
        <v>20</v>
      </c>
      <c r="AA763" s="4">
        <v>20</v>
      </c>
      <c r="AB763" s="4">
        <v>1</v>
      </c>
      <c r="AC763" s="4">
        <v>1</v>
      </c>
      <c r="AD763" s="4">
        <v>113</v>
      </c>
      <c r="AE763" s="4">
        <v>113</v>
      </c>
      <c r="AF763" s="4">
        <v>0</v>
      </c>
      <c r="AG763" s="4">
        <v>0</v>
      </c>
      <c r="AH763" s="4">
        <v>104</v>
      </c>
      <c r="AI763" s="4">
        <v>104</v>
      </c>
      <c r="AJ763" s="4">
        <v>14</v>
      </c>
      <c r="AK763" s="4">
        <v>14</v>
      </c>
      <c r="AL763" s="4">
        <v>57</v>
      </c>
      <c r="AM763" s="4">
        <v>57</v>
      </c>
      <c r="AN763" s="4">
        <v>0</v>
      </c>
      <c r="AO763" s="4">
        <v>0</v>
      </c>
      <c r="AP763" s="4">
        <v>15</v>
      </c>
      <c r="AQ763" s="4">
        <v>15</v>
      </c>
      <c r="AR763" s="3" t="s">
        <v>63</v>
      </c>
      <c r="AS763" s="3" t="s">
        <v>63</v>
      </c>
      <c r="AT763" s="3" t="s">
        <v>62</v>
      </c>
      <c r="AU763" s="6" t="str">
        <f>HYPERLINK("http://catalog.hathitrust.org/Record/000365129","HathiTrust Record")</f>
        <v>HathiTrust Record</v>
      </c>
      <c r="AV763" s="6" t="str">
        <f>HYPERLINK("http://mcgill.on.worldcat.org/oclc/10483923","Catalog Record")</f>
        <v>Catalog Record</v>
      </c>
      <c r="AW763" s="6" t="str">
        <f>HYPERLINK("http://www.worldcat.org/oclc/10483923","WorldCat Record")</f>
        <v>WorldCat Record</v>
      </c>
      <c r="AX763" s="3" t="s">
        <v>7672</v>
      </c>
      <c r="AY763" s="3" t="s">
        <v>7673</v>
      </c>
      <c r="AZ763" s="3" t="s">
        <v>7674</v>
      </c>
      <c r="BA763" s="3" t="s">
        <v>7674</v>
      </c>
      <c r="BB763" s="3" t="s">
        <v>7675</v>
      </c>
      <c r="BC763" s="3" t="s">
        <v>82</v>
      </c>
      <c r="BD763" s="3" t="s">
        <v>70</v>
      </c>
      <c r="BE763" s="3" t="s">
        <v>7676</v>
      </c>
      <c r="BF763" s="3" t="s">
        <v>7675</v>
      </c>
      <c r="BG763" s="3" t="s">
        <v>7677</v>
      </c>
    </row>
    <row r="764" spans="1:59" ht="60" x14ac:dyDescent="0.25">
      <c r="A764" s="2" t="s">
        <v>59</v>
      </c>
      <c r="B764" s="2" t="s">
        <v>60</v>
      </c>
      <c r="C764" s="2" t="s">
        <v>7678</v>
      </c>
      <c r="D764" s="2" t="s">
        <v>7679</v>
      </c>
      <c r="E764" s="2" t="s">
        <v>7680</v>
      </c>
      <c r="G764" s="3" t="s">
        <v>63</v>
      </c>
      <c r="I764" s="3" t="s">
        <v>63</v>
      </c>
      <c r="J764" s="3" t="s">
        <v>63</v>
      </c>
      <c r="K764" s="3" t="s">
        <v>64</v>
      </c>
      <c r="L764" s="2" t="s">
        <v>7681</v>
      </c>
      <c r="M764" s="2" t="s">
        <v>7682</v>
      </c>
      <c r="N764" s="3" t="s">
        <v>143</v>
      </c>
      <c r="P764" s="3" t="s">
        <v>90</v>
      </c>
      <c r="R764" s="3" t="s">
        <v>67</v>
      </c>
      <c r="S764" s="4">
        <v>0</v>
      </c>
      <c r="T764" s="4">
        <v>0</v>
      </c>
      <c r="W764" s="5" t="s">
        <v>69</v>
      </c>
      <c r="X764" s="5" t="s">
        <v>69</v>
      </c>
      <c r="Y764" s="4">
        <v>20</v>
      </c>
      <c r="Z764" s="4">
        <v>4</v>
      </c>
      <c r="AA764" s="4">
        <v>4</v>
      </c>
      <c r="AB764" s="4">
        <v>1</v>
      </c>
      <c r="AC764" s="4">
        <v>1</v>
      </c>
      <c r="AD764" s="4">
        <v>14</v>
      </c>
      <c r="AE764" s="4">
        <v>14</v>
      </c>
      <c r="AF764" s="4">
        <v>0</v>
      </c>
      <c r="AG764" s="4">
        <v>0</v>
      </c>
      <c r="AH764" s="4">
        <v>14</v>
      </c>
      <c r="AI764" s="4">
        <v>14</v>
      </c>
      <c r="AJ764" s="4">
        <v>2</v>
      </c>
      <c r="AK764" s="4">
        <v>2</v>
      </c>
      <c r="AL764" s="4">
        <v>11</v>
      </c>
      <c r="AM764" s="4">
        <v>11</v>
      </c>
      <c r="AN764" s="4">
        <v>0</v>
      </c>
      <c r="AO764" s="4">
        <v>0</v>
      </c>
      <c r="AP764" s="4">
        <v>2</v>
      </c>
      <c r="AQ764" s="4">
        <v>2</v>
      </c>
      <c r="AR764" s="3" t="s">
        <v>63</v>
      </c>
      <c r="AS764" s="3" t="s">
        <v>63</v>
      </c>
      <c r="AT764" s="3" t="s">
        <v>63</v>
      </c>
      <c r="AV764" s="6" t="str">
        <f>HYPERLINK("http://mcgill.on.worldcat.org/oclc/871240938","Catalog Record")</f>
        <v>Catalog Record</v>
      </c>
      <c r="AW764" s="6" t="str">
        <f>HYPERLINK("http://www.worldcat.org/oclc/871240938","WorldCat Record")</f>
        <v>WorldCat Record</v>
      </c>
      <c r="AX764" s="3" t="s">
        <v>7683</v>
      </c>
      <c r="AY764" s="3" t="s">
        <v>7684</v>
      </c>
      <c r="AZ764" s="3" t="s">
        <v>7685</v>
      </c>
      <c r="BA764" s="3" t="s">
        <v>7685</v>
      </c>
      <c r="BB764" s="3" t="s">
        <v>7686</v>
      </c>
      <c r="BC764" s="3" t="s">
        <v>82</v>
      </c>
      <c r="BD764" s="3" t="s">
        <v>70</v>
      </c>
      <c r="BF764" s="3" t="s">
        <v>7686</v>
      </c>
      <c r="BG764" s="3" t="s">
        <v>7687</v>
      </c>
    </row>
    <row r="765" spans="1:59" ht="60" x14ac:dyDescent="0.25">
      <c r="A765" s="2" t="s">
        <v>59</v>
      </c>
      <c r="B765" s="2" t="s">
        <v>60</v>
      </c>
      <c r="C765" s="2" t="s">
        <v>7688</v>
      </c>
      <c r="D765" s="2" t="s">
        <v>7689</v>
      </c>
      <c r="E765" s="2" t="s">
        <v>7690</v>
      </c>
      <c r="G765" s="3" t="s">
        <v>63</v>
      </c>
      <c r="I765" s="3" t="s">
        <v>63</v>
      </c>
      <c r="J765" s="3" t="s">
        <v>63</v>
      </c>
      <c r="K765" s="3" t="s">
        <v>64</v>
      </c>
      <c r="L765" s="2" t="s">
        <v>7691</v>
      </c>
      <c r="M765" s="2" t="s">
        <v>7692</v>
      </c>
      <c r="N765" s="3" t="s">
        <v>629</v>
      </c>
      <c r="P765" s="3" t="s">
        <v>66</v>
      </c>
      <c r="Q765" s="2" t="s">
        <v>4765</v>
      </c>
      <c r="R765" s="3" t="s">
        <v>67</v>
      </c>
      <c r="S765" s="4">
        <v>0</v>
      </c>
      <c r="T765" s="4">
        <v>0</v>
      </c>
      <c r="W765" s="5" t="s">
        <v>69</v>
      </c>
      <c r="X765" s="5" t="s">
        <v>69</v>
      </c>
      <c r="Y765" s="4">
        <v>161</v>
      </c>
      <c r="Z765" s="4">
        <v>12</v>
      </c>
      <c r="AA765" s="4">
        <v>103</v>
      </c>
      <c r="AB765" s="4">
        <v>1</v>
      </c>
      <c r="AC765" s="4">
        <v>20</v>
      </c>
      <c r="AD765" s="4">
        <v>69</v>
      </c>
      <c r="AE765" s="4">
        <v>138</v>
      </c>
      <c r="AF765" s="4">
        <v>0</v>
      </c>
      <c r="AG765" s="4">
        <v>8</v>
      </c>
      <c r="AH765" s="4">
        <v>65</v>
      </c>
      <c r="AI765" s="4">
        <v>98</v>
      </c>
      <c r="AJ765" s="4">
        <v>9</v>
      </c>
      <c r="AK765" s="4">
        <v>24</v>
      </c>
      <c r="AL765" s="4">
        <v>45</v>
      </c>
      <c r="AM765" s="4">
        <v>56</v>
      </c>
      <c r="AN765" s="4">
        <v>0</v>
      </c>
      <c r="AO765" s="4">
        <v>0</v>
      </c>
      <c r="AP765" s="4">
        <v>9</v>
      </c>
      <c r="AQ765" s="4">
        <v>47</v>
      </c>
      <c r="AR765" s="3" t="s">
        <v>63</v>
      </c>
      <c r="AS765" s="3" t="s">
        <v>63</v>
      </c>
      <c r="AT765" s="3" t="s">
        <v>62</v>
      </c>
      <c r="AU765" s="6" t="str">
        <f>HYPERLINK("http://catalog.hathitrust.org/Record/011810518","HathiTrust Record")</f>
        <v>HathiTrust Record</v>
      </c>
      <c r="AV765" s="6" t="str">
        <f>HYPERLINK("http://mcgill.on.worldcat.org/oclc/689995636","Catalog Record")</f>
        <v>Catalog Record</v>
      </c>
      <c r="AW765" s="6" t="str">
        <f>HYPERLINK("http://www.worldcat.org/oclc/689995636","WorldCat Record")</f>
        <v>WorldCat Record</v>
      </c>
      <c r="AX765" s="3" t="s">
        <v>7693</v>
      </c>
      <c r="AY765" s="3" t="s">
        <v>7694</v>
      </c>
      <c r="AZ765" s="3" t="s">
        <v>7695</v>
      </c>
      <c r="BA765" s="3" t="s">
        <v>7695</v>
      </c>
      <c r="BB765" s="3" t="s">
        <v>7696</v>
      </c>
      <c r="BC765" s="3" t="s">
        <v>82</v>
      </c>
      <c r="BD765" s="3" t="s">
        <v>70</v>
      </c>
      <c r="BE765" s="3" t="s">
        <v>7697</v>
      </c>
      <c r="BF765" s="3" t="s">
        <v>7696</v>
      </c>
      <c r="BG765" s="3" t="s">
        <v>7698</v>
      </c>
    </row>
    <row r="766" spans="1:59" ht="60" x14ac:dyDescent="0.25">
      <c r="A766" s="2" t="s">
        <v>59</v>
      </c>
      <c r="B766" s="2" t="s">
        <v>60</v>
      </c>
      <c r="C766" s="2" t="s">
        <v>7699</v>
      </c>
      <c r="D766" s="2" t="s">
        <v>7700</v>
      </c>
      <c r="E766" s="2" t="s">
        <v>7701</v>
      </c>
      <c r="G766" s="3" t="s">
        <v>63</v>
      </c>
      <c r="I766" s="3" t="s">
        <v>62</v>
      </c>
      <c r="J766" s="3" t="s">
        <v>63</v>
      </c>
      <c r="K766" s="3" t="s">
        <v>64</v>
      </c>
      <c r="L766" s="2" t="s">
        <v>7702</v>
      </c>
      <c r="M766" s="2" t="s">
        <v>7703</v>
      </c>
      <c r="N766" s="3" t="s">
        <v>2393</v>
      </c>
      <c r="P766" s="3" t="s">
        <v>66</v>
      </c>
      <c r="Q766" s="2" t="s">
        <v>7704</v>
      </c>
      <c r="R766" s="3" t="s">
        <v>67</v>
      </c>
      <c r="S766" s="4">
        <v>3</v>
      </c>
      <c r="T766" s="4">
        <v>3</v>
      </c>
      <c r="U766" s="5" t="s">
        <v>389</v>
      </c>
      <c r="V766" s="5" t="s">
        <v>389</v>
      </c>
      <c r="W766" s="5" t="s">
        <v>69</v>
      </c>
      <c r="X766" s="5" t="s">
        <v>69</v>
      </c>
      <c r="Y766" s="4">
        <v>422</v>
      </c>
      <c r="Z766" s="4">
        <v>28</v>
      </c>
      <c r="AA766" s="4">
        <v>43</v>
      </c>
      <c r="AB766" s="4">
        <v>1</v>
      </c>
      <c r="AC766" s="4">
        <v>3</v>
      </c>
      <c r="AD766" s="4">
        <v>109</v>
      </c>
      <c r="AE766" s="4">
        <v>120</v>
      </c>
      <c r="AF766" s="4">
        <v>0</v>
      </c>
      <c r="AG766" s="4">
        <v>0</v>
      </c>
      <c r="AH766" s="4">
        <v>96</v>
      </c>
      <c r="AI766" s="4">
        <v>100</v>
      </c>
      <c r="AJ766" s="4">
        <v>20</v>
      </c>
      <c r="AK766" s="4">
        <v>22</v>
      </c>
      <c r="AL766" s="4">
        <v>50</v>
      </c>
      <c r="AM766" s="4">
        <v>52</v>
      </c>
      <c r="AN766" s="4">
        <v>0</v>
      </c>
      <c r="AO766" s="4">
        <v>0</v>
      </c>
      <c r="AP766" s="4">
        <v>23</v>
      </c>
      <c r="AQ766" s="4">
        <v>29</v>
      </c>
      <c r="AR766" s="3" t="s">
        <v>63</v>
      </c>
      <c r="AS766" s="3" t="s">
        <v>63</v>
      </c>
      <c r="AT766" s="3" t="s">
        <v>62</v>
      </c>
      <c r="AU766" s="6" t="str">
        <f>HYPERLINK("http://catalog.hathitrust.org/Record/001061560","HathiTrust Record")</f>
        <v>HathiTrust Record</v>
      </c>
      <c r="AV766" s="6" t="str">
        <f>HYPERLINK("http://mcgill.on.worldcat.org/oclc/1012061","Catalog Record")</f>
        <v>Catalog Record</v>
      </c>
      <c r="AW766" s="6" t="str">
        <f>HYPERLINK("http://www.worldcat.org/oclc/1012061","WorldCat Record")</f>
        <v>WorldCat Record</v>
      </c>
      <c r="AX766" s="3" t="s">
        <v>7705</v>
      </c>
      <c r="AY766" s="3" t="s">
        <v>7706</v>
      </c>
      <c r="AZ766" s="3" t="s">
        <v>7707</v>
      </c>
      <c r="BA766" s="3" t="s">
        <v>7707</v>
      </c>
      <c r="BB766" s="3" t="s">
        <v>7708</v>
      </c>
      <c r="BC766" s="3" t="s">
        <v>82</v>
      </c>
      <c r="BD766" s="3" t="s">
        <v>70</v>
      </c>
      <c r="BE766" s="3" t="s">
        <v>7709</v>
      </c>
      <c r="BF766" s="3" t="s">
        <v>7708</v>
      </c>
      <c r="BG766" s="3" t="s">
        <v>7710</v>
      </c>
    </row>
    <row r="767" spans="1:59" ht="60" x14ac:dyDescent="0.25">
      <c r="A767" s="2" t="s">
        <v>59</v>
      </c>
      <c r="B767" s="2" t="s">
        <v>60</v>
      </c>
      <c r="C767" s="2" t="s">
        <v>7699</v>
      </c>
      <c r="D767" s="2" t="s">
        <v>7700</v>
      </c>
      <c r="E767" s="2" t="s">
        <v>7701</v>
      </c>
      <c r="G767" s="3" t="s">
        <v>63</v>
      </c>
      <c r="I767" s="3" t="s">
        <v>62</v>
      </c>
      <c r="J767" s="3" t="s">
        <v>63</v>
      </c>
      <c r="K767" s="3" t="s">
        <v>64</v>
      </c>
      <c r="L767" s="2" t="s">
        <v>7702</v>
      </c>
      <c r="M767" s="2" t="s">
        <v>7703</v>
      </c>
      <c r="N767" s="3" t="s">
        <v>2393</v>
      </c>
      <c r="P767" s="3" t="s">
        <v>66</v>
      </c>
      <c r="Q767" s="2" t="s">
        <v>7704</v>
      </c>
      <c r="R767" s="3" t="s">
        <v>67</v>
      </c>
      <c r="S767" s="4">
        <v>0</v>
      </c>
      <c r="T767" s="4">
        <v>3</v>
      </c>
      <c r="V767" s="5" t="s">
        <v>389</v>
      </c>
      <c r="W767" s="5" t="s">
        <v>69</v>
      </c>
      <c r="X767" s="5" t="s">
        <v>69</v>
      </c>
      <c r="Y767" s="4">
        <v>422</v>
      </c>
      <c r="Z767" s="4">
        <v>28</v>
      </c>
      <c r="AA767" s="4">
        <v>43</v>
      </c>
      <c r="AB767" s="4">
        <v>1</v>
      </c>
      <c r="AC767" s="4">
        <v>3</v>
      </c>
      <c r="AD767" s="4">
        <v>109</v>
      </c>
      <c r="AE767" s="4">
        <v>120</v>
      </c>
      <c r="AF767" s="4">
        <v>0</v>
      </c>
      <c r="AG767" s="4">
        <v>0</v>
      </c>
      <c r="AH767" s="4">
        <v>96</v>
      </c>
      <c r="AI767" s="4">
        <v>100</v>
      </c>
      <c r="AJ767" s="4">
        <v>20</v>
      </c>
      <c r="AK767" s="4">
        <v>22</v>
      </c>
      <c r="AL767" s="4">
        <v>50</v>
      </c>
      <c r="AM767" s="4">
        <v>52</v>
      </c>
      <c r="AN767" s="4">
        <v>0</v>
      </c>
      <c r="AO767" s="4">
        <v>0</v>
      </c>
      <c r="AP767" s="4">
        <v>23</v>
      </c>
      <c r="AQ767" s="4">
        <v>29</v>
      </c>
      <c r="AR767" s="3" t="s">
        <v>63</v>
      </c>
      <c r="AS767" s="3" t="s">
        <v>63</v>
      </c>
      <c r="AT767" s="3" t="s">
        <v>62</v>
      </c>
      <c r="AU767" s="6" t="str">
        <f>HYPERLINK("http://catalog.hathitrust.org/Record/001061560","HathiTrust Record")</f>
        <v>HathiTrust Record</v>
      </c>
      <c r="AV767" s="6" t="str">
        <f>HYPERLINK("http://mcgill.on.worldcat.org/oclc/1012061","Catalog Record")</f>
        <v>Catalog Record</v>
      </c>
      <c r="AW767" s="6" t="str">
        <f>HYPERLINK("http://www.worldcat.org/oclc/1012061","WorldCat Record")</f>
        <v>WorldCat Record</v>
      </c>
      <c r="AX767" s="3" t="s">
        <v>7705</v>
      </c>
      <c r="AY767" s="3" t="s">
        <v>7706</v>
      </c>
      <c r="AZ767" s="3" t="s">
        <v>7707</v>
      </c>
      <c r="BA767" s="3" t="s">
        <v>7707</v>
      </c>
      <c r="BB767" s="3" t="s">
        <v>7711</v>
      </c>
      <c r="BC767" s="3" t="s">
        <v>82</v>
      </c>
      <c r="BD767" s="3" t="s">
        <v>70</v>
      </c>
      <c r="BE767" s="3" t="s">
        <v>7709</v>
      </c>
      <c r="BF767" s="3" t="s">
        <v>7711</v>
      </c>
      <c r="BG767" s="3" t="s">
        <v>7712</v>
      </c>
    </row>
    <row r="768" spans="1:59" ht="60" x14ac:dyDescent="0.25">
      <c r="A768" s="2" t="s">
        <v>59</v>
      </c>
      <c r="B768" s="2" t="s">
        <v>60</v>
      </c>
      <c r="C768" s="2" t="s">
        <v>7713</v>
      </c>
      <c r="D768" s="2" t="s">
        <v>7714</v>
      </c>
      <c r="E768" s="2" t="s">
        <v>7715</v>
      </c>
      <c r="G768" s="3" t="s">
        <v>63</v>
      </c>
      <c r="I768" s="3" t="s">
        <v>63</v>
      </c>
      <c r="J768" s="3" t="s">
        <v>63</v>
      </c>
      <c r="K768" s="3" t="s">
        <v>64</v>
      </c>
      <c r="L768" s="2" t="s">
        <v>7716</v>
      </c>
      <c r="M768" s="2" t="s">
        <v>7717</v>
      </c>
      <c r="N768" s="3" t="s">
        <v>468</v>
      </c>
      <c r="P768" s="3" t="s">
        <v>548</v>
      </c>
      <c r="Q768" s="2" t="s">
        <v>6949</v>
      </c>
      <c r="R768" s="3" t="s">
        <v>67</v>
      </c>
      <c r="S768" s="4">
        <v>7</v>
      </c>
      <c r="T768" s="4">
        <v>7</v>
      </c>
      <c r="U768" s="5" t="s">
        <v>389</v>
      </c>
      <c r="V768" s="5" t="s">
        <v>389</v>
      </c>
      <c r="W768" s="5" t="s">
        <v>69</v>
      </c>
      <c r="X768" s="5" t="s">
        <v>69</v>
      </c>
      <c r="Y768" s="4">
        <v>23</v>
      </c>
      <c r="Z768" s="4">
        <v>4</v>
      </c>
      <c r="AA768" s="4">
        <v>13</v>
      </c>
      <c r="AB768" s="4">
        <v>2</v>
      </c>
      <c r="AC768" s="4">
        <v>8</v>
      </c>
      <c r="AD768" s="4">
        <v>11</v>
      </c>
      <c r="AE768" s="4">
        <v>17</v>
      </c>
      <c r="AF768" s="4">
        <v>0</v>
      </c>
      <c r="AG768" s="4">
        <v>4</v>
      </c>
      <c r="AH768" s="4">
        <v>11</v>
      </c>
      <c r="AI768" s="4">
        <v>14</v>
      </c>
      <c r="AJ768" s="4">
        <v>2</v>
      </c>
      <c r="AK768" s="4">
        <v>8</v>
      </c>
      <c r="AL768" s="4">
        <v>7</v>
      </c>
      <c r="AM768" s="4">
        <v>8</v>
      </c>
      <c r="AN768" s="4">
        <v>5</v>
      </c>
      <c r="AO768" s="4">
        <v>5</v>
      </c>
      <c r="AP768" s="4">
        <v>2</v>
      </c>
      <c r="AQ768" s="4">
        <v>7</v>
      </c>
      <c r="AR768" s="3" t="s">
        <v>63</v>
      </c>
      <c r="AS768" s="3" t="s">
        <v>63</v>
      </c>
      <c r="AT768" s="3" t="s">
        <v>62</v>
      </c>
      <c r="AU768" s="6" t="str">
        <f>HYPERLINK("http://catalog.hathitrust.org/Record/101924009","HathiTrust Record")</f>
        <v>HathiTrust Record</v>
      </c>
      <c r="AV768" s="6" t="str">
        <f>HYPERLINK("http://mcgill.on.worldcat.org/oclc/4486557","Catalog Record")</f>
        <v>Catalog Record</v>
      </c>
      <c r="AW768" s="6" t="str">
        <f>HYPERLINK("http://www.worldcat.org/oclc/4486557","WorldCat Record")</f>
        <v>WorldCat Record</v>
      </c>
      <c r="AX768" s="3" t="s">
        <v>7718</v>
      </c>
      <c r="AY768" s="3" t="s">
        <v>7719</v>
      </c>
      <c r="AZ768" s="3" t="s">
        <v>7720</v>
      </c>
      <c r="BA768" s="3" t="s">
        <v>7720</v>
      </c>
      <c r="BB768" s="3" t="s">
        <v>7721</v>
      </c>
      <c r="BC768" s="3" t="s">
        <v>82</v>
      </c>
      <c r="BD768" s="3" t="s">
        <v>70</v>
      </c>
      <c r="BF768" s="3" t="s">
        <v>7721</v>
      </c>
      <c r="BG768" s="3" t="s">
        <v>7722</v>
      </c>
    </row>
    <row r="769" spans="1:59" ht="60" x14ac:dyDescent="0.25">
      <c r="A769" s="2" t="s">
        <v>59</v>
      </c>
      <c r="B769" s="2" t="s">
        <v>60</v>
      </c>
      <c r="C769" s="2" t="s">
        <v>7723</v>
      </c>
      <c r="D769" s="2" t="s">
        <v>7724</v>
      </c>
      <c r="E769" s="2" t="s">
        <v>7725</v>
      </c>
      <c r="G769" s="3" t="s">
        <v>63</v>
      </c>
      <c r="I769" s="3" t="s">
        <v>63</v>
      </c>
      <c r="J769" s="3" t="s">
        <v>62</v>
      </c>
      <c r="K769" s="3" t="s">
        <v>64</v>
      </c>
      <c r="L769" s="2" t="s">
        <v>7726</v>
      </c>
      <c r="M769" s="2" t="s">
        <v>7727</v>
      </c>
      <c r="N769" s="3" t="s">
        <v>234</v>
      </c>
      <c r="P769" s="3" t="s">
        <v>66</v>
      </c>
      <c r="Q769" s="2" t="s">
        <v>7728</v>
      </c>
      <c r="R769" s="3" t="s">
        <v>67</v>
      </c>
      <c r="S769" s="4">
        <v>16</v>
      </c>
      <c r="T769" s="4">
        <v>16</v>
      </c>
      <c r="U769" s="5" t="s">
        <v>389</v>
      </c>
      <c r="V769" s="5" t="s">
        <v>389</v>
      </c>
      <c r="W769" s="5" t="s">
        <v>69</v>
      </c>
      <c r="X769" s="5" t="s">
        <v>69</v>
      </c>
      <c r="Y769" s="4">
        <v>60</v>
      </c>
      <c r="Z769" s="4">
        <v>10</v>
      </c>
      <c r="AA769" s="4">
        <v>54</v>
      </c>
      <c r="AB769" s="4">
        <v>1</v>
      </c>
      <c r="AC769" s="4">
        <v>9</v>
      </c>
      <c r="AD769" s="4">
        <v>29</v>
      </c>
      <c r="AE769" s="4">
        <v>141</v>
      </c>
      <c r="AF769" s="4">
        <v>0</v>
      </c>
      <c r="AG769" s="4">
        <v>6</v>
      </c>
      <c r="AH769" s="4">
        <v>27</v>
      </c>
      <c r="AI769" s="4">
        <v>111</v>
      </c>
      <c r="AJ769" s="4">
        <v>6</v>
      </c>
      <c r="AK769" s="4">
        <v>24</v>
      </c>
      <c r="AL769" s="4">
        <v>14</v>
      </c>
      <c r="AM769" s="4">
        <v>61</v>
      </c>
      <c r="AN769" s="4">
        <v>0</v>
      </c>
      <c r="AO769" s="4">
        <v>0</v>
      </c>
      <c r="AP769" s="4">
        <v>6</v>
      </c>
      <c r="AQ769" s="4">
        <v>36</v>
      </c>
      <c r="AR769" s="3" t="s">
        <v>63</v>
      </c>
      <c r="AS769" s="3" t="s">
        <v>63</v>
      </c>
      <c r="AT769" s="3" t="s">
        <v>63</v>
      </c>
      <c r="AV769" s="6" t="str">
        <f>HYPERLINK("http://mcgill.on.worldcat.org/oclc/72763661","Catalog Record")</f>
        <v>Catalog Record</v>
      </c>
      <c r="AW769" s="6" t="str">
        <f>HYPERLINK("http://www.worldcat.org/oclc/72763661","WorldCat Record")</f>
        <v>WorldCat Record</v>
      </c>
      <c r="AX769" s="3" t="s">
        <v>7729</v>
      </c>
      <c r="AY769" s="3" t="s">
        <v>7730</v>
      </c>
      <c r="AZ769" s="3" t="s">
        <v>7731</v>
      </c>
      <c r="BA769" s="3" t="s">
        <v>7731</v>
      </c>
      <c r="BB769" s="3" t="s">
        <v>7732</v>
      </c>
      <c r="BC769" s="3" t="s">
        <v>82</v>
      </c>
      <c r="BD769" s="3" t="s">
        <v>70</v>
      </c>
      <c r="BE769" s="3" t="s">
        <v>7733</v>
      </c>
      <c r="BF769" s="3" t="s">
        <v>7732</v>
      </c>
      <c r="BG769" s="3" t="s">
        <v>7734</v>
      </c>
    </row>
    <row r="770" spans="1:59" ht="60" x14ac:dyDescent="0.25">
      <c r="A770" s="2" t="s">
        <v>59</v>
      </c>
      <c r="B770" s="2" t="s">
        <v>60</v>
      </c>
      <c r="C770" s="2" t="s">
        <v>7735</v>
      </c>
      <c r="D770" s="2" t="s">
        <v>7736</v>
      </c>
      <c r="E770" s="2" t="s">
        <v>7737</v>
      </c>
      <c r="G770" s="3" t="s">
        <v>63</v>
      </c>
      <c r="I770" s="3" t="s">
        <v>63</v>
      </c>
      <c r="J770" s="3" t="s">
        <v>63</v>
      </c>
      <c r="K770" s="3" t="s">
        <v>64</v>
      </c>
      <c r="L770" s="2" t="s">
        <v>7738</v>
      </c>
      <c r="M770" s="2" t="s">
        <v>7739</v>
      </c>
      <c r="N770" s="3" t="s">
        <v>106</v>
      </c>
      <c r="P770" s="3" t="s">
        <v>66</v>
      </c>
      <c r="R770" s="3" t="s">
        <v>67</v>
      </c>
      <c r="S770" s="4">
        <v>15</v>
      </c>
      <c r="T770" s="4">
        <v>15</v>
      </c>
      <c r="U770" s="5" t="s">
        <v>7740</v>
      </c>
      <c r="V770" s="5" t="s">
        <v>7740</v>
      </c>
      <c r="W770" s="5" t="s">
        <v>69</v>
      </c>
      <c r="X770" s="5" t="s">
        <v>69</v>
      </c>
      <c r="Y770" s="4">
        <v>195</v>
      </c>
      <c r="Z770" s="4">
        <v>12</v>
      </c>
      <c r="AA770" s="4">
        <v>13</v>
      </c>
      <c r="AB770" s="4">
        <v>3</v>
      </c>
      <c r="AC770" s="4">
        <v>3</v>
      </c>
      <c r="AD770" s="4">
        <v>58</v>
      </c>
      <c r="AE770" s="4">
        <v>58</v>
      </c>
      <c r="AF770" s="4">
        <v>1</v>
      </c>
      <c r="AG770" s="4">
        <v>1</v>
      </c>
      <c r="AH770" s="4">
        <v>52</v>
      </c>
      <c r="AI770" s="4">
        <v>52</v>
      </c>
      <c r="AJ770" s="4">
        <v>9</v>
      </c>
      <c r="AK770" s="4">
        <v>9</v>
      </c>
      <c r="AL770" s="4">
        <v>36</v>
      </c>
      <c r="AM770" s="4">
        <v>36</v>
      </c>
      <c r="AN770" s="4">
        <v>0</v>
      </c>
      <c r="AO770" s="4">
        <v>0</v>
      </c>
      <c r="AP770" s="4">
        <v>9</v>
      </c>
      <c r="AQ770" s="4">
        <v>9</v>
      </c>
      <c r="AR770" s="3" t="s">
        <v>63</v>
      </c>
      <c r="AS770" s="3" t="s">
        <v>63</v>
      </c>
      <c r="AT770" s="3" t="s">
        <v>63</v>
      </c>
      <c r="AV770" s="6" t="str">
        <f>HYPERLINK("http://mcgill.on.worldcat.org/oclc/950519462","Catalog Record")</f>
        <v>Catalog Record</v>
      </c>
      <c r="AW770" s="6" t="str">
        <f>HYPERLINK("http://www.worldcat.org/oclc/950519462","WorldCat Record")</f>
        <v>WorldCat Record</v>
      </c>
      <c r="AX770" s="3" t="s">
        <v>7741</v>
      </c>
      <c r="AY770" s="3" t="s">
        <v>7742</v>
      </c>
      <c r="AZ770" s="3" t="s">
        <v>7743</v>
      </c>
      <c r="BA770" s="3" t="s">
        <v>7743</v>
      </c>
      <c r="BB770" s="3" t="s">
        <v>7744</v>
      </c>
      <c r="BC770" s="3" t="s">
        <v>82</v>
      </c>
      <c r="BD770" s="3" t="s">
        <v>538</v>
      </c>
      <c r="BE770" s="3" t="s">
        <v>7745</v>
      </c>
      <c r="BF770" s="3" t="s">
        <v>7744</v>
      </c>
      <c r="BG770" s="3" t="s">
        <v>7746</v>
      </c>
    </row>
    <row r="771" spans="1:59" ht="75" x14ac:dyDescent="0.25">
      <c r="A771" s="2" t="s">
        <v>59</v>
      </c>
      <c r="B771" s="2" t="s">
        <v>60</v>
      </c>
      <c r="C771" s="2" t="s">
        <v>7747</v>
      </c>
      <c r="D771" s="2" t="s">
        <v>7748</v>
      </c>
      <c r="E771" s="2" t="s">
        <v>7749</v>
      </c>
      <c r="G771" s="3" t="s">
        <v>63</v>
      </c>
      <c r="I771" s="3" t="s">
        <v>62</v>
      </c>
      <c r="J771" s="3" t="s">
        <v>63</v>
      </c>
      <c r="K771" s="3" t="s">
        <v>64</v>
      </c>
      <c r="L771" s="2" t="s">
        <v>7750</v>
      </c>
      <c r="M771" s="2" t="s">
        <v>7751</v>
      </c>
      <c r="N771" s="3" t="s">
        <v>130</v>
      </c>
      <c r="P771" s="3" t="s">
        <v>66</v>
      </c>
      <c r="Q771" s="2" t="s">
        <v>4922</v>
      </c>
      <c r="R771" s="3" t="s">
        <v>67</v>
      </c>
      <c r="S771" s="4">
        <v>2</v>
      </c>
      <c r="T771" s="4">
        <v>2</v>
      </c>
      <c r="U771" s="5" t="s">
        <v>7752</v>
      </c>
      <c r="V771" s="5" t="s">
        <v>7752</v>
      </c>
      <c r="W771" s="5" t="s">
        <v>69</v>
      </c>
      <c r="X771" s="5" t="s">
        <v>69</v>
      </c>
      <c r="Y771" s="4">
        <v>77</v>
      </c>
      <c r="Z771" s="4">
        <v>9</v>
      </c>
      <c r="AA771" s="4">
        <v>88</v>
      </c>
      <c r="AB771" s="4">
        <v>1</v>
      </c>
      <c r="AC771" s="4">
        <v>17</v>
      </c>
      <c r="AD771" s="4">
        <v>40</v>
      </c>
      <c r="AE771" s="4">
        <v>125</v>
      </c>
      <c r="AF771" s="4">
        <v>0</v>
      </c>
      <c r="AG771" s="4">
        <v>8</v>
      </c>
      <c r="AH771" s="4">
        <v>38</v>
      </c>
      <c r="AI771" s="4">
        <v>87</v>
      </c>
      <c r="AJ771" s="4">
        <v>6</v>
      </c>
      <c r="AK771" s="4">
        <v>22</v>
      </c>
      <c r="AL771" s="4">
        <v>28</v>
      </c>
      <c r="AM771" s="4">
        <v>51</v>
      </c>
      <c r="AN771" s="4">
        <v>0</v>
      </c>
      <c r="AO771" s="4">
        <v>0</v>
      </c>
      <c r="AP771" s="4">
        <v>6</v>
      </c>
      <c r="AQ771" s="4">
        <v>44</v>
      </c>
      <c r="AR771" s="3" t="s">
        <v>63</v>
      </c>
      <c r="AS771" s="3" t="s">
        <v>63</v>
      </c>
      <c r="AT771" s="3" t="s">
        <v>63</v>
      </c>
      <c r="AV771" s="6" t="str">
        <f>HYPERLINK("http://mcgill.on.worldcat.org/oclc/851087888","Catalog Record")</f>
        <v>Catalog Record</v>
      </c>
      <c r="AW771" s="6" t="str">
        <f>HYPERLINK("http://www.worldcat.org/oclc/851087888","WorldCat Record")</f>
        <v>WorldCat Record</v>
      </c>
      <c r="AX771" s="3" t="s">
        <v>7753</v>
      </c>
      <c r="AY771" s="3" t="s">
        <v>7754</v>
      </c>
      <c r="AZ771" s="3" t="s">
        <v>7755</v>
      </c>
      <c r="BA771" s="3" t="s">
        <v>7755</v>
      </c>
      <c r="BB771" s="3" t="s">
        <v>7756</v>
      </c>
      <c r="BC771" s="3" t="s">
        <v>82</v>
      </c>
      <c r="BD771" s="3" t="s">
        <v>70</v>
      </c>
      <c r="BE771" s="3" t="s">
        <v>7757</v>
      </c>
      <c r="BF771" s="3" t="s">
        <v>7756</v>
      </c>
      <c r="BG771" s="3" t="s">
        <v>7758</v>
      </c>
    </row>
    <row r="772" spans="1:59" ht="75" x14ac:dyDescent="0.25">
      <c r="A772" s="2" t="s">
        <v>59</v>
      </c>
      <c r="B772" s="2" t="s">
        <v>60</v>
      </c>
      <c r="C772" s="2" t="s">
        <v>7747</v>
      </c>
      <c r="D772" s="2" t="s">
        <v>7748</v>
      </c>
      <c r="E772" s="2" t="s">
        <v>7749</v>
      </c>
      <c r="G772" s="3" t="s">
        <v>63</v>
      </c>
      <c r="I772" s="3" t="s">
        <v>62</v>
      </c>
      <c r="J772" s="3" t="s">
        <v>63</v>
      </c>
      <c r="K772" s="3" t="s">
        <v>64</v>
      </c>
      <c r="L772" s="2" t="s">
        <v>7750</v>
      </c>
      <c r="M772" s="2" t="s">
        <v>7751</v>
      </c>
      <c r="N772" s="3" t="s">
        <v>130</v>
      </c>
      <c r="P772" s="3" t="s">
        <v>66</v>
      </c>
      <c r="Q772" s="2" t="s">
        <v>4922</v>
      </c>
      <c r="R772" s="3" t="s">
        <v>67</v>
      </c>
      <c r="S772" s="4">
        <v>0</v>
      </c>
      <c r="T772" s="4">
        <v>2</v>
      </c>
      <c r="V772" s="5" t="s">
        <v>7752</v>
      </c>
      <c r="W772" s="5" t="s">
        <v>69</v>
      </c>
      <c r="X772" s="5" t="s">
        <v>69</v>
      </c>
      <c r="Y772" s="4">
        <v>77</v>
      </c>
      <c r="Z772" s="4">
        <v>9</v>
      </c>
      <c r="AA772" s="4">
        <v>88</v>
      </c>
      <c r="AB772" s="4">
        <v>1</v>
      </c>
      <c r="AC772" s="4">
        <v>17</v>
      </c>
      <c r="AD772" s="4">
        <v>40</v>
      </c>
      <c r="AE772" s="4">
        <v>125</v>
      </c>
      <c r="AF772" s="4">
        <v>0</v>
      </c>
      <c r="AG772" s="4">
        <v>8</v>
      </c>
      <c r="AH772" s="4">
        <v>38</v>
      </c>
      <c r="AI772" s="4">
        <v>87</v>
      </c>
      <c r="AJ772" s="4">
        <v>6</v>
      </c>
      <c r="AK772" s="4">
        <v>22</v>
      </c>
      <c r="AL772" s="4">
        <v>28</v>
      </c>
      <c r="AM772" s="4">
        <v>51</v>
      </c>
      <c r="AN772" s="4">
        <v>0</v>
      </c>
      <c r="AO772" s="4">
        <v>0</v>
      </c>
      <c r="AP772" s="4">
        <v>6</v>
      </c>
      <c r="AQ772" s="4">
        <v>44</v>
      </c>
      <c r="AR772" s="3" t="s">
        <v>63</v>
      </c>
      <c r="AS772" s="3" t="s">
        <v>63</v>
      </c>
      <c r="AT772" s="3" t="s">
        <v>63</v>
      </c>
      <c r="AV772" s="6" t="str">
        <f>HYPERLINK("http://mcgill.on.worldcat.org/oclc/851087888","Catalog Record")</f>
        <v>Catalog Record</v>
      </c>
      <c r="AW772" s="6" t="str">
        <f>HYPERLINK("http://www.worldcat.org/oclc/851087888","WorldCat Record")</f>
        <v>WorldCat Record</v>
      </c>
      <c r="AX772" s="3" t="s">
        <v>7753</v>
      </c>
      <c r="AY772" s="3" t="s">
        <v>7754</v>
      </c>
      <c r="AZ772" s="3" t="s">
        <v>7755</v>
      </c>
      <c r="BA772" s="3" t="s">
        <v>7755</v>
      </c>
      <c r="BB772" s="3" t="s">
        <v>7759</v>
      </c>
      <c r="BC772" s="3" t="s">
        <v>82</v>
      </c>
      <c r="BD772" s="3" t="s">
        <v>70</v>
      </c>
      <c r="BE772" s="3" t="s">
        <v>7757</v>
      </c>
      <c r="BF772" s="3" t="s">
        <v>7759</v>
      </c>
      <c r="BG772" s="3" t="s">
        <v>7760</v>
      </c>
    </row>
    <row r="773" spans="1:59" ht="60" x14ac:dyDescent="0.25">
      <c r="A773" s="2" t="s">
        <v>59</v>
      </c>
      <c r="B773" s="2" t="s">
        <v>60</v>
      </c>
      <c r="C773" s="2" t="s">
        <v>7761</v>
      </c>
      <c r="D773" s="2" t="s">
        <v>7762</v>
      </c>
      <c r="E773" s="2" t="s">
        <v>7763</v>
      </c>
      <c r="G773" s="3" t="s">
        <v>63</v>
      </c>
      <c r="I773" s="3" t="s">
        <v>63</v>
      </c>
      <c r="J773" s="3" t="s">
        <v>63</v>
      </c>
      <c r="K773" s="3" t="s">
        <v>64</v>
      </c>
      <c r="L773" s="2" t="s">
        <v>7764</v>
      </c>
      <c r="M773" s="2" t="s">
        <v>7765</v>
      </c>
      <c r="N773" s="3" t="s">
        <v>2182</v>
      </c>
      <c r="P773" s="3" t="s">
        <v>66</v>
      </c>
      <c r="Q773" s="2" t="s">
        <v>7766</v>
      </c>
      <c r="R773" s="3" t="s">
        <v>67</v>
      </c>
      <c r="S773" s="4">
        <v>14</v>
      </c>
      <c r="T773" s="4">
        <v>14</v>
      </c>
      <c r="U773" s="5" t="s">
        <v>3628</v>
      </c>
      <c r="V773" s="5" t="s">
        <v>3628</v>
      </c>
      <c r="W773" s="5" t="s">
        <v>69</v>
      </c>
      <c r="X773" s="5" t="s">
        <v>69</v>
      </c>
      <c r="Y773" s="4">
        <v>334</v>
      </c>
      <c r="Z773" s="4">
        <v>22</v>
      </c>
      <c r="AA773" s="4">
        <v>22</v>
      </c>
      <c r="AB773" s="4">
        <v>1</v>
      </c>
      <c r="AC773" s="4">
        <v>1</v>
      </c>
      <c r="AD773" s="4">
        <v>106</v>
      </c>
      <c r="AE773" s="4">
        <v>106</v>
      </c>
      <c r="AF773" s="4">
        <v>0</v>
      </c>
      <c r="AG773" s="4">
        <v>0</v>
      </c>
      <c r="AH773" s="4">
        <v>96</v>
      </c>
      <c r="AI773" s="4">
        <v>96</v>
      </c>
      <c r="AJ773" s="4">
        <v>17</v>
      </c>
      <c r="AK773" s="4">
        <v>17</v>
      </c>
      <c r="AL773" s="4">
        <v>55</v>
      </c>
      <c r="AM773" s="4">
        <v>55</v>
      </c>
      <c r="AN773" s="4">
        <v>0</v>
      </c>
      <c r="AO773" s="4">
        <v>0</v>
      </c>
      <c r="AP773" s="4">
        <v>17</v>
      </c>
      <c r="AQ773" s="4">
        <v>17</v>
      </c>
      <c r="AR773" s="3" t="s">
        <v>63</v>
      </c>
      <c r="AS773" s="3" t="s">
        <v>63</v>
      </c>
      <c r="AT773" s="3" t="s">
        <v>62</v>
      </c>
      <c r="AU773" s="6" t="str">
        <f>HYPERLINK("http://catalog.hathitrust.org/Record/001055028","HathiTrust Record")</f>
        <v>HathiTrust Record</v>
      </c>
      <c r="AV773" s="6" t="str">
        <f>HYPERLINK("http://mcgill.on.worldcat.org/oclc/1836720","Catalog Record")</f>
        <v>Catalog Record</v>
      </c>
      <c r="AW773" s="6" t="str">
        <f>HYPERLINK("http://www.worldcat.org/oclc/1836720","WorldCat Record")</f>
        <v>WorldCat Record</v>
      </c>
      <c r="AX773" s="3" t="s">
        <v>7767</v>
      </c>
      <c r="AY773" s="3" t="s">
        <v>7768</v>
      </c>
      <c r="AZ773" s="3" t="s">
        <v>7769</v>
      </c>
      <c r="BA773" s="3" t="s">
        <v>7769</v>
      </c>
      <c r="BB773" s="3" t="s">
        <v>7770</v>
      </c>
      <c r="BC773" s="3" t="s">
        <v>82</v>
      </c>
      <c r="BD773" s="3" t="s">
        <v>70</v>
      </c>
      <c r="BF773" s="3" t="s">
        <v>7770</v>
      </c>
      <c r="BG773" s="3" t="s">
        <v>7771</v>
      </c>
    </row>
    <row r="774" spans="1:59" ht="60" x14ac:dyDescent="0.25">
      <c r="A774" s="2" t="s">
        <v>59</v>
      </c>
      <c r="B774" s="2" t="s">
        <v>60</v>
      </c>
      <c r="C774" s="2" t="s">
        <v>7772</v>
      </c>
      <c r="D774" s="2" t="s">
        <v>7773</v>
      </c>
      <c r="E774" s="2" t="s">
        <v>7774</v>
      </c>
      <c r="G774" s="3" t="s">
        <v>63</v>
      </c>
      <c r="I774" s="3" t="s">
        <v>63</v>
      </c>
      <c r="J774" s="3" t="s">
        <v>63</v>
      </c>
      <c r="K774" s="3" t="s">
        <v>64</v>
      </c>
      <c r="L774" s="2" t="s">
        <v>7775</v>
      </c>
      <c r="M774" s="2" t="s">
        <v>7776</v>
      </c>
      <c r="N774" s="3" t="s">
        <v>629</v>
      </c>
      <c r="P774" s="3" t="s">
        <v>66</v>
      </c>
      <c r="R774" s="3" t="s">
        <v>67</v>
      </c>
      <c r="S774" s="4">
        <v>2</v>
      </c>
      <c r="T774" s="4">
        <v>2</v>
      </c>
      <c r="U774" s="5" t="s">
        <v>7777</v>
      </c>
      <c r="V774" s="5" t="s">
        <v>7777</v>
      </c>
      <c r="W774" s="5" t="s">
        <v>69</v>
      </c>
      <c r="X774" s="5" t="s">
        <v>69</v>
      </c>
      <c r="Y774" s="4">
        <v>161</v>
      </c>
      <c r="Z774" s="4">
        <v>14</v>
      </c>
      <c r="AA774" s="4">
        <v>16</v>
      </c>
      <c r="AB774" s="4">
        <v>1</v>
      </c>
      <c r="AC774" s="4">
        <v>1</v>
      </c>
      <c r="AD774" s="4">
        <v>73</v>
      </c>
      <c r="AE774" s="4">
        <v>76</v>
      </c>
      <c r="AF774" s="4">
        <v>0</v>
      </c>
      <c r="AG774" s="4">
        <v>0</v>
      </c>
      <c r="AH774" s="4">
        <v>67</v>
      </c>
      <c r="AI774" s="4">
        <v>69</v>
      </c>
      <c r="AJ774" s="4">
        <v>8</v>
      </c>
      <c r="AK774" s="4">
        <v>8</v>
      </c>
      <c r="AL774" s="4">
        <v>46</v>
      </c>
      <c r="AM774" s="4">
        <v>46</v>
      </c>
      <c r="AN774" s="4">
        <v>0</v>
      </c>
      <c r="AO774" s="4">
        <v>0</v>
      </c>
      <c r="AP774" s="4">
        <v>10</v>
      </c>
      <c r="AQ774" s="4">
        <v>11</v>
      </c>
      <c r="AR774" s="3" t="s">
        <v>63</v>
      </c>
      <c r="AS774" s="3" t="s">
        <v>63</v>
      </c>
      <c r="AT774" s="3" t="s">
        <v>63</v>
      </c>
      <c r="AV774" s="6" t="str">
        <f>HYPERLINK("http://mcgill.on.worldcat.org/oclc/713834563","Catalog Record")</f>
        <v>Catalog Record</v>
      </c>
      <c r="AW774" s="6" t="str">
        <f>HYPERLINK("http://www.worldcat.org/oclc/713834563","WorldCat Record")</f>
        <v>WorldCat Record</v>
      </c>
      <c r="AX774" s="3" t="s">
        <v>7778</v>
      </c>
      <c r="AY774" s="3" t="s">
        <v>7779</v>
      </c>
      <c r="AZ774" s="3" t="s">
        <v>7780</v>
      </c>
      <c r="BA774" s="3" t="s">
        <v>7780</v>
      </c>
      <c r="BB774" s="3" t="s">
        <v>7781</v>
      </c>
      <c r="BC774" s="3" t="s">
        <v>82</v>
      </c>
      <c r="BD774" s="3" t="s">
        <v>70</v>
      </c>
      <c r="BE774" s="3" t="s">
        <v>7782</v>
      </c>
      <c r="BF774" s="3" t="s">
        <v>7781</v>
      </c>
      <c r="BG774" s="3" t="s">
        <v>7783</v>
      </c>
    </row>
    <row r="775" spans="1:59" ht="60" x14ac:dyDescent="0.25">
      <c r="A775" s="2" t="s">
        <v>59</v>
      </c>
      <c r="B775" s="2" t="s">
        <v>60</v>
      </c>
      <c r="C775" s="2" t="s">
        <v>7784</v>
      </c>
      <c r="D775" s="2" t="s">
        <v>7785</v>
      </c>
      <c r="E775" s="2" t="s">
        <v>7786</v>
      </c>
      <c r="G775" s="3" t="s">
        <v>63</v>
      </c>
      <c r="I775" s="3" t="s">
        <v>63</v>
      </c>
      <c r="J775" s="3" t="s">
        <v>63</v>
      </c>
      <c r="K775" s="3" t="s">
        <v>64</v>
      </c>
      <c r="L775" s="2" t="s">
        <v>7787</v>
      </c>
      <c r="M775" s="2" t="s">
        <v>7788</v>
      </c>
      <c r="N775" s="3" t="s">
        <v>531</v>
      </c>
      <c r="P775" s="3" t="s">
        <v>66</v>
      </c>
      <c r="Q775" s="2" t="s">
        <v>7789</v>
      </c>
      <c r="R775" s="3" t="s">
        <v>67</v>
      </c>
      <c r="S775" s="4">
        <v>6</v>
      </c>
      <c r="T775" s="4">
        <v>6</v>
      </c>
      <c r="U775" s="5" t="s">
        <v>7790</v>
      </c>
      <c r="V775" s="5" t="s">
        <v>7790</v>
      </c>
      <c r="W775" s="5" t="s">
        <v>69</v>
      </c>
      <c r="X775" s="5" t="s">
        <v>69</v>
      </c>
      <c r="Y775" s="4">
        <v>90</v>
      </c>
      <c r="Z775" s="4">
        <v>11</v>
      </c>
      <c r="AA775" s="4">
        <v>12</v>
      </c>
      <c r="AB775" s="4">
        <v>1</v>
      </c>
      <c r="AC775" s="4">
        <v>2</v>
      </c>
      <c r="AD775" s="4">
        <v>48</v>
      </c>
      <c r="AE775" s="4">
        <v>49</v>
      </c>
      <c r="AF775" s="4">
        <v>0</v>
      </c>
      <c r="AG775" s="4">
        <v>1</v>
      </c>
      <c r="AH775" s="4">
        <v>45</v>
      </c>
      <c r="AI775" s="4">
        <v>46</v>
      </c>
      <c r="AJ775" s="4">
        <v>8</v>
      </c>
      <c r="AK775" s="4">
        <v>9</v>
      </c>
      <c r="AL775" s="4">
        <v>31</v>
      </c>
      <c r="AM775" s="4">
        <v>31</v>
      </c>
      <c r="AN775" s="4">
        <v>0</v>
      </c>
      <c r="AO775" s="4">
        <v>0</v>
      </c>
      <c r="AP775" s="4">
        <v>9</v>
      </c>
      <c r="AQ775" s="4">
        <v>10</v>
      </c>
      <c r="AR775" s="3" t="s">
        <v>63</v>
      </c>
      <c r="AS775" s="3" t="s">
        <v>63</v>
      </c>
      <c r="AT775" s="3" t="s">
        <v>62</v>
      </c>
      <c r="AU775" s="6" t="str">
        <f>HYPERLINK("http://catalog.hathitrust.org/Record/002565433","HathiTrust Record")</f>
        <v>HathiTrust Record</v>
      </c>
      <c r="AV775" s="6" t="str">
        <f>HYPERLINK("http://mcgill.on.worldcat.org/oclc/25827991","Catalog Record")</f>
        <v>Catalog Record</v>
      </c>
      <c r="AW775" s="6" t="str">
        <f>HYPERLINK("http://www.worldcat.org/oclc/25827991","WorldCat Record")</f>
        <v>WorldCat Record</v>
      </c>
      <c r="AX775" s="3" t="s">
        <v>7791</v>
      </c>
      <c r="AY775" s="3" t="s">
        <v>7792</v>
      </c>
      <c r="AZ775" s="3" t="s">
        <v>7793</v>
      </c>
      <c r="BA775" s="3" t="s">
        <v>7793</v>
      </c>
      <c r="BB775" s="3" t="s">
        <v>7794</v>
      </c>
      <c r="BC775" s="3" t="s">
        <v>82</v>
      </c>
      <c r="BD775" s="3" t="s">
        <v>70</v>
      </c>
      <c r="BE775" s="3" t="s">
        <v>7795</v>
      </c>
      <c r="BF775" s="3" t="s">
        <v>7794</v>
      </c>
      <c r="BG775" s="3" t="s">
        <v>7796</v>
      </c>
    </row>
    <row r="776" spans="1:59" ht="60" x14ac:dyDescent="0.25">
      <c r="A776" s="2" t="s">
        <v>59</v>
      </c>
      <c r="B776" s="2" t="s">
        <v>60</v>
      </c>
      <c r="C776" s="2" t="s">
        <v>7797</v>
      </c>
      <c r="D776" s="2" t="s">
        <v>7798</v>
      </c>
      <c r="E776" s="2" t="s">
        <v>7799</v>
      </c>
      <c r="G776" s="3" t="s">
        <v>63</v>
      </c>
      <c r="I776" s="3" t="s">
        <v>63</v>
      </c>
      <c r="J776" s="3" t="s">
        <v>63</v>
      </c>
      <c r="K776" s="3" t="s">
        <v>64</v>
      </c>
      <c r="L776" s="2" t="s">
        <v>7800</v>
      </c>
      <c r="M776" s="2" t="s">
        <v>7801</v>
      </c>
      <c r="N776" s="3" t="s">
        <v>1343</v>
      </c>
      <c r="P776" s="3" t="s">
        <v>66</v>
      </c>
      <c r="R776" s="3" t="s">
        <v>67</v>
      </c>
      <c r="S776" s="4">
        <v>8</v>
      </c>
      <c r="T776" s="4">
        <v>8</v>
      </c>
      <c r="U776" s="5" t="s">
        <v>7802</v>
      </c>
      <c r="V776" s="5" t="s">
        <v>7802</v>
      </c>
      <c r="W776" s="5" t="s">
        <v>69</v>
      </c>
      <c r="X776" s="5" t="s">
        <v>69</v>
      </c>
      <c r="Y776" s="4">
        <v>216</v>
      </c>
      <c r="Z776" s="4">
        <v>15</v>
      </c>
      <c r="AA776" s="4">
        <v>17</v>
      </c>
      <c r="AB776" s="4">
        <v>1</v>
      </c>
      <c r="AC776" s="4">
        <v>3</v>
      </c>
      <c r="AD776" s="4">
        <v>94</v>
      </c>
      <c r="AE776" s="4">
        <v>96</v>
      </c>
      <c r="AF776" s="4">
        <v>0</v>
      </c>
      <c r="AG776" s="4">
        <v>2</v>
      </c>
      <c r="AH776" s="4">
        <v>87</v>
      </c>
      <c r="AI776" s="4">
        <v>88</v>
      </c>
      <c r="AJ776" s="4">
        <v>10</v>
      </c>
      <c r="AK776" s="4">
        <v>12</v>
      </c>
      <c r="AL776" s="4">
        <v>47</v>
      </c>
      <c r="AM776" s="4">
        <v>47</v>
      </c>
      <c r="AN776" s="4">
        <v>0</v>
      </c>
      <c r="AO776" s="4">
        <v>0</v>
      </c>
      <c r="AP776" s="4">
        <v>12</v>
      </c>
      <c r="AQ776" s="4">
        <v>13</v>
      </c>
      <c r="AR776" s="3" t="s">
        <v>63</v>
      </c>
      <c r="AS776" s="3" t="s">
        <v>63</v>
      </c>
      <c r="AT776" s="3" t="s">
        <v>62</v>
      </c>
      <c r="AU776" s="6" t="str">
        <f>HYPERLINK("http://catalog.hathitrust.org/Record/004100528","HathiTrust Record")</f>
        <v>HathiTrust Record</v>
      </c>
      <c r="AV776" s="6" t="str">
        <f>HYPERLINK("http://mcgill.on.worldcat.org/oclc/42296473","Catalog Record")</f>
        <v>Catalog Record</v>
      </c>
      <c r="AW776" s="6" t="str">
        <f>HYPERLINK("http://www.worldcat.org/oclc/42296473","WorldCat Record")</f>
        <v>WorldCat Record</v>
      </c>
      <c r="AX776" s="3" t="s">
        <v>7803</v>
      </c>
      <c r="AY776" s="3" t="s">
        <v>7804</v>
      </c>
      <c r="AZ776" s="3" t="s">
        <v>7805</v>
      </c>
      <c r="BA776" s="3" t="s">
        <v>7805</v>
      </c>
      <c r="BB776" s="3" t="s">
        <v>7806</v>
      </c>
      <c r="BC776" s="3" t="s">
        <v>82</v>
      </c>
      <c r="BD776" s="3" t="s">
        <v>70</v>
      </c>
      <c r="BE776" s="3" t="s">
        <v>7807</v>
      </c>
      <c r="BF776" s="3" t="s">
        <v>7806</v>
      </c>
      <c r="BG776" s="3" t="s">
        <v>7808</v>
      </c>
    </row>
    <row r="777" spans="1:59" ht="60" x14ac:dyDescent="0.25">
      <c r="A777" s="2" t="s">
        <v>59</v>
      </c>
      <c r="B777" s="2" t="s">
        <v>60</v>
      </c>
      <c r="C777" s="2" t="s">
        <v>7809</v>
      </c>
      <c r="D777" s="2" t="s">
        <v>7810</v>
      </c>
      <c r="E777" s="2" t="s">
        <v>7811</v>
      </c>
      <c r="G777" s="3" t="s">
        <v>63</v>
      </c>
      <c r="I777" s="3" t="s">
        <v>63</v>
      </c>
      <c r="J777" s="3" t="s">
        <v>63</v>
      </c>
      <c r="K777" s="3" t="s">
        <v>64</v>
      </c>
      <c r="L777" s="2" t="s">
        <v>7812</v>
      </c>
      <c r="M777" s="2" t="s">
        <v>7813</v>
      </c>
      <c r="N777" s="3" t="s">
        <v>427</v>
      </c>
      <c r="P777" s="3" t="s">
        <v>66</v>
      </c>
      <c r="R777" s="3" t="s">
        <v>67</v>
      </c>
      <c r="S777" s="4">
        <v>7</v>
      </c>
      <c r="T777" s="4">
        <v>7</v>
      </c>
      <c r="U777" s="5" t="s">
        <v>7814</v>
      </c>
      <c r="V777" s="5" t="s">
        <v>7814</v>
      </c>
      <c r="W777" s="5" t="s">
        <v>69</v>
      </c>
      <c r="X777" s="5" t="s">
        <v>69</v>
      </c>
      <c r="Y777" s="4">
        <v>119</v>
      </c>
      <c r="Z777" s="4">
        <v>15</v>
      </c>
      <c r="AA777" s="4">
        <v>24</v>
      </c>
      <c r="AB777" s="4">
        <v>2</v>
      </c>
      <c r="AC777" s="4">
        <v>3</v>
      </c>
      <c r="AD777" s="4">
        <v>53</v>
      </c>
      <c r="AE777" s="4">
        <v>107</v>
      </c>
      <c r="AF777" s="4">
        <v>1</v>
      </c>
      <c r="AG777" s="4">
        <v>1</v>
      </c>
      <c r="AH777" s="4">
        <v>46</v>
      </c>
      <c r="AI777" s="4">
        <v>95</v>
      </c>
      <c r="AJ777" s="4">
        <v>13</v>
      </c>
      <c r="AK777" s="4">
        <v>17</v>
      </c>
      <c r="AL777" s="4">
        <v>26</v>
      </c>
      <c r="AM777" s="4">
        <v>52</v>
      </c>
      <c r="AN777" s="4">
        <v>0</v>
      </c>
      <c r="AO777" s="4">
        <v>0</v>
      </c>
      <c r="AP777" s="4">
        <v>13</v>
      </c>
      <c r="AQ777" s="4">
        <v>18</v>
      </c>
      <c r="AR777" s="3" t="s">
        <v>63</v>
      </c>
      <c r="AS777" s="3" t="s">
        <v>63</v>
      </c>
      <c r="AT777" s="3" t="s">
        <v>62</v>
      </c>
      <c r="AU777" s="6" t="str">
        <f>HYPERLINK("http://catalog.hathitrust.org/Record/001077059","HathiTrust Record")</f>
        <v>HathiTrust Record</v>
      </c>
      <c r="AV777" s="6" t="str">
        <f>HYPERLINK("http://mcgill.on.worldcat.org/oclc/16467732","Catalog Record")</f>
        <v>Catalog Record</v>
      </c>
      <c r="AW777" s="6" t="str">
        <f>HYPERLINK("http://www.worldcat.org/oclc/16467732","WorldCat Record")</f>
        <v>WorldCat Record</v>
      </c>
      <c r="AX777" s="3" t="s">
        <v>7815</v>
      </c>
      <c r="AY777" s="3" t="s">
        <v>7816</v>
      </c>
      <c r="AZ777" s="3" t="s">
        <v>7817</v>
      </c>
      <c r="BA777" s="3" t="s">
        <v>7817</v>
      </c>
      <c r="BB777" s="3" t="s">
        <v>7818</v>
      </c>
      <c r="BC777" s="3" t="s">
        <v>82</v>
      </c>
      <c r="BD777" s="3" t="s">
        <v>70</v>
      </c>
      <c r="BE777" s="3" t="s">
        <v>7819</v>
      </c>
      <c r="BF777" s="3" t="s">
        <v>7818</v>
      </c>
      <c r="BG777" s="3" t="s">
        <v>7820</v>
      </c>
    </row>
    <row r="778" spans="1:59" ht="60" x14ac:dyDescent="0.25">
      <c r="A778" s="2" t="s">
        <v>59</v>
      </c>
      <c r="B778" s="2" t="s">
        <v>60</v>
      </c>
      <c r="C778" s="2" t="s">
        <v>7821</v>
      </c>
      <c r="D778" s="2" t="s">
        <v>7822</v>
      </c>
      <c r="E778" s="2" t="s">
        <v>7823</v>
      </c>
      <c r="G778" s="3" t="s">
        <v>63</v>
      </c>
      <c r="I778" s="3" t="s">
        <v>63</v>
      </c>
      <c r="J778" s="3" t="s">
        <v>62</v>
      </c>
      <c r="K778" s="3" t="s">
        <v>64</v>
      </c>
      <c r="L778" s="2" t="s">
        <v>7824</v>
      </c>
      <c r="M778" s="2" t="s">
        <v>7825</v>
      </c>
      <c r="N778" s="3" t="s">
        <v>220</v>
      </c>
      <c r="O778" s="2" t="s">
        <v>7826</v>
      </c>
      <c r="P778" s="3" t="s">
        <v>66</v>
      </c>
      <c r="Q778" s="2" t="s">
        <v>7827</v>
      </c>
      <c r="R778" s="3" t="s">
        <v>67</v>
      </c>
      <c r="S778" s="4">
        <v>12</v>
      </c>
      <c r="T778" s="4">
        <v>12</v>
      </c>
      <c r="U778" s="5" t="s">
        <v>7814</v>
      </c>
      <c r="V778" s="5" t="s">
        <v>7814</v>
      </c>
      <c r="W778" s="5" t="s">
        <v>69</v>
      </c>
      <c r="X778" s="5" t="s">
        <v>69</v>
      </c>
      <c r="Y778" s="4">
        <v>324</v>
      </c>
      <c r="Z778" s="4">
        <v>25</v>
      </c>
      <c r="AA778" s="4">
        <v>45</v>
      </c>
      <c r="AB778" s="4">
        <v>3</v>
      </c>
      <c r="AC778" s="4">
        <v>7</v>
      </c>
      <c r="AD778" s="4">
        <v>103</v>
      </c>
      <c r="AE778" s="4">
        <v>139</v>
      </c>
      <c r="AF778" s="4">
        <v>2</v>
      </c>
      <c r="AG778" s="4">
        <v>4</v>
      </c>
      <c r="AH778" s="4">
        <v>90</v>
      </c>
      <c r="AI778" s="4">
        <v>113</v>
      </c>
      <c r="AJ778" s="4">
        <v>16</v>
      </c>
      <c r="AK778" s="4">
        <v>26</v>
      </c>
      <c r="AL778" s="4">
        <v>51</v>
      </c>
      <c r="AM778" s="4">
        <v>60</v>
      </c>
      <c r="AN778" s="4">
        <v>0</v>
      </c>
      <c r="AO778" s="4">
        <v>0</v>
      </c>
      <c r="AP778" s="4">
        <v>21</v>
      </c>
      <c r="AQ778" s="4">
        <v>34</v>
      </c>
      <c r="AR778" s="3" t="s">
        <v>63</v>
      </c>
      <c r="AS778" s="3" t="s">
        <v>63</v>
      </c>
      <c r="AT778" s="3" t="s">
        <v>62</v>
      </c>
      <c r="AU778" s="6" t="str">
        <f>HYPERLINK("http://catalog.hathitrust.org/Record/002734361","HathiTrust Record")</f>
        <v>HathiTrust Record</v>
      </c>
      <c r="AV778" s="6" t="str">
        <f>HYPERLINK("http://mcgill.on.worldcat.org/oclc/27895711","Catalog Record")</f>
        <v>Catalog Record</v>
      </c>
      <c r="AW778" s="6" t="str">
        <f>HYPERLINK("http://www.worldcat.org/oclc/27895711","WorldCat Record")</f>
        <v>WorldCat Record</v>
      </c>
      <c r="AX778" s="3" t="s">
        <v>7828</v>
      </c>
      <c r="AY778" s="3" t="s">
        <v>7829</v>
      </c>
      <c r="AZ778" s="3" t="s">
        <v>7830</v>
      </c>
      <c r="BA778" s="3" t="s">
        <v>7830</v>
      </c>
      <c r="BB778" s="3" t="s">
        <v>7831</v>
      </c>
      <c r="BC778" s="3" t="s">
        <v>82</v>
      </c>
      <c r="BD778" s="3" t="s">
        <v>70</v>
      </c>
      <c r="BE778" s="3" t="s">
        <v>7832</v>
      </c>
      <c r="BF778" s="3" t="s">
        <v>7831</v>
      </c>
      <c r="BG778" s="3" t="s">
        <v>7833</v>
      </c>
    </row>
    <row r="779" spans="1:59" ht="75" x14ac:dyDescent="0.25">
      <c r="A779" s="2" t="s">
        <v>59</v>
      </c>
      <c r="B779" s="2" t="s">
        <v>60</v>
      </c>
      <c r="C779" s="2" t="s">
        <v>7834</v>
      </c>
      <c r="D779" s="2" t="s">
        <v>7835</v>
      </c>
      <c r="E779" s="2" t="s">
        <v>7836</v>
      </c>
      <c r="G779" s="3" t="s">
        <v>63</v>
      </c>
      <c r="I779" s="3" t="s">
        <v>63</v>
      </c>
      <c r="J779" s="3" t="s">
        <v>63</v>
      </c>
      <c r="K779" s="3" t="s">
        <v>64</v>
      </c>
      <c r="M779" s="2" t="s">
        <v>7837</v>
      </c>
      <c r="N779" s="3" t="s">
        <v>2103</v>
      </c>
      <c r="P779" s="3" t="s">
        <v>66</v>
      </c>
      <c r="R779" s="3" t="s">
        <v>67</v>
      </c>
      <c r="S779" s="4">
        <v>23</v>
      </c>
      <c r="T779" s="4">
        <v>23</v>
      </c>
      <c r="U779" s="5" t="s">
        <v>7838</v>
      </c>
      <c r="V779" s="5" t="s">
        <v>7838</v>
      </c>
      <c r="W779" s="5" t="s">
        <v>69</v>
      </c>
      <c r="X779" s="5" t="s">
        <v>69</v>
      </c>
      <c r="Y779" s="4">
        <v>295</v>
      </c>
      <c r="Z779" s="4">
        <v>17</v>
      </c>
      <c r="AA779" s="4">
        <v>32</v>
      </c>
      <c r="AB779" s="4">
        <v>1</v>
      </c>
      <c r="AC779" s="4">
        <v>7</v>
      </c>
      <c r="AD779" s="4">
        <v>105</v>
      </c>
      <c r="AE779" s="4">
        <v>120</v>
      </c>
      <c r="AF779" s="4">
        <v>0</v>
      </c>
      <c r="AG779" s="4">
        <v>2</v>
      </c>
      <c r="AH779" s="4">
        <v>97</v>
      </c>
      <c r="AI779" s="4">
        <v>105</v>
      </c>
      <c r="AJ779" s="4">
        <v>12</v>
      </c>
      <c r="AK779" s="4">
        <v>18</v>
      </c>
      <c r="AL779" s="4">
        <v>54</v>
      </c>
      <c r="AM779" s="4">
        <v>56</v>
      </c>
      <c r="AN779" s="4">
        <v>0</v>
      </c>
      <c r="AO779" s="4">
        <v>0</v>
      </c>
      <c r="AP779" s="4">
        <v>13</v>
      </c>
      <c r="AQ779" s="4">
        <v>23</v>
      </c>
      <c r="AR779" s="3" t="s">
        <v>63</v>
      </c>
      <c r="AS779" s="3" t="s">
        <v>63</v>
      </c>
      <c r="AT779" s="3" t="s">
        <v>62</v>
      </c>
      <c r="AU779" s="6" t="str">
        <f>HYPERLINK("http://catalog.hathitrust.org/Record/004249530","HathiTrust Record")</f>
        <v>HathiTrust Record</v>
      </c>
      <c r="AV779" s="6" t="str">
        <f>HYPERLINK("http://mcgill.on.worldcat.org/oclc/48055644","Catalog Record")</f>
        <v>Catalog Record</v>
      </c>
      <c r="AW779" s="6" t="str">
        <f>HYPERLINK("http://www.worldcat.org/oclc/48055644","WorldCat Record")</f>
        <v>WorldCat Record</v>
      </c>
      <c r="AX779" s="3" t="s">
        <v>7839</v>
      </c>
      <c r="AY779" s="3" t="s">
        <v>7840</v>
      </c>
      <c r="AZ779" s="3" t="s">
        <v>7841</v>
      </c>
      <c r="BA779" s="3" t="s">
        <v>7841</v>
      </c>
      <c r="BB779" s="3" t="s">
        <v>7842</v>
      </c>
      <c r="BC779" s="3" t="s">
        <v>82</v>
      </c>
      <c r="BD779" s="3" t="s">
        <v>538</v>
      </c>
      <c r="BE779" s="3" t="s">
        <v>7843</v>
      </c>
      <c r="BF779" s="3" t="s">
        <v>7842</v>
      </c>
      <c r="BG779" s="3" t="s">
        <v>7844</v>
      </c>
    </row>
    <row r="780" spans="1:59" ht="60" x14ac:dyDescent="0.25">
      <c r="A780" s="2" t="s">
        <v>59</v>
      </c>
      <c r="B780" s="2" t="s">
        <v>60</v>
      </c>
      <c r="C780" s="2" t="s">
        <v>7845</v>
      </c>
      <c r="D780" s="2" t="s">
        <v>7846</v>
      </c>
      <c r="E780" s="2" t="s">
        <v>7847</v>
      </c>
      <c r="G780" s="3" t="s">
        <v>63</v>
      </c>
      <c r="I780" s="3" t="s">
        <v>63</v>
      </c>
      <c r="J780" s="3" t="s">
        <v>63</v>
      </c>
      <c r="K780" s="3" t="s">
        <v>64</v>
      </c>
      <c r="L780" s="2" t="s">
        <v>3230</v>
      </c>
      <c r="M780" s="2" t="s">
        <v>7848</v>
      </c>
      <c r="N780" s="3" t="s">
        <v>190</v>
      </c>
      <c r="P780" s="3" t="s">
        <v>66</v>
      </c>
      <c r="Q780" s="2" t="s">
        <v>7849</v>
      </c>
      <c r="R780" s="3" t="s">
        <v>67</v>
      </c>
      <c r="S780" s="4">
        <v>9</v>
      </c>
      <c r="T780" s="4">
        <v>9</v>
      </c>
      <c r="U780" s="5" t="s">
        <v>4192</v>
      </c>
      <c r="V780" s="5" t="s">
        <v>4192</v>
      </c>
      <c r="W780" s="5" t="s">
        <v>69</v>
      </c>
      <c r="X780" s="5" t="s">
        <v>69</v>
      </c>
      <c r="Y780" s="4">
        <v>131</v>
      </c>
      <c r="Z780" s="4">
        <v>9</v>
      </c>
      <c r="AA780" s="4">
        <v>44</v>
      </c>
      <c r="AB780" s="4">
        <v>1</v>
      </c>
      <c r="AC780" s="4">
        <v>11</v>
      </c>
      <c r="AD780" s="4">
        <v>64</v>
      </c>
      <c r="AE780" s="4">
        <v>111</v>
      </c>
      <c r="AF780" s="4">
        <v>0</v>
      </c>
      <c r="AG780" s="4">
        <v>6</v>
      </c>
      <c r="AH780" s="4">
        <v>61</v>
      </c>
      <c r="AI780" s="4">
        <v>86</v>
      </c>
      <c r="AJ780" s="4">
        <v>7</v>
      </c>
      <c r="AK780" s="4">
        <v>21</v>
      </c>
      <c r="AL780" s="4">
        <v>38</v>
      </c>
      <c r="AM780" s="4">
        <v>46</v>
      </c>
      <c r="AN780" s="4">
        <v>0</v>
      </c>
      <c r="AO780" s="4">
        <v>0</v>
      </c>
      <c r="AP780" s="4">
        <v>7</v>
      </c>
      <c r="AQ780" s="4">
        <v>37</v>
      </c>
      <c r="AR780" s="3" t="s">
        <v>63</v>
      </c>
      <c r="AS780" s="3" t="s">
        <v>63</v>
      </c>
      <c r="AT780" s="3" t="s">
        <v>62</v>
      </c>
      <c r="AU780" s="6" t="str">
        <f>HYPERLINK("http://catalog.hathitrust.org/Record/005217080","HathiTrust Record")</f>
        <v>HathiTrust Record</v>
      </c>
      <c r="AV780" s="6" t="str">
        <f>HYPERLINK("http://mcgill.on.worldcat.org/oclc/63197139","Catalog Record")</f>
        <v>Catalog Record</v>
      </c>
      <c r="AW780" s="6" t="str">
        <f>HYPERLINK("http://www.worldcat.org/oclc/63197139","WorldCat Record")</f>
        <v>WorldCat Record</v>
      </c>
      <c r="AX780" s="3" t="s">
        <v>7850</v>
      </c>
      <c r="AY780" s="3" t="s">
        <v>7851</v>
      </c>
      <c r="AZ780" s="3" t="s">
        <v>7852</v>
      </c>
      <c r="BA780" s="3" t="s">
        <v>7852</v>
      </c>
      <c r="BB780" s="3" t="s">
        <v>7853</v>
      </c>
      <c r="BC780" s="3" t="s">
        <v>82</v>
      </c>
      <c r="BD780" s="3" t="s">
        <v>538</v>
      </c>
      <c r="BE780" s="3" t="s">
        <v>7854</v>
      </c>
      <c r="BF780" s="3" t="s">
        <v>7853</v>
      </c>
      <c r="BG780" s="3" t="s">
        <v>7855</v>
      </c>
    </row>
    <row r="781" spans="1:59" ht="60" x14ac:dyDescent="0.25">
      <c r="A781" s="2" t="s">
        <v>59</v>
      </c>
      <c r="B781" s="2" t="s">
        <v>60</v>
      </c>
      <c r="C781" s="2" t="s">
        <v>7856</v>
      </c>
      <c r="D781" s="2" t="s">
        <v>7857</v>
      </c>
      <c r="E781" s="2" t="s">
        <v>7858</v>
      </c>
      <c r="G781" s="3" t="s">
        <v>63</v>
      </c>
      <c r="I781" s="3" t="s">
        <v>63</v>
      </c>
      <c r="J781" s="3" t="s">
        <v>63</v>
      </c>
      <c r="K781" s="3" t="s">
        <v>64</v>
      </c>
      <c r="L781" s="2" t="s">
        <v>7859</v>
      </c>
      <c r="M781" s="2" t="s">
        <v>7860</v>
      </c>
      <c r="N781" s="3" t="s">
        <v>1343</v>
      </c>
      <c r="P781" s="3" t="s">
        <v>66</v>
      </c>
      <c r="Q781" s="2" t="s">
        <v>7861</v>
      </c>
      <c r="R781" s="3" t="s">
        <v>67</v>
      </c>
      <c r="S781" s="4">
        <v>11</v>
      </c>
      <c r="T781" s="4">
        <v>11</v>
      </c>
      <c r="U781" s="5" t="s">
        <v>4192</v>
      </c>
      <c r="V781" s="5" t="s">
        <v>4192</v>
      </c>
      <c r="W781" s="5" t="s">
        <v>69</v>
      </c>
      <c r="X781" s="5" t="s">
        <v>69</v>
      </c>
      <c r="Y781" s="4">
        <v>245</v>
      </c>
      <c r="Z781" s="4">
        <v>16</v>
      </c>
      <c r="AA781" s="4">
        <v>16</v>
      </c>
      <c r="AB781" s="4">
        <v>1</v>
      </c>
      <c r="AC781" s="4">
        <v>1</v>
      </c>
      <c r="AD781" s="4">
        <v>99</v>
      </c>
      <c r="AE781" s="4">
        <v>99</v>
      </c>
      <c r="AF781" s="4">
        <v>0</v>
      </c>
      <c r="AG781" s="4">
        <v>0</v>
      </c>
      <c r="AH781" s="4">
        <v>92</v>
      </c>
      <c r="AI781" s="4">
        <v>92</v>
      </c>
      <c r="AJ781" s="4">
        <v>13</v>
      </c>
      <c r="AK781" s="4">
        <v>13</v>
      </c>
      <c r="AL781" s="4">
        <v>53</v>
      </c>
      <c r="AM781" s="4">
        <v>53</v>
      </c>
      <c r="AN781" s="4">
        <v>0</v>
      </c>
      <c r="AO781" s="4">
        <v>0</v>
      </c>
      <c r="AP781" s="4">
        <v>13</v>
      </c>
      <c r="AQ781" s="4">
        <v>13</v>
      </c>
      <c r="AR781" s="3" t="s">
        <v>63</v>
      </c>
      <c r="AS781" s="3" t="s">
        <v>63</v>
      </c>
      <c r="AT781" s="3" t="s">
        <v>62</v>
      </c>
      <c r="AU781" s="6" t="str">
        <f>HYPERLINK("http://catalog.hathitrust.org/Record/003495031","HathiTrust Record")</f>
        <v>HathiTrust Record</v>
      </c>
      <c r="AV781" s="6" t="str">
        <f>HYPERLINK("http://mcgill.on.worldcat.org/oclc/43227326","Catalog Record")</f>
        <v>Catalog Record</v>
      </c>
      <c r="AW781" s="6" t="str">
        <f>HYPERLINK("http://www.worldcat.org/oclc/43227326","WorldCat Record")</f>
        <v>WorldCat Record</v>
      </c>
      <c r="AX781" s="3" t="s">
        <v>7862</v>
      </c>
      <c r="AY781" s="3" t="s">
        <v>7863</v>
      </c>
      <c r="AZ781" s="3" t="s">
        <v>7864</v>
      </c>
      <c r="BA781" s="3" t="s">
        <v>7864</v>
      </c>
      <c r="BB781" s="3" t="s">
        <v>7865</v>
      </c>
      <c r="BC781" s="3" t="s">
        <v>82</v>
      </c>
      <c r="BD781" s="3" t="s">
        <v>538</v>
      </c>
      <c r="BE781" s="3" t="s">
        <v>7866</v>
      </c>
      <c r="BF781" s="3" t="s">
        <v>7865</v>
      </c>
      <c r="BG781" s="3" t="s">
        <v>7867</v>
      </c>
    </row>
    <row r="782" spans="1:59" ht="60" x14ac:dyDescent="0.25">
      <c r="A782" s="2" t="s">
        <v>59</v>
      </c>
      <c r="B782" s="2" t="s">
        <v>60</v>
      </c>
      <c r="C782" s="2" t="s">
        <v>7868</v>
      </c>
      <c r="D782" s="2" t="s">
        <v>7869</v>
      </c>
      <c r="E782" s="2" t="s">
        <v>7870</v>
      </c>
      <c r="G782" s="3" t="s">
        <v>63</v>
      </c>
      <c r="I782" s="3" t="s">
        <v>63</v>
      </c>
      <c r="J782" s="3" t="s">
        <v>63</v>
      </c>
      <c r="K782" s="3" t="s">
        <v>64</v>
      </c>
      <c r="L782" s="2" t="s">
        <v>7871</v>
      </c>
      <c r="M782" s="2" t="s">
        <v>7872</v>
      </c>
      <c r="N782" s="3" t="s">
        <v>1916</v>
      </c>
      <c r="P782" s="3" t="s">
        <v>66</v>
      </c>
      <c r="R782" s="3" t="s">
        <v>67</v>
      </c>
      <c r="S782" s="4">
        <v>12</v>
      </c>
      <c r="T782" s="4">
        <v>12</v>
      </c>
      <c r="U782" s="5" t="s">
        <v>263</v>
      </c>
      <c r="V782" s="5" t="s">
        <v>263</v>
      </c>
      <c r="W782" s="5" t="s">
        <v>69</v>
      </c>
      <c r="X782" s="5" t="s">
        <v>69</v>
      </c>
      <c r="Y782" s="4">
        <v>206</v>
      </c>
      <c r="Z782" s="4">
        <v>21</v>
      </c>
      <c r="AA782" s="4">
        <v>21</v>
      </c>
      <c r="AB782" s="4">
        <v>2</v>
      </c>
      <c r="AC782" s="4">
        <v>2</v>
      </c>
      <c r="AD782" s="4">
        <v>102</v>
      </c>
      <c r="AE782" s="4">
        <v>102</v>
      </c>
      <c r="AF782" s="4">
        <v>1</v>
      </c>
      <c r="AG782" s="4">
        <v>1</v>
      </c>
      <c r="AH782" s="4">
        <v>91</v>
      </c>
      <c r="AI782" s="4">
        <v>91</v>
      </c>
      <c r="AJ782" s="4">
        <v>16</v>
      </c>
      <c r="AK782" s="4">
        <v>16</v>
      </c>
      <c r="AL782" s="4">
        <v>53</v>
      </c>
      <c r="AM782" s="4">
        <v>53</v>
      </c>
      <c r="AN782" s="4">
        <v>0</v>
      </c>
      <c r="AO782" s="4">
        <v>0</v>
      </c>
      <c r="AP782" s="4">
        <v>16</v>
      </c>
      <c r="AQ782" s="4">
        <v>16</v>
      </c>
      <c r="AR782" s="3" t="s">
        <v>63</v>
      </c>
      <c r="AS782" s="3" t="s">
        <v>63</v>
      </c>
      <c r="AT782" s="3" t="s">
        <v>62</v>
      </c>
      <c r="AU782" s="6" t="str">
        <f>HYPERLINK("http://catalog.hathitrust.org/Record/000375964","HathiTrust Record")</f>
        <v>HathiTrust Record</v>
      </c>
      <c r="AV782" s="6" t="str">
        <f>HYPERLINK("http://mcgill.on.worldcat.org/oclc/10751753","Catalog Record")</f>
        <v>Catalog Record</v>
      </c>
      <c r="AW782" s="6" t="str">
        <f>HYPERLINK("http://www.worldcat.org/oclc/10751753","WorldCat Record")</f>
        <v>WorldCat Record</v>
      </c>
      <c r="AX782" s="3" t="s">
        <v>7873</v>
      </c>
      <c r="AY782" s="3" t="s">
        <v>7874</v>
      </c>
      <c r="AZ782" s="3" t="s">
        <v>7875</v>
      </c>
      <c r="BA782" s="3" t="s">
        <v>7875</v>
      </c>
      <c r="BB782" s="3" t="s">
        <v>7876</v>
      </c>
      <c r="BC782" s="3" t="s">
        <v>82</v>
      </c>
      <c r="BD782" s="3" t="s">
        <v>538</v>
      </c>
      <c r="BE782" s="3" t="s">
        <v>7877</v>
      </c>
      <c r="BF782" s="3" t="s">
        <v>7876</v>
      </c>
      <c r="BG782" s="3" t="s">
        <v>7878</v>
      </c>
    </row>
    <row r="783" spans="1:59" ht="60" x14ac:dyDescent="0.25">
      <c r="A783" s="2" t="s">
        <v>59</v>
      </c>
      <c r="B783" s="2" t="s">
        <v>60</v>
      </c>
      <c r="C783" s="2" t="s">
        <v>7879</v>
      </c>
      <c r="D783" s="2" t="s">
        <v>7880</v>
      </c>
      <c r="E783" s="2" t="s">
        <v>7881</v>
      </c>
      <c r="G783" s="3" t="s">
        <v>63</v>
      </c>
      <c r="I783" s="3" t="s">
        <v>63</v>
      </c>
      <c r="J783" s="3" t="s">
        <v>63</v>
      </c>
      <c r="K783" s="3" t="s">
        <v>64</v>
      </c>
      <c r="L783" s="2" t="s">
        <v>7882</v>
      </c>
      <c r="M783" s="2" t="s">
        <v>7361</v>
      </c>
      <c r="N783" s="3" t="s">
        <v>2765</v>
      </c>
      <c r="P783" s="3" t="s">
        <v>66</v>
      </c>
      <c r="Q783" s="2" t="s">
        <v>7327</v>
      </c>
      <c r="R783" s="3" t="s">
        <v>67</v>
      </c>
      <c r="S783" s="4">
        <v>1</v>
      </c>
      <c r="T783" s="4">
        <v>1</v>
      </c>
      <c r="U783" s="5" t="s">
        <v>7883</v>
      </c>
      <c r="V783" s="5" t="s">
        <v>7883</v>
      </c>
      <c r="W783" s="5" t="s">
        <v>69</v>
      </c>
      <c r="X783" s="5" t="s">
        <v>69</v>
      </c>
      <c r="Y783" s="4">
        <v>128</v>
      </c>
      <c r="Z783" s="4">
        <v>8</v>
      </c>
      <c r="AA783" s="4">
        <v>16</v>
      </c>
      <c r="AB783" s="4">
        <v>1</v>
      </c>
      <c r="AC783" s="4">
        <v>7</v>
      </c>
      <c r="AD783" s="4">
        <v>67</v>
      </c>
      <c r="AE783" s="4">
        <v>77</v>
      </c>
      <c r="AF783" s="4">
        <v>0</v>
      </c>
      <c r="AG783" s="4">
        <v>3</v>
      </c>
      <c r="AH783" s="4">
        <v>64</v>
      </c>
      <c r="AI783" s="4">
        <v>69</v>
      </c>
      <c r="AJ783" s="4">
        <v>6</v>
      </c>
      <c r="AK783" s="4">
        <v>10</v>
      </c>
      <c r="AL783" s="4">
        <v>44</v>
      </c>
      <c r="AM783" s="4">
        <v>46</v>
      </c>
      <c r="AN783" s="4">
        <v>0</v>
      </c>
      <c r="AO783" s="4">
        <v>0</v>
      </c>
      <c r="AP783" s="4">
        <v>6</v>
      </c>
      <c r="AQ783" s="4">
        <v>11</v>
      </c>
      <c r="AR783" s="3" t="s">
        <v>63</v>
      </c>
      <c r="AS783" s="3" t="s">
        <v>63</v>
      </c>
      <c r="AT783" s="3" t="s">
        <v>63</v>
      </c>
      <c r="AV783" s="6" t="str">
        <f>HYPERLINK("http://mcgill.on.worldcat.org/oclc/879583933","Catalog Record")</f>
        <v>Catalog Record</v>
      </c>
      <c r="AW783" s="6" t="str">
        <f>HYPERLINK("http://www.worldcat.org/oclc/879583933","WorldCat Record")</f>
        <v>WorldCat Record</v>
      </c>
      <c r="AX783" s="3" t="s">
        <v>7884</v>
      </c>
      <c r="AY783" s="3" t="s">
        <v>7885</v>
      </c>
      <c r="AZ783" s="3" t="s">
        <v>7886</v>
      </c>
      <c r="BA783" s="3" t="s">
        <v>7886</v>
      </c>
      <c r="BB783" s="3" t="s">
        <v>7887</v>
      </c>
      <c r="BC783" s="3" t="s">
        <v>82</v>
      </c>
      <c r="BD783" s="3" t="s">
        <v>70</v>
      </c>
      <c r="BE783" s="3" t="s">
        <v>7888</v>
      </c>
      <c r="BF783" s="3" t="s">
        <v>7887</v>
      </c>
      <c r="BG783" s="3" t="s">
        <v>7889</v>
      </c>
    </row>
    <row r="784" spans="1:59" ht="60" x14ac:dyDescent="0.25">
      <c r="A784" s="2" t="s">
        <v>59</v>
      </c>
      <c r="B784" s="2" t="s">
        <v>60</v>
      </c>
      <c r="C784" s="2" t="s">
        <v>7890</v>
      </c>
      <c r="D784" s="2" t="s">
        <v>7891</v>
      </c>
      <c r="E784" s="2" t="s">
        <v>7892</v>
      </c>
      <c r="G784" s="3" t="s">
        <v>63</v>
      </c>
      <c r="I784" s="3" t="s">
        <v>63</v>
      </c>
      <c r="J784" s="3" t="s">
        <v>62</v>
      </c>
      <c r="K784" s="3" t="s">
        <v>64</v>
      </c>
      <c r="L784" s="2" t="s">
        <v>7893</v>
      </c>
      <c r="M784" s="2" t="s">
        <v>7894</v>
      </c>
      <c r="N784" s="3" t="s">
        <v>668</v>
      </c>
      <c r="O784" s="2" t="s">
        <v>7895</v>
      </c>
      <c r="P784" s="3" t="s">
        <v>66</v>
      </c>
      <c r="Q784" s="2" t="s">
        <v>5152</v>
      </c>
      <c r="R784" s="3" t="s">
        <v>67</v>
      </c>
      <c r="S784" s="4">
        <v>27</v>
      </c>
      <c r="T784" s="4">
        <v>27</v>
      </c>
      <c r="U784" s="5" t="s">
        <v>7896</v>
      </c>
      <c r="V784" s="5" t="s">
        <v>7896</v>
      </c>
      <c r="W784" s="5" t="s">
        <v>69</v>
      </c>
      <c r="X784" s="5" t="s">
        <v>69</v>
      </c>
      <c r="Y784" s="4">
        <v>228</v>
      </c>
      <c r="Z784" s="4">
        <v>13</v>
      </c>
      <c r="AA784" s="4">
        <v>45</v>
      </c>
      <c r="AB784" s="4">
        <v>1</v>
      </c>
      <c r="AC784" s="4">
        <v>4</v>
      </c>
      <c r="AD784" s="4">
        <v>76</v>
      </c>
      <c r="AE784" s="4">
        <v>134</v>
      </c>
      <c r="AF784" s="4">
        <v>0</v>
      </c>
      <c r="AG784" s="4">
        <v>3</v>
      </c>
      <c r="AH784" s="4">
        <v>71</v>
      </c>
      <c r="AI784" s="4">
        <v>111</v>
      </c>
      <c r="AJ784" s="4">
        <v>7</v>
      </c>
      <c r="AK784" s="4">
        <v>23</v>
      </c>
      <c r="AL784" s="4">
        <v>41</v>
      </c>
      <c r="AM784" s="4">
        <v>58</v>
      </c>
      <c r="AN784" s="4">
        <v>0</v>
      </c>
      <c r="AO784" s="4">
        <v>0</v>
      </c>
      <c r="AP784" s="4">
        <v>9</v>
      </c>
      <c r="AQ784" s="4">
        <v>31</v>
      </c>
      <c r="AR784" s="3" t="s">
        <v>63</v>
      </c>
      <c r="AS784" s="3" t="s">
        <v>63</v>
      </c>
      <c r="AT784" s="3" t="s">
        <v>62</v>
      </c>
      <c r="AU784" s="6" t="str">
        <f>HYPERLINK("http://catalog.hathitrust.org/Record/002426264","HathiTrust Record")</f>
        <v>HathiTrust Record</v>
      </c>
      <c r="AV784" s="6" t="str">
        <f>HYPERLINK("http://mcgill.on.worldcat.org/oclc/22119122","Catalog Record")</f>
        <v>Catalog Record</v>
      </c>
      <c r="AW784" s="6" t="str">
        <f>HYPERLINK("http://www.worldcat.org/oclc/22119122","WorldCat Record")</f>
        <v>WorldCat Record</v>
      </c>
      <c r="AX784" s="3" t="s">
        <v>7897</v>
      </c>
      <c r="AY784" s="3" t="s">
        <v>7898</v>
      </c>
      <c r="AZ784" s="3" t="s">
        <v>7899</v>
      </c>
      <c r="BA784" s="3" t="s">
        <v>7899</v>
      </c>
      <c r="BB784" s="3" t="s">
        <v>7900</v>
      </c>
      <c r="BC784" s="3" t="s">
        <v>82</v>
      </c>
      <c r="BD784" s="3" t="s">
        <v>70</v>
      </c>
      <c r="BE784" s="3" t="s">
        <v>7901</v>
      </c>
      <c r="BF784" s="3" t="s">
        <v>7900</v>
      </c>
      <c r="BG784" s="3" t="s">
        <v>7902</v>
      </c>
    </row>
    <row r="785" spans="1:59" ht="60" x14ac:dyDescent="0.25">
      <c r="A785" s="2" t="s">
        <v>59</v>
      </c>
      <c r="B785" s="2" t="s">
        <v>60</v>
      </c>
      <c r="C785" s="2" t="s">
        <v>7903</v>
      </c>
      <c r="D785" s="2" t="s">
        <v>7904</v>
      </c>
      <c r="E785" s="2" t="s">
        <v>7905</v>
      </c>
      <c r="G785" s="3" t="s">
        <v>63</v>
      </c>
      <c r="I785" s="3" t="s">
        <v>62</v>
      </c>
      <c r="J785" s="3" t="s">
        <v>63</v>
      </c>
      <c r="K785" s="3" t="s">
        <v>64</v>
      </c>
      <c r="L785" s="2" t="s">
        <v>4610</v>
      </c>
      <c r="M785" s="2" t="s">
        <v>7906</v>
      </c>
      <c r="N785" s="3" t="s">
        <v>2535</v>
      </c>
      <c r="P785" s="3" t="s">
        <v>66</v>
      </c>
      <c r="R785" s="3" t="s">
        <v>67</v>
      </c>
      <c r="S785" s="4">
        <v>13</v>
      </c>
      <c r="T785" s="4">
        <v>32</v>
      </c>
      <c r="U785" s="5" t="s">
        <v>7907</v>
      </c>
      <c r="V785" s="5" t="s">
        <v>4874</v>
      </c>
      <c r="W785" s="5" t="s">
        <v>69</v>
      </c>
      <c r="X785" s="5" t="s">
        <v>69</v>
      </c>
      <c r="Y785" s="4">
        <v>971</v>
      </c>
      <c r="Z785" s="4">
        <v>40</v>
      </c>
      <c r="AA785" s="4">
        <v>42</v>
      </c>
      <c r="AB785" s="4">
        <v>3</v>
      </c>
      <c r="AC785" s="4">
        <v>5</v>
      </c>
      <c r="AD785" s="4">
        <v>124</v>
      </c>
      <c r="AE785" s="4">
        <v>126</v>
      </c>
      <c r="AF785" s="4">
        <v>1</v>
      </c>
      <c r="AG785" s="4">
        <v>3</v>
      </c>
      <c r="AH785" s="4">
        <v>101</v>
      </c>
      <c r="AI785" s="4">
        <v>101</v>
      </c>
      <c r="AJ785" s="4">
        <v>23</v>
      </c>
      <c r="AK785" s="4">
        <v>25</v>
      </c>
      <c r="AL785" s="4">
        <v>56</v>
      </c>
      <c r="AM785" s="4">
        <v>56</v>
      </c>
      <c r="AN785" s="4">
        <v>0</v>
      </c>
      <c r="AO785" s="4">
        <v>0</v>
      </c>
      <c r="AP785" s="4">
        <v>28</v>
      </c>
      <c r="AQ785" s="4">
        <v>29</v>
      </c>
      <c r="AR785" s="3" t="s">
        <v>63</v>
      </c>
      <c r="AS785" s="3" t="s">
        <v>63</v>
      </c>
      <c r="AT785" s="3" t="s">
        <v>62</v>
      </c>
      <c r="AU785" s="6" t="str">
        <f>HYPERLINK("http://catalog.hathitrust.org/Record/001110383","HathiTrust Record")</f>
        <v>HathiTrust Record</v>
      </c>
      <c r="AV785" s="6" t="str">
        <f>HYPERLINK("http://mcgill.on.worldcat.org/oclc/549404","Catalog Record")</f>
        <v>Catalog Record</v>
      </c>
      <c r="AW785" s="6" t="str">
        <f>HYPERLINK("http://www.worldcat.org/oclc/549404","WorldCat Record")</f>
        <v>WorldCat Record</v>
      </c>
      <c r="AX785" s="3" t="s">
        <v>7908</v>
      </c>
      <c r="AY785" s="3" t="s">
        <v>7909</v>
      </c>
      <c r="AZ785" s="3" t="s">
        <v>7910</v>
      </c>
      <c r="BA785" s="3" t="s">
        <v>7910</v>
      </c>
      <c r="BB785" s="3" t="s">
        <v>7911</v>
      </c>
      <c r="BC785" s="3" t="s">
        <v>82</v>
      </c>
      <c r="BD785" s="3" t="s">
        <v>70</v>
      </c>
      <c r="BE785" s="3" t="s">
        <v>7912</v>
      </c>
      <c r="BF785" s="3" t="s">
        <v>7911</v>
      </c>
      <c r="BG785" s="3" t="s">
        <v>7913</v>
      </c>
    </row>
    <row r="786" spans="1:59" ht="60" x14ac:dyDescent="0.25">
      <c r="A786" s="2" t="s">
        <v>59</v>
      </c>
      <c r="B786" s="2" t="s">
        <v>60</v>
      </c>
      <c r="C786" s="2" t="s">
        <v>7903</v>
      </c>
      <c r="D786" s="2" t="s">
        <v>7904</v>
      </c>
      <c r="E786" s="2" t="s">
        <v>7905</v>
      </c>
      <c r="G786" s="3" t="s">
        <v>63</v>
      </c>
      <c r="I786" s="3" t="s">
        <v>62</v>
      </c>
      <c r="J786" s="3" t="s">
        <v>63</v>
      </c>
      <c r="K786" s="3" t="s">
        <v>64</v>
      </c>
      <c r="L786" s="2" t="s">
        <v>4610</v>
      </c>
      <c r="M786" s="2" t="s">
        <v>7906</v>
      </c>
      <c r="N786" s="3" t="s">
        <v>2535</v>
      </c>
      <c r="P786" s="3" t="s">
        <v>66</v>
      </c>
      <c r="R786" s="3" t="s">
        <v>67</v>
      </c>
      <c r="S786" s="4">
        <v>19</v>
      </c>
      <c r="T786" s="4">
        <v>32</v>
      </c>
      <c r="U786" s="5" t="s">
        <v>4874</v>
      </c>
      <c r="V786" s="5" t="s">
        <v>4874</v>
      </c>
      <c r="W786" s="5" t="s">
        <v>69</v>
      </c>
      <c r="X786" s="5" t="s">
        <v>69</v>
      </c>
      <c r="Y786" s="4">
        <v>971</v>
      </c>
      <c r="Z786" s="4">
        <v>40</v>
      </c>
      <c r="AA786" s="4">
        <v>42</v>
      </c>
      <c r="AB786" s="4">
        <v>3</v>
      </c>
      <c r="AC786" s="4">
        <v>5</v>
      </c>
      <c r="AD786" s="4">
        <v>124</v>
      </c>
      <c r="AE786" s="4">
        <v>126</v>
      </c>
      <c r="AF786" s="4">
        <v>1</v>
      </c>
      <c r="AG786" s="4">
        <v>3</v>
      </c>
      <c r="AH786" s="4">
        <v>101</v>
      </c>
      <c r="AI786" s="4">
        <v>101</v>
      </c>
      <c r="AJ786" s="4">
        <v>23</v>
      </c>
      <c r="AK786" s="4">
        <v>25</v>
      </c>
      <c r="AL786" s="4">
        <v>56</v>
      </c>
      <c r="AM786" s="4">
        <v>56</v>
      </c>
      <c r="AN786" s="4">
        <v>0</v>
      </c>
      <c r="AO786" s="4">
        <v>0</v>
      </c>
      <c r="AP786" s="4">
        <v>28</v>
      </c>
      <c r="AQ786" s="4">
        <v>29</v>
      </c>
      <c r="AR786" s="3" t="s">
        <v>63</v>
      </c>
      <c r="AS786" s="3" t="s">
        <v>63</v>
      </c>
      <c r="AT786" s="3" t="s">
        <v>62</v>
      </c>
      <c r="AU786" s="6" t="str">
        <f>HYPERLINK("http://catalog.hathitrust.org/Record/001110383","HathiTrust Record")</f>
        <v>HathiTrust Record</v>
      </c>
      <c r="AV786" s="6" t="str">
        <f>HYPERLINK("http://mcgill.on.worldcat.org/oclc/549404","Catalog Record")</f>
        <v>Catalog Record</v>
      </c>
      <c r="AW786" s="6" t="str">
        <f>HYPERLINK("http://www.worldcat.org/oclc/549404","WorldCat Record")</f>
        <v>WorldCat Record</v>
      </c>
      <c r="AX786" s="3" t="s">
        <v>7908</v>
      </c>
      <c r="AY786" s="3" t="s">
        <v>7909</v>
      </c>
      <c r="AZ786" s="3" t="s">
        <v>7910</v>
      </c>
      <c r="BA786" s="3" t="s">
        <v>7910</v>
      </c>
      <c r="BB786" s="3" t="s">
        <v>7914</v>
      </c>
      <c r="BC786" s="3" t="s">
        <v>82</v>
      </c>
      <c r="BD786" s="3" t="s">
        <v>70</v>
      </c>
      <c r="BE786" s="3" t="s">
        <v>7912</v>
      </c>
      <c r="BF786" s="3" t="s">
        <v>7914</v>
      </c>
      <c r="BG786" s="3" t="s">
        <v>7915</v>
      </c>
    </row>
    <row r="787" spans="1:59" ht="60" x14ac:dyDescent="0.25">
      <c r="A787" s="2" t="s">
        <v>59</v>
      </c>
      <c r="B787" s="2" t="s">
        <v>60</v>
      </c>
      <c r="C787" s="2" t="s">
        <v>7916</v>
      </c>
      <c r="D787" s="2" t="s">
        <v>7917</v>
      </c>
      <c r="E787" s="2" t="s">
        <v>7918</v>
      </c>
      <c r="G787" s="3" t="s">
        <v>63</v>
      </c>
      <c r="I787" s="3" t="s">
        <v>63</v>
      </c>
      <c r="J787" s="3" t="s">
        <v>63</v>
      </c>
      <c r="K787" s="3" t="s">
        <v>64</v>
      </c>
      <c r="L787" s="2" t="s">
        <v>7919</v>
      </c>
      <c r="M787" s="2" t="s">
        <v>7920</v>
      </c>
      <c r="N787" s="3" t="s">
        <v>176</v>
      </c>
      <c r="P787" s="3" t="s">
        <v>66</v>
      </c>
      <c r="R787" s="3" t="s">
        <v>67</v>
      </c>
      <c r="S787" s="4">
        <v>13</v>
      </c>
      <c r="T787" s="4">
        <v>13</v>
      </c>
      <c r="U787" s="5" t="s">
        <v>6410</v>
      </c>
      <c r="V787" s="5" t="s">
        <v>6410</v>
      </c>
      <c r="W787" s="5" t="s">
        <v>69</v>
      </c>
      <c r="X787" s="5" t="s">
        <v>69</v>
      </c>
      <c r="Y787" s="4">
        <v>454</v>
      </c>
      <c r="Z787" s="4">
        <v>22</v>
      </c>
      <c r="AA787" s="4">
        <v>25</v>
      </c>
      <c r="AB787" s="4">
        <v>1</v>
      </c>
      <c r="AC787" s="4">
        <v>4</v>
      </c>
      <c r="AD787" s="4">
        <v>117</v>
      </c>
      <c r="AE787" s="4">
        <v>120</v>
      </c>
      <c r="AF787" s="4">
        <v>0</v>
      </c>
      <c r="AG787" s="4">
        <v>3</v>
      </c>
      <c r="AH787" s="4">
        <v>105</v>
      </c>
      <c r="AI787" s="4">
        <v>106</v>
      </c>
      <c r="AJ787" s="4">
        <v>15</v>
      </c>
      <c r="AK787" s="4">
        <v>18</v>
      </c>
      <c r="AL787" s="4">
        <v>56</v>
      </c>
      <c r="AM787" s="4">
        <v>56</v>
      </c>
      <c r="AN787" s="4">
        <v>0</v>
      </c>
      <c r="AO787" s="4">
        <v>0</v>
      </c>
      <c r="AP787" s="4">
        <v>20</v>
      </c>
      <c r="AQ787" s="4">
        <v>22</v>
      </c>
      <c r="AR787" s="3" t="s">
        <v>63</v>
      </c>
      <c r="AS787" s="3" t="s">
        <v>63</v>
      </c>
      <c r="AT787" s="3" t="s">
        <v>63</v>
      </c>
      <c r="AV787" s="6" t="str">
        <f>HYPERLINK("http://mcgill.on.worldcat.org/oclc/36676019","Catalog Record")</f>
        <v>Catalog Record</v>
      </c>
      <c r="AW787" s="6" t="str">
        <f>HYPERLINK("http://www.worldcat.org/oclc/36676019","WorldCat Record")</f>
        <v>WorldCat Record</v>
      </c>
      <c r="AX787" s="3" t="s">
        <v>7921</v>
      </c>
      <c r="AY787" s="3" t="s">
        <v>7922</v>
      </c>
      <c r="AZ787" s="3" t="s">
        <v>7923</v>
      </c>
      <c r="BA787" s="3" t="s">
        <v>7923</v>
      </c>
      <c r="BB787" s="3" t="s">
        <v>7924</v>
      </c>
      <c r="BC787" s="3" t="s">
        <v>82</v>
      </c>
      <c r="BD787" s="3" t="s">
        <v>70</v>
      </c>
      <c r="BE787" s="3" t="s">
        <v>7925</v>
      </c>
      <c r="BF787" s="3" t="s">
        <v>7924</v>
      </c>
      <c r="BG787" s="3" t="s">
        <v>7926</v>
      </c>
    </row>
    <row r="788" spans="1:59" ht="60" x14ac:dyDescent="0.25">
      <c r="A788" s="2" t="s">
        <v>59</v>
      </c>
      <c r="B788" s="2" t="s">
        <v>60</v>
      </c>
      <c r="C788" s="2" t="s">
        <v>7927</v>
      </c>
      <c r="D788" s="2" t="s">
        <v>7928</v>
      </c>
      <c r="E788" s="2" t="s">
        <v>7929</v>
      </c>
      <c r="G788" s="3" t="s">
        <v>63</v>
      </c>
      <c r="I788" s="3" t="s">
        <v>62</v>
      </c>
      <c r="J788" s="3" t="s">
        <v>63</v>
      </c>
      <c r="K788" s="3" t="s">
        <v>64</v>
      </c>
      <c r="L788" s="2" t="s">
        <v>7930</v>
      </c>
      <c r="M788" s="2" t="s">
        <v>7931</v>
      </c>
      <c r="N788" s="3" t="s">
        <v>300</v>
      </c>
      <c r="P788" s="3" t="s">
        <v>66</v>
      </c>
      <c r="Q788" s="2" t="s">
        <v>7932</v>
      </c>
      <c r="R788" s="3" t="s">
        <v>67</v>
      </c>
      <c r="S788" s="4">
        <v>1</v>
      </c>
      <c r="T788" s="4">
        <v>11</v>
      </c>
      <c r="U788" s="5" t="s">
        <v>6410</v>
      </c>
      <c r="V788" s="5" t="s">
        <v>6410</v>
      </c>
      <c r="W788" s="5" t="s">
        <v>69</v>
      </c>
      <c r="X788" s="5" t="s">
        <v>69</v>
      </c>
      <c r="Y788" s="4">
        <v>467</v>
      </c>
      <c r="Z788" s="4">
        <v>25</v>
      </c>
      <c r="AA788" s="4">
        <v>44</v>
      </c>
      <c r="AB788" s="4">
        <v>2</v>
      </c>
      <c r="AC788" s="4">
        <v>2</v>
      </c>
      <c r="AD788" s="4">
        <v>82</v>
      </c>
      <c r="AE788" s="4">
        <v>116</v>
      </c>
      <c r="AF788" s="4">
        <v>1</v>
      </c>
      <c r="AG788" s="4">
        <v>1</v>
      </c>
      <c r="AH788" s="4">
        <v>70</v>
      </c>
      <c r="AI788" s="4">
        <v>93</v>
      </c>
      <c r="AJ788" s="4">
        <v>13</v>
      </c>
      <c r="AK788" s="4">
        <v>23</v>
      </c>
      <c r="AL788" s="4">
        <v>38</v>
      </c>
      <c r="AM788" s="4">
        <v>47</v>
      </c>
      <c r="AN788" s="4">
        <v>0</v>
      </c>
      <c r="AO788" s="4">
        <v>0</v>
      </c>
      <c r="AP788" s="4">
        <v>19</v>
      </c>
      <c r="AQ788" s="4">
        <v>32</v>
      </c>
      <c r="AR788" s="3" t="s">
        <v>63</v>
      </c>
      <c r="AS788" s="3" t="s">
        <v>63</v>
      </c>
      <c r="AT788" s="3" t="s">
        <v>62</v>
      </c>
      <c r="AU788" s="6" t="str">
        <f>HYPERLINK("http://catalog.hathitrust.org/Record/001353211","HathiTrust Record")</f>
        <v>HathiTrust Record</v>
      </c>
      <c r="AV788" s="6" t="str">
        <f>HYPERLINK("http://mcgill.on.worldcat.org/oclc/845484","Catalog Record")</f>
        <v>Catalog Record</v>
      </c>
      <c r="AW788" s="6" t="str">
        <f>HYPERLINK("http://www.worldcat.org/oclc/845484","WorldCat Record")</f>
        <v>WorldCat Record</v>
      </c>
      <c r="AX788" s="3" t="s">
        <v>7933</v>
      </c>
      <c r="AY788" s="3" t="s">
        <v>7934</v>
      </c>
      <c r="AZ788" s="3" t="s">
        <v>7935</v>
      </c>
      <c r="BA788" s="3" t="s">
        <v>7935</v>
      </c>
      <c r="BB788" s="3" t="s">
        <v>7936</v>
      </c>
      <c r="BC788" s="3" t="s">
        <v>82</v>
      </c>
      <c r="BD788" s="3" t="s">
        <v>70</v>
      </c>
      <c r="BF788" s="3" t="s">
        <v>7936</v>
      </c>
      <c r="BG788" s="3" t="s">
        <v>7937</v>
      </c>
    </row>
    <row r="789" spans="1:59" ht="60" x14ac:dyDescent="0.25">
      <c r="A789" s="2" t="s">
        <v>59</v>
      </c>
      <c r="B789" s="2" t="s">
        <v>60</v>
      </c>
      <c r="C789" s="2" t="s">
        <v>7927</v>
      </c>
      <c r="D789" s="2" t="s">
        <v>7928</v>
      </c>
      <c r="E789" s="2" t="s">
        <v>7929</v>
      </c>
      <c r="G789" s="3" t="s">
        <v>63</v>
      </c>
      <c r="I789" s="3" t="s">
        <v>62</v>
      </c>
      <c r="J789" s="3" t="s">
        <v>63</v>
      </c>
      <c r="K789" s="3" t="s">
        <v>64</v>
      </c>
      <c r="L789" s="2" t="s">
        <v>7930</v>
      </c>
      <c r="M789" s="2" t="s">
        <v>7931</v>
      </c>
      <c r="N789" s="3" t="s">
        <v>300</v>
      </c>
      <c r="P789" s="3" t="s">
        <v>66</v>
      </c>
      <c r="Q789" s="2" t="s">
        <v>7932</v>
      </c>
      <c r="R789" s="3" t="s">
        <v>67</v>
      </c>
      <c r="S789" s="4">
        <v>10</v>
      </c>
      <c r="T789" s="4">
        <v>11</v>
      </c>
      <c r="U789" s="5" t="s">
        <v>3124</v>
      </c>
      <c r="V789" s="5" t="s">
        <v>6410</v>
      </c>
      <c r="W789" s="5" t="s">
        <v>69</v>
      </c>
      <c r="X789" s="5" t="s">
        <v>69</v>
      </c>
      <c r="Y789" s="4">
        <v>467</v>
      </c>
      <c r="Z789" s="4">
        <v>25</v>
      </c>
      <c r="AA789" s="4">
        <v>44</v>
      </c>
      <c r="AB789" s="4">
        <v>2</v>
      </c>
      <c r="AC789" s="4">
        <v>2</v>
      </c>
      <c r="AD789" s="4">
        <v>82</v>
      </c>
      <c r="AE789" s="4">
        <v>116</v>
      </c>
      <c r="AF789" s="4">
        <v>1</v>
      </c>
      <c r="AG789" s="4">
        <v>1</v>
      </c>
      <c r="AH789" s="4">
        <v>70</v>
      </c>
      <c r="AI789" s="4">
        <v>93</v>
      </c>
      <c r="AJ789" s="4">
        <v>13</v>
      </c>
      <c r="AK789" s="4">
        <v>23</v>
      </c>
      <c r="AL789" s="4">
        <v>38</v>
      </c>
      <c r="AM789" s="4">
        <v>47</v>
      </c>
      <c r="AN789" s="4">
        <v>0</v>
      </c>
      <c r="AO789" s="4">
        <v>0</v>
      </c>
      <c r="AP789" s="4">
        <v>19</v>
      </c>
      <c r="AQ789" s="4">
        <v>32</v>
      </c>
      <c r="AR789" s="3" t="s">
        <v>63</v>
      </c>
      <c r="AS789" s="3" t="s">
        <v>63</v>
      </c>
      <c r="AT789" s="3" t="s">
        <v>62</v>
      </c>
      <c r="AU789" s="6" t="str">
        <f>HYPERLINK("http://catalog.hathitrust.org/Record/001353211","HathiTrust Record")</f>
        <v>HathiTrust Record</v>
      </c>
      <c r="AV789" s="6" t="str">
        <f>HYPERLINK("http://mcgill.on.worldcat.org/oclc/845484","Catalog Record")</f>
        <v>Catalog Record</v>
      </c>
      <c r="AW789" s="6" t="str">
        <f>HYPERLINK("http://www.worldcat.org/oclc/845484","WorldCat Record")</f>
        <v>WorldCat Record</v>
      </c>
      <c r="AX789" s="3" t="s">
        <v>7933</v>
      </c>
      <c r="AY789" s="3" t="s">
        <v>7934</v>
      </c>
      <c r="AZ789" s="3" t="s">
        <v>7935</v>
      </c>
      <c r="BA789" s="3" t="s">
        <v>7935</v>
      </c>
      <c r="BB789" s="3" t="s">
        <v>7938</v>
      </c>
      <c r="BC789" s="3" t="s">
        <v>82</v>
      </c>
      <c r="BD789" s="3" t="s">
        <v>70</v>
      </c>
      <c r="BF789" s="3" t="s">
        <v>7938</v>
      </c>
      <c r="BG789" s="3" t="s">
        <v>7939</v>
      </c>
    </row>
    <row r="790" spans="1:59" ht="60" x14ac:dyDescent="0.25">
      <c r="A790" s="2" t="s">
        <v>59</v>
      </c>
      <c r="B790" s="2" t="s">
        <v>60</v>
      </c>
      <c r="C790" s="2" t="s">
        <v>7940</v>
      </c>
      <c r="D790" s="2" t="s">
        <v>7941</v>
      </c>
      <c r="E790" s="2" t="s">
        <v>7942</v>
      </c>
      <c r="G790" s="3" t="s">
        <v>63</v>
      </c>
      <c r="I790" s="3" t="s">
        <v>63</v>
      </c>
      <c r="J790" s="3" t="s">
        <v>63</v>
      </c>
      <c r="K790" s="3" t="s">
        <v>64</v>
      </c>
      <c r="L790" s="2" t="s">
        <v>7943</v>
      </c>
      <c r="M790" s="2" t="s">
        <v>7944</v>
      </c>
      <c r="N790" s="3" t="s">
        <v>2535</v>
      </c>
      <c r="P790" s="3" t="s">
        <v>90</v>
      </c>
      <c r="R790" s="3" t="s">
        <v>67</v>
      </c>
      <c r="S790" s="4">
        <v>1</v>
      </c>
      <c r="T790" s="4">
        <v>1</v>
      </c>
      <c r="U790" s="5" t="s">
        <v>4874</v>
      </c>
      <c r="V790" s="5" t="s">
        <v>4874</v>
      </c>
      <c r="W790" s="5" t="s">
        <v>69</v>
      </c>
      <c r="X790" s="5" t="s">
        <v>69</v>
      </c>
      <c r="Y790" s="4">
        <v>86</v>
      </c>
      <c r="Z790" s="4">
        <v>4</v>
      </c>
      <c r="AA790" s="4">
        <v>4</v>
      </c>
      <c r="AB790" s="4">
        <v>1</v>
      </c>
      <c r="AC790" s="4">
        <v>1</v>
      </c>
      <c r="AD790" s="4">
        <v>55</v>
      </c>
      <c r="AE790" s="4">
        <v>55</v>
      </c>
      <c r="AF790" s="4">
        <v>0</v>
      </c>
      <c r="AG790" s="4">
        <v>0</v>
      </c>
      <c r="AH790" s="4">
        <v>52</v>
      </c>
      <c r="AI790" s="4">
        <v>52</v>
      </c>
      <c r="AJ790" s="4">
        <v>3</v>
      </c>
      <c r="AK790" s="4">
        <v>3</v>
      </c>
      <c r="AL790" s="4">
        <v>39</v>
      </c>
      <c r="AM790" s="4">
        <v>39</v>
      </c>
      <c r="AN790" s="4">
        <v>0</v>
      </c>
      <c r="AO790" s="4">
        <v>0</v>
      </c>
      <c r="AP790" s="4">
        <v>3</v>
      </c>
      <c r="AQ790" s="4">
        <v>3</v>
      </c>
      <c r="AR790" s="3" t="s">
        <v>63</v>
      </c>
      <c r="AS790" s="3" t="s">
        <v>63</v>
      </c>
      <c r="AT790" s="3" t="s">
        <v>62</v>
      </c>
      <c r="AU790" s="6" t="str">
        <f>HYPERLINK("http://catalog.hathitrust.org/Record/001731430","HathiTrust Record")</f>
        <v>HathiTrust Record</v>
      </c>
      <c r="AV790" s="6" t="str">
        <f>HYPERLINK("http://mcgill.on.worldcat.org/oclc/1381829","Catalog Record")</f>
        <v>Catalog Record</v>
      </c>
      <c r="AW790" s="6" t="str">
        <f>HYPERLINK("http://www.worldcat.org/oclc/1381829","WorldCat Record")</f>
        <v>WorldCat Record</v>
      </c>
      <c r="AX790" s="3" t="s">
        <v>7945</v>
      </c>
      <c r="AY790" s="3" t="s">
        <v>7946</v>
      </c>
      <c r="AZ790" s="3" t="s">
        <v>7947</v>
      </c>
      <c r="BA790" s="3" t="s">
        <v>7947</v>
      </c>
      <c r="BB790" s="3" t="s">
        <v>7948</v>
      </c>
      <c r="BC790" s="3" t="s">
        <v>82</v>
      </c>
      <c r="BD790" s="3" t="s">
        <v>70</v>
      </c>
      <c r="BF790" s="3" t="s">
        <v>7948</v>
      </c>
      <c r="BG790" s="3" t="s">
        <v>7949</v>
      </c>
    </row>
    <row r="791" spans="1:59" ht="60" x14ac:dyDescent="0.25">
      <c r="A791" s="2" t="s">
        <v>59</v>
      </c>
      <c r="B791" s="2" t="s">
        <v>60</v>
      </c>
      <c r="C791" s="2" t="s">
        <v>7950</v>
      </c>
      <c r="D791" s="2" t="s">
        <v>7951</v>
      </c>
      <c r="E791" s="2" t="s">
        <v>7952</v>
      </c>
      <c r="G791" s="3" t="s">
        <v>63</v>
      </c>
      <c r="I791" s="3" t="s">
        <v>63</v>
      </c>
      <c r="J791" s="3" t="s">
        <v>63</v>
      </c>
      <c r="K791" s="3" t="s">
        <v>64</v>
      </c>
      <c r="L791" s="2" t="s">
        <v>7953</v>
      </c>
      <c r="M791" s="2" t="s">
        <v>7954</v>
      </c>
      <c r="N791" s="3" t="s">
        <v>220</v>
      </c>
      <c r="P791" s="3" t="s">
        <v>66</v>
      </c>
      <c r="Q791" s="2" t="s">
        <v>5152</v>
      </c>
      <c r="R791" s="3" t="s">
        <v>67</v>
      </c>
      <c r="S791" s="4">
        <v>21</v>
      </c>
      <c r="T791" s="4">
        <v>21</v>
      </c>
      <c r="U791" s="5" t="s">
        <v>1173</v>
      </c>
      <c r="V791" s="5" t="s">
        <v>1173</v>
      </c>
      <c r="W791" s="5" t="s">
        <v>69</v>
      </c>
      <c r="X791" s="5" t="s">
        <v>69</v>
      </c>
      <c r="Y791" s="4">
        <v>347</v>
      </c>
      <c r="Z791" s="4">
        <v>21</v>
      </c>
      <c r="AA791" s="4">
        <v>22</v>
      </c>
      <c r="AB791" s="4">
        <v>1</v>
      </c>
      <c r="AC791" s="4">
        <v>2</v>
      </c>
      <c r="AD791" s="4">
        <v>108</v>
      </c>
      <c r="AE791" s="4">
        <v>109</v>
      </c>
      <c r="AF791" s="4">
        <v>0</v>
      </c>
      <c r="AG791" s="4">
        <v>1</v>
      </c>
      <c r="AH791" s="4">
        <v>100</v>
      </c>
      <c r="AI791" s="4">
        <v>101</v>
      </c>
      <c r="AJ791" s="4">
        <v>15</v>
      </c>
      <c r="AK791" s="4">
        <v>16</v>
      </c>
      <c r="AL791" s="4">
        <v>56</v>
      </c>
      <c r="AM791" s="4">
        <v>56</v>
      </c>
      <c r="AN791" s="4">
        <v>0</v>
      </c>
      <c r="AO791" s="4">
        <v>0</v>
      </c>
      <c r="AP791" s="4">
        <v>16</v>
      </c>
      <c r="AQ791" s="4">
        <v>17</v>
      </c>
      <c r="AR791" s="3" t="s">
        <v>63</v>
      </c>
      <c r="AS791" s="3" t="s">
        <v>63</v>
      </c>
      <c r="AT791" s="3" t="s">
        <v>63</v>
      </c>
      <c r="AV791" s="6" t="str">
        <f>HYPERLINK("http://mcgill.on.worldcat.org/oclc/27680297","Catalog Record")</f>
        <v>Catalog Record</v>
      </c>
      <c r="AW791" s="6" t="str">
        <f>HYPERLINK("http://www.worldcat.org/oclc/27680297","WorldCat Record")</f>
        <v>WorldCat Record</v>
      </c>
      <c r="AX791" s="3" t="s">
        <v>7955</v>
      </c>
      <c r="AY791" s="3" t="s">
        <v>7956</v>
      </c>
      <c r="AZ791" s="3" t="s">
        <v>7957</v>
      </c>
      <c r="BA791" s="3" t="s">
        <v>7957</v>
      </c>
      <c r="BB791" s="3" t="s">
        <v>7958</v>
      </c>
      <c r="BC791" s="3" t="s">
        <v>82</v>
      </c>
      <c r="BD791" s="3" t="s">
        <v>70</v>
      </c>
      <c r="BE791" s="3" t="s">
        <v>7959</v>
      </c>
      <c r="BF791" s="3" t="s">
        <v>7958</v>
      </c>
      <c r="BG791" s="3" t="s">
        <v>7960</v>
      </c>
    </row>
    <row r="792" spans="1:59" ht="60" x14ac:dyDescent="0.25">
      <c r="A792" s="2" t="s">
        <v>59</v>
      </c>
      <c r="B792" s="2" t="s">
        <v>60</v>
      </c>
      <c r="C792" s="2" t="s">
        <v>7961</v>
      </c>
      <c r="D792" s="2" t="s">
        <v>7962</v>
      </c>
      <c r="E792" s="2" t="s">
        <v>7963</v>
      </c>
      <c r="G792" s="3" t="s">
        <v>63</v>
      </c>
      <c r="I792" s="3" t="s">
        <v>62</v>
      </c>
      <c r="J792" s="3" t="s">
        <v>63</v>
      </c>
      <c r="K792" s="3" t="s">
        <v>64</v>
      </c>
      <c r="L792" s="2" t="s">
        <v>7964</v>
      </c>
      <c r="M792" s="2" t="s">
        <v>7965</v>
      </c>
      <c r="N792" s="3" t="s">
        <v>401</v>
      </c>
      <c r="O792" s="2" t="s">
        <v>590</v>
      </c>
      <c r="P792" s="3" t="s">
        <v>66</v>
      </c>
      <c r="R792" s="3" t="s">
        <v>67</v>
      </c>
      <c r="S792" s="4">
        <v>5</v>
      </c>
      <c r="T792" s="4">
        <v>12</v>
      </c>
      <c r="U792" s="5" t="s">
        <v>7966</v>
      </c>
      <c r="V792" s="5" t="s">
        <v>7967</v>
      </c>
      <c r="W792" s="5" t="s">
        <v>69</v>
      </c>
      <c r="X792" s="5" t="s">
        <v>69</v>
      </c>
      <c r="Y792" s="4">
        <v>999</v>
      </c>
      <c r="Z792" s="4">
        <v>33</v>
      </c>
      <c r="AA792" s="4">
        <v>45</v>
      </c>
      <c r="AB792" s="4">
        <v>1</v>
      </c>
      <c r="AC792" s="4">
        <v>4</v>
      </c>
      <c r="AD792" s="4">
        <v>108</v>
      </c>
      <c r="AE792" s="4">
        <v>123</v>
      </c>
      <c r="AF792" s="4">
        <v>0</v>
      </c>
      <c r="AG792" s="4">
        <v>2</v>
      </c>
      <c r="AH792" s="4">
        <v>94</v>
      </c>
      <c r="AI792" s="4">
        <v>102</v>
      </c>
      <c r="AJ792" s="4">
        <v>15</v>
      </c>
      <c r="AK792" s="4">
        <v>19</v>
      </c>
      <c r="AL792" s="4">
        <v>53</v>
      </c>
      <c r="AM792" s="4">
        <v>57</v>
      </c>
      <c r="AN792" s="4">
        <v>0</v>
      </c>
      <c r="AO792" s="4">
        <v>0</v>
      </c>
      <c r="AP792" s="4">
        <v>19</v>
      </c>
      <c r="AQ792" s="4">
        <v>28</v>
      </c>
      <c r="AR792" s="3" t="s">
        <v>63</v>
      </c>
      <c r="AS792" s="3" t="s">
        <v>63</v>
      </c>
      <c r="AT792" s="3" t="s">
        <v>62</v>
      </c>
      <c r="AU792" s="6" t="str">
        <f>HYPERLINK("http://catalog.hathitrust.org/Record/001061970","HathiTrust Record")</f>
        <v>HathiTrust Record</v>
      </c>
      <c r="AV792" s="6" t="str">
        <f>HYPERLINK("http://mcgill.on.worldcat.org/oclc/321354","Catalog Record")</f>
        <v>Catalog Record</v>
      </c>
      <c r="AW792" s="6" t="str">
        <f>HYPERLINK("http://www.worldcat.org/oclc/321354","WorldCat Record")</f>
        <v>WorldCat Record</v>
      </c>
      <c r="AX792" s="3" t="s">
        <v>7968</v>
      </c>
      <c r="AY792" s="3" t="s">
        <v>7969</v>
      </c>
      <c r="AZ792" s="3" t="s">
        <v>7970</v>
      </c>
      <c r="BA792" s="3" t="s">
        <v>7970</v>
      </c>
      <c r="BB792" s="3" t="s">
        <v>7971</v>
      </c>
      <c r="BC792" s="3" t="s">
        <v>82</v>
      </c>
      <c r="BD792" s="3" t="s">
        <v>70</v>
      </c>
      <c r="BF792" s="3" t="s">
        <v>7971</v>
      </c>
      <c r="BG792" s="3" t="s">
        <v>7972</v>
      </c>
    </row>
    <row r="793" spans="1:59" ht="60" x14ac:dyDescent="0.25">
      <c r="A793" s="2" t="s">
        <v>59</v>
      </c>
      <c r="B793" s="2" t="s">
        <v>60</v>
      </c>
      <c r="C793" s="2" t="s">
        <v>7961</v>
      </c>
      <c r="D793" s="2" t="s">
        <v>7962</v>
      </c>
      <c r="E793" s="2" t="s">
        <v>7963</v>
      </c>
      <c r="G793" s="3" t="s">
        <v>63</v>
      </c>
      <c r="I793" s="3" t="s">
        <v>62</v>
      </c>
      <c r="J793" s="3" t="s">
        <v>63</v>
      </c>
      <c r="K793" s="3" t="s">
        <v>64</v>
      </c>
      <c r="L793" s="2" t="s">
        <v>7964</v>
      </c>
      <c r="M793" s="2" t="s">
        <v>7965</v>
      </c>
      <c r="N793" s="3" t="s">
        <v>401</v>
      </c>
      <c r="O793" s="2" t="s">
        <v>590</v>
      </c>
      <c r="P793" s="3" t="s">
        <v>66</v>
      </c>
      <c r="R793" s="3" t="s">
        <v>67</v>
      </c>
      <c r="S793" s="4">
        <v>7</v>
      </c>
      <c r="T793" s="4">
        <v>12</v>
      </c>
      <c r="U793" s="5" t="s">
        <v>7967</v>
      </c>
      <c r="V793" s="5" t="s">
        <v>7967</v>
      </c>
      <c r="W793" s="5" t="s">
        <v>69</v>
      </c>
      <c r="X793" s="5" t="s">
        <v>69</v>
      </c>
      <c r="Y793" s="4">
        <v>999</v>
      </c>
      <c r="Z793" s="4">
        <v>33</v>
      </c>
      <c r="AA793" s="4">
        <v>45</v>
      </c>
      <c r="AB793" s="4">
        <v>1</v>
      </c>
      <c r="AC793" s="4">
        <v>4</v>
      </c>
      <c r="AD793" s="4">
        <v>108</v>
      </c>
      <c r="AE793" s="4">
        <v>123</v>
      </c>
      <c r="AF793" s="4">
        <v>0</v>
      </c>
      <c r="AG793" s="4">
        <v>2</v>
      </c>
      <c r="AH793" s="4">
        <v>94</v>
      </c>
      <c r="AI793" s="4">
        <v>102</v>
      </c>
      <c r="AJ793" s="4">
        <v>15</v>
      </c>
      <c r="AK793" s="4">
        <v>19</v>
      </c>
      <c r="AL793" s="4">
        <v>53</v>
      </c>
      <c r="AM793" s="4">
        <v>57</v>
      </c>
      <c r="AN793" s="4">
        <v>0</v>
      </c>
      <c r="AO793" s="4">
        <v>0</v>
      </c>
      <c r="AP793" s="4">
        <v>19</v>
      </c>
      <c r="AQ793" s="4">
        <v>28</v>
      </c>
      <c r="AR793" s="3" t="s">
        <v>63</v>
      </c>
      <c r="AS793" s="3" t="s">
        <v>63</v>
      </c>
      <c r="AT793" s="3" t="s">
        <v>62</v>
      </c>
      <c r="AU793" s="6" t="str">
        <f>HYPERLINK("http://catalog.hathitrust.org/Record/001061970","HathiTrust Record")</f>
        <v>HathiTrust Record</v>
      </c>
      <c r="AV793" s="6" t="str">
        <f>HYPERLINK("http://mcgill.on.worldcat.org/oclc/321354","Catalog Record")</f>
        <v>Catalog Record</v>
      </c>
      <c r="AW793" s="6" t="str">
        <f>HYPERLINK("http://www.worldcat.org/oclc/321354","WorldCat Record")</f>
        <v>WorldCat Record</v>
      </c>
      <c r="AX793" s="3" t="s">
        <v>7968</v>
      </c>
      <c r="AY793" s="3" t="s">
        <v>7969</v>
      </c>
      <c r="AZ793" s="3" t="s">
        <v>7970</v>
      </c>
      <c r="BA793" s="3" t="s">
        <v>7970</v>
      </c>
      <c r="BB793" s="3" t="s">
        <v>7973</v>
      </c>
      <c r="BC793" s="3" t="s">
        <v>82</v>
      </c>
      <c r="BD793" s="3" t="s">
        <v>70</v>
      </c>
      <c r="BF793" s="3" t="s">
        <v>7973</v>
      </c>
      <c r="BG793" s="3" t="s">
        <v>7974</v>
      </c>
    </row>
    <row r="794" spans="1:59" ht="60" x14ac:dyDescent="0.25">
      <c r="A794" s="2" t="s">
        <v>59</v>
      </c>
      <c r="B794" s="2" t="s">
        <v>60</v>
      </c>
      <c r="C794" s="2" t="s">
        <v>7975</v>
      </c>
      <c r="D794" s="2" t="s">
        <v>7976</v>
      </c>
      <c r="E794" s="2" t="s">
        <v>7977</v>
      </c>
      <c r="G794" s="3" t="s">
        <v>63</v>
      </c>
      <c r="I794" s="3" t="s">
        <v>63</v>
      </c>
      <c r="J794" s="3" t="s">
        <v>62</v>
      </c>
      <c r="K794" s="3" t="s">
        <v>64</v>
      </c>
      <c r="L794" s="2" t="s">
        <v>7978</v>
      </c>
      <c r="M794" s="2" t="s">
        <v>7979</v>
      </c>
      <c r="N794" s="3" t="s">
        <v>7980</v>
      </c>
      <c r="P794" s="3" t="s">
        <v>66</v>
      </c>
      <c r="R794" s="3" t="s">
        <v>67</v>
      </c>
      <c r="S794" s="4">
        <v>7</v>
      </c>
      <c r="T794" s="4">
        <v>7</v>
      </c>
      <c r="U794" s="5" t="s">
        <v>3102</v>
      </c>
      <c r="V794" s="5" t="s">
        <v>3102</v>
      </c>
      <c r="W794" s="5" t="s">
        <v>69</v>
      </c>
      <c r="X794" s="5" t="s">
        <v>69</v>
      </c>
      <c r="Y794" s="4">
        <v>1</v>
      </c>
      <c r="Z794" s="4">
        <v>1</v>
      </c>
      <c r="AA794" s="4">
        <v>28</v>
      </c>
      <c r="AB794" s="4">
        <v>1</v>
      </c>
      <c r="AC794" s="4">
        <v>1</v>
      </c>
      <c r="AD794" s="4">
        <v>0</v>
      </c>
      <c r="AE794" s="4">
        <v>103</v>
      </c>
      <c r="AF794" s="4">
        <v>0</v>
      </c>
      <c r="AG794" s="4">
        <v>0</v>
      </c>
      <c r="AH794" s="4">
        <v>0</v>
      </c>
      <c r="AI794" s="4">
        <v>91</v>
      </c>
      <c r="AJ794" s="4">
        <v>0</v>
      </c>
      <c r="AK794" s="4">
        <v>13</v>
      </c>
      <c r="AL794" s="4">
        <v>0</v>
      </c>
      <c r="AM794" s="4">
        <v>56</v>
      </c>
      <c r="AN794" s="4">
        <v>0</v>
      </c>
      <c r="AO794" s="4">
        <v>0</v>
      </c>
      <c r="AP794" s="4">
        <v>0</v>
      </c>
      <c r="AQ794" s="4">
        <v>17</v>
      </c>
      <c r="AR794" s="3" t="s">
        <v>63</v>
      </c>
      <c r="AS794" s="3" t="s">
        <v>63</v>
      </c>
      <c r="AT794" s="3" t="s">
        <v>63</v>
      </c>
      <c r="AV794" s="6" t="str">
        <f>HYPERLINK("http://mcgill.on.worldcat.org/oclc/427854666","Catalog Record")</f>
        <v>Catalog Record</v>
      </c>
      <c r="AW794" s="6" t="str">
        <f>HYPERLINK("http://www.worldcat.org/oclc/427854666","WorldCat Record")</f>
        <v>WorldCat Record</v>
      </c>
      <c r="AX794" s="3" t="s">
        <v>7981</v>
      </c>
      <c r="AY794" s="3" t="s">
        <v>7982</v>
      </c>
      <c r="AZ794" s="3" t="s">
        <v>7983</v>
      </c>
      <c r="BA794" s="3" t="s">
        <v>7983</v>
      </c>
      <c r="BB794" s="3" t="s">
        <v>7984</v>
      </c>
      <c r="BC794" s="3" t="s">
        <v>82</v>
      </c>
      <c r="BD794" s="3" t="s">
        <v>70</v>
      </c>
      <c r="BF794" s="3" t="s">
        <v>7984</v>
      </c>
      <c r="BG794" s="3" t="s">
        <v>7985</v>
      </c>
    </row>
    <row r="795" spans="1:59" ht="60" x14ac:dyDescent="0.25">
      <c r="A795" s="2" t="s">
        <v>59</v>
      </c>
      <c r="B795" s="2" t="s">
        <v>60</v>
      </c>
      <c r="C795" s="2" t="s">
        <v>7986</v>
      </c>
      <c r="D795" s="2" t="s">
        <v>7987</v>
      </c>
      <c r="E795" s="2" t="s">
        <v>7988</v>
      </c>
      <c r="G795" s="3" t="s">
        <v>63</v>
      </c>
      <c r="I795" s="3" t="s">
        <v>63</v>
      </c>
      <c r="J795" s="3" t="s">
        <v>63</v>
      </c>
      <c r="K795" s="3" t="s">
        <v>64</v>
      </c>
      <c r="L795" s="2" t="s">
        <v>7989</v>
      </c>
      <c r="M795" s="2" t="s">
        <v>7990</v>
      </c>
      <c r="N795" s="3" t="s">
        <v>161</v>
      </c>
      <c r="P795" s="3" t="s">
        <v>66</v>
      </c>
      <c r="R795" s="3" t="s">
        <v>67</v>
      </c>
      <c r="S795" s="4">
        <v>23</v>
      </c>
      <c r="T795" s="4">
        <v>23</v>
      </c>
      <c r="U795" s="5" t="s">
        <v>7991</v>
      </c>
      <c r="V795" s="5" t="s">
        <v>7991</v>
      </c>
      <c r="W795" s="5" t="s">
        <v>69</v>
      </c>
      <c r="X795" s="5" t="s">
        <v>69</v>
      </c>
      <c r="Y795" s="4">
        <v>575</v>
      </c>
      <c r="Z795" s="4">
        <v>26</v>
      </c>
      <c r="AA795" s="4">
        <v>89</v>
      </c>
      <c r="AB795" s="4">
        <v>1</v>
      </c>
      <c r="AC795" s="4">
        <v>15</v>
      </c>
      <c r="AD795" s="4">
        <v>118</v>
      </c>
      <c r="AE795" s="4">
        <v>152</v>
      </c>
      <c r="AF795" s="4">
        <v>0</v>
      </c>
      <c r="AG795" s="4">
        <v>8</v>
      </c>
      <c r="AH795" s="4">
        <v>108</v>
      </c>
      <c r="AI795" s="4">
        <v>114</v>
      </c>
      <c r="AJ795" s="4">
        <v>17</v>
      </c>
      <c r="AK795" s="4">
        <v>26</v>
      </c>
      <c r="AL795" s="4">
        <v>55</v>
      </c>
      <c r="AM795" s="4">
        <v>60</v>
      </c>
      <c r="AN795" s="4">
        <v>0</v>
      </c>
      <c r="AO795" s="4">
        <v>0</v>
      </c>
      <c r="AP795" s="4">
        <v>19</v>
      </c>
      <c r="AQ795" s="4">
        <v>47</v>
      </c>
      <c r="AR795" s="3" t="s">
        <v>63</v>
      </c>
      <c r="AS795" s="3" t="s">
        <v>63</v>
      </c>
      <c r="AT795" s="3" t="s">
        <v>62</v>
      </c>
      <c r="AU795" s="6" t="str">
        <f>HYPERLINK("http://catalog.hathitrust.org/Record/001090990","HathiTrust Record")</f>
        <v>HathiTrust Record</v>
      </c>
      <c r="AV795" s="6" t="str">
        <f>HYPERLINK("http://mcgill.on.worldcat.org/oclc/17871851","Catalog Record")</f>
        <v>Catalog Record</v>
      </c>
      <c r="AW795" s="6" t="str">
        <f>HYPERLINK("http://www.worldcat.org/oclc/17871851","WorldCat Record")</f>
        <v>WorldCat Record</v>
      </c>
      <c r="AX795" s="3" t="s">
        <v>7992</v>
      </c>
      <c r="AY795" s="3" t="s">
        <v>7993</v>
      </c>
      <c r="AZ795" s="3" t="s">
        <v>7994</v>
      </c>
      <c r="BA795" s="3" t="s">
        <v>7994</v>
      </c>
      <c r="BB795" s="3" t="s">
        <v>7995</v>
      </c>
      <c r="BC795" s="3" t="s">
        <v>82</v>
      </c>
      <c r="BD795" s="3" t="s">
        <v>70</v>
      </c>
      <c r="BE795" s="3" t="s">
        <v>7996</v>
      </c>
      <c r="BF795" s="3" t="s">
        <v>7995</v>
      </c>
      <c r="BG795" s="3" t="s">
        <v>7997</v>
      </c>
    </row>
    <row r="796" spans="1:59" ht="60" x14ac:dyDescent="0.25">
      <c r="A796" s="2" t="s">
        <v>59</v>
      </c>
      <c r="B796" s="2" t="s">
        <v>60</v>
      </c>
      <c r="C796" s="2" t="s">
        <v>7998</v>
      </c>
      <c r="D796" s="2" t="s">
        <v>7999</v>
      </c>
      <c r="E796" s="2" t="s">
        <v>8000</v>
      </c>
      <c r="G796" s="3" t="s">
        <v>63</v>
      </c>
      <c r="I796" s="3" t="s">
        <v>63</v>
      </c>
      <c r="J796" s="3" t="s">
        <v>63</v>
      </c>
      <c r="K796" s="3" t="s">
        <v>64</v>
      </c>
      <c r="L796" s="2" t="s">
        <v>8001</v>
      </c>
      <c r="M796" s="2" t="s">
        <v>7361</v>
      </c>
      <c r="N796" s="3" t="s">
        <v>2765</v>
      </c>
      <c r="P796" s="3" t="s">
        <v>66</v>
      </c>
      <c r="Q796" s="2" t="s">
        <v>3902</v>
      </c>
      <c r="R796" s="3" t="s">
        <v>67</v>
      </c>
      <c r="S796" s="4">
        <v>7</v>
      </c>
      <c r="T796" s="4">
        <v>7</v>
      </c>
      <c r="U796" s="5" t="s">
        <v>8002</v>
      </c>
      <c r="V796" s="5" t="s">
        <v>8002</v>
      </c>
      <c r="W796" s="5" t="s">
        <v>69</v>
      </c>
      <c r="X796" s="5" t="s">
        <v>69</v>
      </c>
      <c r="Y796" s="4">
        <v>108</v>
      </c>
      <c r="Z796" s="4">
        <v>9</v>
      </c>
      <c r="AA796" s="4">
        <v>17</v>
      </c>
      <c r="AB796" s="4">
        <v>1</v>
      </c>
      <c r="AC796" s="4">
        <v>7</v>
      </c>
      <c r="AD796" s="4">
        <v>60</v>
      </c>
      <c r="AE796" s="4">
        <v>72</v>
      </c>
      <c r="AF796" s="4">
        <v>0</v>
      </c>
      <c r="AG796" s="4">
        <v>3</v>
      </c>
      <c r="AH796" s="4">
        <v>56</v>
      </c>
      <c r="AI796" s="4">
        <v>63</v>
      </c>
      <c r="AJ796" s="4">
        <v>6</v>
      </c>
      <c r="AK796" s="4">
        <v>10</v>
      </c>
      <c r="AL796" s="4">
        <v>39</v>
      </c>
      <c r="AM796" s="4">
        <v>42</v>
      </c>
      <c r="AN796" s="4">
        <v>0</v>
      </c>
      <c r="AO796" s="4">
        <v>0</v>
      </c>
      <c r="AP796" s="4">
        <v>6</v>
      </c>
      <c r="AQ796" s="4">
        <v>11</v>
      </c>
      <c r="AR796" s="3" t="s">
        <v>63</v>
      </c>
      <c r="AS796" s="3" t="s">
        <v>63</v>
      </c>
      <c r="AT796" s="3" t="s">
        <v>63</v>
      </c>
      <c r="AV796" s="6" t="str">
        <f>HYPERLINK("http://mcgill.on.worldcat.org/oclc/908991403","Catalog Record")</f>
        <v>Catalog Record</v>
      </c>
      <c r="AW796" s="6" t="str">
        <f>HYPERLINK("http://www.worldcat.org/oclc/908991403","WorldCat Record")</f>
        <v>WorldCat Record</v>
      </c>
      <c r="AX796" s="3" t="s">
        <v>8003</v>
      </c>
      <c r="AY796" s="3" t="s">
        <v>8004</v>
      </c>
      <c r="AZ796" s="3" t="s">
        <v>8005</v>
      </c>
      <c r="BA796" s="3" t="s">
        <v>8005</v>
      </c>
      <c r="BB796" s="3" t="s">
        <v>8006</v>
      </c>
      <c r="BC796" s="3" t="s">
        <v>82</v>
      </c>
      <c r="BD796" s="3" t="s">
        <v>538</v>
      </c>
      <c r="BE796" s="3" t="s">
        <v>8007</v>
      </c>
      <c r="BF796" s="3" t="s">
        <v>8006</v>
      </c>
      <c r="BG796" s="3" t="s">
        <v>8008</v>
      </c>
    </row>
    <row r="797" spans="1:59" ht="60" x14ac:dyDescent="0.25">
      <c r="A797" s="2" t="s">
        <v>59</v>
      </c>
      <c r="B797" s="2" t="s">
        <v>60</v>
      </c>
      <c r="C797" s="2" t="s">
        <v>8009</v>
      </c>
      <c r="D797" s="2" t="s">
        <v>8010</v>
      </c>
      <c r="E797" s="2" t="s">
        <v>8011</v>
      </c>
      <c r="G797" s="3" t="s">
        <v>63</v>
      </c>
      <c r="I797" s="3" t="s">
        <v>63</v>
      </c>
      <c r="J797" s="3" t="s">
        <v>63</v>
      </c>
      <c r="K797" s="3" t="s">
        <v>64</v>
      </c>
      <c r="L797" s="2" t="s">
        <v>8012</v>
      </c>
      <c r="M797" s="2" t="s">
        <v>8013</v>
      </c>
      <c r="N797" s="3" t="s">
        <v>455</v>
      </c>
      <c r="P797" s="3" t="s">
        <v>66</v>
      </c>
      <c r="R797" s="3" t="s">
        <v>67</v>
      </c>
      <c r="S797" s="4">
        <v>20</v>
      </c>
      <c r="T797" s="4">
        <v>20</v>
      </c>
      <c r="U797" s="5" t="s">
        <v>8014</v>
      </c>
      <c r="V797" s="5" t="s">
        <v>8014</v>
      </c>
      <c r="W797" s="5" t="s">
        <v>69</v>
      </c>
      <c r="X797" s="5" t="s">
        <v>69</v>
      </c>
      <c r="Y797" s="4">
        <v>312</v>
      </c>
      <c r="Z797" s="4">
        <v>20</v>
      </c>
      <c r="AA797" s="4">
        <v>21</v>
      </c>
      <c r="AB797" s="4">
        <v>2</v>
      </c>
      <c r="AC797" s="4">
        <v>3</v>
      </c>
      <c r="AD797" s="4">
        <v>110</v>
      </c>
      <c r="AE797" s="4">
        <v>111</v>
      </c>
      <c r="AF797" s="4">
        <v>1</v>
      </c>
      <c r="AG797" s="4">
        <v>2</v>
      </c>
      <c r="AH797" s="4">
        <v>100</v>
      </c>
      <c r="AI797" s="4">
        <v>100</v>
      </c>
      <c r="AJ797" s="4">
        <v>17</v>
      </c>
      <c r="AK797" s="4">
        <v>18</v>
      </c>
      <c r="AL797" s="4">
        <v>53</v>
      </c>
      <c r="AM797" s="4">
        <v>53</v>
      </c>
      <c r="AN797" s="4">
        <v>0</v>
      </c>
      <c r="AO797" s="4">
        <v>0</v>
      </c>
      <c r="AP797" s="4">
        <v>17</v>
      </c>
      <c r="AQ797" s="4">
        <v>18</v>
      </c>
      <c r="AR797" s="3" t="s">
        <v>63</v>
      </c>
      <c r="AS797" s="3" t="s">
        <v>63</v>
      </c>
      <c r="AT797" s="3" t="s">
        <v>62</v>
      </c>
      <c r="AU797" s="6" t="str">
        <f>HYPERLINK("http://catalog.hathitrust.org/Record/000245235","HathiTrust Record")</f>
        <v>HathiTrust Record</v>
      </c>
      <c r="AV797" s="6" t="str">
        <f>HYPERLINK("http://mcgill.on.worldcat.org/oclc/10161557","Catalog Record")</f>
        <v>Catalog Record</v>
      </c>
      <c r="AW797" s="6" t="str">
        <f>HYPERLINK("http://www.worldcat.org/oclc/10161557","WorldCat Record")</f>
        <v>WorldCat Record</v>
      </c>
      <c r="AX797" s="3" t="s">
        <v>8015</v>
      </c>
      <c r="AY797" s="3" t="s">
        <v>8016</v>
      </c>
      <c r="AZ797" s="3" t="s">
        <v>8017</v>
      </c>
      <c r="BA797" s="3" t="s">
        <v>8017</v>
      </c>
      <c r="BB797" s="3" t="s">
        <v>8018</v>
      </c>
      <c r="BC797" s="3" t="s">
        <v>82</v>
      </c>
      <c r="BD797" s="3" t="s">
        <v>70</v>
      </c>
      <c r="BE797" s="3" t="s">
        <v>8019</v>
      </c>
      <c r="BF797" s="3" t="s">
        <v>8018</v>
      </c>
      <c r="BG797" s="3" t="s">
        <v>8020</v>
      </c>
    </row>
    <row r="798" spans="1:59" ht="60" x14ac:dyDescent="0.25">
      <c r="A798" s="2" t="s">
        <v>59</v>
      </c>
      <c r="B798" s="2" t="s">
        <v>60</v>
      </c>
      <c r="C798" s="2" t="s">
        <v>8021</v>
      </c>
      <c r="D798" s="2" t="s">
        <v>8022</v>
      </c>
      <c r="E798" s="2" t="s">
        <v>8023</v>
      </c>
      <c r="G798" s="3" t="s">
        <v>63</v>
      </c>
      <c r="I798" s="3" t="s">
        <v>63</v>
      </c>
      <c r="J798" s="3" t="s">
        <v>63</v>
      </c>
      <c r="K798" s="3" t="s">
        <v>64</v>
      </c>
      <c r="L798" s="2" t="s">
        <v>8024</v>
      </c>
      <c r="M798" s="2" t="s">
        <v>8025</v>
      </c>
      <c r="N798" s="3" t="s">
        <v>287</v>
      </c>
      <c r="P798" s="3" t="s">
        <v>66</v>
      </c>
      <c r="R798" s="3" t="s">
        <v>67</v>
      </c>
      <c r="S798" s="4">
        <v>0</v>
      </c>
      <c r="T798" s="4">
        <v>0</v>
      </c>
      <c r="W798" s="5" t="s">
        <v>69</v>
      </c>
      <c r="X798" s="5" t="s">
        <v>69</v>
      </c>
      <c r="Y798" s="4">
        <v>90</v>
      </c>
      <c r="Z798" s="4">
        <v>8</v>
      </c>
      <c r="AA798" s="4">
        <v>13</v>
      </c>
      <c r="AB798" s="4">
        <v>1</v>
      </c>
      <c r="AC798" s="4">
        <v>4</v>
      </c>
      <c r="AD798" s="4">
        <v>51</v>
      </c>
      <c r="AE798" s="4">
        <v>56</v>
      </c>
      <c r="AF798" s="4">
        <v>0</v>
      </c>
      <c r="AG798" s="4">
        <v>1</v>
      </c>
      <c r="AH798" s="4">
        <v>44</v>
      </c>
      <c r="AI798" s="4">
        <v>48</v>
      </c>
      <c r="AJ798" s="4">
        <v>7</v>
      </c>
      <c r="AK798" s="4">
        <v>10</v>
      </c>
      <c r="AL798" s="4">
        <v>35</v>
      </c>
      <c r="AM798" s="4">
        <v>36</v>
      </c>
      <c r="AN798" s="4">
        <v>0</v>
      </c>
      <c r="AO798" s="4">
        <v>0</v>
      </c>
      <c r="AP798" s="4">
        <v>7</v>
      </c>
      <c r="AQ798" s="4">
        <v>9</v>
      </c>
      <c r="AR798" s="3" t="s">
        <v>63</v>
      </c>
      <c r="AS798" s="3" t="s">
        <v>63</v>
      </c>
      <c r="AT798" s="3" t="s">
        <v>63</v>
      </c>
      <c r="AV798" s="6" t="str">
        <f>HYPERLINK("http://mcgill.on.worldcat.org/oclc/1000018727","Catalog Record")</f>
        <v>Catalog Record</v>
      </c>
      <c r="AW798" s="6" t="str">
        <f>HYPERLINK("http://www.worldcat.org/oclc/1000018727","WorldCat Record")</f>
        <v>WorldCat Record</v>
      </c>
      <c r="AX798" s="3" t="s">
        <v>8026</v>
      </c>
      <c r="AY798" s="3" t="s">
        <v>8027</v>
      </c>
      <c r="AZ798" s="3" t="s">
        <v>8028</v>
      </c>
      <c r="BA798" s="3" t="s">
        <v>8028</v>
      </c>
      <c r="BB798" s="3" t="s">
        <v>8029</v>
      </c>
      <c r="BC798" s="3" t="s">
        <v>82</v>
      </c>
      <c r="BD798" s="3" t="s">
        <v>70</v>
      </c>
      <c r="BE798" s="3" t="s">
        <v>8030</v>
      </c>
      <c r="BF798" s="3" t="s">
        <v>8029</v>
      </c>
      <c r="BG798" s="3" t="s">
        <v>8031</v>
      </c>
    </row>
    <row r="799" spans="1:59" ht="75" x14ac:dyDescent="0.25">
      <c r="A799" s="2" t="s">
        <v>59</v>
      </c>
      <c r="B799" s="2" t="s">
        <v>60</v>
      </c>
      <c r="C799" s="2" t="s">
        <v>8032</v>
      </c>
      <c r="D799" s="2" t="s">
        <v>8033</v>
      </c>
      <c r="E799" s="2" t="s">
        <v>8034</v>
      </c>
      <c r="G799" s="3" t="s">
        <v>63</v>
      </c>
      <c r="I799" s="3" t="s">
        <v>63</v>
      </c>
      <c r="J799" s="3" t="s">
        <v>63</v>
      </c>
      <c r="K799" s="3" t="s">
        <v>64</v>
      </c>
      <c r="L799" s="2" t="s">
        <v>8035</v>
      </c>
      <c r="M799" s="2" t="s">
        <v>8036</v>
      </c>
      <c r="N799" s="3" t="s">
        <v>143</v>
      </c>
      <c r="P799" s="3" t="s">
        <v>66</v>
      </c>
      <c r="Q799" s="2" t="s">
        <v>7327</v>
      </c>
      <c r="R799" s="3" t="s">
        <v>67</v>
      </c>
      <c r="S799" s="4">
        <v>1</v>
      </c>
      <c r="T799" s="4">
        <v>1</v>
      </c>
      <c r="U799" s="5" t="s">
        <v>8037</v>
      </c>
      <c r="V799" s="5" t="s">
        <v>8037</v>
      </c>
      <c r="W799" s="5" t="s">
        <v>69</v>
      </c>
      <c r="X799" s="5" t="s">
        <v>69</v>
      </c>
      <c r="Y799" s="4">
        <v>146</v>
      </c>
      <c r="Z799" s="4">
        <v>11</v>
      </c>
      <c r="AA799" s="4">
        <v>11</v>
      </c>
      <c r="AB799" s="4">
        <v>1</v>
      </c>
      <c r="AC799" s="4">
        <v>1</v>
      </c>
      <c r="AD799" s="4">
        <v>77</v>
      </c>
      <c r="AE799" s="4">
        <v>77</v>
      </c>
      <c r="AF799" s="4">
        <v>0</v>
      </c>
      <c r="AG799" s="4">
        <v>0</v>
      </c>
      <c r="AH799" s="4">
        <v>73</v>
      </c>
      <c r="AI799" s="4">
        <v>73</v>
      </c>
      <c r="AJ799" s="4">
        <v>8</v>
      </c>
      <c r="AK799" s="4">
        <v>8</v>
      </c>
      <c r="AL799" s="4">
        <v>47</v>
      </c>
      <c r="AM799" s="4">
        <v>47</v>
      </c>
      <c r="AN799" s="4">
        <v>0</v>
      </c>
      <c r="AO799" s="4">
        <v>0</v>
      </c>
      <c r="AP799" s="4">
        <v>8</v>
      </c>
      <c r="AQ799" s="4">
        <v>8</v>
      </c>
      <c r="AR799" s="3" t="s">
        <v>63</v>
      </c>
      <c r="AS799" s="3" t="s">
        <v>63</v>
      </c>
      <c r="AT799" s="3" t="s">
        <v>63</v>
      </c>
      <c r="AV799" s="6" t="str">
        <f>HYPERLINK("http://mcgill.on.worldcat.org/oclc/843858250","Catalog Record")</f>
        <v>Catalog Record</v>
      </c>
      <c r="AW799" s="6" t="str">
        <f>HYPERLINK("http://www.worldcat.org/oclc/843858250","WorldCat Record")</f>
        <v>WorldCat Record</v>
      </c>
      <c r="AX799" s="3" t="s">
        <v>8038</v>
      </c>
      <c r="AY799" s="3" t="s">
        <v>8039</v>
      </c>
      <c r="AZ799" s="3" t="s">
        <v>8040</v>
      </c>
      <c r="BA799" s="3" t="s">
        <v>8040</v>
      </c>
      <c r="BB799" s="3" t="s">
        <v>8041</v>
      </c>
      <c r="BC799" s="3" t="s">
        <v>82</v>
      </c>
      <c r="BD799" s="3" t="s">
        <v>70</v>
      </c>
      <c r="BE799" s="3" t="s">
        <v>8042</v>
      </c>
      <c r="BF799" s="3" t="s">
        <v>8041</v>
      </c>
      <c r="BG799" s="3" t="s">
        <v>8043</v>
      </c>
    </row>
    <row r="800" spans="1:59" ht="60" x14ac:dyDescent="0.25">
      <c r="A800" s="2" t="s">
        <v>59</v>
      </c>
      <c r="B800" s="2" t="s">
        <v>60</v>
      </c>
      <c r="C800" s="2" t="s">
        <v>8044</v>
      </c>
      <c r="D800" s="2" t="s">
        <v>8045</v>
      </c>
      <c r="E800" s="2" t="s">
        <v>8046</v>
      </c>
      <c r="G800" s="3" t="s">
        <v>63</v>
      </c>
      <c r="I800" s="3" t="s">
        <v>63</v>
      </c>
      <c r="J800" s="3" t="s">
        <v>63</v>
      </c>
      <c r="K800" s="3" t="s">
        <v>64</v>
      </c>
      <c r="L800" s="2" t="s">
        <v>8047</v>
      </c>
      <c r="M800" s="2" t="s">
        <v>299</v>
      </c>
      <c r="N800" s="3" t="s">
        <v>300</v>
      </c>
      <c r="P800" s="3" t="s">
        <v>66</v>
      </c>
      <c r="Q800" s="2" t="s">
        <v>8048</v>
      </c>
      <c r="R800" s="3" t="s">
        <v>67</v>
      </c>
      <c r="S800" s="4">
        <v>15</v>
      </c>
      <c r="T800" s="4">
        <v>15</v>
      </c>
      <c r="U800" s="5" t="s">
        <v>8049</v>
      </c>
      <c r="V800" s="5" t="s">
        <v>8049</v>
      </c>
      <c r="W800" s="5" t="s">
        <v>69</v>
      </c>
      <c r="X800" s="5" t="s">
        <v>69</v>
      </c>
      <c r="Y800" s="4">
        <v>340</v>
      </c>
      <c r="Z800" s="4">
        <v>26</v>
      </c>
      <c r="AA800" s="4">
        <v>28</v>
      </c>
      <c r="AB800" s="4">
        <v>2</v>
      </c>
      <c r="AC800" s="4">
        <v>3</v>
      </c>
      <c r="AD800" s="4">
        <v>105</v>
      </c>
      <c r="AE800" s="4">
        <v>107</v>
      </c>
      <c r="AF800" s="4">
        <v>1</v>
      </c>
      <c r="AG800" s="4">
        <v>2</v>
      </c>
      <c r="AH800" s="4">
        <v>91</v>
      </c>
      <c r="AI800" s="4">
        <v>91</v>
      </c>
      <c r="AJ800" s="4">
        <v>18</v>
      </c>
      <c r="AK800" s="4">
        <v>20</v>
      </c>
      <c r="AL800" s="4">
        <v>55</v>
      </c>
      <c r="AM800" s="4">
        <v>55</v>
      </c>
      <c r="AN800" s="4">
        <v>0</v>
      </c>
      <c r="AO800" s="4">
        <v>0</v>
      </c>
      <c r="AP800" s="4">
        <v>23</v>
      </c>
      <c r="AQ800" s="4">
        <v>24</v>
      </c>
      <c r="AR800" s="3" t="s">
        <v>63</v>
      </c>
      <c r="AS800" s="3" t="s">
        <v>63</v>
      </c>
      <c r="AT800" s="3" t="s">
        <v>62</v>
      </c>
      <c r="AU800" s="6" t="str">
        <f>HYPERLINK("http://catalog.hathitrust.org/Record/001061868","HathiTrust Record")</f>
        <v>HathiTrust Record</v>
      </c>
      <c r="AV800" s="6" t="str">
        <f>HYPERLINK("http://mcgill.on.worldcat.org/oclc/1074553","Catalog Record")</f>
        <v>Catalog Record</v>
      </c>
      <c r="AW800" s="6" t="str">
        <f>HYPERLINK("http://www.worldcat.org/oclc/1074553","WorldCat Record")</f>
        <v>WorldCat Record</v>
      </c>
      <c r="AX800" s="3" t="s">
        <v>8050</v>
      </c>
      <c r="AY800" s="3" t="s">
        <v>8051</v>
      </c>
      <c r="AZ800" s="3" t="s">
        <v>8052</v>
      </c>
      <c r="BA800" s="3" t="s">
        <v>8052</v>
      </c>
      <c r="BB800" s="3" t="s">
        <v>8053</v>
      </c>
      <c r="BC800" s="3" t="s">
        <v>82</v>
      </c>
      <c r="BD800" s="3" t="s">
        <v>70</v>
      </c>
      <c r="BF800" s="3" t="s">
        <v>8053</v>
      </c>
      <c r="BG800" s="3" t="s">
        <v>8054</v>
      </c>
    </row>
    <row r="801" spans="1:59" ht="75" x14ac:dyDescent="0.25">
      <c r="A801" s="2" t="s">
        <v>59</v>
      </c>
      <c r="B801" s="2" t="s">
        <v>60</v>
      </c>
      <c r="C801" s="2" t="s">
        <v>8055</v>
      </c>
      <c r="D801" s="2" t="s">
        <v>8056</v>
      </c>
      <c r="E801" s="2" t="s">
        <v>8057</v>
      </c>
      <c r="G801" s="3" t="s">
        <v>63</v>
      </c>
      <c r="I801" s="3" t="s">
        <v>63</v>
      </c>
      <c r="J801" s="3" t="s">
        <v>63</v>
      </c>
      <c r="K801" s="3" t="s">
        <v>64</v>
      </c>
      <c r="L801" s="2" t="s">
        <v>8058</v>
      </c>
      <c r="M801" s="2" t="s">
        <v>8059</v>
      </c>
      <c r="N801" s="3" t="s">
        <v>106</v>
      </c>
      <c r="P801" s="3" t="s">
        <v>66</v>
      </c>
      <c r="R801" s="3" t="s">
        <v>67</v>
      </c>
      <c r="S801" s="4">
        <v>0</v>
      </c>
      <c r="T801" s="4">
        <v>0</v>
      </c>
      <c r="W801" s="5" t="s">
        <v>69</v>
      </c>
      <c r="X801" s="5" t="s">
        <v>69</v>
      </c>
      <c r="Y801" s="4">
        <v>252</v>
      </c>
      <c r="Z801" s="4">
        <v>11</v>
      </c>
      <c r="AA801" s="4">
        <v>14</v>
      </c>
      <c r="AB801" s="4">
        <v>1</v>
      </c>
      <c r="AC801" s="4">
        <v>4</v>
      </c>
      <c r="AD801" s="4">
        <v>62</v>
      </c>
      <c r="AE801" s="4">
        <v>63</v>
      </c>
      <c r="AF801" s="4">
        <v>0</v>
      </c>
      <c r="AG801" s="4">
        <v>0</v>
      </c>
      <c r="AH801" s="4">
        <v>57</v>
      </c>
      <c r="AI801" s="4">
        <v>58</v>
      </c>
      <c r="AJ801" s="4">
        <v>7</v>
      </c>
      <c r="AK801" s="4">
        <v>7</v>
      </c>
      <c r="AL801" s="4">
        <v>38</v>
      </c>
      <c r="AM801" s="4">
        <v>39</v>
      </c>
      <c r="AN801" s="4">
        <v>0</v>
      </c>
      <c r="AO801" s="4">
        <v>0</v>
      </c>
      <c r="AP801" s="4">
        <v>7</v>
      </c>
      <c r="AQ801" s="4">
        <v>7</v>
      </c>
      <c r="AR801" s="3" t="s">
        <v>63</v>
      </c>
      <c r="AS801" s="3" t="s">
        <v>63</v>
      </c>
      <c r="AT801" s="3" t="s">
        <v>63</v>
      </c>
      <c r="AV801" s="6" t="str">
        <f>HYPERLINK("http://mcgill.on.worldcat.org/oclc/921033684","Catalog Record")</f>
        <v>Catalog Record</v>
      </c>
      <c r="AW801" s="6" t="str">
        <f>HYPERLINK("http://www.worldcat.org/oclc/921033684","WorldCat Record")</f>
        <v>WorldCat Record</v>
      </c>
      <c r="AX801" s="3" t="s">
        <v>8060</v>
      </c>
      <c r="AY801" s="3" t="s">
        <v>8061</v>
      </c>
      <c r="AZ801" s="3" t="s">
        <v>8062</v>
      </c>
      <c r="BA801" s="3" t="s">
        <v>8062</v>
      </c>
      <c r="BB801" s="3" t="s">
        <v>8063</v>
      </c>
      <c r="BC801" s="3" t="s">
        <v>82</v>
      </c>
      <c r="BD801" s="3" t="s">
        <v>70</v>
      </c>
      <c r="BE801" s="3" t="s">
        <v>8064</v>
      </c>
      <c r="BF801" s="3" t="s">
        <v>8063</v>
      </c>
      <c r="BG801" s="3" t="s">
        <v>8065</v>
      </c>
    </row>
    <row r="802" spans="1:59" ht="60" x14ac:dyDescent="0.25">
      <c r="A802" s="2" t="s">
        <v>59</v>
      </c>
      <c r="B802" s="2" t="s">
        <v>60</v>
      </c>
      <c r="C802" s="2" t="s">
        <v>8066</v>
      </c>
      <c r="D802" s="2" t="s">
        <v>8067</v>
      </c>
      <c r="E802" s="2" t="s">
        <v>8068</v>
      </c>
      <c r="G802" s="3" t="s">
        <v>63</v>
      </c>
      <c r="I802" s="3" t="s">
        <v>63</v>
      </c>
      <c r="J802" s="3" t="s">
        <v>63</v>
      </c>
      <c r="K802" s="3" t="s">
        <v>64</v>
      </c>
      <c r="L802" s="2" t="s">
        <v>8069</v>
      </c>
      <c r="M802" s="2" t="s">
        <v>8070</v>
      </c>
      <c r="N802" s="3" t="s">
        <v>326</v>
      </c>
      <c r="P802" s="3" t="s">
        <v>66</v>
      </c>
      <c r="R802" s="3" t="s">
        <v>67</v>
      </c>
      <c r="S802" s="4">
        <v>3</v>
      </c>
      <c r="T802" s="4">
        <v>3</v>
      </c>
      <c r="U802" s="5" t="s">
        <v>8071</v>
      </c>
      <c r="V802" s="5" t="s">
        <v>8071</v>
      </c>
      <c r="W802" s="5" t="s">
        <v>69</v>
      </c>
      <c r="X802" s="5" t="s">
        <v>69</v>
      </c>
      <c r="Y802" s="4">
        <v>277</v>
      </c>
      <c r="Z802" s="4">
        <v>21</v>
      </c>
      <c r="AA802" s="4">
        <v>118</v>
      </c>
      <c r="AB802" s="4">
        <v>2</v>
      </c>
      <c r="AC802" s="4">
        <v>20</v>
      </c>
      <c r="AD802" s="4">
        <v>92</v>
      </c>
      <c r="AE802" s="4">
        <v>143</v>
      </c>
      <c r="AF802" s="4">
        <v>0</v>
      </c>
      <c r="AG802" s="4">
        <v>8</v>
      </c>
      <c r="AH802" s="4">
        <v>80</v>
      </c>
      <c r="AI802" s="4">
        <v>100</v>
      </c>
      <c r="AJ802" s="4">
        <v>15</v>
      </c>
      <c r="AK802" s="4">
        <v>27</v>
      </c>
      <c r="AL802" s="4">
        <v>53</v>
      </c>
      <c r="AM802" s="4">
        <v>57</v>
      </c>
      <c r="AN802" s="4">
        <v>0</v>
      </c>
      <c r="AO802" s="4">
        <v>0</v>
      </c>
      <c r="AP802" s="4">
        <v>15</v>
      </c>
      <c r="AQ802" s="4">
        <v>51</v>
      </c>
      <c r="AR802" s="3" t="s">
        <v>62</v>
      </c>
      <c r="AS802" s="3" t="s">
        <v>63</v>
      </c>
      <c r="AT802" s="3" t="s">
        <v>63</v>
      </c>
      <c r="AV802" s="6" t="str">
        <f>HYPERLINK("http://mcgill.on.worldcat.org/oclc/276340926","Catalog Record")</f>
        <v>Catalog Record</v>
      </c>
      <c r="AW802" s="6" t="str">
        <f>HYPERLINK("http://www.worldcat.org/oclc/276340926","WorldCat Record")</f>
        <v>WorldCat Record</v>
      </c>
      <c r="AX802" s="3" t="s">
        <v>8072</v>
      </c>
      <c r="AY802" s="3" t="s">
        <v>8073</v>
      </c>
      <c r="AZ802" s="3" t="s">
        <v>8074</v>
      </c>
      <c r="BA802" s="3" t="s">
        <v>8074</v>
      </c>
      <c r="BB802" s="3" t="s">
        <v>8075</v>
      </c>
      <c r="BC802" s="3" t="s">
        <v>82</v>
      </c>
      <c r="BD802" s="3" t="s">
        <v>70</v>
      </c>
      <c r="BE802" s="3" t="s">
        <v>8076</v>
      </c>
      <c r="BF802" s="3" t="s">
        <v>8075</v>
      </c>
      <c r="BG802" s="3" t="s">
        <v>8077</v>
      </c>
    </row>
    <row r="803" spans="1:59" ht="60" x14ac:dyDescent="0.25">
      <c r="A803" s="2" t="s">
        <v>59</v>
      </c>
      <c r="B803" s="2" t="s">
        <v>60</v>
      </c>
      <c r="C803" s="2" t="s">
        <v>8078</v>
      </c>
      <c r="D803" s="2" t="s">
        <v>8079</v>
      </c>
      <c r="E803" s="2" t="s">
        <v>8080</v>
      </c>
      <c r="G803" s="3" t="s">
        <v>63</v>
      </c>
      <c r="I803" s="3" t="s">
        <v>63</v>
      </c>
      <c r="J803" s="3" t="s">
        <v>63</v>
      </c>
      <c r="K803" s="3" t="s">
        <v>64</v>
      </c>
      <c r="L803" s="2" t="s">
        <v>4610</v>
      </c>
      <c r="M803" s="2" t="s">
        <v>8081</v>
      </c>
      <c r="N803" s="3" t="s">
        <v>247</v>
      </c>
      <c r="P803" s="3" t="s">
        <v>66</v>
      </c>
      <c r="Q803" s="2" t="s">
        <v>5294</v>
      </c>
      <c r="R803" s="3" t="s">
        <v>67</v>
      </c>
      <c r="S803" s="4">
        <v>18</v>
      </c>
      <c r="T803" s="4">
        <v>18</v>
      </c>
      <c r="U803" s="5" t="s">
        <v>8082</v>
      </c>
      <c r="V803" s="5" t="s">
        <v>8082</v>
      </c>
      <c r="W803" s="5" t="s">
        <v>69</v>
      </c>
      <c r="X803" s="5" t="s">
        <v>69</v>
      </c>
      <c r="Y803" s="4">
        <v>646</v>
      </c>
      <c r="Z803" s="4">
        <v>36</v>
      </c>
      <c r="AA803" s="4">
        <v>41</v>
      </c>
      <c r="AB803" s="4">
        <v>2</v>
      </c>
      <c r="AC803" s="4">
        <v>5</v>
      </c>
      <c r="AD803" s="4">
        <v>123</v>
      </c>
      <c r="AE803" s="4">
        <v>128</v>
      </c>
      <c r="AF803" s="4">
        <v>1</v>
      </c>
      <c r="AG803" s="4">
        <v>3</v>
      </c>
      <c r="AH803" s="4">
        <v>104</v>
      </c>
      <c r="AI803" s="4">
        <v>107</v>
      </c>
      <c r="AJ803" s="4">
        <v>19</v>
      </c>
      <c r="AK803" s="4">
        <v>22</v>
      </c>
      <c r="AL803" s="4">
        <v>56</v>
      </c>
      <c r="AM803" s="4">
        <v>57</v>
      </c>
      <c r="AN803" s="4">
        <v>0</v>
      </c>
      <c r="AO803" s="4">
        <v>0</v>
      </c>
      <c r="AP803" s="4">
        <v>25</v>
      </c>
      <c r="AQ803" s="4">
        <v>27</v>
      </c>
      <c r="AR803" s="3" t="s">
        <v>63</v>
      </c>
      <c r="AS803" s="3" t="s">
        <v>63</v>
      </c>
      <c r="AT803" s="3" t="s">
        <v>62</v>
      </c>
      <c r="AU803" s="6" t="str">
        <f>HYPERLINK("http://catalog.hathitrust.org/Record/000109219","HathiTrust Record")</f>
        <v>HathiTrust Record</v>
      </c>
      <c r="AV803" s="6" t="str">
        <f>HYPERLINK("http://mcgill.on.worldcat.org/oclc/8346127","Catalog Record")</f>
        <v>Catalog Record</v>
      </c>
      <c r="AW803" s="6" t="str">
        <f>HYPERLINK("http://www.worldcat.org/oclc/8346127","WorldCat Record")</f>
        <v>WorldCat Record</v>
      </c>
      <c r="AX803" s="3" t="s">
        <v>8083</v>
      </c>
      <c r="AY803" s="3" t="s">
        <v>8084</v>
      </c>
      <c r="AZ803" s="3" t="s">
        <v>8085</v>
      </c>
      <c r="BA803" s="3" t="s">
        <v>8085</v>
      </c>
      <c r="BB803" s="3" t="s">
        <v>8086</v>
      </c>
      <c r="BC803" s="3" t="s">
        <v>82</v>
      </c>
      <c r="BD803" s="3" t="s">
        <v>70</v>
      </c>
      <c r="BE803" s="3" t="s">
        <v>8087</v>
      </c>
      <c r="BF803" s="3" t="s">
        <v>8086</v>
      </c>
      <c r="BG803" s="3" t="s">
        <v>8088</v>
      </c>
    </row>
    <row r="804" spans="1:59" ht="60" x14ac:dyDescent="0.25">
      <c r="A804" s="2" t="s">
        <v>59</v>
      </c>
      <c r="B804" s="2" t="s">
        <v>60</v>
      </c>
      <c r="C804" s="2" t="s">
        <v>8089</v>
      </c>
      <c r="D804" s="2" t="s">
        <v>8090</v>
      </c>
      <c r="E804" s="2" t="s">
        <v>8091</v>
      </c>
      <c r="G804" s="3" t="s">
        <v>63</v>
      </c>
      <c r="I804" s="3" t="s">
        <v>63</v>
      </c>
      <c r="J804" s="3" t="s">
        <v>63</v>
      </c>
      <c r="K804" s="3" t="s">
        <v>64</v>
      </c>
      <c r="L804" s="2" t="s">
        <v>8092</v>
      </c>
      <c r="M804" s="2" t="s">
        <v>8093</v>
      </c>
      <c r="N804" s="3" t="s">
        <v>204</v>
      </c>
      <c r="P804" s="3" t="s">
        <v>66</v>
      </c>
      <c r="R804" s="3" t="s">
        <v>67</v>
      </c>
      <c r="S804" s="4">
        <v>1</v>
      </c>
      <c r="T804" s="4">
        <v>1</v>
      </c>
      <c r="U804" s="5" t="s">
        <v>8082</v>
      </c>
      <c r="V804" s="5" t="s">
        <v>8082</v>
      </c>
      <c r="W804" s="5" t="s">
        <v>69</v>
      </c>
      <c r="X804" s="5" t="s">
        <v>69</v>
      </c>
      <c r="Y804" s="4">
        <v>227</v>
      </c>
      <c r="Z804" s="4">
        <v>12</v>
      </c>
      <c r="AA804" s="4">
        <v>39</v>
      </c>
      <c r="AB804" s="4">
        <v>1</v>
      </c>
      <c r="AC804" s="4">
        <v>6</v>
      </c>
      <c r="AD804" s="4">
        <v>93</v>
      </c>
      <c r="AE804" s="4">
        <v>96</v>
      </c>
      <c r="AF804" s="4">
        <v>0</v>
      </c>
      <c r="AG804" s="4">
        <v>0</v>
      </c>
      <c r="AH804" s="4">
        <v>86</v>
      </c>
      <c r="AI804" s="4">
        <v>86</v>
      </c>
      <c r="AJ804" s="4">
        <v>8</v>
      </c>
      <c r="AK804" s="4">
        <v>8</v>
      </c>
      <c r="AL804" s="4">
        <v>51</v>
      </c>
      <c r="AM804" s="4">
        <v>51</v>
      </c>
      <c r="AN804" s="4">
        <v>0</v>
      </c>
      <c r="AO804" s="4">
        <v>0</v>
      </c>
      <c r="AP804" s="4">
        <v>9</v>
      </c>
      <c r="AQ804" s="4">
        <v>12</v>
      </c>
      <c r="AR804" s="3" t="s">
        <v>63</v>
      </c>
      <c r="AS804" s="3" t="s">
        <v>63</v>
      </c>
      <c r="AT804" s="3" t="s">
        <v>62</v>
      </c>
      <c r="AU804" s="6" t="str">
        <f>HYPERLINK("http://catalog.hathitrust.org/Record/003077781","HathiTrust Record")</f>
        <v>HathiTrust Record</v>
      </c>
      <c r="AV804" s="6" t="str">
        <f>HYPERLINK("http://mcgill.on.worldcat.org/oclc/33970327","Catalog Record")</f>
        <v>Catalog Record</v>
      </c>
      <c r="AW804" s="6" t="str">
        <f>HYPERLINK("http://www.worldcat.org/oclc/33970327","WorldCat Record")</f>
        <v>WorldCat Record</v>
      </c>
      <c r="AX804" s="3" t="s">
        <v>8094</v>
      </c>
      <c r="AY804" s="3" t="s">
        <v>8095</v>
      </c>
      <c r="AZ804" s="3" t="s">
        <v>8096</v>
      </c>
      <c r="BA804" s="3" t="s">
        <v>8096</v>
      </c>
      <c r="BB804" s="3" t="s">
        <v>8097</v>
      </c>
      <c r="BC804" s="3" t="s">
        <v>82</v>
      </c>
      <c r="BD804" s="3" t="s">
        <v>70</v>
      </c>
      <c r="BE804" s="3" t="s">
        <v>8098</v>
      </c>
      <c r="BF804" s="3" t="s">
        <v>8097</v>
      </c>
      <c r="BG804" s="3" t="s">
        <v>8099</v>
      </c>
    </row>
    <row r="805" spans="1:59" ht="60" x14ac:dyDescent="0.25">
      <c r="A805" s="2" t="s">
        <v>59</v>
      </c>
      <c r="B805" s="2" t="s">
        <v>60</v>
      </c>
      <c r="C805" s="2" t="s">
        <v>8100</v>
      </c>
      <c r="D805" s="2" t="s">
        <v>8101</v>
      </c>
      <c r="E805" s="2" t="s">
        <v>8102</v>
      </c>
      <c r="G805" s="3" t="s">
        <v>63</v>
      </c>
      <c r="I805" s="3" t="s">
        <v>63</v>
      </c>
      <c r="J805" s="3" t="s">
        <v>63</v>
      </c>
      <c r="K805" s="3" t="s">
        <v>64</v>
      </c>
      <c r="L805" s="2" t="s">
        <v>6124</v>
      </c>
      <c r="M805" s="2" t="s">
        <v>8103</v>
      </c>
      <c r="N805" s="3" t="s">
        <v>220</v>
      </c>
      <c r="P805" s="3" t="s">
        <v>66</v>
      </c>
      <c r="R805" s="3" t="s">
        <v>67</v>
      </c>
      <c r="S805" s="4">
        <v>19</v>
      </c>
      <c r="T805" s="4">
        <v>19</v>
      </c>
      <c r="U805" s="5" t="s">
        <v>4990</v>
      </c>
      <c r="V805" s="5" t="s">
        <v>4990</v>
      </c>
      <c r="W805" s="5" t="s">
        <v>69</v>
      </c>
      <c r="X805" s="5" t="s">
        <v>69</v>
      </c>
      <c r="Y805" s="4">
        <v>402</v>
      </c>
      <c r="Z805" s="4">
        <v>23</v>
      </c>
      <c r="AA805" s="4">
        <v>88</v>
      </c>
      <c r="AB805" s="4">
        <v>1</v>
      </c>
      <c r="AC805" s="4">
        <v>16</v>
      </c>
      <c r="AD805" s="4">
        <v>117</v>
      </c>
      <c r="AE805" s="4">
        <v>145</v>
      </c>
      <c r="AF805" s="4">
        <v>0</v>
      </c>
      <c r="AG805" s="4">
        <v>8</v>
      </c>
      <c r="AH805" s="4">
        <v>106</v>
      </c>
      <c r="AI805" s="4">
        <v>110</v>
      </c>
      <c r="AJ805" s="4">
        <v>17</v>
      </c>
      <c r="AK805" s="4">
        <v>25</v>
      </c>
      <c r="AL805" s="4">
        <v>57</v>
      </c>
      <c r="AM805" s="4">
        <v>58</v>
      </c>
      <c r="AN805" s="4">
        <v>0</v>
      </c>
      <c r="AO805" s="4">
        <v>0</v>
      </c>
      <c r="AP805" s="4">
        <v>19</v>
      </c>
      <c r="AQ805" s="4">
        <v>44</v>
      </c>
      <c r="AR805" s="3" t="s">
        <v>63</v>
      </c>
      <c r="AS805" s="3" t="s">
        <v>63</v>
      </c>
      <c r="AT805" s="3" t="s">
        <v>63</v>
      </c>
      <c r="AV805" s="6" t="str">
        <f>HYPERLINK("http://mcgill.on.worldcat.org/oclc/27226045","Catalog Record")</f>
        <v>Catalog Record</v>
      </c>
      <c r="AW805" s="6" t="str">
        <f>HYPERLINK("http://www.worldcat.org/oclc/27226045","WorldCat Record")</f>
        <v>WorldCat Record</v>
      </c>
      <c r="AX805" s="3" t="s">
        <v>8104</v>
      </c>
      <c r="AY805" s="3" t="s">
        <v>8105</v>
      </c>
      <c r="AZ805" s="3" t="s">
        <v>8106</v>
      </c>
      <c r="BA805" s="3" t="s">
        <v>8106</v>
      </c>
      <c r="BB805" s="3" t="s">
        <v>8107</v>
      </c>
      <c r="BC805" s="3" t="s">
        <v>82</v>
      </c>
      <c r="BD805" s="3" t="s">
        <v>70</v>
      </c>
      <c r="BE805" s="3" t="s">
        <v>8108</v>
      </c>
      <c r="BF805" s="3" t="s">
        <v>8107</v>
      </c>
      <c r="BG805" s="3" t="s">
        <v>8109</v>
      </c>
    </row>
    <row r="806" spans="1:59" ht="75" x14ac:dyDescent="0.25">
      <c r="A806" s="2" t="s">
        <v>59</v>
      </c>
      <c r="B806" s="2" t="s">
        <v>60</v>
      </c>
      <c r="C806" s="2" t="s">
        <v>8110</v>
      </c>
      <c r="D806" s="2" t="s">
        <v>8111</v>
      </c>
      <c r="E806" s="2" t="s">
        <v>8112</v>
      </c>
      <c r="G806" s="3" t="s">
        <v>63</v>
      </c>
      <c r="I806" s="3" t="s">
        <v>63</v>
      </c>
      <c r="J806" s="3" t="s">
        <v>63</v>
      </c>
      <c r="K806" s="3" t="s">
        <v>64</v>
      </c>
      <c r="L806" s="2" t="s">
        <v>8113</v>
      </c>
      <c r="M806" s="2" t="s">
        <v>8114</v>
      </c>
      <c r="N806" s="3" t="s">
        <v>362</v>
      </c>
      <c r="P806" s="3" t="s">
        <v>66</v>
      </c>
      <c r="Q806" s="2" t="s">
        <v>8115</v>
      </c>
      <c r="R806" s="3" t="s">
        <v>67</v>
      </c>
      <c r="S806" s="4">
        <v>26</v>
      </c>
      <c r="T806" s="4">
        <v>26</v>
      </c>
      <c r="U806" s="5" t="s">
        <v>8116</v>
      </c>
      <c r="V806" s="5" t="s">
        <v>8116</v>
      </c>
      <c r="W806" s="5" t="s">
        <v>69</v>
      </c>
      <c r="X806" s="5" t="s">
        <v>69</v>
      </c>
      <c r="Y806" s="4">
        <v>240</v>
      </c>
      <c r="Z806" s="4">
        <v>11</v>
      </c>
      <c r="AA806" s="4">
        <v>13</v>
      </c>
      <c r="AB806" s="4">
        <v>1</v>
      </c>
      <c r="AC806" s="4">
        <v>2</v>
      </c>
      <c r="AD806" s="4">
        <v>93</v>
      </c>
      <c r="AE806" s="4">
        <v>96</v>
      </c>
      <c r="AF806" s="4">
        <v>0</v>
      </c>
      <c r="AG806" s="4">
        <v>1</v>
      </c>
      <c r="AH806" s="4">
        <v>87</v>
      </c>
      <c r="AI806" s="4">
        <v>88</v>
      </c>
      <c r="AJ806" s="4">
        <v>8</v>
      </c>
      <c r="AK806" s="4">
        <v>10</v>
      </c>
      <c r="AL806" s="4">
        <v>51</v>
      </c>
      <c r="AM806" s="4">
        <v>51</v>
      </c>
      <c r="AN806" s="4">
        <v>0</v>
      </c>
      <c r="AO806" s="4">
        <v>0</v>
      </c>
      <c r="AP806" s="4">
        <v>9</v>
      </c>
      <c r="AQ806" s="4">
        <v>10</v>
      </c>
      <c r="AR806" s="3" t="s">
        <v>63</v>
      </c>
      <c r="AS806" s="3" t="s">
        <v>63</v>
      </c>
      <c r="AT806" s="3" t="s">
        <v>62</v>
      </c>
      <c r="AU806" s="6" t="str">
        <f>HYPERLINK("http://catalog.hathitrust.org/Record/007139604","HathiTrust Record")</f>
        <v>HathiTrust Record</v>
      </c>
      <c r="AV806" s="6" t="str">
        <f>HYPERLINK("http://mcgill.on.worldcat.org/oclc/44016549","Catalog Record")</f>
        <v>Catalog Record</v>
      </c>
      <c r="AW806" s="6" t="str">
        <f>HYPERLINK("http://www.worldcat.org/oclc/44016549","WorldCat Record")</f>
        <v>WorldCat Record</v>
      </c>
      <c r="AX806" s="3" t="s">
        <v>8117</v>
      </c>
      <c r="AY806" s="3" t="s">
        <v>8118</v>
      </c>
      <c r="AZ806" s="3" t="s">
        <v>8119</v>
      </c>
      <c r="BA806" s="3" t="s">
        <v>8119</v>
      </c>
      <c r="BB806" s="3" t="s">
        <v>8120</v>
      </c>
      <c r="BC806" s="3" t="s">
        <v>82</v>
      </c>
      <c r="BD806" s="3" t="s">
        <v>538</v>
      </c>
      <c r="BE806" s="3" t="s">
        <v>8121</v>
      </c>
      <c r="BF806" s="3" t="s">
        <v>8120</v>
      </c>
      <c r="BG806" s="3" t="s">
        <v>8122</v>
      </c>
    </row>
    <row r="807" spans="1:59" ht="75" x14ac:dyDescent="0.25">
      <c r="A807" s="2" t="s">
        <v>59</v>
      </c>
      <c r="B807" s="2" t="s">
        <v>60</v>
      </c>
      <c r="C807" s="2" t="s">
        <v>8123</v>
      </c>
      <c r="D807" s="2" t="s">
        <v>8124</v>
      </c>
      <c r="E807" s="2" t="s">
        <v>8125</v>
      </c>
      <c r="G807" s="3" t="s">
        <v>63</v>
      </c>
      <c r="I807" s="3" t="s">
        <v>63</v>
      </c>
      <c r="J807" s="3" t="s">
        <v>63</v>
      </c>
      <c r="K807" s="3" t="s">
        <v>64</v>
      </c>
      <c r="M807" s="2" t="s">
        <v>8126</v>
      </c>
      <c r="N807" s="3" t="s">
        <v>374</v>
      </c>
      <c r="P807" s="3" t="s">
        <v>66</v>
      </c>
      <c r="Q807" s="2" t="s">
        <v>3902</v>
      </c>
      <c r="R807" s="3" t="s">
        <v>67</v>
      </c>
      <c r="S807" s="4">
        <v>56</v>
      </c>
      <c r="T807" s="4">
        <v>56</v>
      </c>
      <c r="U807" s="5" t="s">
        <v>4990</v>
      </c>
      <c r="V807" s="5" t="s">
        <v>4990</v>
      </c>
      <c r="W807" s="5" t="s">
        <v>69</v>
      </c>
      <c r="X807" s="5" t="s">
        <v>69</v>
      </c>
      <c r="Y807" s="4">
        <v>368</v>
      </c>
      <c r="Z807" s="4">
        <v>22</v>
      </c>
      <c r="AA807" s="4">
        <v>28</v>
      </c>
      <c r="AB807" s="4">
        <v>1</v>
      </c>
      <c r="AC807" s="4">
        <v>5</v>
      </c>
      <c r="AD807" s="4">
        <v>111</v>
      </c>
      <c r="AE807" s="4">
        <v>115</v>
      </c>
      <c r="AF807" s="4">
        <v>0</v>
      </c>
      <c r="AG807" s="4">
        <v>1</v>
      </c>
      <c r="AH807" s="4">
        <v>101</v>
      </c>
      <c r="AI807" s="4">
        <v>103</v>
      </c>
      <c r="AJ807" s="4">
        <v>15</v>
      </c>
      <c r="AK807" s="4">
        <v>16</v>
      </c>
      <c r="AL807" s="4">
        <v>56</v>
      </c>
      <c r="AM807" s="4">
        <v>56</v>
      </c>
      <c r="AN807" s="4">
        <v>0</v>
      </c>
      <c r="AO807" s="4">
        <v>0</v>
      </c>
      <c r="AP807" s="4">
        <v>18</v>
      </c>
      <c r="AQ807" s="4">
        <v>21</v>
      </c>
      <c r="AR807" s="3" t="s">
        <v>63</v>
      </c>
      <c r="AS807" s="3" t="s">
        <v>63</v>
      </c>
      <c r="AT807" s="3" t="s">
        <v>62</v>
      </c>
      <c r="AU807" s="6" t="str">
        <f>HYPERLINK("http://catalog.hathitrust.org/Record/002997698","HathiTrust Record")</f>
        <v>HathiTrust Record</v>
      </c>
      <c r="AV807" s="6" t="str">
        <f>HYPERLINK("http://mcgill.on.worldcat.org/oclc/31900438","Catalog Record")</f>
        <v>Catalog Record</v>
      </c>
      <c r="AW807" s="6" t="str">
        <f>HYPERLINK("http://www.worldcat.org/oclc/31900438","WorldCat Record")</f>
        <v>WorldCat Record</v>
      </c>
      <c r="AX807" s="3" t="s">
        <v>8127</v>
      </c>
      <c r="AY807" s="3" t="s">
        <v>8128</v>
      </c>
      <c r="AZ807" s="3" t="s">
        <v>8129</v>
      </c>
      <c r="BA807" s="3" t="s">
        <v>8129</v>
      </c>
      <c r="BB807" s="3" t="s">
        <v>8130</v>
      </c>
      <c r="BC807" s="3" t="s">
        <v>82</v>
      </c>
      <c r="BD807" s="3" t="s">
        <v>538</v>
      </c>
      <c r="BE807" s="3" t="s">
        <v>8131</v>
      </c>
      <c r="BF807" s="3" t="s">
        <v>8130</v>
      </c>
      <c r="BG807" s="3" t="s">
        <v>8132</v>
      </c>
    </row>
    <row r="808" spans="1:59" ht="60" x14ac:dyDescent="0.25">
      <c r="A808" s="2" t="s">
        <v>59</v>
      </c>
      <c r="B808" s="2" t="s">
        <v>60</v>
      </c>
      <c r="C808" s="2" t="s">
        <v>8133</v>
      </c>
      <c r="D808" s="2" t="s">
        <v>8134</v>
      </c>
      <c r="E808" s="2" t="s">
        <v>8135</v>
      </c>
      <c r="G808" s="3" t="s">
        <v>63</v>
      </c>
      <c r="I808" s="3" t="s">
        <v>63</v>
      </c>
      <c r="J808" s="3" t="s">
        <v>63</v>
      </c>
      <c r="K808" s="3" t="s">
        <v>64</v>
      </c>
      <c r="L808" s="2" t="s">
        <v>8136</v>
      </c>
      <c r="M808" s="2" t="s">
        <v>8137</v>
      </c>
      <c r="N808" s="3" t="s">
        <v>247</v>
      </c>
      <c r="P808" s="3" t="s">
        <v>66</v>
      </c>
      <c r="R808" s="3" t="s">
        <v>67</v>
      </c>
      <c r="S808" s="4">
        <v>17</v>
      </c>
      <c r="T808" s="4">
        <v>17</v>
      </c>
      <c r="U808" s="5" t="s">
        <v>389</v>
      </c>
      <c r="V808" s="5" t="s">
        <v>389</v>
      </c>
      <c r="W808" s="5" t="s">
        <v>69</v>
      </c>
      <c r="X808" s="5" t="s">
        <v>69</v>
      </c>
      <c r="Y808" s="4">
        <v>647</v>
      </c>
      <c r="Z808" s="4">
        <v>31</v>
      </c>
      <c r="AA808" s="4">
        <v>31</v>
      </c>
      <c r="AB808" s="4">
        <v>2</v>
      </c>
      <c r="AC808" s="4">
        <v>2</v>
      </c>
      <c r="AD808" s="4">
        <v>125</v>
      </c>
      <c r="AE808" s="4">
        <v>125</v>
      </c>
      <c r="AF808" s="4">
        <v>1</v>
      </c>
      <c r="AG808" s="4">
        <v>1</v>
      </c>
      <c r="AH808" s="4">
        <v>109</v>
      </c>
      <c r="AI808" s="4">
        <v>109</v>
      </c>
      <c r="AJ808" s="4">
        <v>20</v>
      </c>
      <c r="AK808" s="4">
        <v>20</v>
      </c>
      <c r="AL808" s="4">
        <v>59</v>
      </c>
      <c r="AM808" s="4">
        <v>59</v>
      </c>
      <c r="AN808" s="4">
        <v>0</v>
      </c>
      <c r="AO808" s="4">
        <v>0</v>
      </c>
      <c r="AP808" s="4">
        <v>22</v>
      </c>
      <c r="AQ808" s="4">
        <v>22</v>
      </c>
      <c r="AR808" s="3" t="s">
        <v>63</v>
      </c>
      <c r="AS808" s="3" t="s">
        <v>63</v>
      </c>
      <c r="AT808" s="3" t="s">
        <v>62</v>
      </c>
      <c r="AU808" s="6" t="str">
        <f>HYPERLINK("http://catalog.hathitrust.org/Record/000763473","HathiTrust Record")</f>
        <v>HathiTrust Record</v>
      </c>
      <c r="AV808" s="6" t="str">
        <f>HYPERLINK("http://mcgill.on.worldcat.org/oclc/7596384","Catalog Record")</f>
        <v>Catalog Record</v>
      </c>
      <c r="AW808" s="6" t="str">
        <f>HYPERLINK("http://www.worldcat.org/oclc/7596384","WorldCat Record")</f>
        <v>WorldCat Record</v>
      </c>
      <c r="AX808" s="3" t="s">
        <v>8138</v>
      </c>
      <c r="AY808" s="3" t="s">
        <v>8139</v>
      </c>
      <c r="AZ808" s="3" t="s">
        <v>8140</v>
      </c>
      <c r="BA808" s="3" t="s">
        <v>8140</v>
      </c>
      <c r="BB808" s="3" t="s">
        <v>8141</v>
      </c>
      <c r="BC808" s="3" t="s">
        <v>82</v>
      </c>
      <c r="BD808" s="3" t="s">
        <v>70</v>
      </c>
      <c r="BE808" s="3" t="s">
        <v>8142</v>
      </c>
      <c r="BF808" s="3" t="s">
        <v>8141</v>
      </c>
      <c r="BG808" s="3" t="s">
        <v>8143</v>
      </c>
    </row>
    <row r="809" spans="1:59" ht="60" x14ac:dyDescent="0.25">
      <c r="A809" s="2" t="s">
        <v>59</v>
      </c>
      <c r="B809" s="2" t="s">
        <v>60</v>
      </c>
      <c r="C809" s="2" t="s">
        <v>8144</v>
      </c>
      <c r="D809" s="2" t="s">
        <v>8145</v>
      </c>
      <c r="E809" s="2" t="s">
        <v>8146</v>
      </c>
      <c r="G809" s="3" t="s">
        <v>63</v>
      </c>
      <c r="I809" s="3" t="s">
        <v>63</v>
      </c>
      <c r="J809" s="3" t="s">
        <v>63</v>
      </c>
      <c r="K809" s="3" t="s">
        <v>64</v>
      </c>
      <c r="M809" s="2" t="s">
        <v>8147</v>
      </c>
      <c r="N809" s="3" t="s">
        <v>706</v>
      </c>
      <c r="P809" s="3" t="s">
        <v>66</v>
      </c>
      <c r="Q809" s="2" t="s">
        <v>8148</v>
      </c>
      <c r="R809" s="3" t="s">
        <v>67</v>
      </c>
      <c r="S809" s="4">
        <v>23</v>
      </c>
      <c r="T809" s="4">
        <v>23</v>
      </c>
      <c r="U809" s="5" t="s">
        <v>8149</v>
      </c>
      <c r="V809" s="5" t="s">
        <v>8149</v>
      </c>
      <c r="W809" s="5" t="s">
        <v>69</v>
      </c>
      <c r="X809" s="5" t="s">
        <v>69</v>
      </c>
      <c r="Y809" s="4">
        <v>721</v>
      </c>
      <c r="Z809" s="4">
        <v>33</v>
      </c>
      <c r="AA809" s="4">
        <v>33</v>
      </c>
      <c r="AB809" s="4">
        <v>2</v>
      </c>
      <c r="AC809" s="4">
        <v>2</v>
      </c>
      <c r="AD809" s="4">
        <v>107</v>
      </c>
      <c r="AE809" s="4">
        <v>107</v>
      </c>
      <c r="AF809" s="4">
        <v>0</v>
      </c>
      <c r="AG809" s="4">
        <v>0</v>
      </c>
      <c r="AH809" s="4">
        <v>97</v>
      </c>
      <c r="AI809" s="4">
        <v>97</v>
      </c>
      <c r="AJ809" s="4">
        <v>15</v>
      </c>
      <c r="AK809" s="4">
        <v>15</v>
      </c>
      <c r="AL809" s="4">
        <v>52</v>
      </c>
      <c r="AM809" s="4">
        <v>52</v>
      </c>
      <c r="AN809" s="4">
        <v>0</v>
      </c>
      <c r="AO809" s="4">
        <v>0</v>
      </c>
      <c r="AP809" s="4">
        <v>18</v>
      </c>
      <c r="AQ809" s="4">
        <v>18</v>
      </c>
      <c r="AR809" s="3" t="s">
        <v>63</v>
      </c>
      <c r="AS809" s="3" t="s">
        <v>63</v>
      </c>
      <c r="AT809" s="3" t="s">
        <v>62</v>
      </c>
      <c r="AU809" s="6" t="str">
        <f>HYPERLINK("http://catalog.hathitrust.org/Record/000824883","HathiTrust Record")</f>
        <v>HathiTrust Record</v>
      </c>
      <c r="AV809" s="6" t="str">
        <f>HYPERLINK("http://mcgill.on.worldcat.org/oclc/13796335","Catalog Record")</f>
        <v>Catalog Record</v>
      </c>
      <c r="AW809" s="6" t="str">
        <f>HYPERLINK("http://www.worldcat.org/oclc/13796335","WorldCat Record")</f>
        <v>WorldCat Record</v>
      </c>
      <c r="AX809" s="3" t="s">
        <v>8150</v>
      </c>
      <c r="AY809" s="3" t="s">
        <v>8151</v>
      </c>
      <c r="AZ809" s="3" t="s">
        <v>8152</v>
      </c>
      <c r="BA809" s="3" t="s">
        <v>8152</v>
      </c>
      <c r="BB809" s="3" t="s">
        <v>8153</v>
      </c>
      <c r="BC809" s="3" t="s">
        <v>82</v>
      </c>
      <c r="BD809" s="3" t="s">
        <v>70</v>
      </c>
      <c r="BE809" s="3" t="s">
        <v>8154</v>
      </c>
      <c r="BF809" s="3" t="s">
        <v>8153</v>
      </c>
      <c r="BG809" s="3" t="s">
        <v>8155</v>
      </c>
    </row>
    <row r="810" spans="1:59" ht="60" x14ac:dyDescent="0.25">
      <c r="A810" s="2" t="s">
        <v>59</v>
      </c>
      <c r="B810" s="2" t="s">
        <v>60</v>
      </c>
      <c r="C810" s="2" t="s">
        <v>8156</v>
      </c>
      <c r="D810" s="2" t="s">
        <v>8157</v>
      </c>
      <c r="E810" s="2" t="s">
        <v>8158</v>
      </c>
      <c r="G810" s="3" t="s">
        <v>63</v>
      </c>
      <c r="I810" s="3" t="s">
        <v>63</v>
      </c>
      <c r="J810" s="3" t="s">
        <v>63</v>
      </c>
      <c r="K810" s="3" t="s">
        <v>64</v>
      </c>
      <c r="M810" s="2" t="s">
        <v>8159</v>
      </c>
      <c r="N810" s="3" t="s">
        <v>313</v>
      </c>
      <c r="P810" s="3" t="s">
        <v>66</v>
      </c>
      <c r="Q810" s="2" t="s">
        <v>8160</v>
      </c>
      <c r="R810" s="3" t="s">
        <v>67</v>
      </c>
      <c r="S810" s="4">
        <v>7</v>
      </c>
      <c r="T810" s="4">
        <v>7</v>
      </c>
      <c r="U810" s="5" t="s">
        <v>1961</v>
      </c>
      <c r="V810" s="5" t="s">
        <v>1961</v>
      </c>
      <c r="W810" s="5" t="s">
        <v>69</v>
      </c>
      <c r="X810" s="5" t="s">
        <v>69</v>
      </c>
      <c r="Y810" s="4">
        <v>215</v>
      </c>
      <c r="Z810" s="4">
        <v>17</v>
      </c>
      <c r="AA810" s="4">
        <v>96</v>
      </c>
      <c r="AB810" s="4">
        <v>1</v>
      </c>
      <c r="AC810" s="4">
        <v>17</v>
      </c>
      <c r="AD810" s="4">
        <v>75</v>
      </c>
      <c r="AE810" s="4">
        <v>133</v>
      </c>
      <c r="AF810" s="4">
        <v>0</v>
      </c>
      <c r="AG810" s="4">
        <v>8</v>
      </c>
      <c r="AH810" s="4">
        <v>71</v>
      </c>
      <c r="AI810" s="4">
        <v>97</v>
      </c>
      <c r="AJ810" s="4">
        <v>11</v>
      </c>
      <c r="AK810" s="4">
        <v>23</v>
      </c>
      <c r="AL810" s="4">
        <v>44</v>
      </c>
      <c r="AM810" s="4">
        <v>55</v>
      </c>
      <c r="AN810" s="4">
        <v>0</v>
      </c>
      <c r="AO810" s="4">
        <v>0</v>
      </c>
      <c r="AP810" s="4">
        <v>12</v>
      </c>
      <c r="AQ810" s="4">
        <v>44</v>
      </c>
      <c r="AR810" s="3" t="s">
        <v>63</v>
      </c>
      <c r="AS810" s="3" t="s">
        <v>63</v>
      </c>
      <c r="AT810" s="3" t="s">
        <v>63</v>
      </c>
      <c r="AV810" s="6" t="str">
        <f>HYPERLINK("http://mcgill.on.worldcat.org/oclc/482612351","Catalog Record")</f>
        <v>Catalog Record</v>
      </c>
      <c r="AW810" s="6" t="str">
        <f>HYPERLINK("http://www.worldcat.org/oclc/482612351","WorldCat Record")</f>
        <v>WorldCat Record</v>
      </c>
      <c r="AX810" s="3" t="s">
        <v>8161</v>
      </c>
      <c r="AY810" s="3" t="s">
        <v>8162</v>
      </c>
      <c r="AZ810" s="3" t="s">
        <v>8163</v>
      </c>
      <c r="BA810" s="3" t="s">
        <v>8163</v>
      </c>
      <c r="BB810" s="3" t="s">
        <v>8164</v>
      </c>
      <c r="BC810" s="3" t="s">
        <v>82</v>
      </c>
      <c r="BD810" s="3" t="s">
        <v>70</v>
      </c>
      <c r="BE810" s="3" t="s">
        <v>8165</v>
      </c>
      <c r="BF810" s="3" t="s">
        <v>8164</v>
      </c>
      <c r="BG810" s="3" t="s">
        <v>8166</v>
      </c>
    </row>
    <row r="811" spans="1:59" ht="60" x14ac:dyDescent="0.25">
      <c r="A811" s="2" t="s">
        <v>59</v>
      </c>
      <c r="B811" s="2" t="s">
        <v>60</v>
      </c>
      <c r="C811" s="2" t="s">
        <v>8167</v>
      </c>
      <c r="D811" s="2" t="s">
        <v>8168</v>
      </c>
      <c r="E811" s="2" t="s">
        <v>8169</v>
      </c>
      <c r="G811" s="3" t="s">
        <v>63</v>
      </c>
      <c r="I811" s="3" t="s">
        <v>63</v>
      </c>
      <c r="J811" s="3" t="s">
        <v>63</v>
      </c>
      <c r="K811" s="3" t="s">
        <v>64</v>
      </c>
      <c r="M811" s="2" t="s">
        <v>8170</v>
      </c>
      <c r="N811" s="3" t="s">
        <v>480</v>
      </c>
      <c r="P811" s="3" t="s">
        <v>66</v>
      </c>
      <c r="R811" s="3" t="s">
        <v>67</v>
      </c>
      <c r="S811" s="4">
        <v>11</v>
      </c>
      <c r="T811" s="4">
        <v>11</v>
      </c>
      <c r="U811" s="5" t="s">
        <v>8149</v>
      </c>
      <c r="V811" s="5" t="s">
        <v>8149</v>
      </c>
      <c r="W811" s="5" t="s">
        <v>69</v>
      </c>
      <c r="X811" s="5" t="s">
        <v>69</v>
      </c>
      <c r="Y811" s="4">
        <v>108</v>
      </c>
      <c r="Z811" s="4">
        <v>16</v>
      </c>
      <c r="AA811" s="4">
        <v>16</v>
      </c>
      <c r="AB811" s="4">
        <v>1</v>
      </c>
      <c r="AC811" s="4">
        <v>1</v>
      </c>
      <c r="AD811" s="4">
        <v>67</v>
      </c>
      <c r="AE811" s="4">
        <v>67</v>
      </c>
      <c r="AF811" s="4">
        <v>0</v>
      </c>
      <c r="AG811" s="4">
        <v>0</v>
      </c>
      <c r="AH811" s="4">
        <v>61</v>
      </c>
      <c r="AI811" s="4">
        <v>61</v>
      </c>
      <c r="AJ811" s="4">
        <v>13</v>
      </c>
      <c r="AK811" s="4">
        <v>13</v>
      </c>
      <c r="AL811" s="4">
        <v>39</v>
      </c>
      <c r="AM811" s="4">
        <v>39</v>
      </c>
      <c r="AN811" s="4">
        <v>0</v>
      </c>
      <c r="AO811" s="4">
        <v>0</v>
      </c>
      <c r="AP811" s="4">
        <v>14</v>
      </c>
      <c r="AQ811" s="4">
        <v>14</v>
      </c>
      <c r="AR811" s="3" t="s">
        <v>63</v>
      </c>
      <c r="AS811" s="3" t="s">
        <v>63</v>
      </c>
      <c r="AT811" s="3" t="s">
        <v>62</v>
      </c>
      <c r="AU811" s="6" t="str">
        <f>HYPERLINK("http://catalog.hathitrust.org/Record/002509260","HathiTrust Record")</f>
        <v>HathiTrust Record</v>
      </c>
      <c r="AV811" s="6" t="str">
        <f>HYPERLINK("http://mcgill.on.worldcat.org/oclc/25108536","Catalog Record")</f>
        <v>Catalog Record</v>
      </c>
      <c r="AW811" s="6" t="str">
        <f>HYPERLINK("http://www.worldcat.org/oclc/25108536","WorldCat Record")</f>
        <v>WorldCat Record</v>
      </c>
      <c r="AX811" s="3" t="s">
        <v>8171</v>
      </c>
      <c r="AY811" s="3" t="s">
        <v>8172</v>
      </c>
      <c r="AZ811" s="3" t="s">
        <v>8173</v>
      </c>
      <c r="BA811" s="3" t="s">
        <v>8173</v>
      </c>
      <c r="BB811" s="3" t="s">
        <v>8174</v>
      </c>
      <c r="BC811" s="3" t="s">
        <v>82</v>
      </c>
      <c r="BD811" s="3" t="s">
        <v>70</v>
      </c>
      <c r="BE811" s="3" t="s">
        <v>8175</v>
      </c>
      <c r="BF811" s="3" t="s">
        <v>8174</v>
      </c>
      <c r="BG811" s="3" t="s">
        <v>8176</v>
      </c>
    </row>
    <row r="812" spans="1:59" ht="75" x14ac:dyDescent="0.25">
      <c r="A812" s="2" t="s">
        <v>59</v>
      </c>
      <c r="B812" s="2" t="s">
        <v>60</v>
      </c>
      <c r="C812" s="2" t="s">
        <v>8177</v>
      </c>
      <c r="D812" s="2" t="s">
        <v>8178</v>
      </c>
      <c r="E812" s="2" t="s">
        <v>8179</v>
      </c>
      <c r="G812" s="3" t="s">
        <v>63</v>
      </c>
      <c r="I812" s="3" t="s">
        <v>63</v>
      </c>
      <c r="J812" s="3" t="s">
        <v>63</v>
      </c>
      <c r="K812" s="3" t="s">
        <v>64</v>
      </c>
      <c r="L812" s="2" t="s">
        <v>8180</v>
      </c>
      <c r="M812" s="2" t="s">
        <v>8181</v>
      </c>
      <c r="N812" s="3" t="s">
        <v>220</v>
      </c>
      <c r="P812" s="3" t="s">
        <v>66</v>
      </c>
      <c r="R812" s="3" t="s">
        <v>67</v>
      </c>
      <c r="S812" s="4">
        <v>11</v>
      </c>
      <c r="T812" s="4">
        <v>11</v>
      </c>
      <c r="U812" s="5" t="s">
        <v>1037</v>
      </c>
      <c r="V812" s="5" t="s">
        <v>1037</v>
      </c>
      <c r="W812" s="5" t="s">
        <v>69</v>
      </c>
      <c r="X812" s="5" t="s">
        <v>69</v>
      </c>
      <c r="Y812" s="4">
        <v>300</v>
      </c>
      <c r="Z812" s="4">
        <v>17</v>
      </c>
      <c r="AA812" s="4">
        <v>17</v>
      </c>
      <c r="AB812" s="4">
        <v>1</v>
      </c>
      <c r="AC812" s="4">
        <v>1</v>
      </c>
      <c r="AD812" s="4">
        <v>106</v>
      </c>
      <c r="AE812" s="4">
        <v>106</v>
      </c>
      <c r="AF812" s="4">
        <v>0</v>
      </c>
      <c r="AG812" s="4">
        <v>0</v>
      </c>
      <c r="AH812" s="4">
        <v>99</v>
      </c>
      <c r="AI812" s="4">
        <v>99</v>
      </c>
      <c r="AJ812" s="4">
        <v>12</v>
      </c>
      <c r="AK812" s="4">
        <v>12</v>
      </c>
      <c r="AL812" s="4">
        <v>55</v>
      </c>
      <c r="AM812" s="4">
        <v>55</v>
      </c>
      <c r="AN812" s="4">
        <v>0</v>
      </c>
      <c r="AO812" s="4">
        <v>0</v>
      </c>
      <c r="AP812" s="4">
        <v>13</v>
      </c>
      <c r="AQ812" s="4">
        <v>13</v>
      </c>
      <c r="AR812" s="3" t="s">
        <v>63</v>
      </c>
      <c r="AS812" s="3" t="s">
        <v>63</v>
      </c>
      <c r="AT812" s="3" t="s">
        <v>63</v>
      </c>
      <c r="AV812" s="6" t="str">
        <f>HYPERLINK("http://mcgill.on.worldcat.org/oclc/27726144","Catalog Record")</f>
        <v>Catalog Record</v>
      </c>
      <c r="AW812" s="6" t="str">
        <f>HYPERLINK("http://www.worldcat.org/oclc/27726144","WorldCat Record")</f>
        <v>WorldCat Record</v>
      </c>
      <c r="AX812" s="3" t="s">
        <v>8182</v>
      </c>
      <c r="AY812" s="3" t="s">
        <v>8183</v>
      </c>
      <c r="AZ812" s="3" t="s">
        <v>8184</v>
      </c>
      <c r="BA812" s="3" t="s">
        <v>8184</v>
      </c>
      <c r="BB812" s="3" t="s">
        <v>8185</v>
      </c>
      <c r="BC812" s="3" t="s">
        <v>82</v>
      </c>
      <c r="BD812" s="3" t="s">
        <v>70</v>
      </c>
      <c r="BE812" s="3" t="s">
        <v>8186</v>
      </c>
      <c r="BF812" s="3" t="s">
        <v>8185</v>
      </c>
      <c r="BG812" s="3" t="s">
        <v>8187</v>
      </c>
    </row>
    <row r="813" spans="1:59" ht="60" x14ac:dyDescent="0.25">
      <c r="A813" s="2" t="s">
        <v>59</v>
      </c>
      <c r="B813" s="2" t="s">
        <v>60</v>
      </c>
      <c r="C813" s="2" t="s">
        <v>8188</v>
      </c>
      <c r="D813" s="2" t="s">
        <v>8189</v>
      </c>
      <c r="E813" s="2" t="s">
        <v>8190</v>
      </c>
      <c r="G813" s="3" t="s">
        <v>63</v>
      </c>
      <c r="I813" s="3" t="s">
        <v>63</v>
      </c>
      <c r="J813" s="3" t="s">
        <v>63</v>
      </c>
      <c r="K813" s="3" t="s">
        <v>64</v>
      </c>
      <c r="L813" s="2" t="s">
        <v>8191</v>
      </c>
      <c r="M813" s="2" t="s">
        <v>8192</v>
      </c>
      <c r="N813" s="3" t="s">
        <v>362</v>
      </c>
      <c r="P813" s="3" t="s">
        <v>66</v>
      </c>
      <c r="R813" s="3" t="s">
        <v>67</v>
      </c>
      <c r="S813" s="4">
        <v>7</v>
      </c>
      <c r="T813" s="4">
        <v>7</v>
      </c>
      <c r="U813" s="5" t="s">
        <v>8193</v>
      </c>
      <c r="V813" s="5" t="s">
        <v>8193</v>
      </c>
      <c r="W813" s="5" t="s">
        <v>69</v>
      </c>
      <c r="X813" s="5" t="s">
        <v>69</v>
      </c>
      <c r="Y813" s="4">
        <v>349</v>
      </c>
      <c r="Z813" s="4">
        <v>17</v>
      </c>
      <c r="AA813" s="4">
        <v>19</v>
      </c>
      <c r="AB813" s="4">
        <v>2</v>
      </c>
      <c r="AC813" s="4">
        <v>4</v>
      </c>
      <c r="AD813" s="4">
        <v>103</v>
      </c>
      <c r="AE813" s="4">
        <v>103</v>
      </c>
      <c r="AF813" s="4">
        <v>0</v>
      </c>
      <c r="AG813" s="4">
        <v>0</v>
      </c>
      <c r="AH813" s="4">
        <v>94</v>
      </c>
      <c r="AI813" s="4">
        <v>94</v>
      </c>
      <c r="AJ813" s="4">
        <v>12</v>
      </c>
      <c r="AK813" s="4">
        <v>12</v>
      </c>
      <c r="AL813" s="4">
        <v>54</v>
      </c>
      <c r="AM813" s="4">
        <v>54</v>
      </c>
      <c r="AN813" s="4">
        <v>0</v>
      </c>
      <c r="AO813" s="4">
        <v>0</v>
      </c>
      <c r="AP813" s="4">
        <v>13</v>
      </c>
      <c r="AQ813" s="4">
        <v>13</v>
      </c>
      <c r="AR813" s="3" t="s">
        <v>63</v>
      </c>
      <c r="AS813" s="3" t="s">
        <v>63</v>
      </c>
      <c r="AT813" s="3" t="s">
        <v>62</v>
      </c>
      <c r="AU813" s="6" t="str">
        <f>HYPERLINK("http://catalog.hathitrust.org/Record/004206747","HathiTrust Record")</f>
        <v>HathiTrust Record</v>
      </c>
      <c r="AV813" s="6" t="str">
        <f>HYPERLINK("http://mcgill.on.worldcat.org/oclc/45708211","Catalog Record")</f>
        <v>Catalog Record</v>
      </c>
      <c r="AW813" s="6" t="str">
        <f>HYPERLINK("http://www.worldcat.org/oclc/45708211","WorldCat Record")</f>
        <v>WorldCat Record</v>
      </c>
      <c r="AX813" s="3" t="s">
        <v>8194</v>
      </c>
      <c r="AY813" s="3" t="s">
        <v>8195</v>
      </c>
      <c r="AZ813" s="3" t="s">
        <v>8196</v>
      </c>
      <c r="BA813" s="3" t="s">
        <v>8196</v>
      </c>
      <c r="BB813" s="3" t="s">
        <v>8197</v>
      </c>
      <c r="BC813" s="3" t="s">
        <v>82</v>
      </c>
      <c r="BD813" s="3" t="s">
        <v>70</v>
      </c>
      <c r="BE813" s="3" t="s">
        <v>8198</v>
      </c>
      <c r="BF813" s="3" t="s">
        <v>8197</v>
      </c>
      <c r="BG813" s="3" t="s">
        <v>8199</v>
      </c>
    </row>
    <row r="814" spans="1:59" ht="90" x14ac:dyDescent="0.25">
      <c r="A814" s="2" t="s">
        <v>59</v>
      </c>
      <c r="B814" s="2" t="s">
        <v>60</v>
      </c>
      <c r="C814" s="2" t="s">
        <v>8200</v>
      </c>
      <c r="D814" s="2" t="s">
        <v>8201</v>
      </c>
      <c r="E814" s="2" t="s">
        <v>8202</v>
      </c>
      <c r="F814" s="3" t="s">
        <v>8203</v>
      </c>
      <c r="G814" s="3" t="s">
        <v>63</v>
      </c>
      <c r="I814" s="3" t="s">
        <v>63</v>
      </c>
      <c r="J814" s="3" t="s">
        <v>63</v>
      </c>
      <c r="K814" s="3" t="s">
        <v>64</v>
      </c>
      <c r="M814" s="2" t="s">
        <v>8204</v>
      </c>
      <c r="N814" s="3" t="s">
        <v>176</v>
      </c>
      <c r="P814" s="3" t="s">
        <v>90</v>
      </c>
      <c r="Q814" s="2" t="s">
        <v>8205</v>
      </c>
      <c r="R814" s="3" t="s">
        <v>67</v>
      </c>
      <c r="S814" s="4">
        <v>2</v>
      </c>
      <c r="T814" s="4">
        <v>2</v>
      </c>
      <c r="U814" s="5" t="s">
        <v>8206</v>
      </c>
      <c r="V814" s="5" t="s">
        <v>8206</v>
      </c>
      <c r="W814" s="5" t="s">
        <v>69</v>
      </c>
      <c r="X814" s="5" t="s">
        <v>69</v>
      </c>
      <c r="Y814" s="4">
        <v>30</v>
      </c>
      <c r="Z814" s="4">
        <v>1</v>
      </c>
      <c r="AA814" s="4">
        <v>1</v>
      </c>
      <c r="AB814" s="4">
        <v>1</v>
      </c>
      <c r="AC814" s="4">
        <v>1</v>
      </c>
      <c r="AD814" s="4">
        <v>16</v>
      </c>
      <c r="AE814" s="4">
        <v>16</v>
      </c>
      <c r="AF814" s="4">
        <v>0</v>
      </c>
      <c r="AG814" s="4">
        <v>0</v>
      </c>
      <c r="AH814" s="4">
        <v>15</v>
      </c>
      <c r="AI814" s="4">
        <v>15</v>
      </c>
      <c r="AJ814" s="4">
        <v>0</v>
      </c>
      <c r="AK814" s="4">
        <v>0</v>
      </c>
      <c r="AL814" s="4">
        <v>12</v>
      </c>
      <c r="AM814" s="4">
        <v>12</v>
      </c>
      <c r="AN814" s="4">
        <v>0</v>
      </c>
      <c r="AO814" s="4">
        <v>0</v>
      </c>
      <c r="AP814" s="4">
        <v>0</v>
      </c>
      <c r="AQ814" s="4">
        <v>0</v>
      </c>
      <c r="AR814" s="3" t="s">
        <v>63</v>
      </c>
      <c r="AS814" s="3" t="s">
        <v>63</v>
      </c>
      <c r="AT814" s="3" t="s">
        <v>62</v>
      </c>
      <c r="AU814" s="6" t="str">
        <f>HYPERLINK("http://catalog.hathitrust.org/Record/005266118","HathiTrust Record")</f>
        <v>HathiTrust Record</v>
      </c>
      <c r="AV814" s="6" t="str">
        <f>HYPERLINK("http://mcgill.on.worldcat.org/oclc/40838859","Catalog Record")</f>
        <v>Catalog Record</v>
      </c>
      <c r="AW814" s="6" t="str">
        <f>HYPERLINK("http://www.worldcat.org/oclc/40838859","WorldCat Record")</f>
        <v>WorldCat Record</v>
      </c>
      <c r="AX814" s="3" t="s">
        <v>8207</v>
      </c>
      <c r="AY814" s="3" t="s">
        <v>8208</v>
      </c>
      <c r="AZ814" s="3" t="s">
        <v>8209</v>
      </c>
      <c r="BA814" s="3" t="s">
        <v>8209</v>
      </c>
      <c r="BB814" s="3" t="s">
        <v>8210</v>
      </c>
      <c r="BC814" s="3" t="s">
        <v>82</v>
      </c>
      <c r="BD814" s="3" t="s">
        <v>70</v>
      </c>
      <c r="BE814" s="3" t="s">
        <v>8211</v>
      </c>
      <c r="BF814" s="3" t="s">
        <v>8210</v>
      </c>
      <c r="BG814" s="3" t="s">
        <v>8212</v>
      </c>
    </row>
    <row r="815" spans="1:59" ht="75" x14ac:dyDescent="0.25">
      <c r="A815" s="2" t="s">
        <v>59</v>
      </c>
      <c r="B815" s="2" t="s">
        <v>60</v>
      </c>
      <c r="C815" s="2" t="s">
        <v>8213</v>
      </c>
      <c r="D815" s="2" t="s">
        <v>8214</v>
      </c>
      <c r="E815" s="2" t="s">
        <v>8215</v>
      </c>
      <c r="F815" s="3" t="s">
        <v>8216</v>
      </c>
      <c r="G815" s="3" t="s">
        <v>63</v>
      </c>
      <c r="I815" s="3" t="s">
        <v>63</v>
      </c>
      <c r="J815" s="3" t="s">
        <v>63</v>
      </c>
      <c r="K815" s="3" t="s">
        <v>64</v>
      </c>
      <c r="M815" s="2" t="s">
        <v>8204</v>
      </c>
      <c r="N815" s="3" t="s">
        <v>176</v>
      </c>
      <c r="P815" s="3" t="s">
        <v>90</v>
      </c>
      <c r="Q815" s="2" t="s">
        <v>8217</v>
      </c>
      <c r="R815" s="3" t="s">
        <v>67</v>
      </c>
      <c r="S815" s="4">
        <v>2</v>
      </c>
      <c r="T815" s="4">
        <v>2</v>
      </c>
      <c r="U815" s="5" t="s">
        <v>8206</v>
      </c>
      <c r="V815" s="5" t="s">
        <v>8206</v>
      </c>
      <c r="W815" s="5" t="s">
        <v>69</v>
      </c>
      <c r="X815" s="5" t="s">
        <v>69</v>
      </c>
      <c r="Y815" s="4">
        <v>33</v>
      </c>
      <c r="Z815" s="4">
        <v>1</v>
      </c>
      <c r="AA815" s="4">
        <v>1</v>
      </c>
      <c r="AB815" s="4">
        <v>1</v>
      </c>
      <c r="AC815" s="4">
        <v>1</v>
      </c>
      <c r="AD815" s="4">
        <v>21</v>
      </c>
      <c r="AE815" s="4">
        <v>21</v>
      </c>
      <c r="AF815" s="4">
        <v>0</v>
      </c>
      <c r="AG815" s="4">
        <v>0</v>
      </c>
      <c r="AH815" s="4">
        <v>19</v>
      </c>
      <c r="AI815" s="4">
        <v>19</v>
      </c>
      <c r="AJ815" s="4">
        <v>0</v>
      </c>
      <c r="AK815" s="4">
        <v>0</v>
      </c>
      <c r="AL815" s="4">
        <v>16</v>
      </c>
      <c r="AM815" s="4">
        <v>16</v>
      </c>
      <c r="AN815" s="4">
        <v>0</v>
      </c>
      <c r="AO815" s="4">
        <v>0</v>
      </c>
      <c r="AP815" s="4">
        <v>0</v>
      </c>
      <c r="AQ815" s="4">
        <v>0</v>
      </c>
      <c r="AR815" s="3" t="s">
        <v>63</v>
      </c>
      <c r="AS815" s="3" t="s">
        <v>63</v>
      </c>
      <c r="AT815" s="3" t="s">
        <v>62</v>
      </c>
      <c r="AU815" s="6" t="str">
        <f>HYPERLINK("http://catalog.hathitrust.org/Record/003528288","HathiTrust Record")</f>
        <v>HathiTrust Record</v>
      </c>
      <c r="AV815" s="6" t="str">
        <f>HYPERLINK("http://mcgill.on.worldcat.org/oclc/40983701","Catalog Record")</f>
        <v>Catalog Record</v>
      </c>
      <c r="AW815" s="6" t="str">
        <f>HYPERLINK("http://www.worldcat.org/oclc/40983701","WorldCat Record")</f>
        <v>WorldCat Record</v>
      </c>
      <c r="AX815" s="3" t="s">
        <v>8218</v>
      </c>
      <c r="AY815" s="3" t="s">
        <v>8219</v>
      </c>
      <c r="AZ815" s="3" t="s">
        <v>8220</v>
      </c>
      <c r="BA815" s="3" t="s">
        <v>8220</v>
      </c>
      <c r="BB815" s="3" t="s">
        <v>8221</v>
      </c>
      <c r="BC815" s="3" t="s">
        <v>82</v>
      </c>
      <c r="BD815" s="3" t="s">
        <v>70</v>
      </c>
      <c r="BE815" s="3" t="s">
        <v>8211</v>
      </c>
      <c r="BF815" s="3" t="s">
        <v>8221</v>
      </c>
      <c r="BG815" s="3" t="s">
        <v>8222</v>
      </c>
    </row>
    <row r="816" spans="1:59" ht="90" x14ac:dyDescent="0.25">
      <c r="A816" s="2" t="s">
        <v>59</v>
      </c>
      <c r="B816" s="2" t="s">
        <v>60</v>
      </c>
      <c r="C816" s="2" t="s">
        <v>8223</v>
      </c>
      <c r="D816" s="2" t="s">
        <v>8224</v>
      </c>
      <c r="E816" s="2" t="s">
        <v>8225</v>
      </c>
      <c r="F816" s="3" t="s">
        <v>8226</v>
      </c>
      <c r="G816" s="3" t="s">
        <v>63</v>
      </c>
      <c r="I816" s="3" t="s">
        <v>63</v>
      </c>
      <c r="J816" s="3" t="s">
        <v>63</v>
      </c>
      <c r="K816" s="3" t="s">
        <v>64</v>
      </c>
      <c r="M816" s="2" t="s">
        <v>8227</v>
      </c>
      <c r="N816" s="3" t="s">
        <v>1343</v>
      </c>
      <c r="P816" s="3" t="s">
        <v>90</v>
      </c>
      <c r="Q816" s="2" t="s">
        <v>8228</v>
      </c>
      <c r="R816" s="3" t="s">
        <v>67</v>
      </c>
      <c r="S816" s="4">
        <v>3</v>
      </c>
      <c r="T816" s="4">
        <v>3</v>
      </c>
      <c r="U816" s="5" t="s">
        <v>8229</v>
      </c>
      <c r="V816" s="5" t="s">
        <v>8229</v>
      </c>
      <c r="W816" s="5" t="s">
        <v>69</v>
      </c>
      <c r="X816" s="5" t="s">
        <v>69</v>
      </c>
      <c r="Y816" s="4">
        <v>33</v>
      </c>
      <c r="Z816" s="4">
        <v>4</v>
      </c>
      <c r="AA816" s="4">
        <v>4</v>
      </c>
      <c r="AB816" s="4">
        <v>1</v>
      </c>
      <c r="AC816" s="4">
        <v>1</v>
      </c>
      <c r="AD816" s="4">
        <v>21</v>
      </c>
      <c r="AE816" s="4">
        <v>21</v>
      </c>
      <c r="AF816" s="4">
        <v>0</v>
      </c>
      <c r="AG816" s="4">
        <v>0</v>
      </c>
      <c r="AH816" s="4">
        <v>20</v>
      </c>
      <c r="AI816" s="4">
        <v>20</v>
      </c>
      <c r="AJ816" s="4">
        <v>2</v>
      </c>
      <c r="AK816" s="4">
        <v>2</v>
      </c>
      <c r="AL816" s="4">
        <v>14</v>
      </c>
      <c r="AM816" s="4">
        <v>14</v>
      </c>
      <c r="AN816" s="4">
        <v>0</v>
      </c>
      <c r="AO816" s="4">
        <v>0</v>
      </c>
      <c r="AP816" s="4">
        <v>2</v>
      </c>
      <c r="AQ816" s="4">
        <v>2</v>
      </c>
      <c r="AR816" s="3" t="s">
        <v>63</v>
      </c>
      <c r="AS816" s="3" t="s">
        <v>63</v>
      </c>
      <c r="AT816" s="3" t="s">
        <v>62</v>
      </c>
      <c r="AU816" s="6" t="str">
        <f>HYPERLINK("http://catalog.hathitrust.org/Record/005683076","HathiTrust Record")</f>
        <v>HathiTrust Record</v>
      </c>
      <c r="AV816" s="6" t="str">
        <f>HYPERLINK("http://mcgill.on.worldcat.org/oclc/45905011","Catalog Record")</f>
        <v>Catalog Record</v>
      </c>
      <c r="AW816" s="6" t="str">
        <f>HYPERLINK("http://www.worldcat.org/oclc/45905011","WorldCat Record")</f>
        <v>WorldCat Record</v>
      </c>
      <c r="AX816" s="3" t="s">
        <v>8230</v>
      </c>
      <c r="AY816" s="3" t="s">
        <v>8231</v>
      </c>
      <c r="AZ816" s="3" t="s">
        <v>8232</v>
      </c>
      <c r="BA816" s="3" t="s">
        <v>8232</v>
      </c>
      <c r="BB816" s="3" t="s">
        <v>8233</v>
      </c>
      <c r="BC816" s="3" t="s">
        <v>82</v>
      </c>
      <c r="BD816" s="3" t="s">
        <v>70</v>
      </c>
      <c r="BE816" s="3" t="s">
        <v>8211</v>
      </c>
      <c r="BF816" s="3" t="s">
        <v>8233</v>
      </c>
      <c r="BG816" s="3" t="s">
        <v>8234</v>
      </c>
    </row>
    <row r="817" spans="1:59" ht="75" x14ac:dyDescent="0.25">
      <c r="A817" s="2" t="s">
        <v>59</v>
      </c>
      <c r="B817" s="2" t="s">
        <v>60</v>
      </c>
      <c r="C817" s="2" t="s">
        <v>8235</v>
      </c>
      <c r="D817" s="2" t="s">
        <v>8236</v>
      </c>
      <c r="E817" s="2" t="s">
        <v>8237</v>
      </c>
      <c r="F817" s="3" t="s">
        <v>8238</v>
      </c>
      <c r="G817" s="3" t="s">
        <v>63</v>
      </c>
      <c r="I817" s="3" t="s">
        <v>63</v>
      </c>
      <c r="J817" s="3" t="s">
        <v>63</v>
      </c>
      <c r="K817" s="3" t="s">
        <v>64</v>
      </c>
      <c r="M817" s="2" t="s">
        <v>8239</v>
      </c>
      <c r="N817" s="3" t="s">
        <v>362</v>
      </c>
      <c r="P817" s="3" t="s">
        <v>90</v>
      </c>
      <c r="Q817" s="2" t="s">
        <v>8240</v>
      </c>
      <c r="R817" s="3" t="s">
        <v>67</v>
      </c>
      <c r="S817" s="4">
        <v>2</v>
      </c>
      <c r="T817" s="4">
        <v>2</v>
      </c>
      <c r="U817" s="5" t="s">
        <v>8229</v>
      </c>
      <c r="V817" s="5" t="s">
        <v>8229</v>
      </c>
      <c r="W817" s="5" t="s">
        <v>69</v>
      </c>
      <c r="X817" s="5" t="s">
        <v>69</v>
      </c>
      <c r="Y817" s="4">
        <v>31</v>
      </c>
      <c r="Z817" s="4">
        <v>3</v>
      </c>
      <c r="AA817" s="4">
        <v>3</v>
      </c>
      <c r="AB817" s="4">
        <v>2</v>
      </c>
      <c r="AC817" s="4">
        <v>2</v>
      </c>
      <c r="AD817" s="4">
        <v>19</v>
      </c>
      <c r="AE817" s="4">
        <v>19</v>
      </c>
      <c r="AF817" s="4">
        <v>0</v>
      </c>
      <c r="AG817" s="4">
        <v>0</v>
      </c>
      <c r="AH817" s="4">
        <v>18</v>
      </c>
      <c r="AI817" s="4">
        <v>18</v>
      </c>
      <c r="AJ817" s="4">
        <v>1</v>
      </c>
      <c r="AK817" s="4">
        <v>1</v>
      </c>
      <c r="AL817" s="4">
        <v>15</v>
      </c>
      <c r="AM817" s="4">
        <v>15</v>
      </c>
      <c r="AN817" s="4">
        <v>0</v>
      </c>
      <c r="AO817" s="4">
        <v>0</v>
      </c>
      <c r="AP817" s="4">
        <v>1</v>
      </c>
      <c r="AQ817" s="4">
        <v>1</v>
      </c>
      <c r="AR817" s="3" t="s">
        <v>63</v>
      </c>
      <c r="AS817" s="3" t="s">
        <v>63</v>
      </c>
      <c r="AT817" s="3" t="s">
        <v>62</v>
      </c>
      <c r="AU817" s="6" t="str">
        <f>HYPERLINK("http://catalog.hathitrust.org/Record/003557152","HathiTrust Record")</f>
        <v>HathiTrust Record</v>
      </c>
      <c r="AV817" s="6" t="str">
        <f>HYPERLINK("http://mcgill.on.worldcat.org/oclc/47679641","Catalog Record")</f>
        <v>Catalog Record</v>
      </c>
      <c r="AW817" s="6" t="str">
        <f>HYPERLINK("http://www.worldcat.org/oclc/47679641","WorldCat Record")</f>
        <v>WorldCat Record</v>
      </c>
      <c r="AX817" s="3" t="s">
        <v>8241</v>
      </c>
      <c r="AY817" s="3" t="s">
        <v>8242</v>
      </c>
      <c r="AZ817" s="3" t="s">
        <v>8243</v>
      </c>
      <c r="BA817" s="3" t="s">
        <v>8243</v>
      </c>
      <c r="BB817" s="3" t="s">
        <v>8244</v>
      </c>
      <c r="BC817" s="3" t="s">
        <v>82</v>
      </c>
      <c r="BD817" s="3" t="s">
        <v>70</v>
      </c>
      <c r="BE817" s="3" t="s">
        <v>8245</v>
      </c>
      <c r="BF817" s="3" t="s">
        <v>8244</v>
      </c>
      <c r="BG817" s="3" t="s">
        <v>8246</v>
      </c>
    </row>
    <row r="818" spans="1:59" ht="60" x14ac:dyDescent="0.25">
      <c r="A818" s="2" t="s">
        <v>59</v>
      </c>
      <c r="B818" s="2" t="s">
        <v>60</v>
      </c>
      <c r="C818" s="2" t="s">
        <v>8247</v>
      </c>
      <c r="D818" s="2" t="s">
        <v>8248</v>
      </c>
      <c r="E818" s="2" t="s">
        <v>8249</v>
      </c>
      <c r="G818" s="3" t="s">
        <v>63</v>
      </c>
      <c r="I818" s="3" t="s">
        <v>63</v>
      </c>
      <c r="J818" s="3" t="s">
        <v>63</v>
      </c>
      <c r="K818" s="3" t="s">
        <v>64</v>
      </c>
      <c r="L818" s="2" t="s">
        <v>8250</v>
      </c>
      <c r="M818" s="2" t="s">
        <v>8251</v>
      </c>
      <c r="N818" s="3" t="s">
        <v>220</v>
      </c>
      <c r="P818" s="3" t="s">
        <v>66</v>
      </c>
      <c r="Q818" s="2" t="s">
        <v>3902</v>
      </c>
      <c r="R818" s="3" t="s">
        <v>67</v>
      </c>
      <c r="S818" s="4">
        <v>7</v>
      </c>
      <c r="T818" s="4">
        <v>7</v>
      </c>
      <c r="U818" s="5" t="s">
        <v>8252</v>
      </c>
      <c r="V818" s="5" t="s">
        <v>8252</v>
      </c>
      <c r="W818" s="5" t="s">
        <v>69</v>
      </c>
      <c r="X818" s="5" t="s">
        <v>69</v>
      </c>
      <c r="Y818" s="4">
        <v>242</v>
      </c>
      <c r="Z818" s="4">
        <v>17</v>
      </c>
      <c r="AA818" s="4">
        <v>17</v>
      </c>
      <c r="AB818" s="4">
        <v>1</v>
      </c>
      <c r="AC818" s="4">
        <v>1</v>
      </c>
      <c r="AD818" s="4">
        <v>102</v>
      </c>
      <c r="AE818" s="4">
        <v>102</v>
      </c>
      <c r="AF818" s="4">
        <v>0</v>
      </c>
      <c r="AG818" s="4">
        <v>0</v>
      </c>
      <c r="AH818" s="4">
        <v>94</v>
      </c>
      <c r="AI818" s="4">
        <v>94</v>
      </c>
      <c r="AJ818" s="4">
        <v>14</v>
      </c>
      <c r="AK818" s="4">
        <v>14</v>
      </c>
      <c r="AL818" s="4">
        <v>51</v>
      </c>
      <c r="AM818" s="4">
        <v>51</v>
      </c>
      <c r="AN818" s="4">
        <v>0</v>
      </c>
      <c r="AO818" s="4">
        <v>0</v>
      </c>
      <c r="AP818" s="4">
        <v>14</v>
      </c>
      <c r="AQ818" s="4">
        <v>14</v>
      </c>
      <c r="AR818" s="3" t="s">
        <v>63</v>
      </c>
      <c r="AS818" s="3" t="s">
        <v>63</v>
      </c>
      <c r="AT818" s="3" t="s">
        <v>62</v>
      </c>
      <c r="AU818" s="6" t="str">
        <f>HYPERLINK("http://catalog.hathitrust.org/Record/002808471","HathiTrust Record")</f>
        <v>HathiTrust Record</v>
      </c>
      <c r="AV818" s="6" t="str">
        <f>HYPERLINK("http://mcgill.on.worldcat.org/oclc/29259321","Catalog Record")</f>
        <v>Catalog Record</v>
      </c>
      <c r="AW818" s="6" t="str">
        <f>HYPERLINK("http://www.worldcat.org/oclc/29259321","WorldCat Record")</f>
        <v>WorldCat Record</v>
      </c>
      <c r="AX818" s="3" t="s">
        <v>8253</v>
      </c>
      <c r="AY818" s="3" t="s">
        <v>8254</v>
      </c>
      <c r="AZ818" s="3" t="s">
        <v>8255</v>
      </c>
      <c r="BA818" s="3" t="s">
        <v>8255</v>
      </c>
      <c r="BB818" s="3" t="s">
        <v>8256</v>
      </c>
      <c r="BC818" s="3" t="s">
        <v>82</v>
      </c>
      <c r="BD818" s="3" t="s">
        <v>70</v>
      </c>
      <c r="BE818" s="3" t="s">
        <v>8257</v>
      </c>
      <c r="BF818" s="3" t="s">
        <v>8256</v>
      </c>
      <c r="BG818" s="3" t="s">
        <v>8258</v>
      </c>
    </row>
    <row r="819" spans="1:59" ht="60" x14ac:dyDescent="0.25">
      <c r="A819" s="2" t="s">
        <v>59</v>
      </c>
      <c r="B819" s="2" t="s">
        <v>60</v>
      </c>
      <c r="C819" s="2" t="s">
        <v>8259</v>
      </c>
      <c r="D819" s="2" t="s">
        <v>8260</v>
      </c>
      <c r="E819" s="2" t="s">
        <v>8261</v>
      </c>
      <c r="G819" s="3" t="s">
        <v>63</v>
      </c>
      <c r="I819" s="3" t="s">
        <v>63</v>
      </c>
      <c r="J819" s="3" t="s">
        <v>63</v>
      </c>
      <c r="K819" s="3" t="s">
        <v>64</v>
      </c>
      <c r="L819" s="2" t="s">
        <v>8262</v>
      </c>
      <c r="M819" s="2" t="s">
        <v>8263</v>
      </c>
      <c r="N819" s="3" t="s">
        <v>261</v>
      </c>
      <c r="P819" s="3" t="s">
        <v>66</v>
      </c>
      <c r="R819" s="3" t="s">
        <v>67</v>
      </c>
      <c r="S819" s="4">
        <v>14</v>
      </c>
      <c r="T819" s="4">
        <v>14</v>
      </c>
      <c r="U819" s="5" t="s">
        <v>8264</v>
      </c>
      <c r="V819" s="5" t="s">
        <v>8264</v>
      </c>
      <c r="W819" s="5" t="s">
        <v>69</v>
      </c>
      <c r="X819" s="5" t="s">
        <v>69</v>
      </c>
      <c r="Y819" s="4">
        <v>97</v>
      </c>
      <c r="Z819" s="4">
        <v>6</v>
      </c>
      <c r="AA819" s="4">
        <v>7</v>
      </c>
      <c r="AB819" s="4">
        <v>1</v>
      </c>
      <c r="AC819" s="4">
        <v>2</v>
      </c>
      <c r="AD819" s="4">
        <v>30</v>
      </c>
      <c r="AE819" s="4">
        <v>31</v>
      </c>
      <c r="AF819" s="4">
        <v>0</v>
      </c>
      <c r="AG819" s="4">
        <v>1</v>
      </c>
      <c r="AH819" s="4">
        <v>27</v>
      </c>
      <c r="AI819" s="4">
        <v>27</v>
      </c>
      <c r="AJ819" s="4">
        <v>4</v>
      </c>
      <c r="AK819" s="4">
        <v>5</v>
      </c>
      <c r="AL819" s="4">
        <v>19</v>
      </c>
      <c r="AM819" s="4">
        <v>19</v>
      </c>
      <c r="AN819" s="4">
        <v>0</v>
      </c>
      <c r="AO819" s="4">
        <v>0</v>
      </c>
      <c r="AP819" s="4">
        <v>4</v>
      </c>
      <c r="AQ819" s="4">
        <v>4</v>
      </c>
      <c r="AR819" s="3" t="s">
        <v>63</v>
      </c>
      <c r="AS819" s="3" t="s">
        <v>63</v>
      </c>
      <c r="AT819" s="3" t="s">
        <v>63</v>
      </c>
      <c r="AV819" s="6" t="str">
        <f>HYPERLINK("http://mcgill.on.worldcat.org/oclc/191727435","Catalog Record")</f>
        <v>Catalog Record</v>
      </c>
      <c r="AW819" s="6" t="str">
        <f>HYPERLINK("http://www.worldcat.org/oclc/191727435","WorldCat Record")</f>
        <v>WorldCat Record</v>
      </c>
      <c r="AX819" s="3" t="s">
        <v>8265</v>
      </c>
      <c r="AY819" s="3" t="s">
        <v>8266</v>
      </c>
      <c r="AZ819" s="3" t="s">
        <v>8267</v>
      </c>
      <c r="BA819" s="3" t="s">
        <v>8267</v>
      </c>
      <c r="BB819" s="3" t="s">
        <v>8268</v>
      </c>
      <c r="BC819" s="3" t="s">
        <v>82</v>
      </c>
      <c r="BD819" s="3" t="s">
        <v>538</v>
      </c>
      <c r="BE819" s="3" t="s">
        <v>8269</v>
      </c>
      <c r="BF819" s="3" t="s">
        <v>8268</v>
      </c>
      <c r="BG819" s="3" t="s">
        <v>8270</v>
      </c>
    </row>
    <row r="820" spans="1:59" ht="60" x14ac:dyDescent="0.25">
      <c r="A820" s="2" t="s">
        <v>59</v>
      </c>
      <c r="B820" s="2" t="s">
        <v>60</v>
      </c>
      <c r="C820" s="2" t="s">
        <v>8271</v>
      </c>
      <c r="D820" s="2" t="s">
        <v>8272</v>
      </c>
      <c r="E820" s="2" t="s">
        <v>8273</v>
      </c>
      <c r="G820" s="3" t="s">
        <v>63</v>
      </c>
      <c r="I820" s="3" t="s">
        <v>63</v>
      </c>
      <c r="J820" s="3" t="s">
        <v>63</v>
      </c>
      <c r="K820" s="3" t="s">
        <v>64</v>
      </c>
      <c r="L820" s="2" t="s">
        <v>8274</v>
      </c>
      <c r="M820" s="2" t="s">
        <v>8275</v>
      </c>
      <c r="N820" s="3" t="s">
        <v>2765</v>
      </c>
      <c r="P820" s="3" t="s">
        <v>90</v>
      </c>
      <c r="Q820" s="2" t="s">
        <v>8276</v>
      </c>
      <c r="R820" s="3" t="s">
        <v>67</v>
      </c>
      <c r="S820" s="4">
        <v>0</v>
      </c>
      <c r="T820" s="4">
        <v>0</v>
      </c>
      <c r="W820" s="5" t="s">
        <v>69</v>
      </c>
      <c r="X820" s="5" t="s">
        <v>69</v>
      </c>
      <c r="Y820" s="4">
        <v>14</v>
      </c>
      <c r="Z820" s="4">
        <v>1</v>
      </c>
      <c r="AA820" s="4">
        <v>1</v>
      </c>
      <c r="AB820" s="4">
        <v>1</v>
      </c>
      <c r="AC820" s="4">
        <v>1</v>
      </c>
      <c r="AD820" s="4">
        <v>8</v>
      </c>
      <c r="AE820" s="4">
        <v>9</v>
      </c>
      <c r="AF820" s="4">
        <v>0</v>
      </c>
      <c r="AG820" s="4">
        <v>0</v>
      </c>
      <c r="AH820" s="4">
        <v>7</v>
      </c>
      <c r="AI820" s="4">
        <v>8</v>
      </c>
      <c r="AJ820" s="4">
        <v>0</v>
      </c>
      <c r="AK820" s="4">
        <v>0</v>
      </c>
      <c r="AL820" s="4">
        <v>8</v>
      </c>
      <c r="AM820" s="4">
        <v>9</v>
      </c>
      <c r="AN820" s="4">
        <v>0</v>
      </c>
      <c r="AO820" s="4">
        <v>0</v>
      </c>
      <c r="AP820" s="4">
        <v>0</v>
      </c>
      <c r="AQ820" s="4">
        <v>0</v>
      </c>
      <c r="AR820" s="3" t="s">
        <v>63</v>
      </c>
      <c r="AS820" s="3" t="s">
        <v>63</v>
      </c>
      <c r="AT820" s="3" t="s">
        <v>63</v>
      </c>
      <c r="AV820" s="6" t="str">
        <f>HYPERLINK("http://mcgill.on.worldcat.org/oclc/911218338","Catalog Record")</f>
        <v>Catalog Record</v>
      </c>
      <c r="AW820" s="6" t="str">
        <f>HYPERLINK("http://www.worldcat.org/oclc/911218338","WorldCat Record")</f>
        <v>WorldCat Record</v>
      </c>
      <c r="AX820" s="3" t="s">
        <v>8277</v>
      </c>
      <c r="AY820" s="3" t="s">
        <v>8278</v>
      </c>
      <c r="AZ820" s="3" t="s">
        <v>8279</v>
      </c>
      <c r="BA820" s="3" t="s">
        <v>8279</v>
      </c>
      <c r="BB820" s="3" t="s">
        <v>8280</v>
      </c>
      <c r="BC820" s="3" t="s">
        <v>82</v>
      </c>
      <c r="BD820" s="3" t="s">
        <v>70</v>
      </c>
      <c r="BE820" s="3" t="s">
        <v>8281</v>
      </c>
      <c r="BF820" s="3" t="s">
        <v>8280</v>
      </c>
      <c r="BG820" s="3" t="s">
        <v>8282</v>
      </c>
    </row>
    <row r="821" spans="1:59" ht="60" x14ac:dyDescent="0.25">
      <c r="A821" s="2" t="s">
        <v>59</v>
      </c>
      <c r="B821" s="2" t="s">
        <v>60</v>
      </c>
      <c r="C821" s="2" t="s">
        <v>8283</v>
      </c>
      <c r="D821" s="2" t="s">
        <v>8284</v>
      </c>
      <c r="E821" s="2" t="s">
        <v>8285</v>
      </c>
      <c r="G821" s="3" t="s">
        <v>63</v>
      </c>
      <c r="I821" s="3" t="s">
        <v>63</v>
      </c>
      <c r="J821" s="3" t="s">
        <v>63</v>
      </c>
      <c r="K821" s="3" t="s">
        <v>64</v>
      </c>
      <c r="L821" s="2" t="s">
        <v>8286</v>
      </c>
      <c r="M821" s="2" t="s">
        <v>8287</v>
      </c>
      <c r="N821" s="3" t="s">
        <v>2043</v>
      </c>
      <c r="P821" s="3" t="s">
        <v>66</v>
      </c>
      <c r="R821" s="3" t="s">
        <v>67</v>
      </c>
      <c r="S821" s="4">
        <v>14</v>
      </c>
      <c r="T821" s="4">
        <v>14</v>
      </c>
      <c r="U821" s="5" t="s">
        <v>8288</v>
      </c>
      <c r="V821" s="5" t="s">
        <v>8288</v>
      </c>
      <c r="W821" s="5" t="s">
        <v>69</v>
      </c>
      <c r="X821" s="5" t="s">
        <v>69</v>
      </c>
      <c r="Y821" s="4">
        <v>82</v>
      </c>
      <c r="Z821" s="4">
        <v>15</v>
      </c>
      <c r="AA821" s="4">
        <v>15</v>
      </c>
      <c r="AB821" s="4">
        <v>1</v>
      </c>
      <c r="AC821" s="4">
        <v>1</v>
      </c>
      <c r="AD821" s="4">
        <v>53</v>
      </c>
      <c r="AE821" s="4">
        <v>53</v>
      </c>
      <c r="AF821" s="4">
        <v>0</v>
      </c>
      <c r="AG821" s="4">
        <v>0</v>
      </c>
      <c r="AH821" s="4">
        <v>48</v>
      </c>
      <c r="AI821" s="4">
        <v>48</v>
      </c>
      <c r="AJ821" s="4">
        <v>12</v>
      </c>
      <c r="AK821" s="4">
        <v>12</v>
      </c>
      <c r="AL821" s="4">
        <v>28</v>
      </c>
      <c r="AM821" s="4">
        <v>28</v>
      </c>
      <c r="AN821" s="4">
        <v>0</v>
      </c>
      <c r="AO821" s="4">
        <v>0</v>
      </c>
      <c r="AP821" s="4">
        <v>12</v>
      </c>
      <c r="AQ821" s="4">
        <v>12</v>
      </c>
      <c r="AR821" s="3" t="s">
        <v>63</v>
      </c>
      <c r="AS821" s="3" t="s">
        <v>63</v>
      </c>
      <c r="AT821" s="3" t="s">
        <v>63</v>
      </c>
      <c r="AV821" s="6" t="str">
        <f>HYPERLINK("http://mcgill.on.worldcat.org/oclc/8625282","Catalog Record")</f>
        <v>Catalog Record</v>
      </c>
      <c r="AW821" s="6" t="str">
        <f>HYPERLINK("http://www.worldcat.org/oclc/8625282","WorldCat Record")</f>
        <v>WorldCat Record</v>
      </c>
      <c r="AX821" s="3" t="s">
        <v>8289</v>
      </c>
      <c r="AY821" s="3" t="s">
        <v>8290</v>
      </c>
      <c r="AZ821" s="3" t="s">
        <v>8291</v>
      </c>
      <c r="BA821" s="3" t="s">
        <v>8291</v>
      </c>
      <c r="BB821" s="3" t="s">
        <v>8292</v>
      </c>
      <c r="BC821" s="3" t="s">
        <v>82</v>
      </c>
      <c r="BD821" s="3" t="s">
        <v>70</v>
      </c>
      <c r="BE821" s="3" t="s">
        <v>8293</v>
      </c>
      <c r="BF821" s="3" t="s">
        <v>8292</v>
      </c>
      <c r="BG821" s="3" t="s">
        <v>8294</v>
      </c>
    </row>
    <row r="822" spans="1:59" ht="60" x14ac:dyDescent="0.25">
      <c r="A822" s="2" t="s">
        <v>59</v>
      </c>
      <c r="B822" s="2" t="s">
        <v>60</v>
      </c>
      <c r="C822" s="2" t="s">
        <v>8295</v>
      </c>
      <c r="D822" s="2" t="s">
        <v>8296</v>
      </c>
      <c r="E822" s="2" t="s">
        <v>8297</v>
      </c>
      <c r="G822" s="3" t="s">
        <v>63</v>
      </c>
      <c r="I822" s="3" t="s">
        <v>63</v>
      </c>
      <c r="J822" s="3" t="s">
        <v>63</v>
      </c>
      <c r="K822" s="3" t="s">
        <v>64</v>
      </c>
      <c r="M822" s="2" t="s">
        <v>8298</v>
      </c>
      <c r="N822" s="3" t="s">
        <v>204</v>
      </c>
      <c r="P822" s="3" t="s">
        <v>90</v>
      </c>
      <c r="Q822" s="2" t="s">
        <v>8299</v>
      </c>
      <c r="R822" s="3" t="s">
        <v>67</v>
      </c>
      <c r="S822" s="4">
        <v>4</v>
      </c>
      <c r="T822" s="4">
        <v>4</v>
      </c>
      <c r="U822" s="5" t="s">
        <v>3397</v>
      </c>
      <c r="V822" s="5" t="s">
        <v>3397</v>
      </c>
      <c r="W822" s="5" t="s">
        <v>69</v>
      </c>
      <c r="X822" s="5" t="s">
        <v>69</v>
      </c>
      <c r="Y822" s="4">
        <v>50</v>
      </c>
      <c r="Z822" s="4">
        <v>4</v>
      </c>
      <c r="AA822" s="4">
        <v>4</v>
      </c>
      <c r="AB822" s="4">
        <v>1</v>
      </c>
      <c r="AC822" s="4">
        <v>1</v>
      </c>
      <c r="AD822" s="4">
        <v>29</v>
      </c>
      <c r="AE822" s="4">
        <v>29</v>
      </c>
      <c r="AF822" s="4">
        <v>0</v>
      </c>
      <c r="AG822" s="4">
        <v>0</v>
      </c>
      <c r="AH822" s="4">
        <v>28</v>
      </c>
      <c r="AI822" s="4">
        <v>28</v>
      </c>
      <c r="AJ822" s="4">
        <v>3</v>
      </c>
      <c r="AK822" s="4">
        <v>3</v>
      </c>
      <c r="AL822" s="4">
        <v>22</v>
      </c>
      <c r="AM822" s="4">
        <v>22</v>
      </c>
      <c r="AN822" s="4">
        <v>0</v>
      </c>
      <c r="AO822" s="4">
        <v>0</v>
      </c>
      <c r="AP822" s="4">
        <v>3</v>
      </c>
      <c r="AQ822" s="4">
        <v>3</v>
      </c>
      <c r="AR822" s="3" t="s">
        <v>63</v>
      </c>
      <c r="AS822" s="3" t="s">
        <v>63</v>
      </c>
      <c r="AT822" s="3" t="s">
        <v>63</v>
      </c>
      <c r="AV822" s="6" t="str">
        <f>HYPERLINK("http://mcgill.on.worldcat.org/oclc/36626923","Catalog Record")</f>
        <v>Catalog Record</v>
      </c>
      <c r="AW822" s="6" t="str">
        <f>HYPERLINK("http://www.worldcat.org/oclc/36626923","WorldCat Record")</f>
        <v>WorldCat Record</v>
      </c>
      <c r="AX822" s="3" t="s">
        <v>8300</v>
      </c>
      <c r="AY822" s="3" t="s">
        <v>8301</v>
      </c>
      <c r="AZ822" s="3" t="s">
        <v>8302</v>
      </c>
      <c r="BA822" s="3" t="s">
        <v>8302</v>
      </c>
      <c r="BB822" s="3" t="s">
        <v>8303</v>
      </c>
      <c r="BC822" s="3" t="s">
        <v>82</v>
      </c>
      <c r="BD822" s="3" t="s">
        <v>70</v>
      </c>
      <c r="BE822" s="3" t="s">
        <v>8304</v>
      </c>
      <c r="BF822" s="3" t="s">
        <v>8303</v>
      </c>
      <c r="BG822" s="3" t="s">
        <v>8305</v>
      </c>
    </row>
    <row r="823" spans="1:59" ht="60" x14ac:dyDescent="0.25">
      <c r="A823" s="2" t="s">
        <v>59</v>
      </c>
      <c r="B823" s="2" t="s">
        <v>60</v>
      </c>
      <c r="C823" s="2" t="s">
        <v>8306</v>
      </c>
      <c r="D823" s="2" t="s">
        <v>8307</v>
      </c>
      <c r="E823" s="2" t="s">
        <v>8308</v>
      </c>
      <c r="G823" s="3" t="s">
        <v>63</v>
      </c>
      <c r="I823" s="3" t="s">
        <v>63</v>
      </c>
      <c r="J823" s="3" t="s">
        <v>63</v>
      </c>
      <c r="K823" s="3" t="s">
        <v>64</v>
      </c>
      <c r="L823" s="2" t="s">
        <v>8309</v>
      </c>
      <c r="M823" s="2" t="s">
        <v>8310</v>
      </c>
      <c r="N823" s="3" t="s">
        <v>468</v>
      </c>
      <c r="P823" s="3" t="s">
        <v>66</v>
      </c>
      <c r="R823" s="3" t="s">
        <v>67</v>
      </c>
      <c r="S823" s="4">
        <v>9</v>
      </c>
      <c r="T823" s="4">
        <v>9</v>
      </c>
      <c r="U823" s="5" t="s">
        <v>8311</v>
      </c>
      <c r="V823" s="5" t="s">
        <v>8311</v>
      </c>
      <c r="W823" s="5" t="s">
        <v>69</v>
      </c>
      <c r="X823" s="5" t="s">
        <v>69</v>
      </c>
      <c r="Y823" s="4">
        <v>810</v>
      </c>
      <c r="Z823" s="4">
        <v>33</v>
      </c>
      <c r="AA823" s="4">
        <v>33</v>
      </c>
      <c r="AB823" s="4">
        <v>2</v>
      </c>
      <c r="AC823" s="4">
        <v>2</v>
      </c>
      <c r="AD823" s="4">
        <v>108</v>
      </c>
      <c r="AE823" s="4">
        <v>108</v>
      </c>
      <c r="AF823" s="4">
        <v>1</v>
      </c>
      <c r="AG823" s="4">
        <v>1</v>
      </c>
      <c r="AH823" s="4">
        <v>91</v>
      </c>
      <c r="AI823" s="4">
        <v>91</v>
      </c>
      <c r="AJ823" s="4">
        <v>20</v>
      </c>
      <c r="AK823" s="4">
        <v>20</v>
      </c>
      <c r="AL823" s="4">
        <v>43</v>
      </c>
      <c r="AM823" s="4">
        <v>43</v>
      </c>
      <c r="AN823" s="4">
        <v>0</v>
      </c>
      <c r="AO823" s="4">
        <v>0</v>
      </c>
      <c r="AP823" s="4">
        <v>25</v>
      </c>
      <c r="AQ823" s="4">
        <v>25</v>
      </c>
      <c r="AR823" s="3" t="s">
        <v>63</v>
      </c>
      <c r="AS823" s="3" t="s">
        <v>63</v>
      </c>
      <c r="AT823" s="3" t="s">
        <v>62</v>
      </c>
      <c r="AU823" s="6" t="str">
        <f>HYPERLINK("http://catalog.hathitrust.org/Record/000085062","HathiTrust Record")</f>
        <v>HathiTrust Record</v>
      </c>
      <c r="AV823" s="6" t="str">
        <f>HYPERLINK("http://mcgill.on.worldcat.org/oclc/2558718","Catalog Record")</f>
        <v>Catalog Record</v>
      </c>
      <c r="AW823" s="6" t="str">
        <f>HYPERLINK("http://www.worldcat.org/oclc/2558718","WorldCat Record")</f>
        <v>WorldCat Record</v>
      </c>
      <c r="AX823" s="3" t="s">
        <v>8312</v>
      </c>
      <c r="AY823" s="3" t="s">
        <v>8313</v>
      </c>
      <c r="AZ823" s="3" t="s">
        <v>8314</v>
      </c>
      <c r="BA823" s="3" t="s">
        <v>8314</v>
      </c>
      <c r="BB823" s="3" t="s">
        <v>8315</v>
      </c>
      <c r="BC823" s="3" t="s">
        <v>82</v>
      </c>
      <c r="BD823" s="3" t="s">
        <v>70</v>
      </c>
      <c r="BE823" s="3" t="s">
        <v>8316</v>
      </c>
      <c r="BF823" s="3" t="s">
        <v>8315</v>
      </c>
      <c r="BG823" s="3" t="s">
        <v>8317</v>
      </c>
    </row>
    <row r="824" spans="1:59" ht="60" x14ac:dyDescent="0.25">
      <c r="A824" s="2" t="s">
        <v>59</v>
      </c>
      <c r="B824" s="2" t="s">
        <v>60</v>
      </c>
      <c r="C824" s="2" t="s">
        <v>8318</v>
      </c>
      <c r="D824" s="2" t="s">
        <v>8319</v>
      </c>
      <c r="E824" s="2" t="s">
        <v>8320</v>
      </c>
      <c r="G824" s="3" t="s">
        <v>63</v>
      </c>
      <c r="I824" s="3" t="s">
        <v>63</v>
      </c>
      <c r="J824" s="3" t="s">
        <v>63</v>
      </c>
      <c r="K824" s="3" t="s">
        <v>64</v>
      </c>
      <c r="L824" s="2" t="s">
        <v>8321</v>
      </c>
      <c r="M824" s="2" t="s">
        <v>8322</v>
      </c>
      <c r="N824" s="3" t="s">
        <v>176</v>
      </c>
      <c r="O824" s="2" t="s">
        <v>590</v>
      </c>
      <c r="P824" s="3" t="s">
        <v>66</v>
      </c>
      <c r="Q824" s="2" t="s">
        <v>8323</v>
      </c>
      <c r="R824" s="3" t="s">
        <v>67</v>
      </c>
      <c r="S824" s="4">
        <v>59</v>
      </c>
      <c r="T824" s="4">
        <v>59</v>
      </c>
      <c r="U824" s="5" t="s">
        <v>8324</v>
      </c>
      <c r="V824" s="5" t="s">
        <v>8324</v>
      </c>
      <c r="W824" s="5" t="s">
        <v>69</v>
      </c>
      <c r="X824" s="5" t="s">
        <v>69</v>
      </c>
      <c r="Y824" s="4">
        <v>715</v>
      </c>
      <c r="Z824" s="4">
        <v>29</v>
      </c>
      <c r="AA824" s="4">
        <v>40</v>
      </c>
      <c r="AB824" s="4">
        <v>2</v>
      </c>
      <c r="AC824" s="4">
        <v>6</v>
      </c>
      <c r="AD824" s="4">
        <v>117</v>
      </c>
      <c r="AE824" s="4">
        <v>124</v>
      </c>
      <c r="AF824" s="4">
        <v>1</v>
      </c>
      <c r="AG824" s="4">
        <v>4</v>
      </c>
      <c r="AH824" s="4">
        <v>105</v>
      </c>
      <c r="AI824" s="4">
        <v>107</v>
      </c>
      <c r="AJ824" s="4">
        <v>14</v>
      </c>
      <c r="AK824" s="4">
        <v>20</v>
      </c>
      <c r="AL824" s="4">
        <v>59</v>
      </c>
      <c r="AM824" s="4">
        <v>59</v>
      </c>
      <c r="AN824" s="4">
        <v>0</v>
      </c>
      <c r="AO824" s="4">
        <v>0</v>
      </c>
      <c r="AP824" s="4">
        <v>19</v>
      </c>
      <c r="AQ824" s="4">
        <v>25</v>
      </c>
      <c r="AR824" s="3" t="s">
        <v>63</v>
      </c>
      <c r="AS824" s="3" t="s">
        <v>63</v>
      </c>
      <c r="AT824" s="3" t="s">
        <v>62</v>
      </c>
      <c r="AU824" s="6" t="str">
        <f>HYPERLINK("http://catalog.hathitrust.org/Record/003974082","HathiTrust Record")</f>
        <v>HathiTrust Record</v>
      </c>
      <c r="AV824" s="6" t="str">
        <f>HYPERLINK("http://mcgill.on.worldcat.org/oclc/37341515","Catalog Record")</f>
        <v>Catalog Record</v>
      </c>
      <c r="AW824" s="6" t="str">
        <f>HYPERLINK("http://www.worldcat.org/oclc/37341515","WorldCat Record")</f>
        <v>WorldCat Record</v>
      </c>
      <c r="AX824" s="3" t="s">
        <v>8325</v>
      </c>
      <c r="AY824" s="3" t="s">
        <v>8326</v>
      </c>
      <c r="AZ824" s="3" t="s">
        <v>8327</v>
      </c>
      <c r="BA824" s="3" t="s">
        <v>8327</v>
      </c>
      <c r="BB824" s="3" t="s">
        <v>8328</v>
      </c>
      <c r="BC824" s="3" t="s">
        <v>82</v>
      </c>
      <c r="BD824" s="3" t="s">
        <v>70</v>
      </c>
      <c r="BE824" s="3" t="s">
        <v>8329</v>
      </c>
      <c r="BF824" s="3" t="s">
        <v>8328</v>
      </c>
      <c r="BG824" s="3" t="s">
        <v>8330</v>
      </c>
    </row>
    <row r="825" spans="1:59" ht="60" x14ac:dyDescent="0.25">
      <c r="A825" s="2" t="s">
        <v>59</v>
      </c>
      <c r="B825" s="2" t="s">
        <v>60</v>
      </c>
      <c r="C825" s="2" t="s">
        <v>8331</v>
      </c>
      <c r="D825" s="2" t="s">
        <v>8332</v>
      </c>
      <c r="E825" s="2" t="s">
        <v>8333</v>
      </c>
      <c r="G825" s="3" t="s">
        <v>63</v>
      </c>
      <c r="I825" s="3" t="s">
        <v>63</v>
      </c>
      <c r="J825" s="3" t="s">
        <v>63</v>
      </c>
      <c r="K825" s="3" t="s">
        <v>64</v>
      </c>
      <c r="M825" s="2" t="s">
        <v>8334</v>
      </c>
      <c r="N825" s="3" t="s">
        <v>668</v>
      </c>
      <c r="P825" s="3" t="s">
        <v>66</v>
      </c>
      <c r="R825" s="3" t="s">
        <v>67</v>
      </c>
      <c r="S825" s="4">
        <v>14</v>
      </c>
      <c r="T825" s="4">
        <v>14</v>
      </c>
      <c r="U825" s="5" t="s">
        <v>8335</v>
      </c>
      <c r="V825" s="5" t="s">
        <v>8335</v>
      </c>
      <c r="W825" s="5" t="s">
        <v>69</v>
      </c>
      <c r="X825" s="5" t="s">
        <v>69</v>
      </c>
      <c r="Y825" s="4">
        <v>153</v>
      </c>
      <c r="Z825" s="4">
        <v>8</v>
      </c>
      <c r="AA825" s="4">
        <v>18</v>
      </c>
      <c r="AB825" s="4">
        <v>2</v>
      </c>
      <c r="AC825" s="4">
        <v>3</v>
      </c>
      <c r="AD825" s="4">
        <v>68</v>
      </c>
      <c r="AE825" s="4">
        <v>97</v>
      </c>
      <c r="AF825" s="4">
        <v>0</v>
      </c>
      <c r="AG825" s="4">
        <v>0</v>
      </c>
      <c r="AH825" s="4">
        <v>63</v>
      </c>
      <c r="AI825" s="4">
        <v>90</v>
      </c>
      <c r="AJ825" s="4">
        <v>6</v>
      </c>
      <c r="AK825" s="4">
        <v>14</v>
      </c>
      <c r="AL825" s="4">
        <v>35</v>
      </c>
      <c r="AM825" s="4">
        <v>50</v>
      </c>
      <c r="AN825" s="4">
        <v>0</v>
      </c>
      <c r="AO825" s="4">
        <v>0</v>
      </c>
      <c r="AP825" s="4">
        <v>6</v>
      </c>
      <c r="AQ825" s="4">
        <v>14</v>
      </c>
      <c r="AR825" s="3" t="s">
        <v>63</v>
      </c>
      <c r="AS825" s="3" t="s">
        <v>63</v>
      </c>
      <c r="AT825" s="3" t="s">
        <v>63</v>
      </c>
      <c r="AV825" s="6" t="str">
        <f>HYPERLINK("http://mcgill.on.worldcat.org/oclc/21151838","Catalog Record")</f>
        <v>Catalog Record</v>
      </c>
      <c r="AW825" s="6" t="str">
        <f>HYPERLINK("http://www.worldcat.org/oclc/21151838","WorldCat Record")</f>
        <v>WorldCat Record</v>
      </c>
      <c r="AX825" s="3" t="s">
        <v>8336</v>
      </c>
      <c r="AY825" s="3" t="s">
        <v>8337</v>
      </c>
      <c r="AZ825" s="3" t="s">
        <v>8338</v>
      </c>
      <c r="BA825" s="3" t="s">
        <v>8338</v>
      </c>
      <c r="BB825" s="3" t="s">
        <v>8339</v>
      </c>
      <c r="BC825" s="3" t="s">
        <v>82</v>
      </c>
      <c r="BD825" s="3" t="s">
        <v>70</v>
      </c>
      <c r="BE825" s="3" t="s">
        <v>8340</v>
      </c>
      <c r="BF825" s="3" t="s">
        <v>8339</v>
      </c>
      <c r="BG825" s="3" t="s">
        <v>8341</v>
      </c>
    </row>
    <row r="826" spans="1:59" ht="60" x14ac:dyDescent="0.25">
      <c r="A826" s="2" t="s">
        <v>59</v>
      </c>
      <c r="B826" s="2" t="s">
        <v>60</v>
      </c>
      <c r="C826" s="2" t="s">
        <v>8342</v>
      </c>
      <c r="D826" s="2" t="s">
        <v>8343</v>
      </c>
      <c r="E826" s="2" t="s">
        <v>8344</v>
      </c>
      <c r="G826" s="3" t="s">
        <v>63</v>
      </c>
      <c r="I826" s="3" t="s">
        <v>62</v>
      </c>
      <c r="J826" s="3" t="s">
        <v>63</v>
      </c>
      <c r="K826" s="3" t="s">
        <v>64</v>
      </c>
      <c r="L826" s="2" t="s">
        <v>8345</v>
      </c>
      <c r="M826" s="2" t="s">
        <v>8346</v>
      </c>
      <c r="N826" s="3" t="s">
        <v>3640</v>
      </c>
      <c r="P826" s="3" t="s">
        <v>66</v>
      </c>
      <c r="R826" s="3" t="s">
        <v>67</v>
      </c>
      <c r="S826" s="4">
        <v>18</v>
      </c>
      <c r="T826" s="4">
        <v>37</v>
      </c>
      <c r="U826" s="5" t="s">
        <v>8347</v>
      </c>
      <c r="V826" s="5" t="s">
        <v>3117</v>
      </c>
      <c r="W826" s="5" t="s">
        <v>69</v>
      </c>
      <c r="X826" s="5" t="s">
        <v>69</v>
      </c>
      <c r="Y826" s="4">
        <v>382</v>
      </c>
      <c r="Z826" s="4">
        <v>26</v>
      </c>
      <c r="AA826" s="4">
        <v>29</v>
      </c>
      <c r="AB826" s="4">
        <v>1</v>
      </c>
      <c r="AC826" s="4">
        <v>3</v>
      </c>
      <c r="AD826" s="4">
        <v>113</v>
      </c>
      <c r="AE826" s="4">
        <v>116</v>
      </c>
      <c r="AF826" s="4">
        <v>0</v>
      </c>
      <c r="AG826" s="4">
        <v>2</v>
      </c>
      <c r="AH826" s="4">
        <v>100</v>
      </c>
      <c r="AI826" s="4">
        <v>101</v>
      </c>
      <c r="AJ826" s="4">
        <v>19</v>
      </c>
      <c r="AK826" s="4">
        <v>22</v>
      </c>
      <c r="AL826" s="4">
        <v>54</v>
      </c>
      <c r="AM826" s="4">
        <v>54</v>
      </c>
      <c r="AN826" s="4">
        <v>0</v>
      </c>
      <c r="AO826" s="4">
        <v>0</v>
      </c>
      <c r="AP826" s="4">
        <v>19</v>
      </c>
      <c r="AQ826" s="4">
        <v>21</v>
      </c>
      <c r="AR826" s="3" t="s">
        <v>63</v>
      </c>
      <c r="AS826" s="3" t="s">
        <v>63</v>
      </c>
      <c r="AT826" s="3" t="s">
        <v>62</v>
      </c>
      <c r="AU826" s="6" t="str">
        <f>HYPERLINK("http://catalog.hathitrust.org/Record/000276261","HathiTrust Record")</f>
        <v>HathiTrust Record</v>
      </c>
      <c r="AV826" s="6" t="str">
        <f>HYPERLINK("http://mcgill.on.worldcat.org/oclc/8974843","Catalog Record")</f>
        <v>Catalog Record</v>
      </c>
      <c r="AW826" s="6" t="str">
        <f>HYPERLINK("http://www.worldcat.org/oclc/8974843","WorldCat Record")</f>
        <v>WorldCat Record</v>
      </c>
      <c r="AX826" s="3" t="s">
        <v>8348</v>
      </c>
      <c r="AY826" s="3" t="s">
        <v>8349</v>
      </c>
      <c r="AZ826" s="3" t="s">
        <v>8350</v>
      </c>
      <c r="BA826" s="3" t="s">
        <v>8350</v>
      </c>
      <c r="BB826" s="3" t="s">
        <v>8351</v>
      </c>
      <c r="BC826" s="3" t="s">
        <v>82</v>
      </c>
      <c r="BD826" s="3" t="s">
        <v>70</v>
      </c>
      <c r="BE826" s="3" t="s">
        <v>8352</v>
      </c>
      <c r="BF826" s="3" t="s">
        <v>8351</v>
      </c>
      <c r="BG826" s="3" t="s">
        <v>8353</v>
      </c>
    </row>
    <row r="827" spans="1:59" ht="60" x14ac:dyDescent="0.25">
      <c r="A827" s="2" t="s">
        <v>59</v>
      </c>
      <c r="B827" s="2" t="s">
        <v>60</v>
      </c>
      <c r="C827" s="2" t="s">
        <v>8342</v>
      </c>
      <c r="D827" s="2" t="s">
        <v>8343</v>
      </c>
      <c r="E827" s="2" t="s">
        <v>8344</v>
      </c>
      <c r="G827" s="3" t="s">
        <v>63</v>
      </c>
      <c r="I827" s="3" t="s">
        <v>62</v>
      </c>
      <c r="J827" s="3" t="s">
        <v>63</v>
      </c>
      <c r="K827" s="3" t="s">
        <v>64</v>
      </c>
      <c r="L827" s="2" t="s">
        <v>8345</v>
      </c>
      <c r="M827" s="2" t="s">
        <v>8346</v>
      </c>
      <c r="N827" s="3" t="s">
        <v>3640</v>
      </c>
      <c r="P827" s="3" t="s">
        <v>66</v>
      </c>
      <c r="R827" s="3" t="s">
        <v>67</v>
      </c>
      <c r="S827" s="4">
        <v>19</v>
      </c>
      <c r="T827" s="4">
        <v>37</v>
      </c>
      <c r="U827" s="5" t="s">
        <v>3117</v>
      </c>
      <c r="V827" s="5" t="s">
        <v>3117</v>
      </c>
      <c r="W827" s="5" t="s">
        <v>69</v>
      </c>
      <c r="X827" s="5" t="s">
        <v>69</v>
      </c>
      <c r="Y827" s="4">
        <v>382</v>
      </c>
      <c r="Z827" s="4">
        <v>26</v>
      </c>
      <c r="AA827" s="4">
        <v>29</v>
      </c>
      <c r="AB827" s="4">
        <v>1</v>
      </c>
      <c r="AC827" s="4">
        <v>3</v>
      </c>
      <c r="AD827" s="4">
        <v>113</v>
      </c>
      <c r="AE827" s="4">
        <v>116</v>
      </c>
      <c r="AF827" s="4">
        <v>0</v>
      </c>
      <c r="AG827" s="4">
        <v>2</v>
      </c>
      <c r="AH827" s="4">
        <v>100</v>
      </c>
      <c r="AI827" s="4">
        <v>101</v>
      </c>
      <c r="AJ827" s="4">
        <v>19</v>
      </c>
      <c r="AK827" s="4">
        <v>22</v>
      </c>
      <c r="AL827" s="4">
        <v>54</v>
      </c>
      <c r="AM827" s="4">
        <v>54</v>
      </c>
      <c r="AN827" s="4">
        <v>0</v>
      </c>
      <c r="AO827" s="4">
        <v>0</v>
      </c>
      <c r="AP827" s="4">
        <v>19</v>
      </c>
      <c r="AQ827" s="4">
        <v>21</v>
      </c>
      <c r="AR827" s="3" t="s">
        <v>63</v>
      </c>
      <c r="AS827" s="3" t="s">
        <v>63</v>
      </c>
      <c r="AT827" s="3" t="s">
        <v>62</v>
      </c>
      <c r="AU827" s="6" t="str">
        <f>HYPERLINK("http://catalog.hathitrust.org/Record/000276261","HathiTrust Record")</f>
        <v>HathiTrust Record</v>
      </c>
      <c r="AV827" s="6" t="str">
        <f>HYPERLINK("http://mcgill.on.worldcat.org/oclc/8974843","Catalog Record")</f>
        <v>Catalog Record</v>
      </c>
      <c r="AW827" s="6" t="str">
        <f>HYPERLINK("http://www.worldcat.org/oclc/8974843","WorldCat Record")</f>
        <v>WorldCat Record</v>
      </c>
      <c r="AX827" s="3" t="s">
        <v>8348</v>
      </c>
      <c r="AY827" s="3" t="s">
        <v>8349</v>
      </c>
      <c r="AZ827" s="3" t="s">
        <v>8350</v>
      </c>
      <c r="BA827" s="3" t="s">
        <v>8350</v>
      </c>
      <c r="BB827" s="3" t="s">
        <v>8354</v>
      </c>
      <c r="BC827" s="3" t="s">
        <v>82</v>
      </c>
      <c r="BD827" s="3" t="s">
        <v>70</v>
      </c>
      <c r="BE827" s="3" t="s">
        <v>8352</v>
      </c>
      <c r="BF827" s="3" t="s">
        <v>8354</v>
      </c>
      <c r="BG827" s="3" t="s">
        <v>8355</v>
      </c>
    </row>
    <row r="828" spans="1:59" ht="60" x14ac:dyDescent="0.25">
      <c r="A828" s="2" t="s">
        <v>59</v>
      </c>
      <c r="B828" s="2" t="s">
        <v>60</v>
      </c>
      <c r="C828" s="2" t="s">
        <v>8356</v>
      </c>
      <c r="D828" s="2" t="s">
        <v>8357</v>
      </c>
      <c r="E828" s="2" t="s">
        <v>8358</v>
      </c>
      <c r="G828" s="3" t="s">
        <v>63</v>
      </c>
      <c r="I828" s="3" t="s">
        <v>63</v>
      </c>
      <c r="J828" s="3" t="s">
        <v>63</v>
      </c>
      <c r="K828" s="3" t="s">
        <v>64</v>
      </c>
      <c r="L828" s="2" t="s">
        <v>8359</v>
      </c>
      <c r="M828" s="2" t="s">
        <v>8360</v>
      </c>
      <c r="N828" s="3" t="s">
        <v>629</v>
      </c>
      <c r="P828" s="3" t="s">
        <v>90</v>
      </c>
      <c r="Q828" s="2" t="s">
        <v>5800</v>
      </c>
      <c r="R828" s="3" t="s">
        <v>67</v>
      </c>
      <c r="S828" s="4">
        <v>1</v>
      </c>
      <c r="T828" s="4">
        <v>1</v>
      </c>
      <c r="U828" s="5" t="s">
        <v>7420</v>
      </c>
      <c r="V828" s="5" t="s">
        <v>7420</v>
      </c>
      <c r="W828" s="5" t="s">
        <v>69</v>
      </c>
      <c r="X828" s="5" t="s">
        <v>69</v>
      </c>
      <c r="Y828" s="4">
        <v>34</v>
      </c>
      <c r="Z828" s="4">
        <v>6</v>
      </c>
      <c r="AA828" s="4">
        <v>6</v>
      </c>
      <c r="AB828" s="4">
        <v>1</v>
      </c>
      <c r="AC828" s="4">
        <v>1</v>
      </c>
      <c r="AD828" s="4">
        <v>29</v>
      </c>
      <c r="AE828" s="4">
        <v>30</v>
      </c>
      <c r="AF828" s="4">
        <v>0</v>
      </c>
      <c r="AG828" s="4">
        <v>0</v>
      </c>
      <c r="AH828" s="4">
        <v>28</v>
      </c>
      <c r="AI828" s="4">
        <v>29</v>
      </c>
      <c r="AJ828" s="4">
        <v>4</v>
      </c>
      <c r="AK828" s="4">
        <v>4</v>
      </c>
      <c r="AL828" s="4">
        <v>20</v>
      </c>
      <c r="AM828" s="4">
        <v>21</v>
      </c>
      <c r="AN828" s="4">
        <v>0</v>
      </c>
      <c r="AO828" s="4">
        <v>0</v>
      </c>
      <c r="AP828" s="4">
        <v>4</v>
      </c>
      <c r="AQ828" s="4">
        <v>4</v>
      </c>
      <c r="AR828" s="3" t="s">
        <v>63</v>
      </c>
      <c r="AS828" s="3" t="s">
        <v>63</v>
      </c>
      <c r="AT828" s="3" t="s">
        <v>63</v>
      </c>
      <c r="AV828" s="6" t="str">
        <f>HYPERLINK("http://mcgill.on.worldcat.org/oclc/704058061","Catalog Record")</f>
        <v>Catalog Record</v>
      </c>
      <c r="AW828" s="6" t="str">
        <f>HYPERLINK("http://www.worldcat.org/oclc/704058061","WorldCat Record")</f>
        <v>WorldCat Record</v>
      </c>
      <c r="AX828" s="3" t="s">
        <v>8361</v>
      </c>
      <c r="AY828" s="3" t="s">
        <v>8362</v>
      </c>
      <c r="AZ828" s="3" t="s">
        <v>8363</v>
      </c>
      <c r="BA828" s="3" t="s">
        <v>8363</v>
      </c>
      <c r="BB828" s="3" t="s">
        <v>8364</v>
      </c>
      <c r="BC828" s="3" t="s">
        <v>82</v>
      </c>
      <c r="BD828" s="3" t="s">
        <v>70</v>
      </c>
      <c r="BE828" s="3" t="s">
        <v>8365</v>
      </c>
      <c r="BF828" s="3" t="s">
        <v>8364</v>
      </c>
      <c r="BG828" s="3" t="s">
        <v>8366</v>
      </c>
    </row>
    <row r="829" spans="1:59" ht="60" x14ac:dyDescent="0.25">
      <c r="A829" s="2" t="s">
        <v>59</v>
      </c>
      <c r="B829" s="2" t="s">
        <v>60</v>
      </c>
      <c r="C829" s="2" t="s">
        <v>8367</v>
      </c>
      <c r="D829" s="2" t="s">
        <v>8368</v>
      </c>
      <c r="E829" s="2" t="s">
        <v>8369</v>
      </c>
      <c r="G829" s="3" t="s">
        <v>63</v>
      </c>
      <c r="I829" s="3" t="s">
        <v>63</v>
      </c>
      <c r="J829" s="3" t="s">
        <v>63</v>
      </c>
      <c r="K829" s="3" t="s">
        <v>64</v>
      </c>
      <c r="L829" s="2" t="s">
        <v>8359</v>
      </c>
      <c r="M829" s="2" t="s">
        <v>8370</v>
      </c>
      <c r="N829" s="3" t="s">
        <v>130</v>
      </c>
      <c r="P829" s="3" t="s">
        <v>90</v>
      </c>
      <c r="R829" s="3" t="s">
        <v>67</v>
      </c>
      <c r="S829" s="4">
        <v>1</v>
      </c>
      <c r="T829" s="4">
        <v>1</v>
      </c>
      <c r="U829" s="5" t="s">
        <v>8371</v>
      </c>
      <c r="V829" s="5" t="s">
        <v>8371</v>
      </c>
      <c r="W829" s="5" t="s">
        <v>69</v>
      </c>
      <c r="X829" s="5" t="s">
        <v>69</v>
      </c>
      <c r="Y829" s="4">
        <v>41</v>
      </c>
      <c r="Z829" s="4">
        <v>5</v>
      </c>
      <c r="AA829" s="4">
        <v>5</v>
      </c>
      <c r="AB829" s="4">
        <v>1</v>
      </c>
      <c r="AC829" s="4">
        <v>1</v>
      </c>
      <c r="AD829" s="4">
        <v>32</v>
      </c>
      <c r="AE829" s="4">
        <v>32</v>
      </c>
      <c r="AF829" s="4">
        <v>0</v>
      </c>
      <c r="AG829" s="4">
        <v>0</v>
      </c>
      <c r="AH829" s="4">
        <v>31</v>
      </c>
      <c r="AI829" s="4">
        <v>31</v>
      </c>
      <c r="AJ829" s="4">
        <v>3</v>
      </c>
      <c r="AK829" s="4">
        <v>3</v>
      </c>
      <c r="AL829" s="4">
        <v>24</v>
      </c>
      <c r="AM829" s="4">
        <v>24</v>
      </c>
      <c r="AN829" s="4">
        <v>0</v>
      </c>
      <c r="AO829" s="4">
        <v>0</v>
      </c>
      <c r="AP829" s="4">
        <v>3</v>
      </c>
      <c r="AQ829" s="4">
        <v>3</v>
      </c>
      <c r="AR829" s="3" t="s">
        <v>63</v>
      </c>
      <c r="AS829" s="3" t="s">
        <v>63</v>
      </c>
      <c r="AT829" s="3" t="s">
        <v>63</v>
      </c>
      <c r="AV829" s="6" t="str">
        <f>HYPERLINK("http://mcgill.on.worldcat.org/oclc/815723854","Catalog Record")</f>
        <v>Catalog Record</v>
      </c>
      <c r="AW829" s="6" t="str">
        <f>HYPERLINK("http://www.worldcat.org/oclc/815723854","WorldCat Record")</f>
        <v>WorldCat Record</v>
      </c>
      <c r="AX829" s="3" t="s">
        <v>8372</v>
      </c>
      <c r="AY829" s="3" t="s">
        <v>8373</v>
      </c>
      <c r="AZ829" s="3" t="s">
        <v>8374</v>
      </c>
      <c r="BA829" s="3" t="s">
        <v>8374</v>
      </c>
      <c r="BB829" s="3" t="s">
        <v>8375</v>
      </c>
      <c r="BC829" s="3" t="s">
        <v>82</v>
      </c>
      <c r="BD829" s="3" t="s">
        <v>70</v>
      </c>
      <c r="BE829" s="3" t="s">
        <v>8376</v>
      </c>
      <c r="BF829" s="3" t="s">
        <v>8375</v>
      </c>
      <c r="BG829" s="3" t="s">
        <v>8377</v>
      </c>
    </row>
    <row r="830" spans="1:59" ht="60" x14ac:dyDescent="0.25">
      <c r="A830" s="2" t="s">
        <v>59</v>
      </c>
      <c r="B830" s="2" t="s">
        <v>60</v>
      </c>
      <c r="C830" s="2" t="s">
        <v>8378</v>
      </c>
      <c r="D830" s="2" t="s">
        <v>8379</v>
      </c>
      <c r="E830" s="2" t="s">
        <v>8380</v>
      </c>
      <c r="G830" s="3" t="s">
        <v>63</v>
      </c>
      <c r="I830" s="3" t="s">
        <v>63</v>
      </c>
      <c r="J830" s="3" t="s">
        <v>63</v>
      </c>
      <c r="K830" s="3" t="s">
        <v>64</v>
      </c>
      <c r="L830" s="2" t="s">
        <v>8381</v>
      </c>
      <c r="M830" s="2" t="s">
        <v>6251</v>
      </c>
      <c r="N830" s="3" t="s">
        <v>261</v>
      </c>
      <c r="P830" s="3" t="s">
        <v>66</v>
      </c>
      <c r="R830" s="3" t="s">
        <v>67</v>
      </c>
      <c r="S830" s="4">
        <v>14</v>
      </c>
      <c r="T830" s="4">
        <v>14</v>
      </c>
      <c r="U830" s="5" t="s">
        <v>5434</v>
      </c>
      <c r="V830" s="5" t="s">
        <v>5434</v>
      </c>
      <c r="W830" s="5" t="s">
        <v>69</v>
      </c>
      <c r="X830" s="5" t="s">
        <v>69</v>
      </c>
      <c r="Y830" s="4">
        <v>244</v>
      </c>
      <c r="Z830" s="4">
        <v>17</v>
      </c>
      <c r="AA830" s="4">
        <v>18</v>
      </c>
      <c r="AB830" s="4">
        <v>1</v>
      </c>
      <c r="AC830" s="4">
        <v>2</v>
      </c>
      <c r="AD830" s="4">
        <v>100</v>
      </c>
      <c r="AE830" s="4">
        <v>101</v>
      </c>
      <c r="AF830" s="4">
        <v>0</v>
      </c>
      <c r="AG830" s="4">
        <v>1</v>
      </c>
      <c r="AH830" s="4">
        <v>91</v>
      </c>
      <c r="AI830" s="4">
        <v>92</v>
      </c>
      <c r="AJ830" s="4">
        <v>12</v>
      </c>
      <c r="AK830" s="4">
        <v>13</v>
      </c>
      <c r="AL830" s="4">
        <v>55</v>
      </c>
      <c r="AM830" s="4">
        <v>55</v>
      </c>
      <c r="AN830" s="4">
        <v>0</v>
      </c>
      <c r="AO830" s="4">
        <v>0</v>
      </c>
      <c r="AP830" s="4">
        <v>13</v>
      </c>
      <c r="AQ830" s="4">
        <v>14</v>
      </c>
      <c r="AR830" s="3" t="s">
        <v>63</v>
      </c>
      <c r="AS830" s="3" t="s">
        <v>63</v>
      </c>
      <c r="AT830" s="3" t="s">
        <v>62</v>
      </c>
      <c r="AU830" s="6" t="str">
        <f>HYPERLINK("http://catalog.hathitrust.org/Record/005632404","HathiTrust Record")</f>
        <v>HathiTrust Record</v>
      </c>
      <c r="AV830" s="6" t="str">
        <f>HYPERLINK("http://mcgill.on.worldcat.org/oclc/147988420","Catalog Record")</f>
        <v>Catalog Record</v>
      </c>
      <c r="AW830" s="6" t="str">
        <f>HYPERLINK("http://www.worldcat.org/oclc/147988420","WorldCat Record")</f>
        <v>WorldCat Record</v>
      </c>
      <c r="AX830" s="3" t="s">
        <v>8382</v>
      </c>
      <c r="AY830" s="3" t="s">
        <v>8383</v>
      </c>
      <c r="AZ830" s="3" t="s">
        <v>8384</v>
      </c>
      <c r="BA830" s="3" t="s">
        <v>8384</v>
      </c>
      <c r="BB830" s="3" t="s">
        <v>8385</v>
      </c>
      <c r="BC830" s="3" t="s">
        <v>82</v>
      </c>
      <c r="BD830" s="3" t="s">
        <v>538</v>
      </c>
      <c r="BE830" s="3" t="s">
        <v>8386</v>
      </c>
      <c r="BF830" s="3" t="s">
        <v>8385</v>
      </c>
      <c r="BG830" s="3" t="s">
        <v>8387</v>
      </c>
    </row>
    <row r="831" spans="1:59" ht="60" x14ac:dyDescent="0.25">
      <c r="A831" s="2" t="s">
        <v>59</v>
      </c>
      <c r="B831" s="2" t="s">
        <v>60</v>
      </c>
      <c r="C831" s="2" t="s">
        <v>8388</v>
      </c>
      <c r="D831" s="2" t="s">
        <v>8389</v>
      </c>
      <c r="E831" s="2" t="s">
        <v>8390</v>
      </c>
      <c r="G831" s="3" t="s">
        <v>63</v>
      </c>
      <c r="I831" s="3" t="s">
        <v>63</v>
      </c>
      <c r="J831" s="3" t="s">
        <v>63</v>
      </c>
      <c r="K831" s="3" t="s">
        <v>64</v>
      </c>
      <c r="L831" s="2" t="s">
        <v>8391</v>
      </c>
      <c r="M831" s="2" t="s">
        <v>8392</v>
      </c>
      <c r="N831" s="3" t="s">
        <v>629</v>
      </c>
      <c r="P831" s="3" t="s">
        <v>66</v>
      </c>
      <c r="R831" s="3" t="s">
        <v>67</v>
      </c>
      <c r="S831" s="4">
        <v>6</v>
      </c>
      <c r="T831" s="4">
        <v>6</v>
      </c>
      <c r="U831" s="5" t="s">
        <v>8393</v>
      </c>
      <c r="V831" s="5" t="s">
        <v>8393</v>
      </c>
      <c r="W831" s="5" t="s">
        <v>69</v>
      </c>
      <c r="X831" s="5" t="s">
        <v>69</v>
      </c>
      <c r="Y831" s="4">
        <v>186</v>
      </c>
      <c r="Z831" s="4">
        <v>22</v>
      </c>
      <c r="AA831" s="4">
        <v>106</v>
      </c>
      <c r="AB831" s="4">
        <v>1</v>
      </c>
      <c r="AC831" s="4">
        <v>20</v>
      </c>
      <c r="AD831" s="4">
        <v>86</v>
      </c>
      <c r="AE831" s="4">
        <v>138</v>
      </c>
      <c r="AF831" s="4">
        <v>0</v>
      </c>
      <c r="AG831" s="4">
        <v>8</v>
      </c>
      <c r="AH831" s="4">
        <v>75</v>
      </c>
      <c r="AI831" s="4">
        <v>97</v>
      </c>
      <c r="AJ831" s="4">
        <v>17</v>
      </c>
      <c r="AK831" s="4">
        <v>26</v>
      </c>
      <c r="AL831" s="4">
        <v>46</v>
      </c>
      <c r="AM831" s="4">
        <v>53</v>
      </c>
      <c r="AN831" s="4">
        <v>0</v>
      </c>
      <c r="AO831" s="4">
        <v>0</v>
      </c>
      <c r="AP831" s="4">
        <v>17</v>
      </c>
      <c r="AQ831" s="4">
        <v>49</v>
      </c>
      <c r="AR831" s="3" t="s">
        <v>62</v>
      </c>
      <c r="AS831" s="3" t="s">
        <v>63</v>
      </c>
      <c r="AT831" s="3" t="s">
        <v>63</v>
      </c>
      <c r="AV831" s="6" t="str">
        <f>HYPERLINK("http://mcgill.on.worldcat.org/oclc/731322701","Catalog Record")</f>
        <v>Catalog Record</v>
      </c>
      <c r="AW831" s="6" t="str">
        <f>HYPERLINK("http://www.worldcat.org/oclc/731322701","WorldCat Record")</f>
        <v>WorldCat Record</v>
      </c>
      <c r="AX831" s="3" t="s">
        <v>8394</v>
      </c>
      <c r="AY831" s="3" t="s">
        <v>8395</v>
      </c>
      <c r="AZ831" s="3" t="s">
        <v>8396</v>
      </c>
      <c r="BA831" s="3" t="s">
        <v>8396</v>
      </c>
      <c r="BB831" s="3" t="s">
        <v>8397</v>
      </c>
      <c r="BC831" s="3" t="s">
        <v>82</v>
      </c>
      <c r="BD831" s="3" t="s">
        <v>70</v>
      </c>
      <c r="BE831" s="3" t="s">
        <v>8398</v>
      </c>
      <c r="BF831" s="3" t="s">
        <v>8397</v>
      </c>
      <c r="BG831" s="3" t="s">
        <v>8399</v>
      </c>
    </row>
    <row r="832" spans="1:59" ht="60" x14ac:dyDescent="0.25">
      <c r="A832" s="2" t="s">
        <v>59</v>
      </c>
      <c r="B832" s="2" t="s">
        <v>60</v>
      </c>
      <c r="C832" s="2" t="s">
        <v>8400</v>
      </c>
      <c r="D832" s="2" t="s">
        <v>8401</v>
      </c>
      <c r="E832" s="2" t="s">
        <v>8402</v>
      </c>
      <c r="G832" s="3" t="s">
        <v>63</v>
      </c>
      <c r="I832" s="3" t="s">
        <v>63</v>
      </c>
      <c r="J832" s="3" t="s">
        <v>63</v>
      </c>
      <c r="K832" s="3" t="s">
        <v>64</v>
      </c>
      <c r="L832" s="2" t="s">
        <v>8403</v>
      </c>
      <c r="M832" s="2" t="s">
        <v>8404</v>
      </c>
      <c r="N832" s="3" t="s">
        <v>706</v>
      </c>
      <c r="P832" s="3" t="s">
        <v>66</v>
      </c>
      <c r="R832" s="3" t="s">
        <v>67</v>
      </c>
      <c r="S832" s="4">
        <v>43</v>
      </c>
      <c r="T832" s="4">
        <v>43</v>
      </c>
      <c r="U832" s="5" t="s">
        <v>8405</v>
      </c>
      <c r="V832" s="5" t="s">
        <v>8405</v>
      </c>
      <c r="W832" s="5" t="s">
        <v>69</v>
      </c>
      <c r="X832" s="5" t="s">
        <v>69</v>
      </c>
      <c r="Y832" s="4">
        <v>470</v>
      </c>
      <c r="Z832" s="4">
        <v>24</v>
      </c>
      <c r="AA832" s="4">
        <v>24</v>
      </c>
      <c r="AB832" s="4">
        <v>1</v>
      </c>
      <c r="AC832" s="4">
        <v>1</v>
      </c>
      <c r="AD832" s="4">
        <v>119</v>
      </c>
      <c r="AE832" s="4">
        <v>119</v>
      </c>
      <c r="AF832" s="4">
        <v>0</v>
      </c>
      <c r="AG832" s="4">
        <v>0</v>
      </c>
      <c r="AH832" s="4">
        <v>109</v>
      </c>
      <c r="AI832" s="4">
        <v>109</v>
      </c>
      <c r="AJ832" s="4">
        <v>17</v>
      </c>
      <c r="AK832" s="4">
        <v>17</v>
      </c>
      <c r="AL832" s="4">
        <v>57</v>
      </c>
      <c r="AM832" s="4">
        <v>57</v>
      </c>
      <c r="AN832" s="4">
        <v>0</v>
      </c>
      <c r="AO832" s="4">
        <v>0</v>
      </c>
      <c r="AP832" s="4">
        <v>19</v>
      </c>
      <c r="AQ832" s="4">
        <v>19</v>
      </c>
      <c r="AR832" s="3" t="s">
        <v>63</v>
      </c>
      <c r="AS832" s="3" t="s">
        <v>63</v>
      </c>
      <c r="AT832" s="3" t="s">
        <v>62</v>
      </c>
      <c r="AU832" s="6" t="str">
        <f>HYPERLINK("http://catalog.hathitrust.org/Record/000583379","HathiTrust Record")</f>
        <v>HathiTrust Record</v>
      </c>
      <c r="AV832" s="6" t="str">
        <f>HYPERLINK("http://mcgill.on.worldcat.org/oclc/12582409","Catalog Record")</f>
        <v>Catalog Record</v>
      </c>
      <c r="AW832" s="6" t="str">
        <f>HYPERLINK("http://www.worldcat.org/oclc/12582409","WorldCat Record")</f>
        <v>WorldCat Record</v>
      </c>
      <c r="AX832" s="3" t="s">
        <v>8406</v>
      </c>
      <c r="AY832" s="3" t="s">
        <v>8407</v>
      </c>
      <c r="AZ832" s="3" t="s">
        <v>8408</v>
      </c>
      <c r="BA832" s="3" t="s">
        <v>8408</v>
      </c>
      <c r="BB832" s="3" t="s">
        <v>8409</v>
      </c>
      <c r="BC832" s="3" t="s">
        <v>82</v>
      </c>
      <c r="BD832" s="3" t="s">
        <v>70</v>
      </c>
      <c r="BE832" s="3" t="s">
        <v>8410</v>
      </c>
      <c r="BF832" s="3" t="s">
        <v>8409</v>
      </c>
      <c r="BG832" s="3" t="s">
        <v>8411</v>
      </c>
    </row>
    <row r="833" spans="1:59" ht="60" x14ac:dyDescent="0.25">
      <c r="A833" s="2" t="s">
        <v>59</v>
      </c>
      <c r="B833" s="2" t="s">
        <v>60</v>
      </c>
      <c r="C833" s="2" t="s">
        <v>8412</v>
      </c>
      <c r="D833" s="2" t="s">
        <v>8413</v>
      </c>
      <c r="E833" s="2" t="s">
        <v>8414</v>
      </c>
      <c r="G833" s="3" t="s">
        <v>63</v>
      </c>
      <c r="I833" s="3" t="s">
        <v>63</v>
      </c>
      <c r="J833" s="3" t="s">
        <v>63</v>
      </c>
      <c r="K833" s="3" t="s">
        <v>64</v>
      </c>
      <c r="L833" s="2" t="s">
        <v>8415</v>
      </c>
      <c r="M833" s="2" t="s">
        <v>8416</v>
      </c>
      <c r="N833" s="3" t="s">
        <v>143</v>
      </c>
      <c r="P833" s="3" t="s">
        <v>66</v>
      </c>
      <c r="Q833" s="2" t="s">
        <v>8417</v>
      </c>
      <c r="R833" s="3" t="s">
        <v>67</v>
      </c>
      <c r="S833" s="4">
        <v>2</v>
      </c>
      <c r="T833" s="4">
        <v>2</v>
      </c>
      <c r="W833" s="5" t="s">
        <v>69</v>
      </c>
      <c r="X833" s="5" t="s">
        <v>69</v>
      </c>
      <c r="Y833" s="4">
        <v>20</v>
      </c>
      <c r="Z833" s="4">
        <v>1</v>
      </c>
      <c r="AA833" s="4">
        <v>1</v>
      </c>
      <c r="AB833" s="4">
        <v>1</v>
      </c>
      <c r="AC833" s="4">
        <v>1</v>
      </c>
      <c r="AD833" s="4">
        <v>8</v>
      </c>
      <c r="AE833" s="4">
        <v>8</v>
      </c>
      <c r="AF833" s="4">
        <v>0</v>
      </c>
      <c r="AG833" s="4">
        <v>0</v>
      </c>
      <c r="AH833" s="4">
        <v>7</v>
      </c>
      <c r="AI833" s="4">
        <v>7</v>
      </c>
      <c r="AJ833" s="4">
        <v>0</v>
      </c>
      <c r="AK833" s="4">
        <v>0</v>
      </c>
      <c r="AL833" s="4">
        <v>6</v>
      </c>
      <c r="AM833" s="4">
        <v>6</v>
      </c>
      <c r="AN833" s="4">
        <v>0</v>
      </c>
      <c r="AO833" s="4">
        <v>0</v>
      </c>
      <c r="AP833" s="4">
        <v>0</v>
      </c>
      <c r="AQ833" s="4">
        <v>0</v>
      </c>
      <c r="AR833" s="3" t="s">
        <v>63</v>
      </c>
      <c r="AS833" s="3" t="s">
        <v>63</v>
      </c>
      <c r="AT833" s="3" t="s">
        <v>63</v>
      </c>
      <c r="AV833" s="6" t="str">
        <f>HYPERLINK("http://mcgill.on.worldcat.org/oclc/904786632","Catalog Record")</f>
        <v>Catalog Record</v>
      </c>
      <c r="AW833" s="6" t="str">
        <f>HYPERLINK("http://www.worldcat.org/oclc/904786632","WorldCat Record")</f>
        <v>WorldCat Record</v>
      </c>
      <c r="AX833" s="3" t="s">
        <v>8418</v>
      </c>
      <c r="AY833" s="3" t="s">
        <v>8419</v>
      </c>
      <c r="AZ833" s="3" t="s">
        <v>8420</v>
      </c>
      <c r="BA833" s="3" t="s">
        <v>8420</v>
      </c>
      <c r="BB833" s="3" t="s">
        <v>8421</v>
      </c>
      <c r="BC833" s="3" t="s">
        <v>82</v>
      </c>
      <c r="BD833" s="3" t="s">
        <v>538</v>
      </c>
      <c r="BE833" s="3" t="s">
        <v>8422</v>
      </c>
      <c r="BF833" s="3" t="s">
        <v>8421</v>
      </c>
      <c r="BG833" s="3" t="s">
        <v>8423</v>
      </c>
    </row>
    <row r="834" spans="1:59" ht="60" x14ac:dyDescent="0.25">
      <c r="A834" s="2" t="s">
        <v>59</v>
      </c>
      <c r="B834" s="2" t="s">
        <v>60</v>
      </c>
      <c r="C834" s="2" t="s">
        <v>8424</v>
      </c>
      <c r="D834" s="2" t="s">
        <v>8425</v>
      </c>
      <c r="E834" s="2" t="s">
        <v>8426</v>
      </c>
      <c r="G834" s="3" t="s">
        <v>63</v>
      </c>
      <c r="I834" s="3" t="s">
        <v>63</v>
      </c>
      <c r="J834" s="3" t="s">
        <v>63</v>
      </c>
      <c r="K834" s="3" t="s">
        <v>64</v>
      </c>
      <c r="L834" s="2" t="s">
        <v>6755</v>
      </c>
      <c r="M834" s="2" t="s">
        <v>8427</v>
      </c>
      <c r="N834" s="3" t="s">
        <v>220</v>
      </c>
      <c r="P834" s="3" t="s">
        <v>66</v>
      </c>
      <c r="R834" s="3" t="s">
        <v>67</v>
      </c>
      <c r="S834" s="4">
        <v>42</v>
      </c>
      <c r="T834" s="4">
        <v>42</v>
      </c>
      <c r="U834" s="5" t="s">
        <v>5994</v>
      </c>
      <c r="V834" s="5" t="s">
        <v>5994</v>
      </c>
      <c r="W834" s="5" t="s">
        <v>69</v>
      </c>
      <c r="X834" s="5" t="s">
        <v>69</v>
      </c>
      <c r="Y834" s="4">
        <v>503</v>
      </c>
      <c r="Z834" s="4">
        <v>25</v>
      </c>
      <c r="AA834" s="4">
        <v>29</v>
      </c>
      <c r="AB834" s="4">
        <v>1</v>
      </c>
      <c r="AC834" s="4">
        <v>4</v>
      </c>
      <c r="AD834" s="4">
        <v>114</v>
      </c>
      <c r="AE834" s="4">
        <v>116</v>
      </c>
      <c r="AF834" s="4">
        <v>0</v>
      </c>
      <c r="AG834" s="4">
        <v>2</v>
      </c>
      <c r="AH834" s="4">
        <v>102</v>
      </c>
      <c r="AI834" s="4">
        <v>103</v>
      </c>
      <c r="AJ834" s="4">
        <v>16</v>
      </c>
      <c r="AK834" s="4">
        <v>18</v>
      </c>
      <c r="AL834" s="4">
        <v>56</v>
      </c>
      <c r="AM834" s="4">
        <v>56</v>
      </c>
      <c r="AN834" s="4">
        <v>0</v>
      </c>
      <c r="AO834" s="4">
        <v>0</v>
      </c>
      <c r="AP834" s="4">
        <v>19</v>
      </c>
      <c r="AQ834" s="4">
        <v>20</v>
      </c>
      <c r="AR834" s="3" t="s">
        <v>63</v>
      </c>
      <c r="AS834" s="3" t="s">
        <v>63</v>
      </c>
      <c r="AT834" s="3" t="s">
        <v>63</v>
      </c>
      <c r="AV834" s="6" t="str">
        <f>HYPERLINK("http://mcgill.on.worldcat.org/oclc/27337087","Catalog Record")</f>
        <v>Catalog Record</v>
      </c>
      <c r="AW834" s="6" t="str">
        <f>HYPERLINK("http://www.worldcat.org/oclc/27337087","WorldCat Record")</f>
        <v>WorldCat Record</v>
      </c>
      <c r="AX834" s="3" t="s">
        <v>8428</v>
      </c>
      <c r="AY834" s="3" t="s">
        <v>8429</v>
      </c>
      <c r="AZ834" s="3" t="s">
        <v>8430</v>
      </c>
      <c r="BA834" s="3" t="s">
        <v>8430</v>
      </c>
      <c r="BB834" s="3" t="s">
        <v>8431</v>
      </c>
      <c r="BC834" s="3" t="s">
        <v>82</v>
      </c>
      <c r="BD834" s="3" t="s">
        <v>70</v>
      </c>
      <c r="BE834" s="3" t="s">
        <v>8432</v>
      </c>
      <c r="BF834" s="3" t="s">
        <v>8431</v>
      </c>
      <c r="BG834" s="3" t="s">
        <v>8433</v>
      </c>
    </row>
    <row r="835" spans="1:59" ht="60" x14ac:dyDescent="0.25">
      <c r="A835" s="2" t="s">
        <v>59</v>
      </c>
      <c r="B835" s="2" t="s">
        <v>60</v>
      </c>
      <c r="C835" s="2" t="s">
        <v>8434</v>
      </c>
      <c r="D835" s="2" t="s">
        <v>8435</v>
      </c>
      <c r="E835" s="2" t="s">
        <v>8436</v>
      </c>
      <c r="G835" s="3" t="s">
        <v>63</v>
      </c>
      <c r="I835" s="3" t="s">
        <v>62</v>
      </c>
      <c r="J835" s="3" t="s">
        <v>63</v>
      </c>
      <c r="K835" s="3" t="s">
        <v>64</v>
      </c>
      <c r="L835" s="2" t="s">
        <v>8437</v>
      </c>
      <c r="M835" s="2" t="s">
        <v>8438</v>
      </c>
      <c r="N835" s="3" t="s">
        <v>693</v>
      </c>
      <c r="P835" s="3" t="s">
        <v>66</v>
      </c>
      <c r="R835" s="3" t="s">
        <v>67</v>
      </c>
      <c r="S835" s="4">
        <v>4</v>
      </c>
      <c r="T835" s="4">
        <v>11</v>
      </c>
      <c r="U835" s="5" t="s">
        <v>8439</v>
      </c>
      <c r="V835" s="5" t="s">
        <v>8439</v>
      </c>
      <c r="W835" s="5" t="s">
        <v>69</v>
      </c>
      <c r="X835" s="5" t="s">
        <v>69</v>
      </c>
      <c r="Y835" s="4">
        <v>273</v>
      </c>
      <c r="Z835" s="4">
        <v>28</v>
      </c>
      <c r="AA835" s="4">
        <v>124</v>
      </c>
      <c r="AB835" s="4">
        <v>1</v>
      </c>
      <c r="AC835" s="4">
        <v>23</v>
      </c>
      <c r="AD835" s="4">
        <v>110</v>
      </c>
      <c r="AE835" s="4">
        <v>160</v>
      </c>
      <c r="AF835" s="4">
        <v>0</v>
      </c>
      <c r="AG835" s="4">
        <v>9</v>
      </c>
      <c r="AH835" s="4">
        <v>97</v>
      </c>
      <c r="AI835" s="4">
        <v>110</v>
      </c>
      <c r="AJ835" s="4">
        <v>18</v>
      </c>
      <c r="AK835" s="4">
        <v>29</v>
      </c>
      <c r="AL835" s="4">
        <v>54</v>
      </c>
      <c r="AM835" s="4">
        <v>58</v>
      </c>
      <c r="AN835" s="4">
        <v>0</v>
      </c>
      <c r="AO835" s="4">
        <v>0</v>
      </c>
      <c r="AP835" s="4">
        <v>20</v>
      </c>
      <c r="AQ835" s="4">
        <v>58</v>
      </c>
      <c r="AR835" s="3" t="s">
        <v>62</v>
      </c>
      <c r="AS835" s="3" t="s">
        <v>63</v>
      </c>
      <c r="AT835" s="3" t="s">
        <v>62</v>
      </c>
      <c r="AU835" s="6" t="str">
        <f>HYPERLINK("http://catalog.hathitrust.org/Record/004769041","HathiTrust Record")</f>
        <v>HathiTrust Record</v>
      </c>
      <c r="AV835" s="6" t="str">
        <f>HYPERLINK("http://mcgill.on.worldcat.org/oclc/54692106","Catalog Record")</f>
        <v>Catalog Record</v>
      </c>
      <c r="AW835" s="6" t="str">
        <f>HYPERLINK("http://www.worldcat.org/oclc/54692106","WorldCat Record")</f>
        <v>WorldCat Record</v>
      </c>
      <c r="AX835" s="3" t="s">
        <v>8440</v>
      </c>
      <c r="AY835" s="3" t="s">
        <v>8441</v>
      </c>
      <c r="AZ835" s="3" t="s">
        <v>8442</v>
      </c>
      <c r="BA835" s="3" t="s">
        <v>8442</v>
      </c>
      <c r="BB835" s="3" t="s">
        <v>8443</v>
      </c>
      <c r="BC835" s="3" t="s">
        <v>82</v>
      </c>
      <c r="BD835" s="3" t="s">
        <v>70</v>
      </c>
      <c r="BE835" s="3" t="s">
        <v>8444</v>
      </c>
      <c r="BF835" s="3" t="s">
        <v>8443</v>
      </c>
      <c r="BG835" s="3" t="s">
        <v>8445</v>
      </c>
    </row>
    <row r="836" spans="1:59" ht="60" x14ac:dyDescent="0.25">
      <c r="A836" s="2" t="s">
        <v>59</v>
      </c>
      <c r="B836" s="2" t="s">
        <v>60</v>
      </c>
      <c r="C836" s="2" t="s">
        <v>8434</v>
      </c>
      <c r="D836" s="2" t="s">
        <v>8435</v>
      </c>
      <c r="E836" s="2" t="s">
        <v>8436</v>
      </c>
      <c r="G836" s="3" t="s">
        <v>63</v>
      </c>
      <c r="I836" s="3" t="s">
        <v>62</v>
      </c>
      <c r="J836" s="3" t="s">
        <v>63</v>
      </c>
      <c r="K836" s="3" t="s">
        <v>64</v>
      </c>
      <c r="L836" s="2" t="s">
        <v>8437</v>
      </c>
      <c r="M836" s="2" t="s">
        <v>8438</v>
      </c>
      <c r="N836" s="3" t="s">
        <v>693</v>
      </c>
      <c r="P836" s="3" t="s">
        <v>66</v>
      </c>
      <c r="R836" s="3" t="s">
        <v>67</v>
      </c>
      <c r="S836" s="4">
        <v>7</v>
      </c>
      <c r="T836" s="4">
        <v>11</v>
      </c>
      <c r="U836" s="5" t="s">
        <v>8446</v>
      </c>
      <c r="V836" s="5" t="s">
        <v>8439</v>
      </c>
      <c r="W836" s="5" t="s">
        <v>69</v>
      </c>
      <c r="X836" s="5" t="s">
        <v>69</v>
      </c>
      <c r="Y836" s="4">
        <v>273</v>
      </c>
      <c r="Z836" s="4">
        <v>28</v>
      </c>
      <c r="AA836" s="4">
        <v>124</v>
      </c>
      <c r="AB836" s="4">
        <v>1</v>
      </c>
      <c r="AC836" s="4">
        <v>23</v>
      </c>
      <c r="AD836" s="4">
        <v>110</v>
      </c>
      <c r="AE836" s="4">
        <v>160</v>
      </c>
      <c r="AF836" s="4">
        <v>0</v>
      </c>
      <c r="AG836" s="4">
        <v>9</v>
      </c>
      <c r="AH836" s="4">
        <v>97</v>
      </c>
      <c r="AI836" s="4">
        <v>110</v>
      </c>
      <c r="AJ836" s="4">
        <v>18</v>
      </c>
      <c r="AK836" s="4">
        <v>29</v>
      </c>
      <c r="AL836" s="4">
        <v>54</v>
      </c>
      <c r="AM836" s="4">
        <v>58</v>
      </c>
      <c r="AN836" s="4">
        <v>0</v>
      </c>
      <c r="AO836" s="4">
        <v>0</v>
      </c>
      <c r="AP836" s="4">
        <v>20</v>
      </c>
      <c r="AQ836" s="4">
        <v>58</v>
      </c>
      <c r="AR836" s="3" t="s">
        <v>62</v>
      </c>
      <c r="AS836" s="3" t="s">
        <v>63</v>
      </c>
      <c r="AT836" s="3" t="s">
        <v>62</v>
      </c>
      <c r="AU836" s="6" t="str">
        <f>HYPERLINK("http://catalog.hathitrust.org/Record/004769041","HathiTrust Record")</f>
        <v>HathiTrust Record</v>
      </c>
      <c r="AV836" s="6" t="str">
        <f>HYPERLINK("http://mcgill.on.worldcat.org/oclc/54692106","Catalog Record")</f>
        <v>Catalog Record</v>
      </c>
      <c r="AW836" s="6" t="str">
        <f>HYPERLINK("http://www.worldcat.org/oclc/54692106","WorldCat Record")</f>
        <v>WorldCat Record</v>
      </c>
      <c r="AX836" s="3" t="s">
        <v>8440</v>
      </c>
      <c r="AY836" s="3" t="s">
        <v>8441</v>
      </c>
      <c r="AZ836" s="3" t="s">
        <v>8442</v>
      </c>
      <c r="BA836" s="3" t="s">
        <v>8442</v>
      </c>
      <c r="BB836" s="3" t="s">
        <v>8447</v>
      </c>
      <c r="BC836" s="3" t="s">
        <v>82</v>
      </c>
      <c r="BD836" s="3" t="s">
        <v>70</v>
      </c>
      <c r="BE836" s="3" t="s">
        <v>8444</v>
      </c>
      <c r="BF836" s="3" t="s">
        <v>8447</v>
      </c>
      <c r="BG836" s="3" t="s">
        <v>8448</v>
      </c>
    </row>
    <row r="837" spans="1:59" ht="60" x14ac:dyDescent="0.25">
      <c r="A837" s="2" t="s">
        <v>59</v>
      </c>
      <c r="B837" s="2" t="s">
        <v>60</v>
      </c>
      <c r="C837" s="2" t="s">
        <v>8449</v>
      </c>
      <c r="D837" s="2" t="s">
        <v>8450</v>
      </c>
      <c r="E837" s="2" t="s">
        <v>8451</v>
      </c>
      <c r="G837" s="3" t="s">
        <v>63</v>
      </c>
      <c r="I837" s="3" t="s">
        <v>63</v>
      </c>
      <c r="J837" s="3" t="s">
        <v>62</v>
      </c>
      <c r="K837" s="3" t="s">
        <v>64</v>
      </c>
      <c r="L837" s="2" t="s">
        <v>4103</v>
      </c>
      <c r="M837" s="2" t="s">
        <v>8452</v>
      </c>
      <c r="N837" s="3" t="s">
        <v>2043</v>
      </c>
      <c r="P837" s="3" t="s">
        <v>66</v>
      </c>
      <c r="Q837" s="2" t="s">
        <v>8453</v>
      </c>
      <c r="R837" s="3" t="s">
        <v>67</v>
      </c>
      <c r="S837" s="4">
        <v>73</v>
      </c>
      <c r="T837" s="4">
        <v>73</v>
      </c>
      <c r="U837" s="5" t="s">
        <v>2615</v>
      </c>
      <c r="V837" s="5" t="s">
        <v>2615</v>
      </c>
      <c r="W837" s="5" t="s">
        <v>69</v>
      </c>
      <c r="X837" s="5" t="s">
        <v>69</v>
      </c>
      <c r="Y837" s="4">
        <v>469</v>
      </c>
      <c r="Z837" s="4">
        <v>28</v>
      </c>
      <c r="AA837" s="4">
        <v>34</v>
      </c>
      <c r="AB837" s="4">
        <v>1</v>
      </c>
      <c r="AC837" s="4">
        <v>2</v>
      </c>
      <c r="AD837" s="4">
        <v>117</v>
      </c>
      <c r="AE837" s="4">
        <v>125</v>
      </c>
      <c r="AF837" s="4">
        <v>0</v>
      </c>
      <c r="AG837" s="4">
        <v>1</v>
      </c>
      <c r="AH837" s="4">
        <v>103</v>
      </c>
      <c r="AI837" s="4">
        <v>109</v>
      </c>
      <c r="AJ837" s="4">
        <v>19</v>
      </c>
      <c r="AK837" s="4">
        <v>21</v>
      </c>
      <c r="AL837" s="4">
        <v>53</v>
      </c>
      <c r="AM837" s="4">
        <v>56</v>
      </c>
      <c r="AN837" s="4">
        <v>0</v>
      </c>
      <c r="AO837" s="4">
        <v>0</v>
      </c>
      <c r="AP837" s="4">
        <v>21</v>
      </c>
      <c r="AQ837" s="4">
        <v>24</v>
      </c>
      <c r="AR837" s="3" t="s">
        <v>63</v>
      </c>
      <c r="AS837" s="3" t="s">
        <v>63</v>
      </c>
      <c r="AT837" s="3" t="s">
        <v>63</v>
      </c>
      <c r="AV837" s="6" t="str">
        <f>HYPERLINK("http://mcgill.on.worldcat.org/oclc/6487532","Catalog Record")</f>
        <v>Catalog Record</v>
      </c>
      <c r="AW837" s="6" t="str">
        <f>HYPERLINK("http://www.worldcat.org/oclc/6487532","WorldCat Record")</f>
        <v>WorldCat Record</v>
      </c>
      <c r="AX837" s="3" t="s">
        <v>8454</v>
      </c>
      <c r="AY837" s="3" t="s">
        <v>8455</v>
      </c>
      <c r="AZ837" s="3" t="s">
        <v>8456</v>
      </c>
      <c r="BA837" s="3" t="s">
        <v>8456</v>
      </c>
      <c r="BB837" s="3" t="s">
        <v>8457</v>
      </c>
      <c r="BC837" s="3" t="s">
        <v>82</v>
      </c>
      <c r="BD837" s="3" t="s">
        <v>70</v>
      </c>
      <c r="BE837" s="3" t="s">
        <v>8458</v>
      </c>
      <c r="BF837" s="3" t="s">
        <v>8457</v>
      </c>
      <c r="BG837" s="3" t="s">
        <v>8459</v>
      </c>
    </row>
    <row r="838" spans="1:59" ht="60" x14ac:dyDescent="0.25">
      <c r="A838" s="2" t="s">
        <v>59</v>
      </c>
      <c r="B838" s="2" t="s">
        <v>60</v>
      </c>
      <c r="C838" s="2" t="s">
        <v>8460</v>
      </c>
      <c r="D838" s="2" t="s">
        <v>8461</v>
      </c>
      <c r="E838" s="2" t="s">
        <v>8451</v>
      </c>
      <c r="G838" s="3" t="s">
        <v>63</v>
      </c>
      <c r="I838" s="3" t="s">
        <v>63</v>
      </c>
      <c r="J838" s="3" t="s">
        <v>62</v>
      </c>
      <c r="K838" s="3" t="s">
        <v>64</v>
      </c>
      <c r="L838" s="2" t="s">
        <v>4103</v>
      </c>
      <c r="M838" s="2" t="s">
        <v>6960</v>
      </c>
      <c r="N838" s="3" t="s">
        <v>1343</v>
      </c>
      <c r="O838" s="2" t="s">
        <v>630</v>
      </c>
      <c r="P838" s="3" t="s">
        <v>66</v>
      </c>
      <c r="R838" s="3" t="s">
        <v>67</v>
      </c>
      <c r="S838" s="4">
        <v>98</v>
      </c>
      <c r="T838" s="4">
        <v>98</v>
      </c>
      <c r="U838" s="5" t="s">
        <v>8462</v>
      </c>
      <c r="V838" s="5" t="s">
        <v>8462</v>
      </c>
      <c r="W838" s="5" t="s">
        <v>69</v>
      </c>
      <c r="X838" s="5" t="s">
        <v>69</v>
      </c>
      <c r="Y838" s="4">
        <v>276</v>
      </c>
      <c r="Z838" s="4">
        <v>20</v>
      </c>
      <c r="AA838" s="4">
        <v>34</v>
      </c>
      <c r="AB838" s="4">
        <v>1</v>
      </c>
      <c r="AC838" s="4">
        <v>2</v>
      </c>
      <c r="AD838" s="4">
        <v>75</v>
      </c>
      <c r="AE838" s="4">
        <v>125</v>
      </c>
      <c r="AF838" s="4">
        <v>0</v>
      </c>
      <c r="AG838" s="4">
        <v>1</v>
      </c>
      <c r="AH838" s="4">
        <v>68</v>
      </c>
      <c r="AI838" s="4">
        <v>109</v>
      </c>
      <c r="AJ838" s="4">
        <v>12</v>
      </c>
      <c r="AK838" s="4">
        <v>21</v>
      </c>
      <c r="AL838" s="4">
        <v>36</v>
      </c>
      <c r="AM838" s="4">
        <v>56</v>
      </c>
      <c r="AN838" s="4">
        <v>0</v>
      </c>
      <c r="AO838" s="4">
        <v>0</v>
      </c>
      <c r="AP838" s="4">
        <v>13</v>
      </c>
      <c r="AQ838" s="4">
        <v>24</v>
      </c>
      <c r="AR838" s="3" t="s">
        <v>63</v>
      </c>
      <c r="AS838" s="3" t="s">
        <v>63</v>
      </c>
      <c r="AT838" s="3" t="s">
        <v>63</v>
      </c>
      <c r="AV838" s="6" t="str">
        <f>HYPERLINK("http://mcgill.on.worldcat.org/oclc/43884905","Catalog Record")</f>
        <v>Catalog Record</v>
      </c>
      <c r="AW838" s="6" t="str">
        <f>HYPERLINK("http://www.worldcat.org/oclc/43884905","WorldCat Record")</f>
        <v>WorldCat Record</v>
      </c>
      <c r="AX838" s="3" t="s">
        <v>8454</v>
      </c>
      <c r="AY838" s="3" t="s">
        <v>8463</v>
      </c>
      <c r="AZ838" s="3" t="s">
        <v>8464</v>
      </c>
      <c r="BA838" s="3" t="s">
        <v>8464</v>
      </c>
      <c r="BB838" s="3" t="s">
        <v>8465</v>
      </c>
      <c r="BC838" s="3" t="s">
        <v>82</v>
      </c>
      <c r="BD838" s="3" t="s">
        <v>538</v>
      </c>
      <c r="BE838" s="3" t="s">
        <v>8466</v>
      </c>
      <c r="BF838" s="3" t="s">
        <v>8465</v>
      </c>
      <c r="BG838" s="3" t="s">
        <v>8467</v>
      </c>
    </row>
    <row r="839" spans="1:59" ht="60" x14ac:dyDescent="0.25">
      <c r="A839" s="2" t="s">
        <v>59</v>
      </c>
      <c r="B839" s="2" t="s">
        <v>60</v>
      </c>
      <c r="C839" s="2" t="s">
        <v>8468</v>
      </c>
      <c r="D839" s="2" t="s">
        <v>8469</v>
      </c>
      <c r="E839" s="2" t="s">
        <v>8470</v>
      </c>
      <c r="G839" s="3" t="s">
        <v>63</v>
      </c>
      <c r="I839" s="3" t="s">
        <v>63</v>
      </c>
      <c r="J839" s="3" t="s">
        <v>63</v>
      </c>
      <c r="K839" s="3" t="s">
        <v>64</v>
      </c>
      <c r="L839" s="2" t="s">
        <v>8471</v>
      </c>
      <c r="M839" s="2" t="s">
        <v>8081</v>
      </c>
      <c r="N839" s="3" t="s">
        <v>247</v>
      </c>
      <c r="P839" s="3" t="s">
        <v>66</v>
      </c>
      <c r="Q839" s="2" t="s">
        <v>5294</v>
      </c>
      <c r="R839" s="3" t="s">
        <v>67</v>
      </c>
      <c r="S839" s="4">
        <v>44</v>
      </c>
      <c r="T839" s="4">
        <v>44</v>
      </c>
      <c r="U839" s="5" t="s">
        <v>4106</v>
      </c>
      <c r="V839" s="5" t="s">
        <v>4106</v>
      </c>
      <c r="W839" s="5" t="s">
        <v>69</v>
      </c>
      <c r="X839" s="5" t="s">
        <v>69</v>
      </c>
      <c r="Y839" s="4">
        <v>475</v>
      </c>
      <c r="Z839" s="4">
        <v>26</v>
      </c>
      <c r="AA839" s="4">
        <v>27</v>
      </c>
      <c r="AB839" s="4">
        <v>1</v>
      </c>
      <c r="AC839" s="4">
        <v>2</v>
      </c>
      <c r="AD839" s="4">
        <v>117</v>
      </c>
      <c r="AE839" s="4">
        <v>119</v>
      </c>
      <c r="AF839" s="4">
        <v>0</v>
      </c>
      <c r="AG839" s="4">
        <v>1</v>
      </c>
      <c r="AH839" s="4">
        <v>106</v>
      </c>
      <c r="AI839" s="4">
        <v>107</v>
      </c>
      <c r="AJ839" s="4">
        <v>19</v>
      </c>
      <c r="AK839" s="4">
        <v>20</v>
      </c>
      <c r="AL839" s="4">
        <v>56</v>
      </c>
      <c r="AM839" s="4">
        <v>57</v>
      </c>
      <c r="AN839" s="4">
        <v>0</v>
      </c>
      <c r="AO839" s="4">
        <v>0</v>
      </c>
      <c r="AP839" s="4">
        <v>21</v>
      </c>
      <c r="AQ839" s="4">
        <v>21</v>
      </c>
      <c r="AR839" s="3" t="s">
        <v>63</v>
      </c>
      <c r="AS839" s="3" t="s">
        <v>63</v>
      </c>
      <c r="AT839" s="3" t="s">
        <v>62</v>
      </c>
      <c r="AU839" s="6" t="str">
        <f>HYPERLINK("http://catalog.hathitrust.org/Record/000265730","HathiTrust Record")</f>
        <v>HathiTrust Record</v>
      </c>
      <c r="AV839" s="6" t="str">
        <f>HYPERLINK("http://mcgill.on.worldcat.org/oclc/7552138","Catalog Record")</f>
        <v>Catalog Record</v>
      </c>
      <c r="AW839" s="6" t="str">
        <f>HYPERLINK("http://www.worldcat.org/oclc/7552138","WorldCat Record")</f>
        <v>WorldCat Record</v>
      </c>
      <c r="AX839" s="3" t="s">
        <v>8472</v>
      </c>
      <c r="AY839" s="3" t="s">
        <v>8473</v>
      </c>
      <c r="AZ839" s="3" t="s">
        <v>8474</v>
      </c>
      <c r="BA839" s="3" t="s">
        <v>8474</v>
      </c>
      <c r="BB839" s="3" t="s">
        <v>8475</v>
      </c>
      <c r="BC839" s="3" t="s">
        <v>82</v>
      </c>
      <c r="BD839" s="3" t="s">
        <v>70</v>
      </c>
      <c r="BE839" s="3" t="s">
        <v>8476</v>
      </c>
      <c r="BF839" s="3" t="s">
        <v>8475</v>
      </c>
      <c r="BG839" s="3" t="s">
        <v>8477</v>
      </c>
    </row>
    <row r="840" spans="1:59" ht="60" x14ac:dyDescent="0.25">
      <c r="A840" s="2" t="s">
        <v>59</v>
      </c>
      <c r="B840" s="2" t="s">
        <v>60</v>
      </c>
      <c r="C840" s="2" t="s">
        <v>8478</v>
      </c>
      <c r="D840" s="2" t="s">
        <v>8479</v>
      </c>
      <c r="E840" s="2" t="s">
        <v>8480</v>
      </c>
      <c r="G840" s="3" t="s">
        <v>63</v>
      </c>
      <c r="I840" s="3" t="s">
        <v>63</v>
      </c>
      <c r="J840" s="3" t="s">
        <v>63</v>
      </c>
      <c r="K840" s="3" t="s">
        <v>64</v>
      </c>
      <c r="L840" s="2" t="s">
        <v>8481</v>
      </c>
      <c r="M840" s="2" t="s">
        <v>8482</v>
      </c>
      <c r="N840" s="3" t="s">
        <v>204</v>
      </c>
      <c r="P840" s="3" t="s">
        <v>66</v>
      </c>
      <c r="R840" s="3" t="s">
        <v>67</v>
      </c>
      <c r="S840" s="4">
        <v>39</v>
      </c>
      <c r="T840" s="4">
        <v>39</v>
      </c>
      <c r="U840" s="5" t="s">
        <v>7577</v>
      </c>
      <c r="V840" s="5" t="s">
        <v>7577</v>
      </c>
      <c r="W840" s="5" t="s">
        <v>69</v>
      </c>
      <c r="X840" s="5" t="s">
        <v>69</v>
      </c>
      <c r="Y840" s="4">
        <v>453</v>
      </c>
      <c r="Z840" s="4">
        <v>24</v>
      </c>
      <c r="AA840" s="4">
        <v>30</v>
      </c>
      <c r="AB840" s="4">
        <v>1</v>
      </c>
      <c r="AC840" s="4">
        <v>3</v>
      </c>
      <c r="AD840" s="4">
        <v>104</v>
      </c>
      <c r="AE840" s="4">
        <v>107</v>
      </c>
      <c r="AF840" s="4">
        <v>0</v>
      </c>
      <c r="AG840" s="4">
        <v>1</v>
      </c>
      <c r="AH840" s="4">
        <v>95</v>
      </c>
      <c r="AI840" s="4">
        <v>97</v>
      </c>
      <c r="AJ840" s="4">
        <v>14</v>
      </c>
      <c r="AK840" s="4">
        <v>16</v>
      </c>
      <c r="AL840" s="4">
        <v>53</v>
      </c>
      <c r="AM840" s="4">
        <v>54</v>
      </c>
      <c r="AN840" s="4">
        <v>0</v>
      </c>
      <c r="AO840" s="4">
        <v>0</v>
      </c>
      <c r="AP840" s="4">
        <v>18</v>
      </c>
      <c r="AQ840" s="4">
        <v>20</v>
      </c>
      <c r="AR840" s="3" t="s">
        <v>63</v>
      </c>
      <c r="AS840" s="3" t="s">
        <v>63</v>
      </c>
      <c r="AT840" s="3" t="s">
        <v>62</v>
      </c>
      <c r="AU840" s="6" t="str">
        <f>HYPERLINK("http://catalog.hathitrust.org/Record/003042037","HathiTrust Record")</f>
        <v>HathiTrust Record</v>
      </c>
      <c r="AV840" s="6" t="str">
        <f>HYPERLINK("http://mcgill.on.worldcat.org/oclc/34077637","Catalog Record")</f>
        <v>Catalog Record</v>
      </c>
      <c r="AW840" s="6" t="str">
        <f>HYPERLINK("http://www.worldcat.org/oclc/34077637","WorldCat Record")</f>
        <v>WorldCat Record</v>
      </c>
      <c r="AX840" s="3" t="s">
        <v>8483</v>
      </c>
      <c r="AY840" s="3" t="s">
        <v>8484</v>
      </c>
      <c r="AZ840" s="3" t="s">
        <v>8485</v>
      </c>
      <c r="BA840" s="3" t="s">
        <v>8485</v>
      </c>
      <c r="BB840" s="3" t="s">
        <v>8486</v>
      </c>
      <c r="BC840" s="3" t="s">
        <v>82</v>
      </c>
      <c r="BD840" s="3" t="s">
        <v>70</v>
      </c>
      <c r="BE840" s="3" t="s">
        <v>8487</v>
      </c>
      <c r="BF840" s="3" t="s">
        <v>8486</v>
      </c>
      <c r="BG840" s="3" t="s">
        <v>8488</v>
      </c>
    </row>
    <row r="841" spans="1:59" ht="60" x14ac:dyDescent="0.25">
      <c r="A841" s="2" t="s">
        <v>59</v>
      </c>
      <c r="B841" s="2" t="s">
        <v>60</v>
      </c>
      <c r="C841" s="2" t="s">
        <v>8489</v>
      </c>
      <c r="D841" s="2" t="s">
        <v>8490</v>
      </c>
      <c r="E841" s="2" t="s">
        <v>8491</v>
      </c>
      <c r="G841" s="3" t="s">
        <v>63</v>
      </c>
      <c r="I841" s="3" t="s">
        <v>62</v>
      </c>
      <c r="J841" s="3" t="s">
        <v>63</v>
      </c>
      <c r="K841" s="3" t="s">
        <v>64</v>
      </c>
      <c r="L841" s="2" t="s">
        <v>8492</v>
      </c>
      <c r="M841" s="2" t="s">
        <v>8493</v>
      </c>
      <c r="N841" s="3" t="s">
        <v>849</v>
      </c>
      <c r="P841" s="3" t="s">
        <v>66</v>
      </c>
      <c r="R841" s="3" t="s">
        <v>67</v>
      </c>
      <c r="S841" s="4">
        <v>31</v>
      </c>
      <c r="T841" s="4">
        <v>100</v>
      </c>
      <c r="U841" s="5" t="s">
        <v>5934</v>
      </c>
      <c r="V841" s="5" t="s">
        <v>5934</v>
      </c>
      <c r="W841" s="5" t="s">
        <v>69</v>
      </c>
      <c r="X841" s="5" t="s">
        <v>69</v>
      </c>
      <c r="Y841" s="4">
        <v>5</v>
      </c>
      <c r="Z841" s="4">
        <v>1</v>
      </c>
      <c r="AA841" s="4">
        <v>1</v>
      </c>
      <c r="AB841" s="4">
        <v>1</v>
      </c>
      <c r="AC841" s="4">
        <v>1</v>
      </c>
      <c r="AD841" s="4">
        <v>1</v>
      </c>
      <c r="AE841" s="4">
        <v>1</v>
      </c>
      <c r="AF841" s="4">
        <v>0</v>
      </c>
      <c r="AG841" s="4">
        <v>0</v>
      </c>
      <c r="AH841" s="4">
        <v>1</v>
      </c>
      <c r="AI841" s="4">
        <v>1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3" t="s">
        <v>63</v>
      </c>
      <c r="AS841" s="3" t="s">
        <v>63</v>
      </c>
      <c r="AT841" s="3" t="s">
        <v>62</v>
      </c>
      <c r="AU841" s="6" t="str">
        <f>HYPERLINK("http://catalog.hathitrust.org/Record/000043403","HathiTrust Record")</f>
        <v>HathiTrust Record</v>
      </c>
      <c r="AV841" s="6" t="str">
        <f>HYPERLINK("http://mcgill.on.worldcat.org/oclc/237442262","Catalog Record")</f>
        <v>Catalog Record</v>
      </c>
      <c r="AW841" s="6" t="str">
        <f>HYPERLINK("http://www.worldcat.org/oclc/237442262","WorldCat Record")</f>
        <v>WorldCat Record</v>
      </c>
      <c r="AX841" s="3" t="s">
        <v>8494</v>
      </c>
      <c r="AY841" s="3" t="s">
        <v>8495</v>
      </c>
      <c r="AZ841" s="3" t="s">
        <v>8496</v>
      </c>
      <c r="BA841" s="3" t="s">
        <v>8496</v>
      </c>
      <c r="BB841" s="3" t="s">
        <v>8497</v>
      </c>
      <c r="BC841" s="3" t="s">
        <v>82</v>
      </c>
      <c r="BD841" s="3" t="s">
        <v>70</v>
      </c>
      <c r="BE841" s="3" t="s">
        <v>8498</v>
      </c>
      <c r="BF841" s="3" t="s">
        <v>8497</v>
      </c>
      <c r="BG841" s="3" t="s">
        <v>8499</v>
      </c>
    </row>
    <row r="842" spans="1:59" ht="60" x14ac:dyDescent="0.25">
      <c r="A842" s="2" t="s">
        <v>59</v>
      </c>
      <c r="B842" s="2" t="s">
        <v>60</v>
      </c>
      <c r="C842" s="2" t="s">
        <v>8489</v>
      </c>
      <c r="D842" s="2" t="s">
        <v>8490</v>
      </c>
      <c r="E842" s="2" t="s">
        <v>8491</v>
      </c>
      <c r="G842" s="3" t="s">
        <v>63</v>
      </c>
      <c r="I842" s="3" t="s">
        <v>62</v>
      </c>
      <c r="J842" s="3" t="s">
        <v>63</v>
      </c>
      <c r="K842" s="3" t="s">
        <v>64</v>
      </c>
      <c r="L842" s="2" t="s">
        <v>8492</v>
      </c>
      <c r="M842" s="2" t="s">
        <v>8493</v>
      </c>
      <c r="N842" s="3" t="s">
        <v>849</v>
      </c>
      <c r="P842" s="3" t="s">
        <v>66</v>
      </c>
      <c r="R842" s="3" t="s">
        <v>67</v>
      </c>
      <c r="S842" s="4">
        <v>69</v>
      </c>
      <c r="T842" s="4">
        <v>100</v>
      </c>
      <c r="U842" s="5" t="s">
        <v>8500</v>
      </c>
      <c r="V842" s="5" t="s">
        <v>5934</v>
      </c>
      <c r="W842" s="5" t="s">
        <v>69</v>
      </c>
      <c r="X842" s="5" t="s">
        <v>69</v>
      </c>
      <c r="Y842" s="4">
        <v>5</v>
      </c>
      <c r="Z842" s="4">
        <v>1</v>
      </c>
      <c r="AA842" s="4">
        <v>1</v>
      </c>
      <c r="AB842" s="4">
        <v>1</v>
      </c>
      <c r="AC842" s="4">
        <v>1</v>
      </c>
      <c r="AD842" s="4">
        <v>1</v>
      </c>
      <c r="AE842" s="4">
        <v>1</v>
      </c>
      <c r="AF842" s="4">
        <v>0</v>
      </c>
      <c r="AG842" s="4">
        <v>0</v>
      </c>
      <c r="AH842" s="4">
        <v>1</v>
      </c>
      <c r="AI842" s="4">
        <v>1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3" t="s">
        <v>63</v>
      </c>
      <c r="AS842" s="3" t="s">
        <v>63</v>
      </c>
      <c r="AT842" s="3" t="s">
        <v>62</v>
      </c>
      <c r="AU842" s="6" t="str">
        <f>HYPERLINK("http://catalog.hathitrust.org/Record/000043403","HathiTrust Record")</f>
        <v>HathiTrust Record</v>
      </c>
      <c r="AV842" s="6" t="str">
        <f>HYPERLINK("http://mcgill.on.worldcat.org/oclc/237442262","Catalog Record")</f>
        <v>Catalog Record</v>
      </c>
      <c r="AW842" s="6" t="str">
        <f>HYPERLINK("http://www.worldcat.org/oclc/237442262","WorldCat Record")</f>
        <v>WorldCat Record</v>
      </c>
      <c r="AX842" s="3" t="s">
        <v>8494</v>
      </c>
      <c r="AY842" s="3" t="s">
        <v>8495</v>
      </c>
      <c r="AZ842" s="3" t="s">
        <v>8496</v>
      </c>
      <c r="BA842" s="3" t="s">
        <v>8496</v>
      </c>
      <c r="BB842" s="3" t="s">
        <v>8501</v>
      </c>
      <c r="BC842" s="3" t="s">
        <v>82</v>
      </c>
      <c r="BD842" s="3" t="s">
        <v>70</v>
      </c>
      <c r="BE842" s="3" t="s">
        <v>8498</v>
      </c>
      <c r="BF842" s="3" t="s">
        <v>8501</v>
      </c>
      <c r="BG842" s="3" t="s">
        <v>8502</v>
      </c>
    </row>
    <row r="843" spans="1:59" ht="60" x14ac:dyDescent="0.25">
      <c r="A843" s="2" t="s">
        <v>59</v>
      </c>
      <c r="B843" s="2" t="s">
        <v>60</v>
      </c>
      <c r="C843" s="2" t="s">
        <v>8503</v>
      </c>
      <c r="D843" s="2" t="s">
        <v>8504</v>
      </c>
      <c r="E843" s="2" t="s">
        <v>8505</v>
      </c>
      <c r="G843" s="3" t="s">
        <v>63</v>
      </c>
      <c r="I843" s="3" t="s">
        <v>63</v>
      </c>
      <c r="J843" s="3" t="s">
        <v>63</v>
      </c>
      <c r="K843" s="3" t="s">
        <v>64</v>
      </c>
      <c r="L843" s="2" t="s">
        <v>8506</v>
      </c>
      <c r="M843" s="2" t="s">
        <v>8507</v>
      </c>
      <c r="N843" s="3" t="s">
        <v>629</v>
      </c>
      <c r="P843" s="3" t="s">
        <v>66</v>
      </c>
      <c r="R843" s="3" t="s">
        <v>67</v>
      </c>
      <c r="S843" s="4">
        <v>5</v>
      </c>
      <c r="T843" s="4">
        <v>5</v>
      </c>
      <c r="U843" s="5" t="s">
        <v>3117</v>
      </c>
      <c r="V843" s="5" t="s">
        <v>3117</v>
      </c>
      <c r="W843" s="5" t="s">
        <v>69</v>
      </c>
      <c r="X843" s="5" t="s">
        <v>69</v>
      </c>
      <c r="Y843" s="4">
        <v>68</v>
      </c>
      <c r="Z843" s="4">
        <v>6</v>
      </c>
      <c r="AA843" s="4">
        <v>33</v>
      </c>
      <c r="AB843" s="4">
        <v>1</v>
      </c>
      <c r="AC843" s="4">
        <v>7</v>
      </c>
      <c r="AD843" s="4">
        <v>37</v>
      </c>
      <c r="AE843" s="4">
        <v>46</v>
      </c>
      <c r="AF843" s="4">
        <v>0</v>
      </c>
      <c r="AG843" s="4">
        <v>1</v>
      </c>
      <c r="AH843" s="4">
        <v>34</v>
      </c>
      <c r="AI843" s="4">
        <v>36</v>
      </c>
      <c r="AJ843" s="4">
        <v>5</v>
      </c>
      <c r="AK843" s="4">
        <v>6</v>
      </c>
      <c r="AL843" s="4">
        <v>25</v>
      </c>
      <c r="AM843" s="4">
        <v>26</v>
      </c>
      <c r="AN843" s="4">
        <v>0</v>
      </c>
      <c r="AO843" s="4">
        <v>0</v>
      </c>
      <c r="AP843" s="4">
        <v>5</v>
      </c>
      <c r="AQ843" s="4">
        <v>11</v>
      </c>
      <c r="AR843" s="3" t="s">
        <v>63</v>
      </c>
      <c r="AS843" s="3" t="s">
        <v>63</v>
      </c>
      <c r="AT843" s="3" t="s">
        <v>63</v>
      </c>
      <c r="AV843" s="6" t="str">
        <f>HYPERLINK("http://mcgill.on.worldcat.org/oclc/702647858","Catalog Record")</f>
        <v>Catalog Record</v>
      </c>
      <c r="AW843" s="6" t="str">
        <f>HYPERLINK("http://www.worldcat.org/oclc/702647858","WorldCat Record")</f>
        <v>WorldCat Record</v>
      </c>
      <c r="AX843" s="3" t="s">
        <v>8508</v>
      </c>
      <c r="AY843" s="3" t="s">
        <v>8509</v>
      </c>
      <c r="AZ843" s="3" t="s">
        <v>8510</v>
      </c>
      <c r="BA843" s="3" t="s">
        <v>8510</v>
      </c>
      <c r="BB843" s="3" t="s">
        <v>8511</v>
      </c>
      <c r="BC843" s="3" t="s">
        <v>82</v>
      </c>
      <c r="BD843" s="3" t="s">
        <v>70</v>
      </c>
      <c r="BE843" s="3" t="s">
        <v>8512</v>
      </c>
      <c r="BF843" s="3" t="s">
        <v>8511</v>
      </c>
      <c r="BG843" s="3" t="s">
        <v>8513</v>
      </c>
    </row>
    <row r="844" spans="1:59" ht="60" x14ac:dyDescent="0.25">
      <c r="A844" s="2" t="s">
        <v>59</v>
      </c>
      <c r="B844" s="2" t="s">
        <v>60</v>
      </c>
      <c r="C844" s="2" t="s">
        <v>8514</v>
      </c>
      <c r="D844" s="2" t="s">
        <v>8515</v>
      </c>
      <c r="E844" s="2" t="s">
        <v>8516</v>
      </c>
      <c r="G844" s="3" t="s">
        <v>63</v>
      </c>
      <c r="I844" s="3" t="s">
        <v>63</v>
      </c>
      <c r="J844" s="3" t="s">
        <v>63</v>
      </c>
      <c r="K844" s="3" t="s">
        <v>64</v>
      </c>
      <c r="L844" s="2" t="s">
        <v>8517</v>
      </c>
      <c r="M844" s="2" t="s">
        <v>8518</v>
      </c>
      <c r="N844" s="3" t="s">
        <v>274</v>
      </c>
      <c r="P844" s="3" t="s">
        <v>66</v>
      </c>
      <c r="R844" s="3" t="s">
        <v>67</v>
      </c>
      <c r="S844" s="4">
        <v>46</v>
      </c>
      <c r="T844" s="4">
        <v>46</v>
      </c>
      <c r="U844" s="5" t="s">
        <v>5994</v>
      </c>
      <c r="V844" s="5" t="s">
        <v>5994</v>
      </c>
      <c r="W844" s="5" t="s">
        <v>69</v>
      </c>
      <c r="X844" s="5" t="s">
        <v>69</v>
      </c>
      <c r="Y844" s="4">
        <v>351</v>
      </c>
      <c r="Z844" s="4">
        <v>18</v>
      </c>
      <c r="AA844" s="4">
        <v>23</v>
      </c>
      <c r="AB844" s="4">
        <v>1</v>
      </c>
      <c r="AC844" s="4">
        <v>6</v>
      </c>
      <c r="AD844" s="4">
        <v>110</v>
      </c>
      <c r="AE844" s="4">
        <v>113</v>
      </c>
      <c r="AF844" s="4">
        <v>0</v>
      </c>
      <c r="AG844" s="4">
        <v>2</v>
      </c>
      <c r="AH844" s="4">
        <v>100</v>
      </c>
      <c r="AI844" s="4">
        <v>102</v>
      </c>
      <c r="AJ844" s="4">
        <v>15</v>
      </c>
      <c r="AK844" s="4">
        <v>17</v>
      </c>
      <c r="AL844" s="4">
        <v>56</v>
      </c>
      <c r="AM844" s="4">
        <v>56</v>
      </c>
      <c r="AN844" s="4">
        <v>0</v>
      </c>
      <c r="AO844" s="4">
        <v>0</v>
      </c>
      <c r="AP844" s="4">
        <v>16</v>
      </c>
      <c r="AQ844" s="4">
        <v>17</v>
      </c>
      <c r="AR844" s="3" t="s">
        <v>63</v>
      </c>
      <c r="AS844" s="3" t="s">
        <v>63</v>
      </c>
      <c r="AT844" s="3" t="s">
        <v>62</v>
      </c>
      <c r="AU844" s="6" t="str">
        <f>HYPERLINK("http://catalog.hathitrust.org/Record/004035803","HathiTrust Record")</f>
        <v>HathiTrust Record</v>
      </c>
      <c r="AV844" s="6" t="str">
        <f>HYPERLINK("http://mcgill.on.worldcat.org/oclc/39060541","Catalog Record")</f>
        <v>Catalog Record</v>
      </c>
      <c r="AW844" s="6" t="str">
        <f>HYPERLINK("http://www.worldcat.org/oclc/39060541","WorldCat Record")</f>
        <v>WorldCat Record</v>
      </c>
      <c r="AX844" s="3" t="s">
        <v>8519</v>
      </c>
      <c r="AY844" s="3" t="s">
        <v>8520</v>
      </c>
      <c r="AZ844" s="3" t="s">
        <v>8521</v>
      </c>
      <c r="BA844" s="3" t="s">
        <v>8521</v>
      </c>
      <c r="BB844" s="3" t="s">
        <v>8522</v>
      </c>
      <c r="BC844" s="3" t="s">
        <v>82</v>
      </c>
      <c r="BD844" s="3" t="s">
        <v>70</v>
      </c>
      <c r="BE844" s="3" t="s">
        <v>8523</v>
      </c>
      <c r="BF844" s="3" t="s">
        <v>8522</v>
      </c>
      <c r="BG844" s="3" t="s">
        <v>8524</v>
      </c>
    </row>
    <row r="845" spans="1:59" ht="60" x14ac:dyDescent="0.25">
      <c r="A845" s="2" t="s">
        <v>59</v>
      </c>
      <c r="B845" s="2" t="s">
        <v>60</v>
      </c>
      <c r="C845" s="2" t="s">
        <v>8525</v>
      </c>
      <c r="D845" s="2" t="s">
        <v>8526</v>
      </c>
      <c r="E845" s="2" t="s">
        <v>8527</v>
      </c>
      <c r="G845" s="3" t="s">
        <v>63</v>
      </c>
      <c r="I845" s="3" t="s">
        <v>63</v>
      </c>
      <c r="J845" s="3" t="s">
        <v>63</v>
      </c>
      <c r="K845" s="3" t="s">
        <v>64</v>
      </c>
      <c r="L845" s="2" t="s">
        <v>8528</v>
      </c>
      <c r="M845" s="2" t="s">
        <v>8529</v>
      </c>
      <c r="N845" s="3" t="s">
        <v>313</v>
      </c>
      <c r="P845" s="3" t="s">
        <v>66</v>
      </c>
      <c r="R845" s="3" t="s">
        <v>67</v>
      </c>
      <c r="S845" s="4">
        <v>4</v>
      </c>
      <c r="T845" s="4">
        <v>4</v>
      </c>
      <c r="U845" s="5" t="s">
        <v>8371</v>
      </c>
      <c r="V845" s="5" t="s">
        <v>8371</v>
      </c>
      <c r="W845" s="5" t="s">
        <v>69</v>
      </c>
      <c r="X845" s="5" t="s">
        <v>69</v>
      </c>
      <c r="Y845" s="4">
        <v>182</v>
      </c>
      <c r="Z845" s="4">
        <v>14</v>
      </c>
      <c r="AA845" s="4">
        <v>38</v>
      </c>
      <c r="AB845" s="4">
        <v>1</v>
      </c>
      <c r="AC845" s="4">
        <v>2</v>
      </c>
      <c r="AD845" s="4">
        <v>80</v>
      </c>
      <c r="AE845" s="4">
        <v>103</v>
      </c>
      <c r="AF845" s="4">
        <v>0</v>
      </c>
      <c r="AG845" s="4">
        <v>0</v>
      </c>
      <c r="AH845" s="4">
        <v>76</v>
      </c>
      <c r="AI845" s="4">
        <v>92</v>
      </c>
      <c r="AJ845" s="4">
        <v>10</v>
      </c>
      <c r="AK845" s="4">
        <v>13</v>
      </c>
      <c r="AL845" s="4">
        <v>46</v>
      </c>
      <c r="AM845" s="4">
        <v>53</v>
      </c>
      <c r="AN845" s="4">
        <v>0</v>
      </c>
      <c r="AO845" s="4">
        <v>0</v>
      </c>
      <c r="AP845" s="4">
        <v>10</v>
      </c>
      <c r="AQ845" s="4">
        <v>18</v>
      </c>
      <c r="AR845" s="3" t="s">
        <v>63</v>
      </c>
      <c r="AS845" s="3" t="s">
        <v>63</v>
      </c>
      <c r="AT845" s="3" t="s">
        <v>63</v>
      </c>
      <c r="AV845" s="6" t="str">
        <f>HYPERLINK("http://mcgill.on.worldcat.org/oclc/435628992","Catalog Record")</f>
        <v>Catalog Record</v>
      </c>
      <c r="AW845" s="6" t="str">
        <f>HYPERLINK("http://www.worldcat.org/oclc/435628992","WorldCat Record")</f>
        <v>WorldCat Record</v>
      </c>
      <c r="AX845" s="3" t="s">
        <v>8530</v>
      </c>
      <c r="AY845" s="3" t="s">
        <v>8531</v>
      </c>
      <c r="AZ845" s="3" t="s">
        <v>8532</v>
      </c>
      <c r="BA845" s="3" t="s">
        <v>8532</v>
      </c>
      <c r="BB845" s="3" t="s">
        <v>8533</v>
      </c>
      <c r="BC845" s="3" t="s">
        <v>82</v>
      </c>
      <c r="BD845" s="3" t="s">
        <v>70</v>
      </c>
      <c r="BE845" s="3" t="s">
        <v>8534</v>
      </c>
      <c r="BF845" s="3" t="s">
        <v>8533</v>
      </c>
      <c r="BG845" s="3" t="s">
        <v>8535</v>
      </c>
    </row>
    <row r="846" spans="1:59" ht="60" x14ac:dyDescent="0.25">
      <c r="A846" s="2" t="s">
        <v>59</v>
      </c>
      <c r="B846" s="2" t="s">
        <v>60</v>
      </c>
      <c r="C846" s="2" t="s">
        <v>8536</v>
      </c>
      <c r="D846" s="2" t="s">
        <v>8537</v>
      </c>
      <c r="E846" s="2" t="s">
        <v>8538</v>
      </c>
      <c r="G846" s="3" t="s">
        <v>63</v>
      </c>
      <c r="I846" s="3" t="s">
        <v>63</v>
      </c>
      <c r="J846" s="3" t="s">
        <v>63</v>
      </c>
      <c r="K846" s="3" t="s">
        <v>64</v>
      </c>
      <c r="L846" s="2" t="s">
        <v>8539</v>
      </c>
      <c r="M846" s="2" t="s">
        <v>8540</v>
      </c>
      <c r="N846" s="3" t="s">
        <v>143</v>
      </c>
      <c r="P846" s="3" t="s">
        <v>90</v>
      </c>
      <c r="Q846" s="2" t="s">
        <v>8541</v>
      </c>
      <c r="R846" s="3" t="s">
        <v>67</v>
      </c>
      <c r="S846" s="4">
        <v>0</v>
      </c>
      <c r="T846" s="4">
        <v>0</v>
      </c>
      <c r="W846" s="5" t="s">
        <v>69</v>
      </c>
      <c r="X846" s="5" t="s">
        <v>69</v>
      </c>
      <c r="Y846" s="4">
        <v>28</v>
      </c>
      <c r="Z846" s="4">
        <v>4</v>
      </c>
      <c r="AA846" s="4">
        <v>4</v>
      </c>
      <c r="AB846" s="4">
        <v>1</v>
      </c>
      <c r="AC846" s="4">
        <v>1</v>
      </c>
      <c r="AD846" s="4">
        <v>19</v>
      </c>
      <c r="AE846" s="4">
        <v>19</v>
      </c>
      <c r="AF846" s="4">
        <v>0</v>
      </c>
      <c r="AG846" s="4">
        <v>0</v>
      </c>
      <c r="AH846" s="4">
        <v>19</v>
      </c>
      <c r="AI846" s="4">
        <v>19</v>
      </c>
      <c r="AJ846" s="4">
        <v>2</v>
      </c>
      <c r="AK846" s="4">
        <v>2</v>
      </c>
      <c r="AL846" s="4">
        <v>15</v>
      </c>
      <c r="AM846" s="4">
        <v>15</v>
      </c>
      <c r="AN846" s="4">
        <v>0</v>
      </c>
      <c r="AO846" s="4">
        <v>0</v>
      </c>
      <c r="AP846" s="4">
        <v>2</v>
      </c>
      <c r="AQ846" s="4">
        <v>2</v>
      </c>
      <c r="AR846" s="3" t="s">
        <v>63</v>
      </c>
      <c r="AS846" s="3" t="s">
        <v>63</v>
      </c>
      <c r="AT846" s="3" t="s">
        <v>63</v>
      </c>
      <c r="AV846" s="6" t="str">
        <f>HYPERLINK("http://mcgill.on.worldcat.org/oclc/893039365","Catalog Record")</f>
        <v>Catalog Record</v>
      </c>
      <c r="AW846" s="6" t="str">
        <f>HYPERLINK("http://www.worldcat.org/oclc/893039365","WorldCat Record")</f>
        <v>WorldCat Record</v>
      </c>
      <c r="AX846" s="3" t="s">
        <v>8542</v>
      </c>
      <c r="AY846" s="3" t="s">
        <v>8543</v>
      </c>
      <c r="AZ846" s="3" t="s">
        <v>8544</v>
      </c>
      <c r="BA846" s="3" t="s">
        <v>8544</v>
      </c>
      <c r="BB846" s="3" t="s">
        <v>8545</v>
      </c>
      <c r="BC846" s="3" t="s">
        <v>82</v>
      </c>
      <c r="BD846" s="3" t="s">
        <v>70</v>
      </c>
      <c r="BE846" s="3" t="s">
        <v>8546</v>
      </c>
      <c r="BF846" s="3" t="s">
        <v>8545</v>
      </c>
      <c r="BG846" s="3" t="s">
        <v>8547</v>
      </c>
    </row>
    <row r="847" spans="1:59" ht="60" x14ac:dyDescent="0.25">
      <c r="A847" s="2" t="s">
        <v>59</v>
      </c>
      <c r="B847" s="2" t="s">
        <v>60</v>
      </c>
      <c r="C847" s="2" t="s">
        <v>8548</v>
      </c>
      <c r="D847" s="2" t="s">
        <v>8549</v>
      </c>
      <c r="E847" s="2" t="s">
        <v>8550</v>
      </c>
      <c r="G847" s="3" t="s">
        <v>63</v>
      </c>
      <c r="I847" s="3" t="s">
        <v>63</v>
      </c>
      <c r="J847" s="3" t="s">
        <v>63</v>
      </c>
      <c r="K847" s="3" t="s">
        <v>64</v>
      </c>
      <c r="L847" s="2" t="s">
        <v>8551</v>
      </c>
      <c r="M847" s="2" t="s">
        <v>8552</v>
      </c>
      <c r="N847" s="3" t="s">
        <v>1023</v>
      </c>
      <c r="P847" s="3" t="s">
        <v>66</v>
      </c>
      <c r="R847" s="3" t="s">
        <v>67</v>
      </c>
      <c r="S847" s="4">
        <v>38</v>
      </c>
      <c r="T847" s="4">
        <v>38</v>
      </c>
      <c r="U847" s="5" t="s">
        <v>5994</v>
      </c>
      <c r="V847" s="5" t="s">
        <v>5994</v>
      </c>
      <c r="W847" s="5" t="s">
        <v>69</v>
      </c>
      <c r="X847" s="5" t="s">
        <v>69</v>
      </c>
      <c r="Y847" s="4">
        <v>231</v>
      </c>
      <c r="Z847" s="4">
        <v>18</v>
      </c>
      <c r="AA847" s="4">
        <v>18</v>
      </c>
      <c r="AB847" s="4">
        <v>1</v>
      </c>
      <c r="AC847" s="4">
        <v>1</v>
      </c>
      <c r="AD847" s="4">
        <v>94</v>
      </c>
      <c r="AE847" s="4">
        <v>94</v>
      </c>
      <c r="AF847" s="4">
        <v>0</v>
      </c>
      <c r="AG847" s="4">
        <v>0</v>
      </c>
      <c r="AH847" s="4">
        <v>85</v>
      </c>
      <c r="AI847" s="4">
        <v>85</v>
      </c>
      <c r="AJ847" s="4">
        <v>15</v>
      </c>
      <c r="AK847" s="4">
        <v>15</v>
      </c>
      <c r="AL847" s="4">
        <v>48</v>
      </c>
      <c r="AM847" s="4">
        <v>48</v>
      </c>
      <c r="AN847" s="4">
        <v>0</v>
      </c>
      <c r="AO847" s="4">
        <v>0</v>
      </c>
      <c r="AP847" s="4">
        <v>15</v>
      </c>
      <c r="AQ847" s="4">
        <v>15</v>
      </c>
      <c r="AR847" s="3" t="s">
        <v>63</v>
      </c>
      <c r="AS847" s="3" t="s">
        <v>63</v>
      </c>
      <c r="AT847" s="3" t="s">
        <v>62</v>
      </c>
      <c r="AU847" s="6" t="str">
        <f>HYPERLINK("http://catalog.hathitrust.org/Record/002935087","HathiTrust Record")</f>
        <v>HathiTrust Record</v>
      </c>
      <c r="AV847" s="6" t="str">
        <f>HYPERLINK("http://mcgill.on.worldcat.org/oclc/30972552","Catalog Record")</f>
        <v>Catalog Record</v>
      </c>
      <c r="AW847" s="6" t="str">
        <f>HYPERLINK("http://www.worldcat.org/oclc/30972552","WorldCat Record")</f>
        <v>WorldCat Record</v>
      </c>
      <c r="AX847" s="3" t="s">
        <v>8553</v>
      </c>
      <c r="AY847" s="3" t="s">
        <v>8554</v>
      </c>
      <c r="AZ847" s="3" t="s">
        <v>8555</v>
      </c>
      <c r="BA847" s="3" t="s">
        <v>8555</v>
      </c>
      <c r="BB847" s="3" t="s">
        <v>8556</v>
      </c>
      <c r="BC847" s="3" t="s">
        <v>82</v>
      </c>
      <c r="BD847" s="3" t="s">
        <v>70</v>
      </c>
      <c r="BE847" s="3" t="s">
        <v>8557</v>
      </c>
      <c r="BF847" s="3" t="s">
        <v>8556</v>
      </c>
      <c r="BG847" s="3" t="s">
        <v>8558</v>
      </c>
    </row>
    <row r="848" spans="1:59" ht="60" x14ac:dyDescent="0.25">
      <c r="A848" s="2" t="s">
        <v>59</v>
      </c>
      <c r="B848" s="2" t="s">
        <v>60</v>
      </c>
      <c r="C848" s="2" t="s">
        <v>8559</v>
      </c>
      <c r="D848" s="2" t="s">
        <v>8560</v>
      </c>
      <c r="E848" s="2" t="s">
        <v>8561</v>
      </c>
      <c r="G848" s="3" t="s">
        <v>63</v>
      </c>
      <c r="I848" s="3" t="s">
        <v>63</v>
      </c>
      <c r="J848" s="3" t="s">
        <v>63</v>
      </c>
      <c r="K848" s="3" t="s">
        <v>64</v>
      </c>
      <c r="L848" s="2" t="s">
        <v>8562</v>
      </c>
      <c r="M848" s="2" t="s">
        <v>6807</v>
      </c>
      <c r="N848" s="3" t="s">
        <v>2103</v>
      </c>
      <c r="P848" s="3" t="s">
        <v>66</v>
      </c>
      <c r="Q848" s="2" t="s">
        <v>3902</v>
      </c>
      <c r="R848" s="3" t="s">
        <v>67</v>
      </c>
      <c r="S848" s="4">
        <v>6</v>
      </c>
      <c r="T848" s="4">
        <v>6</v>
      </c>
      <c r="U848" s="5" t="s">
        <v>7577</v>
      </c>
      <c r="V848" s="5" t="s">
        <v>7577</v>
      </c>
      <c r="W848" s="5" t="s">
        <v>69</v>
      </c>
      <c r="X848" s="5" t="s">
        <v>69</v>
      </c>
      <c r="Y848" s="4">
        <v>209</v>
      </c>
      <c r="Z848" s="4">
        <v>12</v>
      </c>
      <c r="AA848" s="4">
        <v>17</v>
      </c>
      <c r="AB848" s="4">
        <v>1</v>
      </c>
      <c r="AC848" s="4">
        <v>4</v>
      </c>
      <c r="AD848" s="4">
        <v>95</v>
      </c>
      <c r="AE848" s="4">
        <v>98</v>
      </c>
      <c r="AF848" s="4">
        <v>0</v>
      </c>
      <c r="AG848" s="4">
        <v>0</v>
      </c>
      <c r="AH848" s="4">
        <v>89</v>
      </c>
      <c r="AI848" s="4">
        <v>90</v>
      </c>
      <c r="AJ848" s="4">
        <v>9</v>
      </c>
      <c r="AK848" s="4">
        <v>9</v>
      </c>
      <c r="AL848" s="4">
        <v>51</v>
      </c>
      <c r="AM848" s="4">
        <v>51</v>
      </c>
      <c r="AN848" s="4">
        <v>0</v>
      </c>
      <c r="AO848" s="4">
        <v>0</v>
      </c>
      <c r="AP848" s="4">
        <v>9</v>
      </c>
      <c r="AQ848" s="4">
        <v>11</v>
      </c>
      <c r="AR848" s="3" t="s">
        <v>63</v>
      </c>
      <c r="AS848" s="3" t="s">
        <v>63</v>
      </c>
      <c r="AT848" s="3" t="s">
        <v>62</v>
      </c>
      <c r="AU848" s="6" t="str">
        <f>HYPERLINK("http://catalog.hathitrust.org/Record/004277781","HathiTrust Record")</f>
        <v>HathiTrust Record</v>
      </c>
      <c r="AV848" s="6" t="str">
        <f>HYPERLINK("http://mcgill.on.worldcat.org/oclc/49740609","Catalog Record")</f>
        <v>Catalog Record</v>
      </c>
      <c r="AW848" s="6" t="str">
        <f>HYPERLINK("http://www.worldcat.org/oclc/49740609","WorldCat Record")</f>
        <v>WorldCat Record</v>
      </c>
      <c r="AX848" s="3" t="s">
        <v>8563</v>
      </c>
      <c r="AY848" s="3" t="s">
        <v>8564</v>
      </c>
      <c r="AZ848" s="3" t="s">
        <v>8565</v>
      </c>
      <c r="BA848" s="3" t="s">
        <v>8565</v>
      </c>
      <c r="BB848" s="3" t="s">
        <v>8566</v>
      </c>
      <c r="BC848" s="3" t="s">
        <v>82</v>
      </c>
      <c r="BD848" s="3" t="s">
        <v>70</v>
      </c>
      <c r="BE848" s="3" t="s">
        <v>8567</v>
      </c>
      <c r="BF848" s="3" t="s">
        <v>8566</v>
      </c>
      <c r="BG848" s="3" t="s">
        <v>8568</v>
      </c>
    </row>
    <row r="849" spans="1:59" ht="60" x14ac:dyDescent="0.25">
      <c r="A849" s="2" t="s">
        <v>59</v>
      </c>
      <c r="B849" s="2" t="s">
        <v>60</v>
      </c>
      <c r="C849" s="2" t="s">
        <v>8569</v>
      </c>
      <c r="D849" s="2" t="s">
        <v>8570</v>
      </c>
      <c r="E849" s="2" t="s">
        <v>8571</v>
      </c>
      <c r="G849" s="3" t="s">
        <v>63</v>
      </c>
      <c r="I849" s="3" t="s">
        <v>63</v>
      </c>
      <c r="J849" s="3" t="s">
        <v>63</v>
      </c>
      <c r="K849" s="3" t="s">
        <v>64</v>
      </c>
      <c r="L849" s="2" t="s">
        <v>8572</v>
      </c>
      <c r="M849" s="2" t="s">
        <v>8573</v>
      </c>
      <c r="N849" s="3" t="s">
        <v>143</v>
      </c>
      <c r="P849" s="3" t="s">
        <v>90</v>
      </c>
      <c r="R849" s="3" t="s">
        <v>67</v>
      </c>
      <c r="S849" s="4">
        <v>1</v>
      </c>
      <c r="T849" s="4">
        <v>1</v>
      </c>
      <c r="U849" s="5" t="s">
        <v>8574</v>
      </c>
      <c r="V849" s="5" t="s">
        <v>8574</v>
      </c>
      <c r="W849" s="5" t="s">
        <v>69</v>
      </c>
      <c r="X849" s="5" t="s">
        <v>69</v>
      </c>
      <c r="Y849" s="4">
        <v>7</v>
      </c>
      <c r="Z849" s="4">
        <v>1</v>
      </c>
      <c r="AA849" s="4">
        <v>1</v>
      </c>
      <c r="AB849" s="4">
        <v>1</v>
      </c>
      <c r="AC849" s="4">
        <v>1</v>
      </c>
      <c r="AD849" s="4">
        <v>5</v>
      </c>
      <c r="AE849" s="4">
        <v>5</v>
      </c>
      <c r="AF849" s="4">
        <v>0</v>
      </c>
      <c r="AG849" s="4">
        <v>0</v>
      </c>
      <c r="AH849" s="4">
        <v>5</v>
      </c>
      <c r="AI849" s="4">
        <v>5</v>
      </c>
      <c r="AJ849" s="4">
        <v>0</v>
      </c>
      <c r="AK849" s="4">
        <v>0</v>
      </c>
      <c r="AL849" s="4">
        <v>5</v>
      </c>
      <c r="AM849" s="4">
        <v>5</v>
      </c>
      <c r="AN849" s="4">
        <v>0</v>
      </c>
      <c r="AO849" s="4">
        <v>0</v>
      </c>
      <c r="AP849" s="4">
        <v>0</v>
      </c>
      <c r="AQ849" s="4">
        <v>0</v>
      </c>
      <c r="AR849" s="3" t="s">
        <v>63</v>
      </c>
      <c r="AS849" s="3" t="s">
        <v>63</v>
      </c>
      <c r="AT849" s="3" t="s">
        <v>63</v>
      </c>
      <c r="AV849" s="6" t="str">
        <f>HYPERLINK("http://mcgill.on.worldcat.org/oclc/900545030","Catalog Record")</f>
        <v>Catalog Record</v>
      </c>
      <c r="AW849" s="6" t="str">
        <f>HYPERLINK("http://www.worldcat.org/oclc/900545030","WorldCat Record")</f>
        <v>WorldCat Record</v>
      </c>
      <c r="AX849" s="3" t="s">
        <v>8575</v>
      </c>
      <c r="AY849" s="3" t="s">
        <v>8576</v>
      </c>
      <c r="AZ849" s="3" t="s">
        <v>8577</v>
      </c>
      <c r="BA849" s="3" t="s">
        <v>8577</v>
      </c>
      <c r="BB849" s="3" t="s">
        <v>8578</v>
      </c>
      <c r="BC849" s="3" t="s">
        <v>82</v>
      </c>
      <c r="BD849" s="3" t="s">
        <v>70</v>
      </c>
      <c r="BE849" s="3" t="s">
        <v>8579</v>
      </c>
      <c r="BF849" s="3" t="s">
        <v>8578</v>
      </c>
      <c r="BG849" s="3" t="s">
        <v>8580</v>
      </c>
    </row>
    <row r="850" spans="1:59" ht="75" x14ac:dyDescent="0.25">
      <c r="A850" s="2" t="s">
        <v>59</v>
      </c>
      <c r="B850" s="2" t="s">
        <v>60</v>
      </c>
      <c r="C850" s="2" t="s">
        <v>8581</v>
      </c>
      <c r="D850" s="2" t="s">
        <v>8582</v>
      </c>
      <c r="E850" s="2" t="s">
        <v>8583</v>
      </c>
      <c r="G850" s="3" t="s">
        <v>63</v>
      </c>
      <c r="I850" s="3" t="s">
        <v>63</v>
      </c>
      <c r="J850" s="3" t="s">
        <v>63</v>
      </c>
      <c r="K850" s="3" t="s">
        <v>64</v>
      </c>
      <c r="M850" s="2" t="s">
        <v>8584</v>
      </c>
      <c r="N850" s="3" t="s">
        <v>693</v>
      </c>
      <c r="P850" s="3" t="s">
        <v>66</v>
      </c>
      <c r="Q850" s="2" t="s">
        <v>8585</v>
      </c>
      <c r="R850" s="3" t="s">
        <v>67</v>
      </c>
      <c r="S850" s="4">
        <v>7</v>
      </c>
      <c r="T850" s="4">
        <v>7</v>
      </c>
      <c r="U850" s="5" t="s">
        <v>8586</v>
      </c>
      <c r="V850" s="5" t="s">
        <v>8586</v>
      </c>
      <c r="W850" s="5" t="s">
        <v>69</v>
      </c>
      <c r="X850" s="5" t="s">
        <v>69</v>
      </c>
      <c r="Y850" s="4">
        <v>152</v>
      </c>
      <c r="Z850" s="4">
        <v>14</v>
      </c>
      <c r="AA850" s="4">
        <v>15</v>
      </c>
      <c r="AB850" s="4">
        <v>1</v>
      </c>
      <c r="AC850" s="4">
        <v>2</v>
      </c>
      <c r="AD850" s="4">
        <v>75</v>
      </c>
      <c r="AE850" s="4">
        <v>75</v>
      </c>
      <c r="AF850" s="4">
        <v>0</v>
      </c>
      <c r="AG850" s="4">
        <v>0</v>
      </c>
      <c r="AH850" s="4">
        <v>70</v>
      </c>
      <c r="AI850" s="4">
        <v>70</v>
      </c>
      <c r="AJ850" s="4">
        <v>12</v>
      </c>
      <c r="AK850" s="4">
        <v>12</v>
      </c>
      <c r="AL850" s="4">
        <v>44</v>
      </c>
      <c r="AM850" s="4">
        <v>44</v>
      </c>
      <c r="AN850" s="4">
        <v>0</v>
      </c>
      <c r="AO850" s="4">
        <v>0</v>
      </c>
      <c r="AP850" s="4">
        <v>12</v>
      </c>
      <c r="AQ850" s="4">
        <v>12</v>
      </c>
      <c r="AR850" s="3" t="s">
        <v>63</v>
      </c>
      <c r="AS850" s="3" t="s">
        <v>63</v>
      </c>
      <c r="AT850" s="3" t="s">
        <v>62</v>
      </c>
      <c r="AU850" s="6" t="str">
        <f>HYPERLINK("http://catalog.hathitrust.org/Record/004932489","HathiTrust Record")</f>
        <v>HathiTrust Record</v>
      </c>
      <c r="AV850" s="6" t="str">
        <f>HYPERLINK("http://mcgill.on.worldcat.org/oclc/57128670","Catalog Record")</f>
        <v>Catalog Record</v>
      </c>
      <c r="AW850" s="6" t="str">
        <f>HYPERLINK("http://www.worldcat.org/oclc/57128670","WorldCat Record")</f>
        <v>WorldCat Record</v>
      </c>
      <c r="AX850" s="3" t="s">
        <v>8587</v>
      </c>
      <c r="AY850" s="3" t="s">
        <v>8588</v>
      </c>
      <c r="AZ850" s="3" t="s">
        <v>8589</v>
      </c>
      <c r="BA850" s="3" t="s">
        <v>8589</v>
      </c>
      <c r="BB850" s="3" t="s">
        <v>8590</v>
      </c>
      <c r="BC850" s="3" t="s">
        <v>82</v>
      </c>
      <c r="BD850" s="3" t="s">
        <v>70</v>
      </c>
      <c r="BE850" s="3" t="s">
        <v>8591</v>
      </c>
      <c r="BF850" s="3" t="s">
        <v>8590</v>
      </c>
      <c r="BG850" s="3" t="s">
        <v>8592</v>
      </c>
    </row>
    <row r="851" spans="1:59" ht="60" x14ac:dyDescent="0.25">
      <c r="A851" s="2" t="s">
        <v>59</v>
      </c>
      <c r="B851" s="2" t="s">
        <v>60</v>
      </c>
      <c r="C851" s="2" t="s">
        <v>8593</v>
      </c>
      <c r="D851" s="2" t="s">
        <v>8594</v>
      </c>
      <c r="E851" s="2" t="s">
        <v>8595</v>
      </c>
      <c r="G851" s="3" t="s">
        <v>63</v>
      </c>
      <c r="I851" s="3" t="s">
        <v>63</v>
      </c>
      <c r="J851" s="3" t="s">
        <v>63</v>
      </c>
      <c r="K851" s="3" t="s">
        <v>64</v>
      </c>
      <c r="M851" s="2" t="s">
        <v>8596</v>
      </c>
      <c r="N851" s="3" t="s">
        <v>2535</v>
      </c>
      <c r="P851" s="3" t="s">
        <v>90</v>
      </c>
      <c r="Q851" s="2" t="s">
        <v>8597</v>
      </c>
      <c r="R851" s="3" t="s">
        <v>67</v>
      </c>
      <c r="S851" s="4">
        <v>10</v>
      </c>
      <c r="T851" s="4">
        <v>10</v>
      </c>
      <c r="U851" s="5" t="s">
        <v>6320</v>
      </c>
      <c r="V851" s="5" t="s">
        <v>6320</v>
      </c>
      <c r="W851" s="5" t="s">
        <v>69</v>
      </c>
      <c r="X851" s="5" t="s">
        <v>69</v>
      </c>
      <c r="Y851" s="4">
        <v>95</v>
      </c>
      <c r="Z851" s="4">
        <v>8</v>
      </c>
      <c r="AA851" s="4">
        <v>8</v>
      </c>
      <c r="AB851" s="4">
        <v>1</v>
      </c>
      <c r="AC851" s="4">
        <v>1</v>
      </c>
      <c r="AD851" s="4">
        <v>60</v>
      </c>
      <c r="AE851" s="4">
        <v>61</v>
      </c>
      <c r="AF851" s="4">
        <v>0</v>
      </c>
      <c r="AG851" s="4">
        <v>0</v>
      </c>
      <c r="AH851" s="4">
        <v>57</v>
      </c>
      <c r="AI851" s="4">
        <v>58</v>
      </c>
      <c r="AJ851" s="4">
        <v>6</v>
      </c>
      <c r="AK851" s="4">
        <v>6</v>
      </c>
      <c r="AL851" s="4">
        <v>38</v>
      </c>
      <c r="AM851" s="4">
        <v>38</v>
      </c>
      <c r="AN851" s="4">
        <v>0</v>
      </c>
      <c r="AO851" s="4">
        <v>0</v>
      </c>
      <c r="AP851" s="4">
        <v>6</v>
      </c>
      <c r="AQ851" s="4">
        <v>6</v>
      </c>
      <c r="AR851" s="3" t="s">
        <v>63</v>
      </c>
      <c r="AS851" s="3" t="s">
        <v>63</v>
      </c>
      <c r="AT851" s="3" t="s">
        <v>62</v>
      </c>
      <c r="AU851" s="6" t="str">
        <f>HYPERLINK("http://catalog.hathitrust.org/Record/001726673","HathiTrust Record")</f>
        <v>HathiTrust Record</v>
      </c>
      <c r="AV851" s="6" t="str">
        <f>HYPERLINK("http://mcgill.on.worldcat.org/oclc/4475394","Catalog Record")</f>
        <v>Catalog Record</v>
      </c>
      <c r="AW851" s="6" t="str">
        <f>HYPERLINK("http://www.worldcat.org/oclc/4475394","WorldCat Record")</f>
        <v>WorldCat Record</v>
      </c>
      <c r="AX851" s="3" t="s">
        <v>8598</v>
      </c>
      <c r="AY851" s="3" t="s">
        <v>8599</v>
      </c>
      <c r="AZ851" s="3" t="s">
        <v>8600</v>
      </c>
      <c r="BA851" s="3" t="s">
        <v>8600</v>
      </c>
      <c r="BB851" s="3" t="s">
        <v>8601</v>
      </c>
      <c r="BC851" s="3" t="s">
        <v>82</v>
      </c>
      <c r="BD851" s="3" t="s">
        <v>70</v>
      </c>
      <c r="BF851" s="3" t="s">
        <v>8601</v>
      </c>
      <c r="BG851" s="3" t="s">
        <v>8602</v>
      </c>
    </row>
    <row r="852" spans="1:59" ht="60" x14ac:dyDescent="0.25">
      <c r="A852" s="2" t="s">
        <v>59</v>
      </c>
      <c r="B852" s="2" t="s">
        <v>60</v>
      </c>
      <c r="C852" s="2" t="s">
        <v>8603</v>
      </c>
      <c r="D852" s="2" t="s">
        <v>8604</v>
      </c>
      <c r="E852" s="2" t="s">
        <v>8605</v>
      </c>
      <c r="G852" s="3" t="s">
        <v>63</v>
      </c>
      <c r="I852" s="3" t="s">
        <v>63</v>
      </c>
      <c r="J852" s="3" t="s">
        <v>63</v>
      </c>
      <c r="K852" s="3" t="s">
        <v>64</v>
      </c>
      <c r="L852" s="2" t="s">
        <v>8606</v>
      </c>
      <c r="M852" s="2" t="s">
        <v>8607</v>
      </c>
      <c r="N852" s="3" t="s">
        <v>480</v>
      </c>
      <c r="P852" s="3" t="s">
        <v>66</v>
      </c>
      <c r="R852" s="3" t="s">
        <v>67</v>
      </c>
      <c r="S852" s="4">
        <v>6</v>
      </c>
      <c r="T852" s="4">
        <v>6</v>
      </c>
      <c r="U852" s="5" t="s">
        <v>8608</v>
      </c>
      <c r="V852" s="5" t="s">
        <v>8608</v>
      </c>
      <c r="W852" s="5" t="s">
        <v>69</v>
      </c>
      <c r="X852" s="5" t="s">
        <v>69</v>
      </c>
      <c r="Y852" s="4">
        <v>109</v>
      </c>
      <c r="Z852" s="4">
        <v>13</v>
      </c>
      <c r="AA852" s="4">
        <v>13</v>
      </c>
      <c r="AB852" s="4">
        <v>1</v>
      </c>
      <c r="AC852" s="4">
        <v>1</v>
      </c>
      <c r="AD852" s="4">
        <v>46</v>
      </c>
      <c r="AE852" s="4">
        <v>46</v>
      </c>
      <c r="AF852" s="4">
        <v>0</v>
      </c>
      <c r="AG852" s="4">
        <v>0</v>
      </c>
      <c r="AH852" s="4">
        <v>44</v>
      </c>
      <c r="AI852" s="4">
        <v>44</v>
      </c>
      <c r="AJ852" s="4">
        <v>5</v>
      </c>
      <c r="AK852" s="4">
        <v>5</v>
      </c>
      <c r="AL852" s="4">
        <v>29</v>
      </c>
      <c r="AM852" s="4">
        <v>29</v>
      </c>
      <c r="AN852" s="4">
        <v>0</v>
      </c>
      <c r="AO852" s="4">
        <v>0</v>
      </c>
      <c r="AP852" s="4">
        <v>7</v>
      </c>
      <c r="AQ852" s="4">
        <v>7</v>
      </c>
      <c r="AR852" s="3" t="s">
        <v>63</v>
      </c>
      <c r="AS852" s="3" t="s">
        <v>63</v>
      </c>
      <c r="AT852" s="3" t="s">
        <v>62</v>
      </c>
      <c r="AU852" s="6" t="str">
        <f>HYPERLINK("http://catalog.hathitrust.org/Record/002528829","HathiTrust Record")</f>
        <v>HathiTrust Record</v>
      </c>
      <c r="AV852" s="6" t="str">
        <f>HYPERLINK("http://mcgill.on.worldcat.org/oclc/27072853","Catalog Record")</f>
        <v>Catalog Record</v>
      </c>
      <c r="AW852" s="6" t="str">
        <f>HYPERLINK("http://www.worldcat.org/oclc/27072853","WorldCat Record")</f>
        <v>WorldCat Record</v>
      </c>
      <c r="AX852" s="3" t="s">
        <v>8609</v>
      </c>
      <c r="AY852" s="3" t="s">
        <v>8610</v>
      </c>
      <c r="AZ852" s="3" t="s">
        <v>8611</v>
      </c>
      <c r="BA852" s="3" t="s">
        <v>8611</v>
      </c>
      <c r="BB852" s="3" t="s">
        <v>8612</v>
      </c>
      <c r="BC852" s="3" t="s">
        <v>82</v>
      </c>
      <c r="BD852" s="3" t="s">
        <v>70</v>
      </c>
      <c r="BE852" s="3" t="s">
        <v>8613</v>
      </c>
      <c r="BF852" s="3" t="s">
        <v>8612</v>
      </c>
      <c r="BG852" s="3" t="s">
        <v>8614</v>
      </c>
    </row>
    <row r="853" spans="1:59" ht="90" x14ac:dyDescent="0.25">
      <c r="A853" s="2" t="s">
        <v>59</v>
      </c>
      <c r="B853" s="2" t="s">
        <v>60</v>
      </c>
      <c r="C853" s="2" t="s">
        <v>8615</v>
      </c>
      <c r="D853" s="2" t="s">
        <v>8616</v>
      </c>
      <c r="E853" s="2" t="s">
        <v>8617</v>
      </c>
      <c r="G853" s="3" t="s">
        <v>63</v>
      </c>
      <c r="I853" s="3" t="s">
        <v>63</v>
      </c>
      <c r="J853" s="3" t="s">
        <v>63</v>
      </c>
      <c r="K853" s="3" t="s">
        <v>64</v>
      </c>
      <c r="L853" s="2" t="s">
        <v>8618</v>
      </c>
      <c r="M853" s="2" t="s">
        <v>8619</v>
      </c>
      <c r="N853" s="3" t="s">
        <v>1418</v>
      </c>
      <c r="P853" s="3" t="s">
        <v>66</v>
      </c>
      <c r="Q853" s="2" t="s">
        <v>8620</v>
      </c>
      <c r="R853" s="3" t="s">
        <v>67</v>
      </c>
      <c r="S853" s="4">
        <v>29</v>
      </c>
      <c r="T853" s="4">
        <v>29</v>
      </c>
      <c r="U853" s="5" t="s">
        <v>6380</v>
      </c>
      <c r="V853" s="5" t="s">
        <v>6380</v>
      </c>
      <c r="W853" s="5" t="s">
        <v>69</v>
      </c>
      <c r="X853" s="5" t="s">
        <v>69</v>
      </c>
      <c r="Y853" s="4">
        <v>231</v>
      </c>
      <c r="Z853" s="4">
        <v>13</v>
      </c>
      <c r="AA853" s="4">
        <v>13</v>
      </c>
      <c r="AB853" s="4">
        <v>2</v>
      </c>
      <c r="AC853" s="4">
        <v>2</v>
      </c>
      <c r="AD853" s="4">
        <v>70</v>
      </c>
      <c r="AE853" s="4">
        <v>70</v>
      </c>
      <c r="AF853" s="4">
        <v>0</v>
      </c>
      <c r="AG853" s="4">
        <v>0</v>
      </c>
      <c r="AH853" s="4">
        <v>66</v>
      </c>
      <c r="AI853" s="4">
        <v>66</v>
      </c>
      <c r="AJ853" s="4">
        <v>8</v>
      </c>
      <c r="AK853" s="4">
        <v>8</v>
      </c>
      <c r="AL853" s="4">
        <v>44</v>
      </c>
      <c r="AM853" s="4">
        <v>44</v>
      </c>
      <c r="AN853" s="4">
        <v>0</v>
      </c>
      <c r="AO853" s="4">
        <v>0</v>
      </c>
      <c r="AP853" s="4">
        <v>8</v>
      </c>
      <c r="AQ853" s="4">
        <v>8</v>
      </c>
      <c r="AR853" s="3" t="s">
        <v>63</v>
      </c>
      <c r="AS853" s="3" t="s">
        <v>63</v>
      </c>
      <c r="AT853" s="3" t="s">
        <v>62</v>
      </c>
      <c r="AU853" s="6" t="str">
        <f>HYPERLINK("http://catalog.hathitrust.org/Record/000821810","HathiTrust Record")</f>
        <v>HathiTrust Record</v>
      </c>
      <c r="AV853" s="6" t="str">
        <f>HYPERLINK("http://mcgill.on.worldcat.org/oclc/17398510","Catalog Record")</f>
        <v>Catalog Record</v>
      </c>
      <c r="AW853" s="6" t="str">
        <f>HYPERLINK("http://www.worldcat.org/oclc/17398510","WorldCat Record")</f>
        <v>WorldCat Record</v>
      </c>
      <c r="AX853" s="3" t="s">
        <v>8621</v>
      </c>
      <c r="AY853" s="3" t="s">
        <v>8622</v>
      </c>
      <c r="AZ853" s="3" t="s">
        <v>8623</v>
      </c>
      <c r="BA853" s="3" t="s">
        <v>8623</v>
      </c>
      <c r="BB853" s="3" t="s">
        <v>8624</v>
      </c>
      <c r="BC853" s="3" t="s">
        <v>82</v>
      </c>
      <c r="BD853" s="3" t="s">
        <v>70</v>
      </c>
      <c r="BE853" s="3" t="s">
        <v>8625</v>
      </c>
      <c r="BF853" s="3" t="s">
        <v>8624</v>
      </c>
      <c r="BG853" s="3" t="s">
        <v>8626</v>
      </c>
    </row>
    <row r="854" spans="1:59" ht="90" x14ac:dyDescent="0.25">
      <c r="A854" s="2" t="s">
        <v>59</v>
      </c>
      <c r="B854" s="2" t="s">
        <v>60</v>
      </c>
      <c r="C854" s="2" t="s">
        <v>8627</v>
      </c>
      <c r="D854" s="2" t="s">
        <v>8628</v>
      </c>
      <c r="E854" s="2" t="s">
        <v>8629</v>
      </c>
      <c r="G854" s="3" t="s">
        <v>63</v>
      </c>
      <c r="I854" s="3" t="s">
        <v>62</v>
      </c>
      <c r="J854" s="3" t="s">
        <v>63</v>
      </c>
      <c r="K854" s="3" t="s">
        <v>64</v>
      </c>
      <c r="L854" s="2" t="s">
        <v>8630</v>
      </c>
      <c r="M854" s="2" t="s">
        <v>8631</v>
      </c>
      <c r="N854" s="3" t="s">
        <v>731</v>
      </c>
      <c r="P854" s="3" t="s">
        <v>66</v>
      </c>
      <c r="Q854" s="2" t="s">
        <v>8632</v>
      </c>
      <c r="R854" s="3" t="s">
        <v>67</v>
      </c>
      <c r="S854" s="4">
        <v>27</v>
      </c>
      <c r="T854" s="4">
        <v>44</v>
      </c>
      <c r="U854" s="5" t="s">
        <v>8633</v>
      </c>
      <c r="V854" s="5" t="s">
        <v>415</v>
      </c>
      <c r="W854" s="5" t="s">
        <v>69</v>
      </c>
      <c r="X854" s="5" t="s">
        <v>69</v>
      </c>
      <c r="Y854" s="4">
        <v>389</v>
      </c>
      <c r="Z854" s="4">
        <v>13</v>
      </c>
      <c r="AA854" s="4">
        <v>66</v>
      </c>
      <c r="AB854" s="4">
        <v>1</v>
      </c>
      <c r="AC854" s="4">
        <v>5</v>
      </c>
      <c r="AD854" s="4">
        <v>51</v>
      </c>
      <c r="AE854" s="4">
        <v>130</v>
      </c>
      <c r="AF854" s="4">
        <v>0</v>
      </c>
      <c r="AG854" s="4">
        <v>0</v>
      </c>
      <c r="AH854" s="4">
        <v>45</v>
      </c>
      <c r="AI854" s="4">
        <v>104</v>
      </c>
      <c r="AJ854" s="4">
        <v>7</v>
      </c>
      <c r="AK854" s="4">
        <v>16</v>
      </c>
      <c r="AL854" s="4">
        <v>25</v>
      </c>
      <c r="AM854" s="4">
        <v>57</v>
      </c>
      <c r="AN854" s="4">
        <v>0</v>
      </c>
      <c r="AO854" s="4">
        <v>0</v>
      </c>
      <c r="AP854" s="4">
        <v>8</v>
      </c>
      <c r="AQ854" s="4">
        <v>30</v>
      </c>
      <c r="AR854" s="3" t="s">
        <v>63</v>
      </c>
      <c r="AS854" s="3" t="s">
        <v>63</v>
      </c>
      <c r="AT854" s="3" t="s">
        <v>63</v>
      </c>
      <c r="AV854" s="6" t="str">
        <f>HYPERLINK("http://mcgill.on.worldcat.org/oclc/3053160","Catalog Record")</f>
        <v>Catalog Record</v>
      </c>
      <c r="AW854" s="6" t="str">
        <f>HYPERLINK("http://www.worldcat.org/oclc/3053160","WorldCat Record")</f>
        <v>WorldCat Record</v>
      </c>
      <c r="AX854" s="3" t="s">
        <v>8634</v>
      </c>
      <c r="AY854" s="3" t="s">
        <v>8635</v>
      </c>
      <c r="AZ854" s="3" t="s">
        <v>8636</v>
      </c>
      <c r="BA854" s="3" t="s">
        <v>8636</v>
      </c>
      <c r="BB854" s="3" t="s">
        <v>8637</v>
      </c>
      <c r="BC854" s="3" t="s">
        <v>82</v>
      </c>
      <c r="BD854" s="3" t="s">
        <v>70</v>
      </c>
      <c r="BE854" s="3" t="s">
        <v>8638</v>
      </c>
      <c r="BF854" s="3" t="s">
        <v>8637</v>
      </c>
      <c r="BG854" s="3" t="s">
        <v>8639</v>
      </c>
    </row>
    <row r="855" spans="1:59" ht="60" x14ac:dyDescent="0.25">
      <c r="A855" s="2" t="s">
        <v>59</v>
      </c>
      <c r="B855" s="2" t="s">
        <v>60</v>
      </c>
      <c r="C855" s="2" t="s">
        <v>8640</v>
      </c>
      <c r="D855" s="2" t="s">
        <v>8641</v>
      </c>
      <c r="E855" s="2" t="s">
        <v>8642</v>
      </c>
      <c r="G855" s="3" t="s">
        <v>63</v>
      </c>
      <c r="I855" s="3" t="s">
        <v>63</v>
      </c>
      <c r="J855" s="3" t="s">
        <v>63</v>
      </c>
      <c r="K855" s="3" t="s">
        <v>64</v>
      </c>
      <c r="L855" s="2" t="s">
        <v>8643</v>
      </c>
      <c r="M855" s="2" t="s">
        <v>8644</v>
      </c>
      <c r="N855" s="3" t="s">
        <v>204</v>
      </c>
      <c r="P855" s="3" t="s">
        <v>90</v>
      </c>
      <c r="R855" s="3" t="s">
        <v>67</v>
      </c>
      <c r="S855" s="4">
        <v>3</v>
      </c>
      <c r="T855" s="4">
        <v>3</v>
      </c>
      <c r="U855" s="5" t="s">
        <v>8645</v>
      </c>
      <c r="V855" s="5" t="s">
        <v>8645</v>
      </c>
      <c r="W855" s="5" t="s">
        <v>69</v>
      </c>
      <c r="X855" s="5" t="s">
        <v>69</v>
      </c>
      <c r="Y855" s="4">
        <v>59</v>
      </c>
      <c r="Z855" s="4">
        <v>5</v>
      </c>
      <c r="AA855" s="4">
        <v>5</v>
      </c>
      <c r="AB855" s="4">
        <v>1</v>
      </c>
      <c r="AC855" s="4">
        <v>1</v>
      </c>
      <c r="AD855" s="4">
        <v>41</v>
      </c>
      <c r="AE855" s="4">
        <v>41</v>
      </c>
      <c r="AF855" s="4">
        <v>0</v>
      </c>
      <c r="AG855" s="4">
        <v>0</v>
      </c>
      <c r="AH855" s="4">
        <v>39</v>
      </c>
      <c r="AI855" s="4">
        <v>39</v>
      </c>
      <c r="AJ855" s="4">
        <v>3</v>
      </c>
      <c r="AK855" s="4">
        <v>3</v>
      </c>
      <c r="AL855" s="4">
        <v>33</v>
      </c>
      <c r="AM855" s="4">
        <v>33</v>
      </c>
      <c r="AN855" s="4">
        <v>0</v>
      </c>
      <c r="AO855" s="4">
        <v>0</v>
      </c>
      <c r="AP855" s="4">
        <v>3</v>
      </c>
      <c r="AQ855" s="4">
        <v>3</v>
      </c>
      <c r="AR855" s="3" t="s">
        <v>63</v>
      </c>
      <c r="AS855" s="3" t="s">
        <v>63</v>
      </c>
      <c r="AT855" s="3" t="s">
        <v>62</v>
      </c>
      <c r="AU855" s="6" t="str">
        <f>HYPERLINK("http://catalog.hathitrust.org/Record/006940447","HathiTrust Record")</f>
        <v>HathiTrust Record</v>
      </c>
      <c r="AV855" s="6" t="str">
        <f>HYPERLINK("http://mcgill.on.worldcat.org/oclc/35679756","Catalog Record")</f>
        <v>Catalog Record</v>
      </c>
      <c r="AW855" s="6" t="str">
        <f>HYPERLINK("http://www.worldcat.org/oclc/35679756","WorldCat Record")</f>
        <v>WorldCat Record</v>
      </c>
      <c r="AX855" s="3" t="s">
        <v>8646</v>
      </c>
      <c r="AY855" s="3" t="s">
        <v>8647</v>
      </c>
      <c r="AZ855" s="3" t="s">
        <v>8648</v>
      </c>
      <c r="BA855" s="3" t="s">
        <v>8648</v>
      </c>
      <c r="BB855" s="3" t="s">
        <v>8649</v>
      </c>
      <c r="BC855" s="3" t="s">
        <v>82</v>
      </c>
      <c r="BD855" s="3" t="s">
        <v>70</v>
      </c>
      <c r="BE855" s="3" t="s">
        <v>8650</v>
      </c>
      <c r="BF855" s="3" t="s">
        <v>8649</v>
      </c>
      <c r="BG855" s="3" t="s">
        <v>8651</v>
      </c>
    </row>
    <row r="856" spans="1:59" ht="105" x14ac:dyDescent="0.25">
      <c r="A856" s="2" t="s">
        <v>59</v>
      </c>
      <c r="B856" s="2" t="s">
        <v>60</v>
      </c>
      <c r="C856" s="2" t="s">
        <v>8652</v>
      </c>
      <c r="D856" s="2" t="s">
        <v>8653</v>
      </c>
      <c r="E856" s="2" t="s">
        <v>8654</v>
      </c>
      <c r="G856" s="3" t="s">
        <v>63</v>
      </c>
      <c r="I856" s="3" t="s">
        <v>63</v>
      </c>
      <c r="J856" s="3" t="s">
        <v>62</v>
      </c>
      <c r="K856" s="3" t="s">
        <v>64</v>
      </c>
      <c r="M856" s="2" t="s">
        <v>8655</v>
      </c>
      <c r="N856" s="3" t="s">
        <v>65</v>
      </c>
      <c r="P856" s="3" t="s">
        <v>90</v>
      </c>
      <c r="R856" s="3" t="s">
        <v>67</v>
      </c>
      <c r="S856" s="4">
        <v>10</v>
      </c>
      <c r="T856" s="4">
        <v>10</v>
      </c>
      <c r="U856" s="5" t="s">
        <v>8645</v>
      </c>
      <c r="V856" s="5" t="s">
        <v>8645</v>
      </c>
      <c r="W856" s="5" t="s">
        <v>69</v>
      </c>
      <c r="X856" s="5" t="s">
        <v>69</v>
      </c>
      <c r="Y856" s="4">
        <v>28</v>
      </c>
      <c r="Z856" s="4">
        <v>2</v>
      </c>
      <c r="AA856" s="4">
        <v>7</v>
      </c>
      <c r="AB856" s="4">
        <v>1</v>
      </c>
      <c r="AC856" s="4">
        <v>1</v>
      </c>
      <c r="AD856" s="4">
        <v>18</v>
      </c>
      <c r="AE856" s="4">
        <v>48</v>
      </c>
      <c r="AF856" s="4">
        <v>0</v>
      </c>
      <c r="AG856" s="4">
        <v>0</v>
      </c>
      <c r="AH856" s="4">
        <v>17</v>
      </c>
      <c r="AI856" s="4">
        <v>45</v>
      </c>
      <c r="AJ856" s="4">
        <v>1</v>
      </c>
      <c r="AK856" s="4">
        <v>5</v>
      </c>
      <c r="AL856" s="4">
        <v>11</v>
      </c>
      <c r="AM856" s="4">
        <v>27</v>
      </c>
      <c r="AN856" s="4">
        <v>0</v>
      </c>
      <c r="AO856" s="4">
        <v>0</v>
      </c>
      <c r="AP856" s="4">
        <v>1</v>
      </c>
      <c r="AQ856" s="4">
        <v>5</v>
      </c>
      <c r="AR856" s="3" t="s">
        <v>63</v>
      </c>
      <c r="AS856" s="3" t="s">
        <v>63</v>
      </c>
      <c r="AT856" s="3" t="s">
        <v>62</v>
      </c>
      <c r="AU856" s="6" t="str">
        <f>HYPERLINK("http://catalog.hathitrust.org/Record/000177216","HathiTrust Record")</f>
        <v>HathiTrust Record</v>
      </c>
      <c r="AV856" s="6" t="str">
        <f>HYPERLINK("http://mcgill.on.worldcat.org/oclc/4019022","Catalog Record")</f>
        <v>Catalog Record</v>
      </c>
      <c r="AW856" s="6" t="str">
        <f>HYPERLINK("http://www.worldcat.org/oclc/4019022","WorldCat Record")</f>
        <v>WorldCat Record</v>
      </c>
      <c r="AX856" s="3" t="s">
        <v>8656</v>
      </c>
      <c r="AY856" s="3" t="s">
        <v>8657</v>
      </c>
      <c r="AZ856" s="3" t="s">
        <v>8658</v>
      </c>
      <c r="BA856" s="3" t="s">
        <v>8658</v>
      </c>
      <c r="BB856" s="3" t="s">
        <v>8659</v>
      </c>
      <c r="BC856" s="3" t="s">
        <v>82</v>
      </c>
      <c r="BD856" s="3" t="s">
        <v>70</v>
      </c>
      <c r="BF856" s="3" t="s">
        <v>8659</v>
      </c>
      <c r="BG856" s="3" t="s">
        <v>8660</v>
      </c>
    </row>
    <row r="857" spans="1:59" ht="60" x14ac:dyDescent="0.25">
      <c r="A857" s="2" t="s">
        <v>59</v>
      </c>
      <c r="B857" s="2" t="s">
        <v>60</v>
      </c>
      <c r="C857" s="2" t="s">
        <v>8661</v>
      </c>
      <c r="D857" s="2" t="s">
        <v>8662</v>
      </c>
      <c r="E857" s="2" t="s">
        <v>8663</v>
      </c>
      <c r="F857" s="3" t="s">
        <v>8664</v>
      </c>
      <c r="G857" s="3" t="s">
        <v>62</v>
      </c>
      <c r="I857" s="3" t="s">
        <v>63</v>
      </c>
      <c r="J857" s="3" t="s">
        <v>63</v>
      </c>
      <c r="K857" s="3" t="s">
        <v>64</v>
      </c>
      <c r="L857" s="2" t="s">
        <v>8665</v>
      </c>
      <c r="M857" s="2" t="s">
        <v>8666</v>
      </c>
      <c r="N857" s="3" t="s">
        <v>8667</v>
      </c>
      <c r="P857" s="3" t="s">
        <v>90</v>
      </c>
      <c r="R857" s="3" t="s">
        <v>67</v>
      </c>
      <c r="S857" s="4">
        <v>1</v>
      </c>
      <c r="T857" s="4">
        <v>1</v>
      </c>
      <c r="U857" s="5" t="s">
        <v>328</v>
      </c>
      <c r="V857" s="5" t="s">
        <v>328</v>
      </c>
      <c r="W857" s="5" t="s">
        <v>69</v>
      </c>
      <c r="X857" s="5" t="s">
        <v>69</v>
      </c>
      <c r="Y857" s="4">
        <v>55</v>
      </c>
      <c r="Z857" s="4">
        <v>5</v>
      </c>
      <c r="AA857" s="4">
        <v>17</v>
      </c>
      <c r="AB857" s="4">
        <v>1</v>
      </c>
      <c r="AC857" s="4">
        <v>1</v>
      </c>
      <c r="AD857" s="4">
        <v>31</v>
      </c>
      <c r="AE857" s="4">
        <v>36</v>
      </c>
      <c r="AF857" s="4">
        <v>0</v>
      </c>
      <c r="AG857" s="4">
        <v>0</v>
      </c>
      <c r="AH857" s="4">
        <v>31</v>
      </c>
      <c r="AI857" s="4">
        <v>33</v>
      </c>
      <c r="AJ857" s="4">
        <v>3</v>
      </c>
      <c r="AK857" s="4">
        <v>4</v>
      </c>
      <c r="AL857" s="4">
        <v>22</v>
      </c>
      <c r="AM857" s="4">
        <v>22</v>
      </c>
      <c r="AN857" s="4">
        <v>0</v>
      </c>
      <c r="AO857" s="4">
        <v>0</v>
      </c>
      <c r="AP857" s="4">
        <v>3</v>
      </c>
      <c r="AQ857" s="4">
        <v>7</v>
      </c>
      <c r="AR857" s="3" t="s">
        <v>63</v>
      </c>
      <c r="AS857" s="3" t="s">
        <v>63</v>
      </c>
      <c r="AT857" s="3" t="s">
        <v>63</v>
      </c>
      <c r="AU857" s="6" t="str">
        <f>HYPERLINK("http://catalog.hathitrust.org/Record/001276634","HathiTrust Record")</f>
        <v>HathiTrust Record</v>
      </c>
      <c r="AV857" s="6" t="str">
        <f>HYPERLINK("http://mcgill.on.worldcat.org/oclc/2131246","Catalog Record")</f>
        <v>Catalog Record</v>
      </c>
      <c r="AW857" s="6" t="str">
        <f>HYPERLINK("http://www.worldcat.org/oclc/2131246","WorldCat Record")</f>
        <v>WorldCat Record</v>
      </c>
      <c r="AX857" s="3" t="s">
        <v>8668</v>
      </c>
      <c r="AY857" s="3" t="s">
        <v>8669</v>
      </c>
      <c r="AZ857" s="3" t="s">
        <v>8670</v>
      </c>
      <c r="BA857" s="3" t="s">
        <v>8670</v>
      </c>
      <c r="BB857" s="3" t="s">
        <v>8671</v>
      </c>
      <c r="BC857" s="3" t="s">
        <v>82</v>
      </c>
      <c r="BD857" s="3" t="s">
        <v>70</v>
      </c>
      <c r="BF857" s="3" t="s">
        <v>8671</v>
      </c>
      <c r="BG857" s="3" t="s">
        <v>8672</v>
      </c>
    </row>
    <row r="858" spans="1:59" ht="60" x14ac:dyDescent="0.25">
      <c r="A858" s="2" t="s">
        <v>59</v>
      </c>
      <c r="B858" s="2" t="s">
        <v>60</v>
      </c>
      <c r="C858" s="2" t="s">
        <v>8661</v>
      </c>
      <c r="D858" s="2" t="s">
        <v>8662</v>
      </c>
      <c r="E858" s="2" t="s">
        <v>8663</v>
      </c>
      <c r="F858" s="3" t="s">
        <v>8673</v>
      </c>
      <c r="G858" s="3" t="s">
        <v>62</v>
      </c>
      <c r="I858" s="3" t="s">
        <v>63</v>
      </c>
      <c r="J858" s="3" t="s">
        <v>63</v>
      </c>
      <c r="K858" s="3" t="s">
        <v>64</v>
      </c>
      <c r="L858" s="2" t="s">
        <v>8665</v>
      </c>
      <c r="M858" s="2" t="s">
        <v>8666</v>
      </c>
      <c r="N858" s="3" t="s">
        <v>8667</v>
      </c>
      <c r="P858" s="3" t="s">
        <v>90</v>
      </c>
      <c r="R858" s="3" t="s">
        <v>67</v>
      </c>
      <c r="S858" s="4">
        <v>0</v>
      </c>
      <c r="T858" s="4">
        <v>1</v>
      </c>
      <c r="V858" s="5" t="s">
        <v>328</v>
      </c>
      <c r="W858" s="5" t="s">
        <v>69</v>
      </c>
      <c r="X858" s="5" t="s">
        <v>69</v>
      </c>
      <c r="Y858" s="4">
        <v>55</v>
      </c>
      <c r="Z858" s="4">
        <v>5</v>
      </c>
      <c r="AA858" s="4">
        <v>17</v>
      </c>
      <c r="AB858" s="4">
        <v>1</v>
      </c>
      <c r="AC858" s="4">
        <v>1</v>
      </c>
      <c r="AD858" s="4">
        <v>31</v>
      </c>
      <c r="AE858" s="4">
        <v>36</v>
      </c>
      <c r="AF858" s="4">
        <v>0</v>
      </c>
      <c r="AG858" s="4">
        <v>0</v>
      </c>
      <c r="AH858" s="4">
        <v>31</v>
      </c>
      <c r="AI858" s="4">
        <v>33</v>
      </c>
      <c r="AJ858" s="4">
        <v>3</v>
      </c>
      <c r="AK858" s="4">
        <v>4</v>
      </c>
      <c r="AL858" s="4">
        <v>22</v>
      </c>
      <c r="AM858" s="4">
        <v>22</v>
      </c>
      <c r="AN858" s="4">
        <v>0</v>
      </c>
      <c r="AO858" s="4">
        <v>0</v>
      </c>
      <c r="AP858" s="4">
        <v>3</v>
      </c>
      <c r="AQ858" s="4">
        <v>7</v>
      </c>
      <c r="AR858" s="3" t="s">
        <v>63</v>
      </c>
      <c r="AS858" s="3" t="s">
        <v>63</v>
      </c>
      <c r="AT858" s="3" t="s">
        <v>63</v>
      </c>
      <c r="AU858" s="6" t="str">
        <f>HYPERLINK("http://catalog.hathitrust.org/Record/001276634","HathiTrust Record")</f>
        <v>HathiTrust Record</v>
      </c>
      <c r="AV858" s="6" t="str">
        <f>HYPERLINK("http://mcgill.on.worldcat.org/oclc/2131246","Catalog Record")</f>
        <v>Catalog Record</v>
      </c>
      <c r="AW858" s="6" t="str">
        <f>HYPERLINK("http://www.worldcat.org/oclc/2131246","WorldCat Record")</f>
        <v>WorldCat Record</v>
      </c>
      <c r="AX858" s="3" t="s">
        <v>8668</v>
      </c>
      <c r="AY858" s="3" t="s">
        <v>8669</v>
      </c>
      <c r="AZ858" s="3" t="s">
        <v>8670</v>
      </c>
      <c r="BA858" s="3" t="s">
        <v>8670</v>
      </c>
      <c r="BB858" s="3" t="s">
        <v>8674</v>
      </c>
      <c r="BC858" s="3" t="s">
        <v>82</v>
      </c>
      <c r="BD858" s="3" t="s">
        <v>70</v>
      </c>
      <c r="BF858" s="3" t="s">
        <v>8674</v>
      </c>
      <c r="BG858" s="3" t="s">
        <v>8675</v>
      </c>
    </row>
    <row r="859" spans="1:59" ht="60" x14ac:dyDescent="0.25">
      <c r="A859" s="2" t="s">
        <v>59</v>
      </c>
      <c r="B859" s="2" t="s">
        <v>60</v>
      </c>
      <c r="C859" s="2" t="s">
        <v>8676</v>
      </c>
      <c r="D859" s="2" t="s">
        <v>8677</v>
      </c>
      <c r="E859" s="2" t="s">
        <v>8678</v>
      </c>
      <c r="G859" s="3" t="s">
        <v>63</v>
      </c>
      <c r="I859" s="3" t="s">
        <v>63</v>
      </c>
      <c r="J859" s="3" t="s">
        <v>63</v>
      </c>
      <c r="K859" s="3" t="s">
        <v>64</v>
      </c>
      <c r="L859" s="2" t="s">
        <v>8679</v>
      </c>
      <c r="M859" s="2" t="s">
        <v>8680</v>
      </c>
      <c r="N859" s="3" t="s">
        <v>130</v>
      </c>
      <c r="P859" s="3" t="s">
        <v>66</v>
      </c>
      <c r="Q859" s="2" t="s">
        <v>8681</v>
      </c>
      <c r="R859" s="3" t="s">
        <v>67</v>
      </c>
      <c r="S859" s="4">
        <v>1</v>
      </c>
      <c r="T859" s="4">
        <v>1</v>
      </c>
      <c r="U859" s="5" t="s">
        <v>8682</v>
      </c>
      <c r="V859" s="5" t="s">
        <v>8682</v>
      </c>
      <c r="W859" s="5" t="s">
        <v>69</v>
      </c>
      <c r="X859" s="5" t="s">
        <v>69</v>
      </c>
      <c r="Y859" s="4">
        <v>99</v>
      </c>
      <c r="Z859" s="4">
        <v>8</v>
      </c>
      <c r="AA859" s="4">
        <v>75</v>
      </c>
      <c r="AB859" s="4">
        <v>1</v>
      </c>
      <c r="AC859" s="4">
        <v>14</v>
      </c>
      <c r="AD859" s="4">
        <v>36</v>
      </c>
      <c r="AE859" s="4">
        <v>110</v>
      </c>
      <c r="AF859" s="4">
        <v>0</v>
      </c>
      <c r="AG859" s="4">
        <v>8</v>
      </c>
      <c r="AH859" s="4">
        <v>33</v>
      </c>
      <c r="AI859" s="4">
        <v>79</v>
      </c>
      <c r="AJ859" s="4">
        <v>4</v>
      </c>
      <c r="AK859" s="4">
        <v>20</v>
      </c>
      <c r="AL859" s="4">
        <v>22</v>
      </c>
      <c r="AM859" s="4">
        <v>43</v>
      </c>
      <c r="AN859" s="4">
        <v>0</v>
      </c>
      <c r="AO859" s="4">
        <v>0</v>
      </c>
      <c r="AP859" s="4">
        <v>5</v>
      </c>
      <c r="AQ859" s="4">
        <v>37</v>
      </c>
      <c r="AR859" s="3" t="s">
        <v>63</v>
      </c>
      <c r="AS859" s="3" t="s">
        <v>63</v>
      </c>
      <c r="AT859" s="3" t="s">
        <v>63</v>
      </c>
      <c r="AV859" s="6" t="str">
        <f>HYPERLINK("http://mcgill.on.worldcat.org/oclc/849801318","Catalog Record")</f>
        <v>Catalog Record</v>
      </c>
      <c r="AW859" s="6" t="str">
        <f>HYPERLINK("http://www.worldcat.org/oclc/849801318","WorldCat Record")</f>
        <v>WorldCat Record</v>
      </c>
      <c r="AX859" s="3" t="s">
        <v>8683</v>
      </c>
      <c r="AY859" s="3" t="s">
        <v>8684</v>
      </c>
      <c r="AZ859" s="3" t="s">
        <v>8685</v>
      </c>
      <c r="BA859" s="3" t="s">
        <v>8685</v>
      </c>
      <c r="BB859" s="3" t="s">
        <v>8686</v>
      </c>
      <c r="BC859" s="3" t="s">
        <v>82</v>
      </c>
      <c r="BD859" s="3" t="s">
        <v>70</v>
      </c>
      <c r="BE859" s="3" t="s">
        <v>8687</v>
      </c>
      <c r="BF859" s="3" t="s">
        <v>8686</v>
      </c>
      <c r="BG859" s="3" t="s">
        <v>8688</v>
      </c>
    </row>
    <row r="860" spans="1:59" ht="60" x14ac:dyDescent="0.25">
      <c r="A860" s="2" t="s">
        <v>59</v>
      </c>
      <c r="B860" s="2" t="s">
        <v>60</v>
      </c>
      <c r="C860" s="2" t="s">
        <v>8689</v>
      </c>
      <c r="D860" s="2" t="s">
        <v>8690</v>
      </c>
      <c r="E860" s="2" t="s">
        <v>8691</v>
      </c>
      <c r="G860" s="3" t="s">
        <v>63</v>
      </c>
      <c r="I860" s="3" t="s">
        <v>63</v>
      </c>
      <c r="J860" s="3" t="s">
        <v>63</v>
      </c>
      <c r="K860" s="3" t="s">
        <v>64</v>
      </c>
      <c r="L860" s="2" t="s">
        <v>8692</v>
      </c>
      <c r="M860" s="2" t="s">
        <v>8693</v>
      </c>
      <c r="N860" s="3" t="s">
        <v>130</v>
      </c>
      <c r="P860" s="3" t="s">
        <v>90</v>
      </c>
      <c r="R860" s="3" t="s">
        <v>67</v>
      </c>
      <c r="S860" s="4">
        <v>0</v>
      </c>
      <c r="T860" s="4">
        <v>0</v>
      </c>
      <c r="W860" s="5" t="s">
        <v>69</v>
      </c>
      <c r="X860" s="5" t="s">
        <v>69</v>
      </c>
      <c r="Y860" s="4">
        <v>27</v>
      </c>
      <c r="Z860" s="4">
        <v>2</v>
      </c>
      <c r="AA860" s="4">
        <v>2</v>
      </c>
      <c r="AB860" s="4">
        <v>1</v>
      </c>
      <c r="AC860" s="4">
        <v>1</v>
      </c>
      <c r="AD860" s="4">
        <v>22</v>
      </c>
      <c r="AE860" s="4">
        <v>22</v>
      </c>
      <c r="AF860" s="4">
        <v>0</v>
      </c>
      <c r="AG860" s="4">
        <v>0</v>
      </c>
      <c r="AH860" s="4">
        <v>21</v>
      </c>
      <c r="AI860" s="4">
        <v>21</v>
      </c>
      <c r="AJ860" s="4">
        <v>1</v>
      </c>
      <c r="AK860" s="4">
        <v>1</v>
      </c>
      <c r="AL860" s="4">
        <v>17</v>
      </c>
      <c r="AM860" s="4">
        <v>17</v>
      </c>
      <c r="AN860" s="4">
        <v>0</v>
      </c>
      <c r="AO860" s="4">
        <v>0</v>
      </c>
      <c r="AP860" s="4">
        <v>1</v>
      </c>
      <c r="AQ860" s="4">
        <v>1</v>
      </c>
      <c r="AR860" s="3" t="s">
        <v>63</v>
      </c>
      <c r="AS860" s="3" t="s">
        <v>63</v>
      </c>
      <c r="AT860" s="3" t="s">
        <v>63</v>
      </c>
      <c r="AV860" s="6" t="str">
        <f>HYPERLINK("http://mcgill.on.worldcat.org/oclc/855047990","Catalog Record")</f>
        <v>Catalog Record</v>
      </c>
      <c r="AW860" s="6" t="str">
        <f>HYPERLINK("http://www.worldcat.org/oclc/855047990","WorldCat Record")</f>
        <v>WorldCat Record</v>
      </c>
      <c r="AX860" s="3" t="s">
        <v>8694</v>
      </c>
      <c r="AY860" s="3" t="s">
        <v>8695</v>
      </c>
      <c r="AZ860" s="3" t="s">
        <v>8696</v>
      </c>
      <c r="BA860" s="3" t="s">
        <v>8696</v>
      </c>
      <c r="BB860" s="3" t="s">
        <v>8697</v>
      </c>
      <c r="BC860" s="3" t="s">
        <v>82</v>
      </c>
      <c r="BD860" s="3" t="s">
        <v>70</v>
      </c>
      <c r="BE860" s="3" t="s">
        <v>8698</v>
      </c>
      <c r="BF860" s="3" t="s">
        <v>8697</v>
      </c>
      <c r="BG860" s="3" t="s">
        <v>8699</v>
      </c>
    </row>
    <row r="861" spans="1:59" ht="60" x14ac:dyDescent="0.25">
      <c r="A861" s="2" t="s">
        <v>59</v>
      </c>
      <c r="B861" s="2" t="s">
        <v>60</v>
      </c>
      <c r="C861" s="2" t="s">
        <v>8700</v>
      </c>
      <c r="D861" s="2" t="s">
        <v>8701</v>
      </c>
      <c r="E861" s="2" t="s">
        <v>8702</v>
      </c>
      <c r="G861" s="3" t="s">
        <v>63</v>
      </c>
      <c r="I861" s="3" t="s">
        <v>63</v>
      </c>
      <c r="J861" s="3" t="s">
        <v>62</v>
      </c>
      <c r="K861" s="3" t="s">
        <v>64</v>
      </c>
      <c r="L861" s="2" t="s">
        <v>8703</v>
      </c>
      <c r="M861" s="2" t="s">
        <v>8704</v>
      </c>
      <c r="N861" s="3" t="s">
        <v>401</v>
      </c>
      <c r="O861" s="2" t="s">
        <v>8705</v>
      </c>
      <c r="P861" s="3" t="s">
        <v>90</v>
      </c>
      <c r="R861" s="3" t="s">
        <v>67</v>
      </c>
      <c r="S861" s="4">
        <v>8</v>
      </c>
      <c r="T861" s="4">
        <v>8</v>
      </c>
      <c r="U861" s="5" t="s">
        <v>8645</v>
      </c>
      <c r="V861" s="5" t="s">
        <v>8645</v>
      </c>
      <c r="W861" s="5" t="s">
        <v>69</v>
      </c>
      <c r="X861" s="5" t="s">
        <v>69</v>
      </c>
      <c r="Y861" s="4">
        <v>1</v>
      </c>
      <c r="Z861" s="4">
        <v>1</v>
      </c>
      <c r="AA861" s="4">
        <v>1</v>
      </c>
      <c r="AB861" s="4">
        <v>1</v>
      </c>
      <c r="AC861" s="4">
        <v>1</v>
      </c>
      <c r="AD861" s="4">
        <v>0</v>
      </c>
      <c r="AE861" s="4">
        <v>13</v>
      </c>
      <c r="AF861" s="4">
        <v>0</v>
      </c>
      <c r="AG861" s="4">
        <v>0</v>
      </c>
      <c r="AH861" s="4">
        <v>0</v>
      </c>
      <c r="AI861" s="4">
        <v>12</v>
      </c>
      <c r="AJ861" s="4">
        <v>0</v>
      </c>
      <c r="AK861" s="4">
        <v>0</v>
      </c>
      <c r="AL861" s="4">
        <v>0</v>
      </c>
      <c r="AM861" s="4">
        <v>10</v>
      </c>
      <c r="AN861" s="4">
        <v>0</v>
      </c>
      <c r="AO861" s="4">
        <v>0</v>
      </c>
      <c r="AP861" s="4">
        <v>0</v>
      </c>
      <c r="AQ861" s="4">
        <v>0</v>
      </c>
      <c r="AR861" s="3" t="s">
        <v>63</v>
      </c>
      <c r="AS861" s="3" t="s">
        <v>63</v>
      </c>
      <c r="AT861" s="3" t="s">
        <v>63</v>
      </c>
      <c r="AV861" s="6" t="str">
        <f>HYPERLINK("http://mcgill.on.worldcat.org/oclc/61591986","Catalog Record")</f>
        <v>Catalog Record</v>
      </c>
      <c r="AW861" s="6" t="str">
        <f>HYPERLINK("http://www.worldcat.org/oclc/61591986","WorldCat Record")</f>
        <v>WorldCat Record</v>
      </c>
      <c r="AX861" s="3" t="s">
        <v>8706</v>
      </c>
      <c r="AY861" s="3" t="s">
        <v>8707</v>
      </c>
      <c r="AZ861" s="3" t="s">
        <v>8708</v>
      </c>
      <c r="BA861" s="3" t="s">
        <v>8708</v>
      </c>
      <c r="BB861" s="3" t="s">
        <v>8709</v>
      </c>
      <c r="BC861" s="3" t="s">
        <v>82</v>
      </c>
      <c r="BD861" s="3" t="s">
        <v>70</v>
      </c>
      <c r="BF861" s="3" t="s">
        <v>8709</v>
      </c>
      <c r="BG861" s="3" t="s">
        <v>8710</v>
      </c>
    </row>
    <row r="862" spans="1:59" ht="75" x14ac:dyDescent="0.25">
      <c r="A862" s="2" t="s">
        <v>59</v>
      </c>
      <c r="B862" s="2" t="s">
        <v>60</v>
      </c>
      <c r="C862" s="2" t="s">
        <v>8711</v>
      </c>
      <c r="D862" s="2" t="s">
        <v>8712</v>
      </c>
      <c r="E862" s="2" t="s">
        <v>8713</v>
      </c>
      <c r="G862" s="3" t="s">
        <v>63</v>
      </c>
      <c r="I862" s="3" t="s">
        <v>63</v>
      </c>
      <c r="J862" s="3" t="s">
        <v>63</v>
      </c>
      <c r="K862" s="3" t="s">
        <v>64</v>
      </c>
      <c r="M862" s="2" t="s">
        <v>8714</v>
      </c>
      <c r="N862" s="3" t="s">
        <v>287</v>
      </c>
      <c r="P862" s="3" t="s">
        <v>66</v>
      </c>
      <c r="Q862" s="2" t="s">
        <v>8715</v>
      </c>
      <c r="R862" s="3" t="s">
        <v>67</v>
      </c>
      <c r="S862" s="4">
        <v>5</v>
      </c>
      <c r="T862" s="4">
        <v>5</v>
      </c>
      <c r="U862" s="5" t="s">
        <v>8716</v>
      </c>
      <c r="V862" s="5" t="s">
        <v>8716</v>
      </c>
      <c r="W862" s="5" t="s">
        <v>69</v>
      </c>
      <c r="X862" s="5" t="s">
        <v>69</v>
      </c>
      <c r="Y862" s="4">
        <v>56</v>
      </c>
      <c r="Z862" s="4">
        <v>5</v>
      </c>
      <c r="AA862" s="4">
        <v>7</v>
      </c>
      <c r="AB862" s="4">
        <v>1</v>
      </c>
      <c r="AC862" s="4">
        <v>3</v>
      </c>
      <c r="AD862" s="4">
        <v>35</v>
      </c>
      <c r="AE862" s="4">
        <v>35</v>
      </c>
      <c r="AF862" s="4">
        <v>0</v>
      </c>
      <c r="AG862" s="4">
        <v>0</v>
      </c>
      <c r="AH862" s="4">
        <v>32</v>
      </c>
      <c r="AI862" s="4">
        <v>32</v>
      </c>
      <c r="AJ862" s="4">
        <v>3</v>
      </c>
      <c r="AK862" s="4">
        <v>3</v>
      </c>
      <c r="AL862" s="4">
        <v>26</v>
      </c>
      <c r="AM862" s="4">
        <v>26</v>
      </c>
      <c r="AN862" s="4">
        <v>0</v>
      </c>
      <c r="AO862" s="4">
        <v>0</v>
      </c>
      <c r="AP862" s="4">
        <v>3</v>
      </c>
      <c r="AQ862" s="4">
        <v>3</v>
      </c>
      <c r="AR862" s="3" t="s">
        <v>63</v>
      </c>
      <c r="AS862" s="3" t="s">
        <v>63</v>
      </c>
      <c r="AT862" s="3" t="s">
        <v>63</v>
      </c>
      <c r="AV862" s="6" t="str">
        <f>HYPERLINK("http://mcgill.on.worldcat.org/oclc/1029097595","Catalog Record")</f>
        <v>Catalog Record</v>
      </c>
      <c r="AW862" s="6" t="str">
        <f>HYPERLINK("http://www.worldcat.org/oclc/1029097595","WorldCat Record")</f>
        <v>WorldCat Record</v>
      </c>
      <c r="AX862" s="3" t="s">
        <v>8717</v>
      </c>
      <c r="AY862" s="3" t="s">
        <v>8718</v>
      </c>
      <c r="AZ862" s="3" t="s">
        <v>8719</v>
      </c>
      <c r="BA862" s="3" t="s">
        <v>8719</v>
      </c>
      <c r="BB862" s="3" t="s">
        <v>8720</v>
      </c>
      <c r="BC862" s="3" t="s">
        <v>82</v>
      </c>
      <c r="BD862" s="3" t="s">
        <v>70</v>
      </c>
      <c r="BE862" s="3" t="s">
        <v>8721</v>
      </c>
      <c r="BF862" s="3" t="s">
        <v>8720</v>
      </c>
      <c r="BG862" s="3" t="s">
        <v>8722</v>
      </c>
    </row>
    <row r="863" spans="1:59" ht="60" x14ac:dyDescent="0.25">
      <c r="A863" s="2" t="s">
        <v>59</v>
      </c>
      <c r="B863" s="2" t="s">
        <v>60</v>
      </c>
      <c r="C863" s="2" t="s">
        <v>8723</v>
      </c>
      <c r="D863" s="2" t="s">
        <v>8724</v>
      </c>
      <c r="E863" s="2" t="s">
        <v>8725</v>
      </c>
      <c r="G863" s="3" t="s">
        <v>63</v>
      </c>
      <c r="I863" s="3" t="s">
        <v>63</v>
      </c>
      <c r="J863" s="3" t="s">
        <v>63</v>
      </c>
      <c r="K863" s="3" t="s">
        <v>64</v>
      </c>
      <c r="M863" s="2" t="s">
        <v>8726</v>
      </c>
      <c r="N863" s="3" t="s">
        <v>1113</v>
      </c>
      <c r="O863" s="2" t="s">
        <v>590</v>
      </c>
      <c r="P863" s="3" t="s">
        <v>66</v>
      </c>
      <c r="R863" s="3" t="s">
        <v>67</v>
      </c>
      <c r="S863" s="4">
        <v>13</v>
      </c>
      <c r="T863" s="4">
        <v>13</v>
      </c>
      <c r="U863" s="5" t="s">
        <v>8727</v>
      </c>
      <c r="V863" s="5" t="s">
        <v>8727</v>
      </c>
      <c r="W863" s="5" t="s">
        <v>69</v>
      </c>
      <c r="X863" s="5" t="s">
        <v>69</v>
      </c>
      <c r="Y863" s="4">
        <v>223</v>
      </c>
      <c r="Z863" s="4">
        <v>18</v>
      </c>
      <c r="AA863" s="4">
        <v>19</v>
      </c>
      <c r="AB863" s="4">
        <v>2</v>
      </c>
      <c r="AC863" s="4">
        <v>3</v>
      </c>
      <c r="AD863" s="4">
        <v>76</v>
      </c>
      <c r="AE863" s="4">
        <v>79</v>
      </c>
      <c r="AF863" s="4">
        <v>1</v>
      </c>
      <c r="AG863" s="4">
        <v>2</v>
      </c>
      <c r="AH863" s="4">
        <v>67</v>
      </c>
      <c r="AI863" s="4">
        <v>69</v>
      </c>
      <c r="AJ863" s="4">
        <v>12</v>
      </c>
      <c r="AK863" s="4">
        <v>13</v>
      </c>
      <c r="AL863" s="4">
        <v>46</v>
      </c>
      <c r="AM863" s="4">
        <v>47</v>
      </c>
      <c r="AN863" s="4">
        <v>0</v>
      </c>
      <c r="AO863" s="4">
        <v>0</v>
      </c>
      <c r="AP863" s="4">
        <v>14</v>
      </c>
      <c r="AQ863" s="4">
        <v>14</v>
      </c>
      <c r="AR863" s="3" t="s">
        <v>63</v>
      </c>
      <c r="AS863" s="3" t="s">
        <v>63</v>
      </c>
      <c r="AT863" s="3" t="s">
        <v>62</v>
      </c>
      <c r="AU863" s="6" t="str">
        <f>HYPERLINK("http://catalog.hathitrust.org/Record/005036882","HathiTrust Record")</f>
        <v>HathiTrust Record</v>
      </c>
      <c r="AV863" s="6" t="str">
        <f>HYPERLINK("http://mcgill.on.worldcat.org/oclc/34878850","Catalog Record")</f>
        <v>Catalog Record</v>
      </c>
      <c r="AW863" s="6" t="str">
        <f>HYPERLINK("http://www.worldcat.org/oclc/34878850","WorldCat Record")</f>
        <v>WorldCat Record</v>
      </c>
      <c r="AX863" s="3" t="s">
        <v>8728</v>
      </c>
      <c r="AY863" s="3" t="s">
        <v>8729</v>
      </c>
      <c r="AZ863" s="3" t="s">
        <v>8730</v>
      </c>
      <c r="BA863" s="3" t="s">
        <v>8730</v>
      </c>
      <c r="BB863" s="3" t="s">
        <v>8731</v>
      </c>
      <c r="BC863" s="3" t="s">
        <v>82</v>
      </c>
      <c r="BD863" s="3" t="s">
        <v>70</v>
      </c>
      <c r="BE863" s="3" t="s">
        <v>8732</v>
      </c>
      <c r="BF863" s="3" t="s">
        <v>8731</v>
      </c>
      <c r="BG863" s="3" t="s">
        <v>8733</v>
      </c>
    </row>
    <row r="864" spans="1:59" ht="75" x14ac:dyDescent="0.25">
      <c r="A864" s="2" t="s">
        <v>59</v>
      </c>
      <c r="B864" s="2" t="s">
        <v>60</v>
      </c>
      <c r="C864" s="2" t="s">
        <v>8734</v>
      </c>
      <c r="D864" s="2" t="s">
        <v>8735</v>
      </c>
      <c r="E864" s="2" t="s">
        <v>8736</v>
      </c>
      <c r="G864" s="3" t="s">
        <v>63</v>
      </c>
      <c r="I864" s="3" t="s">
        <v>63</v>
      </c>
      <c r="J864" s="3" t="s">
        <v>63</v>
      </c>
      <c r="K864" s="3" t="s">
        <v>64</v>
      </c>
      <c r="M864" s="2" t="s">
        <v>8737</v>
      </c>
      <c r="N864" s="3" t="s">
        <v>2765</v>
      </c>
      <c r="P864" s="3" t="s">
        <v>90</v>
      </c>
      <c r="Q864" s="2" t="s">
        <v>8738</v>
      </c>
      <c r="R864" s="3" t="s">
        <v>67</v>
      </c>
      <c r="S864" s="4">
        <v>4</v>
      </c>
      <c r="T864" s="4">
        <v>4</v>
      </c>
      <c r="U864" s="5" t="s">
        <v>4911</v>
      </c>
      <c r="V864" s="5" t="s">
        <v>4911</v>
      </c>
      <c r="W864" s="5" t="s">
        <v>69</v>
      </c>
      <c r="X864" s="5" t="s">
        <v>69</v>
      </c>
      <c r="Y864" s="4">
        <v>28</v>
      </c>
      <c r="Z864" s="4">
        <v>6</v>
      </c>
      <c r="AA864" s="4">
        <v>6</v>
      </c>
      <c r="AB864" s="4">
        <v>1</v>
      </c>
      <c r="AC864" s="4">
        <v>1</v>
      </c>
      <c r="AD864" s="4">
        <v>15</v>
      </c>
      <c r="AE864" s="4">
        <v>15</v>
      </c>
      <c r="AF864" s="4">
        <v>0</v>
      </c>
      <c r="AG864" s="4">
        <v>0</v>
      </c>
      <c r="AH864" s="4">
        <v>15</v>
      </c>
      <c r="AI864" s="4">
        <v>15</v>
      </c>
      <c r="AJ864" s="4">
        <v>3</v>
      </c>
      <c r="AK864" s="4">
        <v>3</v>
      </c>
      <c r="AL864" s="4">
        <v>8</v>
      </c>
      <c r="AM864" s="4">
        <v>8</v>
      </c>
      <c r="AN864" s="4">
        <v>0</v>
      </c>
      <c r="AO864" s="4">
        <v>0</v>
      </c>
      <c r="AP864" s="4">
        <v>3</v>
      </c>
      <c r="AQ864" s="4">
        <v>3</v>
      </c>
      <c r="AR864" s="3" t="s">
        <v>63</v>
      </c>
      <c r="AS864" s="3" t="s">
        <v>63</v>
      </c>
      <c r="AT864" s="3" t="s">
        <v>63</v>
      </c>
      <c r="AV864" s="6" t="str">
        <f>HYPERLINK("http://mcgill.on.worldcat.org/oclc/936377109","Catalog Record")</f>
        <v>Catalog Record</v>
      </c>
      <c r="AW864" s="6" t="str">
        <f>HYPERLINK("http://www.worldcat.org/oclc/936377109","WorldCat Record")</f>
        <v>WorldCat Record</v>
      </c>
      <c r="AX864" s="3" t="s">
        <v>8739</v>
      </c>
      <c r="AY864" s="3" t="s">
        <v>8740</v>
      </c>
      <c r="AZ864" s="3" t="s">
        <v>8741</v>
      </c>
      <c r="BA864" s="3" t="s">
        <v>8741</v>
      </c>
      <c r="BB864" s="3" t="s">
        <v>8742</v>
      </c>
      <c r="BC864" s="3" t="s">
        <v>82</v>
      </c>
      <c r="BD864" s="3" t="s">
        <v>70</v>
      </c>
      <c r="BE864" s="3" t="s">
        <v>8743</v>
      </c>
      <c r="BF864" s="3" t="s">
        <v>8742</v>
      </c>
      <c r="BG864" s="3" t="s">
        <v>8744</v>
      </c>
    </row>
    <row r="865" spans="1:59" ht="60" x14ac:dyDescent="0.25">
      <c r="A865" s="2" t="s">
        <v>59</v>
      </c>
      <c r="B865" s="2" t="s">
        <v>60</v>
      </c>
      <c r="C865" s="2" t="s">
        <v>8745</v>
      </c>
      <c r="D865" s="2" t="s">
        <v>8746</v>
      </c>
      <c r="E865" s="2" t="s">
        <v>8747</v>
      </c>
      <c r="G865" s="3" t="s">
        <v>63</v>
      </c>
      <c r="I865" s="3" t="s">
        <v>63</v>
      </c>
      <c r="J865" s="3" t="s">
        <v>63</v>
      </c>
      <c r="K865" s="3" t="s">
        <v>64</v>
      </c>
      <c r="L865" s="2" t="s">
        <v>8748</v>
      </c>
      <c r="M865" s="2" t="s">
        <v>8749</v>
      </c>
      <c r="N865" s="3" t="s">
        <v>76</v>
      </c>
      <c r="P865" s="3" t="s">
        <v>66</v>
      </c>
      <c r="Q865" s="2" t="s">
        <v>8750</v>
      </c>
      <c r="R865" s="3" t="s">
        <v>67</v>
      </c>
      <c r="S865" s="4">
        <v>1</v>
      </c>
      <c r="T865" s="4">
        <v>1</v>
      </c>
      <c r="U865" s="5" t="s">
        <v>8751</v>
      </c>
      <c r="V865" s="5" t="s">
        <v>8751</v>
      </c>
      <c r="W865" s="5" t="s">
        <v>69</v>
      </c>
      <c r="X865" s="5" t="s">
        <v>69</v>
      </c>
      <c r="Y865" s="4">
        <v>124</v>
      </c>
      <c r="Z865" s="4">
        <v>8</v>
      </c>
      <c r="AA865" s="4">
        <v>11</v>
      </c>
      <c r="AB865" s="4">
        <v>1</v>
      </c>
      <c r="AC865" s="4">
        <v>3</v>
      </c>
      <c r="AD865" s="4">
        <v>59</v>
      </c>
      <c r="AE865" s="4">
        <v>60</v>
      </c>
      <c r="AF865" s="4">
        <v>0</v>
      </c>
      <c r="AG865" s="4">
        <v>0</v>
      </c>
      <c r="AH865" s="4">
        <v>55</v>
      </c>
      <c r="AI865" s="4">
        <v>55</v>
      </c>
      <c r="AJ865" s="4">
        <v>5</v>
      </c>
      <c r="AK865" s="4">
        <v>5</v>
      </c>
      <c r="AL865" s="4">
        <v>41</v>
      </c>
      <c r="AM865" s="4">
        <v>41</v>
      </c>
      <c r="AN865" s="4">
        <v>0</v>
      </c>
      <c r="AO865" s="4">
        <v>0</v>
      </c>
      <c r="AP865" s="4">
        <v>5</v>
      </c>
      <c r="AQ865" s="4">
        <v>6</v>
      </c>
      <c r="AR865" s="3" t="s">
        <v>63</v>
      </c>
      <c r="AS865" s="3" t="s">
        <v>63</v>
      </c>
      <c r="AT865" s="3" t="s">
        <v>63</v>
      </c>
      <c r="AV865" s="6" t="str">
        <f>HYPERLINK("http://mcgill.on.worldcat.org/oclc/751804972","Catalog Record")</f>
        <v>Catalog Record</v>
      </c>
      <c r="AW865" s="6" t="str">
        <f>HYPERLINK("http://www.worldcat.org/oclc/751804972","WorldCat Record")</f>
        <v>WorldCat Record</v>
      </c>
      <c r="AX865" s="3" t="s">
        <v>8752</v>
      </c>
      <c r="AY865" s="3" t="s">
        <v>8753</v>
      </c>
      <c r="AZ865" s="3" t="s">
        <v>8754</v>
      </c>
      <c r="BA865" s="3" t="s">
        <v>8754</v>
      </c>
      <c r="BB865" s="3" t="s">
        <v>8755</v>
      </c>
      <c r="BC865" s="3" t="s">
        <v>82</v>
      </c>
      <c r="BD865" s="3" t="s">
        <v>70</v>
      </c>
      <c r="BE865" s="3" t="s">
        <v>8756</v>
      </c>
      <c r="BF865" s="3" t="s">
        <v>8755</v>
      </c>
      <c r="BG865" s="3" t="s">
        <v>8757</v>
      </c>
    </row>
    <row r="866" spans="1:59" ht="90" x14ac:dyDescent="0.25">
      <c r="A866" s="2" t="s">
        <v>59</v>
      </c>
      <c r="B866" s="2" t="s">
        <v>60</v>
      </c>
      <c r="C866" s="2" t="s">
        <v>8758</v>
      </c>
      <c r="D866" s="2" t="s">
        <v>8759</v>
      </c>
      <c r="E866" s="2" t="s">
        <v>8760</v>
      </c>
      <c r="F866" s="3" t="s">
        <v>4181</v>
      </c>
      <c r="G866" s="3" t="s">
        <v>62</v>
      </c>
      <c r="I866" s="3" t="s">
        <v>63</v>
      </c>
      <c r="J866" s="3" t="s">
        <v>63</v>
      </c>
      <c r="K866" s="3" t="s">
        <v>64</v>
      </c>
      <c r="M866" s="2" t="s">
        <v>8761</v>
      </c>
      <c r="N866" s="3" t="s">
        <v>261</v>
      </c>
      <c r="P866" s="3" t="s">
        <v>66</v>
      </c>
      <c r="R866" s="3" t="s">
        <v>67</v>
      </c>
      <c r="S866" s="4">
        <v>2</v>
      </c>
      <c r="T866" s="4">
        <v>4</v>
      </c>
      <c r="U866" s="5" t="s">
        <v>8682</v>
      </c>
      <c r="V866" s="5" t="s">
        <v>8682</v>
      </c>
      <c r="W866" s="5" t="s">
        <v>69</v>
      </c>
      <c r="X866" s="5" t="s">
        <v>69</v>
      </c>
      <c r="Y866" s="4">
        <v>306</v>
      </c>
      <c r="Z866" s="4">
        <v>18</v>
      </c>
      <c r="AA866" s="4">
        <v>20</v>
      </c>
      <c r="AB866" s="4">
        <v>1</v>
      </c>
      <c r="AC866" s="4">
        <v>3</v>
      </c>
      <c r="AD866" s="4">
        <v>82</v>
      </c>
      <c r="AE866" s="4">
        <v>84</v>
      </c>
      <c r="AF866" s="4">
        <v>0</v>
      </c>
      <c r="AG866" s="4">
        <v>0</v>
      </c>
      <c r="AH866" s="4">
        <v>74</v>
      </c>
      <c r="AI866" s="4">
        <v>76</v>
      </c>
      <c r="AJ866" s="4">
        <v>13</v>
      </c>
      <c r="AK866" s="4">
        <v>13</v>
      </c>
      <c r="AL866" s="4">
        <v>46</v>
      </c>
      <c r="AM866" s="4">
        <v>46</v>
      </c>
      <c r="AN866" s="4">
        <v>0</v>
      </c>
      <c r="AO866" s="4">
        <v>0</v>
      </c>
      <c r="AP866" s="4">
        <v>14</v>
      </c>
      <c r="AQ866" s="4">
        <v>14</v>
      </c>
      <c r="AR866" s="3" t="s">
        <v>63</v>
      </c>
      <c r="AS866" s="3" t="s">
        <v>63</v>
      </c>
      <c r="AT866" s="3" t="s">
        <v>62</v>
      </c>
      <c r="AU866" s="6" t="str">
        <f>HYPERLINK("http://catalog.hathitrust.org/Record/005116497","HathiTrust Record")</f>
        <v>HathiTrust Record</v>
      </c>
      <c r="AV866" s="6" t="str">
        <f>HYPERLINK("http://mcgill.on.worldcat.org/oclc/60188739","Catalog Record")</f>
        <v>Catalog Record</v>
      </c>
      <c r="AW866" s="6" t="str">
        <f>HYPERLINK("http://www.worldcat.org/oclc/60188739","WorldCat Record")</f>
        <v>WorldCat Record</v>
      </c>
      <c r="AX866" s="3" t="s">
        <v>8762</v>
      </c>
      <c r="AY866" s="3" t="s">
        <v>8763</v>
      </c>
      <c r="AZ866" s="3" t="s">
        <v>8764</v>
      </c>
      <c r="BA866" s="3" t="s">
        <v>8764</v>
      </c>
      <c r="BB866" s="3" t="s">
        <v>8765</v>
      </c>
      <c r="BC866" s="3" t="s">
        <v>82</v>
      </c>
      <c r="BD866" s="3" t="s">
        <v>70</v>
      </c>
      <c r="BE866" s="3" t="s">
        <v>8766</v>
      </c>
      <c r="BF866" s="3" t="s">
        <v>8765</v>
      </c>
      <c r="BG866" s="3" t="s">
        <v>8767</v>
      </c>
    </row>
    <row r="867" spans="1:59" ht="90" x14ac:dyDescent="0.25">
      <c r="A867" s="2" t="s">
        <v>59</v>
      </c>
      <c r="B867" s="2" t="s">
        <v>60</v>
      </c>
      <c r="C867" s="2" t="s">
        <v>8758</v>
      </c>
      <c r="D867" s="2" t="s">
        <v>8759</v>
      </c>
      <c r="E867" s="2" t="s">
        <v>8760</v>
      </c>
      <c r="F867" s="3" t="s">
        <v>2601</v>
      </c>
      <c r="G867" s="3" t="s">
        <v>62</v>
      </c>
      <c r="I867" s="3" t="s">
        <v>63</v>
      </c>
      <c r="J867" s="3" t="s">
        <v>63</v>
      </c>
      <c r="K867" s="3" t="s">
        <v>64</v>
      </c>
      <c r="M867" s="2" t="s">
        <v>8761</v>
      </c>
      <c r="N867" s="3" t="s">
        <v>261</v>
      </c>
      <c r="P867" s="3" t="s">
        <v>66</v>
      </c>
      <c r="R867" s="3" t="s">
        <v>67</v>
      </c>
      <c r="S867" s="4">
        <v>2</v>
      </c>
      <c r="T867" s="4">
        <v>4</v>
      </c>
      <c r="U867" s="5" t="s">
        <v>8768</v>
      </c>
      <c r="V867" s="5" t="s">
        <v>8682</v>
      </c>
      <c r="W867" s="5" t="s">
        <v>69</v>
      </c>
      <c r="X867" s="5" t="s">
        <v>69</v>
      </c>
      <c r="Y867" s="4">
        <v>306</v>
      </c>
      <c r="Z867" s="4">
        <v>18</v>
      </c>
      <c r="AA867" s="4">
        <v>20</v>
      </c>
      <c r="AB867" s="4">
        <v>1</v>
      </c>
      <c r="AC867" s="4">
        <v>3</v>
      </c>
      <c r="AD867" s="4">
        <v>82</v>
      </c>
      <c r="AE867" s="4">
        <v>84</v>
      </c>
      <c r="AF867" s="4">
        <v>0</v>
      </c>
      <c r="AG867" s="4">
        <v>0</v>
      </c>
      <c r="AH867" s="4">
        <v>74</v>
      </c>
      <c r="AI867" s="4">
        <v>76</v>
      </c>
      <c r="AJ867" s="4">
        <v>13</v>
      </c>
      <c r="AK867" s="4">
        <v>13</v>
      </c>
      <c r="AL867" s="4">
        <v>46</v>
      </c>
      <c r="AM867" s="4">
        <v>46</v>
      </c>
      <c r="AN867" s="4">
        <v>0</v>
      </c>
      <c r="AO867" s="4">
        <v>0</v>
      </c>
      <c r="AP867" s="4">
        <v>14</v>
      </c>
      <c r="AQ867" s="4">
        <v>14</v>
      </c>
      <c r="AR867" s="3" t="s">
        <v>63</v>
      </c>
      <c r="AS867" s="3" t="s">
        <v>63</v>
      </c>
      <c r="AT867" s="3" t="s">
        <v>62</v>
      </c>
      <c r="AU867" s="6" t="str">
        <f>HYPERLINK("http://catalog.hathitrust.org/Record/005116497","HathiTrust Record")</f>
        <v>HathiTrust Record</v>
      </c>
      <c r="AV867" s="6" t="str">
        <f>HYPERLINK("http://mcgill.on.worldcat.org/oclc/60188739","Catalog Record")</f>
        <v>Catalog Record</v>
      </c>
      <c r="AW867" s="6" t="str">
        <f>HYPERLINK("http://www.worldcat.org/oclc/60188739","WorldCat Record")</f>
        <v>WorldCat Record</v>
      </c>
      <c r="AX867" s="3" t="s">
        <v>8762</v>
      </c>
      <c r="AY867" s="3" t="s">
        <v>8763</v>
      </c>
      <c r="AZ867" s="3" t="s">
        <v>8764</v>
      </c>
      <c r="BA867" s="3" t="s">
        <v>8764</v>
      </c>
      <c r="BB867" s="3" t="s">
        <v>8769</v>
      </c>
      <c r="BC867" s="3" t="s">
        <v>82</v>
      </c>
      <c r="BD867" s="3" t="s">
        <v>70</v>
      </c>
      <c r="BE867" s="3" t="s">
        <v>8766</v>
      </c>
      <c r="BF867" s="3" t="s">
        <v>8769</v>
      </c>
      <c r="BG867" s="3" t="s">
        <v>8770</v>
      </c>
    </row>
    <row r="868" spans="1:59" ht="60" x14ac:dyDescent="0.25">
      <c r="A868" s="2" t="s">
        <v>59</v>
      </c>
      <c r="B868" s="2" t="s">
        <v>60</v>
      </c>
      <c r="C868" s="2" t="s">
        <v>8771</v>
      </c>
      <c r="D868" s="2" t="s">
        <v>8772</v>
      </c>
      <c r="E868" s="2" t="s">
        <v>8773</v>
      </c>
      <c r="G868" s="3" t="s">
        <v>63</v>
      </c>
      <c r="I868" s="3" t="s">
        <v>63</v>
      </c>
      <c r="J868" s="3" t="s">
        <v>63</v>
      </c>
      <c r="K868" s="3" t="s">
        <v>64</v>
      </c>
      <c r="M868" s="2" t="s">
        <v>8774</v>
      </c>
      <c r="N868" s="3" t="s">
        <v>204</v>
      </c>
      <c r="P868" s="3" t="s">
        <v>66</v>
      </c>
      <c r="R868" s="3" t="s">
        <v>67</v>
      </c>
      <c r="S868" s="4">
        <v>48</v>
      </c>
      <c r="T868" s="4">
        <v>48</v>
      </c>
      <c r="U868" s="5" t="s">
        <v>8229</v>
      </c>
      <c r="V868" s="5" t="s">
        <v>8229</v>
      </c>
      <c r="W868" s="5" t="s">
        <v>69</v>
      </c>
      <c r="X868" s="5" t="s">
        <v>69</v>
      </c>
      <c r="Y868" s="4">
        <v>578</v>
      </c>
      <c r="Z868" s="4">
        <v>26</v>
      </c>
      <c r="AA868" s="4">
        <v>61</v>
      </c>
      <c r="AB868" s="4">
        <v>1</v>
      </c>
      <c r="AC868" s="4">
        <v>9</v>
      </c>
      <c r="AD868" s="4">
        <v>107</v>
      </c>
      <c r="AE868" s="4">
        <v>120</v>
      </c>
      <c r="AF868" s="4">
        <v>0</v>
      </c>
      <c r="AG868" s="4">
        <v>1</v>
      </c>
      <c r="AH868" s="4">
        <v>94</v>
      </c>
      <c r="AI868" s="4">
        <v>103</v>
      </c>
      <c r="AJ868" s="4">
        <v>17</v>
      </c>
      <c r="AK868" s="4">
        <v>19</v>
      </c>
      <c r="AL868" s="4">
        <v>48</v>
      </c>
      <c r="AM868" s="4">
        <v>53</v>
      </c>
      <c r="AN868" s="4">
        <v>0</v>
      </c>
      <c r="AO868" s="4">
        <v>0</v>
      </c>
      <c r="AP868" s="4">
        <v>20</v>
      </c>
      <c r="AQ868" s="4">
        <v>24</v>
      </c>
      <c r="AR868" s="3" t="s">
        <v>63</v>
      </c>
      <c r="AS868" s="3" t="s">
        <v>63</v>
      </c>
      <c r="AT868" s="3" t="s">
        <v>62</v>
      </c>
      <c r="AU868" s="6" t="str">
        <f>HYPERLINK("http://catalog.hathitrust.org/Record/003122420","HathiTrust Record")</f>
        <v>HathiTrust Record</v>
      </c>
      <c r="AV868" s="6" t="str">
        <f>HYPERLINK("http://mcgill.on.worldcat.org/oclc/33163107","Catalog Record")</f>
        <v>Catalog Record</v>
      </c>
      <c r="AW868" s="6" t="str">
        <f>HYPERLINK("http://www.worldcat.org/oclc/33163107","WorldCat Record")</f>
        <v>WorldCat Record</v>
      </c>
      <c r="AX868" s="3" t="s">
        <v>8775</v>
      </c>
      <c r="AY868" s="3" t="s">
        <v>8776</v>
      </c>
      <c r="AZ868" s="3" t="s">
        <v>8777</v>
      </c>
      <c r="BA868" s="3" t="s">
        <v>8777</v>
      </c>
      <c r="BB868" s="3" t="s">
        <v>8778</v>
      </c>
      <c r="BC868" s="3" t="s">
        <v>82</v>
      </c>
      <c r="BD868" s="3" t="s">
        <v>70</v>
      </c>
      <c r="BE868" s="3" t="s">
        <v>8779</v>
      </c>
      <c r="BF868" s="3" t="s">
        <v>8778</v>
      </c>
      <c r="BG868" s="3" t="s">
        <v>8780</v>
      </c>
    </row>
    <row r="869" spans="1:59" ht="60" x14ac:dyDescent="0.25">
      <c r="A869" s="2" t="s">
        <v>59</v>
      </c>
      <c r="B869" s="2" t="s">
        <v>60</v>
      </c>
      <c r="C869" s="2" t="s">
        <v>8781</v>
      </c>
      <c r="D869" s="2" t="s">
        <v>8782</v>
      </c>
      <c r="E869" s="2" t="s">
        <v>8783</v>
      </c>
      <c r="G869" s="3" t="s">
        <v>63</v>
      </c>
      <c r="I869" s="3" t="s">
        <v>63</v>
      </c>
      <c r="J869" s="3" t="s">
        <v>63</v>
      </c>
      <c r="K869" s="3" t="s">
        <v>64</v>
      </c>
      <c r="M869" s="2" t="s">
        <v>8784</v>
      </c>
      <c r="N869" s="3" t="s">
        <v>1023</v>
      </c>
      <c r="P869" s="3" t="s">
        <v>66</v>
      </c>
      <c r="R869" s="3" t="s">
        <v>67</v>
      </c>
      <c r="S869" s="4">
        <v>26</v>
      </c>
      <c r="T869" s="4">
        <v>26</v>
      </c>
      <c r="U869" s="5" t="s">
        <v>1690</v>
      </c>
      <c r="V869" s="5" t="s">
        <v>1690</v>
      </c>
      <c r="W869" s="5" t="s">
        <v>69</v>
      </c>
      <c r="X869" s="5" t="s">
        <v>69</v>
      </c>
      <c r="Y869" s="4">
        <v>591</v>
      </c>
      <c r="Z869" s="4">
        <v>27</v>
      </c>
      <c r="AA869" s="4">
        <v>30</v>
      </c>
      <c r="AB869" s="4">
        <v>1</v>
      </c>
      <c r="AC869" s="4">
        <v>2</v>
      </c>
      <c r="AD869" s="4">
        <v>118</v>
      </c>
      <c r="AE869" s="4">
        <v>121</v>
      </c>
      <c r="AF869" s="4">
        <v>0</v>
      </c>
      <c r="AG869" s="4">
        <v>1</v>
      </c>
      <c r="AH869" s="4">
        <v>105</v>
      </c>
      <c r="AI869" s="4">
        <v>108</v>
      </c>
      <c r="AJ869" s="4">
        <v>17</v>
      </c>
      <c r="AK869" s="4">
        <v>20</v>
      </c>
      <c r="AL869" s="4">
        <v>56</v>
      </c>
      <c r="AM869" s="4">
        <v>56</v>
      </c>
      <c r="AN869" s="4">
        <v>0</v>
      </c>
      <c r="AO869" s="4">
        <v>0</v>
      </c>
      <c r="AP869" s="4">
        <v>21</v>
      </c>
      <c r="AQ869" s="4">
        <v>24</v>
      </c>
      <c r="AR869" s="3" t="s">
        <v>63</v>
      </c>
      <c r="AS869" s="3" t="s">
        <v>63</v>
      </c>
      <c r="AT869" s="3" t="s">
        <v>62</v>
      </c>
      <c r="AU869" s="6" t="str">
        <f>HYPERLINK("http://catalog.hathitrust.org/Record/002891489","HathiTrust Record")</f>
        <v>HathiTrust Record</v>
      </c>
      <c r="AV869" s="6" t="str">
        <f>HYPERLINK("http://mcgill.on.worldcat.org/oclc/28422061","Catalog Record")</f>
        <v>Catalog Record</v>
      </c>
      <c r="AW869" s="6" t="str">
        <f>HYPERLINK("http://www.worldcat.org/oclc/28422061","WorldCat Record")</f>
        <v>WorldCat Record</v>
      </c>
      <c r="AX869" s="3" t="s">
        <v>8785</v>
      </c>
      <c r="AY869" s="3" t="s">
        <v>8786</v>
      </c>
      <c r="AZ869" s="3" t="s">
        <v>8787</v>
      </c>
      <c r="BA869" s="3" t="s">
        <v>8787</v>
      </c>
      <c r="BB869" s="3" t="s">
        <v>8788</v>
      </c>
      <c r="BC869" s="3" t="s">
        <v>82</v>
      </c>
      <c r="BD869" s="3" t="s">
        <v>538</v>
      </c>
      <c r="BE869" s="3" t="s">
        <v>8789</v>
      </c>
      <c r="BF869" s="3" t="s">
        <v>8788</v>
      </c>
      <c r="BG869" s="3" t="s">
        <v>8790</v>
      </c>
    </row>
    <row r="870" spans="1:59" ht="60" x14ac:dyDescent="0.25">
      <c r="A870" s="2" t="s">
        <v>59</v>
      </c>
      <c r="B870" s="2" t="s">
        <v>60</v>
      </c>
      <c r="C870" s="2" t="s">
        <v>8791</v>
      </c>
      <c r="D870" s="2" t="s">
        <v>8792</v>
      </c>
      <c r="E870" s="2" t="s">
        <v>8793</v>
      </c>
      <c r="G870" s="3" t="s">
        <v>63</v>
      </c>
      <c r="I870" s="3" t="s">
        <v>63</v>
      </c>
      <c r="J870" s="3" t="s">
        <v>63</v>
      </c>
      <c r="K870" s="3" t="s">
        <v>64</v>
      </c>
      <c r="M870" s="2" t="s">
        <v>8794</v>
      </c>
      <c r="N870" s="3" t="s">
        <v>731</v>
      </c>
      <c r="P870" s="3" t="s">
        <v>66</v>
      </c>
      <c r="R870" s="3" t="s">
        <v>67</v>
      </c>
      <c r="S870" s="4">
        <v>13</v>
      </c>
      <c r="T870" s="4">
        <v>13</v>
      </c>
      <c r="U870" s="5" t="s">
        <v>4990</v>
      </c>
      <c r="V870" s="5" t="s">
        <v>4990</v>
      </c>
      <c r="W870" s="5" t="s">
        <v>69</v>
      </c>
      <c r="X870" s="5" t="s">
        <v>69</v>
      </c>
      <c r="Y870" s="4">
        <v>580</v>
      </c>
      <c r="Z870" s="4">
        <v>35</v>
      </c>
      <c r="AA870" s="4">
        <v>35</v>
      </c>
      <c r="AB870" s="4">
        <v>3</v>
      </c>
      <c r="AC870" s="4">
        <v>3</v>
      </c>
      <c r="AD870" s="4">
        <v>113</v>
      </c>
      <c r="AE870" s="4">
        <v>113</v>
      </c>
      <c r="AF870" s="4">
        <v>1</v>
      </c>
      <c r="AG870" s="4">
        <v>1</v>
      </c>
      <c r="AH870" s="4">
        <v>95</v>
      </c>
      <c r="AI870" s="4">
        <v>95</v>
      </c>
      <c r="AJ870" s="4">
        <v>22</v>
      </c>
      <c r="AK870" s="4">
        <v>22</v>
      </c>
      <c r="AL870" s="4">
        <v>49</v>
      </c>
      <c r="AM870" s="4">
        <v>49</v>
      </c>
      <c r="AN870" s="4">
        <v>0</v>
      </c>
      <c r="AO870" s="4">
        <v>0</v>
      </c>
      <c r="AP870" s="4">
        <v>26</v>
      </c>
      <c r="AQ870" s="4">
        <v>26</v>
      </c>
      <c r="AR870" s="3" t="s">
        <v>63</v>
      </c>
      <c r="AS870" s="3" t="s">
        <v>63</v>
      </c>
      <c r="AT870" s="3" t="s">
        <v>62</v>
      </c>
      <c r="AU870" s="6" t="str">
        <f>HYPERLINK("http://catalog.hathitrust.org/Record/002937641","HathiTrust Record")</f>
        <v>HathiTrust Record</v>
      </c>
      <c r="AV870" s="6" t="str">
        <f>HYPERLINK("http://mcgill.on.worldcat.org/oclc/1848185","Catalog Record")</f>
        <v>Catalog Record</v>
      </c>
      <c r="AW870" s="6" t="str">
        <f>HYPERLINK("http://www.worldcat.org/oclc/1848185","WorldCat Record")</f>
        <v>WorldCat Record</v>
      </c>
      <c r="AX870" s="3" t="s">
        <v>8795</v>
      </c>
      <c r="AY870" s="3" t="s">
        <v>8796</v>
      </c>
      <c r="AZ870" s="3" t="s">
        <v>8797</v>
      </c>
      <c r="BA870" s="3" t="s">
        <v>8797</v>
      </c>
      <c r="BB870" s="3" t="s">
        <v>8798</v>
      </c>
      <c r="BC870" s="3" t="s">
        <v>82</v>
      </c>
      <c r="BD870" s="3" t="s">
        <v>70</v>
      </c>
      <c r="BF870" s="3" t="s">
        <v>8798</v>
      </c>
      <c r="BG870" s="3" t="s">
        <v>8799</v>
      </c>
    </row>
    <row r="871" spans="1:59" ht="60" x14ac:dyDescent="0.25">
      <c r="A871" s="2" t="s">
        <v>59</v>
      </c>
      <c r="B871" s="2" t="s">
        <v>60</v>
      </c>
      <c r="C871" s="2" t="s">
        <v>8800</v>
      </c>
      <c r="D871" s="2" t="s">
        <v>8801</v>
      </c>
      <c r="E871" s="2" t="s">
        <v>8802</v>
      </c>
      <c r="G871" s="3" t="s">
        <v>63</v>
      </c>
      <c r="I871" s="3" t="s">
        <v>63</v>
      </c>
      <c r="J871" s="3" t="s">
        <v>63</v>
      </c>
      <c r="K871" s="3" t="s">
        <v>64</v>
      </c>
      <c r="M871" s="2" t="s">
        <v>8803</v>
      </c>
      <c r="N871" s="3" t="s">
        <v>455</v>
      </c>
      <c r="P871" s="3" t="s">
        <v>66</v>
      </c>
      <c r="R871" s="3" t="s">
        <v>67</v>
      </c>
      <c r="S871" s="4">
        <v>25</v>
      </c>
      <c r="T871" s="4">
        <v>25</v>
      </c>
      <c r="U871" s="5" t="s">
        <v>8229</v>
      </c>
      <c r="V871" s="5" t="s">
        <v>8229</v>
      </c>
      <c r="W871" s="5" t="s">
        <v>69</v>
      </c>
      <c r="X871" s="5" t="s">
        <v>69</v>
      </c>
      <c r="Y871" s="4">
        <v>412</v>
      </c>
      <c r="Z871" s="4">
        <v>27</v>
      </c>
      <c r="AA871" s="4">
        <v>29</v>
      </c>
      <c r="AB871" s="4">
        <v>1</v>
      </c>
      <c r="AC871" s="4">
        <v>1</v>
      </c>
      <c r="AD871" s="4">
        <v>112</v>
      </c>
      <c r="AE871" s="4">
        <v>116</v>
      </c>
      <c r="AF871" s="4">
        <v>0</v>
      </c>
      <c r="AG871" s="4">
        <v>0</v>
      </c>
      <c r="AH871" s="4">
        <v>100</v>
      </c>
      <c r="AI871" s="4">
        <v>103</v>
      </c>
      <c r="AJ871" s="4">
        <v>18</v>
      </c>
      <c r="AK871" s="4">
        <v>20</v>
      </c>
      <c r="AL871" s="4">
        <v>56</v>
      </c>
      <c r="AM871" s="4">
        <v>57</v>
      </c>
      <c r="AN871" s="4">
        <v>0</v>
      </c>
      <c r="AO871" s="4">
        <v>0</v>
      </c>
      <c r="AP871" s="4">
        <v>19</v>
      </c>
      <c r="AQ871" s="4">
        <v>21</v>
      </c>
      <c r="AR871" s="3" t="s">
        <v>63</v>
      </c>
      <c r="AS871" s="3" t="s">
        <v>63</v>
      </c>
      <c r="AT871" s="3" t="s">
        <v>62</v>
      </c>
      <c r="AU871" s="6" t="str">
        <f>HYPERLINK("http://catalog.hathitrust.org/Record/000363881","HathiTrust Record")</f>
        <v>HathiTrust Record</v>
      </c>
      <c r="AV871" s="6" t="str">
        <f>HYPERLINK("http://mcgill.on.worldcat.org/oclc/9783475","Catalog Record")</f>
        <v>Catalog Record</v>
      </c>
      <c r="AW871" s="6" t="str">
        <f>HYPERLINK("http://www.worldcat.org/oclc/9783475","WorldCat Record")</f>
        <v>WorldCat Record</v>
      </c>
      <c r="AX871" s="3" t="s">
        <v>8804</v>
      </c>
      <c r="AY871" s="3" t="s">
        <v>8805</v>
      </c>
      <c r="AZ871" s="3" t="s">
        <v>8806</v>
      </c>
      <c r="BA871" s="3" t="s">
        <v>8806</v>
      </c>
      <c r="BB871" s="3" t="s">
        <v>8807</v>
      </c>
      <c r="BC871" s="3" t="s">
        <v>82</v>
      </c>
      <c r="BD871" s="3" t="s">
        <v>70</v>
      </c>
      <c r="BE871" s="3" t="s">
        <v>8808</v>
      </c>
      <c r="BF871" s="3" t="s">
        <v>8807</v>
      </c>
      <c r="BG871" s="3" t="s">
        <v>8809</v>
      </c>
    </row>
    <row r="872" spans="1:59" ht="60" x14ac:dyDescent="0.25">
      <c r="A872" s="2" t="s">
        <v>59</v>
      </c>
      <c r="B872" s="2" t="s">
        <v>60</v>
      </c>
      <c r="C872" s="2" t="s">
        <v>8810</v>
      </c>
      <c r="D872" s="2" t="s">
        <v>8811</v>
      </c>
      <c r="E872" s="2" t="s">
        <v>8812</v>
      </c>
      <c r="G872" s="3" t="s">
        <v>63</v>
      </c>
      <c r="I872" s="3" t="s">
        <v>63</v>
      </c>
      <c r="J872" s="3" t="s">
        <v>63</v>
      </c>
      <c r="K872" s="3" t="s">
        <v>64</v>
      </c>
      <c r="M872" s="2" t="s">
        <v>8813</v>
      </c>
      <c r="N872" s="3" t="s">
        <v>65</v>
      </c>
      <c r="O872" s="2" t="s">
        <v>8814</v>
      </c>
      <c r="P872" s="3" t="s">
        <v>66</v>
      </c>
      <c r="R872" s="3" t="s">
        <v>67</v>
      </c>
      <c r="S872" s="4">
        <v>9</v>
      </c>
      <c r="T872" s="4">
        <v>9</v>
      </c>
      <c r="U872" s="5" t="s">
        <v>8815</v>
      </c>
      <c r="V872" s="5" t="s">
        <v>8815</v>
      </c>
      <c r="W872" s="5" t="s">
        <v>69</v>
      </c>
      <c r="X872" s="5" t="s">
        <v>69</v>
      </c>
      <c r="Y872" s="4">
        <v>602</v>
      </c>
      <c r="Z872" s="4">
        <v>26</v>
      </c>
      <c r="AA872" s="4">
        <v>26</v>
      </c>
      <c r="AB872" s="4">
        <v>3</v>
      </c>
      <c r="AC872" s="4">
        <v>3</v>
      </c>
      <c r="AD872" s="4">
        <v>96</v>
      </c>
      <c r="AE872" s="4">
        <v>96</v>
      </c>
      <c r="AF872" s="4">
        <v>1</v>
      </c>
      <c r="AG872" s="4">
        <v>1</v>
      </c>
      <c r="AH872" s="4">
        <v>83</v>
      </c>
      <c r="AI872" s="4">
        <v>83</v>
      </c>
      <c r="AJ872" s="4">
        <v>15</v>
      </c>
      <c r="AK872" s="4">
        <v>15</v>
      </c>
      <c r="AL872" s="4">
        <v>47</v>
      </c>
      <c r="AM872" s="4">
        <v>47</v>
      </c>
      <c r="AN872" s="4">
        <v>0</v>
      </c>
      <c r="AO872" s="4">
        <v>0</v>
      </c>
      <c r="AP872" s="4">
        <v>18</v>
      </c>
      <c r="AQ872" s="4">
        <v>18</v>
      </c>
      <c r="AR872" s="3" t="s">
        <v>63</v>
      </c>
      <c r="AS872" s="3" t="s">
        <v>63</v>
      </c>
      <c r="AT872" s="3" t="s">
        <v>62</v>
      </c>
      <c r="AU872" s="6" t="str">
        <f>HYPERLINK("http://catalog.hathitrust.org/Record/000751183","HathiTrust Record")</f>
        <v>HathiTrust Record</v>
      </c>
      <c r="AV872" s="6" t="str">
        <f>HYPERLINK("http://mcgill.on.worldcat.org/oclc/3396213","Catalog Record")</f>
        <v>Catalog Record</v>
      </c>
      <c r="AW872" s="6" t="str">
        <f>HYPERLINK("http://www.worldcat.org/oclc/3396213","WorldCat Record")</f>
        <v>WorldCat Record</v>
      </c>
      <c r="AX872" s="3" t="s">
        <v>8816</v>
      </c>
      <c r="AY872" s="3" t="s">
        <v>8817</v>
      </c>
      <c r="AZ872" s="3" t="s">
        <v>8818</v>
      </c>
      <c r="BA872" s="3" t="s">
        <v>8818</v>
      </c>
      <c r="BB872" s="3" t="s">
        <v>8819</v>
      </c>
      <c r="BC872" s="3" t="s">
        <v>82</v>
      </c>
      <c r="BD872" s="3" t="s">
        <v>70</v>
      </c>
      <c r="BE872" s="3" t="s">
        <v>8820</v>
      </c>
      <c r="BF872" s="3" t="s">
        <v>8819</v>
      </c>
      <c r="BG872" s="3" t="s">
        <v>8821</v>
      </c>
    </row>
    <row r="873" spans="1:59" ht="60" x14ac:dyDescent="0.25">
      <c r="A873" s="2" t="s">
        <v>59</v>
      </c>
      <c r="B873" s="2" t="s">
        <v>60</v>
      </c>
      <c r="C873" s="2" t="s">
        <v>8822</v>
      </c>
      <c r="D873" s="2" t="s">
        <v>8823</v>
      </c>
      <c r="E873" s="2" t="s">
        <v>8824</v>
      </c>
      <c r="G873" s="3" t="s">
        <v>63</v>
      </c>
      <c r="I873" s="3" t="s">
        <v>62</v>
      </c>
      <c r="J873" s="3" t="s">
        <v>63</v>
      </c>
      <c r="K873" s="3" t="s">
        <v>64</v>
      </c>
      <c r="L873" s="2" t="s">
        <v>8825</v>
      </c>
      <c r="M873" s="2" t="s">
        <v>8826</v>
      </c>
      <c r="N873" s="3" t="s">
        <v>8827</v>
      </c>
      <c r="P873" s="3" t="s">
        <v>66</v>
      </c>
      <c r="R873" s="3" t="s">
        <v>67</v>
      </c>
      <c r="S873" s="4">
        <v>9</v>
      </c>
      <c r="T873" s="4">
        <v>17</v>
      </c>
      <c r="U873" s="5" t="s">
        <v>8828</v>
      </c>
      <c r="V873" s="5" t="s">
        <v>3885</v>
      </c>
      <c r="W873" s="5" t="s">
        <v>69</v>
      </c>
      <c r="X873" s="5" t="s">
        <v>69</v>
      </c>
      <c r="Y873" s="4">
        <v>502</v>
      </c>
      <c r="Z873" s="4">
        <v>15</v>
      </c>
      <c r="AA873" s="4">
        <v>16</v>
      </c>
      <c r="AB873" s="4">
        <v>1</v>
      </c>
      <c r="AC873" s="4">
        <v>2</v>
      </c>
      <c r="AD873" s="4">
        <v>95</v>
      </c>
      <c r="AE873" s="4">
        <v>95</v>
      </c>
      <c r="AF873" s="4">
        <v>0</v>
      </c>
      <c r="AG873" s="4">
        <v>0</v>
      </c>
      <c r="AH873" s="4">
        <v>89</v>
      </c>
      <c r="AI873" s="4">
        <v>89</v>
      </c>
      <c r="AJ873" s="4">
        <v>9</v>
      </c>
      <c r="AK873" s="4">
        <v>9</v>
      </c>
      <c r="AL873" s="4">
        <v>49</v>
      </c>
      <c r="AM873" s="4">
        <v>49</v>
      </c>
      <c r="AN873" s="4">
        <v>0</v>
      </c>
      <c r="AO873" s="4">
        <v>0</v>
      </c>
      <c r="AP873" s="4">
        <v>11</v>
      </c>
      <c r="AQ873" s="4">
        <v>11</v>
      </c>
      <c r="AR873" s="3" t="s">
        <v>63</v>
      </c>
      <c r="AS873" s="3" t="s">
        <v>63</v>
      </c>
      <c r="AT873" s="3" t="s">
        <v>62</v>
      </c>
      <c r="AU873" s="6" t="str">
        <f>HYPERLINK("http://catalog.hathitrust.org/Record/001110387","HathiTrust Record")</f>
        <v>HathiTrust Record</v>
      </c>
      <c r="AV873" s="6" t="str">
        <f>HYPERLINK("http://mcgill.on.worldcat.org/oclc/395690","Catalog Record")</f>
        <v>Catalog Record</v>
      </c>
      <c r="AW873" s="6" t="str">
        <f>HYPERLINK("http://www.worldcat.org/oclc/395690","WorldCat Record")</f>
        <v>WorldCat Record</v>
      </c>
      <c r="AX873" s="3" t="s">
        <v>8829</v>
      </c>
      <c r="AY873" s="3" t="s">
        <v>8830</v>
      </c>
      <c r="AZ873" s="3" t="s">
        <v>8831</v>
      </c>
      <c r="BA873" s="3" t="s">
        <v>8831</v>
      </c>
      <c r="BB873" s="3" t="s">
        <v>8832</v>
      </c>
      <c r="BC873" s="3" t="s">
        <v>82</v>
      </c>
      <c r="BD873" s="3" t="s">
        <v>70</v>
      </c>
      <c r="BF873" s="3" t="s">
        <v>8832</v>
      </c>
      <c r="BG873" s="3" t="s">
        <v>8833</v>
      </c>
    </row>
    <row r="874" spans="1:59" ht="60" x14ac:dyDescent="0.25">
      <c r="A874" s="2" t="s">
        <v>59</v>
      </c>
      <c r="B874" s="2" t="s">
        <v>60</v>
      </c>
      <c r="C874" s="2" t="s">
        <v>8822</v>
      </c>
      <c r="D874" s="2" t="s">
        <v>8823</v>
      </c>
      <c r="E874" s="2" t="s">
        <v>8824</v>
      </c>
      <c r="G874" s="3" t="s">
        <v>63</v>
      </c>
      <c r="I874" s="3" t="s">
        <v>62</v>
      </c>
      <c r="J874" s="3" t="s">
        <v>63</v>
      </c>
      <c r="K874" s="3" t="s">
        <v>64</v>
      </c>
      <c r="L874" s="2" t="s">
        <v>8825</v>
      </c>
      <c r="M874" s="2" t="s">
        <v>8826</v>
      </c>
      <c r="N874" s="3" t="s">
        <v>8827</v>
      </c>
      <c r="P874" s="3" t="s">
        <v>66</v>
      </c>
      <c r="R874" s="3" t="s">
        <v>67</v>
      </c>
      <c r="S874" s="4">
        <v>8</v>
      </c>
      <c r="T874" s="4">
        <v>17</v>
      </c>
      <c r="U874" s="5" t="s">
        <v>3885</v>
      </c>
      <c r="V874" s="5" t="s">
        <v>3885</v>
      </c>
      <c r="W874" s="5" t="s">
        <v>69</v>
      </c>
      <c r="X874" s="5" t="s">
        <v>69</v>
      </c>
      <c r="Y874" s="4">
        <v>502</v>
      </c>
      <c r="Z874" s="4">
        <v>15</v>
      </c>
      <c r="AA874" s="4">
        <v>16</v>
      </c>
      <c r="AB874" s="4">
        <v>1</v>
      </c>
      <c r="AC874" s="4">
        <v>2</v>
      </c>
      <c r="AD874" s="4">
        <v>95</v>
      </c>
      <c r="AE874" s="4">
        <v>95</v>
      </c>
      <c r="AF874" s="4">
        <v>0</v>
      </c>
      <c r="AG874" s="4">
        <v>0</v>
      </c>
      <c r="AH874" s="4">
        <v>89</v>
      </c>
      <c r="AI874" s="4">
        <v>89</v>
      </c>
      <c r="AJ874" s="4">
        <v>9</v>
      </c>
      <c r="AK874" s="4">
        <v>9</v>
      </c>
      <c r="AL874" s="4">
        <v>49</v>
      </c>
      <c r="AM874" s="4">
        <v>49</v>
      </c>
      <c r="AN874" s="4">
        <v>0</v>
      </c>
      <c r="AO874" s="4">
        <v>0</v>
      </c>
      <c r="AP874" s="4">
        <v>11</v>
      </c>
      <c r="AQ874" s="4">
        <v>11</v>
      </c>
      <c r="AR874" s="3" t="s">
        <v>63</v>
      </c>
      <c r="AS874" s="3" t="s">
        <v>63</v>
      </c>
      <c r="AT874" s="3" t="s">
        <v>62</v>
      </c>
      <c r="AU874" s="6" t="str">
        <f>HYPERLINK("http://catalog.hathitrust.org/Record/001110387","HathiTrust Record")</f>
        <v>HathiTrust Record</v>
      </c>
      <c r="AV874" s="6" t="str">
        <f>HYPERLINK("http://mcgill.on.worldcat.org/oclc/395690","Catalog Record")</f>
        <v>Catalog Record</v>
      </c>
      <c r="AW874" s="6" t="str">
        <f>HYPERLINK("http://www.worldcat.org/oclc/395690","WorldCat Record")</f>
        <v>WorldCat Record</v>
      </c>
      <c r="AX874" s="3" t="s">
        <v>8829</v>
      </c>
      <c r="AY874" s="3" t="s">
        <v>8830</v>
      </c>
      <c r="AZ874" s="3" t="s">
        <v>8831</v>
      </c>
      <c r="BA874" s="3" t="s">
        <v>8831</v>
      </c>
      <c r="BB874" s="3" t="s">
        <v>8834</v>
      </c>
      <c r="BC874" s="3" t="s">
        <v>82</v>
      </c>
      <c r="BD874" s="3" t="s">
        <v>70</v>
      </c>
      <c r="BF874" s="3" t="s">
        <v>8834</v>
      </c>
      <c r="BG874" s="3" t="s">
        <v>8835</v>
      </c>
    </row>
    <row r="875" spans="1:59" ht="75" x14ac:dyDescent="0.25">
      <c r="A875" s="2" t="s">
        <v>59</v>
      </c>
      <c r="B875" s="2" t="s">
        <v>60</v>
      </c>
      <c r="C875" s="2" t="s">
        <v>8836</v>
      </c>
      <c r="D875" s="2" t="s">
        <v>8837</v>
      </c>
      <c r="E875" s="2" t="s">
        <v>8838</v>
      </c>
      <c r="G875" s="3" t="s">
        <v>63</v>
      </c>
      <c r="I875" s="3" t="s">
        <v>63</v>
      </c>
      <c r="J875" s="3" t="s">
        <v>63</v>
      </c>
      <c r="K875" s="3" t="s">
        <v>64</v>
      </c>
      <c r="M875" s="2" t="s">
        <v>8839</v>
      </c>
      <c r="N875" s="3" t="s">
        <v>826</v>
      </c>
      <c r="P875" s="3" t="s">
        <v>66</v>
      </c>
      <c r="R875" s="3" t="s">
        <v>67</v>
      </c>
      <c r="S875" s="4">
        <v>7</v>
      </c>
      <c r="T875" s="4">
        <v>7</v>
      </c>
      <c r="U875" s="5" t="s">
        <v>8840</v>
      </c>
      <c r="V875" s="5" t="s">
        <v>8840</v>
      </c>
      <c r="W875" s="5" t="s">
        <v>69</v>
      </c>
      <c r="X875" s="5" t="s">
        <v>69</v>
      </c>
      <c r="Y875" s="4">
        <v>666</v>
      </c>
      <c r="Z875" s="4">
        <v>30</v>
      </c>
      <c r="AA875" s="4">
        <v>36</v>
      </c>
      <c r="AB875" s="4">
        <v>2</v>
      </c>
      <c r="AC875" s="4">
        <v>3</v>
      </c>
      <c r="AD875" s="4">
        <v>115</v>
      </c>
      <c r="AE875" s="4">
        <v>125</v>
      </c>
      <c r="AF875" s="4">
        <v>1</v>
      </c>
      <c r="AG875" s="4">
        <v>2</v>
      </c>
      <c r="AH875" s="4">
        <v>99</v>
      </c>
      <c r="AI875" s="4">
        <v>104</v>
      </c>
      <c r="AJ875" s="4">
        <v>18</v>
      </c>
      <c r="AK875" s="4">
        <v>22</v>
      </c>
      <c r="AL875" s="4">
        <v>52</v>
      </c>
      <c r="AM875" s="4">
        <v>54</v>
      </c>
      <c r="AN875" s="4">
        <v>0</v>
      </c>
      <c r="AO875" s="4">
        <v>0</v>
      </c>
      <c r="AP875" s="4">
        <v>24</v>
      </c>
      <c r="AQ875" s="4">
        <v>29</v>
      </c>
      <c r="AR875" s="3" t="s">
        <v>63</v>
      </c>
      <c r="AS875" s="3" t="s">
        <v>63</v>
      </c>
      <c r="AT875" s="3" t="s">
        <v>62</v>
      </c>
      <c r="AU875" s="6" t="str">
        <f>HYPERLINK("http://catalog.hathitrust.org/Record/001059547","HathiTrust Record")</f>
        <v>HathiTrust Record</v>
      </c>
      <c r="AV875" s="6" t="str">
        <f>HYPERLINK("http://mcgill.on.worldcat.org/oclc/162229","Catalog Record")</f>
        <v>Catalog Record</v>
      </c>
      <c r="AW875" s="6" t="str">
        <f>HYPERLINK("http://www.worldcat.org/oclc/162229","WorldCat Record")</f>
        <v>WorldCat Record</v>
      </c>
      <c r="AX875" s="3" t="s">
        <v>8841</v>
      </c>
      <c r="AY875" s="3" t="s">
        <v>8842</v>
      </c>
      <c r="AZ875" s="3" t="s">
        <v>8843</v>
      </c>
      <c r="BA875" s="3" t="s">
        <v>8843</v>
      </c>
      <c r="BB875" s="3" t="s">
        <v>8844</v>
      </c>
      <c r="BC875" s="3" t="s">
        <v>82</v>
      </c>
      <c r="BD875" s="3" t="s">
        <v>70</v>
      </c>
      <c r="BE875" s="3" t="s">
        <v>8845</v>
      </c>
      <c r="BF875" s="3" t="s">
        <v>8844</v>
      </c>
      <c r="BG875" s="3" t="s">
        <v>8846</v>
      </c>
    </row>
    <row r="876" spans="1:59" ht="60" x14ac:dyDescent="0.25">
      <c r="A876" s="2" t="s">
        <v>59</v>
      </c>
      <c r="B876" s="2" t="s">
        <v>60</v>
      </c>
      <c r="C876" s="2" t="s">
        <v>8847</v>
      </c>
      <c r="D876" s="2" t="s">
        <v>8848</v>
      </c>
      <c r="E876" s="2" t="s">
        <v>8849</v>
      </c>
      <c r="F876" s="3" t="s">
        <v>8850</v>
      </c>
      <c r="G876" s="3" t="s">
        <v>62</v>
      </c>
      <c r="I876" s="3" t="s">
        <v>63</v>
      </c>
      <c r="J876" s="3" t="s">
        <v>63</v>
      </c>
      <c r="K876" s="3" t="s">
        <v>64</v>
      </c>
      <c r="M876" s="2" t="s">
        <v>8851</v>
      </c>
      <c r="N876" s="3" t="s">
        <v>143</v>
      </c>
      <c r="P876" s="3" t="s">
        <v>66</v>
      </c>
      <c r="Q876" s="2" t="s">
        <v>8852</v>
      </c>
      <c r="R876" s="3" t="s">
        <v>67</v>
      </c>
      <c r="S876" s="4">
        <v>0</v>
      </c>
      <c r="T876" s="4">
        <v>0</v>
      </c>
      <c r="W876" s="5" t="s">
        <v>69</v>
      </c>
      <c r="X876" s="5" t="s">
        <v>69</v>
      </c>
      <c r="Y876" s="4">
        <v>70</v>
      </c>
      <c r="Z876" s="4">
        <v>8</v>
      </c>
      <c r="AA876" s="4">
        <v>82</v>
      </c>
      <c r="AB876" s="4">
        <v>1</v>
      </c>
      <c r="AC876" s="4">
        <v>15</v>
      </c>
      <c r="AD876" s="4">
        <v>32</v>
      </c>
      <c r="AE876" s="4">
        <v>115</v>
      </c>
      <c r="AF876" s="4">
        <v>0</v>
      </c>
      <c r="AG876" s="4">
        <v>8</v>
      </c>
      <c r="AH876" s="4">
        <v>30</v>
      </c>
      <c r="AI876" s="4">
        <v>81</v>
      </c>
      <c r="AJ876" s="4">
        <v>5</v>
      </c>
      <c r="AK876" s="4">
        <v>20</v>
      </c>
      <c r="AL876" s="4">
        <v>21</v>
      </c>
      <c r="AM876" s="4">
        <v>44</v>
      </c>
      <c r="AN876" s="4">
        <v>0</v>
      </c>
      <c r="AO876" s="4">
        <v>0</v>
      </c>
      <c r="AP876" s="4">
        <v>5</v>
      </c>
      <c r="AQ876" s="4">
        <v>41</v>
      </c>
      <c r="AR876" s="3" t="s">
        <v>63</v>
      </c>
      <c r="AS876" s="3" t="s">
        <v>63</v>
      </c>
      <c r="AT876" s="3" t="s">
        <v>63</v>
      </c>
      <c r="AV876" s="6" t="str">
        <f>HYPERLINK("http://mcgill.on.worldcat.org/oclc/886859786","Catalog Record")</f>
        <v>Catalog Record</v>
      </c>
      <c r="AW876" s="6" t="str">
        <f>HYPERLINK("http://www.worldcat.org/oclc/886859786","WorldCat Record")</f>
        <v>WorldCat Record</v>
      </c>
      <c r="AX876" s="3" t="s">
        <v>8853</v>
      </c>
      <c r="AY876" s="3" t="s">
        <v>8854</v>
      </c>
      <c r="AZ876" s="3" t="s">
        <v>8855</v>
      </c>
      <c r="BA876" s="3" t="s">
        <v>8855</v>
      </c>
      <c r="BB876" s="3" t="s">
        <v>8856</v>
      </c>
      <c r="BC876" s="3" t="s">
        <v>82</v>
      </c>
      <c r="BD876" s="3" t="s">
        <v>70</v>
      </c>
      <c r="BE876" s="3" t="s">
        <v>8857</v>
      </c>
      <c r="BF876" s="3" t="s">
        <v>8856</v>
      </c>
      <c r="BG876" s="3" t="s">
        <v>8858</v>
      </c>
    </row>
    <row r="877" spans="1:59" ht="60" x14ac:dyDescent="0.25">
      <c r="A877" s="2" t="s">
        <v>59</v>
      </c>
      <c r="B877" s="2" t="s">
        <v>60</v>
      </c>
      <c r="C877" s="2" t="s">
        <v>8859</v>
      </c>
      <c r="D877" s="2" t="s">
        <v>8860</v>
      </c>
      <c r="E877" s="2" t="s">
        <v>8861</v>
      </c>
      <c r="G877" s="3" t="s">
        <v>63</v>
      </c>
      <c r="I877" s="3" t="s">
        <v>63</v>
      </c>
      <c r="J877" s="3" t="s">
        <v>63</v>
      </c>
      <c r="K877" s="3" t="s">
        <v>64</v>
      </c>
      <c r="M877" s="2" t="s">
        <v>8862</v>
      </c>
      <c r="N877" s="3" t="s">
        <v>629</v>
      </c>
      <c r="P877" s="3" t="s">
        <v>66</v>
      </c>
      <c r="Q877" s="2" t="s">
        <v>8863</v>
      </c>
      <c r="R877" s="3" t="s">
        <v>67</v>
      </c>
      <c r="S877" s="4">
        <v>0</v>
      </c>
      <c r="T877" s="4">
        <v>0</v>
      </c>
      <c r="W877" s="5" t="s">
        <v>69</v>
      </c>
      <c r="X877" s="5" t="s">
        <v>69</v>
      </c>
      <c r="Y877" s="4">
        <v>111</v>
      </c>
      <c r="Z877" s="4">
        <v>7</v>
      </c>
      <c r="AA877" s="4">
        <v>9</v>
      </c>
      <c r="AB877" s="4">
        <v>1</v>
      </c>
      <c r="AC877" s="4">
        <v>2</v>
      </c>
      <c r="AD877" s="4">
        <v>58</v>
      </c>
      <c r="AE877" s="4">
        <v>58</v>
      </c>
      <c r="AF877" s="4">
        <v>0</v>
      </c>
      <c r="AG877" s="4">
        <v>0</v>
      </c>
      <c r="AH877" s="4">
        <v>55</v>
      </c>
      <c r="AI877" s="4">
        <v>55</v>
      </c>
      <c r="AJ877" s="4">
        <v>5</v>
      </c>
      <c r="AK877" s="4">
        <v>5</v>
      </c>
      <c r="AL877" s="4">
        <v>39</v>
      </c>
      <c r="AM877" s="4">
        <v>39</v>
      </c>
      <c r="AN877" s="4">
        <v>0</v>
      </c>
      <c r="AO877" s="4">
        <v>0</v>
      </c>
      <c r="AP877" s="4">
        <v>5</v>
      </c>
      <c r="AQ877" s="4">
        <v>5</v>
      </c>
      <c r="AR877" s="3" t="s">
        <v>63</v>
      </c>
      <c r="AS877" s="3" t="s">
        <v>63</v>
      </c>
      <c r="AT877" s="3" t="s">
        <v>63</v>
      </c>
      <c r="AV877" s="6" t="str">
        <f>HYPERLINK("http://mcgill.on.worldcat.org/oclc/701813121","Catalog Record")</f>
        <v>Catalog Record</v>
      </c>
      <c r="AW877" s="6" t="str">
        <f>HYPERLINK("http://www.worldcat.org/oclc/701813121","WorldCat Record")</f>
        <v>WorldCat Record</v>
      </c>
      <c r="AX877" s="3" t="s">
        <v>8864</v>
      </c>
      <c r="AY877" s="3" t="s">
        <v>8865</v>
      </c>
      <c r="AZ877" s="3" t="s">
        <v>8866</v>
      </c>
      <c r="BA877" s="3" t="s">
        <v>8866</v>
      </c>
      <c r="BB877" s="3" t="s">
        <v>8867</v>
      </c>
      <c r="BC877" s="3" t="s">
        <v>82</v>
      </c>
      <c r="BD877" s="3" t="s">
        <v>70</v>
      </c>
      <c r="BE877" s="3" t="s">
        <v>8868</v>
      </c>
      <c r="BF877" s="3" t="s">
        <v>8867</v>
      </c>
      <c r="BG877" s="3" t="s">
        <v>8869</v>
      </c>
    </row>
    <row r="878" spans="1:59" ht="60" x14ac:dyDescent="0.25">
      <c r="A878" s="2" t="s">
        <v>59</v>
      </c>
      <c r="B878" s="2" t="s">
        <v>60</v>
      </c>
      <c r="C878" s="2" t="s">
        <v>8870</v>
      </c>
      <c r="D878" s="2" t="s">
        <v>8871</v>
      </c>
      <c r="E878" s="2" t="s">
        <v>8872</v>
      </c>
      <c r="G878" s="3" t="s">
        <v>63</v>
      </c>
      <c r="I878" s="3" t="s">
        <v>63</v>
      </c>
      <c r="J878" s="3" t="s">
        <v>63</v>
      </c>
      <c r="K878" s="3" t="s">
        <v>64</v>
      </c>
      <c r="M878" s="2" t="s">
        <v>8873</v>
      </c>
      <c r="N878" s="3" t="s">
        <v>234</v>
      </c>
      <c r="P878" s="3" t="s">
        <v>66</v>
      </c>
      <c r="Q878" s="2" t="s">
        <v>8874</v>
      </c>
      <c r="R878" s="3" t="s">
        <v>67</v>
      </c>
      <c r="S878" s="4">
        <v>8</v>
      </c>
      <c r="T878" s="4">
        <v>8</v>
      </c>
      <c r="U878" s="5" t="s">
        <v>8875</v>
      </c>
      <c r="V878" s="5" t="s">
        <v>8875</v>
      </c>
      <c r="W878" s="5" t="s">
        <v>69</v>
      </c>
      <c r="X878" s="5" t="s">
        <v>69</v>
      </c>
      <c r="Y878" s="4">
        <v>245</v>
      </c>
      <c r="Z878" s="4">
        <v>17</v>
      </c>
      <c r="AA878" s="4">
        <v>19</v>
      </c>
      <c r="AB878" s="4">
        <v>1</v>
      </c>
      <c r="AC878" s="4">
        <v>2</v>
      </c>
      <c r="AD878" s="4">
        <v>88</v>
      </c>
      <c r="AE878" s="4">
        <v>91</v>
      </c>
      <c r="AF878" s="4">
        <v>0</v>
      </c>
      <c r="AG878" s="4">
        <v>1</v>
      </c>
      <c r="AH878" s="4">
        <v>81</v>
      </c>
      <c r="AI878" s="4">
        <v>84</v>
      </c>
      <c r="AJ878" s="4">
        <v>12</v>
      </c>
      <c r="AK878" s="4">
        <v>14</v>
      </c>
      <c r="AL878" s="4">
        <v>50</v>
      </c>
      <c r="AM878" s="4">
        <v>51</v>
      </c>
      <c r="AN878" s="4">
        <v>0</v>
      </c>
      <c r="AO878" s="4">
        <v>0</v>
      </c>
      <c r="AP878" s="4">
        <v>13</v>
      </c>
      <c r="AQ878" s="4">
        <v>15</v>
      </c>
      <c r="AR878" s="3" t="s">
        <v>63</v>
      </c>
      <c r="AS878" s="3" t="s">
        <v>63</v>
      </c>
      <c r="AT878" s="3" t="s">
        <v>62</v>
      </c>
      <c r="AU878" s="6" t="str">
        <f>HYPERLINK("http://catalog.hathitrust.org/Record/005376666","HathiTrust Record")</f>
        <v>HathiTrust Record</v>
      </c>
      <c r="AV878" s="6" t="str">
        <f>HYPERLINK("http://mcgill.on.worldcat.org/oclc/61262394","Catalog Record")</f>
        <v>Catalog Record</v>
      </c>
      <c r="AW878" s="6" t="str">
        <f>HYPERLINK("http://www.worldcat.org/oclc/61262394","WorldCat Record")</f>
        <v>WorldCat Record</v>
      </c>
      <c r="AX878" s="3" t="s">
        <v>8876</v>
      </c>
      <c r="AY878" s="3" t="s">
        <v>8877</v>
      </c>
      <c r="AZ878" s="3" t="s">
        <v>8878</v>
      </c>
      <c r="BA878" s="3" t="s">
        <v>8878</v>
      </c>
      <c r="BB878" s="3" t="s">
        <v>8879</v>
      </c>
      <c r="BC878" s="3" t="s">
        <v>82</v>
      </c>
      <c r="BD878" s="3" t="s">
        <v>1611</v>
      </c>
      <c r="BE878" s="3" t="s">
        <v>8880</v>
      </c>
      <c r="BF878" s="3" t="s">
        <v>8879</v>
      </c>
      <c r="BG878" s="3" t="s">
        <v>8881</v>
      </c>
    </row>
    <row r="879" spans="1:59" ht="60" x14ac:dyDescent="0.25">
      <c r="A879" s="2" t="s">
        <v>59</v>
      </c>
      <c r="B879" s="2" t="s">
        <v>60</v>
      </c>
      <c r="C879" s="2" t="s">
        <v>8882</v>
      </c>
      <c r="D879" s="2" t="s">
        <v>8883</v>
      </c>
      <c r="E879" s="2" t="s">
        <v>8884</v>
      </c>
      <c r="G879" s="3" t="s">
        <v>63</v>
      </c>
      <c r="I879" s="3" t="s">
        <v>63</v>
      </c>
      <c r="J879" s="3" t="s">
        <v>63</v>
      </c>
      <c r="K879" s="3" t="s">
        <v>64</v>
      </c>
      <c r="M879" s="2" t="s">
        <v>8885</v>
      </c>
      <c r="N879" s="3" t="s">
        <v>220</v>
      </c>
      <c r="P879" s="3" t="s">
        <v>66</v>
      </c>
      <c r="Q879" s="2" t="s">
        <v>8886</v>
      </c>
      <c r="R879" s="3" t="s">
        <v>67</v>
      </c>
      <c r="S879" s="4">
        <v>17</v>
      </c>
      <c r="T879" s="4">
        <v>17</v>
      </c>
      <c r="U879" s="5" t="s">
        <v>8229</v>
      </c>
      <c r="V879" s="5" t="s">
        <v>8229</v>
      </c>
      <c r="W879" s="5" t="s">
        <v>69</v>
      </c>
      <c r="X879" s="5" t="s">
        <v>69</v>
      </c>
      <c r="Y879" s="4">
        <v>406</v>
      </c>
      <c r="Z879" s="4">
        <v>15</v>
      </c>
      <c r="AA879" s="4">
        <v>15</v>
      </c>
      <c r="AB879" s="4">
        <v>2</v>
      </c>
      <c r="AC879" s="4">
        <v>2</v>
      </c>
      <c r="AD879" s="4">
        <v>81</v>
      </c>
      <c r="AE879" s="4">
        <v>81</v>
      </c>
      <c r="AF879" s="4">
        <v>0</v>
      </c>
      <c r="AG879" s="4">
        <v>0</v>
      </c>
      <c r="AH879" s="4">
        <v>74</v>
      </c>
      <c r="AI879" s="4">
        <v>74</v>
      </c>
      <c r="AJ879" s="4">
        <v>9</v>
      </c>
      <c r="AK879" s="4">
        <v>9</v>
      </c>
      <c r="AL879" s="4">
        <v>42</v>
      </c>
      <c r="AM879" s="4">
        <v>42</v>
      </c>
      <c r="AN879" s="4">
        <v>0</v>
      </c>
      <c r="AO879" s="4">
        <v>0</v>
      </c>
      <c r="AP879" s="4">
        <v>11</v>
      </c>
      <c r="AQ879" s="4">
        <v>11</v>
      </c>
      <c r="AR879" s="3" t="s">
        <v>63</v>
      </c>
      <c r="AS879" s="3" t="s">
        <v>63</v>
      </c>
      <c r="AT879" s="3" t="s">
        <v>62</v>
      </c>
      <c r="AU879" s="6" t="str">
        <f>HYPERLINK("http://catalog.hathitrust.org/Record/002734086","HathiTrust Record")</f>
        <v>HathiTrust Record</v>
      </c>
      <c r="AV879" s="6" t="str">
        <f>HYPERLINK("http://mcgill.on.worldcat.org/oclc/26974615","Catalog Record")</f>
        <v>Catalog Record</v>
      </c>
      <c r="AW879" s="6" t="str">
        <f>HYPERLINK("http://www.worldcat.org/oclc/26974615","WorldCat Record")</f>
        <v>WorldCat Record</v>
      </c>
      <c r="AX879" s="3" t="s">
        <v>8887</v>
      </c>
      <c r="AY879" s="3" t="s">
        <v>8888</v>
      </c>
      <c r="AZ879" s="3" t="s">
        <v>8889</v>
      </c>
      <c r="BA879" s="3" t="s">
        <v>8889</v>
      </c>
      <c r="BB879" s="3" t="s">
        <v>8890</v>
      </c>
      <c r="BC879" s="3" t="s">
        <v>82</v>
      </c>
      <c r="BD879" s="3" t="s">
        <v>70</v>
      </c>
      <c r="BE879" s="3" t="s">
        <v>8891</v>
      </c>
      <c r="BF879" s="3" t="s">
        <v>8890</v>
      </c>
      <c r="BG879" s="3" t="s">
        <v>8892</v>
      </c>
    </row>
    <row r="880" spans="1:59" ht="135" x14ac:dyDescent="0.25">
      <c r="A880" s="2" t="s">
        <v>59</v>
      </c>
      <c r="B880" s="2" t="s">
        <v>60</v>
      </c>
      <c r="C880" s="2" t="s">
        <v>8893</v>
      </c>
      <c r="D880" s="2" t="s">
        <v>8894</v>
      </c>
      <c r="E880" s="2" t="s">
        <v>8895</v>
      </c>
      <c r="F880" s="3" t="s">
        <v>61</v>
      </c>
      <c r="G880" s="3" t="s">
        <v>62</v>
      </c>
      <c r="I880" s="3" t="s">
        <v>62</v>
      </c>
      <c r="J880" s="3" t="s">
        <v>63</v>
      </c>
      <c r="K880" s="3" t="s">
        <v>64</v>
      </c>
      <c r="L880" s="2" t="s">
        <v>8896</v>
      </c>
      <c r="M880" s="2" t="s">
        <v>8897</v>
      </c>
      <c r="N880" s="3" t="s">
        <v>918</v>
      </c>
      <c r="O880" s="2" t="s">
        <v>8898</v>
      </c>
      <c r="P880" s="3" t="s">
        <v>66</v>
      </c>
      <c r="R880" s="3" t="s">
        <v>67</v>
      </c>
      <c r="S880" s="4">
        <v>12</v>
      </c>
      <c r="T880" s="4">
        <v>76</v>
      </c>
      <c r="U880" s="5" t="s">
        <v>2807</v>
      </c>
      <c r="V880" s="5" t="s">
        <v>2807</v>
      </c>
      <c r="W880" s="5" t="s">
        <v>69</v>
      </c>
      <c r="X880" s="5" t="s">
        <v>69</v>
      </c>
      <c r="Y880" s="4">
        <v>892</v>
      </c>
      <c r="Z880" s="4">
        <v>38</v>
      </c>
      <c r="AA880" s="4">
        <v>43</v>
      </c>
      <c r="AB880" s="4">
        <v>2</v>
      </c>
      <c r="AC880" s="4">
        <v>2</v>
      </c>
      <c r="AD880" s="4">
        <v>130</v>
      </c>
      <c r="AE880" s="4">
        <v>132</v>
      </c>
      <c r="AF880" s="4">
        <v>0</v>
      </c>
      <c r="AG880" s="4">
        <v>0</v>
      </c>
      <c r="AH880" s="4">
        <v>108</v>
      </c>
      <c r="AI880" s="4">
        <v>108</v>
      </c>
      <c r="AJ880" s="4">
        <v>17</v>
      </c>
      <c r="AK880" s="4">
        <v>17</v>
      </c>
      <c r="AL880" s="4">
        <v>58</v>
      </c>
      <c r="AM880" s="4">
        <v>58</v>
      </c>
      <c r="AN880" s="4">
        <v>0</v>
      </c>
      <c r="AO880" s="4">
        <v>0</v>
      </c>
      <c r="AP880" s="4">
        <v>28</v>
      </c>
      <c r="AQ880" s="4">
        <v>30</v>
      </c>
      <c r="AR880" s="3" t="s">
        <v>63</v>
      </c>
      <c r="AS880" s="3" t="s">
        <v>63</v>
      </c>
      <c r="AT880" s="3" t="s">
        <v>62</v>
      </c>
      <c r="AU880" s="6" t="str">
        <f>HYPERLINK("http://catalog.hathitrust.org/Record/000774779","HathiTrust Record")</f>
        <v>HathiTrust Record</v>
      </c>
      <c r="AV880" s="6" t="str">
        <f>HYPERLINK("http://mcgill.on.worldcat.org/oclc/721444","Catalog Record")</f>
        <v>Catalog Record</v>
      </c>
      <c r="AW880" s="6" t="str">
        <f>HYPERLINK("http://www.worldcat.org/oclc/721444","WorldCat Record")</f>
        <v>WorldCat Record</v>
      </c>
      <c r="AX880" s="3" t="s">
        <v>8899</v>
      </c>
      <c r="AY880" s="3" t="s">
        <v>8900</v>
      </c>
      <c r="AZ880" s="3" t="s">
        <v>8901</v>
      </c>
      <c r="BA880" s="3" t="s">
        <v>8901</v>
      </c>
      <c r="BB880" s="3" t="s">
        <v>8902</v>
      </c>
      <c r="BC880" s="3" t="s">
        <v>82</v>
      </c>
      <c r="BD880" s="3" t="s">
        <v>70</v>
      </c>
      <c r="BF880" s="3" t="s">
        <v>8902</v>
      </c>
      <c r="BG880" s="3" t="s">
        <v>8903</v>
      </c>
    </row>
    <row r="881" spans="1:59" ht="135" x14ac:dyDescent="0.25">
      <c r="A881" s="2" t="s">
        <v>59</v>
      </c>
      <c r="B881" s="2" t="s">
        <v>60</v>
      </c>
      <c r="C881" s="2" t="s">
        <v>8893</v>
      </c>
      <c r="D881" s="2" t="s">
        <v>8894</v>
      </c>
      <c r="E881" s="2" t="s">
        <v>8895</v>
      </c>
      <c r="G881" s="3" t="s">
        <v>62</v>
      </c>
      <c r="I881" s="3" t="s">
        <v>62</v>
      </c>
      <c r="J881" s="3" t="s">
        <v>63</v>
      </c>
      <c r="K881" s="3" t="s">
        <v>64</v>
      </c>
      <c r="L881" s="2" t="s">
        <v>8896</v>
      </c>
      <c r="M881" s="2" t="s">
        <v>8897</v>
      </c>
      <c r="N881" s="3" t="s">
        <v>918</v>
      </c>
      <c r="O881" s="2" t="s">
        <v>8898</v>
      </c>
      <c r="P881" s="3" t="s">
        <v>66</v>
      </c>
      <c r="R881" s="3" t="s">
        <v>67</v>
      </c>
      <c r="S881" s="4">
        <v>28</v>
      </c>
      <c r="T881" s="4">
        <v>76</v>
      </c>
      <c r="U881" s="5" t="s">
        <v>5634</v>
      </c>
      <c r="V881" s="5" t="s">
        <v>2807</v>
      </c>
      <c r="W881" s="5" t="s">
        <v>69</v>
      </c>
      <c r="X881" s="5" t="s">
        <v>69</v>
      </c>
      <c r="Y881" s="4">
        <v>892</v>
      </c>
      <c r="Z881" s="4">
        <v>38</v>
      </c>
      <c r="AA881" s="4">
        <v>43</v>
      </c>
      <c r="AB881" s="4">
        <v>2</v>
      </c>
      <c r="AC881" s="4">
        <v>2</v>
      </c>
      <c r="AD881" s="4">
        <v>130</v>
      </c>
      <c r="AE881" s="4">
        <v>132</v>
      </c>
      <c r="AF881" s="4">
        <v>0</v>
      </c>
      <c r="AG881" s="4">
        <v>0</v>
      </c>
      <c r="AH881" s="4">
        <v>108</v>
      </c>
      <c r="AI881" s="4">
        <v>108</v>
      </c>
      <c r="AJ881" s="4">
        <v>17</v>
      </c>
      <c r="AK881" s="4">
        <v>17</v>
      </c>
      <c r="AL881" s="4">
        <v>58</v>
      </c>
      <c r="AM881" s="4">
        <v>58</v>
      </c>
      <c r="AN881" s="4">
        <v>0</v>
      </c>
      <c r="AO881" s="4">
        <v>0</v>
      </c>
      <c r="AP881" s="4">
        <v>28</v>
      </c>
      <c r="AQ881" s="4">
        <v>30</v>
      </c>
      <c r="AR881" s="3" t="s">
        <v>63</v>
      </c>
      <c r="AS881" s="3" t="s">
        <v>63</v>
      </c>
      <c r="AT881" s="3" t="s">
        <v>62</v>
      </c>
      <c r="AU881" s="6" t="str">
        <f>HYPERLINK("http://catalog.hathitrust.org/Record/000774779","HathiTrust Record")</f>
        <v>HathiTrust Record</v>
      </c>
      <c r="AV881" s="6" t="str">
        <f>HYPERLINK("http://mcgill.on.worldcat.org/oclc/721444","Catalog Record")</f>
        <v>Catalog Record</v>
      </c>
      <c r="AW881" s="6" t="str">
        <f>HYPERLINK("http://www.worldcat.org/oclc/721444","WorldCat Record")</f>
        <v>WorldCat Record</v>
      </c>
      <c r="AX881" s="3" t="s">
        <v>8899</v>
      </c>
      <c r="AY881" s="3" t="s">
        <v>8900</v>
      </c>
      <c r="AZ881" s="3" t="s">
        <v>8901</v>
      </c>
      <c r="BA881" s="3" t="s">
        <v>8901</v>
      </c>
      <c r="BB881" s="3" t="s">
        <v>8904</v>
      </c>
      <c r="BC881" s="3" t="s">
        <v>82</v>
      </c>
      <c r="BD881" s="3" t="s">
        <v>538</v>
      </c>
      <c r="BF881" s="3" t="s">
        <v>8904</v>
      </c>
      <c r="BG881" s="3" t="s">
        <v>8905</v>
      </c>
    </row>
    <row r="882" spans="1:59" ht="135" x14ac:dyDescent="0.25">
      <c r="A882" s="2" t="s">
        <v>59</v>
      </c>
      <c r="B882" s="2" t="s">
        <v>60</v>
      </c>
      <c r="C882" s="2" t="s">
        <v>8893</v>
      </c>
      <c r="D882" s="2" t="s">
        <v>8894</v>
      </c>
      <c r="E882" s="2" t="s">
        <v>8895</v>
      </c>
      <c r="G882" s="3" t="s">
        <v>62</v>
      </c>
      <c r="I882" s="3" t="s">
        <v>62</v>
      </c>
      <c r="J882" s="3" t="s">
        <v>63</v>
      </c>
      <c r="K882" s="3" t="s">
        <v>64</v>
      </c>
      <c r="L882" s="2" t="s">
        <v>8896</v>
      </c>
      <c r="M882" s="2" t="s">
        <v>8897</v>
      </c>
      <c r="N882" s="3" t="s">
        <v>918</v>
      </c>
      <c r="O882" s="2" t="s">
        <v>8898</v>
      </c>
      <c r="P882" s="3" t="s">
        <v>66</v>
      </c>
      <c r="R882" s="3" t="s">
        <v>67</v>
      </c>
      <c r="S882" s="4">
        <v>20</v>
      </c>
      <c r="T882" s="4">
        <v>76</v>
      </c>
      <c r="U882" s="5" t="s">
        <v>8906</v>
      </c>
      <c r="V882" s="5" t="s">
        <v>2807</v>
      </c>
      <c r="W882" s="5" t="s">
        <v>69</v>
      </c>
      <c r="X882" s="5" t="s">
        <v>69</v>
      </c>
      <c r="Y882" s="4">
        <v>892</v>
      </c>
      <c r="Z882" s="4">
        <v>38</v>
      </c>
      <c r="AA882" s="4">
        <v>43</v>
      </c>
      <c r="AB882" s="4">
        <v>2</v>
      </c>
      <c r="AC882" s="4">
        <v>2</v>
      </c>
      <c r="AD882" s="4">
        <v>130</v>
      </c>
      <c r="AE882" s="4">
        <v>132</v>
      </c>
      <c r="AF882" s="4">
        <v>0</v>
      </c>
      <c r="AG882" s="4">
        <v>0</v>
      </c>
      <c r="AH882" s="4">
        <v>108</v>
      </c>
      <c r="AI882" s="4">
        <v>108</v>
      </c>
      <c r="AJ882" s="4">
        <v>17</v>
      </c>
      <c r="AK882" s="4">
        <v>17</v>
      </c>
      <c r="AL882" s="4">
        <v>58</v>
      </c>
      <c r="AM882" s="4">
        <v>58</v>
      </c>
      <c r="AN882" s="4">
        <v>0</v>
      </c>
      <c r="AO882" s="4">
        <v>0</v>
      </c>
      <c r="AP882" s="4">
        <v>28</v>
      </c>
      <c r="AQ882" s="4">
        <v>30</v>
      </c>
      <c r="AR882" s="3" t="s">
        <v>63</v>
      </c>
      <c r="AS882" s="3" t="s">
        <v>63</v>
      </c>
      <c r="AT882" s="3" t="s">
        <v>62</v>
      </c>
      <c r="AU882" s="6" t="str">
        <f>HYPERLINK("http://catalog.hathitrust.org/Record/000774779","HathiTrust Record")</f>
        <v>HathiTrust Record</v>
      </c>
      <c r="AV882" s="6" t="str">
        <f>HYPERLINK("http://mcgill.on.worldcat.org/oclc/721444","Catalog Record")</f>
        <v>Catalog Record</v>
      </c>
      <c r="AW882" s="6" t="str">
        <f>HYPERLINK("http://www.worldcat.org/oclc/721444","WorldCat Record")</f>
        <v>WorldCat Record</v>
      </c>
      <c r="AX882" s="3" t="s">
        <v>8899</v>
      </c>
      <c r="AY882" s="3" t="s">
        <v>8900</v>
      </c>
      <c r="AZ882" s="3" t="s">
        <v>8901</v>
      </c>
      <c r="BA882" s="3" t="s">
        <v>8901</v>
      </c>
      <c r="BB882" s="3" t="s">
        <v>8907</v>
      </c>
      <c r="BC882" s="3" t="s">
        <v>82</v>
      </c>
      <c r="BD882" s="3" t="s">
        <v>70</v>
      </c>
      <c r="BF882" s="3" t="s">
        <v>8907</v>
      </c>
      <c r="BG882" s="3" t="s">
        <v>8908</v>
      </c>
    </row>
    <row r="883" spans="1:59" ht="135" x14ac:dyDescent="0.25">
      <c r="A883" s="2" t="s">
        <v>59</v>
      </c>
      <c r="B883" s="2" t="s">
        <v>60</v>
      </c>
      <c r="C883" s="2" t="s">
        <v>8893</v>
      </c>
      <c r="D883" s="2" t="s">
        <v>8894</v>
      </c>
      <c r="E883" s="2" t="s">
        <v>8895</v>
      </c>
      <c r="F883" s="3" t="s">
        <v>1095</v>
      </c>
      <c r="G883" s="3" t="s">
        <v>62</v>
      </c>
      <c r="I883" s="3" t="s">
        <v>62</v>
      </c>
      <c r="J883" s="3" t="s">
        <v>63</v>
      </c>
      <c r="K883" s="3" t="s">
        <v>64</v>
      </c>
      <c r="L883" s="2" t="s">
        <v>8896</v>
      </c>
      <c r="M883" s="2" t="s">
        <v>8897</v>
      </c>
      <c r="N883" s="3" t="s">
        <v>918</v>
      </c>
      <c r="O883" s="2" t="s">
        <v>8898</v>
      </c>
      <c r="P883" s="3" t="s">
        <v>66</v>
      </c>
      <c r="R883" s="3" t="s">
        <v>67</v>
      </c>
      <c r="S883" s="4">
        <v>16</v>
      </c>
      <c r="T883" s="4">
        <v>76</v>
      </c>
      <c r="U883" s="5" t="s">
        <v>2807</v>
      </c>
      <c r="V883" s="5" t="s">
        <v>2807</v>
      </c>
      <c r="W883" s="5" t="s">
        <v>69</v>
      </c>
      <c r="X883" s="5" t="s">
        <v>69</v>
      </c>
      <c r="Y883" s="4">
        <v>892</v>
      </c>
      <c r="Z883" s="4">
        <v>38</v>
      </c>
      <c r="AA883" s="4">
        <v>43</v>
      </c>
      <c r="AB883" s="4">
        <v>2</v>
      </c>
      <c r="AC883" s="4">
        <v>2</v>
      </c>
      <c r="AD883" s="4">
        <v>130</v>
      </c>
      <c r="AE883" s="4">
        <v>132</v>
      </c>
      <c r="AF883" s="4">
        <v>0</v>
      </c>
      <c r="AG883" s="4">
        <v>0</v>
      </c>
      <c r="AH883" s="4">
        <v>108</v>
      </c>
      <c r="AI883" s="4">
        <v>108</v>
      </c>
      <c r="AJ883" s="4">
        <v>17</v>
      </c>
      <c r="AK883" s="4">
        <v>17</v>
      </c>
      <c r="AL883" s="4">
        <v>58</v>
      </c>
      <c r="AM883" s="4">
        <v>58</v>
      </c>
      <c r="AN883" s="4">
        <v>0</v>
      </c>
      <c r="AO883" s="4">
        <v>0</v>
      </c>
      <c r="AP883" s="4">
        <v>28</v>
      </c>
      <c r="AQ883" s="4">
        <v>30</v>
      </c>
      <c r="AR883" s="3" t="s">
        <v>63</v>
      </c>
      <c r="AS883" s="3" t="s">
        <v>63</v>
      </c>
      <c r="AT883" s="3" t="s">
        <v>62</v>
      </c>
      <c r="AU883" s="6" t="str">
        <f>HYPERLINK("http://catalog.hathitrust.org/Record/000774779","HathiTrust Record")</f>
        <v>HathiTrust Record</v>
      </c>
      <c r="AV883" s="6" t="str">
        <f>HYPERLINK("http://mcgill.on.worldcat.org/oclc/721444","Catalog Record")</f>
        <v>Catalog Record</v>
      </c>
      <c r="AW883" s="6" t="str">
        <f>HYPERLINK("http://www.worldcat.org/oclc/721444","WorldCat Record")</f>
        <v>WorldCat Record</v>
      </c>
      <c r="AX883" s="3" t="s">
        <v>8899</v>
      </c>
      <c r="AY883" s="3" t="s">
        <v>8900</v>
      </c>
      <c r="AZ883" s="3" t="s">
        <v>8901</v>
      </c>
      <c r="BA883" s="3" t="s">
        <v>8901</v>
      </c>
      <c r="BB883" s="3" t="s">
        <v>8909</v>
      </c>
      <c r="BC883" s="3" t="s">
        <v>82</v>
      </c>
      <c r="BD883" s="3" t="s">
        <v>70</v>
      </c>
      <c r="BF883" s="3" t="s">
        <v>8909</v>
      </c>
      <c r="BG883" s="3" t="s">
        <v>8910</v>
      </c>
    </row>
    <row r="884" spans="1:59" ht="60" x14ac:dyDescent="0.25">
      <c r="A884" s="2" t="s">
        <v>59</v>
      </c>
      <c r="B884" s="2" t="s">
        <v>60</v>
      </c>
      <c r="C884" s="2" t="s">
        <v>8911</v>
      </c>
      <c r="D884" s="2" t="s">
        <v>8912</v>
      </c>
      <c r="E884" s="2" t="s">
        <v>8913</v>
      </c>
      <c r="G884" s="3" t="s">
        <v>63</v>
      </c>
      <c r="I884" s="3" t="s">
        <v>63</v>
      </c>
      <c r="J884" s="3" t="s">
        <v>63</v>
      </c>
      <c r="K884" s="3" t="s">
        <v>64</v>
      </c>
      <c r="M884" s="2" t="s">
        <v>8914</v>
      </c>
      <c r="N884" s="3" t="s">
        <v>1557</v>
      </c>
      <c r="P884" s="3" t="s">
        <v>66</v>
      </c>
      <c r="Q884" s="2" t="s">
        <v>8915</v>
      </c>
      <c r="R884" s="3" t="s">
        <v>67</v>
      </c>
      <c r="S884" s="4">
        <v>0</v>
      </c>
      <c r="T884" s="4">
        <v>0</v>
      </c>
      <c r="W884" s="5" t="s">
        <v>69</v>
      </c>
      <c r="X884" s="5" t="s">
        <v>69</v>
      </c>
      <c r="Y884" s="4">
        <v>99</v>
      </c>
      <c r="Z884" s="4">
        <v>4</v>
      </c>
      <c r="AA884" s="4">
        <v>5</v>
      </c>
      <c r="AB884" s="4">
        <v>2</v>
      </c>
      <c r="AC884" s="4">
        <v>3</v>
      </c>
      <c r="AD884" s="4">
        <v>20</v>
      </c>
      <c r="AE884" s="4">
        <v>21</v>
      </c>
      <c r="AF884" s="4">
        <v>0</v>
      </c>
      <c r="AG884" s="4">
        <v>0</v>
      </c>
      <c r="AH884" s="4">
        <v>20</v>
      </c>
      <c r="AI884" s="4">
        <v>21</v>
      </c>
      <c r="AJ884" s="4">
        <v>0</v>
      </c>
      <c r="AK884" s="4">
        <v>0</v>
      </c>
      <c r="AL884" s="4">
        <v>14</v>
      </c>
      <c r="AM884" s="4">
        <v>14</v>
      </c>
      <c r="AN884" s="4">
        <v>0</v>
      </c>
      <c r="AO884" s="4">
        <v>0</v>
      </c>
      <c r="AP884" s="4">
        <v>0</v>
      </c>
      <c r="AQ884" s="4">
        <v>0</v>
      </c>
      <c r="AR884" s="3" t="s">
        <v>63</v>
      </c>
      <c r="AS884" s="3" t="s">
        <v>63</v>
      </c>
      <c r="AT884" s="3" t="s">
        <v>63</v>
      </c>
      <c r="AV884" s="6" t="str">
        <f>HYPERLINK("http://mcgill.on.worldcat.org/oclc/959667130","Catalog Record")</f>
        <v>Catalog Record</v>
      </c>
      <c r="AW884" s="6" t="str">
        <f>HYPERLINK("http://www.worldcat.org/oclc/959667130","WorldCat Record")</f>
        <v>WorldCat Record</v>
      </c>
      <c r="AX884" s="3" t="s">
        <v>8916</v>
      </c>
      <c r="AY884" s="3" t="s">
        <v>8917</v>
      </c>
      <c r="AZ884" s="3" t="s">
        <v>8918</v>
      </c>
      <c r="BA884" s="3" t="s">
        <v>8918</v>
      </c>
      <c r="BB884" s="3" t="s">
        <v>8919</v>
      </c>
      <c r="BC884" s="3" t="s">
        <v>82</v>
      </c>
      <c r="BD884" s="3" t="s">
        <v>70</v>
      </c>
      <c r="BE884" s="3" t="s">
        <v>8920</v>
      </c>
      <c r="BF884" s="3" t="s">
        <v>8919</v>
      </c>
      <c r="BG884" s="3" t="s">
        <v>8921</v>
      </c>
    </row>
    <row r="885" spans="1:59" ht="60" x14ac:dyDescent="0.25">
      <c r="A885" s="2" t="s">
        <v>59</v>
      </c>
      <c r="B885" s="2" t="s">
        <v>60</v>
      </c>
      <c r="C885" s="2" t="s">
        <v>8922</v>
      </c>
      <c r="D885" s="2" t="s">
        <v>8923</v>
      </c>
      <c r="E885" s="2" t="s">
        <v>8924</v>
      </c>
      <c r="G885" s="3" t="s">
        <v>63</v>
      </c>
      <c r="I885" s="3" t="s">
        <v>63</v>
      </c>
      <c r="J885" s="3" t="s">
        <v>63</v>
      </c>
      <c r="K885" s="3" t="s">
        <v>64</v>
      </c>
      <c r="M885" s="2" t="s">
        <v>8925</v>
      </c>
      <c r="N885" s="3" t="s">
        <v>731</v>
      </c>
      <c r="P885" s="3" t="s">
        <v>66</v>
      </c>
      <c r="R885" s="3" t="s">
        <v>67</v>
      </c>
      <c r="S885" s="4">
        <v>16</v>
      </c>
      <c r="T885" s="4">
        <v>16</v>
      </c>
      <c r="U885" s="5" t="s">
        <v>8716</v>
      </c>
      <c r="V885" s="5" t="s">
        <v>8716</v>
      </c>
      <c r="W885" s="5" t="s">
        <v>69</v>
      </c>
      <c r="X885" s="5" t="s">
        <v>69</v>
      </c>
      <c r="Y885" s="4">
        <v>608</v>
      </c>
      <c r="Z885" s="4">
        <v>34</v>
      </c>
      <c r="AA885" s="4">
        <v>34</v>
      </c>
      <c r="AB885" s="4">
        <v>2</v>
      </c>
      <c r="AC885" s="4">
        <v>2</v>
      </c>
      <c r="AD885" s="4">
        <v>123</v>
      </c>
      <c r="AE885" s="4">
        <v>123</v>
      </c>
      <c r="AF885" s="4">
        <v>0</v>
      </c>
      <c r="AG885" s="4">
        <v>0</v>
      </c>
      <c r="AH885" s="4">
        <v>107</v>
      </c>
      <c r="AI885" s="4">
        <v>107</v>
      </c>
      <c r="AJ885" s="4">
        <v>20</v>
      </c>
      <c r="AK885" s="4">
        <v>20</v>
      </c>
      <c r="AL885" s="4">
        <v>56</v>
      </c>
      <c r="AM885" s="4">
        <v>56</v>
      </c>
      <c r="AN885" s="4">
        <v>0</v>
      </c>
      <c r="AO885" s="4">
        <v>0</v>
      </c>
      <c r="AP885" s="4">
        <v>24</v>
      </c>
      <c r="AQ885" s="4">
        <v>24</v>
      </c>
      <c r="AR885" s="3" t="s">
        <v>63</v>
      </c>
      <c r="AS885" s="3" t="s">
        <v>63</v>
      </c>
      <c r="AT885" s="3" t="s">
        <v>62</v>
      </c>
      <c r="AU885" s="6" t="str">
        <f>HYPERLINK("http://catalog.hathitrust.org/Record/000685992","HathiTrust Record")</f>
        <v>HathiTrust Record</v>
      </c>
      <c r="AV885" s="6" t="str">
        <f>HYPERLINK("http://mcgill.on.worldcat.org/oclc/1845725","Catalog Record")</f>
        <v>Catalog Record</v>
      </c>
      <c r="AW885" s="6" t="str">
        <f>HYPERLINK("http://www.worldcat.org/oclc/1845725","WorldCat Record")</f>
        <v>WorldCat Record</v>
      </c>
      <c r="AX885" s="3" t="s">
        <v>8926</v>
      </c>
      <c r="AY885" s="3" t="s">
        <v>8927</v>
      </c>
      <c r="AZ885" s="3" t="s">
        <v>8928</v>
      </c>
      <c r="BA885" s="3" t="s">
        <v>8928</v>
      </c>
      <c r="BB885" s="3" t="s">
        <v>8929</v>
      </c>
      <c r="BC885" s="3" t="s">
        <v>82</v>
      </c>
      <c r="BD885" s="3" t="s">
        <v>70</v>
      </c>
      <c r="BE885" s="3" t="s">
        <v>8930</v>
      </c>
      <c r="BF885" s="3" t="s">
        <v>8929</v>
      </c>
      <c r="BG885" s="3" t="s">
        <v>8931</v>
      </c>
    </row>
    <row r="886" spans="1:59" ht="60" x14ac:dyDescent="0.25">
      <c r="A886" s="2" t="s">
        <v>59</v>
      </c>
      <c r="B886" s="2" t="s">
        <v>60</v>
      </c>
      <c r="C886" s="2" t="s">
        <v>8932</v>
      </c>
      <c r="D886" s="2" t="s">
        <v>8933</v>
      </c>
      <c r="E886" s="2" t="s">
        <v>8934</v>
      </c>
      <c r="G886" s="3" t="s">
        <v>63</v>
      </c>
      <c r="I886" s="3" t="s">
        <v>63</v>
      </c>
      <c r="J886" s="3" t="s">
        <v>63</v>
      </c>
      <c r="K886" s="3" t="s">
        <v>64</v>
      </c>
      <c r="M886" s="2" t="s">
        <v>8935</v>
      </c>
      <c r="N886" s="3" t="s">
        <v>76</v>
      </c>
      <c r="P886" s="3" t="s">
        <v>66</v>
      </c>
      <c r="Q886" s="2" t="s">
        <v>8936</v>
      </c>
      <c r="R886" s="3" t="s">
        <v>67</v>
      </c>
      <c r="S886" s="4">
        <v>0</v>
      </c>
      <c r="T886" s="4">
        <v>0</v>
      </c>
      <c r="W886" s="5" t="s">
        <v>69</v>
      </c>
      <c r="X886" s="5" t="s">
        <v>69</v>
      </c>
      <c r="Y886" s="4">
        <v>116</v>
      </c>
      <c r="Z886" s="4">
        <v>7</v>
      </c>
      <c r="AA886" s="4">
        <v>9</v>
      </c>
      <c r="AB886" s="4">
        <v>1</v>
      </c>
      <c r="AC886" s="4">
        <v>2</v>
      </c>
      <c r="AD886" s="4">
        <v>56</v>
      </c>
      <c r="AE886" s="4">
        <v>57</v>
      </c>
      <c r="AF886" s="4">
        <v>0</v>
      </c>
      <c r="AG886" s="4">
        <v>0</v>
      </c>
      <c r="AH886" s="4">
        <v>51</v>
      </c>
      <c r="AI886" s="4">
        <v>52</v>
      </c>
      <c r="AJ886" s="4">
        <v>6</v>
      </c>
      <c r="AK886" s="4">
        <v>6</v>
      </c>
      <c r="AL886" s="4">
        <v>37</v>
      </c>
      <c r="AM886" s="4">
        <v>37</v>
      </c>
      <c r="AN886" s="4">
        <v>0</v>
      </c>
      <c r="AO886" s="4">
        <v>0</v>
      </c>
      <c r="AP886" s="4">
        <v>6</v>
      </c>
      <c r="AQ886" s="4">
        <v>6</v>
      </c>
      <c r="AR886" s="3" t="s">
        <v>63</v>
      </c>
      <c r="AS886" s="3" t="s">
        <v>63</v>
      </c>
      <c r="AT886" s="3" t="s">
        <v>63</v>
      </c>
      <c r="AV886" s="6" t="str">
        <f>HYPERLINK("http://mcgill.on.worldcat.org/oclc/783151650","Catalog Record")</f>
        <v>Catalog Record</v>
      </c>
      <c r="AW886" s="6" t="str">
        <f>HYPERLINK("http://www.worldcat.org/oclc/783151650","WorldCat Record")</f>
        <v>WorldCat Record</v>
      </c>
      <c r="AX886" s="3" t="s">
        <v>8937</v>
      </c>
      <c r="AY886" s="3" t="s">
        <v>8938</v>
      </c>
      <c r="AZ886" s="3" t="s">
        <v>8939</v>
      </c>
      <c r="BA886" s="3" t="s">
        <v>8939</v>
      </c>
      <c r="BB886" s="3" t="s">
        <v>8940</v>
      </c>
      <c r="BC886" s="3" t="s">
        <v>82</v>
      </c>
      <c r="BD886" s="3" t="s">
        <v>70</v>
      </c>
      <c r="BE886" s="3" t="s">
        <v>8941</v>
      </c>
      <c r="BF886" s="3" t="s">
        <v>8940</v>
      </c>
      <c r="BG886" s="3" t="s">
        <v>8942</v>
      </c>
    </row>
    <row r="887" spans="1:59" ht="60" x14ac:dyDescent="0.25">
      <c r="A887" s="2" t="s">
        <v>59</v>
      </c>
      <c r="B887" s="2" t="s">
        <v>60</v>
      </c>
      <c r="C887" s="2" t="s">
        <v>8943</v>
      </c>
      <c r="D887" s="2" t="s">
        <v>8944</v>
      </c>
      <c r="E887" s="2" t="s">
        <v>8945</v>
      </c>
      <c r="G887" s="3" t="s">
        <v>63</v>
      </c>
      <c r="I887" s="3" t="s">
        <v>63</v>
      </c>
      <c r="J887" s="3" t="s">
        <v>63</v>
      </c>
      <c r="K887" s="3" t="s">
        <v>64</v>
      </c>
      <c r="M887" s="2" t="s">
        <v>8946</v>
      </c>
      <c r="N887" s="3" t="s">
        <v>274</v>
      </c>
      <c r="P887" s="3" t="s">
        <v>66</v>
      </c>
      <c r="R887" s="3" t="s">
        <v>67</v>
      </c>
      <c r="S887" s="4">
        <v>21</v>
      </c>
      <c r="T887" s="4">
        <v>21</v>
      </c>
      <c r="U887" s="5" t="s">
        <v>4192</v>
      </c>
      <c r="V887" s="5" t="s">
        <v>4192</v>
      </c>
      <c r="W887" s="5" t="s">
        <v>69</v>
      </c>
      <c r="X887" s="5" t="s">
        <v>69</v>
      </c>
      <c r="Y887" s="4">
        <v>242</v>
      </c>
      <c r="Z887" s="4">
        <v>14</v>
      </c>
      <c r="AA887" s="4">
        <v>14</v>
      </c>
      <c r="AB887" s="4">
        <v>2</v>
      </c>
      <c r="AC887" s="4">
        <v>2</v>
      </c>
      <c r="AD887" s="4">
        <v>79</v>
      </c>
      <c r="AE887" s="4">
        <v>79</v>
      </c>
      <c r="AF887" s="4">
        <v>0</v>
      </c>
      <c r="AG887" s="4">
        <v>0</v>
      </c>
      <c r="AH887" s="4">
        <v>74</v>
      </c>
      <c r="AI887" s="4">
        <v>74</v>
      </c>
      <c r="AJ887" s="4">
        <v>7</v>
      </c>
      <c r="AK887" s="4">
        <v>7</v>
      </c>
      <c r="AL887" s="4">
        <v>41</v>
      </c>
      <c r="AM887" s="4">
        <v>41</v>
      </c>
      <c r="AN887" s="4">
        <v>0</v>
      </c>
      <c r="AO887" s="4">
        <v>0</v>
      </c>
      <c r="AP887" s="4">
        <v>9</v>
      </c>
      <c r="AQ887" s="4">
        <v>9</v>
      </c>
      <c r="AR887" s="3" t="s">
        <v>63</v>
      </c>
      <c r="AS887" s="3" t="s">
        <v>63</v>
      </c>
      <c r="AT887" s="3" t="s">
        <v>62</v>
      </c>
      <c r="AU887" s="6" t="str">
        <f>HYPERLINK("http://catalog.hathitrust.org/Record/007142552","HathiTrust Record")</f>
        <v>HathiTrust Record</v>
      </c>
      <c r="AV887" s="6" t="str">
        <f>HYPERLINK("http://mcgill.on.worldcat.org/oclc/41504212","Catalog Record")</f>
        <v>Catalog Record</v>
      </c>
      <c r="AW887" s="6" t="str">
        <f>HYPERLINK("http://www.worldcat.org/oclc/41504212","WorldCat Record")</f>
        <v>WorldCat Record</v>
      </c>
      <c r="AX887" s="3" t="s">
        <v>8947</v>
      </c>
      <c r="AY887" s="3" t="s">
        <v>8948</v>
      </c>
      <c r="AZ887" s="3" t="s">
        <v>8949</v>
      </c>
      <c r="BA887" s="3" t="s">
        <v>8949</v>
      </c>
      <c r="BB887" s="3" t="s">
        <v>8950</v>
      </c>
      <c r="BC887" s="3" t="s">
        <v>82</v>
      </c>
      <c r="BD887" s="3" t="s">
        <v>70</v>
      </c>
      <c r="BE887" s="3" t="s">
        <v>8951</v>
      </c>
      <c r="BF887" s="3" t="s">
        <v>8950</v>
      </c>
      <c r="BG887" s="3" t="s">
        <v>8952</v>
      </c>
    </row>
    <row r="888" spans="1:59" ht="60" x14ac:dyDescent="0.25">
      <c r="A888" s="2" t="s">
        <v>59</v>
      </c>
      <c r="B888" s="2" t="s">
        <v>60</v>
      </c>
      <c r="C888" s="2" t="s">
        <v>8953</v>
      </c>
      <c r="D888" s="2" t="s">
        <v>8954</v>
      </c>
      <c r="E888" s="2" t="s">
        <v>8955</v>
      </c>
      <c r="G888" s="3" t="s">
        <v>63</v>
      </c>
      <c r="I888" s="3" t="s">
        <v>63</v>
      </c>
      <c r="J888" s="3" t="s">
        <v>63</v>
      </c>
      <c r="K888" s="3" t="s">
        <v>64</v>
      </c>
      <c r="M888" s="2" t="s">
        <v>8956</v>
      </c>
      <c r="N888" s="3" t="s">
        <v>106</v>
      </c>
      <c r="P888" s="3" t="s">
        <v>66</v>
      </c>
      <c r="R888" s="3" t="s">
        <v>67</v>
      </c>
      <c r="S888" s="4">
        <v>0</v>
      </c>
      <c r="T888" s="4">
        <v>0</v>
      </c>
      <c r="W888" s="5" t="s">
        <v>69</v>
      </c>
      <c r="X888" s="5" t="s">
        <v>69</v>
      </c>
      <c r="Y888" s="4">
        <v>89</v>
      </c>
      <c r="Z888" s="4">
        <v>2</v>
      </c>
      <c r="AA888" s="4">
        <v>6</v>
      </c>
      <c r="AB888" s="4">
        <v>1</v>
      </c>
      <c r="AC888" s="4">
        <v>3</v>
      </c>
      <c r="AD888" s="4">
        <v>6</v>
      </c>
      <c r="AE888" s="4">
        <v>9</v>
      </c>
      <c r="AF888" s="4">
        <v>0</v>
      </c>
      <c r="AG888" s="4">
        <v>0</v>
      </c>
      <c r="AH888" s="4">
        <v>6</v>
      </c>
      <c r="AI888" s="4">
        <v>8</v>
      </c>
      <c r="AJ888" s="4">
        <v>0</v>
      </c>
      <c r="AK888" s="4">
        <v>0</v>
      </c>
      <c r="AL888" s="4">
        <v>3</v>
      </c>
      <c r="AM888" s="4">
        <v>4</v>
      </c>
      <c r="AN888" s="4">
        <v>0</v>
      </c>
      <c r="AO888" s="4">
        <v>0</v>
      </c>
      <c r="AP888" s="4">
        <v>0</v>
      </c>
      <c r="AQ888" s="4">
        <v>0</v>
      </c>
      <c r="AR888" s="3" t="s">
        <v>63</v>
      </c>
      <c r="AS888" s="3" t="s">
        <v>63</v>
      </c>
      <c r="AT888" s="3" t="s">
        <v>63</v>
      </c>
      <c r="AV888" s="6" t="str">
        <f>HYPERLINK("http://mcgill.on.worldcat.org/oclc/944463989","Catalog Record")</f>
        <v>Catalog Record</v>
      </c>
      <c r="AW888" s="6" t="str">
        <f>HYPERLINK("http://www.worldcat.org/oclc/944463989","WorldCat Record")</f>
        <v>WorldCat Record</v>
      </c>
      <c r="AX888" s="3" t="s">
        <v>8957</v>
      </c>
      <c r="AY888" s="3" t="s">
        <v>8958</v>
      </c>
      <c r="AZ888" s="3" t="s">
        <v>8959</v>
      </c>
      <c r="BA888" s="3" t="s">
        <v>8959</v>
      </c>
      <c r="BB888" s="3" t="s">
        <v>8960</v>
      </c>
      <c r="BC888" s="3" t="s">
        <v>82</v>
      </c>
      <c r="BD888" s="3" t="s">
        <v>70</v>
      </c>
      <c r="BE888" s="3" t="s">
        <v>8961</v>
      </c>
      <c r="BF888" s="3" t="s">
        <v>8960</v>
      </c>
      <c r="BG888" s="3" t="s">
        <v>8962</v>
      </c>
    </row>
    <row r="889" spans="1:59" ht="60" x14ac:dyDescent="0.25">
      <c r="A889" s="2" t="s">
        <v>59</v>
      </c>
      <c r="B889" s="2" t="s">
        <v>60</v>
      </c>
      <c r="C889" s="2" t="s">
        <v>8963</v>
      </c>
      <c r="D889" s="2" t="s">
        <v>8964</v>
      </c>
      <c r="E889" s="2" t="s">
        <v>8965</v>
      </c>
      <c r="G889" s="3" t="s">
        <v>63</v>
      </c>
      <c r="I889" s="3" t="s">
        <v>63</v>
      </c>
      <c r="J889" s="3" t="s">
        <v>63</v>
      </c>
      <c r="K889" s="3" t="s">
        <v>64</v>
      </c>
      <c r="M889" s="2" t="s">
        <v>8966</v>
      </c>
      <c r="N889" s="3" t="s">
        <v>287</v>
      </c>
      <c r="P889" s="3" t="s">
        <v>66</v>
      </c>
      <c r="Q889" s="2" t="s">
        <v>8967</v>
      </c>
      <c r="R889" s="3" t="s">
        <v>67</v>
      </c>
      <c r="S889" s="4">
        <v>0</v>
      </c>
      <c r="T889" s="4">
        <v>0</v>
      </c>
      <c r="W889" s="5" t="s">
        <v>69</v>
      </c>
      <c r="X889" s="5" t="s">
        <v>69</v>
      </c>
      <c r="Y889" s="4">
        <v>61</v>
      </c>
      <c r="Z889" s="4">
        <v>6</v>
      </c>
      <c r="AA889" s="4">
        <v>6</v>
      </c>
      <c r="AB889" s="4">
        <v>1</v>
      </c>
      <c r="AC889" s="4">
        <v>1</v>
      </c>
      <c r="AD889" s="4">
        <v>29</v>
      </c>
      <c r="AE889" s="4">
        <v>29</v>
      </c>
      <c r="AF889" s="4">
        <v>0</v>
      </c>
      <c r="AG889" s="4">
        <v>0</v>
      </c>
      <c r="AH889" s="4">
        <v>24</v>
      </c>
      <c r="AI889" s="4">
        <v>24</v>
      </c>
      <c r="AJ889" s="4">
        <v>4</v>
      </c>
      <c r="AK889" s="4">
        <v>4</v>
      </c>
      <c r="AL889" s="4">
        <v>22</v>
      </c>
      <c r="AM889" s="4">
        <v>22</v>
      </c>
      <c r="AN889" s="4">
        <v>0</v>
      </c>
      <c r="AO889" s="4">
        <v>0</v>
      </c>
      <c r="AP889" s="4">
        <v>4</v>
      </c>
      <c r="AQ889" s="4">
        <v>4</v>
      </c>
      <c r="AR889" s="3" t="s">
        <v>63</v>
      </c>
      <c r="AS889" s="3" t="s">
        <v>63</v>
      </c>
      <c r="AT889" s="3" t="s">
        <v>63</v>
      </c>
      <c r="AV889" s="6" t="str">
        <f>HYPERLINK("http://mcgill.on.worldcat.org/oclc/1027158019","Catalog Record")</f>
        <v>Catalog Record</v>
      </c>
      <c r="AW889" s="6" t="str">
        <f>HYPERLINK("http://www.worldcat.org/oclc/1027158019","WorldCat Record")</f>
        <v>WorldCat Record</v>
      </c>
      <c r="AX889" s="3" t="s">
        <v>8968</v>
      </c>
      <c r="AY889" s="3" t="s">
        <v>8969</v>
      </c>
      <c r="AZ889" s="3" t="s">
        <v>8970</v>
      </c>
      <c r="BA889" s="3" t="s">
        <v>8970</v>
      </c>
      <c r="BB889" s="3" t="s">
        <v>8971</v>
      </c>
      <c r="BC889" s="3" t="s">
        <v>82</v>
      </c>
      <c r="BD889" s="3" t="s">
        <v>70</v>
      </c>
      <c r="BE889" s="3" t="s">
        <v>8972</v>
      </c>
      <c r="BF889" s="3" t="s">
        <v>8971</v>
      </c>
      <c r="BG889" s="3" t="s">
        <v>8973</v>
      </c>
    </row>
    <row r="890" spans="1:59" ht="60" x14ac:dyDescent="0.25">
      <c r="A890" s="2" t="s">
        <v>59</v>
      </c>
      <c r="B890" s="2" t="s">
        <v>60</v>
      </c>
      <c r="C890" s="2" t="s">
        <v>8974</v>
      </c>
      <c r="D890" s="2" t="s">
        <v>8975</v>
      </c>
      <c r="E890" s="2" t="s">
        <v>8976</v>
      </c>
      <c r="G890" s="3" t="s">
        <v>63</v>
      </c>
      <c r="I890" s="3" t="s">
        <v>63</v>
      </c>
      <c r="J890" s="3" t="s">
        <v>63</v>
      </c>
      <c r="K890" s="3" t="s">
        <v>64</v>
      </c>
      <c r="M890" s="2" t="s">
        <v>8977</v>
      </c>
      <c r="N890" s="3" t="s">
        <v>234</v>
      </c>
      <c r="P890" s="3" t="s">
        <v>66</v>
      </c>
      <c r="Q890" s="2" t="s">
        <v>8978</v>
      </c>
      <c r="R890" s="3" t="s">
        <v>67</v>
      </c>
      <c r="S890" s="4">
        <v>4</v>
      </c>
      <c r="T890" s="4">
        <v>4</v>
      </c>
      <c r="U890" s="5" t="s">
        <v>8979</v>
      </c>
      <c r="V890" s="5" t="s">
        <v>8979</v>
      </c>
      <c r="W890" s="5" t="s">
        <v>69</v>
      </c>
      <c r="X890" s="5" t="s">
        <v>69</v>
      </c>
      <c r="Y890" s="4">
        <v>179</v>
      </c>
      <c r="Z890" s="4">
        <v>15</v>
      </c>
      <c r="AA890" s="4">
        <v>16</v>
      </c>
      <c r="AB890" s="4">
        <v>1</v>
      </c>
      <c r="AC890" s="4">
        <v>2</v>
      </c>
      <c r="AD890" s="4">
        <v>71</v>
      </c>
      <c r="AE890" s="4">
        <v>72</v>
      </c>
      <c r="AF890" s="4">
        <v>0</v>
      </c>
      <c r="AG890" s="4">
        <v>1</v>
      </c>
      <c r="AH890" s="4">
        <v>64</v>
      </c>
      <c r="AI890" s="4">
        <v>65</v>
      </c>
      <c r="AJ890" s="4">
        <v>9</v>
      </c>
      <c r="AK890" s="4">
        <v>10</v>
      </c>
      <c r="AL890" s="4">
        <v>41</v>
      </c>
      <c r="AM890" s="4">
        <v>41</v>
      </c>
      <c r="AN890" s="4">
        <v>0</v>
      </c>
      <c r="AO890" s="4">
        <v>0</v>
      </c>
      <c r="AP890" s="4">
        <v>11</v>
      </c>
      <c r="AQ890" s="4">
        <v>12</v>
      </c>
      <c r="AR890" s="3" t="s">
        <v>63</v>
      </c>
      <c r="AS890" s="3" t="s">
        <v>63</v>
      </c>
      <c r="AT890" s="3" t="s">
        <v>63</v>
      </c>
      <c r="AV890" s="6" t="str">
        <f>HYPERLINK("http://mcgill.on.worldcat.org/oclc/72372105","Catalog Record")</f>
        <v>Catalog Record</v>
      </c>
      <c r="AW890" s="6" t="str">
        <f>HYPERLINK("http://www.worldcat.org/oclc/72372105","WorldCat Record")</f>
        <v>WorldCat Record</v>
      </c>
      <c r="AX890" s="3" t="s">
        <v>8980</v>
      </c>
      <c r="AY890" s="3" t="s">
        <v>8981</v>
      </c>
      <c r="AZ890" s="3" t="s">
        <v>8982</v>
      </c>
      <c r="BA890" s="3" t="s">
        <v>8982</v>
      </c>
      <c r="BB890" s="3" t="s">
        <v>8983</v>
      </c>
      <c r="BC890" s="3" t="s">
        <v>82</v>
      </c>
      <c r="BD890" s="3" t="s">
        <v>70</v>
      </c>
      <c r="BE890" s="3" t="s">
        <v>8984</v>
      </c>
      <c r="BF890" s="3" t="s">
        <v>8983</v>
      </c>
      <c r="BG890" s="3" t="s">
        <v>8985</v>
      </c>
    </row>
    <row r="891" spans="1:59" ht="60" x14ac:dyDescent="0.25">
      <c r="A891" s="2" t="s">
        <v>59</v>
      </c>
      <c r="B891" s="2" t="s">
        <v>60</v>
      </c>
      <c r="C891" s="2" t="s">
        <v>8986</v>
      </c>
      <c r="D891" s="2" t="s">
        <v>8987</v>
      </c>
      <c r="E891" s="2" t="s">
        <v>8988</v>
      </c>
      <c r="G891" s="3" t="s">
        <v>63</v>
      </c>
      <c r="I891" s="3" t="s">
        <v>63</v>
      </c>
      <c r="J891" s="3" t="s">
        <v>63</v>
      </c>
      <c r="K891" s="3" t="s">
        <v>64</v>
      </c>
      <c r="M891" s="2" t="s">
        <v>8989</v>
      </c>
      <c r="N891" s="3" t="s">
        <v>300</v>
      </c>
      <c r="P891" s="3" t="s">
        <v>66</v>
      </c>
      <c r="R891" s="3" t="s">
        <v>67</v>
      </c>
      <c r="S891" s="4">
        <v>2</v>
      </c>
      <c r="T891" s="4">
        <v>2</v>
      </c>
      <c r="U891" s="5" t="s">
        <v>8682</v>
      </c>
      <c r="V891" s="5" t="s">
        <v>8682</v>
      </c>
      <c r="W891" s="5" t="s">
        <v>69</v>
      </c>
      <c r="X891" s="5" t="s">
        <v>69</v>
      </c>
      <c r="Y891" s="4">
        <v>677</v>
      </c>
      <c r="Z891" s="4">
        <v>32</v>
      </c>
      <c r="AA891" s="4">
        <v>33</v>
      </c>
      <c r="AB891" s="4">
        <v>2</v>
      </c>
      <c r="AC891" s="4">
        <v>2</v>
      </c>
      <c r="AD891" s="4">
        <v>115</v>
      </c>
      <c r="AE891" s="4">
        <v>116</v>
      </c>
      <c r="AF891" s="4">
        <v>1</v>
      </c>
      <c r="AG891" s="4">
        <v>1</v>
      </c>
      <c r="AH891" s="4">
        <v>94</v>
      </c>
      <c r="AI891" s="4">
        <v>95</v>
      </c>
      <c r="AJ891" s="4">
        <v>18</v>
      </c>
      <c r="AK891" s="4">
        <v>19</v>
      </c>
      <c r="AL891" s="4">
        <v>52</v>
      </c>
      <c r="AM891" s="4">
        <v>52</v>
      </c>
      <c r="AN891" s="4">
        <v>0</v>
      </c>
      <c r="AO891" s="4">
        <v>0</v>
      </c>
      <c r="AP891" s="4">
        <v>24</v>
      </c>
      <c r="AQ891" s="4">
        <v>25</v>
      </c>
      <c r="AR891" s="3" t="s">
        <v>63</v>
      </c>
      <c r="AS891" s="3" t="s">
        <v>63</v>
      </c>
      <c r="AT891" s="3" t="s">
        <v>62</v>
      </c>
      <c r="AU891" s="6" t="str">
        <f>HYPERLINK("http://catalog.hathitrust.org/Record/000980765","HathiTrust Record")</f>
        <v>HathiTrust Record</v>
      </c>
      <c r="AV891" s="6" t="str">
        <f>HYPERLINK("http://mcgill.on.worldcat.org/oclc/321430","Catalog Record")</f>
        <v>Catalog Record</v>
      </c>
      <c r="AW891" s="6" t="str">
        <f>HYPERLINK("http://www.worldcat.org/oclc/321430","WorldCat Record")</f>
        <v>WorldCat Record</v>
      </c>
      <c r="AX891" s="3" t="s">
        <v>8990</v>
      </c>
      <c r="AY891" s="3" t="s">
        <v>8991</v>
      </c>
      <c r="AZ891" s="3" t="s">
        <v>8992</v>
      </c>
      <c r="BA891" s="3" t="s">
        <v>8992</v>
      </c>
      <c r="BB891" s="3" t="s">
        <v>8993</v>
      </c>
      <c r="BC891" s="3" t="s">
        <v>82</v>
      </c>
      <c r="BD891" s="3" t="s">
        <v>70</v>
      </c>
      <c r="BF891" s="3" t="s">
        <v>8993</v>
      </c>
      <c r="BG891" s="3" t="s">
        <v>8994</v>
      </c>
    </row>
    <row r="892" spans="1:59" ht="60" x14ac:dyDescent="0.25">
      <c r="A892" s="2" t="s">
        <v>59</v>
      </c>
      <c r="B892" s="2" t="s">
        <v>60</v>
      </c>
      <c r="C892" s="2" t="s">
        <v>8995</v>
      </c>
      <c r="D892" s="2" t="s">
        <v>8996</v>
      </c>
      <c r="E892" s="2" t="s">
        <v>8997</v>
      </c>
      <c r="F892" s="3" t="s">
        <v>5696</v>
      </c>
      <c r="G892" s="3" t="s">
        <v>62</v>
      </c>
      <c r="I892" s="3" t="s">
        <v>63</v>
      </c>
      <c r="J892" s="3" t="s">
        <v>63</v>
      </c>
      <c r="K892" s="3" t="s">
        <v>64</v>
      </c>
      <c r="L892" s="2" t="s">
        <v>8998</v>
      </c>
      <c r="M892" s="2" t="s">
        <v>8999</v>
      </c>
      <c r="N892" s="3" t="s">
        <v>918</v>
      </c>
      <c r="P892" s="3" t="s">
        <v>66</v>
      </c>
      <c r="R892" s="3" t="s">
        <v>67</v>
      </c>
      <c r="S892" s="4">
        <v>19</v>
      </c>
      <c r="T892" s="4">
        <v>33</v>
      </c>
      <c r="U892" s="5" t="s">
        <v>9000</v>
      </c>
      <c r="V892" s="5" t="s">
        <v>8229</v>
      </c>
      <c r="W892" s="5" t="s">
        <v>69</v>
      </c>
      <c r="X892" s="5" t="s">
        <v>69</v>
      </c>
      <c r="Y892" s="4">
        <v>690</v>
      </c>
      <c r="Z892" s="4">
        <v>16</v>
      </c>
      <c r="AA892" s="4">
        <v>22</v>
      </c>
      <c r="AB892" s="4">
        <v>1</v>
      </c>
      <c r="AC892" s="4">
        <v>1</v>
      </c>
      <c r="AD892" s="4">
        <v>78</v>
      </c>
      <c r="AE892" s="4">
        <v>83</v>
      </c>
      <c r="AF892" s="4">
        <v>0</v>
      </c>
      <c r="AG892" s="4">
        <v>0</v>
      </c>
      <c r="AH892" s="4">
        <v>69</v>
      </c>
      <c r="AI892" s="4">
        <v>72</v>
      </c>
      <c r="AJ892" s="4">
        <v>11</v>
      </c>
      <c r="AK892" s="4">
        <v>12</v>
      </c>
      <c r="AL892" s="4">
        <v>35</v>
      </c>
      <c r="AM892" s="4">
        <v>37</v>
      </c>
      <c r="AN892" s="4">
        <v>0</v>
      </c>
      <c r="AO892" s="4">
        <v>0</v>
      </c>
      <c r="AP892" s="4">
        <v>13</v>
      </c>
      <c r="AQ892" s="4">
        <v>17</v>
      </c>
      <c r="AR892" s="3" t="s">
        <v>63</v>
      </c>
      <c r="AS892" s="3" t="s">
        <v>63</v>
      </c>
      <c r="AT892" s="3" t="s">
        <v>62</v>
      </c>
      <c r="AU892" s="6" t="str">
        <f>HYPERLINK("http://catalog.hathitrust.org/Record/000980766","HathiTrust Record")</f>
        <v>HathiTrust Record</v>
      </c>
      <c r="AV892" s="6" t="str">
        <f>HYPERLINK("http://mcgill.on.worldcat.org/oclc/321360","Catalog Record")</f>
        <v>Catalog Record</v>
      </c>
      <c r="AW892" s="6" t="str">
        <f>HYPERLINK("http://www.worldcat.org/oclc/321360","WorldCat Record")</f>
        <v>WorldCat Record</v>
      </c>
      <c r="AX892" s="3" t="s">
        <v>9001</v>
      </c>
      <c r="AY892" s="3" t="s">
        <v>9002</v>
      </c>
      <c r="AZ892" s="3" t="s">
        <v>9003</v>
      </c>
      <c r="BA892" s="3" t="s">
        <v>9003</v>
      </c>
      <c r="BB892" s="3" t="s">
        <v>9004</v>
      </c>
      <c r="BC892" s="3" t="s">
        <v>82</v>
      </c>
      <c r="BD892" s="3" t="s">
        <v>70</v>
      </c>
      <c r="BF892" s="3" t="s">
        <v>9004</v>
      </c>
      <c r="BG892" s="3" t="s">
        <v>9005</v>
      </c>
    </row>
    <row r="893" spans="1:59" ht="60" x14ac:dyDescent="0.25">
      <c r="A893" s="2" t="s">
        <v>59</v>
      </c>
      <c r="B893" s="2" t="s">
        <v>60</v>
      </c>
      <c r="C893" s="2" t="s">
        <v>8995</v>
      </c>
      <c r="D893" s="2" t="s">
        <v>8996</v>
      </c>
      <c r="E893" s="2" t="s">
        <v>8997</v>
      </c>
      <c r="F893" s="3" t="s">
        <v>5684</v>
      </c>
      <c r="G893" s="3" t="s">
        <v>62</v>
      </c>
      <c r="I893" s="3" t="s">
        <v>63</v>
      </c>
      <c r="J893" s="3" t="s">
        <v>63</v>
      </c>
      <c r="K893" s="3" t="s">
        <v>64</v>
      </c>
      <c r="L893" s="2" t="s">
        <v>8998</v>
      </c>
      <c r="M893" s="2" t="s">
        <v>8999</v>
      </c>
      <c r="N893" s="3" t="s">
        <v>918</v>
      </c>
      <c r="P893" s="3" t="s">
        <v>66</v>
      </c>
      <c r="R893" s="3" t="s">
        <v>67</v>
      </c>
      <c r="S893" s="4">
        <v>14</v>
      </c>
      <c r="T893" s="4">
        <v>33</v>
      </c>
      <c r="U893" s="5" t="s">
        <v>8229</v>
      </c>
      <c r="V893" s="5" t="s">
        <v>8229</v>
      </c>
      <c r="W893" s="5" t="s">
        <v>69</v>
      </c>
      <c r="X893" s="5" t="s">
        <v>69</v>
      </c>
      <c r="Y893" s="4">
        <v>690</v>
      </c>
      <c r="Z893" s="4">
        <v>16</v>
      </c>
      <c r="AA893" s="4">
        <v>22</v>
      </c>
      <c r="AB893" s="4">
        <v>1</v>
      </c>
      <c r="AC893" s="4">
        <v>1</v>
      </c>
      <c r="AD893" s="4">
        <v>78</v>
      </c>
      <c r="AE893" s="4">
        <v>83</v>
      </c>
      <c r="AF893" s="4">
        <v>0</v>
      </c>
      <c r="AG893" s="4">
        <v>0</v>
      </c>
      <c r="AH893" s="4">
        <v>69</v>
      </c>
      <c r="AI893" s="4">
        <v>72</v>
      </c>
      <c r="AJ893" s="4">
        <v>11</v>
      </c>
      <c r="AK893" s="4">
        <v>12</v>
      </c>
      <c r="AL893" s="4">
        <v>35</v>
      </c>
      <c r="AM893" s="4">
        <v>37</v>
      </c>
      <c r="AN893" s="4">
        <v>0</v>
      </c>
      <c r="AO893" s="4">
        <v>0</v>
      </c>
      <c r="AP893" s="4">
        <v>13</v>
      </c>
      <c r="AQ893" s="4">
        <v>17</v>
      </c>
      <c r="AR893" s="3" t="s">
        <v>63</v>
      </c>
      <c r="AS893" s="3" t="s">
        <v>63</v>
      </c>
      <c r="AT893" s="3" t="s">
        <v>62</v>
      </c>
      <c r="AU893" s="6" t="str">
        <f>HYPERLINK("http://catalog.hathitrust.org/Record/000980766","HathiTrust Record")</f>
        <v>HathiTrust Record</v>
      </c>
      <c r="AV893" s="6" t="str">
        <f>HYPERLINK("http://mcgill.on.worldcat.org/oclc/321360","Catalog Record")</f>
        <v>Catalog Record</v>
      </c>
      <c r="AW893" s="6" t="str">
        <f>HYPERLINK("http://www.worldcat.org/oclc/321360","WorldCat Record")</f>
        <v>WorldCat Record</v>
      </c>
      <c r="AX893" s="3" t="s">
        <v>9001</v>
      </c>
      <c r="AY893" s="3" t="s">
        <v>9002</v>
      </c>
      <c r="AZ893" s="3" t="s">
        <v>9003</v>
      </c>
      <c r="BA893" s="3" t="s">
        <v>9003</v>
      </c>
      <c r="BB893" s="3" t="s">
        <v>9006</v>
      </c>
      <c r="BC893" s="3" t="s">
        <v>82</v>
      </c>
      <c r="BD893" s="3" t="s">
        <v>70</v>
      </c>
      <c r="BF893" s="3" t="s">
        <v>9006</v>
      </c>
      <c r="BG893" s="3" t="s">
        <v>9007</v>
      </c>
    </row>
    <row r="894" spans="1:59" ht="60" x14ac:dyDescent="0.25">
      <c r="A894" s="2" t="s">
        <v>59</v>
      </c>
      <c r="B894" s="2" t="s">
        <v>60</v>
      </c>
      <c r="C894" s="2" t="s">
        <v>9008</v>
      </c>
      <c r="D894" s="2" t="s">
        <v>9009</v>
      </c>
      <c r="E894" s="2" t="s">
        <v>9010</v>
      </c>
      <c r="G894" s="3" t="s">
        <v>63</v>
      </c>
      <c r="I894" s="3" t="s">
        <v>62</v>
      </c>
      <c r="J894" s="3" t="s">
        <v>63</v>
      </c>
      <c r="K894" s="3" t="s">
        <v>64</v>
      </c>
      <c r="M894" s="2" t="s">
        <v>9011</v>
      </c>
      <c r="N894" s="3" t="s">
        <v>2393</v>
      </c>
      <c r="O894" s="2" t="s">
        <v>9012</v>
      </c>
      <c r="P894" s="3" t="s">
        <v>66</v>
      </c>
      <c r="R894" s="3" t="s">
        <v>67</v>
      </c>
      <c r="S894" s="4">
        <v>10</v>
      </c>
      <c r="T894" s="4">
        <v>44</v>
      </c>
      <c r="U894" s="5" t="s">
        <v>9013</v>
      </c>
      <c r="V894" s="5" t="s">
        <v>2807</v>
      </c>
      <c r="W894" s="5" t="s">
        <v>69</v>
      </c>
      <c r="X894" s="5" t="s">
        <v>69</v>
      </c>
      <c r="Y894" s="4">
        <v>436</v>
      </c>
      <c r="Z894" s="4">
        <v>21</v>
      </c>
      <c r="AA894" s="4">
        <v>56</v>
      </c>
      <c r="AB894" s="4">
        <v>3</v>
      </c>
      <c r="AC894" s="4">
        <v>7</v>
      </c>
      <c r="AD894" s="4">
        <v>92</v>
      </c>
      <c r="AE894" s="4">
        <v>135</v>
      </c>
      <c r="AF894" s="4">
        <v>1</v>
      </c>
      <c r="AG894" s="4">
        <v>3</v>
      </c>
      <c r="AH894" s="4">
        <v>79</v>
      </c>
      <c r="AI894" s="4">
        <v>106</v>
      </c>
      <c r="AJ894" s="4">
        <v>10</v>
      </c>
      <c r="AK894" s="4">
        <v>20</v>
      </c>
      <c r="AL894" s="4">
        <v>45</v>
      </c>
      <c r="AM894" s="4">
        <v>60</v>
      </c>
      <c r="AN894" s="4">
        <v>0</v>
      </c>
      <c r="AO894" s="4">
        <v>5</v>
      </c>
      <c r="AP894" s="4">
        <v>16</v>
      </c>
      <c r="AQ894" s="4">
        <v>34</v>
      </c>
      <c r="AR894" s="3" t="s">
        <v>63</v>
      </c>
      <c r="AS894" s="3" t="s">
        <v>63</v>
      </c>
      <c r="AT894" s="3" t="s">
        <v>62</v>
      </c>
      <c r="AU894" s="6" t="str">
        <f>HYPERLINK("http://catalog.hathitrust.org/Record/001223508","HathiTrust Record")</f>
        <v>HathiTrust Record</v>
      </c>
      <c r="AV894" s="6" t="str">
        <f>HYPERLINK("http://mcgill.on.worldcat.org/oclc/972484","Catalog Record")</f>
        <v>Catalog Record</v>
      </c>
      <c r="AW894" s="6" t="str">
        <f>HYPERLINK("http://www.worldcat.org/oclc/972484","WorldCat Record")</f>
        <v>WorldCat Record</v>
      </c>
      <c r="AX894" s="3" t="s">
        <v>9014</v>
      </c>
      <c r="AY894" s="3" t="s">
        <v>9015</v>
      </c>
      <c r="AZ894" s="3" t="s">
        <v>9016</v>
      </c>
      <c r="BA894" s="3" t="s">
        <v>9016</v>
      </c>
      <c r="BB894" s="3" t="s">
        <v>9017</v>
      </c>
      <c r="BC894" s="3" t="s">
        <v>82</v>
      </c>
      <c r="BD894" s="3" t="s">
        <v>70</v>
      </c>
      <c r="BE894" s="3" t="s">
        <v>9018</v>
      </c>
      <c r="BF894" s="3" t="s">
        <v>9017</v>
      </c>
      <c r="BG894" s="3" t="s">
        <v>9019</v>
      </c>
    </row>
    <row r="895" spans="1:59" ht="60" x14ac:dyDescent="0.25">
      <c r="A895" s="2" t="s">
        <v>59</v>
      </c>
      <c r="B895" s="2" t="s">
        <v>60</v>
      </c>
      <c r="C895" s="2" t="s">
        <v>9008</v>
      </c>
      <c r="D895" s="2" t="s">
        <v>9009</v>
      </c>
      <c r="E895" s="2" t="s">
        <v>9010</v>
      </c>
      <c r="G895" s="3" t="s">
        <v>63</v>
      </c>
      <c r="I895" s="3" t="s">
        <v>62</v>
      </c>
      <c r="J895" s="3" t="s">
        <v>63</v>
      </c>
      <c r="K895" s="3" t="s">
        <v>64</v>
      </c>
      <c r="M895" s="2" t="s">
        <v>9011</v>
      </c>
      <c r="N895" s="3" t="s">
        <v>2393</v>
      </c>
      <c r="O895" s="2" t="s">
        <v>9012</v>
      </c>
      <c r="P895" s="3" t="s">
        <v>66</v>
      </c>
      <c r="R895" s="3" t="s">
        <v>67</v>
      </c>
      <c r="S895" s="4">
        <v>15</v>
      </c>
      <c r="T895" s="4">
        <v>44</v>
      </c>
      <c r="U895" s="5" t="s">
        <v>2807</v>
      </c>
      <c r="V895" s="5" t="s">
        <v>2807</v>
      </c>
      <c r="W895" s="5" t="s">
        <v>69</v>
      </c>
      <c r="X895" s="5" t="s">
        <v>69</v>
      </c>
      <c r="Y895" s="4">
        <v>436</v>
      </c>
      <c r="Z895" s="4">
        <v>21</v>
      </c>
      <c r="AA895" s="4">
        <v>56</v>
      </c>
      <c r="AB895" s="4">
        <v>3</v>
      </c>
      <c r="AC895" s="4">
        <v>7</v>
      </c>
      <c r="AD895" s="4">
        <v>92</v>
      </c>
      <c r="AE895" s="4">
        <v>135</v>
      </c>
      <c r="AF895" s="4">
        <v>1</v>
      </c>
      <c r="AG895" s="4">
        <v>3</v>
      </c>
      <c r="AH895" s="4">
        <v>79</v>
      </c>
      <c r="AI895" s="4">
        <v>106</v>
      </c>
      <c r="AJ895" s="4">
        <v>10</v>
      </c>
      <c r="AK895" s="4">
        <v>20</v>
      </c>
      <c r="AL895" s="4">
        <v>45</v>
      </c>
      <c r="AM895" s="4">
        <v>60</v>
      </c>
      <c r="AN895" s="4">
        <v>0</v>
      </c>
      <c r="AO895" s="4">
        <v>5</v>
      </c>
      <c r="AP895" s="4">
        <v>16</v>
      </c>
      <c r="AQ895" s="4">
        <v>34</v>
      </c>
      <c r="AR895" s="3" t="s">
        <v>63</v>
      </c>
      <c r="AS895" s="3" t="s">
        <v>63</v>
      </c>
      <c r="AT895" s="3" t="s">
        <v>62</v>
      </c>
      <c r="AU895" s="6" t="str">
        <f>HYPERLINK("http://catalog.hathitrust.org/Record/001223508","HathiTrust Record")</f>
        <v>HathiTrust Record</v>
      </c>
      <c r="AV895" s="6" t="str">
        <f>HYPERLINK("http://mcgill.on.worldcat.org/oclc/972484","Catalog Record")</f>
        <v>Catalog Record</v>
      </c>
      <c r="AW895" s="6" t="str">
        <f>HYPERLINK("http://www.worldcat.org/oclc/972484","WorldCat Record")</f>
        <v>WorldCat Record</v>
      </c>
      <c r="AX895" s="3" t="s">
        <v>9014</v>
      </c>
      <c r="AY895" s="3" t="s">
        <v>9015</v>
      </c>
      <c r="AZ895" s="3" t="s">
        <v>9016</v>
      </c>
      <c r="BA895" s="3" t="s">
        <v>9016</v>
      </c>
      <c r="BB895" s="3" t="s">
        <v>9020</v>
      </c>
      <c r="BC895" s="3" t="s">
        <v>82</v>
      </c>
      <c r="BD895" s="3" t="s">
        <v>70</v>
      </c>
      <c r="BE895" s="3" t="s">
        <v>9018</v>
      </c>
      <c r="BF895" s="3" t="s">
        <v>9020</v>
      </c>
      <c r="BG895" s="3" t="s">
        <v>9021</v>
      </c>
    </row>
    <row r="896" spans="1:59" ht="60" x14ac:dyDescent="0.25">
      <c r="A896" s="2" t="s">
        <v>59</v>
      </c>
      <c r="B896" s="2" t="s">
        <v>60</v>
      </c>
      <c r="C896" s="2" t="s">
        <v>9008</v>
      </c>
      <c r="D896" s="2" t="s">
        <v>9009</v>
      </c>
      <c r="E896" s="2" t="s">
        <v>9010</v>
      </c>
      <c r="G896" s="3" t="s">
        <v>63</v>
      </c>
      <c r="I896" s="3" t="s">
        <v>62</v>
      </c>
      <c r="J896" s="3" t="s">
        <v>63</v>
      </c>
      <c r="K896" s="3" t="s">
        <v>64</v>
      </c>
      <c r="M896" s="2" t="s">
        <v>9011</v>
      </c>
      <c r="N896" s="3" t="s">
        <v>2393</v>
      </c>
      <c r="O896" s="2" t="s">
        <v>9012</v>
      </c>
      <c r="P896" s="3" t="s">
        <v>66</v>
      </c>
      <c r="R896" s="3" t="s">
        <v>67</v>
      </c>
      <c r="S896" s="4">
        <v>19</v>
      </c>
      <c r="T896" s="4">
        <v>44</v>
      </c>
      <c r="U896" s="5" t="s">
        <v>1690</v>
      </c>
      <c r="V896" s="5" t="s">
        <v>2807</v>
      </c>
      <c r="W896" s="5" t="s">
        <v>69</v>
      </c>
      <c r="X896" s="5" t="s">
        <v>69</v>
      </c>
      <c r="Y896" s="4">
        <v>436</v>
      </c>
      <c r="Z896" s="4">
        <v>21</v>
      </c>
      <c r="AA896" s="4">
        <v>56</v>
      </c>
      <c r="AB896" s="4">
        <v>3</v>
      </c>
      <c r="AC896" s="4">
        <v>7</v>
      </c>
      <c r="AD896" s="4">
        <v>92</v>
      </c>
      <c r="AE896" s="4">
        <v>135</v>
      </c>
      <c r="AF896" s="4">
        <v>1</v>
      </c>
      <c r="AG896" s="4">
        <v>3</v>
      </c>
      <c r="AH896" s="4">
        <v>79</v>
      </c>
      <c r="AI896" s="4">
        <v>106</v>
      </c>
      <c r="AJ896" s="4">
        <v>10</v>
      </c>
      <c r="AK896" s="4">
        <v>20</v>
      </c>
      <c r="AL896" s="4">
        <v>45</v>
      </c>
      <c r="AM896" s="4">
        <v>60</v>
      </c>
      <c r="AN896" s="4">
        <v>0</v>
      </c>
      <c r="AO896" s="4">
        <v>5</v>
      </c>
      <c r="AP896" s="4">
        <v>16</v>
      </c>
      <c r="AQ896" s="4">
        <v>34</v>
      </c>
      <c r="AR896" s="3" t="s">
        <v>63</v>
      </c>
      <c r="AS896" s="3" t="s">
        <v>63</v>
      </c>
      <c r="AT896" s="3" t="s">
        <v>62</v>
      </c>
      <c r="AU896" s="6" t="str">
        <f>HYPERLINK("http://catalog.hathitrust.org/Record/001223508","HathiTrust Record")</f>
        <v>HathiTrust Record</v>
      </c>
      <c r="AV896" s="6" t="str">
        <f>HYPERLINK("http://mcgill.on.worldcat.org/oclc/972484","Catalog Record")</f>
        <v>Catalog Record</v>
      </c>
      <c r="AW896" s="6" t="str">
        <f>HYPERLINK("http://www.worldcat.org/oclc/972484","WorldCat Record")</f>
        <v>WorldCat Record</v>
      </c>
      <c r="AX896" s="3" t="s">
        <v>9014</v>
      </c>
      <c r="AY896" s="3" t="s">
        <v>9015</v>
      </c>
      <c r="AZ896" s="3" t="s">
        <v>9016</v>
      </c>
      <c r="BA896" s="3" t="s">
        <v>9016</v>
      </c>
      <c r="BB896" s="3" t="s">
        <v>9022</v>
      </c>
      <c r="BC896" s="3" t="s">
        <v>82</v>
      </c>
      <c r="BD896" s="3" t="s">
        <v>70</v>
      </c>
      <c r="BE896" s="3" t="s">
        <v>9018</v>
      </c>
      <c r="BF896" s="3" t="s">
        <v>9022</v>
      </c>
      <c r="BG896" s="3" t="s">
        <v>9023</v>
      </c>
    </row>
    <row r="897" spans="1:59" ht="105" x14ac:dyDescent="0.25">
      <c r="A897" s="2" t="s">
        <v>59</v>
      </c>
      <c r="B897" s="2" t="s">
        <v>60</v>
      </c>
      <c r="C897" s="2" t="s">
        <v>9024</v>
      </c>
      <c r="D897" s="2" t="s">
        <v>9025</v>
      </c>
      <c r="E897" s="2" t="s">
        <v>9026</v>
      </c>
      <c r="G897" s="3" t="s">
        <v>63</v>
      </c>
      <c r="I897" s="3" t="s">
        <v>63</v>
      </c>
      <c r="J897" s="3" t="s">
        <v>63</v>
      </c>
      <c r="K897" s="3" t="s">
        <v>64</v>
      </c>
      <c r="L897" s="2" t="s">
        <v>9027</v>
      </c>
      <c r="M897" s="2" t="s">
        <v>9028</v>
      </c>
      <c r="N897" s="3" t="s">
        <v>106</v>
      </c>
      <c r="P897" s="3" t="s">
        <v>548</v>
      </c>
      <c r="Q897" s="2" t="s">
        <v>9029</v>
      </c>
      <c r="R897" s="3" t="s">
        <v>67</v>
      </c>
      <c r="S897" s="4">
        <v>0</v>
      </c>
      <c r="T897" s="4">
        <v>0</v>
      </c>
      <c r="W897" s="5" t="s">
        <v>69</v>
      </c>
      <c r="X897" s="5" t="s">
        <v>69</v>
      </c>
      <c r="Y897" s="4">
        <v>8</v>
      </c>
      <c r="Z897" s="4">
        <v>1</v>
      </c>
      <c r="AA897" s="4">
        <v>1</v>
      </c>
      <c r="AB897" s="4">
        <v>1</v>
      </c>
      <c r="AC897" s="4">
        <v>1</v>
      </c>
      <c r="AD897" s="4">
        <v>5</v>
      </c>
      <c r="AE897" s="4">
        <v>5</v>
      </c>
      <c r="AF897" s="4">
        <v>0</v>
      </c>
      <c r="AG897" s="4">
        <v>0</v>
      </c>
      <c r="AH897" s="4">
        <v>5</v>
      </c>
      <c r="AI897" s="4">
        <v>5</v>
      </c>
      <c r="AJ897" s="4">
        <v>0</v>
      </c>
      <c r="AK897" s="4">
        <v>0</v>
      </c>
      <c r="AL897" s="4">
        <v>5</v>
      </c>
      <c r="AM897" s="4">
        <v>5</v>
      </c>
      <c r="AN897" s="4">
        <v>0</v>
      </c>
      <c r="AO897" s="4">
        <v>0</v>
      </c>
      <c r="AP897" s="4">
        <v>0</v>
      </c>
      <c r="AQ897" s="4">
        <v>0</v>
      </c>
      <c r="AR897" s="3" t="s">
        <v>63</v>
      </c>
      <c r="AS897" s="3" t="s">
        <v>63</v>
      </c>
      <c r="AT897" s="3" t="s">
        <v>63</v>
      </c>
      <c r="AV897" s="6" t="str">
        <f>HYPERLINK("http://mcgill.on.worldcat.org/oclc/952030435","Catalog Record")</f>
        <v>Catalog Record</v>
      </c>
      <c r="AW897" s="6" t="str">
        <f>HYPERLINK("http://www.worldcat.org/oclc/952030435","WorldCat Record")</f>
        <v>WorldCat Record</v>
      </c>
      <c r="AX897" s="3" t="s">
        <v>9030</v>
      </c>
      <c r="AY897" s="3" t="s">
        <v>9031</v>
      </c>
      <c r="AZ897" s="3" t="s">
        <v>9032</v>
      </c>
      <c r="BA897" s="3" t="s">
        <v>9032</v>
      </c>
      <c r="BB897" s="3" t="s">
        <v>9033</v>
      </c>
      <c r="BC897" s="3" t="s">
        <v>82</v>
      </c>
      <c r="BD897" s="3" t="s">
        <v>70</v>
      </c>
      <c r="BE897" s="3" t="s">
        <v>9034</v>
      </c>
      <c r="BF897" s="3" t="s">
        <v>9033</v>
      </c>
      <c r="BG897" s="3" t="s">
        <v>9035</v>
      </c>
    </row>
    <row r="898" spans="1:59" ht="60" x14ac:dyDescent="0.25">
      <c r="A898" s="2" t="s">
        <v>59</v>
      </c>
      <c r="B898" s="2" t="s">
        <v>60</v>
      </c>
      <c r="C898" s="2" t="s">
        <v>9036</v>
      </c>
      <c r="D898" s="2" t="s">
        <v>9037</v>
      </c>
      <c r="E898" s="2" t="s">
        <v>9038</v>
      </c>
      <c r="F898" s="3" t="s">
        <v>4433</v>
      </c>
      <c r="G898" s="3" t="s">
        <v>62</v>
      </c>
      <c r="I898" s="3" t="s">
        <v>63</v>
      </c>
      <c r="J898" s="3" t="s">
        <v>63</v>
      </c>
      <c r="K898" s="3" t="s">
        <v>64</v>
      </c>
      <c r="M898" s="2" t="s">
        <v>9039</v>
      </c>
      <c r="N898" s="3" t="s">
        <v>1113</v>
      </c>
      <c r="P898" s="3" t="s">
        <v>90</v>
      </c>
      <c r="R898" s="3" t="s">
        <v>67</v>
      </c>
      <c r="S898" s="4">
        <v>3</v>
      </c>
      <c r="T898" s="4">
        <v>85</v>
      </c>
      <c r="U898" s="5" t="s">
        <v>4911</v>
      </c>
      <c r="V898" s="5" t="s">
        <v>9040</v>
      </c>
      <c r="W898" s="5" t="s">
        <v>69</v>
      </c>
      <c r="X898" s="5" t="s">
        <v>69</v>
      </c>
      <c r="Y898" s="4">
        <v>86</v>
      </c>
      <c r="Z898" s="4">
        <v>6</v>
      </c>
      <c r="AA898" s="4">
        <v>6</v>
      </c>
      <c r="AB898" s="4">
        <v>1</v>
      </c>
      <c r="AC898" s="4">
        <v>1</v>
      </c>
      <c r="AD898" s="4">
        <v>55</v>
      </c>
      <c r="AE898" s="4">
        <v>55</v>
      </c>
      <c r="AF898" s="4">
        <v>0</v>
      </c>
      <c r="AG898" s="4">
        <v>0</v>
      </c>
      <c r="AH898" s="4">
        <v>54</v>
      </c>
      <c r="AI898" s="4">
        <v>54</v>
      </c>
      <c r="AJ898" s="4">
        <v>3</v>
      </c>
      <c r="AK898" s="4">
        <v>3</v>
      </c>
      <c r="AL898" s="4">
        <v>37</v>
      </c>
      <c r="AM898" s="4">
        <v>37</v>
      </c>
      <c r="AN898" s="4">
        <v>0</v>
      </c>
      <c r="AO898" s="4">
        <v>0</v>
      </c>
      <c r="AP898" s="4">
        <v>3</v>
      </c>
      <c r="AQ898" s="4">
        <v>3</v>
      </c>
      <c r="AR898" s="3" t="s">
        <v>63</v>
      </c>
      <c r="AS898" s="3" t="s">
        <v>63</v>
      </c>
      <c r="AT898" s="3" t="s">
        <v>62</v>
      </c>
      <c r="AU898" s="6" t="str">
        <f>HYPERLINK("http://catalog.hathitrust.org/Record/003291815","HathiTrust Record")</f>
        <v>HathiTrust Record</v>
      </c>
      <c r="AV898" s="6" t="str">
        <f>HYPERLINK("http://mcgill.on.worldcat.org/oclc/38085406","Catalog Record")</f>
        <v>Catalog Record</v>
      </c>
      <c r="AW898" s="6" t="str">
        <f>HYPERLINK("http://www.worldcat.org/oclc/38085406","WorldCat Record")</f>
        <v>WorldCat Record</v>
      </c>
      <c r="AX898" s="3" t="s">
        <v>9041</v>
      </c>
      <c r="AY898" s="3" t="s">
        <v>9042</v>
      </c>
      <c r="AZ898" s="3" t="s">
        <v>9043</v>
      </c>
      <c r="BA898" s="3" t="s">
        <v>9043</v>
      </c>
      <c r="BB898" s="3" t="s">
        <v>9044</v>
      </c>
      <c r="BC898" s="3" t="s">
        <v>82</v>
      </c>
      <c r="BD898" s="3" t="s">
        <v>70</v>
      </c>
      <c r="BE898" s="3" t="s">
        <v>9045</v>
      </c>
      <c r="BF898" s="3" t="s">
        <v>9044</v>
      </c>
      <c r="BG898" s="3" t="s">
        <v>9046</v>
      </c>
    </row>
    <row r="899" spans="1:59" ht="60" x14ac:dyDescent="0.25">
      <c r="A899" s="2" t="s">
        <v>59</v>
      </c>
      <c r="B899" s="2" t="s">
        <v>60</v>
      </c>
      <c r="C899" s="2" t="s">
        <v>9036</v>
      </c>
      <c r="D899" s="2" t="s">
        <v>9037</v>
      </c>
      <c r="E899" s="2" t="s">
        <v>9038</v>
      </c>
      <c r="F899" s="3" t="s">
        <v>4434</v>
      </c>
      <c r="G899" s="3" t="s">
        <v>62</v>
      </c>
      <c r="I899" s="3" t="s">
        <v>63</v>
      </c>
      <c r="J899" s="3" t="s">
        <v>63</v>
      </c>
      <c r="K899" s="3" t="s">
        <v>64</v>
      </c>
      <c r="M899" s="2" t="s">
        <v>9039</v>
      </c>
      <c r="N899" s="3" t="s">
        <v>1113</v>
      </c>
      <c r="P899" s="3" t="s">
        <v>90</v>
      </c>
      <c r="R899" s="3" t="s">
        <v>67</v>
      </c>
      <c r="S899" s="4">
        <v>6</v>
      </c>
      <c r="T899" s="4">
        <v>85</v>
      </c>
      <c r="U899" s="5" t="s">
        <v>4911</v>
      </c>
      <c r="V899" s="5" t="s">
        <v>9040</v>
      </c>
      <c r="W899" s="5" t="s">
        <v>69</v>
      </c>
      <c r="X899" s="5" t="s">
        <v>69</v>
      </c>
      <c r="Y899" s="4">
        <v>86</v>
      </c>
      <c r="Z899" s="4">
        <v>6</v>
      </c>
      <c r="AA899" s="4">
        <v>6</v>
      </c>
      <c r="AB899" s="4">
        <v>1</v>
      </c>
      <c r="AC899" s="4">
        <v>1</v>
      </c>
      <c r="AD899" s="4">
        <v>55</v>
      </c>
      <c r="AE899" s="4">
        <v>55</v>
      </c>
      <c r="AF899" s="4">
        <v>0</v>
      </c>
      <c r="AG899" s="4">
        <v>0</v>
      </c>
      <c r="AH899" s="4">
        <v>54</v>
      </c>
      <c r="AI899" s="4">
        <v>54</v>
      </c>
      <c r="AJ899" s="4">
        <v>3</v>
      </c>
      <c r="AK899" s="4">
        <v>3</v>
      </c>
      <c r="AL899" s="4">
        <v>37</v>
      </c>
      <c r="AM899" s="4">
        <v>37</v>
      </c>
      <c r="AN899" s="4">
        <v>0</v>
      </c>
      <c r="AO899" s="4">
        <v>0</v>
      </c>
      <c r="AP899" s="4">
        <v>3</v>
      </c>
      <c r="AQ899" s="4">
        <v>3</v>
      </c>
      <c r="AR899" s="3" t="s">
        <v>63</v>
      </c>
      <c r="AS899" s="3" t="s">
        <v>63</v>
      </c>
      <c r="AT899" s="3" t="s">
        <v>62</v>
      </c>
      <c r="AU899" s="6" t="str">
        <f>HYPERLINK("http://catalog.hathitrust.org/Record/003291815","HathiTrust Record")</f>
        <v>HathiTrust Record</v>
      </c>
      <c r="AV899" s="6" t="str">
        <f>HYPERLINK("http://mcgill.on.worldcat.org/oclc/38085406","Catalog Record")</f>
        <v>Catalog Record</v>
      </c>
      <c r="AW899" s="6" t="str">
        <f>HYPERLINK("http://www.worldcat.org/oclc/38085406","WorldCat Record")</f>
        <v>WorldCat Record</v>
      </c>
      <c r="AX899" s="3" t="s">
        <v>9041</v>
      </c>
      <c r="AY899" s="3" t="s">
        <v>9042</v>
      </c>
      <c r="AZ899" s="3" t="s">
        <v>9043</v>
      </c>
      <c r="BA899" s="3" t="s">
        <v>9043</v>
      </c>
      <c r="BB899" s="3" t="s">
        <v>9047</v>
      </c>
      <c r="BC899" s="3" t="s">
        <v>82</v>
      </c>
      <c r="BD899" s="3" t="s">
        <v>70</v>
      </c>
      <c r="BE899" s="3" t="s">
        <v>9045</v>
      </c>
      <c r="BF899" s="3" t="s">
        <v>9047</v>
      </c>
      <c r="BG899" s="3" t="s">
        <v>9048</v>
      </c>
    </row>
    <row r="900" spans="1:59" ht="60" x14ac:dyDescent="0.25">
      <c r="A900" s="2" t="s">
        <v>59</v>
      </c>
      <c r="B900" s="2" t="s">
        <v>60</v>
      </c>
      <c r="C900" s="2" t="s">
        <v>9036</v>
      </c>
      <c r="D900" s="2" t="s">
        <v>9037</v>
      </c>
      <c r="E900" s="2" t="s">
        <v>9038</v>
      </c>
      <c r="F900" s="3" t="s">
        <v>4439</v>
      </c>
      <c r="G900" s="3" t="s">
        <v>62</v>
      </c>
      <c r="I900" s="3" t="s">
        <v>63</v>
      </c>
      <c r="J900" s="3" t="s">
        <v>63</v>
      </c>
      <c r="K900" s="3" t="s">
        <v>64</v>
      </c>
      <c r="M900" s="2" t="s">
        <v>9039</v>
      </c>
      <c r="N900" s="3" t="s">
        <v>1113</v>
      </c>
      <c r="P900" s="3" t="s">
        <v>90</v>
      </c>
      <c r="R900" s="3" t="s">
        <v>67</v>
      </c>
      <c r="S900" s="4">
        <v>7</v>
      </c>
      <c r="T900" s="4">
        <v>85</v>
      </c>
      <c r="U900" s="5" t="s">
        <v>4911</v>
      </c>
      <c r="V900" s="5" t="s">
        <v>9040</v>
      </c>
      <c r="W900" s="5" t="s">
        <v>69</v>
      </c>
      <c r="X900" s="5" t="s">
        <v>69</v>
      </c>
      <c r="Y900" s="4">
        <v>86</v>
      </c>
      <c r="Z900" s="4">
        <v>6</v>
      </c>
      <c r="AA900" s="4">
        <v>6</v>
      </c>
      <c r="AB900" s="4">
        <v>1</v>
      </c>
      <c r="AC900" s="4">
        <v>1</v>
      </c>
      <c r="AD900" s="4">
        <v>55</v>
      </c>
      <c r="AE900" s="4">
        <v>55</v>
      </c>
      <c r="AF900" s="4">
        <v>0</v>
      </c>
      <c r="AG900" s="4">
        <v>0</v>
      </c>
      <c r="AH900" s="4">
        <v>54</v>
      </c>
      <c r="AI900" s="4">
        <v>54</v>
      </c>
      <c r="AJ900" s="4">
        <v>3</v>
      </c>
      <c r="AK900" s="4">
        <v>3</v>
      </c>
      <c r="AL900" s="4">
        <v>37</v>
      </c>
      <c r="AM900" s="4">
        <v>37</v>
      </c>
      <c r="AN900" s="4">
        <v>0</v>
      </c>
      <c r="AO900" s="4">
        <v>0</v>
      </c>
      <c r="AP900" s="4">
        <v>3</v>
      </c>
      <c r="AQ900" s="4">
        <v>3</v>
      </c>
      <c r="AR900" s="3" t="s">
        <v>63</v>
      </c>
      <c r="AS900" s="3" t="s">
        <v>63</v>
      </c>
      <c r="AT900" s="3" t="s">
        <v>62</v>
      </c>
      <c r="AU900" s="6" t="str">
        <f>HYPERLINK("http://catalog.hathitrust.org/Record/003291815","HathiTrust Record")</f>
        <v>HathiTrust Record</v>
      </c>
      <c r="AV900" s="6" t="str">
        <f>HYPERLINK("http://mcgill.on.worldcat.org/oclc/38085406","Catalog Record")</f>
        <v>Catalog Record</v>
      </c>
      <c r="AW900" s="6" t="str">
        <f>HYPERLINK("http://www.worldcat.org/oclc/38085406","WorldCat Record")</f>
        <v>WorldCat Record</v>
      </c>
      <c r="AX900" s="3" t="s">
        <v>9041</v>
      </c>
      <c r="AY900" s="3" t="s">
        <v>9042</v>
      </c>
      <c r="AZ900" s="3" t="s">
        <v>9043</v>
      </c>
      <c r="BA900" s="3" t="s">
        <v>9043</v>
      </c>
      <c r="BB900" s="3" t="s">
        <v>9049</v>
      </c>
      <c r="BC900" s="3" t="s">
        <v>82</v>
      </c>
      <c r="BD900" s="3" t="s">
        <v>70</v>
      </c>
      <c r="BE900" s="3" t="s">
        <v>9045</v>
      </c>
      <c r="BF900" s="3" t="s">
        <v>9049</v>
      </c>
      <c r="BG900" s="3" t="s">
        <v>9050</v>
      </c>
    </row>
    <row r="901" spans="1:59" ht="60" x14ac:dyDescent="0.25">
      <c r="A901" s="2" t="s">
        <v>59</v>
      </c>
      <c r="B901" s="2" t="s">
        <v>60</v>
      </c>
      <c r="C901" s="2" t="s">
        <v>9036</v>
      </c>
      <c r="D901" s="2" t="s">
        <v>9037</v>
      </c>
      <c r="E901" s="2" t="s">
        <v>9038</v>
      </c>
      <c r="F901" s="3" t="s">
        <v>4437</v>
      </c>
      <c r="G901" s="3" t="s">
        <v>62</v>
      </c>
      <c r="I901" s="3" t="s">
        <v>63</v>
      </c>
      <c r="J901" s="3" t="s">
        <v>63</v>
      </c>
      <c r="K901" s="3" t="s">
        <v>64</v>
      </c>
      <c r="M901" s="2" t="s">
        <v>9039</v>
      </c>
      <c r="N901" s="3" t="s">
        <v>1113</v>
      </c>
      <c r="P901" s="3" t="s">
        <v>90</v>
      </c>
      <c r="R901" s="3" t="s">
        <v>67</v>
      </c>
      <c r="S901" s="4">
        <v>5</v>
      </c>
      <c r="T901" s="4">
        <v>85</v>
      </c>
      <c r="U901" s="5" t="s">
        <v>5470</v>
      </c>
      <c r="V901" s="5" t="s">
        <v>9040</v>
      </c>
      <c r="W901" s="5" t="s">
        <v>69</v>
      </c>
      <c r="X901" s="5" t="s">
        <v>69</v>
      </c>
      <c r="Y901" s="4">
        <v>86</v>
      </c>
      <c r="Z901" s="4">
        <v>6</v>
      </c>
      <c r="AA901" s="4">
        <v>6</v>
      </c>
      <c r="AB901" s="4">
        <v>1</v>
      </c>
      <c r="AC901" s="4">
        <v>1</v>
      </c>
      <c r="AD901" s="4">
        <v>55</v>
      </c>
      <c r="AE901" s="4">
        <v>55</v>
      </c>
      <c r="AF901" s="4">
        <v>0</v>
      </c>
      <c r="AG901" s="4">
        <v>0</v>
      </c>
      <c r="AH901" s="4">
        <v>54</v>
      </c>
      <c r="AI901" s="4">
        <v>54</v>
      </c>
      <c r="AJ901" s="4">
        <v>3</v>
      </c>
      <c r="AK901" s="4">
        <v>3</v>
      </c>
      <c r="AL901" s="4">
        <v>37</v>
      </c>
      <c r="AM901" s="4">
        <v>37</v>
      </c>
      <c r="AN901" s="4">
        <v>0</v>
      </c>
      <c r="AO901" s="4">
        <v>0</v>
      </c>
      <c r="AP901" s="4">
        <v>3</v>
      </c>
      <c r="AQ901" s="4">
        <v>3</v>
      </c>
      <c r="AR901" s="3" t="s">
        <v>63</v>
      </c>
      <c r="AS901" s="3" t="s">
        <v>63</v>
      </c>
      <c r="AT901" s="3" t="s">
        <v>62</v>
      </c>
      <c r="AU901" s="6" t="str">
        <f>HYPERLINK("http://catalog.hathitrust.org/Record/003291815","HathiTrust Record")</f>
        <v>HathiTrust Record</v>
      </c>
      <c r="AV901" s="6" t="str">
        <f>HYPERLINK("http://mcgill.on.worldcat.org/oclc/38085406","Catalog Record")</f>
        <v>Catalog Record</v>
      </c>
      <c r="AW901" s="6" t="str">
        <f>HYPERLINK("http://www.worldcat.org/oclc/38085406","WorldCat Record")</f>
        <v>WorldCat Record</v>
      </c>
      <c r="AX901" s="3" t="s">
        <v>9041</v>
      </c>
      <c r="AY901" s="3" t="s">
        <v>9042</v>
      </c>
      <c r="AZ901" s="3" t="s">
        <v>9043</v>
      </c>
      <c r="BA901" s="3" t="s">
        <v>9043</v>
      </c>
      <c r="BB901" s="3" t="s">
        <v>9051</v>
      </c>
      <c r="BC901" s="3" t="s">
        <v>82</v>
      </c>
      <c r="BD901" s="3" t="s">
        <v>70</v>
      </c>
      <c r="BE901" s="3" t="s">
        <v>9045</v>
      </c>
      <c r="BF901" s="3" t="s">
        <v>9051</v>
      </c>
      <c r="BG901" s="3" t="s">
        <v>9052</v>
      </c>
    </row>
    <row r="902" spans="1:59" ht="60" x14ac:dyDescent="0.25">
      <c r="A902" s="2" t="s">
        <v>59</v>
      </c>
      <c r="B902" s="2" t="s">
        <v>60</v>
      </c>
      <c r="C902" s="2" t="s">
        <v>9036</v>
      </c>
      <c r="D902" s="2" t="s">
        <v>9037</v>
      </c>
      <c r="E902" s="2" t="s">
        <v>9038</v>
      </c>
      <c r="F902" s="3" t="s">
        <v>571</v>
      </c>
      <c r="G902" s="3" t="s">
        <v>62</v>
      </c>
      <c r="I902" s="3" t="s">
        <v>63</v>
      </c>
      <c r="J902" s="3" t="s">
        <v>63</v>
      </c>
      <c r="K902" s="3" t="s">
        <v>64</v>
      </c>
      <c r="M902" s="2" t="s">
        <v>9039</v>
      </c>
      <c r="N902" s="3" t="s">
        <v>1113</v>
      </c>
      <c r="P902" s="3" t="s">
        <v>90</v>
      </c>
      <c r="R902" s="3" t="s">
        <v>67</v>
      </c>
      <c r="S902" s="4">
        <v>12</v>
      </c>
      <c r="T902" s="4">
        <v>85</v>
      </c>
      <c r="U902" s="5" t="s">
        <v>9040</v>
      </c>
      <c r="V902" s="5" t="s">
        <v>9040</v>
      </c>
      <c r="W902" s="5" t="s">
        <v>69</v>
      </c>
      <c r="X902" s="5" t="s">
        <v>69</v>
      </c>
      <c r="Y902" s="4">
        <v>86</v>
      </c>
      <c r="Z902" s="4">
        <v>6</v>
      </c>
      <c r="AA902" s="4">
        <v>6</v>
      </c>
      <c r="AB902" s="4">
        <v>1</v>
      </c>
      <c r="AC902" s="4">
        <v>1</v>
      </c>
      <c r="AD902" s="4">
        <v>55</v>
      </c>
      <c r="AE902" s="4">
        <v>55</v>
      </c>
      <c r="AF902" s="4">
        <v>0</v>
      </c>
      <c r="AG902" s="4">
        <v>0</v>
      </c>
      <c r="AH902" s="4">
        <v>54</v>
      </c>
      <c r="AI902" s="4">
        <v>54</v>
      </c>
      <c r="AJ902" s="4">
        <v>3</v>
      </c>
      <c r="AK902" s="4">
        <v>3</v>
      </c>
      <c r="AL902" s="4">
        <v>37</v>
      </c>
      <c r="AM902" s="4">
        <v>37</v>
      </c>
      <c r="AN902" s="4">
        <v>0</v>
      </c>
      <c r="AO902" s="4">
        <v>0</v>
      </c>
      <c r="AP902" s="4">
        <v>3</v>
      </c>
      <c r="AQ902" s="4">
        <v>3</v>
      </c>
      <c r="AR902" s="3" t="s">
        <v>63</v>
      </c>
      <c r="AS902" s="3" t="s">
        <v>63</v>
      </c>
      <c r="AT902" s="3" t="s">
        <v>62</v>
      </c>
      <c r="AU902" s="6" t="str">
        <f>HYPERLINK("http://catalog.hathitrust.org/Record/003291815","HathiTrust Record")</f>
        <v>HathiTrust Record</v>
      </c>
      <c r="AV902" s="6" t="str">
        <f>HYPERLINK("http://mcgill.on.worldcat.org/oclc/38085406","Catalog Record")</f>
        <v>Catalog Record</v>
      </c>
      <c r="AW902" s="6" t="str">
        <f>HYPERLINK("http://www.worldcat.org/oclc/38085406","WorldCat Record")</f>
        <v>WorldCat Record</v>
      </c>
      <c r="AX902" s="3" t="s">
        <v>9041</v>
      </c>
      <c r="AY902" s="3" t="s">
        <v>9042</v>
      </c>
      <c r="AZ902" s="3" t="s">
        <v>9043</v>
      </c>
      <c r="BA902" s="3" t="s">
        <v>9043</v>
      </c>
      <c r="BB902" s="3" t="s">
        <v>9053</v>
      </c>
      <c r="BC902" s="3" t="s">
        <v>82</v>
      </c>
      <c r="BD902" s="3" t="s">
        <v>70</v>
      </c>
      <c r="BE902" s="3" t="s">
        <v>9045</v>
      </c>
      <c r="BF902" s="3" t="s">
        <v>9053</v>
      </c>
      <c r="BG902" s="3" t="s">
        <v>9054</v>
      </c>
    </row>
    <row r="903" spans="1:59" ht="60" x14ac:dyDescent="0.25">
      <c r="A903" s="2" t="s">
        <v>59</v>
      </c>
      <c r="B903" s="2" t="s">
        <v>60</v>
      </c>
      <c r="C903" s="2" t="s">
        <v>9036</v>
      </c>
      <c r="D903" s="2" t="s">
        <v>9037</v>
      </c>
      <c r="E903" s="2" t="s">
        <v>9038</v>
      </c>
      <c r="F903" s="3" t="s">
        <v>9055</v>
      </c>
      <c r="G903" s="3" t="s">
        <v>62</v>
      </c>
      <c r="I903" s="3" t="s">
        <v>63</v>
      </c>
      <c r="J903" s="3" t="s">
        <v>63</v>
      </c>
      <c r="K903" s="3" t="s">
        <v>64</v>
      </c>
      <c r="M903" s="2" t="s">
        <v>9039</v>
      </c>
      <c r="N903" s="3" t="s">
        <v>1113</v>
      </c>
      <c r="P903" s="3" t="s">
        <v>90</v>
      </c>
      <c r="R903" s="3" t="s">
        <v>67</v>
      </c>
      <c r="S903" s="4">
        <v>4</v>
      </c>
      <c r="T903" s="4">
        <v>85</v>
      </c>
      <c r="U903" s="5" t="s">
        <v>4911</v>
      </c>
      <c r="V903" s="5" t="s">
        <v>9040</v>
      </c>
      <c r="W903" s="5" t="s">
        <v>69</v>
      </c>
      <c r="X903" s="5" t="s">
        <v>69</v>
      </c>
      <c r="Y903" s="4">
        <v>86</v>
      </c>
      <c r="Z903" s="4">
        <v>6</v>
      </c>
      <c r="AA903" s="4">
        <v>6</v>
      </c>
      <c r="AB903" s="4">
        <v>1</v>
      </c>
      <c r="AC903" s="4">
        <v>1</v>
      </c>
      <c r="AD903" s="4">
        <v>55</v>
      </c>
      <c r="AE903" s="4">
        <v>55</v>
      </c>
      <c r="AF903" s="4">
        <v>0</v>
      </c>
      <c r="AG903" s="4">
        <v>0</v>
      </c>
      <c r="AH903" s="4">
        <v>54</v>
      </c>
      <c r="AI903" s="4">
        <v>54</v>
      </c>
      <c r="AJ903" s="4">
        <v>3</v>
      </c>
      <c r="AK903" s="4">
        <v>3</v>
      </c>
      <c r="AL903" s="4">
        <v>37</v>
      </c>
      <c r="AM903" s="4">
        <v>37</v>
      </c>
      <c r="AN903" s="4">
        <v>0</v>
      </c>
      <c r="AO903" s="4">
        <v>0</v>
      </c>
      <c r="AP903" s="4">
        <v>3</v>
      </c>
      <c r="AQ903" s="4">
        <v>3</v>
      </c>
      <c r="AR903" s="3" t="s">
        <v>63</v>
      </c>
      <c r="AS903" s="3" t="s">
        <v>63</v>
      </c>
      <c r="AT903" s="3" t="s">
        <v>62</v>
      </c>
      <c r="AU903" s="6" t="str">
        <f>HYPERLINK("http://catalog.hathitrust.org/Record/003291815","HathiTrust Record")</f>
        <v>HathiTrust Record</v>
      </c>
      <c r="AV903" s="6" t="str">
        <f>HYPERLINK("http://mcgill.on.worldcat.org/oclc/38085406","Catalog Record")</f>
        <v>Catalog Record</v>
      </c>
      <c r="AW903" s="6" t="str">
        <f>HYPERLINK("http://www.worldcat.org/oclc/38085406","WorldCat Record")</f>
        <v>WorldCat Record</v>
      </c>
      <c r="AX903" s="3" t="s">
        <v>9041</v>
      </c>
      <c r="AY903" s="3" t="s">
        <v>9042</v>
      </c>
      <c r="AZ903" s="3" t="s">
        <v>9043</v>
      </c>
      <c r="BA903" s="3" t="s">
        <v>9043</v>
      </c>
      <c r="BB903" s="3" t="s">
        <v>9056</v>
      </c>
      <c r="BC903" s="3" t="s">
        <v>82</v>
      </c>
      <c r="BD903" s="3" t="s">
        <v>70</v>
      </c>
      <c r="BE903" s="3" t="s">
        <v>9045</v>
      </c>
      <c r="BF903" s="3" t="s">
        <v>9056</v>
      </c>
      <c r="BG903" s="3" t="s">
        <v>9057</v>
      </c>
    </row>
    <row r="904" spans="1:59" ht="60" x14ac:dyDescent="0.25">
      <c r="A904" s="2" t="s">
        <v>59</v>
      </c>
      <c r="B904" s="2" t="s">
        <v>60</v>
      </c>
      <c r="C904" s="2" t="s">
        <v>9036</v>
      </c>
      <c r="D904" s="2" t="s">
        <v>9037</v>
      </c>
      <c r="E904" s="2" t="s">
        <v>9038</v>
      </c>
      <c r="F904" s="3" t="s">
        <v>4428</v>
      </c>
      <c r="G904" s="3" t="s">
        <v>62</v>
      </c>
      <c r="I904" s="3" t="s">
        <v>63</v>
      </c>
      <c r="J904" s="3" t="s">
        <v>63</v>
      </c>
      <c r="K904" s="3" t="s">
        <v>64</v>
      </c>
      <c r="M904" s="2" t="s">
        <v>9039</v>
      </c>
      <c r="N904" s="3" t="s">
        <v>1113</v>
      </c>
      <c r="P904" s="3" t="s">
        <v>90</v>
      </c>
      <c r="R904" s="3" t="s">
        <v>67</v>
      </c>
      <c r="S904" s="4">
        <v>3</v>
      </c>
      <c r="T904" s="4">
        <v>85</v>
      </c>
      <c r="U904" s="5" t="s">
        <v>4911</v>
      </c>
      <c r="V904" s="5" t="s">
        <v>9040</v>
      </c>
      <c r="W904" s="5" t="s">
        <v>69</v>
      </c>
      <c r="X904" s="5" t="s">
        <v>69</v>
      </c>
      <c r="Y904" s="4">
        <v>86</v>
      </c>
      <c r="Z904" s="4">
        <v>6</v>
      </c>
      <c r="AA904" s="4">
        <v>6</v>
      </c>
      <c r="AB904" s="4">
        <v>1</v>
      </c>
      <c r="AC904" s="4">
        <v>1</v>
      </c>
      <c r="AD904" s="4">
        <v>55</v>
      </c>
      <c r="AE904" s="4">
        <v>55</v>
      </c>
      <c r="AF904" s="4">
        <v>0</v>
      </c>
      <c r="AG904" s="4">
        <v>0</v>
      </c>
      <c r="AH904" s="4">
        <v>54</v>
      </c>
      <c r="AI904" s="4">
        <v>54</v>
      </c>
      <c r="AJ904" s="4">
        <v>3</v>
      </c>
      <c r="AK904" s="4">
        <v>3</v>
      </c>
      <c r="AL904" s="4">
        <v>37</v>
      </c>
      <c r="AM904" s="4">
        <v>37</v>
      </c>
      <c r="AN904" s="4">
        <v>0</v>
      </c>
      <c r="AO904" s="4">
        <v>0</v>
      </c>
      <c r="AP904" s="4">
        <v>3</v>
      </c>
      <c r="AQ904" s="4">
        <v>3</v>
      </c>
      <c r="AR904" s="3" t="s">
        <v>63</v>
      </c>
      <c r="AS904" s="3" t="s">
        <v>63</v>
      </c>
      <c r="AT904" s="3" t="s">
        <v>62</v>
      </c>
      <c r="AU904" s="6" t="str">
        <f>HYPERLINK("http://catalog.hathitrust.org/Record/003291815","HathiTrust Record")</f>
        <v>HathiTrust Record</v>
      </c>
      <c r="AV904" s="6" t="str">
        <f>HYPERLINK("http://mcgill.on.worldcat.org/oclc/38085406","Catalog Record")</f>
        <v>Catalog Record</v>
      </c>
      <c r="AW904" s="6" t="str">
        <f>HYPERLINK("http://www.worldcat.org/oclc/38085406","WorldCat Record")</f>
        <v>WorldCat Record</v>
      </c>
      <c r="AX904" s="3" t="s">
        <v>9041</v>
      </c>
      <c r="AY904" s="3" t="s">
        <v>9042</v>
      </c>
      <c r="AZ904" s="3" t="s">
        <v>9043</v>
      </c>
      <c r="BA904" s="3" t="s">
        <v>9043</v>
      </c>
      <c r="BB904" s="3" t="s">
        <v>9058</v>
      </c>
      <c r="BC904" s="3" t="s">
        <v>82</v>
      </c>
      <c r="BD904" s="3" t="s">
        <v>70</v>
      </c>
      <c r="BE904" s="3" t="s">
        <v>9045</v>
      </c>
      <c r="BF904" s="3" t="s">
        <v>9058</v>
      </c>
      <c r="BG904" s="3" t="s">
        <v>9059</v>
      </c>
    </row>
    <row r="905" spans="1:59" ht="60" x14ac:dyDescent="0.25">
      <c r="A905" s="2" t="s">
        <v>59</v>
      </c>
      <c r="B905" s="2" t="s">
        <v>60</v>
      </c>
      <c r="C905" s="2" t="s">
        <v>9036</v>
      </c>
      <c r="D905" s="2" t="s">
        <v>9037</v>
      </c>
      <c r="E905" s="2" t="s">
        <v>9038</v>
      </c>
      <c r="F905" s="3" t="s">
        <v>4427</v>
      </c>
      <c r="G905" s="3" t="s">
        <v>62</v>
      </c>
      <c r="I905" s="3" t="s">
        <v>63</v>
      </c>
      <c r="J905" s="3" t="s">
        <v>63</v>
      </c>
      <c r="K905" s="3" t="s">
        <v>64</v>
      </c>
      <c r="M905" s="2" t="s">
        <v>9039</v>
      </c>
      <c r="N905" s="3" t="s">
        <v>1113</v>
      </c>
      <c r="P905" s="3" t="s">
        <v>90</v>
      </c>
      <c r="R905" s="3" t="s">
        <v>67</v>
      </c>
      <c r="S905" s="4">
        <v>3</v>
      </c>
      <c r="T905" s="4">
        <v>85</v>
      </c>
      <c r="U905" s="5" t="s">
        <v>4911</v>
      </c>
      <c r="V905" s="5" t="s">
        <v>9040</v>
      </c>
      <c r="W905" s="5" t="s">
        <v>69</v>
      </c>
      <c r="X905" s="5" t="s">
        <v>69</v>
      </c>
      <c r="Y905" s="4">
        <v>86</v>
      </c>
      <c r="Z905" s="4">
        <v>6</v>
      </c>
      <c r="AA905" s="4">
        <v>6</v>
      </c>
      <c r="AB905" s="4">
        <v>1</v>
      </c>
      <c r="AC905" s="4">
        <v>1</v>
      </c>
      <c r="AD905" s="4">
        <v>55</v>
      </c>
      <c r="AE905" s="4">
        <v>55</v>
      </c>
      <c r="AF905" s="4">
        <v>0</v>
      </c>
      <c r="AG905" s="4">
        <v>0</v>
      </c>
      <c r="AH905" s="4">
        <v>54</v>
      </c>
      <c r="AI905" s="4">
        <v>54</v>
      </c>
      <c r="AJ905" s="4">
        <v>3</v>
      </c>
      <c r="AK905" s="4">
        <v>3</v>
      </c>
      <c r="AL905" s="4">
        <v>37</v>
      </c>
      <c r="AM905" s="4">
        <v>37</v>
      </c>
      <c r="AN905" s="4">
        <v>0</v>
      </c>
      <c r="AO905" s="4">
        <v>0</v>
      </c>
      <c r="AP905" s="4">
        <v>3</v>
      </c>
      <c r="AQ905" s="4">
        <v>3</v>
      </c>
      <c r="AR905" s="3" t="s">
        <v>63</v>
      </c>
      <c r="AS905" s="3" t="s">
        <v>63</v>
      </c>
      <c r="AT905" s="3" t="s">
        <v>62</v>
      </c>
      <c r="AU905" s="6" t="str">
        <f>HYPERLINK("http://catalog.hathitrust.org/Record/003291815","HathiTrust Record")</f>
        <v>HathiTrust Record</v>
      </c>
      <c r="AV905" s="6" t="str">
        <f>HYPERLINK("http://mcgill.on.worldcat.org/oclc/38085406","Catalog Record")</f>
        <v>Catalog Record</v>
      </c>
      <c r="AW905" s="6" t="str">
        <f>HYPERLINK("http://www.worldcat.org/oclc/38085406","WorldCat Record")</f>
        <v>WorldCat Record</v>
      </c>
      <c r="AX905" s="3" t="s">
        <v>9041</v>
      </c>
      <c r="AY905" s="3" t="s">
        <v>9042</v>
      </c>
      <c r="AZ905" s="3" t="s">
        <v>9043</v>
      </c>
      <c r="BA905" s="3" t="s">
        <v>9043</v>
      </c>
      <c r="BB905" s="3" t="s">
        <v>9060</v>
      </c>
      <c r="BC905" s="3" t="s">
        <v>82</v>
      </c>
      <c r="BD905" s="3" t="s">
        <v>70</v>
      </c>
      <c r="BE905" s="3" t="s">
        <v>9045</v>
      </c>
      <c r="BF905" s="3" t="s">
        <v>9060</v>
      </c>
      <c r="BG905" s="3" t="s">
        <v>9061</v>
      </c>
    </row>
    <row r="906" spans="1:59" ht="60" x14ac:dyDescent="0.25">
      <c r="A906" s="2" t="s">
        <v>59</v>
      </c>
      <c r="B906" s="2" t="s">
        <v>60</v>
      </c>
      <c r="C906" s="2" t="s">
        <v>9036</v>
      </c>
      <c r="D906" s="2" t="s">
        <v>9037</v>
      </c>
      <c r="E906" s="2" t="s">
        <v>9038</v>
      </c>
      <c r="F906" s="3" t="s">
        <v>4432</v>
      </c>
      <c r="G906" s="3" t="s">
        <v>62</v>
      </c>
      <c r="I906" s="3" t="s">
        <v>63</v>
      </c>
      <c r="J906" s="3" t="s">
        <v>63</v>
      </c>
      <c r="K906" s="3" t="s">
        <v>64</v>
      </c>
      <c r="M906" s="2" t="s">
        <v>9039</v>
      </c>
      <c r="N906" s="3" t="s">
        <v>1113</v>
      </c>
      <c r="P906" s="3" t="s">
        <v>90</v>
      </c>
      <c r="R906" s="3" t="s">
        <v>67</v>
      </c>
      <c r="S906" s="4">
        <v>3</v>
      </c>
      <c r="T906" s="4">
        <v>85</v>
      </c>
      <c r="U906" s="5" t="s">
        <v>4911</v>
      </c>
      <c r="V906" s="5" t="s">
        <v>9040</v>
      </c>
      <c r="W906" s="5" t="s">
        <v>69</v>
      </c>
      <c r="X906" s="5" t="s">
        <v>69</v>
      </c>
      <c r="Y906" s="4">
        <v>86</v>
      </c>
      <c r="Z906" s="4">
        <v>6</v>
      </c>
      <c r="AA906" s="4">
        <v>6</v>
      </c>
      <c r="AB906" s="4">
        <v>1</v>
      </c>
      <c r="AC906" s="4">
        <v>1</v>
      </c>
      <c r="AD906" s="4">
        <v>55</v>
      </c>
      <c r="AE906" s="4">
        <v>55</v>
      </c>
      <c r="AF906" s="4">
        <v>0</v>
      </c>
      <c r="AG906" s="4">
        <v>0</v>
      </c>
      <c r="AH906" s="4">
        <v>54</v>
      </c>
      <c r="AI906" s="4">
        <v>54</v>
      </c>
      <c r="AJ906" s="4">
        <v>3</v>
      </c>
      <c r="AK906" s="4">
        <v>3</v>
      </c>
      <c r="AL906" s="4">
        <v>37</v>
      </c>
      <c r="AM906" s="4">
        <v>37</v>
      </c>
      <c r="AN906" s="4">
        <v>0</v>
      </c>
      <c r="AO906" s="4">
        <v>0</v>
      </c>
      <c r="AP906" s="4">
        <v>3</v>
      </c>
      <c r="AQ906" s="4">
        <v>3</v>
      </c>
      <c r="AR906" s="3" t="s">
        <v>63</v>
      </c>
      <c r="AS906" s="3" t="s">
        <v>63</v>
      </c>
      <c r="AT906" s="3" t="s">
        <v>62</v>
      </c>
      <c r="AU906" s="6" t="str">
        <f>HYPERLINK("http://catalog.hathitrust.org/Record/003291815","HathiTrust Record")</f>
        <v>HathiTrust Record</v>
      </c>
      <c r="AV906" s="6" t="str">
        <f>HYPERLINK("http://mcgill.on.worldcat.org/oclc/38085406","Catalog Record")</f>
        <v>Catalog Record</v>
      </c>
      <c r="AW906" s="6" t="str">
        <f>HYPERLINK("http://www.worldcat.org/oclc/38085406","WorldCat Record")</f>
        <v>WorldCat Record</v>
      </c>
      <c r="AX906" s="3" t="s">
        <v>9041</v>
      </c>
      <c r="AY906" s="3" t="s">
        <v>9042</v>
      </c>
      <c r="AZ906" s="3" t="s">
        <v>9043</v>
      </c>
      <c r="BA906" s="3" t="s">
        <v>9043</v>
      </c>
      <c r="BB906" s="3" t="s">
        <v>9062</v>
      </c>
      <c r="BC906" s="3" t="s">
        <v>82</v>
      </c>
      <c r="BD906" s="3" t="s">
        <v>70</v>
      </c>
      <c r="BE906" s="3" t="s">
        <v>9045</v>
      </c>
      <c r="BF906" s="3" t="s">
        <v>9062</v>
      </c>
      <c r="BG906" s="3" t="s">
        <v>9063</v>
      </c>
    </row>
    <row r="907" spans="1:59" ht="60" x14ac:dyDescent="0.25">
      <c r="A907" s="2" t="s">
        <v>59</v>
      </c>
      <c r="B907" s="2" t="s">
        <v>60</v>
      </c>
      <c r="C907" s="2" t="s">
        <v>9036</v>
      </c>
      <c r="D907" s="2" t="s">
        <v>9037</v>
      </c>
      <c r="E907" s="2" t="s">
        <v>9038</v>
      </c>
      <c r="F907" s="3" t="s">
        <v>582</v>
      </c>
      <c r="G907" s="3" t="s">
        <v>62</v>
      </c>
      <c r="I907" s="3" t="s">
        <v>63</v>
      </c>
      <c r="J907" s="3" t="s">
        <v>63</v>
      </c>
      <c r="K907" s="3" t="s">
        <v>64</v>
      </c>
      <c r="M907" s="2" t="s">
        <v>9039</v>
      </c>
      <c r="N907" s="3" t="s">
        <v>1113</v>
      </c>
      <c r="P907" s="3" t="s">
        <v>90</v>
      </c>
      <c r="R907" s="3" t="s">
        <v>67</v>
      </c>
      <c r="S907" s="4">
        <v>5</v>
      </c>
      <c r="T907" s="4">
        <v>85</v>
      </c>
      <c r="U907" s="5" t="s">
        <v>4911</v>
      </c>
      <c r="V907" s="5" t="s">
        <v>9040</v>
      </c>
      <c r="W907" s="5" t="s">
        <v>69</v>
      </c>
      <c r="X907" s="5" t="s">
        <v>69</v>
      </c>
      <c r="Y907" s="4">
        <v>86</v>
      </c>
      <c r="Z907" s="4">
        <v>6</v>
      </c>
      <c r="AA907" s="4">
        <v>6</v>
      </c>
      <c r="AB907" s="4">
        <v>1</v>
      </c>
      <c r="AC907" s="4">
        <v>1</v>
      </c>
      <c r="AD907" s="4">
        <v>55</v>
      </c>
      <c r="AE907" s="4">
        <v>55</v>
      </c>
      <c r="AF907" s="4">
        <v>0</v>
      </c>
      <c r="AG907" s="4">
        <v>0</v>
      </c>
      <c r="AH907" s="4">
        <v>54</v>
      </c>
      <c r="AI907" s="4">
        <v>54</v>
      </c>
      <c r="AJ907" s="4">
        <v>3</v>
      </c>
      <c r="AK907" s="4">
        <v>3</v>
      </c>
      <c r="AL907" s="4">
        <v>37</v>
      </c>
      <c r="AM907" s="4">
        <v>37</v>
      </c>
      <c r="AN907" s="4">
        <v>0</v>
      </c>
      <c r="AO907" s="4">
        <v>0</v>
      </c>
      <c r="AP907" s="4">
        <v>3</v>
      </c>
      <c r="AQ907" s="4">
        <v>3</v>
      </c>
      <c r="AR907" s="3" t="s">
        <v>63</v>
      </c>
      <c r="AS907" s="3" t="s">
        <v>63</v>
      </c>
      <c r="AT907" s="3" t="s">
        <v>62</v>
      </c>
      <c r="AU907" s="6" t="str">
        <f>HYPERLINK("http://catalog.hathitrust.org/Record/003291815","HathiTrust Record")</f>
        <v>HathiTrust Record</v>
      </c>
      <c r="AV907" s="6" t="str">
        <f>HYPERLINK("http://mcgill.on.worldcat.org/oclc/38085406","Catalog Record")</f>
        <v>Catalog Record</v>
      </c>
      <c r="AW907" s="6" t="str">
        <f>HYPERLINK("http://www.worldcat.org/oclc/38085406","WorldCat Record")</f>
        <v>WorldCat Record</v>
      </c>
      <c r="AX907" s="3" t="s">
        <v>9041</v>
      </c>
      <c r="AY907" s="3" t="s">
        <v>9042</v>
      </c>
      <c r="AZ907" s="3" t="s">
        <v>9043</v>
      </c>
      <c r="BA907" s="3" t="s">
        <v>9043</v>
      </c>
      <c r="BB907" s="3" t="s">
        <v>9064</v>
      </c>
      <c r="BC907" s="3" t="s">
        <v>82</v>
      </c>
      <c r="BD907" s="3" t="s">
        <v>70</v>
      </c>
      <c r="BE907" s="3" t="s">
        <v>9045</v>
      </c>
      <c r="BF907" s="3" t="s">
        <v>9064</v>
      </c>
      <c r="BG907" s="3" t="s">
        <v>9065</v>
      </c>
    </row>
    <row r="908" spans="1:59" ht="60" x14ac:dyDescent="0.25">
      <c r="A908" s="2" t="s">
        <v>59</v>
      </c>
      <c r="B908" s="2" t="s">
        <v>60</v>
      </c>
      <c r="C908" s="2" t="s">
        <v>9036</v>
      </c>
      <c r="D908" s="2" t="s">
        <v>9037</v>
      </c>
      <c r="E908" s="2" t="s">
        <v>9038</v>
      </c>
      <c r="F908" s="3" t="s">
        <v>9066</v>
      </c>
      <c r="G908" s="3" t="s">
        <v>62</v>
      </c>
      <c r="I908" s="3" t="s">
        <v>63</v>
      </c>
      <c r="J908" s="3" t="s">
        <v>63</v>
      </c>
      <c r="K908" s="3" t="s">
        <v>64</v>
      </c>
      <c r="M908" s="2" t="s">
        <v>9039</v>
      </c>
      <c r="N908" s="3" t="s">
        <v>1113</v>
      </c>
      <c r="P908" s="3" t="s">
        <v>90</v>
      </c>
      <c r="R908" s="3" t="s">
        <v>67</v>
      </c>
      <c r="S908" s="4">
        <v>3</v>
      </c>
      <c r="T908" s="4">
        <v>85</v>
      </c>
      <c r="U908" s="5" t="s">
        <v>4911</v>
      </c>
      <c r="V908" s="5" t="s">
        <v>9040</v>
      </c>
      <c r="W908" s="5" t="s">
        <v>69</v>
      </c>
      <c r="X908" s="5" t="s">
        <v>69</v>
      </c>
      <c r="Y908" s="4">
        <v>86</v>
      </c>
      <c r="Z908" s="4">
        <v>6</v>
      </c>
      <c r="AA908" s="4">
        <v>6</v>
      </c>
      <c r="AB908" s="4">
        <v>1</v>
      </c>
      <c r="AC908" s="4">
        <v>1</v>
      </c>
      <c r="AD908" s="4">
        <v>55</v>
      </c>
      <c r="AE908" s="4">
        <v>55</v>
      </c>
      <c r="AF908" s="4">
        <v>0</v>
      </c>
      <c r="AG908" s="4">
        <v>0</v>
      </c>
      <c r="AH908" s="4">
        <v>54</v>
      </c>
      <c r="AI908" s="4">
        <v>54</v>
      </c>
      <c r="AJ908" s="4">
        <v>3</v>
      </c>
      <c r="AK908" s="4">
        <v>3</v>
      </c>
      <c r="AL908" s="4">
        <v>37</v>
      </c>
      <c r="AM908" s="4">
        <v>37</v>
      </c>
      <c r="AN908" s="4">
        <v>0</v>
      </c>
      <c r="AO908" s="4">
        <v>0</v>
      </c>
      <c r="AP908" s="4">
        <v>3</v>
      </c>
      <c r="AQ908" s="4">
        <v>3</v>
      </c>
      <c r="AR908" s="3" t="s">
        <v>63</v>
      </c>
      <c r="AS908" s="3" t="s">
        <v>63</v>
      </c>
      <c r="AT908" s="3" t="s">
        <v>62</v>
      </c>
      <c r="AU908" s="6" t="str">
        <f>HYPERLINK("http://catalog.hathitrust.org/Record/003291815","HathiTrust Record")</f>
        <v>HathiTrust Record</v>
      </c>
      <c r="AV908" s="6" t="str">
        <f>HYPERLINK("http://mcgill.on.worldcat.org/oclc/38085406","Catalog Record")</f>
        <v>Catalog Record</v>
      </c>
      <c r="AW908" s="6" t="str">
        <f>HYPERLINK("http://www.worldcat.org/oclc/38085406","WorldCat Record")</f>
        <v>WorldCat Record</v>
      </c>
      <c r="AX908" s="3" t="s">
        <v>9041</v>
      </c>
      <c r="AY908" s="3" t="s">
        <v>9042</v>
      </c>
      <c r="AZ908" s="3" t="s">
        <v>9043</v>
      </c>
      <c r="BA908" s="3" t="s">
        <v>9043</v>
      </c>
      <c r="BB908" s="3" t="s">
        <v>9067</v>
      </c>
      <c r="BC908" s="3" t="s">
        <v>82</v>
      </c>
      <c r="BD908" s="3" t="s">
        <v>70</v>
      </c>
      <c r="BE908" s="3" t="s">
        <v>9045</v>
      </c>
      <c r="BF908" s="3" t="s">
        <v>9067</v>
      </c>
      <c r="BG908" s="3" t="s">
        <v>9068</v>
      </c>
    </row>
    <row r="909" spans="1:59" ht="60" x14ac:dyDescent="0.25">
      <c r="A909" s="2" t="s">
        <v>59</v>
      </c>
      <c r="B909" s="2" t="s">
        <v>60</v>
      </c>
      <c r="C909" s="2" t="s">
        <v>9036</v>
      </c>
      <c r="D909" s="2" t="s">
        <v>9037</v>
      </c>
      <c r="E909" s="2" t="s">
        <v>9038</v>
      </c>
      <c r="F909" s="3" t="s">
        <v>9069</v>
      </c>
      <c r="G909" s="3" t="s">
        <v>62</v>
      </c>
      <c r="I909" s="3" t="s">
        <v>63</v>
      </c>
      <c r="J909" s="3" t="s">
        <v>63</v>
      </c>
      <c r="K909" s="3" t="s">
        <v>64</v>
      </c>
      <c r="M909" s="2" t="s">
        <v>9039</v>
      </c>
      <c r="N909" s="3" t="s">
        <v>1113</v>
      </c>
      <c r="P909" s="3" t="s">
        <v>90</v>
      </c>
      <c r="R909" s="3" t="s">
        <v>67</v>
      </c>
      <c r="S909" s="4">
        <v>3</v>
      </c>
      <c r="T909" s="4">
        <v>85</v>
      </c>
      <c r="U909" s="5" t="s">
        <v>4911</v>
      </c>
      <c r="V909" s="5" t="s">
        <v>9040</v>
      </c>
      <c r="W909" s="5" t="s">
        <v>69</v>
      </c>
      <c r="X909" s="5" t="s">
        <v>69</v>
      </c>
      <c r="Y909" s="4">
        <v>86</v>
      </c>
      <c r="Z909" s="4">
        <v>6</v>
      </c>
      <c r="AA909" s="4">
        <v>6</v>
      </c>
      <c r="AB909" s="4">
        <v>1</v>
      </c>
      <c r="AC909" s="4">
        <v>1</v>
      </c>
      <c r="AD909" s="4">
        <v>55</v>
      </c>
      <c r="AE909" s="4">
        <v>55</v>
      </c>
      <c r="AF909" s="4">
        <v>0</v>
      </c>
      <c r="AG909" s="4">
        <v>0</v>
      </c>
      <c r="AH909" s="4">
        <v>54</v>
      </c>
      <c r="AI909" s="4">
        <v>54</v>
      </c>
      <c r="AJ909" s="4">
        <v>3</v>
      </c>
      <c r="AK909" s="4">
        <v>3</v>
      </c>
      <c r="AL909" s="4">
        <v>37</v>
      </c>
      <c r="AM909" s="4">
        <v>37</v>
      </c>
      <c r="AN909" s="4">
        <v>0</v>
      </c>
      <c r="AO909" s="4">
        <v>0</v>
      </c>
      <c r="AP909" s="4">
        <v>3</v>
      </c>
      <c r="AQ909" s="4">
        <v>3</v>
      </c>
      <c r="AR909" s="3" t="s">
        <v>63</v>
      </c>
      <c r="AS909" s="3" t="s">
        <v>63</v>
      </c>
      <c r="AT909" s="3" t="s">
        <v>62</v>
      </c>
      <c r="AU909" s="6" t="str">
        <f>HYPERLINK("http://catalog.hathitrust.org/Record/003291815","HathiTrust Record")</f>
        <v>HathiTrust Record</v>
      </c>
      <c r="AV909" s="6" t="str">
        <f>HYPERLINK("http://mcgill.on.worldcat.org/oclc/38085406","Catalog Record")</f>
        <v>Catalog Record</v>
      </c>
      <c r="AW909" s="6" t="str">
        <f>HYPERLINK("http://www.worldcat.org/oclc/38085406","WorldCat Record")</f>
        <v>WorldCat Record</v>
      </c>
      <c r="AX909" s="3" t="s">
        <v>9041</v>
      </c>
      <c r="AY909" s="3" t="s">
        <v>9042</v>
      </c>
      <c r="AZ909" s="3" t="s">
        <v>9043</v>
      </c>
      <c r="BA909" s="3" t="s">
        <v>9043</v>
      </c>
      <c r="BB909" s="3" t="s">
        <v>9070</v>
      </c>
      <c r="BC909" s="3" t="s">
        <v>82</v>
      </c>
      <c r="BD909" s="3" t="s">
        <v>70</v>
      </c>
      <c r="BE909" s="3" t="s">
        <v>9045</v>
      </c>
      <c r="BF909" s="3" t="s">
        <v>9070</v>
      </c>
      <c r="BG909" s="3" t="s">
        <v>9071</v>
      </c>
    </row>
    <row r="910" spans="1:59" ht="60" x14ac:dyDescent="0.25">
      <c r="A910" s="2" t="s">
        <v>59</v>
      </c>
      <c r="B910" s="2" t="s">
        <v>60</v>
      </c>
      <c r="C910" s="2" t="s">
        <v>9036</v>
      </c>
      <c r="D910" s="2" t="s">
        <v>9037</v>
      </c>
      <c r="E910" s="2" t="s">
        <v>9038</v>
      </c>
      <c r="F910" s="3" t="s">
        <v>9072</v>
      </c>
      <c r="G910" s="3" t="s">
        <v>62</v>
      </c>
      <c r="I910" s="3" t="s">
        <v>63</v>
      </c>
      <c r="J910" s="3" t="s">
        <v>63</v>
      </c>
      <c r="K910" s="3" t="s">
        <v>64</v>
      </c>
      <c r="M910" s="2" t="s">
        <v>9039</v>
      </c>
      <c r="N910" s="3" t="s">
        <v>1113</v>
      </c>
      <c r="P910" s="3" t="s">
        <v>90</v>
      </c>
      <c r="R910" s="3" t="s">
        <v>67</v>
      </c>
      <c r="S910" s="4">
        <v>3</v>
      </c>
      <c r="T910" s="4">
        <v>85</v>
      </c>
      <c r="U910" s="5" t="s">
        <v>4911</v>
      </c>
      <c r="V910" s="5" t="s">
        <v>9040</v>
      </c>
      <c r="W910" s="5" t="s">
        <v>69</v>
      </c>
      <c r="X910" s="5" t="s">
        <v>69</v>
      </c>
      <c r="Y910" s="4">
        <v>86</v>
      </c>
      <c r="Z910" s="4">
        <v>6</v>
      </c>
      <c r="AA910" s="4">
        <v>6</v>
      </c>
      <c r="AB910" s="4">
        <v>1</v>
      </c>
      <c r="AC910" s="4">
        <v>1</v>
      </c>
      <c r="AD910" s="4">
        <v>55</v>
      </c>
      <c r="AE910" s="4">
        <v>55</v>
      </c>
      <c r="AF910" s="4">
        <v>0</v>
      </c>
      <c r="AG910" s="4">
        <v>0</v>
      </c>
      <c r="AH910" s="4">
        <v>54</v>
      </c>
      <c r="AI910" s="4">
        <v>54</v>
      </c>
      <c r="AJ910" s="4">
        <v>3</v>
      </c>
      <c r="AK910" s="4">
        <v>3</v>
      </c>
      <c r="AL910" s="4">
        <v>37</v>
      </c>
      <c r="AM910" s="4">
        <v>37</v>
      </c>
      <c r="AN910" s="4">
        <v>0</v>
      </c>
      <c r="AO910" s="4">
        <v>0</v>
      </c>
      <c r="AP910" s="4">
        <v>3</v>
      </c>
      <c r="AQ910" s="4">
        <v>3</v>
      </c>
      <c r="AR910" s="3" t="s">
        <v>63</v>
      </c>
      <c r="AS910" s="3" t="s">
        <v>63</v>
      </c>
      <c r="AT910" s="3" t="s">
        <v>62</v>
      </c>
      <c r="AU910" s="6" t="str">
        <f>HYPERLINK("http://catalog.hathitrust.org/Record/003291815","HathiTrust Record")</f>
        <v>HathiTrust Record</v>
      </c>
      <c r="AV910" s="6" t="str">
        <f>HYPERLINK("http://mcgill.on.worldcat.org/oclc/38085406","Catalog Record")</f>
        <v>Catalog Record</v>
      </c>
      <c r="AW910" s="6" t="str">
        <f>HYPERLINK("http://www.worldcat.org/oclc/38085406","WorldCat Record")</f>
        <v>WorldCat Record</v>
      </c>
      <c r="AX910" s="3" t="s">
        <v>9041</v>
      </c>
      <c r="AY910" s="3" t="s">
        <v>9042</v>
      </c>
      <c r="AZ910" s="3" t="s">
        <v>9043</v>
      </c>
      <c r="BA910" s="3" t="s">
        <v>9043</v>
      </c>
      <c r="BB910" s="3" t="s">
        <v>9073</v>
      </c>
      <c r="BC910" s="3" t="s">
        <v>82</v>
      </c>
      <c r="BD910" s="3" t="s">
        <v>70</v>
      </c>
      <c r="BE910" s="3" t="s">
        <v>9045</v>
      </c>
      <c r="BF910" s="3" t="s">
        <v>9073</v>
      </c>
      <c r="BG910" s="3" t="s">
        <v>9074</v>
      </c>
    </row>
    <row r="911" spans="1:59" ht="60" x14ac:dyDescent="0.25">
      <c r="A911" s="2" t="s">
        <v>59</v>
      </c>
      <c r="B911" s="2" t="s">
        <v>60</v>
      </c>
      <c r="C911" s="2" t="s">
        <v>9036</v>
      </c>
      <c r="D911" s="2" t="s">
        <v>9037</v>
      </c>
      <c r="E911" s="2" t="s">
        <v>9038</v>
      </c>
      <c r="F911" s="3" t="s">
        <v>4436</v>
      </c>
      <c r="G911" s="3" t="s">
        <v>62</v>
      </c>
      <c r="I911" s="3" t="s">
        <v>63</v>
      </c>
      <c r="J911" s="3" t="s">
        <v>63</v>
      </c>
      <c r="K911" s="3" t="s">
        <v>64</v>
      </c>
      <c r="M911" s="2" t="s">
        <v>9039</v>
      </c>
      <c r="N911" s="3" t="s">
        <v>1113</v>
      </c>
      <c r="P911" s="3" t="s">
        <v>90</v>
      </c>
      <c r="R911" s="3" t="s">
        <v>67</v>
      </c>
      <c r="S911" s="4">
        <v>3</v>
      </c>
      <c r="T911" s="4">
        <v>85</v>
      </c>
      <c r="U911" s="5" t="s">
        <v>4911</v>
      </c>
      <c r="V911" s="5" t="s">
        <v>9040</v>
      </c>
      <c r="W911" s="5" t="s">
        <v>69</v>
      </c>
      <c r="X911" s="5" t="s">
        <v>69</v>
      </c>
      <c r="Y911" s="4">
        <v>86</v>
      </c>
      <c r="Z911" s="4">
        <v>6</v>
      </c>
      <c r="AA911" s="4">
        <v>6</v>
      </c>
      <c r="AB911" s="4">
        <v>1</v>
      </c>
      <c r="AC911" s="4">
        <v>1</v>
      </c>
      <c r="AD911" s="4">
        <v>55</v>
      </c>
      <c r="AE911" s="4">
        <v>55</v>
      </c>
      <c r="AF911" s="4">
        <v>0</v>
      </c>
      <c r="AG911" s="4">
        <v>0</v>
      </c>
      <c r="AH911" s="4">
        <v>54</v>
      </c>
      <c r="AI911" s="4">
        <v>54</v>
      </c>
      <c r="AJ911" s="4">
        <v>3</v>
      </c>
      <c r="AK911" s="4">
        <v>3</v>
      </c>
      <c r="AL911" s="4">
        <v>37</v>
      </c>
      <c r="AM911" s="4">
        <v>37</v>
      </c>
      <c r="AN911" s="4">
        <v>0</v>
      </c>
      <c r="AO911" s="4">
        <v>0</v>
      </c>
      <c r="AP911" s="4">
        <v>3</v>
      </c>
      <c r="AQ911" s="4">
        <v>3</v>
      </c>
      <c r="AR911" s="3" t="s">
        <v>63</v>
      </c>
      <c r="AS911" s="3" t="s">
        <v>63</v>
      </c>
      <c r="AT911" s="3" t="s">
        <v>62</v>
      </c>
      <c r="AU911" s="6" t="str">
        <f>HYPERLINK("http://catalog.hathitrust.org/Record/003291815","HathiTrust Record")</f>
        <v>HathiTrust Record</v>
      </c>
      <c r="AV911" s="6" t="str">
        <f>HYPERLINK("http://mcgill.on.worldcat.org/oclc/38085406","Catalog Record")</f>
        <v>Catalog Record</v>
      </c>
      <c r="AW911" s="6" t="str">
        <f>HYPERLINK("http://www.worldcat.org/oclc/38085406","WorldCat Record")</f>
        <v>WorldCat Record</v>
      </c>
      <c r="AX911" s="3" t="s">
        <v>9041</v>
      </c>
      <c r="AY911" s="3" t="s">
        <v>9042</v>
      </c>
      <c r="AZ911" s="3" t="s">
        <v>9043</v>
      </c>
      <c r="BA911" s="3" t="s">
        <v>9043</v>
      </c>
      <c r="BB911" s="3" t="s">
        <v>9075</v>
      </c>
      <c r="BC911" s="3" t="s">
        <v>82</v>
      </c>
      <c r="BD911" s="3" t="s">
        <v>70</v>
      </c>
      <c r="BE911" s="3" t="s">
        <v>9045</v>
      </c>
      <c r="BF911" s="3" t="s">
        <v>9075</v>
      </c>
      <c r="BG911" s="3" t="s">
        <v>9076</v>
      </c>
    </row>
    <row r="912" spans="1:59" ht="60" x14ac:dyDescent="0.25">
      <c r="A912" s="2" t="s">
        <v>59</v>
      </c>
      <c r="B912" s="2" t="s">
        <v>60</v>
      </c>
      <c r="C912" s="2" t="s">
        <v>9036</v>
      </c>
      <c r="D912" s="2" t="s">
        <v>9037</v>
      </c>
      <c r="E912" s="2" t="s">
        <v>9038</v>
      </c>
      <c r="F912" s="3" t="s">
        <v>4438</v>
      </c>
      <c r="G912" s="3" t="s">
        <v>62</v>
      </c>
      <c r="I912" s="3" t="s">
        <v>63</v>
      </c>
      <c r="J912" s="3" t="s">
        <v>63</v>
      </c>
      <c r="K912" s="3" t="s">
        <v>64</v>
      </c>
      <c r="M912" s="2" t="s">
        <v>9039</v>
      </c>
      <c r="N912" s="3" t="s">
        <v>1113</v>
      </c>
      <c r="P912" s="3" t="s">
        <v>90</v>
      </c>
      <c r="R912" s="3" t="s">
        <v>67</v>
      </c>
      <c r="S912" s="4">
        <v>3</v>
      </c>
      <c r="T912" s="4">
        <v>85</v>
      </c>
      <c r="U912" s="5" t="s">
        <v>4911</v>
      </c>
      <c r="V912" s="5" t="s">
        <v>9040</v>
      </c>
      <c r="W912" s="5" t="s">
        <v>69</v>
      </c>
      <c r="X912" s="5" t="s">
        <v>69</v>
      </c>
      <c r="Y912" s="4">
        <v>86</v>
      </c>
      <c r="Z912" s="4">
        <v>6</v>
      </c>
      <c r="AA912" s="4">
        <v>6</v>
      </c>
      <c r="AB912" s="4">
        <v>1</v>
      </c>
      <c r="AC912" s="4">
        <v>1</v>
      </c>
      <c r="AD912" s="4">
        <v>55</v>
      </c>
      <c r="AE912" s="4">
        <v>55</v>
      </c>
      <c r="AF912" s="4">
        <v>0</v>
      </c>
      <c r="AG912" s="4">
        <v>0</v>
      </c>
      <c r="AH912" s="4">
        <v>54</v>
      </c>
      <c r="AI912" s="4">
        <v>54</v>
      </c>
      <c r="AJ912" s="4">
        <v>3</v>
      </c>
      <c r="AK912" s="4">
        <v>3</v>
      </c>
      <c r="AL912" s="4">
        <v>37</v>
      </c>
      <c r="AM912" s="4">
        <v>37</v>
      </c>
      <c r="AN912" s="4">
        <v>0</v>
      </c>
      <c r="AO912" s="4">
        <v>0</v>
      </c>
      <c r="AP912" s="4">
        <v>3</v>
      </c>
      <c r="AQ912" s="4">
        <v>3</v>
      </c>
      <c r="AR912" s="3" t="s">
        <v>63</v>
      </c>
      <c r="AS912" s="3" t="s">
        <v>63</v>
      </c>
      <c r="AT912" s="3" t="s">
        <v>62</v>
      </c>
      <c r="AU912" s="6" t="str">
        <f>HYPERLINK("http://catalog.hathitrust.org/Record/003291815","HathiTrust Record")</f>
        <v>HathiTrust Record</v>
      </c>
      <c r="AV912" s="6" t="str">
        <f>HYPERLINK("http://mcgill.on.worldcat.org/oclc/38085406","Catalog Record")</f>
        <v>Catalog Record</v>
      </c>
      <c r="AW912" s="6" t="str">
        <f>HYPERLINK("http://www.worldcat.org/oclc/38085406","WorldCat Record")</f>
        <v>WorldCat Record</v>
      </c>
      <c r="AX912" s="3" t="s">
        <v>9041</v>
      </c>
      <c r="AY912" s="3" t="s">
        <v>9042</v>
      </c>
      <c r="AZ912" s="3" t="s">
        <v>9043</v>
      </c>
      <c r="BA912" s="3" t="s">
        <v>9043</v>
      </c>
      <c r="BB912" s="3" t="s">
        <v>9077</v>
      </c>
      <c r="BC912" s="3" t="s">
        <v>82</v>
      </c>
      <c r="BD912" s="3" t="s">
        <v>70</v>
      </c>
      <c r="BE912" s="3" t="s">
        <v>9045</v>
      </c>
      <c r="BF912" s="3" t="s">
        <v>9077</v>
      </c>
      <c r="BG912" s="3" t="s">
        <v>9078</v>
      </c>
    </row>
    <row r="913" spans="1:59" ht="60" x14ac:dyDescent="0.25">
      <c r="A913" s="2" t="s">
        <v>59</v>
      </c>
      <c r="B913" s="2" t="s">
        <v>60</v>
      </c>
      <c r="C913" s="2" t="s">
        <v>9036</v>
      </c>
      <c r="D913" s="2" t="s">
        <v>9037</v>
      </c>
      <c r="E913" s="2" t="s">
        <v>9038</v>
      </c>
      <c r="F913" s="3" t="s">
        <v>4032</v>
      </c>
      <c r="G913" s="3" t="s">
        <v>62</v>
      </c>
      <c r="I913" s="3" t="s">
        <v>63</v>
      </c>
      <c r="J913" s="3" t="s">
        <v>63</v>
      </c>
      <c r="K913" s="3" t="s">
        <v>64</v>
      </c>
      <c r="M913" s="2" t="s">
        <v>9039</v>
      </c>
      <c r="N913" s="3" t="s">
        <v>1113</v>
      </c>
      <c r="P913" s="3" t="s">
        <v>90</v>
      </c>
      <c r="R913" s="3" t="s">
        <v>67</v>
      </c>
      <c r="S913" s="4">
        <v>7</v>
      </c>
      <c r="T913" s="4">
        <v>85</v>
      </c>
      <c r="U913" s="5" t="s">
        <v>4911</v>
      </c>
      <c r="V913" s="5" t="s">
        <v>9040</v>
      </c>
      <c r="W913" s="5" t="s">
        <v>69</v>
      </c>
      <c r="X913" s="5" t="s">
        <v>69</v>
      </c>
      <c r="Y913" s="4">
        <v>86</v>
      </c>
      <c r="Z913" s="4">
        <v>6</v>
      </c>
      <c r="AA913" s="4">
        <v>6</v>
      </c>
      <c r="AB913" s="4">
        <v>1</v>
      </c>
      <c r="AC913" s="4">
        <v>1</v>
      </c>
      <c r="AD913" s="4">
        <v>55</v>
      </c>
      <c r="AE913" s="4">
        <v>55</v>
      </c>
      <c r="AF913" s="4">
        <v>0</v>
      </c>
      <c r="AG913" s="4">
        <v>0</v>
      </c>
      <c r="AH913" s="4">
        <v>54</v>
      </c>
      <c r="AI913" s="4">
        <v>54</v>
      </c>
      <c r="AJ913" s="4">
        <v>3</v>
      </c>
      <c r="AK913" s="4">
        <v>3</v>
      </c>
      <c r="AL913" s="4">
        <v>37</v>
      </c>
      <c r="AM913" s="4">
        <v>37</v>
      </c>
      <c r="AN913" s="4">
        <v>0</v>
      </c>
      <c r="AO913" s="4">
        <v>0</v>
      </c>
      <c r="AP913" s="4">
        <v>3</v>
      </c>
      <c r="AQ913" s="4">
        <v>3</v>
      </c>
      <c r="AR913" s="3" t="s">
        <v>63</v>
      </c>
      <c r="AS913" s="3" t="s">
        <v>63</v>
      </c>
      <c r="AT913" s="3" t="s">
        <v>62</v>
      </c>
      <c r="AU913" s="6" t="str">
        <f>HYPERLINK("http://catalog.hathitrust.org/Record/003291815","HathiTrust Record")</f>
        <v>HathiTrust Record</v>
      </c>
      <c r="AV913" s="6" t="str">
        <f>HYPERLINK("http://mcgill.on.worldcat.org/oclc/38085406","Catalog Record")</f>
        <v>Catalog Record</v>
      </c>
      <c r="AW913" s="6" t="str">
        <f>HYPERLINK("http://www.worldcat.org/oclc/38085406","WorldCat Record")</f>
        <v>WorldCat Record</v>
      </c>
      <c r="AX913" s="3" t="s">
        <v>9041</v>
      </c>
      <c r="AY913" s="3" t="s">
        <v>9042</v>
      </c>
      <c r="AZ913" s="3" t="s">
        <v>9043</v>
      </c>
      <c r="BA913" s="3" t="s">
        <v>9043</v>
      </c>
      <c r="BB913" s="3" t="s">
        <v>9079</v>
      </c>
      <c r="BC913" s="3" t="s">
        <v>82</v>
      </c>
      <c r="BD913" s="3" t="s">
        <v>70</v>
      </c>
      <c r="BE913" s="3" t="s">
        <v>9045</v>
      </c>
      <c r="BF913" s="3" t="s">
        <v>9079</v>
      </c>
      <c r="BG913" s="3" t="s">
        <v>9080</v>
      </c>
    </row>
    <row r="914" spans="1:59" ht="60" x14ac:dyDescent="0.25">
      <c r="A914" s="2" t="s">
        <v>59</v>
      </c>
      <c r="B914" s="2" t="s">
        <v>60</v>
      </c>
      <c r="C914" s="2" t="s">
        <v>9036</v>
      </c>
      <c r="D914" s="2" t="s">
        <v>9037</v>
      </c>
      <c r="E914" s="2" t="s">
        <v>9038</v>
      </c>
      <c r="F914" s="3" t="s">
        <v>4431</v>
      </c>
      <c r="G914" s="3" t="s">
        <v>62</v>
      </c>
      <c r="I914" s="3" t="s">
        <v>63</v>
      </c>
      <c r="J914" s="3" t="s">
        <v>63</v>
      </c>
      <c r="K914" s="3" t="s">
        <v>64</v>
      </c>
      <c r="M914" s="2" t="s">
        <v>9039</v>
      </c>
      <c r="N914" s="3" t="s">
        <v>1113</v>
      </c>
      <c r="P914" s="3" t="s">
        <v>90</v>
      </c>
      <c r="R914" s="3" t="s">
        <v>67</v>
      </c>
      <c r="S914" s="4">
        <v>5</v>
      </c>
      <c r="T914" s="4">
        <v>85</v>
      </c>
      <c r="U914" s="5" t="s">
        <v>4911</v>
      </c>
      <c r="V914" s="5" t="s">
        <v>9040</v>
      </c>
      <c r="W914" s="5" t="s">
        <v>69</v>
      </c>
      <c r="X914" s="5" t="s">
        <v>69</v>
      </c>
      <c r="Y914" s="4">
        <v>86</v>
      </c>
      <c r="Z914" s="4">
        <v>6</v>
      </c>
      <c r="AA914" s="4">
        <v>6</v>
      </c>
      <c r="AB914" s="4">
        <v>1</v>
      </c>
      <c r="AC914" s="4">
        <v>1</v>
      </c>
      <c r="AD914" s="4">
        <v>55</v>
      </c>
      <c r="AE914" s="4">
        <v>55</v>
      </c>
      <c r="AF914" s="4">
        <v>0</v>
      </c>
      <c r="AG914" s="4">
        <v>0</v>
      </c>
      <c r="AH914" s="4">
        <v>54</v>
      </c>
      <c r="AI914" s="4">
        <v>54</v>
      </c>
      <c r="AJ914" s="4">
        <v>3</v>
      </c>
      <c r="AK914" s="4">
        <v>3</v>
      </c>
      <c r="AL914" s="4">
        <v>37</v>
      </c>
      <c r="AM914" s="4">
        <v>37</v>
      </c>
      <c r="AN914" s="4">
        <v>0</v>
      </c>
      <c r="AO914" s="4">
        <v>0</v>
      </c>
      <c r="AP914" s="4">
        <v>3</v>
      </c>
      <c r="AQ914" s="4">
        <v>3</v>
      </c>
      <c r="AR914" s="3" t="s">
        <v>63</v>
      </c>
      <c r="AS914" s="3" t="s">
        <v>63</v>
      </c>
      <c r="AT914" s="3" t="s">
        <v>62</v>
      </c>
      <c r="AU914" s="6" t="str">
        <f>HYPERLINK("http://catalog.hathitrust.org/Record/003291815","HathiTrust Record")</f>
        <v>HathiTrust Record</v>
      </c>
      <c r="AV914" s="6" t="str">
        <f>HYPERLINK("http://mcgill.on.worldcat.org/oclc/38085406","Catalog Record")</f>
        <v>Catalog Record</v>
      </c>
      <c r="AW914" s="6" t="str">
        <f>HYPERLINK("http://www.worldcat.org/oclc/38085406","WorldCat Record")</f>
        <v>WorldCat Record</v>
      </c>
      <c r="AX914" s="3" t="s">
        <v>9041</v>
      </c>
      <c r="AY914" s="3" t="s">
        <v>9042</v>
      </c>
      <c r="AZ914" s="3" t="s">
        <v>9043</v>
      </c>
      <c r="BA914" s="3" t="s">
        <v>9043</v>
      </c>
      <c r="BB914" s="3" t="s">
        <v>9081</v>
      </c>
      <c r="BC914" s="3" t="s">
        <v>82</v>
      </c>
      <c r="BD914" s="3" t="s">
        <v>70</v>
      </c>
      <c r="BE914" s="3" t="s">
        <v>9045</v>
      </c>
      <c r="BF914" s="3" t="s">
        <v>9081</v>
      </c>
      <c r="BG914" s="3" t="s">
        <v>9082</v>
      </c>
    </row>
    <row r="915" spans="1:59" ht="60" x14ac:dyDescent="0.25">
      <c r="A915" s="2" t="s">
        <v>59</v>
      </c>
      <c r="B915" s="2" t="s">
        <v>60</v>
      </c>
      <c r="C915" s="2" t="s">
        <v>9036</v>
      </c>
      <c r="D915" s="2" t="s">
        <v>9037</v>
      </c>
      <c r="E915" s="2" t="s">
        <v>9038</v>
      </c>
      <c r="F915" s="3" t="s">
        <v>4435</v>
      </c>
      <c r="G915" s="3" t="s">
        <v>62</v>
      </c>
      <c r="I915" s="3" t="s">
        <v>63</v>
      </c>
      <c r="J915" s="3" t="s">
        <v>63</v>
      </c>
      <c r="K915" s="3" t="s">
        <v>64</v>
      </c>
      <c r="M915" s="2" t="s">
        <v>9039</v>
      </c>
      <c r="N915" s="3" t="s">
        <v>1113</v>
      </c>
      <c r="P915" s="3" t="s">
        <v>90</v>
      </c>
      <c r="R915" s="3" t="s">
        <v>67</v>
      </c>
      <c r="S915" s="4">
        <v>3</v>
      </c>
      <c r="T915" s="4">
        <v>85</v>
      </c>
      <c r="U915" s="5" t="s">
        <v>4911</v>
      </c>
      <c r="V915" s="5" t="s">
        <v>9040</v>
      </c>
      <c r="W915" s="5" t="s">
        <v>69</v>
      </c>
      <c r="X915" s="5" t="s">
        <v>69</v>
      </c>
      <c r="Y915" s="4">
        <v>86</v>
      </c>
      <c r="Z915" s="4">
        <v>6</v>
      </c>
      <c r="AA915" s="4">
        <v>6</v>
      </c>
      <c r="AB915" s="4">
        <v>1</v>
      </c>
      <c r="AC915" s="4">
        <v>1</v>
      </c>
      <c r="AD915" s="4">
        <v>55</v>
      </c>
      <c r="AE915" s="4">
        <v>55</v>
      </c>
      <c r="AF915" s="4">
        <v>0</v>
      </c>
      <c r="AG915" s="4">
        <v>0</v>
      </c>
      <c r="AH915" s="4">
        <v>54</v>
      </c>
      <c r="AI915" s="4">
        <v>54</v>
      </c>
      <c r="AJ915" s="4">
        <v>3</v>
      </c>
      <c r="AK915" s="4">
        <v>3</v>
      </c>
      <c r="AL915" s="4">
        <v>37</v>
      </c>
      <c r="AM915" s="4">
        <v>37</v>
      </c>
      <c r="AN915" s="4">
        <v>0</v>
      </c>
      <c r="AO915" s="4">
        <v>0</v>
      </c>
      <c r="AP915" s="4">
        <v>3</v>
      </c>
      <c r="AQ915" s="4">
        <v>3</v>
      </c>
      <c r="AR915" s="3" t="s">
        <v>63</v>
      </c>
      <c r="AS915" s="3" t="s">
        <v>63</v>
      </c>
      <c r="AT915" s="3" t="s">
        <v>62</v>
      </c>
      <c r="AU915" s="6" t="str">
        <f>HYPERLINK("http://catalog.hathitrust.org/Record/003291815","HathiTrust Record")</f>
        <v>HathiTrust Record</v>
      </c>
      <c r="AV915" s="6" t="str">
        <f>HYPERLINK("http://mcgill.on.worldcat.org/oclc/38085406","Catalog Record")</f>
        <v>Catalog Record</v>
      </c>
      <c r="AW915" s="6" t="str">
        <f>HYPERLINK("http://www.worldcat.org/oclc/38085406","WorldCat Record")</f>
        <v>WorldCat Record</v>
      </c>
      <c r="AX915" s="3" t="s">
        <v>9041</v>
      </c>
      <c r="AY915" s="3" t="s">
        <v>9042</v>
      </c>
      <c r="AZ915" s="3" t="s">
        <v>9043</v>
      </c>
      <c r="BA915" s="3" t="s">
        <v>9043</v>
      </c>
      <c r="BB915" s="3" t="s">
        <v>9083</v>
      </c>
      <c r="BC915" s="3" t="s">
        <v>82</v>
      </c>
      <c r="BD915" s="3" t="s">
        <v>70</v>
      </c>
      <c r="BE915" s="3" t="s">
        <v>9045</v>
      </c>
      <c r="BF915" s="3" t="s">
        <v>9083</v>
      </c>
      <c r="BG915" s="3" t="s">
        <v>9084</v>
      </c>
    </row>
    <row r="916" spans="1:59" ht="60" x14ac:dyDescent="0.25">
      <c r="A916" s="2" t="s">
        <v>59</v>
      </c>
      <c r="B916" s="2" t="s">
        <v>60</v>
      </c>
      <c r="C916" s="2" t="s">
        <v>9036</v>
      </c>
      <c r="D916" s="2" t="s">
        <v>9037</v>
      </c>
      <c r="E916" s="2" t="s">
        <v>9038</v>
      </c>
      <c r="F916" s="3" t="s">
        <v>9085</v>
      </c>
      <c r="G916" s="3" t="s">
        <v>62</v>
      </c>
      <c r="I916" s="3" t="s">
        <v>63</v>
      </c>
      <c r="J916" s="3" t="s">
        <v>63</v>
      </c>
      <c r="K916" s="3" t="s">
        <v>64</v>
      </c>
      <c r="M916" s="2" t="s">
        <v>9039</v>
      </c>
      <c r="N916" s="3" t="s">
        <v>1113</v>
      </c>
      <c r="P916" s="3" t="s">
        <v>90</v>
      </c>
      <c r="R916" s="3" t="s">
        <v>67</v>
      </c>
      <c r="S916" s="4">
        <v>4</v>
      </c>
      <c r="T916" s="4">
        <v>85</v>
      </c>
      <c r="U916" s="5" t="s">
        <v>4911</v>
      </c>
      <c r="V916" s="5" t="s">
        <v>9040</v>
      </c>
      <c r="W916" s="5" t="s">
        <v>69</v>
      </c>
      <c r="X916" s="5" t="s">
        <v>69</v>
      </c>
      <c r="Y916" s="4">
        <v>86</v>
      </c>
      <c r="Z916" s="4">
        <v>6</v>
      </c>
      <c r="AA916" s="4">
        <v>6</v>
      </c>
      <c r="AB916" s="4">
        <v>1</v>
      </c>
      <c r="AC916" s="4">
        <v>1</v>
      </c>
      <c r="AD916" s="4">
        <v>55</v>
      </c>
      <c r="AE916" s="4">
        <v>55</v>
      </c>
      <c r="AF916" s="4">
        <v>0</v>
      </c>
      <c r="AG916" s="4">
        <v>0</v>
      </c>
      <c r="AH916" s="4">
        <v>54</v>
      </c>
      <c r="AI916" s="4">
        <v>54</v>
      </c>
      <c r="AJ916" s="4">
        <v>3</v>
      </c>
      <c r="AK916" s="4">
        <v>3</v>
      </c>
      <c r="AL916" s="4">
        <v>37</v>
      </c>
      <c r="AM916" s="4">
        <v>37</v>
      </c>
      <c r="AN916" s="4">
        <v>0</v>
      </c>
      <c r="AO916" s="4">
        <v>0</v>
      </c>
      <c r="AP916" s="4">
        <v>3</v>
      </c>
      <c r="AQ916" s="4">
        <v>3</v>
      </c>
      <c r="AR916" s="3" t="s">
        <v>63</v>
      </c>
      <c r="AS916" s="3" t="s">
        <v>63</v>
      </c>
      <c r="AT916" s="3" t="s">
        <v>62</v>
      </c>
      <c r="AU916" s="6" t="str">
        <f>HYPERLINK("http://catalog.hathitrust.org/Record/003291815","HathiTrust Record")</f>
        <v>HathiTrust Record</v>
      </c>
      <c r="AV916" s="6" t="str">
        <f>HYPERLINK("http://mcgill.on.worldcat.org/oclc/38085406","Catalog Record")</f>
        <v>Catalog Record</v>
      </c>
      <c r="AW916" s="6" t="str">
        <f>HYPERLINK("http://www.worldcat.org/oclc/38085406","WorldCat Record")</f>
        <v>WorldCat Record</v>
      </c>
      <c r="AX916" s="3" t="s">
        <v>9041</v>
      </c>
      <c r="AY916" s="3" t="s">
        <v>9042</v>
      </c>
      <c r="AZ916" s="3" t="s">
        <v>9043</v>
      </c>
      <c r="BA916" s="3" t="s">
        <v>9043</v>
      </c>
      <c r="BB916" s="3" t="s">
        <v>9086</v>
      </c>
      <c r="BC916" s="3" t="s">
        <v>82</v>
      </c>
      <c r="BD916" s="3" t="s">
        <v>70</v>
      </c>
      <c r="BE916" s="3" t="s">
        <v>9045</v>
      </c>
      <c r="BF916" s="3" t="s">
        <v>9086</v>
      </c>
      <c r="BG916" s="3" t="s">
        <v>9087</v>
      </c>
    </row>
    <row r="917" spans="1:59" ht="75" x14ac:dyDescent="0.25">
      <c r="A917" s="2" t="s">
        <v>59</v>
      </c>
      <c r="B917" s="2" t="s">
        <v>60</v>
      </c>
      <c r="C917" s="2" t="s">
        <v>9088</v>
      </c>
      <c r="D917" s="2" t="s">
        <v>9089</v>
      </c>
      <c r="E917" s="2" t="s">
        <v>9090</v>
      </c>
      <c r="G917" s="3" t="s">
        <v>63</v>
      </c>
      <c r="I917" s="3" t="s">
        <v>63</v>
      </c>
      <c r="J917" s="3" t="s">
        <v>63</v>
      </c>
      <c r="K917" s="3" t="s">
        <v>64</v>
      </c>
      <c r="L917" s="2" t="s">
        <v>5466</v>
      </c>
      <c r="M917" s="2" t="s">
        <v>9091</v>
      </c>
      <c r="N917" s="3" t="s">
        <v>2535</v>
      </c>
      <c r="O917" s="2" t="s">
        <v>9092</v>
      </c>
      <c r="P917" s="3" t="s">
        <v>90</v>
      </c>
      <c r="R917" s="3" t="s">
        <v>67</v>
      </c>
      <c r="S917" s="4">
        <v>10</v>
      </c>
      <c r="T917" s="4">
        <v>10</v>
      </c>
      <c r="U917" s="5" t="s">
        <v>4577</v>
      </c>
      <c r="V917" s="5" t="s">
        <v>4577</v>
      </c>
      <c r="W917" s="5" t="s">
        <v>69</v>
      </c>
      <c r="X917" s="5" t="s">
        <v>69</v>
      </c>
      <c r="Y917" s="4">
        <v>71</v>
      </c>
      <c r="Z917" s="4">
        <v>11</v>
      </c>
      <c r="AA917" s="4">
        <v>21</v>
      </c>
      <c r="AB917" s="4">
        <v>1</v>
      </c>
      <c r="AC917" s="4">
        <v>1</v>
      </c>
      <c r="AD917" s="4">
        <v>45</v>
      </c>
      <c r="AE917" s="4">
        <v>82</v>
      </c>
      <c r="AF917" s="4">
        <v>0</v>
      </c>
      <c r="AG917" s="4">
        <v>0</v>
      </c>
      <c r="AH917" s="4">
        <v>41</v>
      </c>
      <c r="AI917" s="4">
        <v>75</v>
      </c>
      <c r="AJ917" s="4">
        <v>7</v>
      </c>
      <c r="AK917" s="4">
        <v>12</v>
      </c>
      <c r="AL917" s="4">
        <v>27</v>
      </c>
      <c r="AM917" s="4">
        <v>47</v>
      </c>
      <c r="AN917" s="4">
        <v>0</v>
      </c>
      <c r="AO917" s="4">
        <v>0</v>
      </c>
      <c r="AP917" s="4">
        <v>7</v>
      </c>
      <c r="AQ917" s="4">
        <v>13</v>
      </c>
      <c r="AR917" s="3" t="s">
        <v>63</v>
      </c>
      <c r="AS917" s="3" t="s">
        <v>63</v>
      </c>
      <c r="AT917" s="3" t="s">
        <v>62</v>
      </c>
      <c r="AU917" s="6" t="str">
        <f>HYPERLINK("http://catalog.hathitrust.org/Record/005837601","HathiTrust Record")</f>
        <v>HathiTrust Record</v>
      </c>
      <c r="AV917" s="6" t="str">
        <f>HYPERLINK("http://mcgill.on.worldcat.org/oclc/7312405","Catalog Record")</f>
        <v>Catalog Record</v>
      </c>
      <c r="AW917" s="6" t="str">
        <f>HYPERLINK("http://www.worldcat.org/oclc/7312405","WorldCat Record")</f>
        <v>WorldCat Record</v>
      </c>
      <c r="AX917" s="3" t="s">
        <v>9093</v>
      </c>
      <c r="AY917" s="3" t="s">
        <v>9094</v>
      </c>
      <c r="AZ917" s="3" t="s">
        <v>9095</v>
      </c>
      <c r="BA917" s="3" t="s">
        <v>9095</v>
      </c>
      <c r="BB917" s="3" t="s">
        <v>9096</v>
      </c>
      <c r="BC917" s="3" t="s">
        <v>82</v>
      </c>
      <c r="BD917" s="3" t="s">
        <v>70</v>
      </c>
      <c r="BF917" s="3" t="s">
        <v>9096</v>
      </c>
      <c r="BG917" s="3" t="s">
        <v>9097</v>
      </c>
    </row>
    <row r="918" spans="1:59" ht="60" x14ac:dyDescent="0.25">
      <c r="A918" s="2" t="s">
        <v>59</v>
      </c>
      <c r="B918" s="2" t="s">
        <v>60</v>
      </c>
      <c r="C918" s="2" t="s">
        <v>9098</v>
      </c>
      <c r="D918" s="2" t="s">
        <v>9099</v>
      </c>
      <c r="E918" s="2" t="s">
        <v>9100</v>
      </c>
      <c r="G918" s="3" t="s">
        <v>63</v>
      </c>
      <c r="I918" s="3" t="s">
        <v>63</v>
      </c>
      <c r="J918" s="3" t="s">
        <v>63</v>
      </c>
      <c r="K918" s="3" t="s">
        <v>64</v>
      </c>
      <c r="L918" s="2" t="s">
        <v>9101</v>
      </c>
      <c r="M918" s="2" t="s">
        <v>9102</v>
      </c>
      <c r="N918" s="3" t="s">
        <v>9103</v>
      </c>
      <c r="P918" s="3" t="s">
        <v>90</v>
      </c>
      <c r="Q918" s="2" t="s">
        <v>2705</v>
      </c>
      <c r="R918" s="3" t="s">
        <v>67</v>
      </c>
      <c r="S918" s="4">
        <v>10</v>
      </c>
      <c r="T918" s="4">
        <v>10</v>
      </c>
      <c r="U918" s="5" t="s">
        <v>4577</v>
      </c>
      <c r="V918" s="5" t="s">
        <v>4577</v>
      </c>
      <c r="W918" s="5" t="s">
        <v>69</v>
      </c>
      <c r="X918" s="5" t="s">
        <v>69</v>
      </c>
      <c r="Y918" s="4">
        <v>423</v>
      </c>
      <c r="Z918" s="4">
        <v>14</v>
      </c>
      <c r="AA918" s="4">
        <v>15</v>
      </c>
      <c r="AB918" s="4">
        <v>1</v>
      </c>
      <c r="AC918" s="4">
        <v>1</v>
      </c>
      <c r="AD918" s="4">
        <v>96</v>
      </c>
      <c r="AE918" s="4">
        <v>100</v>
      </c>
      <c r="AF918" s="4">
        <v>0</v>
      </c>
      <c r="AG918" s="4">
        <v>0</v>
      </c>
      <c r="AH918" s="4">
        <v>87</v>
      </c>
      <c r="AI918" s="4">
        <v>91</v>
      </c>
      <c r="AJ918" s="4">
        <v>9</v>
      </c>
      <c r="AK918" s="4">
        <v>10</v>
      </c>
      <c r="AL918" s="4">
        <v>48</v>
      </c>
      <c r="AM918" s="4">
        <v>49</v>
      </c>
      <c r="AN918" s="4">
        <v>0</v>
      </c>
      <c r="AO918" s="4">
        <v>0</v>
      </c>
      <c r="AP918" s="4">
        <v>12</v>
      </c>
      <c r="AQ918" s="4">
        <v>13</v>
      </c>
      <c r="AR918" s="3" t="s">
        <v>63</v>
      </c>
      <c r="AS918" s="3" t="s">
        <v>62</v>
      </c>
      <c r="AT918" s="3" t="s">
        <v>62</v>
      </c>
      <c r="AU918" s="6" t="str">
        <f>HYPERLINK("http://catalog.hathitrust.org/Record/001110391","HathiTrust Record")</f>
        <v>HathiTrust Record</v>
      </c>
      <c r="AV918" s="6" t="str">
        <f>HYPERLINK("http://mcgill.on.worldcat.org/oclc/904452","Catalog Record")</f>
        <v>Catalog Record</v>
      </c>
      <c r="AW918" s="6" t="str">
        <f>HYPERLINK("http://www.worldcat.org/oclc/904452","WorldCat Record")</f>
        <v>WorldCat Record</v>
      </c>
      <c r="AX918" s="3" t="s">
        <v>9104</v>
      </c>
      <c r="AY918" s="3" t="s">
        <v>9105</v>
      </c>
      <c r="AZ918" s="3" t="s">
        <v>9106</v>
      </c>
      <c r="BA918" s="3" t="s">
        <v>9106</v>
      </c>
      <c r="BB918" s="3" t="s">
        <v>9107</v>
      </c>
      <c r="BC918" s="3" t="s">
        <v>82</v>
      </c>
      <c r="BD918" s="3" t="s">
        <v>70</v>
      </c>
      <c r="BF918" s="3" t="s">
        <v>9107</v>
      </c>
      <c r="BG918" s="3" t="s">
        <v>9108</v>
      </c>
    </row>
    <row r="919" spans="1:59" ht="60" x14ac:dyDescent="0.25">
      <c r="A919" s="2" t="s">
        <v>59</v>
      </c>
      <c r="B919" s="2" t="s">
        <v>60</v>
      </c>
      <c r="C919" s="2" t="s">
        <v>9109</v>
      </c>
      <c r="D919" s="2" t="s">
        <v>9110</v>
      </c>
      <c r="E919" s="2" t="s">
        <v>9111</v>
      </c>
      <c r="G919" s="3" t="s">
        <v>62</v>
      </c>
      <c r="I919" s="3" t="s">
        <v>62</v>
      </c>
      <c r="J919" s="3" t="s">
        <v>63</v>
      </c>
      <c r="K919" s="3" t="s">
        <v>64</v>
      </c>
      <c r="L919" s="2" t="s">
        <v>9112</v>
      </c>
      <c r="M919" s="2" t="s">
        <v>9113</v>
      </c>
      <c r="N919" s="3" t="s">
        <v>9114</v>
      </c>
      <c r="P919" s="3" t="s">
        <v>66</v>
      </c>
      <c r="Q919" s="2" t="s">
        <v>2705</v>
      </c>
      <c r="R919" s="3" t="s">
        <v>67</v>
      </c>
      <c r="S919" s="4">
        <v>3</v>
      </c>
      <c r="T919" s="4">
        <v>4</v>
      </c>
      <c r="U919" s="5" t="s">
        <v>5503</v>
      </c>
      <c r="V919" s="5" t="s">
        <v>5503</v>
      </c>
      <c r="W919" s="5" t="s">
        <v>69</v>
      </c>
      <c r="X919" s="5" t="s">
        <v>69</v>
      </c>
      <c r="Y919" s="4">
        <v>265</v>
      </c>
      <c r="Z919" s="4">
        <v>12</v>
      </c>
      <c r="AA919" s="4">
        <v>14</v>
      </c>
      <c r="AB919" s="4">
        <v>1</v>
      </c>
      <c r="AC919" s="4">
        <v>1</v>
      </c>
      <c r="AD919" s="4">
        <v>83</v>
      </c>
      <c r="AE919" s="4">
        <v>85</v>
      </c>
      <c r="AF919" s="4">
        <v>0</v>
      </c>
      <c r="AG919" s="4">
        <v>0</v>
      </c>
      <c r="AH919" s="4">
        <v>76</v>
      </c>
      <c r="AI919" s="4">
        <v>78</v>
      </c>
      <c r="AJ919" s="4">
        <v>9</v>
      </c>
      <c r="AK919" s="4">
        <v>10</v>
      </c>
      <c r="AL919" s="4">
        <v>44</v>
      </c>
      <c r="AM919" s="4">
        <v>45</v>
      </c>
      <c r="AN919" s="4">
        <v>0</v>
      </c>
      <c r="AO919" s="4">
        <v>0</v>
      </c>
      <c r="AP919" s="4">
        <v>10</v>
      </c>
      <c r="AQ919" s="4">
        <v>11</v>
      </c>
      <c r="AR919" s="3" t="s">
        <v>63</v>
      </c>
      <c r="AS919" s="3" t="s">
        <v>62</v>
      </c>
      <c r="AT919" s="3" t="s">
        <v>63</v>
      </c>
      <c r="AU919" s="6" t="str">
        <f>HYPERLINK("http://catalog.hathitrust.org/Record/000241946","HathiTrust Record")</f>
        <v>HathiTrust Record</v>
      </c>
      <c r="AV919" s="6" t="str">
        <f>HYPERLINK("http://mcgill.on.worldcat.org/oclc/2880362","Catalog Record")</f>
        <v>Catalog Record</v>
      </c>
      <c r="AW919" s="6" t="str">
        <f>HYPERLINK("http://www.worldcat.org/oclc/2880362","WorldCat Record")</f>
        <v>WorldCat Record</v>
      </c>
      <c r="AX919" s="3" t="s">
        <v>9115</v>
      </c>
      <c r="AY919" s="3" t="s">
        <v>9116</v>
      </c>
      <c r="AZ919" s="3" t="s">
        <v>9117</v>
      </c>
      <c r="BA919" s="3" t="s">
        <v>9117</v>
      </c>
      <c r="BB919" s="3" t="s">
        <v>9118</v>
      </c>
      <c r="BC919" s="3" t="s">
        <v>82</v>
      </c>
      <c r="BD919" s="3" t="s">
        <v>1611</v>
      </c>
      <c r="BF919" s="3" t="s">
        <v>9118</v>
      </c>
      <c r="BG919" s="3" t="s">
        <v>9119</v>
      </c>
    </row>
    <row r="920" spans="1:59" ht="60" x14ac:dyDescent="0.25">
      <c r="A920" s="2" t="s">
        <v>59</v>
      </c>
      <c r="B920" s="2" t="s">
        <v>60</v>
      </c>
      <c r="C920" s="2" t="s">
        <v>9109</v>
      </c>
      <c r="D920" s="2" t="s">
        <v>9110</v>
      </c>
      <c r="E920" s="2" t="s">
        <v>9111</v>
      </c>
      <c r="F920" s="3" t="s">
        <v>4181</v>
      </c>
      <c r="G920" s="3" t="s">
        <v>62</v>
      </c>
      <c r="I920" s="3" t="s">
        <v>62</v>
      </c>
      <c r="J920" s="3" t="s">
        <v>63</v>
      </c>
      <c r="K920" s="3" t="s">
        <v>64</v>
      </c>
      <c r="L920" s="2" t="s">
        <v>9112</v>
      </c>
      <c r="M920" s="2" t="s">
        <v>9113</v>
      </c>
      <c r="N920" s="3" t="s">
        <v>9114</v>
      </c>
      <c r="P920" s="3" t="s">
        <v>66</v>
      </c>
      <c r="Q920" s="2" t="s">
        <v>2705</v>
      </c>
      <c r="R920" s="3" t="s">
        <v>67</v>
      </c>
      <c r="S920" s="4">
        <v>1</v>
      </c>
      <c r="T920" s="4">
        <v>4</v>
      </c>
      <c r="U920" s="5" t="s">
        <v>9120</v>
      </c>
      <c r="V920" s="5" t="s">
        <v>5503</v>
      </c>
      <c r="W920" s="5" t="s">
        <v>69</v>
      </c>
      <c r="X920" s="5" t="s">
        <v>69</v>
      </c>
      <c r="Y920" s="4">
        <v>265</v>
      </c>
      <c r="Z920" s="4">
        <v>12</v>
      </c>
      <c r="AA920" s="4">
        <v>14</v>
      </c>
      <c r="AB920" s="4">
        <v>1</v>
      </c>
      <c r="AC920" s="4">
        <v>1</v>
      </c>
      <c r="AD920" s="4">
        <v>83</v>
      </c>
      <c r="AE920" s="4">
        <v>85</v>
      </c>
      <c r="AF920" s="4">
        <v>0</v>
      </c>
      <c r="AG920" s="4">
        <v>0</v>
      </c>
      <c r="AH920" s="4">
        <v>76</v>
      </c>
      <c r="AI920" s="4">
        <v>78</v>
      </c>
      <c r="AJ920" s="4">
        <v>9</v>
      </c>
      <c r="AK920" s="4">
        <v>10</v>
      </c>
      <c r="AL920" s="4">
        <v>44</v>
      </c>
      <c r="AM920" s="4">
        <v>45</v>
      </c>
      <c r="AN920" s="4">
        <v>0</v>
      </c>
      <c r="AO920" s="4">
        <v>0</v>
      </c>
      <c r="AP920" s="4">
        <v>10</v>
      </c>
      <c r="AQ920" s="4">
        <v>11</v>
      </c>
      <c r="AR920" s="3" t="s">
        <v>63</v>
      </c>
      <c r="AS920" s="3" t="s">
        <v>62</v>
      </c>
      <c r="AT920" s="3" t="s">
        <v>63</v>
      </c>
      <c r="AU920" s="6" t="str">
        <f>HYPERLINK("http://catalog.hathitrust.org/Record/000241946","HathiTrust Record")</f>
        <v>HathiTrust Record</v>
      </c>
      <c r="AV920" s="6" t="str">
        <f>HYPERLINK("http://mcgill.on.worldcat.org/oclc/2880362","Catalog Record")</f>
        <v>Catalog Record</v>
      </c>
      <c r="AW920" s="6" t="str">
        <f>HYPERLINK("http://www.worldcat.org/oclc/2880362","WorldCat Record")</f>
        <v>WorldCat Record</v>
      </c>
      <c r="AX920" s="3" t="s">
        <v>9115</v>
      </c>
      <c r="AY920" s="3" t="s">
        <v>9116</v>
      </c>
      <c r="AZ920" s="3" t="s">
        <v>9117</v>
      </c>
      <c r="BA920" s="3" t="s">
        <v>9117</v>
      </c>
      <c r="BB920" s="3" t="s">
        <v>9121</v>
      </c>
      <c r="BC920" s="3" t="s">
        <v>82</v>
      </c>
      <c r="BD920" s="3" t="s">
        <v>1611</v>
      </c>
      <c r="BF920" s="3" t="s">
        <v>9121</v>
      </c>
      <c r="BG920" s="3" t="s">
        <v>9122</v>
      </c>
    </row>
    <row r="921" spans="1:59" ht="60" x14ac:dyDescent="0.25">
      <c r="A921" s="2" t="s">
        <v>59</v>
      </c>
      <c r="B921" s="2" t="s">
        <v>60</v>
      </c>
      <c r="C921" s="2" t="s">
        <v>9123</v>
      </c>
      <c r="D921" s="2" t="s">
        <v>9124</v>
      </c>
      <c r="E921" s="2" t="s">
        <v>9125</v>
      </c>
      <c r="G921" s="3" t="s">
        <v>63</v>
      </c>
      <c r="I921" s="3" t="s">
        <v>63</v>
      </c>
      <c r="J921" s="3" t="s">
        <v>63</v>
      </c>
      <c r="K921" s="3" t="s">
        <v>64</v>
      </c>
      <c r="M921" s="2" t="s">
        <v>9126</v>
      </c>
      <c r="N921" s="3" t="s">
        <v>681</v>
      </c>
      <c r="P921" s="3" t="s">
        <v>90</v>
      </c>
      <c r="R921" s="3" t="s">
        <v>67</v>
      </c>
      <c r="S921" s="4">
        <v>5</v>
      </c>
      <c r="T921" s="4">
        <v>5</v>
      </c>
      <c r="U921" s="5" t="s">
        <v>8229</v>
      </c>
      <c r="V921" s="5" t="s">
        <v>8229</v>
      </c>
      <c r="W921" s="5" t="s">
        <v>69</v>
      </c>
      <c r="X921" s="5" t="s">
        <v>69</v>
      </c>
      <c r="Y921" s="4">
        <v>113</v>
      </c>
      <c r="Z921" s="4">
        <v>7</v>
      </c>
      <c r="AA921" s="4">
        <v>7</v>
      </c>
      <c r="AB921" s="4">
        <v>2</v>
      </c>
      <c r="AC921" s="4">
        <v>2</v>
      </c>
      <c r="AD921" s="4">
        <v>64</v>
      </c>
      <c r="AE921" s="4">
        <v>64</v>
      </c>
      <c r="AF921" s="4">
        <v>1</v>
      </c>
      <c r="AG921" s="4">
        <v>1</v>
      </c>
      <c r="AH921" s="4">
        <v>61</v>
      </c>
      <c r="AI921" s="4">
        <v>61</v>
      </c>
      <c r="AJ921" s="4">
        <v>5</v>
      </c>
      <c r="AK921" s="4">
        <v>5</v>
      </c>
      <c r="AL921" s="4">
        <v>45</v>
      </c>
      <c r="AM921" s="4">
        <v>45</v>
      </c>
      <c r="AN921" s="4">
        <v>0</v>
      </c>
      <c r="AO921" s="4">
        <v>0</v>
      </c>
      <c r="AP921" s="4">
        <v>5</v>
      </c>
      <c r="AQ921" s="4">
        <v>5</v>
      </c>
      <c r="AR921" s="3" t="s">
        <v>63</v>
      </c>
      <c r="AS921" s="3" t="s">
        <v>63</v>
      </c>
      <c r="AT921" s="3" t="s">
        <v>62</v>
      </c>
      <c r="AU921" s="6" t="str">
        <f>HYPERLINK("http://catalog.hathitrust.org/Record/001059389","HathiTrust Record")</f>
        <v>HathiTrust Record</v>
      </c>
      <c r="AV921" s="6" t="str">
        <f>HYPERLINK("http://mcgill.on.worldcat.org/oclc/1281062","Catalog Record")</f>
        <v>Catalog Record</v>
      </c>
      <c r="AW921" s="6" t="str">
        <f>HYPERLINK("http://www.worldcat.org/oclc/1281062","WorldCat Record")</f>
        <v>WorldCat Record</v>
      </c>
      <c r="AX921" s="3" t="s">
        <v>9127</v>
      </c>
      <c r="AY921" s="3" t="s">
        <v>9128</v>
      </c>
      <c r="AZ921" s="3" t="s">
        <v>9129</v>
      </c>
      <c r="BA921" s="3" t="s">
        <v>9129</v>
      </c>
      <c r="BB921" s="3" t="s">
        <v>9130</v>
      </c>
      <c r="BC921" s="3" t="s">
        <v>82</v>
      </c>
      <c r="BD921" s="3" t="s">
        <v>70</v>
      </c>
      <c r="BF921" s="3" t="s">
        <v>9130</v>
      </c>
      <c r="BG921" s="3" t="s">
        <v>9131</v>
      </c>
    </row>
    <row r="922" spans="1:59" ht="75" x14ac:dyDescent="0.25">
      <c r="A922" s="2" t="s">
        <v>59</v>
      </c>
      <c r="B922" s="2" t="s">
        <v>60</v>
      </c>
      <c r="C922" s="2" t="s">
        <v>9132</v>
      </c>
      <c r="D922" s="2" t="s">
        <v>9133</v>
      </c>
      <c r="E922" s="2" t="s">
        <v>9134</v>
      </c>
      <c r="F922" s="3" t="s">
        <v>2601</v>
      </c>
      <c r="G922" s="3" t="s">
        <v>62</v>
      </c>
      <c r="I922" s="3" t="s">
        <v>63</v>
      </c>
      <c r="J922" s="3" t="s">
        <v>63</v>
      </c>
      <c r="K922" s="3" t="s">
        <v>64</v>
      </c>
      <c r="M922" s="2" t="s">
        <v>9135</v>
      </c>
      <c r="N922" s="3" t="s">
        <v>668</v>
      </c>
      <c r="P922" s="3" t="s">
        <v>90</v>
      </c>
      <c r="R922" s="3" t="s">
        <v>67</v>
      </c>
      <c r="S922" s="4">
        <v>6</v>
      </c>
      <c r="T922" s="4">
        <v>9</v>
      </c>
      <c r="U922" s="5" t="s">
        <v>5503</v>
      </c>
      <c r="V922" s="5" t="s">
        <v>5503</v>
      </c>
      <c r="W922" s="5" t="s">
        <v>69</v>
      </c>
      <c r="X922" s="5" t="s">
        <v>69</v>
      </c>
      <c r="Y922" s="4">
        <v>8</v>
      </c>
      <c r="Z922" s="4">
        <v>3</v>
      </c>
      <c r="AA922" s="4">
        <v>3</v>
      </c>
      <c r="AB922" s="4">
        <v>1</v>
      </c>
      <c r="AC922" s="4">
        <v>1</v>
      </c>
      <c r="AD922" s="4">
        <v>6</v>
      </c>
      <c r="AE922" s="4">
        <v>6</v>
      </c>
      <c r="AF922" s="4">
        <v>0</v>
      </c>
      <c r="AG922" s="4">
        <v>0</v>
      </c>
      <c r="AH922" s="4">
        <v>6</v>
      </c>
      <c r="AI922" s="4">
        <v>6</v>
      </c>
      <c r="AJ922" s="4">
        <v>1</v>
      </c>
      <c r="AK922" s="4">
        <v>1</v>
      </c>
      <c r="AL922" s="4">
        <v>3</v>
      </c>
      <c r="AM922" s="4">
        <v>3</v>
      </c>
      <c r="AN922" s="4">
        <v>0</v>
      </c>
      <c r="AO922" s="4">
        <v>0</v>
      </c>
      <c r="AP922" s="4">
        <v>1</v>
      </c>
      <c r="AQ922" s="4">
        <v>1</v>
      </c>
      <c r="AR922" s="3" t="s">
        <v>63</v>
      </c>
      <c r="AS922" s="3" t="s">
        <v>63</v>
      </c>
      <c r="AT922" s="3" t="s">
        <v>63</v>
      </c>
      <c r="AV922" s="6" t="str">
        <f>HYPERLINK("http://mcgill.on.worldcat.org/oclc/77867696","Catalog Record")</f>
        <v>Catalog Record</v>
      </c>
      <c r="AW922" s="6" t="str">
        <f>HYPERLINK("http://www.worldcat.org/oclc/77867696","WorldCat Record")</f>
        <v>WorldCat Record</v>
      </c>
      <c r="AX922" s="3" t="s">
        <v>9136</v>
      </c>
      <c r="AY922" s="3" t="s">
        <v>9137</v>
      </c>
      <c r="AZ922" s="3" t="s">
        <v>9138</v>
      </c>
      <c r="BA922" s="3" t="s">
        <v>9138</v>
      </c>
      <c r="BB922" s="3" t="s">
        <v>9139</v>
      </c>
      <c r="BC922" s="3" t="s">
        <v>82</v>
      </c>
      <c r="BD922" s="3" t="s">
        <v>70</v>
      </c>
      <c r="BE922" s="3" t="s">
        <v>9140</v>
      </c>
      <c r="BF922" s="3" t="s">
        <v>9139</v>
      </c>
      <c r="BG922" s="3" t="s">
        <v>9141</v>
      </c>
    </row>
    <row r="923" spans="1:59" ht="75" x14ac:dyDescent="0.25">
      <c r="A923" s="2" t="s">
        <v>59</v>
      </c>
      <c r="B923" s="2" t="s">
        <v>60</v>
      </c>
      <c r="C923" s="2" t="s">
        <v>9132</v>
      </c>
      <c r="D923" s="2" t="s">
        <v>9133</v>
      </c>
      <c r="E923" s="2" t="s">
        <v>9134</v>
      </c>
      <c r="F923" s="3" t="s">
        <v>4181</v>
      </c>
      <c r="G923" s="3" t="s">
        <v>62</v>
      </c>
      <c r="I923" s="3" t="s">
        <v>63</v>
      </c>
      <c r="J923" s="3" t="s">
        <v>63</v>
      </c>
      <c r="K923" s="3" t="s">
        <v>64</v>
      </c>
      <c r="M923" s="2" t="s">
        <v>9135</v>
      </c>
      <c r="N923" s="3" t="s">
        <v>668</v>
      </c>
      <c r="P923" s="3" t="s">
        <v>90</v>
      </c>
      <c r="R923" s="3" t="s">
        <v>67</v>
      </c>
      <c r="S923" s="4">
        <v>3</v>
      </c>
      <c r="T923" s="4">
        <v>9</v>
      </c>
      <c r="U923" s="5" t="s">
        <v>5503</v>
      </c>
      <c r="V923" s="5" t="s">
        <v>5503</v>
      </c>
      <c r="W923" s="5" t="s">
        <v>69</v>
      </c>
      <c r="X923" s="5" t="s">
        <v>69</v>
      </c>
      <c r="Y923" s="4">
        <v>8</v>
      </c>
      <c r="Z923" s="4">
        <v>3</v>
      </c>
      <c r="AA923" s="4">
        <v>3</v>
      </c>
      <c r="AB923" s="4">
        <v>1</v>
      </c>
      <c r="AC923" s="4">
        <v>1</v>
      </c>
      <c r="AD923" s="4">
        <v>6</v>
      </c>
      <c r="AE923" s="4">
        <v>6</v>
      </c>
      <c r="AF923" s="4">
        <v>0</v>
      </c>
      <c r="AG923" s="4">
        <v>0</v>
      </c>
      <c r="AH923" s="4">
        <v>6</v>
      </c>
      <c r="AI923" s="4">
        <v>6</v>
      </c>
      <c r="AJ923" s="4">
        <v>1</v>
      </c>
      <c r="AK923" s="4">
        <v>1</v>
      </c>
      <c r="AL923" s="4">
        <v>3</v>
      </c>
      <c r="AM923" s="4">
        <v>3</v>
      </c>
      <c r="AN923" s="4">
        <v>0</v>
      </c>
      <c r="AO923" s="4">
        <v>0</v>
      </c>
      <c r="AP923" s="4">
        <v>1</v>
      </c>
      <c r="AQ923" s="4">
        <v>1</v>
      </c>
      <c r="AR923" s="3" t="s">
        <v>63</v>
      </c>
      <c r="AS923" s="3" t="s">
        <v>63</v>
      </c>
      <c r="AT923" s="3" t="s">
        <v>63</v>
      </c>
      <c r="AV923" s="6" t="str">
        <f>HYPERLINK("http://mcgill.on.worldcat.org/oclc/77867696","Catalog Record")</f>
        <v>Catalog Record</v>
      </c>
      <c r="AW923" s="6" t="str">
        <f>HYPERLINK("http://www.worldcat.org/oclc/77867696","WorldCat Record")</f>
        <v>WorldCat Record</v>
      </c>
      <c r="AX923" s="3" t="s">
        <v>9136</v>
      </c>
      <c r="AY923" s="3" t="s">
        <v>9137</v>
      </c>
      <c r="AZ923" s="3" t="s">
        <v>9138</v>
      </c>
      <c r="BA923" s="3" t="s">
        <v>9138</v>
      </c>
      <c r="BB923" s="3" t="s">
        <v>9142</v>
      </c>
      <c r="BC923" s="3" t="s">
        <v>82</v>
      </c>
      <c r="BD923" s="3" t="s">
        <v>70</v>
      </c>
      <c r="BE923" s="3" t="s">
        <v>9140</v>
      </c>
      <c r="BF923" s="3" t="s">
        <v>9142</v>
      </c>
      <c r="BG923" s="3" t="s">
        <v>9143</v>
      </c>
    </row>
    <row r="924" spans="1:59" ht="60" x14ac:dyDescent="0.25">
      <c r="A924" s="2" t="s">
        <v>59</v>
      </c>
      <c r="B924" s="2" t="s">
        <v>60</v>
      </c>
      <c r="C924" s="2" t="s">
        <v>9144</v>
      </c>
      <c r="D924" s="2" t="s">
        <v>9145</v>
      </c>
      <c r="E924" s="2" t="s">
        <v>9146</v>
      </c>
      <c r="G924" s="3" t="s">
        <v>63</v>
      </c>
      <c r="I924" s="3" t="s">
        <v>63</v>
      </c>
      <c r="J924" s="3" t="s">
        <v>63</v>
      </c>
      <c r="K924" s="3" t="s">
        <v>64</v>
      </c>
      <c r="M924" s="2" t="s">
        <v>9147</v>
      </c>
      <c r="N924" s="3" t="s">
        <v>274</v>
      </c>
      <c r="P924" s="3" t="s">
        <v>90</v>
      </c>
      <c r="R924" s="3" t="s">
        <v>67</v>
      </c>
      <c r="S924" s="4">
        <v>1</v>
      </c>
      <c r="T924" s="4">
        <v>1</v>
      </c>
      <c r="U924" s="5" t="s">
        <v>2493</v>
      </c>
      <c r="V924" s="5" t="s">
        <v>2493</v>
      </c>
      <c r="W924" s="5" t="s">
        <v>69</v>
      </c>
      <c r="X924" s="5" t="s">
        <v>69</v>
      </c>
      <c r="Y924" s="4">
        <v>16</v>
      </c>
      <c r="Z924" s="4">
        <v>1</v>
      </c>
      <c r="AA924" s="4">
        <v>3</v>
      </c>
      <c r="AB924" s="4">
        <v>1</v>
      </c>
      <c r="AC924" s="4">
        <v>1</v>
      </c>
      <c r="AD924" s="4">
        <v>11</v>
      </c>
      <c r="AE924" s="4">
        <v>21</v>
      </c>
      <c r="AF924" s="4">
        <v>0</v>
      </c>
      <c r="AG924" s="4">
        <v>0</v>
      </c>
      <c r="AH924" s="4">
        <v>10</v>
      </c>
      <c r="AI924" s="4">
        <v>20</v>
      </c>
      <c r="AJ924" s="4">
        <v>0</v>
      </c>
      <c r="AK924" s="4">
        <v>1</v>
      </c>
      <c r="AL924" s="4">
        <v>10</v>
      </c>
      <c r="AM924" s="4">
        <v>19</v>
      </c>
      <c r="AN924" s="4">
        <v>0</v>
      </c>
      <c r="AO924" s="4">
        <v>0</v>
      </c>
      <c r="AP924" s="4">
        <v>0</v>
      </c>
      <c r="AQ924" s="4">
        <v>1</v>
      </c>
      <c r="AR924" s="3" t="s">
        <v>63</v>
      </c>
      <c r="AS924" s="3" t="s">
        <v>63</v>
      </c>
      <c r="AT924" s="3" t="s">
        <v>62</v>
      </c>
      <c r="AU924" s="6" t="str">
        <f>HYPERLINK("http://catalog.hathitrust.org/Record/004040158","HathiTrust Record")</f>
        <v>HathiTrust Record</v>
      </c>
      <c r="AV924" s="6" t="str">
        <f>HYPERLINK("http://mcgill.on.worldcat.org/oclc/42018308","Catalog Record")</f>
        <v>Catalog Record</v>
      </c>
      <c r="AW924" s="6" t="str">
        <f>HYPERLINK("http://www.worldcat.org/oclc/42018308","WorldCat Record")</f>
        <v>WorldCat Record</v>
      </c>
      <c r="AX924" s="3" t="s">
        <v>9148</v>
      </c>
      <c r="AY924" s="3" t="s">
        <v>9149</v>
      </c>
      <c r="AZ924" s="3" t="s">
        <v>9150</v>
      </c>
      <c r="BA924" s="3" t="s">
        <v>9150</v>
      </c>
      <c r="BB924" s="3" t="s">
        <v>9151</v>
      </c>
      <c r="BC924" s="3" t="s">
        <v>82</v>
      </c>
      <c r="BD924" s="3" t="s">
        <v>70</v>
      </c>
      <c r="BF924" s="3" t="s">
        <v>9151</v>
      </c>
      <c r="BG924" s="3" t="s">
        <v>9152</v>
      </c>
    </row>
    <row r="925" spans="1:59" ht="60" x14ac:dyDescent="0.25">
      <c r="A925" s="2" t="s">
        <v>59</v>
      </c>
      <c r="B925" s="2" t="s">
        <v>60</v>
      </c>
      <c r="C925" s="2" t="s">
        <v>9153</v>
      </c>
      <c r="D925" s="2" t="s">
        <v>9154</v>
      </c>
      <c r="E925" s="2" t="s">
        <v>9155</v>
      </c>
      <c r="G925" s="3" t="s">
        <v>63</v>
      </c>
      <c r="I925" s="3" t="s">
        <v>63</v>
      </c>
      <c r="J925" s="3" t="s">
        <v>63</v>
      </c>
      <c r="K925" s="3" t="s">
        <v>64</v>
      </c>
      <c r="M925" s="2" t="s">
        <v>9156</v>
      </c>
      <c r="N925" s="3" t="s">
        <v>1113</v>
      </c>
      <c r="P925" s="3" t="s">
        <v>90</v>
      </c>
      <c r="Q925" s="2" t="s">
        <v>9157</v>
      </c>
      <c r="R925" s="3" t="s">
        <v>67</v>
      </c>
      <c r="S925" s="4">
        <v>4</v>
      </c>
      <c r="T925" s="4">
        <v>4</v>
      </c>
      <c r="U925" s="5" t="s">
        <v>2032</v>
      </c>
      <c r="V925" s="5" t="s">
        <v>2032</v>
      </c>
      <c r="W925" s="5" t="s">
        <v>69</v>
      </c>
      <c r="X925" s="5" t="s">
        <v>69</v>
      </c>
      <c r="Y925" s="4">
        <v>64</v>
      </c>
      <c r="Z925" s="4">
        <v>4</v>
      </c>
      <c r="AA925" s="4">
        <v>4</v>
      </c>
      <c r="AB925" s="4">
        <v>1</v>
      </c>
      <c r="AC925" s="4">
        <v>1</v>
      </c>
      <c r="AD925" s="4">
        <v>35</v>
      </c>
      <c r="AE925" s="4">
        <v>35</v>
      </c>
      <c r="AF925" s="4">
        <v>0</v>
      </c>
      <c r="AG925" s="4">
        <v>0</v>
      </c>
      <c r="AH925" s="4">
        <v>34</v>
      </c>
      <c r="AI925" s="4">
        <v>34</v>
      </c>
      <c r="AJ925" s="4">
        <v>2</v>
      </c>
      <c r="AK925" s="4">
        <v>2</v>
      </c>
      <c r="AL925" s="4">
        <v>26</v>
      </c>
      <c r="AM925" s="4">
        <v>26</v>
      </c>
      <c r="AN925" s="4">
        <v>0</v>
      </c>
      <c r="AO925" s="4">
        <v>0</v>
      </c>
      <c r="AP925" s="4">
        <v>2</v>
      </c>
      <c r="AQ925" s="4">
        <v>2</v>
      </c>
      <c r="AR925" s="3" t="s">
        <v>63</v>
      </c>
      <c r="AS925" s="3" t="s">
        <v>63</v>
      </c>
      <c r="AT925" s="3" t="s">
        <v>62</v>
      </c>
      <c r="AU925" s="6" t="str">
        <f>HYPERLINK("http://catalog.hathitrust.org/Record/004015140","HathiTrust Record")</f>
        <v>HathiTrust Record</v>
      </c>
      <c r="AV925" s="6" t="str">
        <f>HYPERLINK("http://mcgill.on.worldcat.org/oclc/39516289","Catalog Record")</f>
        <v>Catalog Record</v>
      </c>
      <c r="AW925" s="6" t="str">
        <f>HYPERLINK("http://www.worldcat.org/oclc/39516289","WorldCat Record")</f>
        <v>WorldCat Record</v>
      </c>
      <c r="AX925" s="3" t="s">
        <v>9158</v>
      </c>
      <c r="AY925" s="3" t="s">
        <v>9159</v>
      </c>
      <c r="AZ925" s="3" t="s">
        <v>9160</v>
      </c>
      <c r="BA925" s="3" t="s">
        <v>9160</v>
      </c>
      <c r="BB925" s="3" t="s">
        <v>9161</v>
      </c>
      <c r="BC925" s="3" t="s">
        <v>82</v>
      </c>
      <c r="BD925" s="3" t="s">
        <v>70</v>
      </c>
      <c r="BE925" s="3" t="s">
        <v>9162</v>
      </c>
      <c r="BF925" s="3" t="s">
        <v>9161</v>
      </c>
      <c r="BG925" s="3" t="s">
        <v>9163</v>
      </c>
    </row>
    <row r="926" spans="1:59" ht="75" x14ac:dyDescent="0.25">
      <c r="A926" s="2" t="s">
        <v>59</v>
      </c>
      <c r="B926" s="2" t="s">
        <v>60</v>
      </c>
      <c r="C926" s="2" t="s">
        <v>9164</v>
      </c>
      <c r="D926" s="2" t="s">
        <v>9165</v>
      </c>
      <c r="E926" s="2" t="s">
        <v>9166</v>
      </c>
      <c r="G926" s="3" t="s">
        <v>63</v>
      </c>
      <c r="I926" s="3" t="s">
        <v>63</v>
      </c>
      <c r="J926" s="3" t="s">
        <v>63</v>
      </c>
      <c r="K926" s="3" t="s">
        <v>64</v>
      </c>
      <c r="M926" s="2" t="s">
        <v>9167</v>
      </c>
      <c r="N926" s="3" t="s">
        <v>313</v>
      </c>
      <c r="P926" s="3" t="s">
        <v>90</v>
      </c>
      <c r="R926" s="3" t="s">
        <v>67</v>
      </c>
      <c r="S926" s="4">
        <v>1</v>
      </c>
      <c r="T926" s="4">
        <v>1</v>
      </c>
      <c r="U926" s="5" t="s">
        <v>9168</v>
      </c>
      <c r="V926" s="5" t="s">
        <v>9168</v>
      </c>
      <c r="W926" s="5" t="s">
        <v>69</v>
      </c>
      <c r="X926" s="5" t="s">
        <v>69</v>
      </c>
      <c r="Y926" s="4">
        <v>12</v>
      </c>
      <c r="Z926" s="4">
        <v>1</v>
      </c>
      <c r="AA926" s="4">
        <v>1</v>
      </c>
      <c r="AB926" s="4">
        <v>1</v>
      </c>
      <c r="AC926" s="4">
        <v>1</v>
      </c>
      <c r="AD926" s="4">
        <v>9</v>
      </c>
      <c r="AE926" s="4">
        <v>9</v>
      </c>
      <c r="AF926" s="4">
        <v>0</v>
      </c>
      <c r="AG926" s="4">
        <v>0</v>
      </c>
      <c r="AH926" s="4">
        <v>8</v>
      </c>
      <c r="AI926" s="4">
        <v>8</v>
      </c>
      <c r="AJ926" s="4">
        <v>0</v>
      </c>
      <c r="AK926" s="4">
        <v>0</v>
      </c>
      <c r="AL926" s="4">
        <v>9</v>
      </c>
      <c r="AM926" s="4">
        <v>9</v>
      </c>
      <c r="AN926" s="4">
        <v>0</v>
      </c>
      <c r="AO926" s="4">
        <v>0</v>
      </c>
      <c r="AP926" s="4">
        <v>0</v>
      </c>
      <c r="AQ926" s="4">
        <v>0</v>
      </c>
      <c r="AR926" s="3" t="s">
        <v>63</v>
      </c>
      <c r="AS926" s="3" t="s">
        <v>63</v>
      </c>
      <c r="AT926" s="3" t="s">
        <v>63</v>
      </c>
      <c r="AV926" s="6" t="str">
        <f>HYPERLINK("http://mcgill.on.worldcat.org/oclc/713496285","Catalog Record")</f>
        <v>Catalog Record</v>
      </c>
      <c r="AW926" s="6" t="str">
        <f>HYPERLINK("http://www.worldcat.org/oclc/713496285","WorldCat Record")</f>
        <v>WorldCat Record</v>
      </c>
      <c r="AX926" s="3" t="s">
        <v>9169</v>
      </c>
      <c r="AY926" s="3" t="s">
        <v>9170</v>
      </c>
      <c r="AZ926" s="3" t="s">
        <v>9171</v>
      </c>
      <c r="BA926" s="3" t="s">
        <v>9171</v>
      </c>
      <c r="BB926" s="3" t="s">
        <v>9172</v>
      </c>
      <c r="BC926" s="3" t="s">
        <v>82</v>
      </c>
      <c r="BD926" s="3" t="s">
        <v>70</v>
      </c>
      <c r="BE926" s="3" t="s">
        <v>9173</v>
      </c>
      <c r="BF926" s="3" t="s">
        <v>9172</v>
      </c>
      <c r="BG926" s="3" t="s">
        <v>9174</v>
      </c>
    </row>
    <row r="927" spans="1:59" ht="60" x14ac:dyDescent="0.25">
      <c r="A927" s="2" t="s">
        <v>59</v>
      </c>
      <c r="B927" s="2" t="s">
        <v>60</v>
      </c>
      <c r="C927" s="2" t="s">
        <v>9175</v>
      </c>
      <c r="D927" s="2" t="s">
        <v>9176</v>
      </c>
      <c r="E927" s="2" t="s">
        <v>9177</v>
      </c>
      <c r="G927" s="3" t="s">
        <v>63</v>
      </c>
      <c r="I927" s="3" t="s">
        <v>63</v>
      </c>
      <c r="J927" s="3" t="s">
        <v>63</v>
      </c>
      <c r="K927" s="3" t="s">
        <v>64</v>
      </c>
      <c r="M927" s="2" t="s">
        <v>9178</v>
      </c>
      <c r="N927" s="3" t="s">
        <v>326</v>
      </c>
      <c r="P927" s="3" t="s">
        <v>90</v>
      </c>
      <c r="Q927" s="2" t="s">
        <v>9179</v>
      </c>
      <c r="R927" s="3" t="s">
        <v>67</v>
      </c>
      <c r="S927" s="4">
        <v>3</v>
      </c>
      <c r="T927" s="4">
        <v>3</v>
      </c>
      <c r="U927" s="5" t="s">
        <v>9180</v>
      </c>
      <c r="V927" s="5" t="s">
        <v>9180</v>
      </c>
      <c r="W927" s="5" t="s">
        <v>69</v>
      </c>
      <c r="X927" s="5" t="s">
        <v>69</v>
      </c>
      <c r="Y927" s="4">
        <v>22</v>
      </c>
      <c r="Z927" s="4">
        <v>3</v>
      </c>
      <c r="AA927" s="4">
        <v>3</v>
      </c>
      <c r="AB927" s="4">
        <v>1</v>
      </c>
      <c r="AC927" s="4">
        <v>1</v>
      </c>
      <c r="AD927" s="4">
        <v>17</v>
      </c>
      <c r="AE927" s="4">
        <v>19</v>
      </c>
      <c r="AF927" s="4">
        <v>0</v>
      </c>
      <c r="AG927" s="4">
        <v>0</v>
      </c>
      <c r="AH927" s="4">
        <v>16</v>
      </c>
      <c r="AI927" s="4">
        <v>18</v>
      </c>
      <c r="AJ927" s="4">
        <v>2</v>
      </c>
      <c r="AK927" s="4">
        <v>2</v>
      </c>
      <c r="AL927" s="4">
        <v>14</v>
      </c>
      <c r="AM927" s="4">
        <v>15</v>
      </c>
      <c r="AN927" s="4">
        <v>0</v>
      </c>
      <c r="AO927" s="4">
        <v>0</v>
      </c>
      <c r="AP927" s="4">
        <v>2</v>
      </c>
      <c r="AQ927" s="4">
        <v>2</v>
      </c>
      <c r="AR927" s="3" t="s">
        <v>63</v>
      </c>
      <c r="AS927" s="3" t="s">
        <v>63</v>
      </c>
      <c r="AT927" s="3" t="s">
        <v>63</v>
      </c>
      <c r="AV927" s="6" t="str">
        <f>HYPERLINK("http://mcgill.on.worldcat.org/oclc/551472567","Catalog Record")</f>
        <v>Catalog Record</v>
      </c>
      <c r="AW927" s="6" t="str">
        <f>HYPERLINK("http://www.worldcat.org/oclc/551472567","WorldCat Record")</f>
        <v>WorldCat Record</v>
      </c>
      <c r="AX927" s="3" t="s">
        <v>9181</v>
      </c>
      <c r="AY927" s="3" t="s">
        <v>9182</v>
      </c>
      <c r="AZ927" s="3" t="s">
        <v>9183</v>
      </c>
      <c r="BA927" s="3" t="s">
        <v>9183</v>
      </c>
      <c r="BB927" s="3" t="s">
        <v>9184</v>
      </c>
      <c r="BC927" s="3" t="s">
        <v>82</v>
      </c>
      <c r="BD927" s="3" t="s">
        <v>70</v>
      </c>
      <c r="BE927" s="3" t="s">
        <v>9185</v>
      </c>
      <c r="BF927" s="3" t="s">
        <v>9184</v>
      </c>
      <c r="BG927" s="3" t="s">
        <v>9186</v>
      </c>
    </row>
    <row r="928" spans="1:59" ht="60" x14ac:dyDescent="0.25">
      <c r="A928" s="2" t="s">
        <v>59</v>
      </c>
      <c r="B928" s="2" t="s">
        <v>60</v>
      </c>
      <c r="C928" s="2" t="s">
        <v>9187</v>
      </c>
      <c r="D928" s="2" t="s">
        <v>9188</v>
      </c>
      <c r="E928" s="2" t="s">
        <v>9189</v>
      </c>
      <c r="G928" s="3" t="s">
        <v>63</v>
      </c>
      <c r="I928" s="3" t="s">
        <v>63</v>
      </c>
      <c r="J928" s="3" t="s">
        <v>63</v>
      </c>
      <c r="K928" s="3" t="s">
        <v>64</v>
      </c>
      <c r="M928" s="2" t="s">
        <v>7442</v>
      </c>
      <c r="N928" s="3" t="s">
        <v>629</v>
      </c>
      <c r="P928" s="3" t="s">
        <v>90</v>
      </c>
      <c r="Q928" s="2" t="s">
        <v>9190</v>
      </c>
      <c r="R928" s="3" t="s">
        <v>67</v>
      </c>
      <c r="S928" s="4">
        <v>0</v>
      </c>
      <c r="T928" s="4">
        <v>0</v>
      </c>
      <c r="W928" s="5" t="s">
        <v>69</v>
      </c>
      <c r="X928" s="5" t="s">
        <v>69</v>
      </c>
      <c r="Y928" s="4">
        <v>46</v>
      </c>
      <c r="Z928" s="4">
        <v>5</v>
      </c>
      <c r="AA928" s="4">
        <v>5</v>
      </c>
      <c r="AB928" s="4">
        <v>1</v>
      </c>
      <c r="AC928" s="4">
        <v>1</v>
      </c>
      <c r="AD928" s="4">
        <v>38</v>
      </c>
      <c r="AE928" s="4">
        <v>38</v>
      </c>
      <c r="AF928" s="4">
        <v>0</v>
      </c>
      <c r="AG928" s="4">
        <v>0</v>
      </c>
      <c r="AH928" s="4">
        <v>37</v>
      </c>
      <c r="AI928" s="4">
        <v>37</v>
      </c>
      <c r="AJ928" s="4">
        <v>3</v>
      </c>
      <c r="AK928" s="4">
        <v>3</v>
      </c>
      <c r="AL928" s="4">
        <v>29</v>
      </c>
      <c r="AM928" s="4">
        <v>29</v>
      </c>
      <c r="AN928" s="4">
        <v>0</v>
      </c>
      <c r="AO928" s="4">
        <v>0</v>
      </c>
      <c r="AP928" s="4">
        <v>3</v>
      </c>
      <c r="AQ928" s="4">
        <v>3</v>
      </c>
      <c r="AR928" s="3" t="s">
        <v>63</v>
      </c>
      <c r="AS928" s="3" t="s">
        <v>63</v>
      </c>
      <c r="AT928" s="3" t="s">
        <v>63</v>
      </c>
      <c r="AV928" s="6" t="str">
        <f>HYPERLINK("http://mcgill.on.worldcat.org/oclc/714292762","Catalog Record")</f>
        <v>Catalog Record</v>
      </c>
      <c r="AW928" s="6" t="str">
        <f>HYPERLINK("http://www.worldcat.org/oclc/714292762","WorldCat Record")</f>
        <v>WorldCat Record</v>
      </c>
      <c r="AX928" s="3" t="s">
        <v>9191</v>
      </c>
      <c r="AY928" s="3" t="s">
        <v>9192</v>
      </c>
      <c r="AZ928" s="3" t="s">
        <v>9193</v>
      </c>
      <c r="BA928" s="3" t="s">
        <v>9193</v>
      </c>
      <c r="BB928" s="3" t="s">
        <v>9194</v>
      </c>
      <c r="BC928" s="3" t="s">
        <v>82</v>
      </c>
      <c r="BD928" s="3" t="s">
        <v>70</v>
      </c>
      <c r="BE928" s="3" t="s">
        <v>9195</v>
      </c>
      <c r="BF928" s="3" t="s">
        <v>9194</v>
      </c>
      <c r="BG928" s="3" t="s">
        <v>9196</v>
      </c>
    </row>
    <row r="929" spans="1:59" ht="60" x14ac:dyDescent="0.25">
      <c r="A929" s="2" t="s">
        <v>59</v>
      </c>
      <c r="B929" s="2" t="s">
        <v>60</v>
      </c>
      <c r="C929" s="2" t="s">
        <v>9197</v>
      </c>
      <c r="D929" s="2" t="s">
        <v>9198</v>
      </c>
      <c r="E929" s="2" t="s">
        <v>9199</v>
      </c>
      <c r="F929" s="3" t="s">
        <v>9200</v>
      </c>
      <c r="G929" s="3" t="s">
        <v>62</v>
      </c>
      <c r="I929" s="3" t="s">
        <v>63</v>
      </c>
      <c r="J929" s="3" t="s">
        <v>63</v>
      </c>
      <c r="K929" s="3" t="s">
        <v>64</v>
      </c>
      <c r="M929" s="2" t="s">
        <v>9201</v>
      </c>
      <c r="N929" s="3" t="s">
        <v>2225</v>
      </c>
      <c r="P929" s="3" t="s">
        <v>90</v>
      </c>
      <c r="R929" s="3" t="s">
        <v>67</v>
      </c>
      <c r="S929" s="4">
        <v>0</v>
      </c>
      <c r="T929" s="4">
        <v>9</v>
      </c>
      <c r="V929" s="5" t="s">
        <v>9202</v>
      </c>
      <c r="W929" s="5" t="s">
        <v>69</v>
      </c>
      <c r="X929" s="5" t="s">
        <v>69</v>
      </c>
      <c r="Y929" s="4">
        <v>214</v>
      </c>
      <c r="Z929" s="4">
        <v>14</v>
      </c>
      <c r="AA929" s="4">
        <v>14</v>
      </c>
      <c r="AB929" s="4">
        <v>1</v>
      </c>
      <c r="AC929" s="4">
        <v>1</v>
      </c>
      <c r="AD929" s="4">
        <v>91</v>
      </c>
      <c r="AE929" s="4">
        <v>91</v>
      </c>
      <c r="AF929" s="4">
        <v>0</v>
      </c>
      <c r="AG929" s="4">
        <v>0</v>
      </c>
      <c r="AH929" s="4">
        <v>83</v>
      </c>
      <c r="AI929" s="4">
        <v>83</v>
      </c>
      <c r="AJ929" s="4">
        <v>10</v>
      </c>
      <c r="AK929" s="4">
        <v>10</v>
      </c>
      <c r="AL929" s="4">
        <v>47</v>
      </c>
      <c r="AM929" s="4">
        <v>47</v>
      </c>
      <c r="AN929" s="4">
        <v>0</v>
      </c>
      <c r="AO929" s="4">
        <v>0</v>
      </c>
      <c r="AP929" s="4">
        <v>12</v>
      </c>
      <c r="AQ929" s="4">
        <v>12</v>
      </c>
      <c r="AR929" s="3" t="s">
        <v>63</v>
      </c>
      <c r="AS929" s="3" t="s">
        <v>63</v>
      </c>
      <c r="AT929" s="3" t="s">
        <v>62</v>
      </c>
      <c r="AU929" s="6" t="str">
        <f>HYPERLINK("http://catalog.hathitrust.org/Record/007140575","HathiTrust Record")</f>
        <v>HathiTrust Record</v>
      </c>
      <c r="AV929" s="6" t="str">
        <f>HYPERLINK("http://mcgill.on.worldcat.org/oclc/2587277","Catalog Record")</f>
        <v>Catalog Record</v>
      </c>
      <c r="AW929" s="6" t="str">
        <f>HYPERLINK("http://www.worldcat.org/oclc/2587277","WorldCat Record")</f>
        <v>WorldCat Record</v>
      </c>
      <c r="AX929" s="3" t="s">
        <v>9203</v>
      </c>
      <c r="AY929" s="3" t="s">
        <v>9204</v>
      </c>
      <c r="AZ929" s="3" t="s">
        <v>9205</v>
      </c>
      <c r="BA929" s="3" t="s">
        <v>9205</v>
      </c>
      <c r="BB929" s="3" t="s">
        <v>9206</v>
      </c>
      <c r="BC929" s="3" t="s">
        <v>82</v>
      </c>
      <c r="BD929" s="3" t="s">
        <v>70</v>
      </c>
      <c r="BF929" s="3" t="s">
        <v>9206</v>
      </c>
      <c r="BG929" s="3" t="s">
        <v>9207</v>
      </c>
    </row>
    <row r="930" spans="1:59" ht="60" x14ac:dyDescent="0.25">
      <c r="A930" s="2" t="s">
        <v>59</v>
      </c>
      <c r="B930" s="2" t="s">
        <v>60</v>
      </c>
      <c r="C930" s="2" t="s">
        <v>9197</v>
      </c>
      <c r="D930" s="2" t="s">
        <v>9198</v>
      </c>
      <c r="E930" s="2" t="s">
        <v>9199</v>
      </c>
      <c r="F930" s="3" t="s">
        <v>8664</v>
      </c>
      <c r="G930" s="3" t="s">
        <v>62</v>
      </c>
      <c r="I930" s="3" t="s">
        <v>63</v>
      </c>
      <c r="J930" s="3" t="s">
        <v>63</v>
      </c>
      <c r="K930" s="3" t="s">
        <v>64</v>
      </c>
      <c r="M930" s="2" t="s">
        <v>9201</v>
      </c>
      <c r="N930" s="3" t="s">
        <v>2225</v>
      </c>
      <c r="P930" s="3" t="s">
        <v>90</v>
      </c>
      <c r="R930" s="3" t="s">
        <v>67</v>
      </c>
      <c r="S930" s="4">
        <v>3</v>
      </c>
      <c r="T930" s="4">
        <v>9</v>
      </c>
      <c r="U930" s="5" t="s">
        <v>9208</v>
      </c>
      <c r="V930" s="5" t="s">
        <v>9202</v>
      </c>
      <c r="W930" s="5" t="s">
        <v>69</v>
      </c>
      <c r="X930" s="5" t="s">
        <v>69</v>
      </c>
      <c r="Y930" s="4">
        <v>214</v>
      </c>
      <c r="Z930" s="4">
        <v>14</v>
      </c>
      <c r="AA930" s="4">
        <v>14</v>
      </c>
      <c r="AB930" s="4">
        <v>1</v>
      </c>
      <c r="AC930" s="4">
        <v>1</v>
      </c>
      <c r="AD930" s="4">
        <v>91</v>
      </c>
      <c r="AE930" s="4">
        <v>91</v>
      </c>
      <c r="AF930" s="4">
        <v>0</v>
      </c>
      <c r="AG930" s="4">
        <v>0</v>
      </c>
      <c r="AH930" s="4">
        <v>83</v>
      </c>
      <c r="AI930" s="4">
        <v>83</v>
      </c>
      <c r="AJ930" s="4">
        <v>10</v>
      </c>
      <c r="AK930" s="4">
        <v>10</v>
      </c>
      <c r="AL930" s="4">
        <v>47</v>
      </c>
      <c r="AM930" s="4">
        <v>47</v>
      </c>
      <c r="AN930" s="4">
        <v>0</v>
      </c>
      <c r="AO930" s="4">
        <v>0</v>
      </c>
      <c r="AP930" s="4">
        <v>12</v>
      </c>
      <c r="AQ930" s="4">
        <v>12</v>
      </c>
      <c r="AR930" s="3" t="s">
        <v>63</v>
      </c>
      <c r="AS930" s="3" t="s">
        <v>63</v>
      </c>
      <c r="AT930" s="3" t="s">
        <v>62</v>
      </c>
      <c r="AU930" s="6" t="str">
        <f>HYPERLINK("http://catalog.hathitrust.org/Record/007140575","HathiTrust Record")</f>
        <v>HathiTrust Record</v>
      </c>
      <c r="AV930" s="6" t="str">
        <f>HYPERLINK("http://mcgill.on.worldcat.org/oclc/2587277","Catalog Record")</f>
        <v>Catalog Record</v>
      </c>
      <c r="AW930" s="6" t="str">
        <f>HYPERLINK("http://www.worldcat.org/oclc/2587277","WorldCat Record")</f>
        <v>WorldCat Record</v>
      </c>
      <c r="AX930" s="3" t="s">
        <v>9203</v>
      </c>
      <c r="AY930" s="3" t="s">
        <v>9204</v>
      </c>
      <c r="AZ930" s="3" t="s">
        <v>9205</v>
      </c>
      <c r="BA930" s="3" t="s">
        <v>9205</v>
      </c>
      <c r="BB930" s="3" t="s">
        <v>9209</v>
      </c>
      <c r="BC930" s="3" t="s">
        <v>82</v>
      </c>
      <c r="BD930" s="3" t="s">
        <v>70</v>
      </c>
      <c r="BF930" s="3" t="s">
        <v>9209</v>
      </c>
      <c r="BG930" s="3" t="s">
        <v>9210</v>
      </c>
    </row>
    <row r="931" spans="1:59" ht="60" x14ac:dyDescent="0.25">
      <c r="A931" s="2" t="s">
        <v>59</v>
      </c>
      <c r="B931" s="2" t="s">
        <v>60</v>
      </c>
      <c r="C931" s="2" t="s">
        <v>9197</v>
      </c>
      <c r="D931" s="2" t="s">
        <v>9198</v>
      </c>
      <c r="E931" s="2" t="s">
        <v>9199</v>
      </c>
      <c r="F931" s="3" t="s">
        <v>8673</v>
      </c>
      <c r="G931" s="3" t="s">
        <v>62</v>
      </c>
      <c r="I931" s="3" t="s">
        <v>63</v>
      </c>
      <c r="J931" s="3" t="s">
        <v>63</v>
      </c>
      <c r="K931" s="3" t="s">
        <v>64</v>
      </c>
      <c r="M931" s="2" t="s">
        <v>9201</v>
      </c>
      <c r="N931" s="3" t="s">
        <v>2225</v>
      </c>
      <c r="P931" s="3" t="s">
        <v>90</v>
      </c>
      <c r="R931" s="3" t="s">
        <v>67</v>
      </c>
      <c r="S931" s="4">
        <v>5</v>
      </c>
      <c r="T931" s="4">
        <v>9</v>
      </c>
      <c r="U931" s="5" t="s">
        <v>9211</v>
      </c>
      <c r="V931" s="5" t="s">
        <v>9202</v>
      </c>
      <c r="W931" s="5" t="s">
        <v>69</v>
      </c>
      <c r="X931" s="5" t="s">
        <v>69</v>
      </c>
      <c r="Y931" s="4">
        <v>214</v>
      </c>
      <c r="Z931" s="4">
        <v>14</v>
      </c>
      <c r="AA931" s="4">
        <v>14</v>
      </c>
      <c r="AB931" s="4">
        <v>1</v>
      </c>
      <c r="AC931" s="4">
        <v>1</v>
      </c>
      <c r="AD931" s="4">
        <v>91</v>
      </c>
      <c r="AE931" s="4">
        <v>91</v>
      </c>
      <c r="AF931" s="4">
        <v>0</v>
      </c>
      <c r="AG931" s="4">
        <v>0</v>
      </c>
      <c r="AH931" s="4">
        <v>83</v>
      </c>
      <c r="AI931" s="4">
        <v>83</v>
      </c>
      <c r="AJ931" s="4">
        <v>10</v>
      </c>
      <c r="AK931" s="4">
        <v>10</v>
      </c>
      <c r="AL931" s="4">
        <v>47</v>
      </c>
      <c r="AM931" s="4">
        <v>47</v>
      </c>
      <c r="AN931" s="4">
        <v>0</v>
      </c>
      <c r="AO931" s="4">
        <v>0</v>
      </c>
      <c r="AP931" s="4">
        <v>12</v>
      </c>
      <c r="AQ931" s="4">
        <v>12</v>
      </c>
      <c r="AR931" s="3" t="s">
        <v>63</v>
      </c>
      <c r="AS931" s="3" t="s">
        <v>63</v>
      </c>
      <c r="AT931" s="3" t="s">
        <v>62</v>
      </c>
      <c r="AU931" s="6" t="str">
        <f>HYPERLINK("http://catalog.hathitrust.org/Record/007140575","HathiTrust Record")</f>
        <v>HathiTrust Record</v>
      </c>
      <c r="AV931" s="6" t="str">
        <f>HYPERLINK("http://mcgill.on.worldcat.org/oclc/2587277","Catalog Record")</f>
        <v>Catalog Record</v>
      </c>
      <c r="AW931" s="6" t="str">
        <f>HYPERLINK("http://www.worldcat.org/oclc/2587277","WorldCat Record")</f>
        <v>WorldCat Record</v>
      </c>
      <c r="AX931" s="3" t="s">
        <v>9203</v>
      </c>
      <c r="AY931" s="3" t="s">
        <v>9204</v>
      </c>
      <c r="AZ931" s="3" t="s">
        <v>9205</v>
      </c>
      <c r="BA931" s="3" t="s">
        <v>9205</v>
      </c>
      <c r="BB931" s="3" t="s">
        <v>9212</v>
      </c>
      <c r="BC931" s="3" t="s">
        <v>82</v>
      </c>
      <c r="BD931" s="3" t="s">
        <v>70</v>
      </c>
      <c r="BF931" s="3" t="s">
        <v>9212</v>
      </c>
      <c r="BG931" s="3" t="s">
        <v>9213</v>
      </c>
    </row>
    <row r="932" spans="1:59" ht="60" x14ac:dyDescent="0.25">
      <c r="A932" s="2" t="s">
        <v>59</v>
      </c>
      <c r="B932" s="2" t="s">
        <v>60</v>
      </c>
      <c r="C932" s="2" t="s">
        <v>9197</v>
      </c>
      <c r="D932" s="2" t="s">
        <v>9198</v>
      </c>
      <c r="E932" s="2" t="s">
        <v>9199</v>
      </c>
      <c r="F932" s="3" t="s">
        <v>9214</v>
      </c>
      <c r="G932" s="3" t="s">
        <v>62</v>
      </c>
      <c r="I932" s="3" t="s">
        <v>63</v>
      </c>
      <c r="J932" s="3" t="s">
        <v>63</v>
      </c>
      <c r="K932" s="3" t="s">
        <v>64</v>
      </c>
      <c r="M932" s="2" t="s">
        <v>9201</v>
      </c>
      <c r="N932" s="3" t="s">
        <v>2225</v>
      </c>
      <c r="P932" s="3" t="s">
        <v>90</v>
      </c>
      <c r="R932" s="3" t="s">
        <v>67</v>
      </c>
      <c r="S932" s="4">
        <v>1</v>
      </c>
      <c r="T932" s="4">
        <v>9</v>
      </c>
      <c r="U932" s="5" t="s">
        <v>9202</v>
      </c>
      <c r="V932" s="5" t="s">
        <v>9202</v>
      </c>
      <c r="W932" s="5" t="s">
        <v>69</v>
      </c>
      <c r="X932" s="5" t="s">
        <v>69</v>
      </c>
      <c r="Y932" s="4">
        <v>214</v>
      </c>
      <c r="Z932" s="4">
        <v>14</v>
      </c>
      <c r="AA932" s="4">
        <v>14</v>
      </c>
      <c r="AB932" s="4">
        <v>1</v>
      </c>
      <c r="AC932" s="4">
        <v>1</v>
      </c>
      <c r="AD932" s="4">
        <v>91</v>
      </c>
      <c r="AE932" s="4">
        <v>91</v>
      </c>
      <c r="AF932" s="4">
        <v>0</v>
      </c>
      <c r="AG932" s="4">
        <v>0</v>
      </c>
      <c r="AH932" s="4">
        <v>83</v>
      </c>
      <c r="AI932" s="4">
        <v>83</v>
      </c>
      <c r="AJ932" s="4">
        <v>10</v>
      </c>
      <c r="AK932" s="4">
        <v>10</v>
      </c>
      <c r="AL932" s="4">
        <v>47</v>
      </c>
      <c r="AM932" s="4">
        <v>47</v>
      </c>
      <c r="AN932" s="4">
        <v>0</v>
      </c>
      <c r="AO932" s="4">
        <v>0</v>
      </c>
      <c r="AP932" s="4">
        <v>12</v>
      </c>
      <c r="AQ932" s="4">
        <v>12</v>
      </c>
      <c r="AR932" s="3" t="s">
        <v>63</v>
      </c>
      <c r="AS932" s="3" t="s">
        <v>63</v>
      </c>
      <c r="AT932" s="3" t="s">
        <v>62</v>
      </c>
      <c r="AU932" s="6" t="str">
        <f>HYPERLINK("http://catalog.hathitrust.org/Record/007140575","HathiTrust Record")</f>
        <v>HathiTrust Record</v>
      </c>
      <c r="AV932" s="6" t="str">
        <f>HYPERLINK("http://mcgill.on.worldcat.org/oclc/2587277","Catalog Record")</f>
        <v>Catalog Record</v>
      </c>
      <c r="AW932" s="6" t="str">
        <f>HYPERLINK("http://www.worldcat.org/oclc/2587277","WorldCat Record")</f>
        <v>WorldCat Record</v>
      </c>
      <c r="AX932" s="3" t="s">
        <v>9203</v>
      </c>
      <c r="AY932" s="3" t="s">
        <v>9204</v>
      </c>
      <c r="AZ932" s="3" t="s">
        <v>9205</v>
      </c>
      <c r="BA932" s="3" t="s">
        <v>9205</v>
      </c>
      <c r="BB932" s="3" t="s">
        <v>9215</v>
      </c>
      <c r="BC932" s="3" t="s">
        <v>82</v>
      </c>
      <c r="BD932" s="3" t="s">
        <v>70</v>
      </c>
      <c r="BF932" s="3" t="s">
        <v>9215</v>
      </c>
      <c r="BG932" s="3" t="s">
        <v>9216</v>
      </c>
    </row>
    <row r="933" spans="1:59" ht="60" x14ac:dyDescent="0.25">
      <c r="A933" s="2" t="s">
        <v>59</v>
      </c>
      <c r="B933" s="2" t="s">
        <v>60</v>
      </c>
      <c r="C933" s="2" t="s">
        <v>9217</v>
      </c>
      <c r="D933" s="2" t="s">
        <v>9218</v>
      </c>
      <c r="E933" s="2" t="s">
        <v>9219</v>
      </c>
      <c r="G933" s="3" t="s">
        <v>63</v>
      </c>
      <c r="I933" s="3" t="s">
        <v>63</v>
      </c>
      <c r="J933" s="3" t="s">
        <v>63</v>
      </c>
      <c r="K933" s="3" t="s">
        <v>64</v>
      </c>
      <c r="L933" s="2" t="s">
        <v>9220</v>
      </c>
      <c r="M933" s="2" t="s">
        <v>9221</v>
      </c>
      <c r="N933" s="3" t="s">
        <v>1296</v>
      </c>
      <c r="P933" s="3" t="s">
        <v>66</v>
      </c>
      <c r="R933" s="3" t="s">
        <v>67</v>
      </c>
      <c r="S933" s="4">
        <v>2</v>
      </c>
      <c r="T933" s="4">
        <v>2</v>
      </c>
      <c r="U933" s="5" t="s">
        <v>9222</v>
      </c>
      <c r="V933" s="5" t="s">
        <v>9222</v>
      </c>
      <c r="W933" s="5" t="s">
        <v>69</v>
      </c>
      <c r="X933" s="5" t="s">
        <v>69</v>
      </c>
      <c r="Y933" s="4">
        <v>187</v>
      </c>
      <c r="Z933" s="4">
        <v>21</v>
      </c>
      <c r="AA933" s="4">
        <v>24</v>
      </c>
      <c r="AB933" s="4">
        <v>1</v>
      </c>
      <c r="AC933" s="4">
        <v>1</v>
      </c>
      <c r="AD933" s="4">
        <v>64</v>
      </c>
      <c r="AE933" s="4">
        <v>84</v>
      </c>
      <c r="AF933" s="4">
        <v>0</v>
      </c>
      <c r="AG933" s="4">
        <v>0</v>
      </c>
      <c r="AH933" s="4">
        <v>55</v>
      </c>
      <c r="AI933" s="4">
        <v>72</v>
      </c>
      <c r="AJ933" s="4">
        <v>13</v>
      </c>
      <c r="AK933" s="4">
        <v>16</v>
      </c>
      <c r="AL933" s="4">
        <v>37</v>
      </c>
      <c r="AM933" s="4">
        <v>45</v>
      </c>
      <c r="AN933" s="4">
        <v>0</v>
      </c>
      <c r="AO933" s="4">
        <v>5</v>
      </c>
      <c r="AP933" s="4">
        <v>15</v>
      </c>
      <c r="AQ933" s="4">
        <v>17</v>
      </c>
      <c r="AR933" s="3" t="s">
        <v>63</v>
      </c>
      <c r="AS933" s="3" t="s">
        <v>63</v>
      </c>
      <c r="AT933" s="3" t="s">
        <v>62</v>
      </c>
      <c r="AU933" s="6" t="str">
        <f>HYPERLINK("http://catalog.hathitrust.org/Record/001059410","HathiTrust Record")</f>
        <v>HathiTrust Record</v>
      </c>
      <c r="AV933" s="6" t="str">
        <f>HYPERLINK("http://mcgill.on.worldcat.org/oclc/86521","Catalog Record")</f>
        <v>Catalog Record</v>
      </c>
      <c r="AW933" s="6" t="str">
        <f>HYPERLINK("http://www.worldcat.org/oclc/86521","WorldCat Record")</f>
        <v>WorldCat Record</v>
      </c>
      <c r="AX933" s="3" t="s">
        <v>9223</v>
      </c>
      <c r="AY933" s="3" t="s">
        <v>9224</v>
      </c>
      <c r="AZ933" s="3" t="s">
        <v>9225</v>
      </c>
      <c r="BA933" s="3" t="s">
        <v>9225</v>
      </c>
      <c r="BB933" s="3" t="s">
        <v>9226</v>
      </c>
      <c r="BC933" s="3" t="s">
        <v>82</v>
      </c>
      <c r="BD933" s="3" t="s">
        <v>70</v>
      </c>
      <c r="BF933" s="3" t="s">
        <v>9226</v>
      </c>
      <c r="BG933" s="3" t="s">
        <v>9227</v>
      </c>
    </row>
    <row r="934" spans="1:59" ht="60" x14ac:dyDescent="0.25">
      <c r="A934" s="2" t="s">
        <v>59</v>
      </c>
      <c r="B934" s="2" t="s">
        <v>60</v>
      </c>
      <c r="C934" s="2" t="s">
        <v>9228</v>
      </c>
      <c r="D934" s="2" t="s">
        <v>9229</v>
      </c>
      <c r="E934" s="2" t="s">
        <v>9230</v>
      </c>
      <c r="G934" s="3" t="s">
        <v>63</v>
      </c>
      <c r="I934" s="3" t="s">
        <v>63</v>
      </c>
      <c r="J934" s="3" t="s">
        <v>63</v>
      </c>
      <c r="K934" s="3" t="s">
        <v>64</v>
      </c>
      <c r="M934" s="2" t="s">
        <v>9231</v>
      </c>
      <c r="N934" s="3" t="s">
        <v>2271</v>
      </c>
      <c r="P934" s="3" t="s">
        <v>90</v>
      </c>
      <c r="R934" s="3" t="s">
        <v>67</v>
      </c>
      <c r="S934" s="4">
        <v>1</v>
      </c>
      <c r="T934" s="4">
        <v>1</v>
      </c>
      <c r="U934" s="5" t="s">
        <v>9222</v>
      </c>
      <c r="V934" s="5" t="s">
        <v>9222</v>
      </c>
      <c r="W934" s="5" t="s">
        <v>69</v>
      </c>
      <c r="X934" s="5" t="s">
        <v>69</v>
      </c>
      <c r="Y934" s="4">
        <v>1</v>
      </c>
      <c r="Z934" s="4">
        <v>1</v>
      </c>
      <c r="AA934" s="4">
        <v>1</v>
      </c>
      <c r="AB934" s="4">
        <v>1</v>
      </c>
      <c r="AC934" s="4">
        <v>1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3" t="s">
        <v>63</v>
      </c>
      <c r="AS934" s="3" t="s">
        <v>63</v>
      </c>
      <c r="AT934" s="3" t="s">
        <v>63</v>
      </c>
      <c r="AV934" s="6" t="str">
        <f>HYPERLINK("http://mcgill.on.worldcat.org/oclc/427225601","Catalog Record")</f>
        <v>Catalog Record</v>
      </c>
      <c r="AW934" s="6" t="str">
        <f>HYPERLINK("http://www.worldcat.org/oclc/427225601","WorldCat Record")</f>
        <v>WorldCat Record</v>
      </c>
      <c r="AX934" s="3" t="s">
        <v>9232</v>
      </c>
      <c r="AY934" s="3" t="s">
        <v>9233</v>
      </c>
      <c r="AZ934" s="3" t="s">
        <v>9234</v>
      </c>
      <c r="BA934" s="3" t="s">
        <v>9234</v>
      </c>
      <c r="BB934" s="3" t="s">
        <v>9235</v>
      </c>
      <c r="BC934" s="3" t="s">
        <v>82</v>
      </c>
      <c r="BD934" s="3" t="s">
        <v>70</v>
      </c>
      <c r="BF934" s="3" t="s">
        <v>9235</v>
      </c>
      <c r="BG934" s="3" t="s">
        <v>9236</v>
      </c>
    </row>
    <row r="935" spans="1:59" ht="60" x14ac:dyDescent="0.25">
      <c r="A935" s="2" t="s">
        <v>59</v>
      </c>
      <c r="B935" s="2" t="s">
        <v>60</v>
      </c>
      <c r="C935" s="2" t="s">
        <v>9237</v>
      </c>
      <c r="D935" s="2" t="s">
        <v>9238</v>
      </c>
      <c r="E935" s="2" t="s">
        <v>9239</v>
      </c>
      <c r="G935" s="3" t="s">
        <v>63</v>
      </c>
      <c r="I935" s="3" t="s">
        <v>63</v>
      </c>
      <c r="J935" s="3" t="s">
        <v>63</v>
      </c>
      <c r="K935" s="3" t="s">
        <v>64</v>
      </c>
      <c r="M935" s="2" t="s">
        <v>9240</v>
      </c>
      <c r="N935" s="3" t="s">
        <v>274</v>
      </c>
      <c r="P935" s="3" t="s">
        <v>90</v>
      </c>
      <c r="R935" s="3" t="s">
        <v>67</v>
      </c>
      <c r="S935" s="4">
        <v>1</v>
      </c>
      <c r="T935" s="4">
        <v>1</v>
      </c>
      <c r="U935" s="5" t="s">
        <v>9241</v>
      </c>
      <c r="V935" s="5" t="s">
        <v>9241</v>
      </c>
      <c r="W935" s="5" t="s">
        <v>69</v>
      </c>
      <c r="X935" s="5" t="s">
        <v>69</v>
      </c>
      <c r="Y935" s="4">
        <v>53</v>
      </c>
      <c r="Z935" s="4">
        <v>4</v>
      </c>
      <c r="AA935" s="4">
        <v>5</v>
      </c>
      <c r="AB935" s="4">
        <v>1</v>
      </c>
      <c r="AC935" s="4">
        <v>1</v>
      </c>
      <c r="AD935" s="4">
        <v>32</v>
      </c>
      <c r="AE935" s="4">
        <v>48</v>
      </c>
      <c r="AF935" s="4">
        <v>0</v>
      </c>
      <c r="AG935" s="4">
        <v>0</v>
      </c>
      <c r="AH935" s="4">
        <v>31</v>
      </c>
      <c r="AI935" s="4">
        <v>47</v>
      </c>
      <c r="AJ935" s="4">
        <v>2</v>
      </c>
      <c r="AK935" s="4">
        <v>3</v>
      </c>
      <c r="AL935" s="4">
        <v>27</v>
      </c>
      <c r="AM935" s="4">
        <v>35</v>
      </c>
      <c r="AN935" s="4">
        <v>0</v>
      </c>
      <c r="AO935" s="4">
        <v>0</v>
      </c>
      <c r="AP935" s="4">
        <v>2</v>
      </c>
      <c r="AQ935" s="4">
        <v>3</v>
      </c>
      <c r="AR935" s="3" t="s">
        <v>63</v>
      </c>
      <c r="AS935" s="3" t="s">
        <v>63</v>
      </c>
      <c r="AT935" s="3" t="s">
        <v>62</v>
      </c>
      <c r="AU935" s="6" t="str">
        <f>HYPERLINK("http://catalog.hathitrust.org/Record/004073474","HathiTrust Record")</f>
        <v>HathiTrust Record</v>
      </c>
      <c r="AV935" s="6" t="str">
        <f>HYPERLINK("http://mcgill.on.worldcat.org/oclc/42800114","Catalog Record")</f>
        <v>Catalog Record</v>
      </c>
      <c r="AW935" s="6" t="str">
        <f>HYPERLINK("http://www.worldcat.org/oclc/42800114","WorldCat Record")</f>
        <v>WorldCat Record</v>
      </c>
      <c r="AX935" s="3" t="s">
        <v>9242</v>
      </c>
      <c r="AY935" s="3" t="s">
        <v>9243</v>
      </c>
      <c r="AZ935" s="3" t="s">
        <v>9244</v>
      </c>
      <c r="BA935" s="3" t="s">
        <v>9244</v>
      </c>
      <c r="BB935" s="3" t="s">
        <v>9245</v>
      </c>
      <c r="BC935" s="3" t="s">
        <v>82</v>
      </c>
      <c r="BD935" s="3" t="s">
        <v>70</v>
      </c>
      <c r="BE935" s="3" t="s">
        <v>9246</v>
      </c>
      <c r="BF935" s="3" t="s">
        <v>9245</v>
      </c>
      <c r="BG935" s="3" t="s">
        <v>9247</v>
      </c>
    </row>
    <row r="936" spans="1:59" ht="60" x14ac:dyDescent="0.25">
      <c r="A936" s="2" t="s">
        <v>59</v>
      </c>
      <c r="B936" s="2" t="s">
        <v>60</v>
      </c>
      <c r="C936" s="2" t="s">
        <v>9248</v>
      </c>
      <c r="D936" s="2" t="s">
        <v>9249</v>
      </c>
      <c r="E936" s="2" t="s">
        <v>9250</v>
      </c>
      <c r="G936" s="3" t="s">
        <v>63</v>
      </c>
      <c r="I936" s="3" t="s">
        <v>63</v>
      </c>
      <c r="J936" s="3" t="s">
        <v>63</v>
      </c>
      <c r="K936" s="3" t="s">
        <v>64</v>
      </c>
      <c r="M936" s="2" t="s">
        <v>9251</v>
      </c>
      <c r="N936" s="3" t="s">
        <v>2765</v>
      </c>
      <c r="P936" s="3" t="s">
        <v>66</v>
      </c>
      <c r="Q936" s="2" t="s">
        <v>8852</v>
      </c>
      <c r="R936" s="3" t="s">
        <v>67</v>
      </c>
      <c r="S936" s="4">
        <v>1</v>
      </c>
      <c r="T936" s="4">
        <v>1</v>
      </c>
      <c r="U936" s="5" t="s">
        <v>9252</v>
      </c>
      <c r="V936" s="5" t="s">
        <v>9252</v>
      </c>
      <c r="W936" s="5" t="s">
        <v>69</v>
      </c>
      <c r="X936" s="5" t="s">
        <v>69</v>
      </c>
      <c r="Y936" s="4">
        <v>87</v>
      </c>
      <c r="Z936" s="4">
        <v>7</v>
      </c>
      <c r="AA936" s="4">
        <v>78</v>
      </c>
      <c r="AB936" s="4">
        <v>1</v>
      </c>
      <c r="AC936" s="4">
        <v>14</v>
      </c>
      <c r="AD936" s="4">
        <v>37</v>
      </c>
      <c r="AE936" s="4">
        <v>111</v>
      </c>
      <c r="AF936" s="4">
        <v>0</v>
      </c>
      <c r="AG936" s="4">
        <v>8</v>
      </c>
      <c r="AH936" s="4">
        <v>34</v>
      </c>
      <c r="AI936" s="4">
        <v>77</v>
      </c>
      <c r="AJ936" s="4">
        <v>3</v>
      </c>
      <c r="AK936" s="4">
        <v>19</v>
      </c>
      <c r="AL936" s="4">
        <v>25</v>
      </c>
      <c r="AM936" s="4">
        <v>40</v>
      </c>
      <c r="AN936" s="4">
        <v>0</v>
      </c>
      <c r="AO936" s="4">
        <v>0</v>
      </c>
      <c r="AP936" s="4">
        <v>3</v>
      </c>
      <c r="AQ936" s="4">
        <v>39</v>
      </c>
      <c r="AR936" s="3" t="s">
        <v>63</v>
      </c>
      <c r="AS936" s="3" t="s">
        <v>63</v>
      </c>
      <c r="AT936" s="3" t="s">
        <v>63</v>
      </c>
      <c r="AV936" s="6" t="str">
        <f>HYPERLINK("http://mcgill.on.worldcat.org/oclc/862346594","Catalog Record")</f>
        <v>Catalog Record</v>
      </c>
      <c r="AW936" s="6" t="str">
        <f>HYPERLINK("http://www.worldcat.org/oclc/862346594","WorldCat Record")</f>
        <v>WorldCat Record</v>
      </c>
      <c r="AX936" s="3" t="s">
        <v>9253</v>
      </c>
      <c r="AY936" s="3" t="s">
        <v>9254</v>
      </c>
      <c r="AZ936" s="3" t="s">
        <v>9255</v>
      </c>
      <c r="BA936" s="3" t="s">
        <v>9255</v>
      </c>
      <c r="BB936" s="3" t="s">
        <v>9256</v>
      </c>
      <c r="BC936" s="3" t="s">
        <v>82</v>
      </c>
      <c r="BD936" s="3" t="s">
        <v>70</v>
      </c>
      <c r="BE936" s="3" t="s">
        <v>9257</v>
      </c>
      <c r="BF936" s="3" t="s">
        <v>9256</v>
      </c>
      <c r="BG936" s="3" t="s">
        <v>9258</v>
      </c>
    </row>
    <row r="937" spans="1:59" ht="60" x14ac:dyDescent="0.25">
      <c r="A937" s="2" t="s">
        <v>59</v>
      </c>
      <c r="B937" s="2" t="s">
        <v>60</v>
      </c>
      <c r="C937" s="2" t="s">
        <v>9259</v>
      </c>
      <c r="D937" s="2" t="s">
        <v>9260</v>
      </c>
      <c r="E937" s="2" t="s">
        <v>9261</v>
      </c>
      <c r="G937" s="3" t="s">
        <v>63</v>
      </c>
      <c r="I937" s="3" t="s">
        <v>63</v>
      </c>
      <c r="J937" s="3" t="s">
        <v>63</v>
      </c>
      <c r="K937" s="3" t="s">
        <v>64</v>
      </c>
      <c r="M937" s="2" t="s">
        <v>9262</v>
      </c>
      <c r="N937" s="3" t="s">
        <v>143</v>
      </c>
      <c r="P937" s="3" t="s">
        <v>90</v>
      </c>
      <c r="R937" s="3" t="s">
        <v>67</v>
      </c>
      <c r="S937" s="4">
        <v>0</v>
      </c>
      <c r="T937" s="4">
        <v>0</v>
      </c>
      <c r="W937" s="5" t="s">
        <v>69</v>
      </c>
      <c r="X937" s="5" t="s">
        <v>69</v>
      </c>
      <c r="Y937" s="4">
        <v>6</v>
      </c>
      <c r="Z937" s="4">
        <v>3</v>
      </c>
      <c r="AA937" s="4">
        <v>3</v>
      </c>
      <c r="AB937" s="4">
        <v>1</v>
      </c>
      <c r="AC937" s="4">
        <v>1</v>
      </c>
      <c r="AD937" s="4">
        <v>3</v>
      </c>
      <c r="AE937" s="4">
        <v>3</v>
      </c>
      <c r="AF937" s="4">
        <v>0</v>
      </c>
      <c r="AG937" s="4">
        <v>0</v>
      </c>
      <c r="AH937" s="4">
        <v>3</v>
      </c>
      <c r="AI937" s="4">
        <v>3</v>
      </c>
      <c r="AJ937" s="4">
        <v>1</v>
      </c>
      <c r="AK937" s="4">
        <v>1</v>
      </c>
      <c r="AL937" s="4">
        <v>3</v>
      </c>
      <c r="AM937" s="4">
        <v>3</v>
      </c>
      <c r="AN937" s="4">
        <v>0</v>
      </c>
      <c r="AO937" s="4">
        <v>0</v>
      </c>
      <c r="AP937" s="4">
        <v>1</v>
      </c>
      <c r="AQ937" s="4">
        <v>1</v>
      </c>
      <c r="AR937" s="3" t="s">
        <v>63</v>
      </c>
      <c r="AS937" s="3" t="s">
        <v>63</v>
      </c>
      <c r="AT937" s="3" t="s">
        <v>63</v>
      </c>
      <c r="AV937" s="6" t="str">
        <f>HYPERLINK("http://mcgill.on.worldcat.org/oclc/893872574","Catalog Record")</f>
        <v>Catalog Record</v>
      </c>
      <c r="AW937" s="6" t="str">
        <f>HYPERLINK("http://www.worldcat.org/oclc/893872574","WorldCat Record")</f>
        <v>WorldCat Record</v>
      </c>
      <c r="AX937" s="3" t="s">
        <v>9263</v>
      </c>
      <c r="AY937" s="3" t="s">
        <v>9264</v>
      </c>
      <c r="AZ937" s="3" t="s">
        <v>9265</v>
      </c>
      <c r="BA937" s="3" t="s">
        <v>9265</v>
      </c>
      <c r="BB937" s="3" t="s">
        <v>9266</v>
      </c>
      <c r="BC937" s="3" t="s">
        <v>82</v>
      </c>
      <c r="BD937" s="3" t="s">
        <v>70</v>
      </c>
      <c r="BE937" s="3" t="s">
        <v>9267</v>
      </c>
      <c r="BF937" s="3" t="s">
        <v>9266</v>
      </c>
      <c r="BG937" s="3" t="s">
        <v>9268</v>
      </c>
    </row>
    <row r="938" spans="1:59" ht="75" x14ac:dyDescent="0.25">
      <c r="A938" s="2" t="s">
        <v>59</v>
      </c>
      <c r="B938" s="2" t="s">
        <v>60</v>
      </c>
      <c r="C938" s="2" t="s">
        <v>9269</v>
      </c>
      <c r="D938" s="2" t="s">
        <v>9270</v>
      </c>
      <c r="E938" s="2" t="s">
        <v>9271</v>
      </c>
      <c r="G938" s="3" t="s">
        <v>63</v>
      </c>
      <c r="I938" s="3" t="s">
        <v>63</v>
      </c>
      <c r="J938" s="3" t="s">
        <v>63</v>
      </c>
      <c r="K938" s="3" t="s">
        <v>64</v>
      </c>
      <c r="L938" s="2" t="s">
        <v>9272</v>
      </c>
      <c r="M938" s="2" t="s">
        <v>5878</v>
      </c>
      <c r="N938" s="3" t="s">
        <v>143</v>
      </c>
      <c r="P938" s="3" t="s">
        <v>90</v>
      </c>
      <c r="R938" s="3" t="s">
        <v>67</v>
      </c>
      <c r="S938" s="4">
        <v>0</v>
      </c>
      <c r="T938" s="4">
        <v>0</v>
      </c>
      <c r="W938" s="5" t="s">
        <v>69</v>
      </c>
      <c r="X938" s="5" t="s">
        <v>69</v>
      </c>
      <c r="Y938" s="4">
        <v>33</v>
      </c>
      <c r="Z938" s="4">
        <v>3</v>
      </c>
      <c r="AA938" s="4">
        <v>3</v>
      </c>
      <c r="AB938" s="4">
        <v>1</v>
      </c>
      <c r="AC938" s="4">
        <v>1</v>
      </c>
      <c r="AD938" s="4">
        <v>26</v>
      </c>
      <c r="AE938" s="4">
        <v>26</v>
      </c>
      <c r="AF938" s="4">
        <v>0</v>
      </c>
      <c r="AG938" s="4">
        <v>0</v>
      </c>
      <c r="AH938" s="4">
        <v>25</v>
      </c>
      <c r="AI938" s="4">
        <v>25</v>
      </c>
      <c r="AJ938" s="4">
        <v>1</v>
      </c>
      <c r="AK938" s="4">
        <v>1</v>
      </c>
      <c r="AL938" s="4">
        <v>20</v>
      </c>
      <c r="AM938" s="4">
        <v>20</v>
      </c>
      <c r="AN938" s="4">
        <v>0</v>
      </c>
      <c r="AO938" s="4">
        <v>0</v>
      </c>
      <c r="AP938" s="4">
        <v>1</v>
      </c>
      <c r="AQ938" s="4">
        <v>1</v>
      </c>
      <c r="AR938" s="3" t="s">
        <v>63</v>
      </c>
      <c r="AS938" s="3" t="s">
        <v>63</v>
      </c>
      <c r="AT938" s="3" t="s">
        <v>63</v>
      </c>
      <c r="AV938" s="6" t="str">
        <f>HYPERLINK("http://mcgill.on.worldcat.org/oclc/891712868","Catalog Record")</f>
        <v>Catalog Record</v>
      </c>
      <c r="AW938" s="6" t="str">
        <f>HYPERLINK("http://www.worldcat.org/oclc/891712868","WorldCat Record")</f>
        <v>WorldCat Record</v>
      </c>
      <c r="AX938" s="3" t="s">
        <v>9273</v>
      </c>
      <c r="AY938" s="3" t="s">
        <v>9274</v>
      </c>
      <c r="AZ938" s="3" t="s">
        <v>9275</v>
      </c>
      <c r="BA938" s="3" t="s">
        <v>9275</v>
      </c>
      <c r="BB938" s="3" t="s">
        <v>9276</v>
      </c>
      <c r="BC938" s="3" t="s">
        <v>82</v>
      </c>
      <c r="BD938" s="3" t="s">
        <v>70</v>
      </c>
      <c r="BE938" s="3" t="s">
        <v>9277</v>
      </c>
      <c r="BF938" s="3" t="s">
        <v>9276</v>
      </c>
      <c r="BG938" s="3" t="s">
        <v>9278</v>
      </c>
    </row>
    <row r="939" spans="1:59" ht="60" x14ac:dyDescent="0.25">
      <c r="A939" s="2" t="s">
        <v>59</v>
      </c>
      <c r="B939" s="2" t="s">
        <v>60</v>
      </c>
      <c r="C939" s="2" t="s">
        <v>9279</v>
      </c>
      <c r="D939" s="2" t="s">
        <v>9280</v>
      </c>
      <c r="E939" s="2" t="s">
        <v>9281</v>
      </c>
      <c r="G939" s="3" t="s">
        <v>63</v>
      </c>
      <c r="I939" s="3" t="s">
        <v>63</v>
      </c>
      <c r="J939" s="3" t="s">
        <v>63</v>
      </c>
      <c r="K939" s="3" t="s">
        <v>64</v>
      </c>
      <c r="M939" s="2" t="s">
        <v>5810</v>
      </c>
      <c r="N939" s="3" t="s">
        <v>629</v>
      </c>
      <c r="P939" s="3" t="s">
        <v>90</v>
      </c>
      <c r="R939" s="3" t="s">
        <v>67</v>
      </c>
      <c r="S939" s="4">
        <v>2</v>
      </c>
      <c r="T939" s="4">
        <v>2</v>
      </c>
      <c r="U939" s="5" t="s">
        <v>9282</v>
      </c>
      <c r="V939" s="5" t="s">
        <v>9282</v>
      </c>
      <c r="W939" s="5" t="s">
        <v>69</v>
      </c>
      <c r="X939" s="5" t="s">
        <v>69</v>
      </c>
      <c r="Y939" s="4">
        <v>41</v>
      </c>
      <c r="Z939" s="4">
        <v>6</v>
      </c>
      <c r="AA939" s="4">
        <v>6</v>
      </c>
      <c r="AB939" s="4">
        <v>1</v>
      </c>
      <c r="AC939" s="4">
        <v>1</v>
      </c>
      <c r="AD939" s="4">
        <v>31</v>
      </c>
      <c r="AE939" s="4">
        <v>31</v>
      </c>
      <c r="AF939" s="4">
        <v>0</v>
      </c>
      <c r="AG939" s="4">
        <v>0</v>
      </c>
      <c r="AH939" s="4">
        <v>29</v>
      </c>
      <c r="AI939" s="4">
        <v>29</v>
      </c>
      <c r="AJ939" s="4">
        <v>4</v>
      </c>
      <c r="AK939" s="4">
        <v>4</v>
      </c>
      <c r="AL939" s="4">
        <v>22</v>
      </c>
      <c r="AM939" s="4">
        <v>22</v>
      </c>
      <c r="AN939" s="4">
        <v>0</v>
      </c>
      <c r="AO939" s="4">
        <v>0</v>
      </c>
      <c r="AP939" s="4">
        <v>4</v>
      </c>
      <c r="AQ939" s="4">
        <v>4</v>
      </c>
      <c r="AR939" s="3" t="s">
        <v>63</v>
      </c>
      <c r="AS939" s="3" t="s">
        <v>63</v>
      </c>
      <c r="AT939" s="3" t="s">
        <v>63</v>
      </c>
      <c r="AV939" s="6" t="str">
        <f>HYPERLINK("http://mcgill.on.worldcat.org/oclc/697266189","Catalog Record")</f>
        <v>Catalog Record</v>
      </c>
      <c r="AW939" s="6" t="str">
        <f>HYPERLINK("http://www.worldcat.org/oclc/697266189","WorldCat Record")</f>
        <v>WorldCat Record</v>
      </c>
      <c r="AX939" s="3" t="s">
        <v>9283</v>
      </c>
      <c r="AY939" s="3" t="s">
        <v>9284</v>
      </c>
      <c r="AZ939" s="3" t="s">
        <v>9285</v>
      </c>
      <c r="BA939" s="3" t="s">
        <v>9285</v>
      </c>
      <c r="BB939" s="3" t="s">
        <v>9286</v>
      </c>
      <c r="BC939" s="3" t="s">
        <v>82</v>
      </c>
      <c r="BD939" s="3" t="s">
        <v>70</v>
      </c>
      <c r="BE939" s="3" t="s">
        <v>9287</v>
      </c>
      <c r="BF939" s="3" t="s">
        <v>9286</v>
      </c>
      <c r="BG939" s="3" t="s">
        <v>9288</v>
      </c>
    </row>
    <row r="940" spans="1:59" ht="75" x14ac:dyDescent="0.25">
      <c r="A940" s="2" t="s">
        <v>59</v>
      </c>
      <c r="B940" s="2" t="s">
        <v>60</v>
      </c>
      <c r="C940" s="2" t="s">
        <v>9289</v>
      </c>
      <c r="D940" s="2" t="s">
        <v>9290</v>
      </c>
      <c r="E940" s="2" t="s">
        <v>9291</v>
      </c>
      <c r="G940" s="3" t="s">
        <v>63</v>
      </c>
      <c r="I940" s="3" t="s">
        <v>63</v>
      </c>
      <c r="J940" s="3" t="s">
        <v>63</v>
      </c>
      <c r="K940" s="3" t="s">
        <v>64</v>
      </c>
      <c r="M940" s="2" t="s">
        <v>9292</v>
      </c>
      <c r="N940" s="3" t="s">
        <v>2459</v>
      </c>
      <c r="P940" s="3" t="s">
        <v>90</v>
      </c>
      <c r="Q940" s="2" t="s">
        <v>9293</v>
      </c>
      <c r="R940" s="3" t="s">
        <v>67</v>
      </c>
      <c r="S940" s="4">
        <v>1</v>
      </c>
      <c r="T940" s="4">
        <v>1</v>
      </c>
      <c r="U940" s="5" t="s">
        <v>9294</v>
      </c>
      <c r="V940" s="5" t="s">
        <v>9294</v>
      </c>
      <c r="W940" s="5" t="s">
        <v>69</v>
      </c>
      <c r="X940" s="5" t="s">
        <v>69</v>
      </c>
      <c r="Y940" s="4">
        <v>8</v>
      </c>
      <c r="Z940" s="4">
        <v>2</v>
      </c>
      <c r="AA940" s="4">
        <v>2</v>
      </c>
      <c r="AB940" s="4">
        <v>2</v>
      </c>
      <c r="AC940" s="4">
        <v>2</v>
      </c>
      <c r="AD940" s="4">
        <v>3</v>
      </c>
      <c r="AE940" s="4">
        <v>3</v>
      </c>
      <c r="AF940" s="4">
        <v>0</v>
      </c>
      <c r="AG940" s="4">
        <v>0</v>
      </c>
      <c r="AH940" s="4">
        <v>3</v>
      </c>
      <c r="AI940" s="4">
        <v>3</v>
      </c>
      <c r="AJ940" s="4">
        <v>0</v>
      </c>
      <c r="AK940" s="4">
        <v>0</v>
      </c>
      <c r="AL940" s="4">
        <v>2</v>
      </c>
      <c r="AM940" s="4">
        <v>2</v>
      </c>
      <c r="AN940" s="4">
        <v>0</v>
      </c>
      <c r="AO940" s="4">
        <v>0</v>
      </c>
      <c r="AP940" s="4">
        <v>0</v>
      </c>
      <c r="AQ940" s="4">
        <v>0</v>
      </c>
      <c r="AR940" s="3" t="s">
        <v>63</v>
      </c>
      <c r="AS940" s="3" t="s">
        <v>63</v>
      </c>
      <c r="AT940" s="3" t="s">
        <v>63</v>
      </c>
      <c r="AV940" s="6" t="str">
        <f>HYPERLINK("http://mcgill.on.worldcat.org/oclc/261301117","Catalog Record")</f>
        <v>Catalog Record</v>
      </c>
      <c r="AW940" s="6" t="str">
        <f>HYPERLINK("http://www.worldcat.org/oclc/261301117","WorldCat Record")</f>
        <v>WorldCat Record</v>
      </c>
      <c r="AX940" s="3" t="s">
        <v>9295</v>
      </c>
      <c r="AY940" s="3" t="s">
        <v>9296</v>
      </c>
      <c r="AZ940" s="3" t="s">
        <v>9297</v>
      </c>
      <c r="BA940" s="3" t="s">
        <v>9297</v>
      </c>
      <c r="BB940" s="3" t="s">
        <v>9298</v>
      </c>
      <c r="BC940" s="3" t="s">
        <v>82</v>
      </c>
      <c r="BD940" s="3" t="s">
        <v>70</v>
      </c>
      <c r="BE940" s="3" t="s">
        <v>9299</v>
      </c>
      <c r="BF940" s="3" t="s">
        <v>9298</v>
      </c>
      <c r="BG940" s="3" t="s">
        <v>9300</v>
      </c>
    </row>
    <row r="941" spans="1:59" ht="60" x14ac:dyDescent="0.25">
      <c r="A941" s="2" t="s">
        <v>59</v>
      </c>
      <c r="B941" s="2" t="s">
        <v>60</v>
      </c>
      <c r="C941" s="2" t="s">
        <v>9301</v>
      </c>
      <c r="D941" s="2" t="s">
        <v>9302</v>
      </c>
      <c r="E941" s="2" t="s">
        <v>9303</v>
      </c>
      <c r="G941" s="3" t="s">
        <v>63</v>
      </c>
      <c r="I941" s="3" t="s">
        <v>62</v>
      </c>
      <c r="J941" s="3" t="s">
        <v>63</v>
      </c>
      <c r="K941" s="3" t="s">
        <v>64</v>
      </c>
      <c r="M941" s="2" t="s">
        <v>9304</v>
      </c>
      <c r="N941" s="3" t="s">
        <v>220</v>
      </c>
      <c r="P941" s="3" t="s">
        <v>66</v>
      </c>
      <c r="Q941" s="2" t="s">
        <v>9305</v>
      </c>
      <c r="R941" s="3" t="s">
        <v>67</v>
      </c>
      <c r="S941" s="4">
        <v>1</v>
      </c>
      <c r="T941" s="4">
        <v>9</v>
      </c>
      <c r="U941" s="5" t="s">
        <v>9306</v>
      </c>
      <c r="V941" s="5" t="s">
        <v>9222</v>
      </c>
      <c r="W941" s="5" t="s">
        <v>69</v>
      </c>
      <c r="X941" s="5" t="s">
        <v>69</v>
      </c>
      <c r="Y941" s="4">
        <v>649</v>
      </c>
      <c r="Z941" s="4">
        <v>26</v>
      </c>
      <c r="AA941" s="4">
        <v>26</v>
      </c>
      <c r="AB941" s="4">
        <v>1</v>
      </c>
      <c r="AC941" s="4">
        <v>1</v>
      </c>
      <c r="AD941" s="4">
        <v>104</v>
      </c>
      <c r="AE941" s="4">
        <v>104</v>
      </c>
      <c r="AF941" s="4">
        <v>0</v>
      </c>
      <c r="AG941" s="4">
        <v>0</v>
      </c>
      <c r="AH941" s="4">
        <v>94</v>
      </c>
      <c r="AI941" s="4">
        <v>94</v>
      </c>
      <c r="AJ941" s="4">
        <v>15</v>
      </c>
      <c r="AK941" s="4">
        <v>15</v>
      </c>
      <c r="AL941" s="4">
        <v>50</v>
      </c>
      <c r="AM941" s="4">
        <v>50</v>
      </c>
      <c r="AN941" s="4">
        <v>0</v>
      </c>
      <c r="AO941" s="4">
        <v>0</v>
      </c>
      <c r="AP941" s="4">
        <v>17</v>
      </c>
      <c r="AQ941" s="4">
        <v>17</v>
      </c>
      <c r="AR941" s="3" t="s">
        <v>63</v>
      </c>
      <c r="AS941" s="3" t="s">
        <v>63</v>
      </c>
      <c r="AT941" s="3" t="s">
        <v>62</v>
      </c>
      <c r="AU941" s="6" t="str">
        <f>HYPERLINK("http://catalog.hathitrust.org/Record/002638145","HathiTrust Record")</f>
        <v>HathiTrust Record</v>
      </c>
      <c r="AV941" s="6" t="str">
        <f>HYPERLINK("http://mcgill.on.worldcat.org/oclc/25874324","Catalog Record")</f>
        <v>Catalog Record</v>
      </c>
      <c r="AW941" s="6" t="str">
        <f>HYPERLINK("http://www.worldcat.org/oclc/25874324","WorldCat Record")</f>
        <v>WorldCat Record</v>
      </c>
      <c r="AX941" s="3" t="s">
        <v>9307</v>
      </c>
      <c r="AY941" s="3" t="s">
        <v>9308</v>
      </c>
      <c r="AZ941" s="3" t="s">
        <v>9309</v>
      </c>
      <c r="BA941" s="3" t="s">
        <v>9309</v>
      </c>
      <c r="BB941" s="3" t="s">
        <v>9310</v>
      </c>
      <c r="BC941" s="3" t="s">
        <v>82</v>
      </c>
      <c r="BD941" s="3" t="s">
        <v>70</v>
      </c>
      <c r="BE941" s="3" t="s">
        <v>9311</v>
      </c>
      <c r="BF941" s="3" t="s">
        <v>9310</v>
      </c>
      <c r="BG941" s="3" t="s">
        <v>9312</v>
      </c>
    </row>
    <row r="942" spans="1:59" ht="60" x14ac:dyDescent="0.25">
      <c r="A942" s="2" t="s">
        <v>59</v>
      </c>
      <c r="B942" s="2" t="s">
        <v>60</v>
      </c>
      <c r="C942" s="2" t="s">
        <v>9301</v>
      </c>
      <c r="D942" s="2" t="s">
        <v>9302</v>
      </c>
      <c r="E942" s="2" t="s">
        <v>9303</v>
      </c>
      <c r="G942" s="3" t="s">
        <v>63</v>
      </c>
      <c r="I942" s="3" t="s">
        <v>62</v>
      </c>
      <c r="J942" s="3" t="s">
        <v>63</v>
      </c>
      <c r="K942" s="3" t="s">
        <v>64</v>
      </c>
      <c r="M942" s="2" t="s">
        <v>9304</v>
      </c>
      <c r="N942" s="3" t="s">
        <v>220</v>
      </c>
      <c r="P942" s="3" t="s">
        <v>66</v>
      </c>
      <c r="Q942" s="2" t="s">
        <v>9305</v>
      </c>
      <c r="R942" s="3" t="s">
        <v>67</v>
      </c>
      <c r="S942" s="4">
        <v>8</v>
      </c>
      <c r="T942" s="4">
        <v>9</v>
      </c>
      <c r="U942" s="5" t="s">
        <v>9222</v>
      </c>
      <c r="V942" s="5" t="s">
        <v>9222</v>
      </c>
      <c r="W942" s="5" t="s">
        <v>69</v>
      </c>
      <c r="X942" s="5" t="s">
        <v>69</v>
      </c>
      <c r="Y942" s="4">
        <v>649</v>
      </c>
      <c r="Z942" s="4">
        <v>26</v>
      </c>
      <c r="AA942" s="4">
        <v>26</v>
      </c>
      <c r="AB942" s="4">
        <v>1</v>
      </c>
      <c r="AC942" s="4">
        <v>1</v>
      </c>
      <c r="AD942" s="4">
        <v>104</v>
      </c>
      <c r="AE942" s="4">
        <v>104</v>
      </c>
      <c r="AF942" s="4">
        <v>0</v>
      </c>
      <c r="AG942" s="4">
        <v>0</v>
      </c>
      <c r="AH942" s="4">
        <v>94</v>
      </c>
      <c r="AI942" s="4">
        <v>94</v>
      </c>
      <c r="AJ942" s="4">
        <v>15</v>
      </c>
      <c r="AK942" s="4">
        <v>15</v>
      </c>
      <c r="AL942" s="4">
        <v>50</v>
      </c>
      <c r="AM942" s="4">
        <v>50</v>
      </c>
      <c r="AN942" s="4">
        <v>0</v>
      </c>
      <c r="AO942" s="4">
        <v>0</v>
      </c>
      <c r="AP942" s="4">
        <v>17</v>
      </c>
      <c r="AQ942" s="4">
        <v>17</v>
      </c>
      <c r="AR942" s="3" t="s">
        <v>63</v>
      </c>
      <c r="AS942" s="3" t="s">
        <v>63</v>
      </c>
      <c r="AT942" s="3" t="s">
        <v>62</v>
      </c>
      <c r="AU942" s="6" t="str">
        <f>HYPERLINK("http://catalog.hathitrust.org/Record/002638145","HathiTrust Record")</f>
        <v>HathiTrust Record</v>
      </c>
      <c r="AV942" s="6" t="str">
        <f>HYPERLINK("http://mcgill.on.worldcat.org/oclc/25874324","Catalog Record")</f>
        <v>Catalog Record</v>
      </c>
      <c r="AW942" s="6" t="str">
        <f>HYPERLINK("http://www.worldcat.org/oclc/25874324","WorldCat Record")</f>
        <v>WorldCat Record</v>
      </c>
      <c r="AX942" s="3" t="s">
        <v>9307</v>
      </c>
      <c r="AY942" s="3" t="s">
        <v>9308</v>
      </c>
      <c r="AZ942" s="3" t="s">
        <v>9309</v>
      </c>
      <c r="BA942" s="3" t="s">
        <v>9309</v>
      </c>
      <c r="BB942" s="3" t="s">
        <v>9313</v>
      </c>
      <c r="BC942" s="3" t="s">
        <v>82</v>
      </c>
      <c r="BD942" s="3" t="s">
        <v>70</v>
      </c>
      <c r="BE942" s="3" t="s">
        <v>9311</v>
      </c>
      <c r="BF942" s="3" t="s">
        <v>9313</v>
      </c>
      <c r="BG942" s="3" t="s">
        <v>9314</v>
      </c>
    </row>
    <row r="943" spans="1:59" ht="60" x14ac:dyDescent="0.25">
      <c r="A943" s="2" t="s">
        <v>59</v>
      </c>
      <c r="B943" s="2" t="s">
        <v>60</v>
      </c>
      <c r="C943" s="2" t="s">
        <v>9315</v>
      </c>
      <c r="D943" s="2" t="s">
        <v>9316</v>
      </c>
      <c r="E943" s="2" t="s">
        <v>9317</v>
      </c>
      <c r="G943" s="3" t="s">
        <v>63</v>
      </c>
      <c r="I943" s="3" t="s">
        <v>63</v>
      </c>
      <c r="J943" s="3" t="s">
        <v>63</v>
      </c>
      <c r="K943" s="3" t="s">
        <v>64</v>
      </c>
      <c r="M943" s="2" t="s">
        <v>9318</v>
      </c>
      <c r="N943" s="3" t="s">
        <v>143</v>
      </c>
      <c r="P943" s="3" t="s">
        <v>66</v>
      </c>
      <c r="Q943" s="2" t="s">
        <v>9319</v>
      </c>
      <c r="R943" s="3" t="s">
        <v>67</v>
      </c>
      <c r="S943" s="4">
        <v>2</v>
      </c>
      <c r="T943" s="4">
        <v>2</v>
      </c>
      <c r="U943" s="5" t="s">
        <v>9320</v>
      </c>
      <c r="V943" s="5" t="s">
        <v>9320</v>
      </c>
      <c r="W943" s="5" t="s">
        <v>69</v>
      </c>
      <c r="X943" s="5" t="s">
        <v>69</v>
      </c>
      <c r="Y943" s="4">
        <v>60</v>
      </c>
      <c r="Z943" s="4">
        <v>7</v>
      </c>
      <c r="AA943" s="4">
        <v>7</v>
      </c>
      <c r="AB943" s="4">
        <v>1</v>
      </c>
      <c r="AC943" s="4">
        <v>1</v>
      </c>
      <c r="AD943" s="4">
        <v>37</v>
      </c>
      <c r="AE943" s="4">
        <v>40</v>
      </c>
      <c r="AF943" s="4">
        <v>0</v>
      </c>
      <c r="AG943" s="4">
        <v>0</v>
      </c>
      <c r="AH943" s="4">
        <v>37</v>
      </c>
      <c r="AI943" s="4">
        <v>39</v>
      </c>
      <c r="AJ943" s="4">
        <v>4</v>
      </c>
      <c r="AK943" s="4">
        <v>4</v>
      </c>
      <c r="AL943" s="4">
        <v>24</v>
      </c>
      <c r="AM943" s="4">
        <v>27</v>
      </c>
      <c r="AN943" s="4">
        <v>0</v>
      </c>
      <c r="AO943" s="4">
        <v>0</v>
      </c>
      <c r="AP943" s="4">
        <v>4</v>
      </c>
      <c r="AQ943" s="4">
        <v>4</v>
      </c>
      <c r="AR943" s="3" t="s">
        <v>63</v>
      </c>
      <c r="AS943" s="3" t="s">
        <v>63</v>
      </c>
      <c r="AT943" s="3" t="s">
        <v>63</v>
      </c>
      <c r="AV943" s="6" t="str">
        <f>HYPERLINK("http://mcgill.on.worldcat.org/oclc/884570977","Catalog Record")</f>
        <v>Catalog Record</v>
      </c>
      <c r="AW943" s="6" t="str">
        <f>HYPERLINK("http://www.worldcat.org/oclc/884570977","WorldCat Record")</f>
        <v>WorldCat Record</v>
      </c>
      <c r="AX943" s="3" t="s">
        <v>9321</v>
      </c>
      <c r="AY943" s="3" t="s">
        <v>9322</v>
      </c>
      <c r="AZ943" s="3" t="s">
        <v>9323</v>
      </c>
      <c r="BA943" s="3" t="s">
        <v>9323</v>
      </c>
      <c r="BB943" s="3" t="s">
        <v>9324</v>
      </c>
      <c r="BC943" s="3" t="s">
        <v>82</v>
      </c>
      <c r="BD943" s="3" t="s">
        <v>538</v>
      </c>
      <c r="BE943" s="3" t="s">
        <v>9325</v>
      </c>
      <c r="BF943" s="3" t="s">
        <v>9324</v>
      </c>
      <c r="BG943" s="3" t="s">
        <v>9326</v>
      </c>
    </row>
    <row r="944" spans="1:59" ht="60" x14ac:dyDescent="0.25">
      <c r="A944" s="2" t="s">
        <v>59</v>
      </c>
      <c r="B944" s="2" t="s">
        <v>60</v>
      </c>
      <c r="C944" s="2" t="s">
        <v>9327</v>
      </c>
      <c r="D944" s="2" t="s">
        <v>9328</v>
      </c>
      <c r="E944" s="2" t="s">
        <v>9329</v>
      </c>
      <c r="G944" s="3" t="s">
        <v>63</v>
      </c>
      <c r="I944" s="3" t="s">
        <v>63</v>
      </c>
      <c r="J944" s="3" t="s">
        <v>63</v>
      </c>
      <c r="K944" s="3" t="s">
        <v>64</v>
      </c>
      <c r="L944" s="2" t="s">
        <v>9330</v>
      </c>
      <c r="M944" s="2" t="s">
        <v>9331</v>
      </c>
      <c r="N944" s="3" t="s">
        <v>401</v>
      </c>
      <c r="P944" s="3" t="s">
        <v>66</v>
      </c>
      <c r="R944" s="3" t="s">
        <v>67</v>
      </c>
      <c r="S944" s="4">
        <v>12</v>
      </c>
      <c r="T944" s="4">
        <v>12</v>
      </c>
      <c r="U944" s="5" t="s">
        <v>9222</v>
      </c>
      <c r="V944" s="5" t="s">
        <v>9222</v>
      </c>
      <c r="W944" s="5" t="s">
        <v>69</v>
      </c>
      <c r="X944" s="5" t="s">
        <v>69</v>
      </c>
      <c r="Y944" s="4">
        <v>163</v>
      </c>
      <c r="Z944" s="4">
        <v>15</v>
      </c>
      <c r="AA944" s="4">
        <v>36</v>
      </c>
      <c r="AB944" s="4">
        <v>1</v>
      </c>
      <c r="AC944" s="4">
        <v>3</v>
      </c>
      <c r="AD944" s="4">
        <v>47</v>
      </c>
      <c r="AE944" s="4">
        <v>128</v>
      </c>
      <c r="AF944" s="4">
        <v>0</v>
      </c>
      <c r="AG944" s="4">
        <v>1</v>
      </c>
      <c r="AH944" s="4">
        <v>40</v>
      </c>
      <c r="AI944" s="4">
        <v>105</v>
      </c>
      <c r="AJ944" s="4">
        <v>9</v>
      </c>
      <c r="AK944" s="4">
        <v>20</v>
      </c>
      <c r="AL944" s="4">
        <v>25</v>
      </c>
      <c r="AM944" s="4">
        <v>60</v>
      </c>
      <c r="AN944" s="4">
        <v>0</v>
      </c>
      <c r="AO944" s="4">
        <v>0</v>
      </c>
      <c r="AP944" s="4">
        <v>11</v>
      </c>
      <c r="AQ944" s="4">
        <v>27</v>
      </c>
      <c r="AR944" s="3" t="s">
        <v>63</v>
      </c>
      <c r="AS944" s="3" t="s">
        <v>63</v>
      </c>
      <c r="AT944" s="3" t="s">
        <v>63</v>
      </c>
      <c r="AV944" s="6" t="str">
        <f>HYPERLINK("http://mcgill.on.worldcat.org/oclc/5247523","Catalog Record")</f>
        <v>Catalog Record</v>
      </c>
      <c r="AW944" s="6" t="str">
        <f>HYPERLINK("http://www.worldcat.org/oclc/5247523","WorldCat Record")</f>
        <v>WorldCat Record</v>
      </c>
      <c r="AX944" s="3" t="s">
        <v>9332</v>
      </c>
      <c r="AY944" s="3" t="s">
        <v>9333</v>
      </c>
      <c r="AZ944" s="3" t="s">
        <v>9334</v>
      </c>
      <c r="BA944" s="3" t="s">
        <v>9334</v>
      </c>
      <c r="BB944" s="3" t="s">
        <v>9335</v>
      </c>
      <c r="BC944" s="3" t="s">
        <v>82</v>
      </c>
      <c r="BD944" s="3" t="s">
        <v>70</v>
      </c>
      <c r="BF944" s="3" t="s">
        <v>9335</v>
      </c>
      <c r="BG944" s="3" t="s">
        <v>9336</v>
      </c>
    </row>
    <row r="945" spans="1:59" ht="90" x14ac:dyDescent="0.25">
      <c r="A945" s="2" t="s">
        <v>59</v>
      </c>
      <c r="B945" s="2" t="s">
        <v>60</v>
      </c>
      <c r="C945" s="2" t="s">
        <v>9337</v>
      </c>
      <c r="D945" s="2" t="s">
        <v>9338</v>
      </c>
      <c r="E945" s="2" t="s">
        <v>9339</v>
      </c>
      <c r="G945" s="3" t="s">
        <v>63</v>
      </c>
      <c r="I945" s="3" t="s">
        <v>63</v>
      </c>
      <c r="J945" s="3" t="s">
        <v>63</v>
      </c>
      <c r="K945" s="3" t="s">
        <v>64</v>
      </c>
      <c r="M945" s="2" t="s">
        <v>9340</v>
      </c>
      <c r="N945" s="3" t="s">
        <v>2765</v>
      </c>
      <c r="P945" s="3" t="s">
        <v>66</v>
      </c>
      <c r="Q945" s="2" t="s">
        <v>9341</v>
      </c>
      <c r="R945" s="3" t="s">
        <v>67</v>
      </c>
      <c r="S945" s="4">
        <v>3</v>
      </c>
      <c r="T945" s="4">
        <v>3</v>
      </c>
      <c r="U945" s="5" t="s">
        <v>9342</v>
      </c>
      <c r="V945" s="5" t="s">
        <v>9342</v>
      </c>
      <c r="W945" s="5" t="s">
        <v>69</v>
      </c>
      <c r="X945" s="5" t="s">
        <v>69</v>
      </c>
      <c r="Y945" s="4">
        <v>211</v>
      </c>
      <c r="Z945" s="4">
        <v>15</v>
      </c>
      <c r="AA945" s="4">
        <v>16</v>
      </c>
      <c r="AB945" s="4">
        <v>2</v>
      </c>
      <c r="AC945" s="4">
        <v>3</v>
      </c>
      <c r="AD945" s="4">
        <v>54</v>
      </c>
      <c r="AE945" s="4">
        <v>54</v>
      </c>
      <c r="AF945" s="4">
        <v>0</v>
      </c>
      <c r="AG945" s="4">
        <v>0</v>
      </c>
      <c r="AH945" s="4">
        <v>48</v>
      </c>
      <c r="AI945" s="4">
        <v>48</v>
      </c>
      <c r="AJ945" s="4">
        <v>7</v>
      </c>
      <c r="AK945" s="4">
        <v>7</v>
      </c>
      <c r="AL945" s="4">
        <v>35</v>
      </c>
      <c r="AM945" s="4">
        <v>35</v>
      </c>
      <c r="AN945" s="4">
        <v>0</v>
      </c>
      <c r="AO945" s="4">
        <v>0</v>
      </c>
      <c r="AP945" s="4">
        <v>8</v>
      </c>
      <c r="AQ945" s="4">
        <v>8</v>
      </c>
      <c r="AR945" s="3" t="s">
        <v>63</v>
      </c>
      <c r="AS945" s="3" t="s">
        <v>63</v>
      </c>
      <c r="AT945" s="3" t="s">
        <v>63</v>
      </c>
      <c r="AV945" s="6" t="str">
        <f>HYPERLINK("http://mcgill.on.worldcat.org/oclc/894339755","Catalog Record")</f>
        <v>Catalog Record</v>
      </c>
      <c r="AW945" s="6" t="str">
        <f>HYPERLINK("http://www.worldcat.org/oclc/894339755","WorldCat Record")</f>
        <v>WorldCat Record</v>
      </c>
      <c r="AX945" s="3" t="s">
        <v>9343</v>
      </c>
      <c r="AY945" s="3" t="s">
        <v>9344</v>
      </c>
      <c r="AZ945" s="3" t="s">
        <v>9345</v>
      </c>
      <c r="BA945" s="3" t="s">
        <v>9345</v>
      </c>
      <c r="BB945" s="3" t="s">
        <v>9346</v>
      </c>
      <c r="BC945" s="3" t="s">
        <v>82</v>
      </c>
      <c r="BD945" s="3" t="s">
        <v>70</v>
      </c>
      <c r="BE945" s="3" t="s">
        <v>9347</v>
      </c>
      <c r="BF945" s="3" t="s">
        <v>9346</v>
      </c>
      <c r="BG945" s="3" t="s">
        <v>9348</v>
      </c>
    </row>
    <row r="946" spans="1:59" ht="75" x14ac:dyDescent="0.25">
      <c r="A946" s="2" t="s">
        <v>59</v>
      </c>
      <c r="B946" s="2" t="s">
        <v>60</v>
      </c>
      <c r="C946" s="2" t="s">
        <v>9349</v>
      </c>
      <c r="D946" s="2" t="s">
        <v>9350</v>
      </c>
      <c r="E946" s="2" t="s">
        <v>9351</v>
      </c>
      <c r="G946" s="3" t="s">
        <v>63</v>
      </c>
      <c r="I946" s="3" t="s">
        <v>63</v>
      </c>
      <c r="J946" s="3" t="s">
        <v>63</v>
      </c>
      <c r="K946" s="3" t="s">
        <v>64</v>
      </c>
      <c r="M946" s="2" t="s">
        <v>9352</v>
      </c>
      <c r="N946" s="3" t="s">
        <v>849</v>
      </c>
      <c r="P946" s="3" t="s">
        <v>548</v>
      </c>
      <c r="R946" s="3" t="s">
        <v>67</v>
      </c>
      <c r="S946" s="4">
        <v>9</v>
      </c>
      <c r="T946" s="4">
        <v>9</v>
      </c>
      <c r="U946" s="5" t="s">
        <v>4698</v>
      </c>
      <c r="V946" s="5" t="s">
        <v>4698</v>
      </c>
      <c r="W946" s="5" t="s">
        <v>69</v>
      </c>
      <c r="X946" s="5" t="s">
        <v>69</v>
      </c>
      <c r="Y946" s="4">
        <v>32</v>
      </c>
      <c r="Z946" s="4">
        <v>5</v>
      </c>
      <c r="AA946" s="4">
        <v>11</v>
      </c>
      <c r="AB946" s="4">
        <v>1</v>
      </c>
      <c r="AC946" s="4">
        <v>5</v>
      </c>
      <c r="AD946" s="4">
        <v>14</v>
      </c>
      <c r="AE946" s="4">
        <v>19</v>
      </c>
      <c r="AF946" s="4">
        <v>0</v>
      </c>
      <c r="AG946" s="4">
        <v>3</v>
      </c>
      <c r="AH946" s="4">
        <v>12</v>
      </c>
      <c r="AI946" s="4">
        <v>15</v>
      </c>
      <c r="AJ946" s="4">
        <v>4</v>
      </c>
      <c r="AK946" s="4">
        <v>8</v>
      </c>
      <c r="AL946" s="4">
        <v>9</v>
      </c>
      <c r="AM946" s="4">
        <v>11</v>
      </c>
      <c r="AN946" s="4">
        <v>0</v>
      </c>
      <c r="AO946" s="4">
        <v>0</v>
      </c>
      <c r="AP946" s="4">
        <v>4</v>
      </c>
      <c r="AQ946" s="4">
        <v>7</v>
      </c>
      <c r="AR946" s="3" t="s">
        <v>63</v>
      </c>
      <c r="AS946" s="3" t="s">
        <v>63</v>
      </c>
      <c r="AT946" s="3" t="s">
        <v>63</v>
      </c>
      <c r="AV946" s="6" t="str">
        <f>HYPERLINK("http://mcgill.on.worldcat.org/oclc/7306303","Catalog Record")</f>
        <v>Catalog Record</v>
      </c>
      <c r="AW946" s="6" t="str">
        <f>HYPERLINK("http://www.worldcat.org/oclc/7306303","WorldCat Record")</f>
        <v>WorldCat Record</v>
      </c>
      <c r="AX946" s="3" t="s">
        <v>9353</v>
      </c>
      <c r="AY946" s="3" t="s">
        <v>9354</v>
      </c>
      <c r="AZ946" s="3" t="s">
        <v>9355</v>
      </c>
      <c r="BA946" s="3" t="s">
        <v>9355</v>
      </c>
      <c r="BB946" s="3" t="s">
        <v>9356</v>
      </c>
      <c r="BC946" s="3" t="s">
        <v>82</v>
      </c>
      <c r="BD946" s="3" t="s">
        <v>70</v>
      </c>
      <c r="BE946" s="3" t="s">
        <v>9357</v>
      </c>
      <c r="BF946" s="3" t="s">
        <v>9356</v>
      </c>
      <c r="BG946" s="3" t="s">
        <v>9358</v>
      </c>
    </row>
    <row r="947" spans="1:59" ht="60" x14ac:dyDescent="0.25">
      <c r="A947" s="2" t="s">
        <v>59</v>
      </c>
      <c r="B947" s="2" t="s">
        <v>60</v>
      </c>
      <c r="C947" s="2" t="s">
        <v>9359</v>
      </c>
      <c r="D947" s="2" t="s">
        <v>9360</v>
      </c>
      <c r="E947" s="2" t="s">
        <v>9361</v>
      </c>
      <c r="G947" s="3" t="s">
        <v>63</v>
      </c>
      <c r="I947" s="3" t="s">
        <v>63</v>
      </c>
      <c r="J947" s="3" t="s">
        <v>63</v>
      </c>
      <c r="K947" s="3" t="s">
        <v>64</v>
      </c>
      <c r="L947" s="2" t="s">
        <v>9362</v>
      </c>
      <c r="M947" s="2" t="s">
        <v>9363</v>
      </c>
      <c r="N947" s="3" t="s">
        <v>629</v>
      </c>
      <c r="P947" s="3" t="s">
        <v>90</v>
      </c>
      <c r="R947" s="3" t="s">
        <v>67</v>
      </c>
      <c r="S947" s="4">
        <v>0</v>
      </c>
      <c r="T947" s="4">
        <v>0</v>
      </c>
      <c r="W947" s="5" t="s">
        <v>69</v>
      </c>
      <c r="X947" s="5" t="s">
        <v>69</v>
      </c>
      <c r="Y947" s="4">
        <v>7</v>
      </c>
      <c r="Z947" s="4">
        <v>1</v>
      </c>
      <c r="AA947" s="4">
        <v>1</v>
      </c>
      <c r="AB947" s="4">
        <v>1</v>
      </c>
      <c r="AC947" s="4">
        <v>1</v>
      </c>
      <c r="AD947" s="4">
        <v>3</v>
      </c>
      <c r="AE947" s="4">
        <v>3</v>
      </c>
      <c r="AF947" s="4">
        <v>0</v>
      </c>
      <c r="AG947" s="4">
        <v>0</v>
      </c>
      <c r="AH947" s="4">
        <v>3</v>
      </c>
      <c r="AI947" s="4">
        <v>3</v>
      </c>
      <c r="AJ947" s="4">
        <v>0</v>
      </c>
      <c r="AK947" s="4">
        <v>0</v>
      </c>
      <c r="AL947" s="4">
        <v>3</v>
      </c>
      <c r="AM947" s="4">
        <v>3</v>
      </c>
      <c r="AN947" s="4">
        <v>0</v>
      </c>
      <c r="AO947" s="4">
        <v>0</v>
      </c>
      <c r="AP947" s="4">
        <v>0</v>
      </c>
      <c r="AQ947" s="4">
        <v>0</v>
      </c>
      <c r="AR947" s="3" t="s">
        <v>63</v>
      </c>
      <c r="AS947" s="3" t="s">
        <v>63</v>
      </c>
      <c r="AT947" s="3" t="s">
        <v>63</v>
      </c>
      <c r="AV947" s="6" t="str">
        <f>HYPERLINK("http://mcgill.on.worldcat.org/oclc/758495147","Catalog Record")</f>
        <v>Catalog Record</v>
      </c>
      <c r="AW947" s="6" t="str">
        <f>HYPERLINK("http://www.worldcat.org/oclc/758495147","WorldCat Record")</f>
        <v>WorldCat Record</v>
      </c>
      <c r="AX947" s="3" t="s">
        <v>9364</v>
      </c>
      <c r="AY947" s="3" t="s">
        <v>9365</v>
      </c>
      <c r="AZ947" s="3" t="s">
        <v>9366</v>
      </c>
      <c r="BA947" s="3" t="s">
        <v>9366</v>
      </c>
      <c r="BB947" s="3" t="s">
        <v>9367</v>
      </c>
      <c r="BC947" s="3" t="s">
        <v>82</v>
      </c>
      <c r="BD947" s="3" t="s">
        <v>70</v>
      </c>
      <c r="BE947" s="3" t="s">
        <v>9368</v>
      </c>
      <c r="BF947" s="3" t="s">
        <v>9367</v>
      </c>
      <c r="BG947" s="3" t="s">
        <v>9369</v>
      </c>
    </row>
    <row r="948" spans="1:59" ht="60" x14ac:dyDescent="0.25">
      <c r="A948" s="2" t="s">
        <v>59</v>
      </c>
      <c r="B948" s="2" t="s">
        <v>60</v>
      </c>
      <c r="C948" s="2" t="s">
        <v>9370</v>
      </c>
      <c r="D948" s="2" t="s">
        <v>9371</v>
      </c>
      <c r="E948" s="2" t="s">
        <v>9372</v>
      </c>
      <c r="F948" s="3" t="s">
        <v>4181</v>
      </c>
      <c r="G948" s="3" t="s">
        <v>62</v>
      </c>
      <c r="I948" s="3" t="s">
        <v>63</v>
      </c>
      <c r="J948" s="3" t="s">
        <v>63</v>
      </c>
      <c r="K948" s="3" t="s">
        <v>64</v>
      </c>
      <c r="L948" s="2" t="s">
        <v>9373</v>
      </c>
      <c r="M948" s="2" t="s">
        <v>9374</v>
      </c>
      <c r="N948" s="3" t="s">
        <v>758</v>
      </c>
      <c r="P948" s="3" t="s">
        <v>66</v>
      </c>
      <c r="R948" s="3" t="s">
        <v>67</v>
      </c>
      <c r="S948" s="4">
        <v>4</v>
      </c>
      <c r="T948" s="4">
        <v>17</v>
      </c>
      <c r="U948" s="5" t="s">
        <v>8574</v>
      </c>
      <c r="V948" s="5" t="s">
        <v>8574</v>
      </c>
      <c r="W948" s="5" t="s">
        <v>69</v>
      </c>
      <c r="X948" s="5" t="s">
        <v>69</v>
      </c>
      <c r="Y948" s="4">
        <v>768</v>
      </c>
      <c r="Z948" s="4">
        <v>32</v>
      </c>
      <c r="AA948" s="4">
        <v>47</v>
      </c>
      <c r="AB948" s="4">
        <v>3</v>
      </c>
      <c r="AC948" s="4">
        <v>5</v>
      </c>
      <c r="AD948" s="4">
        <v>101</v>
      </c>
      <c r="AE948" s="4">
        <v>126</v>
      </c>
      <c r="AF948" s="4">
        <v>2</v>
      </c>
      <c r="AG948" s="4">
        <v>4</v>
      </c>
      <c r="AH948" s="4">
        <v>80</v>
      </c>
      <c r="AI948" s="4">
        <v>98</v>
      </c>
      <c r="AJ948" s="4">
        <v>16</v>
      </c>
      <c r="AK948" s="4">
        <v>24</v>
      </c>
      <c r="AL948" s="4">
        <v>46</v>
      </c>
      <c r="AM948" s="4">
        <v>54</v>
      </c>
      <c r="AN948" s="4">
        <v>0</v>
      </c>
      <c r="AO948" s="4">
        <v>0</v>
      </c>
      <c r="AP948" s="4">
        <v>24</v>
      </c>
      <c r="AQ948" s="4">
        <v>34</v>
      </c>
      <c r="AR948" s="3" t="s">
        <v>63</v>
      </c>
      <c r="AS948" s="3" t="s">
        <v>63</v>
      </c>
      <c r="AT948" s="3" t="s">
        <v>63</v>
      </c>
      <c r="AU948" s="6" t="str">
        <f>HYPERLINK("http://catalog.hathitrust.org/Record/000980773","HathiTrust Record")</f>
        <v>HathiTrust Record</v>
      </c>
      <c r="AV948" s="6" t="str">
        <f>HYPERLINK("http://mcgill.on.worldcat.org/oclc/321365","Catalog Record")</f>
        <v>Catalog Record</v>
      </c>
      <c r="AW948" s="6" t="str">
        <f>HYPERLINK("http://www.worldcat.org/oclc/321365","WorldCat Record")</f>
        <v>WorldCat Record</v>
      </c>
      <c r="AX948" s="3" t="s">
        <v>9375</v>
      </c>
      <c r="AY948" s="3" t="s">
        <v>9376</v>
      </c>
      <c r="AZ948" s="3" t="s">
        <v>9377</v>
      </c>
      <c r="BA948" s="3" t="s">
        <v>9377</v>
      </c>
      <c r="BB948" s="3" t="s">
        <v>9378</v>
      </c>
      <c r="BC948" s="3" t="s">
        <v>82</v>
      </c>
      <c r="BD948" s="3" t="s">
        <v>70</v>
      </c>
      <c r="BF948" s="3" t="s">
        <v>9378</v>
      </c>
      <c r="BG948" s="3" t="s">
        <v>9379</v>
      </c>
    </row>
    <row r="949" spans="1:59" ht="60" x14ac:dyDescent="0.25">
      <c r="A949" s="2" t="s">
        <v>59</v>
      </c>
      <c r="B949" s="2" t="s">
        <v>60</v>
      </c>
      <c r="C949" s="2" t="s">
        <v>9370</v>
      </c>
      <c r="D949" s="2" t="s">
        <v>9371</v>
      </c>
      <c r="E949" s="2" t="s">
        <v>9372</v>
      </c>
      <c r="F949" s="3" t="s">
        <v>1095</v>
      </c>
      <c r="G949" s="3" t="s">
        <v>62</v>
      </c>
      <c r="I949" s="3" t="s">
        <v>63</v>
      </c>
      <c r="J949" s="3" t="s">
        <v>63</v>
      </c>
      <c r="K949" s="3" t="s">
        <v>64</v>
      </c>
      <c r="L949" s="2" t="s">
        <v>9373</v>
      </c>
      <c r="M949" s="2" t="s">
        <v>9374</v>
      </c>
      <c r="N949" s="3" t="s">
        <v>758</v>
      </c>
      <c r="P949" s="3" t="s">
        <v>66</v>
      </c>
      <c r="R949" s="3" t="s">
        <v>67</v>
      </c>
      <c r="S949" s="4">
        <v>13</v>
      </c>
      <c r="T949" s="4">
        <v>17</v>
      </c>
      <c r="U949" s="5" t="s">
        <v>8574</v>
      </c>
      <c r="V949" s="5" t="s">
        <v>8574</v>
      </c>
      <c r="W949" s="5" t="s">
        <v>69</v>
      </c>
      <c r="X949" s="5" t="s">
        <v>69</v>
      </c>
      <c r="Y949" s="4">
        <v>768</v>
      </c>
      <c r="Z949" s="4">
        <v>32</v>
      </c>
      <c r="AA949" s="4">
        <v>47</v>
      </c>
      <c r="AB949" s="4">
        <v>3</v>
      </c>
      <c r="AC949" s="4">
        <v>5</v>
      </c>
      <c r="AD949" s="4">
        <v>101</v>
      </c>
      <c r="AE949" s="4">
        <v>126</v>
      </c>
      <c r="AF949" s="4">
        <v>2</v>
      </c>
      <c r="AG949" s="4">
        <v>4</v>
      </c>
      <c r="AH949" s="4">
        <v>80</v>
      </c>
      <c r="AI949" s="4">
        <v>98</v>
      </c>
      <c r="AJ949" s="4">
        <v>16</v>
      </c>
      <c r="AK949" s="4">
        <v>24</v>
      </c>
      <c r="AL949" s="4">
        <v>46</v>
      </c>
      <c r="AM949" s="4">
        <v>54</v>
      </c>
      <c r="AN949" s="4">
        <v>0</v>
      </c>
      <c r="AO949" s="4">
        <v>0</v>
      </c>
      <c r="AP949" s="4">
        <v>24</v>
      </c>
      <c r="AQ949" s="4">
        <v>34</v>
      </c>
      <c r="AR949" s="3" t="s">
        <v>63</v>
      </c>
      <c r="AS949" s="3" t="s">
        <v>63</v>
      </c>
      <c r="AT949" s="3" t="s">
        <v>63</v>
      </c>
      <c r="AU949" s="6" t="str">
        <f>HYPERLINK("http://catalog.hathitrust.org/Record/000980773","HathiTrust Record")</f>
        <v>HathiTrust Record</v>
      </c>
      <c r="AV949" s="6" t="str">
        <f>HYPERLINK("http://mcgill.on.worldcat.org/oclc/321365","Catalog Record")</f>
        <v>Catalog Record</v>
      </c>
      <c r="AW949" s="6" t="str">
        <f>HYPERLINK("http://www.worldcat.org/oclc/321365","WorldCat Record")</f>
        <v>WorldCat Record</v>
      </c>
      <c r="AX949" s="3" t="s">
        <v>9375</v>
      </c>
      <c r="AY949" s="3" t="s">
        <v>9376</v>
      </c>
      <c r="AZ949" s="3" t="s">
        <v>9377</v>
      </c>
      <c r="BA949" s="3" t="s">
        <v>9377</v>
      </c>
      <c r="BB949" s="3" t="s">
        <v>9380</v>
      </c>
      <c r="BC949" s="3" t="s">
        <v>82</v>
      </c>
      <c r="BD949" s="3" t="s">
        <v>70</v>
      </c>
      <c r="BF949" s="3" t="s">
        <v>9380</v>
      </c>
      <c r="BG949" s="3" t="s">
        <v>9381</v>
      </c>
    </row>
    <row r="950" spans="1:59" ht="60" x14ac:dyDescent="0.25">
      <c r="A950" s="2" t="s">
        <v>59</v>
      </c>
      <c r="B950" s="2" t="s">
        <v>60</v>
      </c>
      <c r="C950" s="2" t="s">
        <v>9382</v>
      </c>
      <c r="D950" s="2" t="s">
        <v>9383</v>
      </c>
      <c r="E950" s="2" t="s">
        <v>9384</v>
      </c>
      <c r="F950" s="3" t="s">
        <v>1095</v>
      </c>
      <c r="G950" s="3" t="s">
        <v>62</v>
      </c>
      <c r="I950" s="3" t="s">
        <v>63</v>
      </c>
      <c r="J950" s="3" t="s">
        <v>63</v>
      </c>
      <c r="K950" s="3" t="s">
        <v>64</v>
      </c>
      <c r="L950" s="2" t="s">
        <v>9385</v>
      </c>
      <c r="M950" s="2" t="s">
        <v>9386</v>
      </c>
      <c r="N950" s="3" t="s">
        <v>2144</v>
      </c>
      <c r="P950" s="3" t="s">
        <v>66</v>
      </c>
      <c r="Q950" s="2" t="s">
        <v>9387</v>
      </c>
      <c r="R950" s="3" t="s">
        <v>67</v>
      </c>
      <c r="S950" s="4">
        <v>9</v>
      </c>
      <c r="T950" s="4">
        <v>12</v>
      </c>
      <c r="U950" s="5" t="s">
        <v>9388</v>
      </c>
      <c r="V950" s="5" t="s">
        <v>9388</v>
      </c>
      <c r="W950" s="5" t="s">
        <v>69</v>
      </c>
      <c r="X950" s="5" t="s">
        <v>69</v>
      </c>
      <c r="Y950" s="4">
        <v>936</v>
      </c>
      <c r="Z950" s="4">
        <v>39</v>
      </c>
      <c r="AA950" s="4">
        <v>39</v>
      </c>
      <c r="AB950" s="4">
        <v>2</v>
      </c>
      <c r="AC950" s="4">
        <v>2</v>
      </c>
      <c r="AD950" s="4">
        <v>121</v>
      </c>
      <c r="AE950" s="4">
        <v>121</v>
      </c>
      <c r="AF950" s="4">
        <v>1</v>
      </c>
      <c r="AG950" s="4">
        <v>1</v>
      </c>
      <c r="AH950" s="4">
        <v>99</v>
      </c>
      <c r="AI950" s="4">
        <v>99</v>
      </c>
      <c r="AJ950" s="4">
        <v>19</v>
      </c>
      <c r="AK950" s="4">
        <v>19</v>
      </c>
      <c r="AL950" s="4">
        <v>55</v>
      </c>
      <c r="AM950" s="4">
        <v>55</v>
      </c>
      <c r="AN950" s="4">
        <v>0</v>
      </c>
      <c r="AO950" s="4">
        <v>0</v>
      </c>
      <c r="AP950" s="4">
        <v>29</v>
      </c>
      <c r="AQ950" s="4">
        <v>29</v>
      </c>
      <c r="AR950" s="3" t="s">
        <v>63</v>
      </c>
      <c r="AS950" s="3" t="s">
        <v>63</v>
      </c>
      <c r="AT950" s="3" t="s">
        <v>62</v>
      </c>
      <c r="AU950" s="6" t="str">
        <f>HYPERLINK("http://catalog.hathitrust.org/Record/001110399","HathiTrust Record")</f>
        <v>HathiTrust Record</v>
      </c>
      <c r="AV950" s="6" t="str">
        <f>HYPERLINK("http://mcgill.on.worldcat.org/oclc/225247","Catalog Record")</f>
        <v>Catalog Record</v>
      </c>
      <c r="AW950" s="6" t="str">
        <f>HYPERLINK("http://www.worldcat.org/oclc/225247","WorldCat Record")</f>
        <v>WorldCat Record</v>
      </c>
      <c r="AX950" s="3" t="s">
        <v>9389</v>
      </c>
      <c r="AY950" s="3" t="s">
        <v>9390</v>
      </c>
      <c r="AZ950" s="3" t="s">
        <v>9391</v>
      </c>
      <c r="BA950" s="3" t="s">
        <v>9391</v>
      </c>
      <c r="BB950" s="3" t="s">
        <v>9392</v>
      </c>
      <c r="BC950" s="3" t="s">
        <v>82</v>
      </c>
      <c r="BD950" s="3" t="s">
        <v>70</v>
      </c>
      <c r="BF950" s="3" t="s">
        <v>9392</v>
      </c>
      <c r="BG950" s="3" t="s">
        <v>9393</v>
      </c>
    </row>
    <row r="951" spans="1:59" ht="60" x14ac:dyDescent="0.25">
      <c r="A951" s="2" t="s">
        <v>59</v>
      </c>
      <c r="B951" s="2" t="s">
        <v>60</v>
      </c>
      <c r="C951" s="2" t="s">
        <v>9382</v>
      </c>
      <c r="D951" s="2" t="s">
        <v>9383</v>
      </c>
      <c r="E951" s="2" t="s">
        <v>9384</v>
      </c>
      <c r="F951" s="3" t="s">
        <v>4181</v>
      </c>
      <c r="G951" s="3" t="s">
        <v>62</v>
      </c>
      <c r="I951" s="3" t="s">
        <v>63</v>
      </c>
      <c r="J951" s="3" t="s">
        <v>63</v>
      </c>
      <c r="K951" s="3" t="s">
        <v>64</v>
      </c>
      <c r="L951" s="2" t="s">
        <v>9385</v>
      </c>
      <c r="M951" s="2" t="s">
        <v>9386</v>
      </c>
      <c r="N951" s="3" t="s">
        <v>2144</v>
      </c>
      <c r="P951" s="3" t="s">
        <v>66</v>
      </c>
      <c r="Q951" s="2" t="s">
        <v>9387</v>
      </c>
      <c r="R951" s="3" t="s">
        <v>67</v>
      </c>
      <c r="S951" s="4">
        <v>3</v>
      </c>
      <c r="T951" s="4">
        <v>12</v>
      </c>
      <c r="U951" s="5" t="s">
        <v>9394</v>
      </c>
      <c r="V951" s="5" t="s">
        <v>9388</v>
      </c>
      <c r="W951" s="5" t="s">
        <v>69</v>
      </c>
      <c r="X951" s="5" t="s">
        <v>69</v>
      </c>
      <c r="Y951" s="4">
        <v>936</v>
      </c>
      <c r="Z951" s="4">
        <v>39</v>
      </c>
      <c r="AA951" s="4">
        <v>39</v>
      </c>
      <c r="AB951" s="4">
        <v>2</v>
      </c>
      <c r="AC951" s="4">
        <v>2</v>
      </c>
      <c r="AD951" s="4">
        <v>121</v>
      </c>
      <c r="AE951" s="4">
        <v>121</v>
      </c>
      <c r="AF951" s="4">
        <v>1</v>
      </c>
      <c r="AG951" s="4">
        <v>1</v>
      </c>
      <c r="AH951" s="4">
        <v>99</v>
      </c>
      <c r="AI951" s="4">
        <v>99</v>
      </c>
      <c r="AJ951" s="4">
        <v>19</v>
      </c>
      <c r="AK951" s="4">
        <v>19</v>
      </c>
      <c r="AL951" s="4">
        <v>55</v>
      </c>
      <c r="AM951" s="4">
        <v>55</v>
      </c>
      <c r="AN951" s="4">
        <v>0</v>
      </c>
      <c r="AO951" s="4">
        <v>0</v>
      </c>
      <c r="AP951" s="4">
        <v>29</v>
      </c>
      <c r="AQ951" s="4">
        <v>29</v>
      </c>
      <c r="AR951" s="3" t="s">
        <v>63</v>
      </c>
      <c r="AS951" s="3" t="s">
        <v>63</v>
      </c>
      <c r="AT951" s="3" t="s">
        <v>62</v>
      </c>
      <c r="AU951" s="6" t="str">
        <f>HYPERLINK("http://catalog.hathitrust.org/Record/001110399","HathiTrust Record")</f>
        <v>HathiTrust Record</v>
      </c>
      <c r="AV951" s="6" t="str">
        <f>HYPERLINK("http://mcgill.on.worldcat.org/oclc/225247","Catalog Record")</f>
        <v>Catalog Record</v>
      </c>
      <c r="AW951" s="6" t="str">
        <f>HYPERLINK("http://www.worldcat.org/oclc/225247","WorldCat Record")</f>
        <v>WorldCat Record</v>
      </c>
      <c r="AX951" s="3" t="s">
        <v>9389</v>
      </c>
      <c r="AY951" s="3" t="s">
        <v>9390</v>
      </c>
      <c r="AZ951" s="3" t="s">
        <v>9391</v>
      </c>
      <c r="BA951" s="3" t="s">
        <v>9391</v>
      </c>
      <c r="BB951" s="3" t="s">
        <v>9395</v>
      </c>
      <c r="BC951" s="3" t="s">
        <v>82</v>
      </c>
      <c r="BD951" s="3" t="s">
        <v>70</v>
      </c>
      <c r="BF951" s="3" t="s">
        <v>9395</v>
      </c>
      <c r="BG951" s="3" t="s">
        <v>9396</v>
      </c>
    </row>
    <row r="952" spans="1:59" ht="60" x14ac:dyDescent="0.25">
      <c r="A952" s="2" t="s">
        <v>59</v>
      </c>
      <c r="B952" s="2" t="s">
        <v>60</v>
      </c>
      <c r="C952" s="2" t="s">
        <v>9397</v>
      </c>
      <c r="D952" s="2" t="s">
        <v>9398</v>
      </c>
      <c r="E952" s="2" t="s">
        <v>9399</v>
      </c>
      <c r="G952" s="3" t="s">
        <v>63</v>
      </c>
      <c r="I952" s="3" t="s">
        <v>63</v>
      </c>
      <c r="J952" s="3" t="s">
        <v>63</v>
      </c>
      <c r="K952" s="3" t="s">
        <v>64</v>
      </c>
      <c r="L952" s="2" t="s">
        <v>9400</v>
      </c>
      <c r="M952" s="2" t="s">
        <v>9401</v>
      </c>
      <c r="N952" s="3" t="s">
        <v>939</v>
      </c>
      <c r="P952" s="3" t="s">
        <v>66</v>
      </c>
      <c r="R952" s="3" t="s">
        <v>67</v>
      </c>
      <c r="S952" s="4">
        <v>4</v>
      </c>
      <c r="T952" s="4">
        <v>4</v>
      </c>
      <c r="U952" s="5" t="s">
        <v>9402</v>
      </c>
      <c r="V952" s="5" t="s">
        <v>9402</v>
      </c>
      <c r="W952" s="5" t="s">
        <v>69</v>
      </c>
      <c r="X952" s="5" t="s">
        <v>69</v>
      </c>
      <c r="Y952" s="4">
        <v>679</v>
      </c>
      <c r="Z952" s="4">
        <v>35</v>
      </c>
      <c r="AA952" s="4">
        <v>35</v>
      </c>
      <c r="AB952" s="4">
        <v>2</v>
      </c>
      <c r="AC952" s="4">
        <v>2</v>
      </c>
      <c r="AD952" s="4">
        <v>119</v>
      </c>
      <c r="AE952" s="4">
        <v>119</v>
      </c>
      <c r="AF952" s="4">
        <v>1</v>
      </c>
      <c r="AG952" s="4">
        <v>1</v>
      </c>
      <c r="AH952" s="4">
        <v>98</v>
      </c>
      <c r="AI952" s="4">
        <v>98</v>
      </c>
      <c r="AJ952" s="4">
        <v>19</v>
      </c>
      <c r="AK952" s="4">
        <v>19</v>
      </c>
      <c r="AL952" s="4">
        <v>53</v>
      </c>
      <c r="AM952" s="4">
        <v>53</v>
      </c>
      <c r="AN952" s="4">
        <v>0</v>
      </c>
      <c r="AO952" s="4">
        <v>0</v>
      </c>
      <c r="AP952" s="4">
        <v>26</v>
      </c>
      <c r="AQ952" s="4">
        <v>26</v>
      </c>
      <c r="AR952" s="3" t="s">
        <v>63</v>
      </c>
      <c r="AS952" s="3" t="s">
        <v>63</v>
      </c>
      <c r="AT952" s="3" t="s">
        <v>62</v>
      </c>
      <c r="AU952" s="6" t="str">
        <f>HYPERLINK("http://catalog.hathitrust.org/Record/001223692","HathiTrust Record")</f>
        <v>HathiTrust Record</v>
      </c>
      <c r="AV952" s="6" t="str">
        <f>HYPERLINK("http://mcgill.on.worldcat.org/oclc/441768","Catalog Record")</f>
        <v>Catalog Record</v>
      </c>
      <c r="AW952" s="6" t="str">
        <f>HYPERLINK("http://www.worldcat.org/oclc/441768","WorldCat Record")</f>
        <v>WorldCat Record</v>
      </c>
      <c r="AX952" s="3" t="s">
        <v>9403</v>
      </c>
      <c r="AY952" s="3" t="s">
        <v>9404</v>
      </c>
      <c r="AZ952" s="3" t="s">
        <v>9405</v>
      </c>
      <c r="BA952" s="3" t="s">
        <v>9405</v>
      </c>
      <c r="BB952" s="3" t="s">
        <v>9406</v>
      </c>
      <c r="BC952" s="3" t="s">
        <v>82</v>
      </c>
      <c r="BD952" s="3" t="s">
        <v>70</v>
      </c>
      <c r="BF952" s="3" t="s">
        <v>9406</v>
      </c>
      <c r="BG952" s="3" t="s">
        <v>9407</v>
      </c>
    </row>
    <row r="953" spans="1:59" ht="60" x14ac:dyDescent="0.25">
      <c r="A953" s="2" t="s">
        <v>59</v>
      </c>
      <c r="B953" s="2" t="s">
        <v>60</v>
      </c>
      <c r="C953" s="2" t="s">
        <v>9408</v>
      </c>
      <c r="D953" s="2" t="s">
        <v>9409</v>
      </c>
      <c r="E953" s="2" t="s">
        <v>9410</v>
      </c>
      <c r="G953" s="3" t="s">
        <v>63</v>
      </c>
      <c r="I953" s="3" t="s">
        <v>63</v>
      </c>
      <c r="J953" s="3" t="s">
        <v>63</v>
      </c>
      <c r="K953" s="3" t="s">
        <v>64</v>
      </c>
      <c r="M953" s="2" t="s">
        <v>9411</v>
      </c>
      <c r="N953" s="3" t="s">
        <v>143</v>
      </c>
      <c r="P953" s="3" t="s">
        <v>66</v>
      </c>
      <c r="Q953" s="2" t="s">
        <v>9412</v>
      </c>
      <c r="R953" s="3" t="s">
        <v>67</v>
      </c>
      <c r="S953" s="4">
        <v>1</v>
      </c>
      <c r="T953" s="4">
        <v>1</v>
      </c>
      <c r="U953" s="5" t="s">
        <v>9413</v>
      </c>
      <c r="V953" s="5" t="s">
        <v>9413</v>
      </c>
      <c r="W953" s="5" t="s">
        <v>69</v>
      </c>
      <c r="X953" s="5" t="s">
        <v>69</v>
      </c>
      <c r="Y953" s="4">
        <v>104</v>
      </c>
      <c r="Z953" s="4">
        <v>10</v>
      </c>
      <c r="AA953" s="4">
        <v>11</v>
      </c>
      <c r="AB953" s="4">
        <v>1</v>
      </c>
      <c r="AC953" s="4">
        <v>2</v>
      </c>
      <c r="AD953" s="4">
        <v>60</v>
      </c>
      <c r="AE953" s="4">
        <v>60</v>
      </c>
      <c r="AF953" s="4">
        <v>0</v>
      </c>
      <c r="AG953" s="4">
        <v>0</v>
      </c>
      <c r="AH953" s="4">
        <v>56</v>
      </c>
      <c r="AI953" s="4">
        <v>56</v>
      </c>
      <c r="AJ953" s="4">
        <v>7</v>
      </c>
      <c r="AK953" s="4">
        <v>7</v>
      </c>
      <c r="AL953" s="4">
        <v>42</v>
      </c>
      <c r="AM953" s="4">
        <v>42</v>
      </c>
      <c r="AN953" s="4">
        <v>0</v>
      </c>
      <c r="AO953" s="4">
        <v>0</v>
      </c>
      <c r="AP953" s="4">
        <v>7</v>
      </c>
      <c r="AQ953" s="4">
        <v>7</v>
      </c>
      <c r="AR953" s="3" t="s">
        <v>63</v>
      </c>
      <c r="AS953" s="3" t="s">
        <v>63</v>
      </c>
      <c r="AT953" s="3" t="s">
        <v>63</v>
      </c>
      <c r="AV953" s="6" t="str">
        <f>HYPERLINK("http://mcgill.on.worldcat.org/oclc/858603315","Catalog Record")</f>
        <v>Catalog Record</v>
      </c>
      <c r="AW953" s="6" t="str">
        <f>HYPERLINK("http://www.worldcat.org/oclc/858603315","WorldCat Record")</f>
        <v>WorldCat Record</v>
      </c>
      <c r="AX953" s="3" t="s">
        <v>9414</v>
      </c>
      <c r="AY953" s="3" t="s">
        <v>9415</v>
      </c>
      <c r="AZ953" s="3" t="s">
        <v>9416</v>
      </c>
      <c r="BA953" s="3" t="s">
        <v>9416</v>
      </c>
      <c r="BB953" s="3" t="s">
        <v>9417</v>
      </c>
      <c r="BC953" s="3" t="s">
        <v>82</v>
      </c>
      <c r="BD953" s="3" t="s">
        <v>70</v>
      </c>
      <c r="BE953" s="3" t="s">
        <v>9418</v>
      </c>
      <c r="BF953" s="3" t="s">
        <v>9417</v>
      </c>
      <c r="BG953" s="3" t="s">
        <v>9419</v>
      </c>
    </row>
    <row r="954" spans="1:59" ht="60" x14ac:dyDescent="0.25">
      <c r="A954" s="2" t="s">
        <v>59</v>
      </c>
      <c r="B954" s="2" t="s">
        <v>60</v>
      </c>
      <c r="C954" s="2" t="s">
        <v>9420</v>
      </c>
      <c r="D954" s="2" t="s">
        <v>9421</v>
      </c>
      <c r="E954" s="2" t="s">
        <v>9422</v>
      </c>
      <c r="G954" s="3" t="s">
        <v>63</v>
      </c>
      <c r="I954" s="3" t="s">
        <v>63</v>
      </c>
      <c r="J954" s="3" t="s">
        <v>63</v>
      </c>
      <c r="K954" s="3" t="s">
        <v>64</v>
      </c>
      <c r="M954" s="2" t="s">
        <v>9423</v>
      </c>
      <c r="N954" s="3" t="s">
        <v>706</v>
      </c>
      <c r="P954" s="3" t="s">
        <v>66</v>
      </c>
      <c r="R954" s="3" t="s">
        <v>67</v>
      </c>
      <c r="S954" s="4">
        <v>8</v>
      </c>
      <c r="T954" s="4">
        <v>8</v>
      </c>
      <c r="U954" s="5" t="s">
        <v>9424</v>
      </c>
      <c r="V954" s="5" t="s">
        <v>9424</v>
      </c>
      <c r="W954" s="5" t="s">
        <v>69</v>
      </c>
      <c r="X954" s="5" t="s">
        <v>69</v>
      </c>
      <c r="Y954" s="4">
        <v>359</v>
      </c>
      <c r="Z954" s="4">
        <v>34</v>
      </c>
      <c r="AA954" s="4">
        <v>36</v>
      </c>
      <c r="AB954" s="4">
        <v>3</v>
      </c>
      <c r="AC954" s="4">
        <v>5</v>
      </c>
      <c r="AD954" s="4">
        <v>116</v>
      </c>
      <c r="AE954" s="4">
        <v>119</v>
      </c>
      <c r="AF954" s="4">
        <v>1</v>
      </c>
      <c r="AG954" s="4">
        <v>2</v>
      </c>
      <c r="AH954" s="4">
        <v>99</v>
      </c>
      <c r="AI954" s="4">
        <v>101</v>
      </c>
      <c r="AJ954" s="4">
        <v>21</v>
      </c>
      <c r="AK954" s="4">
        <v>22</v>
      </c>
      <c r="AL954" s="4">
        <v>53</v>
      </c>
      <c r="AM954" s="4">
        <v>55</v>
      </c>
      <c r="AN954" s="4">
        <v>0</v>
      </c>
      <c r="AO954" s="4">
        <v>0</v>
      </c>
      <c r="AP954" s="4">
        <v>26</v>
      </c>
      <c r="AQ954" s="4">
        <v>27</v>
      </c>
      <c r="AR954" s="3" t="s">
        <v>63</v>
      </c>
      <c r="AS954" s="3" t="s">
        <v>63</v>
      </c>
      <c r="AT954" s="3" t="s">
        <v>62</v>
      </c>
      <c r="AU954" s="6" t="str">
        <f>HYPERLINK("http://catalog.hathitrust.org/Record/000484691","HathiTrust Record")</f>
        <v>HathiTrust Record</v>
      </c>
      <c r="AV954" s="6" t="str">
        <f>HYPERLINK("http://mcgill.on.worldcat.org/oclc/12613413","Catalog Record")</f>
        <v>Catalog Record</v>
      </c>
      <c r="AW954" s="6" t="str">
        <f>HYPERLINK("http://www.worldcat.org/oclc/12613413","WorldCat Record")</f>
        <v>WorldCat Record</v>
      </c>
      <c r="AX954" s="3" t="s">
        <v>9425</v>
      </c>
      <c r="AY954" s="3" t="s">
        <v>9426</v>
      </c>
      <c r="AZ954" s="3" t="s">
        <v>9427</v>
      </c>
      <c r="BA954" s="3" t="s">
        <v>9427</v>
      </c>
      <c r="BB954" s="3" t="s">
        <v>9428</v>
      </c>
      <c r="BC954" s="3" t="s">
        <v>82</v>
      </c>
      <c r="BD954" s="3" t="s">
        <v>70</v>
      </c>
      <c r="BE954" s="3" t="s">
        <v>9429</v>
      </c>
      <c r="BF954" s="3" t="s">
        <v>9428</v>
      </c>
      <c r="BG954" s="3" t="s">
        <v>9430</v>
      </c>
    </row>
    <row r="955" spans="1:59" ht="60" x14ac:dyDescent="0.25">
      <c r="A955" s="2" t="s">
        <v>59</v>
      </c>
      <c r="B955" s="2" t="s">
        <v>60</v>
      </c>
      <c r="C955" s="2" t="s">
        <v>9431</v>
      </c>
      <c r="D955" s="2" t="s">
        <v>9432</v>
      </c>
      <c r="E955" s="2" t="s">
        <v>9433</v>
      </c>
      <c r="G955" s="3" t="s">
        <v>63</v>
      </c>
      <c r="I955" s="3" t="s">
        <v>63</v>
      </c>
      <c r="J955" s="3" t="s">
        <v>63</v>
      </c>
      <c r="K955" s="3" t="s">
        <v>64</v>
      </c>
      <c r="M955" s="2" t="s">
        <v>9434</v>
      </c>
      <c r="N955" s="3" t="s">
        <v>3640</v>
      </c>
      <c r="O955" s="2" t="s">
        <v>1605</v>
      </c>
      <c r="P955" s="3" t="s">
        <v>66</v>
      </c>
      <c r="Q955" s="2" t="s">
        <v>9435</v>
      </c>
      <c r="R955" s="3" t="s">
        <v>67</v>
      </c>
      <c r="S955" s="4">
        <v>6</v>
      </c>
      <c r="T955" s="4">
        <v>6</v>
      </c>
      <c r="U955" s="5" t="s">
        <v>9436</v>
      </c>
      <c r="V955" s="5" t="s">
        <v>9436</v>
      </c>
      <c r="W955" s="5" t="s">
        <v>69</v>
      </c>
      <c r="X955" s="5" t="s">
        <v>69</v>
      </c>
      <c r="Y955" s="4">
        <v>517</v>
      </c>
      <c r="Z955" s="4">
        <v>33</v>
      </c>
      <c r="AA955" s="4">
        <v>33</v>
      </c>
      <c r="AB955" s="4">
        <v>2</v>
      </c>
      <c r="AC955" s="4">
        <v>2</v>
      </c>
      <c r="AD955" s="4">
        <v>109</v>
      </c>
      <c r="AE955" s="4">
        <v>109</v>
      </c>
      <c r="AF955" s="4">
        <v>1</v>
      </c>
      <c r="AG955" s="4">
        <v>1</v>
      </c>
      <c r="AH955" s="4">
        <v>90</v>
      </c>
      <c r="AI955" s="4">
        <v>90</v>
      </c>
      <c r="AJ955" s="4">
        <v>20</v>
      </c>
      <c r="AK955" s="4">
        <v>20</v>
      </c>
      <c r="AL955" s="4">
        <v>53</v>
      </c>
      <c r="AM955" s="4">
        <v>53</v>
      </c>
      <c r="AN955" s="4">
        <v>0</v>
      </c>
      <c r="AO955" s="4">
        <v>0</v>
      </c>
      <c r="AP955" s="4">
        <v>23</v>
      </c>
      <c r="AQ955" s="4">
        <v>23</v>
      </c>
      <c r="AR955" s="3" t="s">
        <v>63</v>
      </c>
      <c r="AS955" s="3" t="s">
        <v>63</v>
      </c>
      <c r="AT955" s="3" t="s">
        <v>62</v>
      </c>
      <c r="AU955" s="6" t="str">
        <f>HYPERLINK("http://catalog.hathitrust.org/Record/000450633","HathiTrust Record")</f>
        <v>HathiTrust Record</v>
      </c>
      <c r="AV955" s="6" t="str">
        <f>HYPERLINK("http://mcgill.on.worldcat.org/oclc/10049283","Catalog Record")</f>
        <v>Catalog Record</v>
      </c>
      <c r="AW955" s="6" t="str">
        <f>HYPERLINK("http://www.worldcat.org/oclc/10049283","WorldCat Record")</f>
        <v>WorldCat Record</v>
      </c>
      <c r="AX955" s="3" t="s">
        <v>9437</v>
      </c>
      <c r="AY955" s="3" t="s">
        <v>9438</v>
      </c>
      <c r="AZ955" s="3" t="s">
        <v>9439</v>
      </c>
      <c r="BA955" s="3" t="s">
        <v>9439</v>
      </c>
      <c r="BB955" s="3" t="s">
        <v>9440</v>
      </c>
      <c r="BC955" s="3" t="s">
        <v>82</v>
      </c>
      <c r="BD955" s="3" t="s">
        <v>70</v>
      </c>
      <c r="BE955" s="3" t="s">
        <v>9441</v>
      </c>
      <c r="BF955" s="3" t="s">
        <v>9440</v>
      </c>
      <c r="BG955" s="3" t="s">
        <v>9442</v>
      </c>
    </row>
    <row r="956" spans="1:59" ht="60" x14ac:dyDescent="0.25">
      <c r="A956" s="2" t="s">
        <v>59</v>
      </c>
      <c r="B956" s="2" t="s">
        <v>60</v>
      </c>
      <c r="C956" s="2" t="s">
        <v>9443</v>
      </c>
      <c r="D956" s="2" t="s">
        <v>9444</v>
      </c>
      <c r="E956" s="2" t="s">
        <v>9445</v>
      </c>
      <c r="G956" s="3" t="s">
        <v>63</v>
      </c>
      <c r="I956" s="3" t="s">
        <v>63</v>
      </c>
      <c r="J956" s="3" t="s">
        <v>63</v>
      </c>
      <c r="K956" s="3" t="s">
        <v>64</v>
      </c>
      <c r="M956" s="2" t="s">
        <v>9446</v>
      </c>
      <c r="N956" s="3" t="s">
        <v>9447</v>
      </c>
      <c r="P956" s="3" t="s">
        <v>66</v>
      </c>
      <c r="R956" s="3" t="s">
        <v>67</v>
      </c>
      <c r="S956" s="4">
        <v>2</v>
      </c>
      <c r="T956" s="4">
        <v>2</v>
      </c>
      <c r="U956" s="5" t="s">
        <v>9413</v>
      </c>
      <c r="V956" s="5" t="s">
        <v>9413</v>
      </c>
      <c r="W956" s="5" t="s">
        <v>69</v>
      </c>
      <c r="X956" s="5" t="s">
        <v>69</v>
      </c>
      <c r="Y956" s="4">
        <v>529</v>
      </c>
      <c r="Z956" s="4">
        <v>16</v>
      </c>
      <c r="AA956" s="4">
        <v>22</v>
      </c>
      <c r="AB956" s="4">
        <v>4</v>
      </c>
      <c r="AC956" s="4">
        <v>4</v>
      </c>
      <c r="AD956" s="4">
        <v>106</v>
      </c>
      <c r="AE956" s="4">
        <v>114</v>
      </c>
      <c r="AF956" s="4">
        <v>2</v>
      </c>
      <c r="AG956" s="4">
        <v>2</v>
      </c>
      <c r="AH956" s="4">
        <v>91</v>
      </c>
      <c r="AI956" s="4">
        <v>97</v>
      </c>
      <c r="AJ956" s="4">
        <v>10</v>
      </c>
      <c r="AK956" s="4">
        <v>12</v>
      </c>
      <c r="AL956" s="4">
        <v>55</v>
      </c>
      <c r="AM956" s="4">
        <v>56</v>
      </c>
      <c r="AN956" s="4">
        <v>0</v>
      </c>
      <c r="AO956" s="4">
        <v>0</v>
      </c>
      <c r="AP956" s="4">
        <v>13</v>
      </c>
      <c r="AQ956" s="4">
        <v>18</v>
      </c>
      <c r="AR956" s="3" t="s">
        <v>63</v>
      </c>
      <c r="AS956" s="3" t="s">
        <v>63</v>
      </c>
      <c r="AT956" s="3" t="s">
        <v>63</v>
      </c>
      <c r="AU956" s="6" t="str">
        <f>HYPERLINK("http://catalog.hathitrust.org/Record/001059469","HathiTrust Record")</f>
        <v>HathiTrust Record</v>
      </c>
      <c r="AV956" s="6" t="str">
        <f>HYPERLINK("http://mcgill.on.worldcat.org/oclc/1443100","Catalog Record")</f>
        <v>Catalog Record</v>
      </c>
      <c r="AW956" s="6" t="str">
        <f>HYPERLINK("http://www.worldcat.org/oclc/1443100","WorldCat Record")</f>
        <v>WorldCat Record</v>
      </c>
      <c r="AX956" s="3" t="s">
        <v>9448</v>
      </c>
      <c r="AY956" s="3" t="s">
        <v>9449</v>
      </c>
      <c r="AZ956" s="3" t="s">
        <v>9450</v>
      </c>
      <c r="BA956" s="3" t="s">
        <v>9450</v>
      </c>
      <c r="BB956" s="3" t="s">
        <v>9451</v>
      </c>
      <c r="BC956" s="3" t="s">
        <v>82</v>
      </c>
      <c r="BD956" s="3" t="s">
        <v>70</v>
      </c>
      <c r="BF956" s="3" t="s">
        <v>9451</v>
      </c>
      <c r="BG956" s="3" t="s">
        <v>9452</v>
      </c>
    </row>
    <row r="957" spans="1:59" ht="60" x14ac:dyDescent="0.25">
      <c r="A957" s="2" t="s">
        <v>59</v>
      </c>
      <c r="B957" s="2" t="s">
        <v>60</v>
      </c>
      <c r="C957" s="2" t="s">
        <v>9453</v>
      </c>
      <c r="D957" s="2" t="s">
        <v>9454</v>
      </c>
      <c r="E957" s="2" t="s">
        <v>9455</v>
      </c>
      <c r="G957" s="3" t="s">
        <v>63</v>
      </c>
      <c r="I957" s="3" t="s">
        <v>63</v>
      </c>
      <c r="J957" s="3" t="s">
        <v>63</v>
      </c>
      <c r="K957" s="3" t="s">
        <v>64</v>
      </c>
      <c r="L957" s="2" t="s">
        <v>9456</v>
      </c>
      <c r="M957" s="2" t="s">
        <v>9457</v>
      </c>
      <c r="N957" s="3" t="s">
        <v>106</v>
      </c>
      <c r="P957" s="3" t="s">
        <v>66</v>
      </c>
      <c r="R957" s="3" t="s">
        <v>67</v>
      </c>
      <c r="S957" s="4">
        <v>0</v>
      </c>
      <c r="T957" s="4">
        <v>0</v>
      </c>
      <c r="W957" s="5" t="s">
        <v>69</v>
      </c>
      <c r="X957" s="5" t="s">
        <v>69</v>
      </c>
      <c r="Y957" s="4">
        <v>49</v>
      </c>
      <c r="Z957" s="4">
        <v>5</v>
      </c>
      <c r="AA957" s="4">
        <v>5</v>
      </c>
      <c r="AB957" s="4">
        <v>1</v>
      </c>
      <c r="AC957" s="4">
        <v>1</v>
      </c>
      <c r="AD957" s="4">
        <v>27</v>
      </c>
      <c r="AE957" s="4">
        <v>27</v>
      </c>
      <c r="AF957" s="4">
        <v>0</v>
      </c>
      <c r="AG957" s="4">
        <v>0</v>
      </c>
      <c r="AH957" s="4">
        <v>26</v>
      </c>
      <c r="AI957" s="4">
        <v>26</v>
      </c>
      <c r="AJ957" s="4">
        <v>2</v>
      </c>
      <c r="AK957" s="4">
        <v>2</v>
      </c>
      <c r="AL957" s="4">
        <v>20</v>
      </c>
      <c r="AM957" s="4">
        <v>20</v>
      </c>
      <c r="AN957" s="4">
        <v>0</v>
      </c>
      <c r="AO957" s="4">
        <v>0</v>
      </c>
      <c r="AP957" s="4">
        <v>2</v>
      </c>
      <c r="AQ957" s="4">
        <v>2</v>
      </c>
      <c r="AR957" s="3" t="s">
        <v>63</v>
      </c>
      <c r="AS957" s="3" t="s">
        <v>63</v>
      </c>
      <c r="AT957" s="3" t="s">
        <v>63</v>
      </c>
      <c r="AV957" s="6" t="str">
        <f>HYPERLINK("http://mcgill.on.worldcat.org/oclc/959061103","Catalog Record")</f>
        <v>Catalog Record</v>
      </c>
      <c r="AW957" s="6" t="str">
        <f>HYPERLINK("http://www.worldcat.org/oclc/959061103","WorldCat Record")</f>
        <v>WorldCat Record</v>
      </c>
      <c r="AX957" s="3" t="s">
        <v>9458</v>
      </c>
      <c r="AY957" s="3" t="s">
        <v>9459</v>
      </c>
      <c r="AZ957" s="3" t="s">
        <v>9460</v>
      </c>
      <c r="BA957" s="3" t="s">
        <v>9460</v>
      </c>
      <c r="BB957" s="3" t="s">
        <v>9461</v>
      </c>
      <c r="BC957" s="3" t="s">
        <v>82</v>
      </c>
      <c r="BD957" s="3" t="s">
        <v>70</v>
      </c>
      <c r="BE957" s="3" t="s">
        <v>9462</v>
      </c>
      <c r="BF957" s="3" t="s">
        <v>9461</v>
      </c>
      <c r="BG957" s="3" t="s">
        <v>9463</v>
      </c>
    </row>
    <row r="958" spans="1:59" ht="60" x14ac:dyDescent="0.25">
      <c r="A958" s="2" t="s">
        <v>59</v>
      </c>
      <c r="B958" s="2" t="s">
        <v>60</v>
      </c>
      <c r="C958" s="2" t="s">
        <v>9464</v>
      </c>
      <c r="D958" s="2" t="s">
        <v>9465</v>
      </c>
      <c r="E958" s="2" t="s">
        <v>9466</v>
      </c>
      <c r="G958" s="3" t="s">
        <v>63</v>
      </c>
      <c r="I958" s="3" t="s">
        <v>63</v>
      </c>
      <c r="J958" s="3" t="s">
        <v>63</v>
      </c>
      <c r="K958" s="3" t="s">
        <v>64</v>
      </c>
      <c r="M958" s="2" t="s">
        <v>9467</v>
      </c>
      <c r="N958" s="3" t="s">
        <v>204</v>
      </c>
      <c r="P958" s="3" t="s">
        <v>66</v>
      </c>
      <c r="Q958" s="2" t="s">
        <v>9468</v>
      </c>
      <c r="R958" s="3" t="s">
        <v>67</v>
      </c>
      <c r="S958" s="4">
        <v>5</v>
      </c>
      <c r="T958" s="4">
        <v>5</v>
      </c>
      <c r="U958" s="5" t="s">
        <v>2766</v>
      </c>
      <c r="V958" s="5" t="s">
        <v>2766</v>
      </c>
      <c r="W958" s="5" t="s">
        <v>69</v>
      </c>
      <c r="X958" s="5" t="s">
        <v>69</v>
      </c>
      <c r="Y958" s="4">
        <v>147</v>
      </c>
      <c r="Z958" s="4">
        <v>16</v>
      </c>
      <c r="AA958" s="4">
        <v>16</v>
      </c>
      <c r="AB958" s="4">
        <v>3</v>
      </c>
      <c r="AC958" s="4">
        <v>3</v>
      </c>
      <c r="AD958" s="4">
        <v>75</v>
      </c>
      <c r="AE958" s="4">
        <v>75</v>
      </c>
      <c r="AF958" s="4">
        <v>2</v>
      </c>
      <c r="AG958" s="4">
        <v>2</v>
      </c>
      <c r="AH958" s="4">
        <v>68</v>
      </c>
      <c r="AI958" s="4">
        <v>68</v>
      </c>
      <c r="AJ958" s="4">
        <v>11</v>
      </c>
      <c r="AK958" s="4">
        <v>11</v>
      </c>
      <c r="AL958" s="4">
        <v>37</v>
      </c>
      <c r="AM958" s="4">
        <v>37</v>
      </c>
      <c r="AN958" s="4">
        <v>0</v>
      </c>
      <c r="AO958" s="4">
        <v>0</v>
      </c>
      <c r="AP958" s="4">
        <v>13</v>
      </c>
      <c r="AQ958" s="4">
        <v>13</v>
      </c>
      <c r="AR958" s="3" t="s">
        <v>63</v>
      </c>
      <c r="AS958" s="3" t="s">
        <v>63</v>
      </c>
      <c r="AT958" s="3" t="s">
        <v>63</v>
      </c>
      <c r="AV958" s="6" t="str">
        <f>HYPERLINK("http://mcgill.on.worldcat.org/oclc/36949596","Catalog Record")</f>
        <v>Catalog Record</v>
      </c>
      <c r="AW958" s="6" t="str">
        <f>HYPERLINK("http://www.worldcat.org/oclc/36949596","WorldCat Record")</f>
        <v>WorldCat Record</v>
      </c>
      <c r="AX958" s="3" t="s">
        <v>9469</v>
      </c>
      <c r="AY958" s="3" t="s">
        <v>9470</v>
      </c>
      <c r="AZ958" s="3" t="s">
        <v>9471</v>
      </c>
      <c r="BA958" s="3" t="s">
        <v>9471</v>
      </c>
      <c r="BB958" s="3" t="s">
        <v>9472</v>
      </c>
      <c r="BC958" s="3" t="s">
        <v>82</v>
      </c>
      <c r="BD958" s="3" t="s">
        <v>70</v>
      </c>
      <c r="BE958" s="3" t="s">
        <v>9473</v>
      </c>
      <c r="BF958" s="3" t="s">
        <v>9472</v>
      </c>
      <c r="BG958" s="3" t="s">
        <v>9474</v>
      </c>
    </row>
    <row r="959" spans="1:59" ht="60" x14ac:dyDescent="0.25">
      <c r="A959" s="2" t="s">
        <v>59</v>
      </c>
      <c r="B959" s="2" t="s">
        <v>60</v>
      </c>
      <c r="C959" s="2" t="s">
        <v>9475</v>
      </c>
      <c r="D959" s="2" t="s">
        <v>9476</v>
      </c>
      <c r="E959" s="2" t="s">
        <v>9477</v>
      </c>
      <c r="F959" s="3" t="s">
        <v>571</v>
      </c>
      <c r="G959" s="3" t="s">
        <v>62</v>
      </c>
      <c r="I959" s="3" t="s">
        <v>63</v>
      </c>
      <c r="J959" s="3" t="s">
        <v>62</v>
      </c>
      <c r="K959" s="3" t="s">
        <v>64</v>
      </c>
      <c r="M959" s="2" t="s">
        <v>9478</v>
      </c>
      <c r="N959" s="3" t="s">
        <v>1226</v>
      </c>
      <c r="P959" s="3" t="s">
        <v>90</v>
      </c>
      <c r="R959" s="3" t="s">
        <v>67</v>
      </c>
      <c r="S959" s="4">
        <v>1</v>
      </c>
      <c r="T959" s="4">
        <v>6</v>
      </c>
      <c r="U959" s="5" t="s">
        <v>9479</v>
      </c>
      <c r="V959" s="5" t="s">
        <v>3789</v>
      </c>
      <c r="W959" s="5" t="s">
        <v>69</v>
      </c>
      <c r="X959" s="5" t="s">
        <v>69</v>
      </c>
      <c r="Y959" s="4">
        <v>50</v>
      </c>
      <c r="Z959" s="4">
        <v>4</v>
      </c>
      <c r="AA959" s="4">
        <v>10</v>
      </c>
      <c r="AB959" s="4">
        <v>1</v>
      </c>
      <c r="AC959" s="4">
        <v>1</v>
      </c>
      <c r="AD959" s="4">
        <v>30</v>
      </c>
      <c r="AE959" s="4">
        <v>70</v>
      </c>
      <c r="AF959" s="4">
        <v>0</v>
      </c>
      <c r="AG959" s="4">
        <v>0</v>
      </c>
      <c r="AH959" s="4">
        <v>29</v>
      </c>
      <c r="AI959" s="4">
        <v>66</v>
      </c>
      <c r="AJ959" s="4">
        <v>2</v>
      </c>
      <c r="AK959" s="4">
        <v>7</v>
      </c>
      <c r="AL959" s="4">
        <v>20</v>
      </c>
      <c r="AM959" s="4">
        <v>45</v>
      </c>
      <c r="AN959" s="4">
        <v>0</v>
      </c>
      <c r="AO959" s="4">
        <v>0</v>
      </c>
      <c r="AP959" s="4">
        <v>2</v>
      </c>
      <c r="AQ959" s="4">
        <v>7</v>
      </c>
      <c r="AR959" s="3" t="s">
        <v>63</v>
      </c>
      <c r="AS959" s="3" t="s">
        <v>63</v>
      </c>
      <c r="AT959" s="3" t="s">
        <v>62</v>
      </c>
      <c r="AU959" s="6" t="str">
        <f>HYPERLINK("http://catalog.hathitrust.org/Record/007015547","HathiTrust Record")</f>
        <v>HathiTrust Record</v>
      </c>
      <c r="AV959" s="6" t="str">
        <f>HYPERLINK("http://mcgill.on.worldcat.org/oclc/52632189","Catalog Record")</f>
        <v>Catalog Record</v>
      </c>
      <c r="AW959" s="6" t="str">
        <f>HYPERLINK("http://www.worldcat.org/oclc/52632189","WorldCat Record")</f>
        <v>WorldCat Record</v>
      </c>
      <c r="AX959" s="3" t="s">
        <v>9480</v>
      </c>
      <c r="AY959" s="3" t="s">
        <v>9481</v>
      </c>
      <c r="AZ959" s="3" t="s">
        <v>9482</v>
      </c>
      <c r="BA959" s="3" t="s">
        <v>9482</v>
      </c>
      <c r="BB959" s="3" t="s">
        <v>9483</v>
      </c>
      <c r="BC959" s="3" t="s">
        <v>82</v>
      </c>
      <c r="BD959" s="3" t="s">
        <v>70</v>
      </c>
      <c r="BF959" s="3" t="s">
        <v>9483</v>
      </c>
      <c r="BG959" s="3" t="s">
        <v>9484</v>
      </c>
    </row>
    <row r="960" spans="1:59" ht="60" x14ac:dyDescent="0.25">
      <c r="A960" s="2" t="s">
        <v>59</v>
      </c>
      <c r="B960" s="2" t="s">
        <v>60</v>
      </c>
      <c r="C960" s="2" t="s">
        <v>9475</v>
      </c>
      <c r="D960" s="2" t="s">
        <v>9476</v>
      </c>
      <c r="E960" s="2" t="s">
        <v>9477</v>
      </c>
      <c r="F960" s="3" t="s">
        <v>4437</v>
      </c>
      <c r="G960" s="3" t="s">
        <v>62</v>
      </c>
      <c r="I960" s="3" t="s">
        <v>63</v>
      </c>
      <c r="J960" s="3" t="s">
        <v>62</v>
      </c>
      <c r="K960" s="3" t="s">
        <v>64</v>
      </c>
      <c r="M960" s="2" t="s">
        <v>9478</v>
      </c>
      <c r="N960" s="3" t="s">
        <v>1226</v>
      </c>
      <c r="P960" s="3" t="s">
        <v>90</v>
      </c>
      <c r="R960" s="3" t="s">
        <v>67</v>
      </c>
      <c r="S960" s="4">
        <v>3</v>
      </c>
      <c r="T960" s="4">
        <v>6</v>
      </c>
      <c r="U960" s="5" t="s">
        <v>3789</v>
      </c>
      <c r="V960" s="5" t="s">
        <v>3789</v>
      </c>
      <c r="W960" s="5" t="s">
        <v>69</v>
      </c>
      <c r="X960" s="5" t="s">
        <v>69</v>
      </c>
      <c r="Y960" s="4">
        <v>50</v>
      </c>
      <c r="Z960" s="4">
        <v>4</v>
      </c>
      <c r="AA960" s="4">
        <v>10</v>
      </c>
      <c r="AB960" s="4">
        <v>1</v>
      </c>
      <c r="AC960" s="4">
        <v>1</v>
      </c>
      <c r="AD960" s="4">
        <v>30</v>
      </c>
      <c r="AE960" s="4">
        <v>70</v>
      </c>
      <c r="AF960" s="4">
        <v>0</v>
      </c>
      <c r="AG960" s="4">
        <v>0</v>
      </c>
      <c r="AH960" s="4">
        <v>29</v>
      </c>
      <c r="AI960" s="4">
        <v>66</v>
      </c>
      <c r="AJ960" s="4">
        <v>2</v>
      </c>
      <c r="AK960" s="4">
        <v>7</v>
      </c>
      <c r="AL960" s="4">
        <v>20</v>
      </c>
      <c r="AM960" s="4">
        <v>45</v>
      </c>
      <c r="AN960" s="4">
        <v>0</v>
      </c>
      <c r="AO960" s="4">
        <v>0</v>
      </c>
      <c r="AP960" s="4">
        <v>2</v>
      </c>
      <c r="AQ960" s="4">
        <v>7</v>
      </c>
      <c r="AR960" s="3" t="s">
        <v>63</v>
      </c>
      <c r="AS960" s="3" t="s">
        <v>63</v>
      </c>
      <c r="AT960" s="3" t="s">
        <v>62</v>
      </c>
      <c r="AU960" s="6" t="str">
        <f>HYPERLINK("http://catalog.hathitrust.org/Record/007015547","HathiTrust Record")</f>
        <v>HathiTrust Record</v>
      </c>
      <c r="AV960" s="6" t="str">
        <f>HYPERLINK("http://mcgill.on.worldcat.org/oclc/52632189","Catalog Record")</f>
        <v>Catalog Record</v>
      </c>
      <c r="AW960" s="6" t="str">
        <f>HYPERLINK("http://www.worldcat.org/oclc/52632189","WorldCat Record")</f>
        <v>WorldCat Record</v>
      </c>
      <c r="AX960" s="3" t="s">
        <v>9480</v>
      </c>
      <c r="AY960" s="3" t="s">
        <v>9481</v>
      </c>
      <c r="AZ960" s="3" t="s">
        <v>9482</v>
      </c>
      <c r="BA960" s="3" t="s">
        <v>9482</v>
      </c>
      <c r="BB960" s="3" t="s">
        <v>9485</v>
      </c>
      <c r="BC960" s="3" t="s">
        <v>82</v>
      </c>
      <c r="BD960" s="3" t="s">
        <v>70</v>
      </c>
      <c r="BF960" s="3" t="s">
        <v>9485</v>
      </c>
      <c r="BG960" s="3" t="s">
        <v>9486</v>
      </c>
    </row>
    <row r="961" spans="1:59" ht="60" x14ac:dyDescent="0.25">
      <c r="A961" s="2" t="s">
        <v>59</v>
      </c>
      <c r="B961" s="2" t="s">
        <v>60</v>
      </c>
      <c r="C961" s="2" t="s">
        <v>9475</v>
      </c>
      <c r="D961" s="2" t="s">
        <v>9476</v>
      </c>
      <c r="E961" s="2" t="s">
        <v>9477</v>
      </c>
      <c r="F961" s="3" t="s">
        <v>582</v>
      </c>
      <c r="G961" s="3" t="s">
        <v>62</v>
      </c>
      <c r="I961" s="3" t="s">
        <v>63</v>
      </c>
      <c r="J961" s="3" t="s">
        <v>62</v>
      </c>
      <c r="K961" s="3" t="s">
        <v>64</v>
      </c>
      <c r="M961" s="2" t="s">
        <v>9478</v>
      </c>
      <c r="N961" s="3" t="s">
        <v>1226</v>
      </c>
      <c r="P961" s="3" t="s">
        <v>90</v>
      </c>
      <c r="R961" s="3" t="s">
        <v>67</v>
      </c>
      <c r="S961" s="4">
        <v>2</v>
      </c>
      <c r="T961" s="4">
        <v>6</v>
      </c>
      <c r="U961" s="5" t="s">
        <v>9479</v>
      </c>
      <c r="V961" s="5" t="s">
        <v>3789</v>
      </c>
      <c r="W961" s="5" t="s">
        <v>69</v>
      </c>
      <c r="X961" s="5" t="s">
        <v>69</v>
      </c>
      <c r="Y961" s="4">
        <v>50</v>
      </c>
      <c r="Z961" s="4">
        <v>4</v>
      </c>
      <c r="AA961" s="4">
        <v>10</v>
      </c>
      <c r="AB961" s="4">
        <v>1</v>
      </c>
      <c r="AC961" s="4">
        <v>1</v>
      </c>
      <c r="AD961" s="4">
        <v>30</v>
      </c>
      <c r="AE961" s="4">
        <v>70</v>
      </c>
      <c r="AF961" s="4">
        <v>0</v>
      </c>
      <c r="AG961" s="4">
        <v>0</v>
      </c>
      <c r="AH961" s="4">
        <v>29</v>
      </c>
      <c r="AI961" s="4">
        <v>66</v>
      </c>
      <c r="AJ961" s="4">
        <v>2</v>
      </c>
      <c r="AK961" s="4">
        <v>7</v>
      </c>
      <c r="AL961" s="4">
        <v>20</v>
      </c>
      <c r="AM961" s="4">
        <v>45</v>
      </c>
      <c r="AN961" s="4">
        <v>0</v>
      </c>
      <c r="AO961" s="4">
        <v>0</v>
      </c>
      <c r="AP961" s="4">
        <v>2</v>
      </c>
      <c r="AQ961" s="4">
        <v>7</v>
      </c>
      <c r="AR961" s="3" t="s">
        <v>63</v>
      </c>
      <c r="AS961" s="3" t="s">
        <v>63</v>
      </c>
      <c r="AT961" s="3" t="s">
        <v>62</v>
      </c>
      <c r="AU961" s="6" t="str">
        <f>HYPERLINK("http://catalog.hathitrust.org/Record/007015547","HathiTrust Record")</f>
        <v>HathiTrust Record</v>
      </c>
      <c r="AV961" s="6" t="str">
        <f>HYPERLINK("http://mcgill.on.worldcat.org/oclc/52632189","Catalog Record")</f>
        <v>Catalog Record</v>
      </c>
      <c r="AW961" s="6" t="str">
        <f>HYPERLINK("http://www.worldcat.org/oclc/52632189","WorldCat Record")</f>
        <v>WorldCat Record</v>
      </c>
      <c r="AX961" s="3" t="s">
        <v>9480</v>
      </c>
      <c r="AY961" s="3" t="s">
        <v>9481</v>
      </c>
      <c r="AZ961" s="3" t="s">
        <v>9482</v>
      </c>
      <c r="BA961" s="3" t="s">
        <v>9482</v>
      </c>
      <c r="BB961" s="3" t="s">
        <v>9487</v>
      </c>
      <c r="BC961" s="3" t="s">
        <v>82</v>
      </c>
      <c r="BD961" s="3" t="s">
        <v>70</v>
      </c>
      <c r="BF961" s="3" t="s">
        <v>9487</v>
      </c>
      <c r="BG961" s="3" t="s">
        <v>9488</v>
      </c>
    </row>
    <row r="962" spans="1:59" ht="60" x14ac:dyDescent="0.25">
      <c r="A962" s="2" t="s">
        <v>59</v>
      </c>
      <c r="B962" s="2" t="s">
        <v>60</v>
      </c>
      <c r="C962" s="2" t="s">
        <v>9489</v>
      </c>
      <c r="D962" s="2" t="s">
        <v>9490</v>
      </c>
      <c r="E962" s="2" t="s">
        <v>9491</v>
      </c>
      <c r="G962" s="3" t="s">
        <v>63</v>
      </c>
      <c r="I962" s="3" t="s">
        <v>63</v>
      </c>
      <c r="J962" s="3" t="s">
        <v>63</v>
      </c>
      <c r="K962" s="3" t="s">
        <v>64</v>
      </c>
      <c r="M962" s="2" t="s">
        <v>9492</v>
      </c>
      <c r="N962" s="3" t="s">
        <v>161</v>
      </c>
      <c r="P962" s="3" t="s">
        <v>90</v>
      </c>
      <c r="Q962" s="2" t="s">
        <v>9493</v>
      </c>
      <c r="R962" s="3" t="s">
        <v>67</v>
      </c>
      <c r="S962" s="4">
        <v>1</v>
      </c>
      <c r="T962" s="4">
        <v>1</v>
      </c>
      <c r="U962" s="5" t="s">
        <v>8206</v>
      </c>
      <c r="V962" s="5" t="s">
        <v>8206</v>
      </c>
      <c r="W962" s="5" t="s">
        <v>69</v>
      </c>
      <c r="X962" s="5" t="s">
        <v>69</v>
      </c>
      <c r="Y962" s="4">
        <v>2</v>
      </c>
      <c r="Z962" s="4">
        <v>1</v>
      </c>
      <c r="AA962" s="4">
        <v>3</v>
      </c>
      <c r="AB962" s="4">
        <v>1</v>
      </c>
      <c r="AC962" s="4">
        <v>3</v>
      </c>
      <c r="AD962" s="4">
        <v>1</v>
      </c>
      <c r="AE962" s="4">
        <v>1</v>
      </c>
      <c r="AF962" s="4">
        <v>0</v>
      </c>
      <c r="AG962" s="4">
        <v>0</v>
      </c>
      <c r="AH962" s="4">
        <v>1</v>
      </c>
      <c r="AI962" s="4">
        <v>1</v>
      </c>
      <c r="AJ962" s="4">
        <v>0</v>
      </c>
      <c r="AK962" s="4">
        <v>0</v>
      </c>
      <c r="AL962" s="4">
        <v>1</v>
      </c>
      <c r="AM962" s="4">
        <v>1</v>
      </c>
      <c r="AN962" s="4">
        <v>0</v>
      </c>
      <c r="AO962" s="4">
        <v>0</v>
      </c>
      <c r="AP962" s="4">
        <v>0</v>
      </c>
      <c r="AQ962" s="4">
        <v>0</v>
      </c>
      <c r="AR962" s="3" t="s">
        <v>63</v>
      </c>
      <c r="AS962" s="3" t="s">
        <v>63</v>
      </c>
      <c r="AT962" s="3" t="s">
        <v>63</v>
      </c>
      <c r="AV962" s="6" t="str">
        <f>HYPERLINK("http://mcgill.on.worldcat.org/oclc/41986830","Catalog Record")</f>
        <v>Catalog Record</v>
      </c>
      <c r="AW962" s="6" t="str">
        <f>HYPERLINK("http://www.worldcat.org/oclc/41986830","WorldCat Record")</f>
        <v>WorldCat Record</v>
      </c>
      <c r="AX962" s="3" t="s">
        <v>9494</v>
      </c>
      <c r="AY962" s="3" t="s">
        <v>9495</v>
      </c>
      <c r="AZ962" s="3" t="s">
        <v>9496</v>
      </c>
      <c r="BA962" s="3" t="s">
        <v>9496</v>
      </c>
      <c r="BB962" s="3" t="s">
        <v>9497</v>
      </c>
      <c r="BC962" s="3" t="s">
        <v>82</v>
      </c>
      <c r="BD962" s="3" t="s">
        <v>70</v>
      </c>
      <c r="BF962" s="3" t="s">
        <v>9497</v>
      </c>
      <c r="BG962" s="3" t="s">
        <v>9498</v>
      </c>
    </row>
    <row r="963" spans="1:59" ht="60" x14ac:dyDescent="0.25">
      <c r="A963" s="2" t="s">
        <v>59</v>
      </c>
      <c r="B963" s="2" t="s">
        <v>60</v>
      </c>
      <c r="C963" s="2" t="s">
        <v>9499</v>
      </c>
      <c r="D963" s="2" t="s">
        <v>9500</v>
      </c>
      <c r="E963" s="2" t="s">
        <v>9501</v>
      </c>
      <c r="G963" s="3" t="s">
        <v>63</v>
      </c>
      <c r="I963" s="3" t="s">
        <v>63</v>
      </c>
      <c r="J963" s="3" t="s">
        <v>63</v>
      </c>
      <c r="K963" s="3" t="s">
        <v>64</v>
      </c>
      <c r="M963" s="2" t="s">
        <v>9502</v>
      </c>
      <c r="N963" s="3" t="s">
        <v>629</v>
      </c>
      <c r="P963" s="3" t="s">
        <v>90</v>
      </c>
      <c r="R963" s="3" t="s">
        <v>67</v>
      </c>
      <c r="S963" s="4">
        <v>2</v>
      </c>
      <c r="T963" s="4">
        <v>2</v>
      </c>
      <c r="U963" s="5" t="s">
        <v>9503</v>
      </c>
      <c r="V963" s="5" t="s">
        <v>9503</v>
      </c>
      <c r="W963" s="5" t="s">
        <v>69</v>
      </c>
      <c r="X963" s="5" t="s">
        <v>69</v>
      </c>
      <c r="Y963" s="4">
        <v>23</v>
      </c>
      <c r="Z963" s="4">
        <v>4</v>
      </c>
      <c r="AA963" s="4">
        <v>5</v>
      </c>
      <c r="AB963" s="4">
        <v>1</v>
      </c>
      <c r="AC963" s="4">
        <v>1</v>
      </c>
      <c r="AD963" s="4">
        <v>11</v>
      </c>
      <c r="AE963" s="4">
        <v>31</v>
      </c>
      <c r="AF963" s="4">
        <v>0</v>
      </c>
      <c r="AG963" s="4">
        <v>0</v>
      </c>
      <c r="AH963" s="4">
        <v>10</v>
      </c>
      <c r="AI963" s="4">
        <v>29</v>
      </c>
      <c r="AJ963" s="4">
        <v>1</v>
      </c>
      <c r="AK963" s="4">
        <v>2</v>
      </c>
      <c r="AL963" s="4">
        <v>7</v>
      </c>
      <c r="AM963" s="4">
        <v>23</v>
      </c>
      <c r="AN963" s="4">
        <v>0</v>
      </c>
      <c r="AO963" s="4">
        <v>0</v>
      </c>
      <c r="AP963" s="4">
        <v>1</v>
      </c>
      <c r="AQ963" s="4">
        <v>2</v>
      </c>
      <c r="AR963" s="3" t="s">
        <v>63</v>
      </c>
      <c r="AS963" s="3" t="s">
        <v>63</v>
      </c>
      <c r="AT963" s="3" t="s">
        <v>63</v>
      </c>
      <c r="AV963" s="6" t="str">
        <f>HYPERLINK("http://mcgill.on.worldcat.org/oclc/794227308","Catalog Record")</f>
        <v>Catalog Record</v>
      </c>
      <c r="AW963" s="6" t="str">
        <f>HYPERLINK("http://www.worldcat.org/oclc/794227308","WorldCat Record")</f>
        <v>WorldCat Record</v>
      </c>
      <c r="AX963" s="3" t="s">
        <v>9504</v>
      </c>
      <c r="AY963" s="3" t="s">
        <v>9505</v>
      </c>
      <c r="AZ963" s="3" t="s">
        <v>9506</v>
      </c>
      <c r="BA963" s="3" t="s">
        <v>9506</v>
      </c>
      <c r="BB963" s="3" t="s">
        <v>9507</v>
      </c>
      <c r="BC963" s="3" t="s">
        <v>82</v>
      </c>
      <c r="BD963" s="3" t="s">
        <v>70</v>
      </c>
      <c r="BE963" s="3" t="s">
        <v>9508</v>
      </c>
      <c r="BF963" s="3" t="s">
        <v>9507</v>
      </c>
      <c r="BG963" s="3" t="s">
        <v>9509</v>
      </c>
    </row>
    <row r="964" spans="1:59" ht="60" x14ac:dyDescent="0.25">
      <c r="A964" s="2" t="s">
        <v>59</v>
      </c>
      <c r="B964" s="2" t="s">
        <v>60</v>
      </c>
      <c r="C964" s="2" t="s">
        <v>9510</v>
      </c>
      <c r="D964" s="2" t="s">
        <v>9511</v>
      </c>
      <c r="E964" s="2" t="s">
        <v>9512</v>
      </c>
      <c r="G964" s="3" t="s">
        <v>63</v>
      </c>
      <c r="I964" s="3" t="s">
        <v>63</v>
      </c>
      <c r="J964" s="3" t="s">
        <v>63</v>
      </c>
      <c r="K964" s="3" t="s">
        <v>64</v>
      </c>
      <c r="M964" s="2" t="s">
        <v>9513</v>
      </c>
      <c r="N964" s="3" t="s">
        <v>2765</v>
      </c>
      <c r="P964" s="3" t="s">
        <v>90</v>
      </c>
      <c r="Q964" s="2" t="s">
        <v>9514</v>
      </c>
      <c r="R964" s="3" t="s">
        <v>67</v>
      </c>
      <c r="S964" s="4">
        <v>1</v>
      </c>
      <c r="T964" s="4">
        <v>1</v>
      </c>
      <c r="U964" s="5" t="s">
        <v>3789</v>
      </c>
      <c r="V964" s="5" t="s">
        <v>3789</v>
      </c>
      <c r="W964" s="5" t="s">
        <v>69</v>
      </c>
      <c r="X964" s="5" t="s">
        <v>69</v>
      </c>
      <c r="Y964" s="4">
        <v>22</v>
      </c>
      <c r="Z964" s="4">
        <v>1</v>
      </c>
      <c r="AA964" s="4">
        <v>1</v>
      </c>
      <c r="AB964" s="4">
        <v>1</v>
      </c>
      <c r="AC964" s="4">
        <v>1</v>
      </c>
      <c r="AD964" s="4">
        <v>16</v>
      </c>
      <c r="AE964" s="4">
        <v>16</v>
      </c>
      <c r="AF964" s="4">
        <v>0</v>
      </c>
      <c r="AG964" s="4">
        <v>0</v>
      </c>
      <c r="AH964" s="4">
        <v>15</v>
      </c>
      <c r="AI964" s="4">
        <v>15</v>
      </c>
      <c r="AJ964" s="4">
        <v>0</v>
      </c>
      <c r="AK964" s="4">
        <v>0</v>
      </c>
      <c r="AL964" s="4">
        <v>11</v>
      </c>
      <c r="AM964" s="4">
        <v>11</v>
      </c>
      <c r="AN964" s="4">
        <v>0</v>
      </c>
      <c r="AO964" s="4">
        <v>0</v>
      </c>
      <c r="AP964" s="4">
        <v>0</v>
      </c>
      <c r="AQ964" s="4">
        <v>0</v>
      </c>
      <c r="AR964" s="3" t="s">
        <v>63</v>
      </c>
      <c r="AS964" s="3" t="s">
        <v>63</v>
      </c>
      <c r="AT964" s="3" t="s">
        <v>63</v>
      </c>
      <c r="AV964" s="6" t="str">
        <f>HYPERLINK("http://mcgill.on.worldcat.org/oclc/935251982","Catalog Record")</f>
        <v>Catalog Record</v>
      </c>
      <c r="AW964" s="6" t="str">
        <f>HYPERLINK("http://www.worldcat.org/oclc/935251982","WorldCat Record")</f>
        <v>WorldCat Record</v>
      </c>
      <c r="AX964" s="3" t="s">
        <v>9515</v>
      </c>
      <c r="AY964" s="3" t="s">
        <v>9516</v>
      </c>
      <c r="AZ964" s="3" t="s">
        <v>9517</v>
      </c>
      <c r="BA964" s="3" t="s">
        <v>9517</v>
      </c>
      <c r="BB964" s="3" t="s">
        <v>9518</v>
      </c>
      <c r="BC964" s="3" t="s">
        <v>82</v>
      </c>
      <c r="BD964" s="3" t="s">
        <v>70</v>
      </c>
      <c r="BE964" s="3" t="s">
        <v>9519</v>
      </c>
      <c r="BF964" s="3" t="s">
        <v>9518</v>
      </c>
      <c r="BG964" s="3" t="s">
        <v>9520</v>
      </c>
    </row>
    <row r="965" spans="1:59" ht="60" x14ac:dyDescent="0.25">
      <c r="A965" s="2" t="s">
        <v>59</v>
      </c>
      <c r="B965" s="2" t="s">
        <v>60</v>
      </c>
      <c r="C965" s="2" t="s">
        <v>9521</v>
      </c>
      <c r="D965" s="2" t="s">
        <v>9522</v>
      </c>
      <c r="E965" s="2" t="s">
        <v>9523</v>
      </c>
      <c r="G965" s="3" t="s">
        <v>63</v>
      </c>
      <c r="I965" s="3" t="s">
        <v>63</v>
      </c>
      <c r="J965" s="3" t="s">
        <v>63</v>
      </c>
      <c r="K965" s="3" t="s">
        <v>64</v>
      </c>
      <c r="M965" s="2" t="s">
        <v>9524</v>
      </c>
      <c r="N965" s="3" t="s">
        <v>427</v>
      </c>
      <c r="P965" s="3" t="s">
        <v>66</v>
      </c>
      <c r="R965" s="3" t="s">
        <v>67</v>
      </c>
      <c r="S965" s="4">
        <v>73</v>
      </c>
      <c r="T965" s="4">
        <v>73</v>
      </c>
      <c r="U965" s="5" t="s">
        <v>5934</v>
      </c>
      <c r="V965" s="5" t="s">
        <v>5934</v>
      </c>
      <c r="W965" s="5" t="s">
        <v>69</v>
      </c>
      <c r="X965" s="5" t="s">
        <v>69</v>
      </c>
      <c r="Y965" s="4">
        <v>381</v>
      </c>
      <c r="Z965" s="4">
        <v>23</v>
      </c>
      <c r="AA965" s="4">
        <v>23</v>
      </c>
      <c r="AB965" s="4">
        <v>1</v>
      </c>
      <c r="AC965" s="4">
        <v>1</v>
      </c>
      <c r="AD965" s="4">
        <v>114</v>
      </c>
      <c r="AE965" s="4">
        <v>114</v>
      </c>
      <c r="AF965" s="4">
        <v>0</v>
      </c>
      <c r="AG965" s="4">
        <v>0</v>
      </c>
      <c r="AH965" s="4">
        <v>104</v>
      </c>
      <c r="AI965" s="4">
        <v>104</v>
      </c>
      <c r="AJ965" s="4">
        <v>17</v>
      </c>
      <c r="AK965" s="4">
        <v>17</v>
      </c>
      <c r="AL965" s="4">
        <v>56</v>
      </c>
      <c r="AM965" s="4">
        <v>56</v>
      </c>
      <c r="AN965" s="4">
        <v>0</v>
      </c>
      <c r="AO965" s="4">
        <v>0</v>
      </c>
      <c r="AP965" s="4">
        <v>18</v>
      </c>
      <c r="AQ965" s="4">
        <v>18</v>
      </c>
      <c r="AR965" s="3" t="s">
        <v>63</v>
      </c>
      <c r="AS965" s="3" t="s">
        <v>63</v>
      </c>
      <c r="AT965" s="3" t="s">
        <v>62</v>
      </c>
      <c r="AU965" s="6" t="str">
        <f>HYPERLINK("http://catalog.hathitrust.org/Record/001097983","HathiTrust Record")</f>
        <v>HathiTrust Record</v>
      </c>
      <c r="AV965" s="6" t="str">
        <f>HYPERLINK("http://mcgill.on.worldcat.org/oclc/18015321","Catalog Record")</f>
        <v>Catalog Record</v>
      </c>
      <c r="AW965" s="6" t="str">
        <f>HYPERLINK("http://www.worldcat.org/oclc/18015321","WorldCat Record")</f>
        <v>WorldCat Record</v>
      </c>
      <c r="AX965" s="3" t="s">
        <v>9525</v>
      </c>
      <c r="AY965" s="3" t="s">
        <v>9526</v>
      </c>
      <c r="AZ965" s="3" t="s">
        <v>9527</v>
      </c>
      <c r="BA965" s="3" t="s">
        <v>9527</v>
      </c>
      <c r="BB965" s="3" t="s">
        <v>9528</v>
      </c>
      <c r="BC965" s="3" t="s">
        <v>82</v>
      </c>
      <c r="BD965" s="3" t="s">
        <v>70</v>
      </c>
      <c r="BE965" s="3" t="s">
        <v>9529</v>
      </c>
      <c r="BF965" s="3" t="s">
        <v>9528</v>
      </c>
      <c r="BG965" s="3" t="s">
        <v>9530</v>
      </c>
    </row>
    <row r="966" spans="1:59" ht="60" x14ac:dyDescent="0.25">
      <c r="A966" s="2" t="s">
        <v>59</v>
      </c>
      <c r="B966" s="2" t="s">
        <v>60</v>
      </c>
      <c r="C966" s="2" t="s">
        <v>9531</v>
      </c>
      <c r="D966" s="2" t="s">
        <v>9532</v>
      </c>
      <c r="E966" s="2" t="s">
        <v>9533</v>
      </c>
      <c r="G966" s="3" t="s">
        <v>63</v>
      </c>
      <c r="I966" s="3" t="s">
        <v>62</v>
      </c>
      <c r="J966" s="3" t="s">
        <v>63</v>
      </c>
      <c r="K966" s="3" t="s">
        <v>64</v>
      </c>
      <c r="M966" s="2" t="s">
        <v>9534</v>
      </c>
      <c r="N966" s="3" t="s">
        <v>939</v>
      </c>
      <c r="O966" s="2" t="s">
        <v>9535</v>
      </c>
      <c r="P966" s="3" t="s">
        <v>66</v>
      </c>
      <c r="R966" s="3" t="s">
        <v>67</v>
      </c>
      <c r="S966" s="4">
        <v>11</v>
      </c>
      <c r="T966" s="4">
        <v>35</v>
      </c>
      <c r="U966" s="5" t="s">
        <v>4588</v>
      </c>
      <c r="V966" s="5" t="s">
        <v>4588</v>
      </c>
      <c r="W966" s="5" t="s">
        <v>69</v>
      </c>
      <c r="X966" s="5" t="s">
        <v>69</v>
      </c>
      <c r="Y966" s="4">
        <v>115</v>
      </c>
      <c r="Z966" s="4">
        <v>7</v>
      </c>
      <c r="AA966" s="4">
        <v>24</v>
      </c>
      <c r="AB966" s="4">
        <v>2</v>
      </c>
      <c r="AC966" s="4">
        <v>3</v>
      </c>
      <c r="AD966" s="4">
        <v>31</v>
      </c>
      <c r="AE966" s="4">
        <v>104</v>
      </c>
      <c r="AF966" s="4">
        <v>1</v>
      </c>
      <c r="AG966" s="4">
        <v>1</v>
      </c>
      <c r="AH966" s="4">
        <v>29</v>
      </c>
      <c r="AI966" s="4">
        <v>94</v>
      </c>
      <c r="AJ966" s="4">
        <v>4</v>
      </c>
      <c r="AK966" s="4">
        <v>14</v>
      </c>
      <c r="AL966" s="4">
        <v>18</v>
      </c>
      <c r="AM966" s="4">
        <v>56</v>
      </c>
      <c r="AN966" s="4">
        <v>0</v>
      </c>
      <c r="AO966" s="4">
        <v>0</v>
      </c>
      <c r="AP966" s="4">
        <v>4</v>
      </c>
      <c r="AQ966" s="4">
        <v>14</v>
      </c>
      <c r="AR966" s="3" t="s">
        <v>63</v>
      </c>
      <c r="AS966" s="3" t="s">
        <v>63</v>
      </c>
      <c r="AT966" s="3" t="s">
        <v>63</v>
      </c>
      <c r="AV966" s="6" t="str">
        <f>HYPERLINK("http://mcgill.on.worldcat.org/oclc/2185223","Catalog Record")</f>
        <v>Catalog Record</v>
      </c>
      <c r="AW966" s="6" t="str">
        <f>HYPERLINK("http://www.worldcat.org/oclc/2185223","WorldCat Record")</f>
        <v>WorldCat Record</v>
      </c>
      <c r="AX966" s="3" t="s">
        <v>9536</v>
      </c>
      <c r="AY966" s="3" t="s">
        <v>9537</v>
      </c>
      <c r="AZ966" s="3" t="s">
        <v>9538</v>
      </c>
      <c r="BA966" s="3" t="s">
        <v>9538</v>
      </c>
      <c r="BB966" s="3" t="s">
        <v>9539</v>
      </c>
      <c r="BC966" s="3" t="s">
        <v>82</v>
      </c>
      <c r="BD966" s="3" t="s">
        <v>70</v>
      </c>
      <c r="BF966" s="3" t="s">
        <v>9539</v>
      </c>
      <c r="BG966" s="3" t="s">
        <v>9540</v>
      </c>
    </row>
    <row r="967" spans="1:59" ht="60" x14ac:dyDescent="0.25">
      <c r="A967" s="2" t="s">
        <v>59</v>
      </c>
      <c r="B967" s="2" t="s">
        <v>60</v>
      </c>
      <c r="C967" s="2" t="s">
        <v>9531</v>
      </c>
      <c r="D967" s="2" t="s">
        <v>9532</v>
      </c>
      <c r="E967" s="2" t="s">
        <v>9533</v>
      </c>
      <c r="G967" s="3" t="s">
        <v>63</v>
      </c>
      <c r="I967" s="3" t="s">
        <v>62</v>
      </c>
      <c r="J967" s="3" t="s">
        <v>63</v>
      </c>
      <c r="K967" s="3" t="s">
        <v>64</v>
      </c>
      <c r="M967" s="2" t="s">
        <v>9534</v>
      </c>
      <c r="N967" s="3" t="s">
        <v>939</v>
      </c>
      <c r="O967" s="2" t="s">
        <v>9535</v>
      </c>
      <c r="P967" s="3" t="s">
        <v>66</v>
      </c>
      <c r="R967" s="3" t="s">
        <v>67</v>
      </c>
      <c r="S967" s="4">
        <v>24</v>
      </c>
      <c r="T967" s="4">
        <v>35</v>
      </c>
      <c r="U967" s="5" t="s">
        <v>9541</v>
      </c>
      <c r="V967" s="5" t="s">
        <v>4588</v>
      </c>
      <c r="W967" s="5" t="s">
        <v>69</v>
      </c>
      <c r="X967" s="5" t="s">
        <v>69</v>
      </c>
      <c r="Y967" s="4">
        <v>115</v>
      </c>
      <c r="Z967" s="4">
        <v>7</v>
      </c>
      <c r="AA967" s="4">
        <v>24</v>
      </c>
      <c r="AB967" s="4">
        <v>2</v>
      </c>
      <c r="AC967" s="4">
        <v>3</v>
      </c>
      <c r="AD967" s="4">
        <v>31</v>
      </c>
      <c r="AE967" s="4">
        <v>104</v>
      </c>
      <c r="AF967" s="4">
        <v>1</v>
      </c>
      <c r="AG967" s="4">
        <v>1</v>
      </c>
      <c r="AH967" s="4">
        <v>29</v>
      </c>
      <c r="AI967" s="4">
        <v>94</v>
      </c>
      <c r="AJ967" s="4">
        <v>4</v>
      </c>
      <c r="AK967" s="4">
        <v>14</v>
      </c>
      <c r="AL967" s="4">
        <v>18</v>
      </c>
      <c r="AM967" s="4">
        <v>56</v>
      </c>
      <c r="AN967" s="4">
        <v>0</v>
      </c>
      <c r="AO967" s="4">
        <v>0</v>
      </c>
      <c r="AP967" s="4">
        <v>4</v>
      </c>
      <c r="AQ967" s="4">
        <v>14</v>
      </c>
      <c r="AR967" s="3" t="s">
        <v>63</v>
      </c>
      <c r="AS967" s="3" t="s">
        <v>63</v>
      </c>
      <c r="AT967" s="3" t="s">
        <v>63</v>
      </c>
      <c r="AV967" s="6" t="str">
        <f>HYPERLINK("http://mcgill.on.worldcat.org/oclc/2185223","Catalog Record")</f>
        <v>Catalog Record</v>
      </c>
      <c r="AW967" s="6" t="str">
        <f>HYPERLINK("http://www.worldcat.org/oclc/2185223","WorldCat Record")</f>
        <v>WorldCat Record</v>
      </c>
      <c r="AX967" s="3" t="s">
        <v>9536</v>
      </c>
      <c r="AY967" s="3" t="s">
        <v>9537</v>
      </c>
      <c r="AZ967" s="3" t="s">
        <v>9538</v>
      </c>
      <c r="BA967" s="3" t="s">
        <v>9538</v>
      </c>
      <c r="BB967" s="3" t="s">
        <v>9542</v>
      </c>
      <c r="BC967" s="3" t="s">
        <v>82</v>
      </c>
      <c r="BD967" s="3" t="s">
        <v>70</v>
      </c>
      <c r="BF967" s="3" t="s">
        <v>9542</v>
      </c>
      <c r="BG967" s="3" t="s">
        <v>9543</v>
      </c>
    </row>
    <row r="968" spans="1:59" ht="75" x14ac:dyDescent="0.25">
      <c r="A968" s="2" t="s">
        <v>59</v>
      </c>
      <c r="B968" s="2" t="s">
        <v>60</v>
      </c>
      <c r="C968" s="2" t="s">
        <v>9544</v>
      </c>
      <c r="D968" s="2" t="s">
        <v>9545</v>
      </c>
      <c r="E968" s="2" t="s">
        <v>9546</v>
      </c>
      <c r="G968" s="3" t="s">
        <v>63</v>
      </c>
      <c r="I968" s="3" t="s">
        <v>63</v>
      </c>
      <c r="J968" s="3" t="s">
        <v>63</v>
      </c>
      <c r="K968" s="3" t="s">
        <v>64</v>
      </c>
      <c r="M968" s="2" t="s">
        <v>9547</v>
      </c>
      <c r="N968" s="3" t="s">
        <v>374</v>
      </c>
      <c r="P968" s="3" t="s">
        <v>66</v>
      </c>
      <c r="R968" s="3" t="s">
        <v>67</v>
      </c>
      <c r="S968" s="4">
        <v>19</v>
      </c>
      <c r="T968" s="4">
        <v>19</v>
      </c>
      <c r="U968" s="5" t="s">
        <v>6410</v>
      </c>
      <c r="V968" s="5" t="s">
        <v>6410</v>
      </c>
      <c r="W968" s="5" t="s">
        <v>69</v>
      </c>
      <c r="X968" s="5" t="s">
        <v>69</v>
      </c>
      <c r="Y968" s="4">
        <v>232</v>
      </c>
      <c r="Z968" s="4">
        <v>16</v>
      </c>
      <c r="AA968" s="4">
        <v>16</v>
      </c>
      <c r="AB968" s="4">
        <v>1</v>
      </c>
      <c r="AC968" s="4">
        <v>1</v>
      </c>
      <c r="AD968" s="4">
        <v>76</v>
      </c>
      <c r="AE968" s="4">
        <v>76</v>
      </c>
      <c r="AF968" s="4">
        <v>0</v>
      </c>
      <c r="AG968" s="4">
        <v>0</v>
      </c>
      <c r="AH968" s="4">
        <v>72</v>
      </c>
      <c r="AI968" s="4">
        <v>72</v>
      </c>
      <c r="AJ968" s="4">
        <v>11</v>
      </c>
      <c r="AK968" s="4">
        <v>11</v>
      </c>
      <c r="AL968" s="4">
        <v>43</v>
      </c>
      <c r="AM968" s="4">
        <v>43</v>
      </c>
      <c r="AN968" s="4">
        <v>0</v>
      </c>
      <c r="AO968" s="4">
        <v>0</v>
      </c>
      <c r="AP968" s="4">
        <v>12</v>
      </c>
      <c r="AQ968" s="4">
        <v>12</v>
      </c>
      <c r="AR968" s="3" t="s">
        <v>63</v>
      </c>
      <c r="AS968" s="3" t="s">
        <v>63</v>
      </c>
      <c r="AT968" s="3" t="s">
        <v>63</v>
      </c>
      <c r="AV968" s="6" t="str">
        <f>HYPERLINK("http://mcgill.on.worldcat.org/oclc/34887367","Catalog Record")</f>
        <v>Catalog Record</v>
      </c>
      <c r="AW968" s="6" t="str">
        <f>HYPERLINK("http://www.worldcat.org/oclc/34887367","WorldCat Record")</f>
        <v>WorldCat Record</v>
      </c>
      <c r="AX968" s="3" t="s">
        <v>9548</v>
      </c>
      <c r="AY968" s="3" t="s">
        <v>9549</v>
      </c>
      <c r="AZ968" s="3" t="s">
        <v>9550</v>
      </c>
      <c r="BA968" s="3" t="s">
        <v>9550</v>
      </c>
      <c r="BB968" s="3" t="s">
        <v>9551</v>
      </c>
      <c r="BC968" s="3" t="s">
        <v>82</v>
      </c>
      <c r="BD968" s="3" t="s">
        <v>70</v>
      </c>
      <c r="BE968" s="3" t="s">
        <v>9552</v>
      </c>
      <c r="BF968" s="3" t="s">
        <v>9551</v>
      </c>
      <c r="BG968" s="3" t="s">
        <v>9553</v>
      </c>
    </row>
    <row r="969" spans="1:59" ht="90" x14ac:dyDescent="0.25">
      <c r="A969" s="2" t="s">
        <v>59</v>
      </c>
      <c r="B969" s="2" t="s">
        <v>60</v>
      </c>
      <c r="C969" s="2" t="s">
        <v>9554</v>
      </c>
      <c r="D969" s="2" t="s">
        <v>9555</v>
      </c>
      <c r="E969" s="2" t="s">
        <v>9556</v>
      </c>
      <c r="G969" s="3" t="s">
        <v>63</v>
      </c>
      <c r="I969" s="3" t="s">
        <v>63</v>
      </c>
      <c r="J969" s="3" t="s">
        <v>63</v>
      </c>
      <c r="K969" s="3" t="s">
        <v>64</v>
      </c>
      <c r="M969" s="2" t="s">
        <v>9557</v>
      </c>
      <c r="N969" s="3" t="s">
        <v>1557</v>
      </c>
      <c r="P969" s="3" t="s">
        <v>90</v>
      </c>
      <c r="Q969" s="2" t="s">
        <v>9558</v>
      </c>
      <c r="R969" s="3" t="s">
        <v>67</v>
      </c>
      <c r="S969" s="4">
        <v>3</v>
      </c>
      <c r="T969" s="4">
        <v>3</v>
      </c>
      <c r="U969" s="5" t="s">
        <v>4911</v>
      </c>
      <c r="V969" s="5" t="s">
        <v>4911</v>
      </c>
      <c r="W969" s="5" t="s">
        <v>69</v>
      </c>
      <c r="X969" s="5" t="s">
        <v>69</v>
      </c>
      <c r="Y969" s="4">
        <v>21</v>
      </c>
      <c r="Z969" s="4">
        <v>2</v>
      </c>
      <c r="AA969" s="4">
        <v>2</v>
      </c>
      <c r="AB969" s="4">
        <v>1</v>
      </c>
      <c r="AC969" s="4">
        <v>1</v>
      </c>
      <c r="AD969" s="4">
        <v>12</v>
      </c>
      <c r="AE969" s="4">
        <v>12</v>
      </c>
      <c r="AF969" s="4">
        <v>0</v>
      </c>
      <c r="AG969" s="4">
        <v>0</v>
      </c>
      <c r="AH969" s="4">
        <v>11</v>
      </c>
      <c r="AI969" s="4">
        <v>11</v>
      </c>
      <c r="AJ969" s="4">
        <v>0</v>
      </c>
      <c r="AK969" s="4">
        <v>0</v>
      </c>
      <c r="AL969" s="4">
        <v>12</v>
      </c>
      <c r="AM969" s="4">
        <v>12</v>
      </c>
      <c r="AN969" s="4">
        <v>0</v>
      </c>
      <c r="AO969" s="4">
        <v>0</v>
      </c>
      <c r="AP969" s="4">
        <v>0</v>
      </c>
      <c r="AQ969" s="4">
        <v>0</v>
      </c>
      <c r="AR969" s="3" t="s">
        <v>63</v>
      </c>
      <c r="AS969" s="3" t="s">
        <v>63</v>
      </c>
      <c r="AT969" s="3" t="s">
        <v>63</v>
      </c>
      <c r="AV969" s="6" t="str">
        <f>HYPERLINK("http://mcgill.on.worldcat.org/oclc/987576521","Catalog Record")</f>
        <v>Catalog Record</v>
      </c>
      <c r="AW969" s="6" t="str">
        <f>HYPERLINK("http://www.worldcat.org/oclc/987576521","WorldCat Record")</f>
        <v>WorldCat Record</v>
      </c>
      <c r="AX969" s="3" t="s">
        <v>9559</v>
      </c>
      <c r="AY969" s="3" t="s">
        <v>9560</v>
      </c>
      <c r="AZ969" s="3" t="s">
        <v>9561</v>
      </c>
      <c r="BA969" s="3" t="s">
        <v>9561</v>
      </c>
      <c r="BB969" s="3" t="s">
        <v>9562</v>
      </c>
      <c r="BC969" s="3" t="s">
        <v>82</v>
      </c>
      <c r="BD969" s="3" t="s">
        <v>70</v>
      </c>
      <c r="BE969" s="3" t="s">
        <v>9563</v>
      </c>
      <c r="BF969" s="3" t="s">
        <v>9562</v>
      </c>
      <c r="BG969" s="3" t="s">
        <v>9564</v>
      </c>
    </row>
    <row r="970" spans="1:59" ht="75" x14ac:dyDescent="0.25">
      <c r="A970" s="2" t="s">
        <v>59</v>
      </c>
      <c r="B970" s="2" t="s">
        <v>60</v>
      </c>
      <c r="C970" s="2" t="s">
        <v>9565</v>
      </c>
      <c r="D970" s="2" t="s">
        <v>9566</v>
      </c>
      <c r="E970" s="2" t="s">
        <v>9567</v>
      </c>
      <c r="G970" s="3" t="s">
        <v>63</v>
      </c>
      <c r="I970" s="3" t="s">
        <v>63</v>
      </c>
      <c r="J970" s="3" t="s">
        <v>63</v>
      </c>
      <c r="K970" s="3" t="s">
        <v>64</v>
      </c>
      <c r="M970" s="2" t="s">
        <v>9568</v>
      </c>
      <c r="P970" s="3" t="s">
        <v>90</v>
      </c>
      <c r="R970" s="3" t="s">
        <v>67</v>
      </c>
      <c r="S970" s="4">
        <v>5</v>
      </c>
      <c r="T970" s="4">
        <v>5</v>
      </c>
      <c r="U970" s="5" t="s">
        <v>4588</v>
      </c>
      <c r="V970" s="5" t="s">
        <v>4588</v>
      </c>
      <c r="W970" s="5" t="s">
        <v>69</v>
      </c>
      <c r="X970" s="5" t="s">
        <v>69</v>
      </c>
      <c r="Y970" s="4">
        <v>18</v>
      </c>
      <c r="Z970" s="4">
        <v>1</v>
      </c>
      <c r="AA970" s="4">
        <v>1</v>
      </c>
      <c r="AB970" s="4">
        <v>1</v>
      </c>
      <c r="AC970" s="4">
        <v>1</v>
      </c>
      <c r="AD970" s="4">
        <v>6</v>
      </c>
      <c r="AE970" s="4">
        <v>8</v>
      </c>
      <c r="AF970" s="4">
        <v>0</v>
      </c>
      <c r="AG970" s="4">
        <v>0</v>
      </c>
      <c r="AH970" s="4">
        <v>6</v>
      </c>
      <c r="AI970" s="4">
        <v>8</v>
      </c>
      <c r="AJ970" s="4">
        <v>0</v>
      </c>
      <c r="AK970" s="4">
        <v>0</v>
      </c>
      <c r="AL970" s="4">
        <v>4</v>
      </c>
      <c r="AM970" s="4">
        <v>6</v>
      </c>
      <c r="AN970" s="4">
        <v>0</v>
      </c>
      <c r="AO970" s="4">
        <v>0</v>
      </c>
      <c r="AP970" s="4">
        <v>0</v>
      </c>
      <c r="AQ970" s="4">
        <v>0</v>
      </c>
      <c r="AR970" s="3" t="s">
        <v>63</v>
      </c>
      <c r="AS970" s="3" t="s">
        <v>63</v>
      </c>
      <c r="AT970" s="3" t="s">
        <v>62</v>
      </c>
      <c r="AU970" s="6" t="str">
        <f>HYPERLINK("http://catalog.hathitrust.org/Record/007124153","HathiTrust Record")</f>
        <v>HathiTrust Record</v>
      </c>
      <c r="AV970" s="6" t="str">
        <f>HYPERLINK("http://mcgill.on.worldcat.org/oclc/22158006","Catalog Record")</f>
        <v>Catalog Record</v>
      </c>
      <c r="AW970" s="6" t="str">
        <f>HYPERLINK("http://www.worldcat.org/oclc/22158006","WorldCat Record")</f>
        <v>WorldCat Record</v>
      </c>
      <c r="AX970" s="3" t="s">
        <v>9569</v>
      </c>
      <c r="AY970" s="3" t="s">
        <v>9570</v>
      </c>
      <c r="AZ970" s="3" t="s">
        <v>9571</v>
      </c>
      <c r="BA970" s="3" t="s">
        <v>9571</v>
      </c>
      <c r="BB970" s="3" t="s">
        <v>9572</v>
      </c>
      <c r="BC970" s="3" t="s">
        <v>82</v>
      </c>
      <c r="BD970" s="3" t="s">
        <v>70</v>
      </c>
      <c r="BF970" s="3" t="s">
        <v>9572</v>
      </c>
      <c r="BG970" s="3" t="s">
        <v>9573</v>
      </c>
    </row>
    <row r="971" spans="1:59" ht="60" x14ac:dyDescent="0.25">
      <c r="A971" s="2" t="s">
        <v>59</v>
      </c>
      <c r="B971" s="2" t="s">
        <v>60</v>
      </c>
      <c r="C971" s="2" t="s">
        <v>9574</v>
      </c>
      <c r="D971" s="2" t="s">
        <v>9575</v>
      </c>
      <c r="E971" s="2" t="s">
        <v>9576</v>
      </c>
      <c r="G971" s="3" t="s">
        <v>63</v>
      </c>
      <c r="I971" s="3" t="s">
        <v>63</v>
      </c>
      <c r="J971" s="3" t="s">
        <v>63</v>
      </c>
      <c r="K971" s="3" t="s">
        <v>64</v>
      </c>
      <c r="L971" s="2" t="s">
        <v>9577</v>
      </c>
      <c r="M971" s="2" t="s">
        <v>9578</v>
      </c>
      <c r="N971" s="3" t="s">
        <v>143</v>
      </c>
      <c r="P971" s="3" t="s">
        <v>90</v>
      </c>
      <c r="R971" s="3" t="s">
        <v>67</v>
      </c>
      <c r="S971" s="4">
        <v>0</v>
      </c>
      <c r="T971" s="4">
        <v>0</v>
      </c>
      <c r="W971" s="5" t="s">
        <v>69</v>
      </c>
      <c r="X971" s="5" t="s">
        <v>69</v>
      </c>
      <c r="Y971" s="4">
        <v>14</v>
      </c>
      <c r="Z971" s="4">
        <v>3</v>
      </c>
      <c r="AA971" s="4">
        <v>3</v>
      </c>
      <c r="AB971" s="4">
        <v>1</v>
      </c>
      <c r="AC971" s="4">
        <v>1</v>
      </c>
      <c r="AD971" s="4">
        <v>10</v>
      </c>
      <c r="AE971" s="4">
        <v>10</v>
      </c>
      <c r="AF971" s="4">
        <v>0</v>
      </c>
      <c r="AG971" s="4">
        <v>0</v>
      </c>
      <c r="AH971" s="4">
        <v>9</v>
      </c>
      <c r="AI971" s="4">
        <v>9</v>
      </c>
      <c r="AJ971" s="4">
        <v>1</v>
      </c>
      <c r="AK971" s="4">
        <v>1</v>
      </c>
      <c r="AL971" s="4">
        <v>8</v>
      </c>
      <c r="AM971" s="4">
        <v>8</v>
      </c>
      <c r="AN971" s="4">
        <v>0</v>
      </c>
      <c r="AO971" s="4">
        <v>0</v>
      </c>
      <c r="AP971" s="4">
        <v>1</v>
      </c>
      <c r="AQ971" s="4">
        <v>1</v>
      </c>
      <c r="AR971" s="3" t="s">
        <v>63</v>
      </c>
      <c r="AS971" s="3" t="s">
        <v>63</v>
      </c>
      <c r="AT971" s="3" t="s">
        <v>63</v>
      </c>
      <c r="AV971" s="6" t="str">
        <f>HYPERLINK("http://mcgill.on.worldcat.org/oclc/902634921","Catalog Record")</f>
        <v>Catalog Record</v>
      </c>
      <c r="AW971" s="6" t="str">
        <f>HYPERLINK("http://www.worldcat.org/oclc/902634921","WorldCat Record")</f>
        <v>WorldCat Record</v>
      </c>
      <c r="AX971" s="3" t="s">
        <v>9579</v>
      </c>
      <c r="AY971" s="3" t="s">
        <v>9580</v>
      </c>
      <c r="AZ971" s="3" t="s">
        <v>9581</v>
      </c>
      <c r="BA971" s="3" t="s">
        <v>9581</v>
      </c>
      <c r="BB971" s="3" t="s">
        <v>9582</v>
      </c>
      <c r="BC971" s="3" t="s">
        <v>82</v>
      </c>
      <c r="BD971" s="3" t="s">
        <v>70</v>
      </c>
      <c r="BE971" s="3" t="s">
        <v>9583</v>
      </c>
      <c r="BF971" s="3" t="s">
        <v>9582</v>
      </c>
      <c r="BG971" s="3" t="s">
        <v>9584</v>
      </c>
    </row>
    <row r="972" spans="1:59" ht="60" x14ac:dyDescent="0.25">
      <c r="A972" s="2" t="s">
        <v>59</v>
      </c>
      <c r="B972" s="2" t="s">
        <v>60</v>
      </c>
      <c r="C972" s="2" t="s">
        <v>9585</v>
      </c>
      <c r="D972" s="2" t="s">
        <v>9586</v>
      </c>
      <c r="E972" s="2" t="s">
        <v>9587</v>
      </c>
      <c r="G972" s="3" t="s">
        <v>63</v>
      </c>
      <c r="I972" s="3" t="s">
        <v>63</v>
      </c>
      <c r="J972" s="3" t="s">
        <v>63</v>
      </c>
      <c r="K972" s="3" t="s">
        <v>64</v>
      </c>
      <c r="M972" s="2" t="s">
        <v>9588</v>
      </c>
      <c r="N972" s="3" t="s">
        <v>668</v>
      </c>
      <c r="P972" s="3" t="s">
        <v>66</v>
      </c>
      <c r="Q972" s="2" t="s">
        <v>9589</v>
      </c>
      <c r="R972" s="3" t="s">
        <v>67</v>
      </c>
      <c r="S972" s="4">
        <v>27</v>
      </c>
      <c r="T972" s="4">
        <v>27</v>
      </c>
      <c r="U972" s="5" t="s">
        <v>9590</v>
      </c>
      <c r="V972" s="5" t="s">
        <v>9590</v>
      </c>
      <c r="W972" s="5" t="s">
        <v>69</v>
      </c>
      <c r="X972" s="5" t="s">
        <v>69</v>
      </c>
      <c r="Y972" s="4">
        <v>690</v>
      </c>
      <c r="Z972" s="4">
        <v>33</v>
      </c>
      <c r="AA972" s="4">
        <v>37</v>
      </c>
      <c r="AB972" s="4">
        <v>2</v>
      </c>
      <c r="AC972" s="4">
        <v>4</v>
      </c>
      <c r="AD972" s="4">
        <v>117</v>
      </c>
      <c r="AE972" s="4">
        <v>121</v>
      </c>
      <c r="AF972" s="4">
        <v>0</v>
      </c>
      <c r="AG972" s="4">
        <v>2</v>
      </c>
      <c r="AH972" s="4">
        <v>105</v>
      </c>
      <c r="AI972" s="4">
        <v>107</v>
      </c>
      <c r="AJ972" s="4">
        <v>17</v>
      </c>
      <c r="AK972" s="4">
        <v>20</v>
      </c>
      <c r="AL972" s="4">
        <v>55</v>
      </c>
      <c r="AM972" s="4">
        <v>56</v>
      </c>
      <c r="AN972" s="4">
        <v>0</v>
      </c>
      <c r="AO972" s="4">
        <v>0</v>
      </c>
      <c r="AP972" s="4">
        <v>21</v>
      </c>
      <c r="AQ972" s="4">
        <v>23</v>
      </c>
      <c r="AR972" s="3" t="s">
        <v>63</v>
      </c>
      <c r="AS972" s="3" t="s">
        <v>63</v>
      </c>
      <c r="AT972" s="3" t="s">
        <v>62</v>
      </c>
      <c r="AU972" s="6" t="str">
        <f>HYPERLINK("http://catalog.hathitrust.org/Record/002170640","HathiTrust Record")</f>
        <v>HathiTrust Record</v>
      </c>
      <c r="AV972" s="6" t="str">
        <f>HYPERLINK("http://mcgill.on.worldcat.org/oclc/20799056","Catalog Record")</f>
        <v>Catalog Record</v>
      </c>
      <c r="AW972" s="6" t="str">
        <f>HYPERLINK("http://www.worldcat.org/oclc/20799056","WorldCat Record")</f>
        <v>WorldCat Record</v>
      </c>
      <c r="AX972" s="3" t="s">
        <v>9591</v>
      </c>
      <c r="AY972" s="3" t="s">
        <v>9592</v>
      </c>
      <c r="AZ972" s="3" t="s">
        <v>9593</v>
      </c>
      <c r="BA972" s="3" t="s">
        <v>9593</v>
      </c>
      <c r="BB972" s="3" t="s">
        <v>9594</v>
      </c>
      <c r="BC972" s="3" t="s">
        <v>82</v>
      </c>
      <c r="BD972" s="3" t="s">
        <v>70</v>
      </c>
      <c r="BE972" s="3" t="s">
        <v>9595</v>
      </c>
      <c r="BF972" s="3" t="s">
        <v>9594</v>
      </c>
      <c r="BG972" s="3" t="s">
        <v>9596</v>
      </c>
    </row>
    <row r="973" spans="1:59" ht="75" x14ac:dyDescent="0.25">
      <c r="A973" s="2" t="s">
        <v>59</v>
      </c>
      <c r="B973" s="2" t="s">
        <v>60</v>
      </c>
      <c r="C973" s="2" t="s">
        <v>9597</v>
      </c>
      <c r="D973" s="2" t="s">
        <v>9598</v>
      </c>
      <c r="E973" s="2" t="s">
        <v>9599</v>
      </c>
      <c r="G973" s="3" t="s">
        <v>63</v>
      </c>
      <c r="I973" s="3" t="s">
        <v>63</v>
      </c>
      <c r="J973" s="3" t="s">
        <v>63</v>
      </c>
      <c r="K973" s="3" t="s">
        <v>64</v>
      </c>
      <c r="M973" s="2" t="s">
        <v>9600</v>
      </c>
      <c r="N973" s="3" t="s">
        <v>1296</v>
      </c>
      <c r="P973" s="3" t="s">
        <v>66</v>
      </c>
      <c r="R973" s="3" t="s">
        <v>67</v>
      </c>
      <c r="S973" s="4">
        <v>10</v>
      </c>
      <c r="T973" s="4">
        <v>10</v>
      </c>
      <c r="U973" s="5" t="s">
        <v>9601</v>
      </c>
      <c r="V973" s="5" t="s">
        <v>9601</v>
      </c>
      <c r="W973" s="5" t="s">
        <v>69</v>
      </c>
      <c r="X973" s="5" t="s">
        <v>69</v>
      </c>
      <c r="Y973" s="4">
        <v>494</v>
      </c>
      <c r="Z973" s="4">
        <v>19</v>
      </c>
      <c r="AA973" s="4">
        <v>21</v>
      </c>
      <c r="AB973" s="4">
        <v>2</v>
      </c>
      <c r="AC973" s="4">
        <v>2</v>
      </c>
      <c r="AD973" s="4">
        <v>91</v>
      </c>
      <c r="AE973" s="4">
        <v>93</v>
      </c>
      <c r="AF973" s="4">
        <v>0</v>
      </c>
      <c r="AG973" s="4">
        <v>0</v>
      </c>
      <c r="AH973" s="4">
        <v>80</v>
      </c>
      <c r="AI973" s="4">
        <v>81</v>
      </c>
      <c r="AJ973" s="4">
        <v>12</v>
      </c>
      <c r="AK973" s="4">
        <v>13</v>
      </c>
      <c r="AL973" s="4">
        <v>45</v>
      </c>
      <c r="AM973" s="4">
        <v>45</v>
      </c>
      <c r="AN973" s="4">
        <v>0</v>
      </c>
      <c r="AO973" s="4">
        <v>0</v>
      </c>
      <c r="AP973" s="4">
        <v>14</v>
      </c>
      <c r="AQ973" s="4">
        <v>16</v>
      </c>
      <c r="AR973" s="3" t="s">
        <v>63</v>
      </c>
      <c r="AS973" s="3" t="s">
        <v>63</v>
      </c>
      <c r="AT973" s="3" t="s">
        <v>62</v>
      </c>
      <c r="AU973" s="6" t="str">
        <f>HYPERLINK("http://catalog.hathitrust.org/Record/001059387","HathiTrust Record")</f>
        <v>HathiTrust Record</v>
      </c>
      <c r="AV973" s="6" t="str">
        <f>HYPERLINK("http://mcgill.on.worldcat.org/oclc/54737","Catalog Record")</f>
        <v>Catalog Record</v>
      </c>
      <c r="AW973" s="6" t="str">
        <f>HYPERLINK("http://www.worldcat.org/oclc/54737","WorldCat Record")</f>
        <v>WorldCat Record</v>
      </c>
      <c r="AX973" s="3" t="s">
        <v>9602</v>
      </c>
      <c r="AY973" s="3" t="s">
        <v>9603</v>
      </c>
      <c r="AZ973" s="3" t="s">
        <v>9604</v>
      </c>
      <c r="BA973" s="3" t="s">
        <v>9604</v>
      </c>
      <c r="BB973" s="3" t="s">
        <v>9605</v>
      </c>
      <c r="BC973" s="3" t="s">
        <v>82</v>
      </c>
      <c r="BD973" s="3" t="s">
        <v>70</v>
      </c>
      <c r="BF973" s="3" t="s">
        <v>9605</v>
      </c>
      <c r="BG973" s="3" t="s">
        <v>9606</v>
      </c>
    </row>
    <row r="974" spans="1:59" ht="60" x14ac:dyDescent="0.25">
      <c r="A974" s="2" t="s">
        <v>59</v>
      </c>
      <c r="B974" s="2" t="s">
        <v>60</v>
      </c>
      <c r="C974" s="2" t="s">
        <v>9607</v>
      </c>
      <c r="D974" s="2" t="s">
        <v>9608</v>
      </c>
      <c r="E974" s="2" t="s">
        <v>9609</v>
      </c>
      <c r="G974" s="3" t="s">
        <v>63</v>
      </c>
      <c r="I974" s="3" t="s">
        <v>63</v>
      </c>
      <c r="J974" s="3" t="s">
        <v>63</v>
      </c>
      <c r="K974" s="3" t="s">
        <v>64</v>
      </c>
      <c r="M974" s="2" t="s">
        <v>9610</v>
      </c>
      <c r="N974" s="3" t="s">
        <v>1916</v>
      </c>
      <c r="P974" s="3" t="s">
        <v>66</v>
      </c>
      <c r="R974" s="3" t="s">
        <v>67</v>
      </c>
      <c r="S974" s="4">
        <v>8</v>
      </c>
      <c r="T974" s="4">
        <v>8</v>
      </c>
      <c r="U974" s="5" t="s">
        <v>9601</v>
      </c>
      <c r="V974" s="5" t="s">
        <v>9601</v>
      </c>
      <c r="W974" s="5" t="s">
        <v>69</v>
      </c>
      <c r="X974" s="5" t="s">
        <v>69</v>
      </c>
      <c r="Y974" s="4">
        <v>414</v>
      </c>
      <c r="Z974" s="4">
        <v>15</v>
      </c>
      <c r="AA974" s="4">
        <v>15</v>
      </c>
      <c r="AB974" s="4">
        <v>1</v>
      </c>
      <c r="AC974" s="4">
        <v>1</v>
      </c>
      <c r="AD974" s="4">
        <v>105</v>
      </c>
      <c r="AE974" s="4">
        <v>105</v>
      </c>
      <c r="AF974" s="4">
        <v>0</v>
      </c>
      <c r="AG974" s="4">
        <v>0</v>
      </c>
      <c r="AH974" s="4">
        <v>98</v>
      </c>
      <c r="AI974" s="4">
        <v>98</v>
      </c>
      <c r="AJ974" s="4">
        <v>12</v>
      </c>
      <c r="AK974" s="4">
        <v>12</v>
      </c>
      <c r="AL974" s="4">
        <v>54</v>
      </c>
      <c r="AM974" s="4">
        <v>54</v>
      </c>
      <c r="AN974" s="4">
        <v>0</v>
      </c>
      <c r="AO974" s="4">
        <v>0</v>
      </c>
      <c r="AP974" s="4">
        <v>12</v>
      </c>
      <c r="AQ974" s="4">
        <v>12</v>
      </c>
      <c r="AR974" s="3" t="s">
        <v>63</v>
      </c>
      <c r="AS974" s="3" t="s">
        <v>63</v>
      </c>
      <c r="AT974" s="3" t="s">
        <v>62</v>
      </c>
      <c r="AU974" s="6" t="str">
        <f>HYPERLINK("http://catalog.hathitrust.org/Record/000612586","HathiTrust Record")</f>
        <v>HathiTrust Record</v>
      </c>
      <c r="AV974" s="6" t="str">
        <f>HYPERLINK("http://mcgill.on.worldcat.org/oclc/11211675","Catalog Record")</f>
        <v>Catalog Record</v>
      </c>
      <c r="AW974" s="6" t="str">
        <f>HYPERLINK("http://www.worldcat.org/oclc/11211675","WorldCat Record")</f>
        <v>WorldCat Record</v>
      </c>
      <c r="AX974" s="3" t="s">
        <v>9611</v>
      </c>
      <c r="AY974" s="3" t="s">
        <v>9612</v>
      </c>
      <c r="AZ974" s="3" t="s">
        <v>9613</v>
      </c>
      <c r="BA974" s="3" t="s">
        <v>9613</v>
      </c>
      <c r="BB974" s="3" t="s">
        <v>9614</v>
      </c>
      <c r="BC974" s="3" t="s">
        <v>82</v>
      </c>
      <c r="BD974" s="3" t="s">
        <v>70</v>
      </c>
      <c r="BE974" s="3" t="s">
        <v>9615</v>
      </c>
      <c r="BF974" s="3" t="s">
        <v>9614</v>
      </c>
      <c r="BG974" s="3" t="s">
        <v>9616</v>
      </c>
    </row>
    <row r="975" spans="1:59" ht="90" x14ac:dyDescent="0.25">
      <c r="A975" s="2" t="s">
        <v>59</v>
      </c>
      <c r="B975" s="2" t="s">
        <v>60</v>
      </c>
      <c r="C975" s="2" t="s">
        <v>9617</v>
      </c>
      <c r="D975" s="2" t="s">
        <v>9618</v>
      </c>
      <c r="E975" s="2" t="s">
        <v>9619</v>
      </c>
      <c r="G975" s="3" t="s">
        <v>63</v>
      </c>
      <c r="I975" s="3" t="s">
        <v>63</v>
      </c>
      <c r="J975" s="3" t="s">
        <v>63</v>
      </c>
      <c r="K975" s="3" t="s">
        <v>64</v>
      </c>
      <c r="M975" s="2" t="s">
        <v>9620</v>
      </c>
      <c r="N975" s="3" t="s">
        <v>261</v>
      </c>
      <c r="P975" s="3" t="s">
        <v>66</v>
      </c>
      <c r="R975" s="3" t="s">
        <v>67</v>
      </c>
      <c r="S975" s="4">
        <v>1</v>
      </c>
      <c r="T975" s="4">
        <v>1</v>
      </c>
      <c r="U975" s="5" t="s">
        <v>9621</v>
      </c>
      <c r="V975" s="5" t="s">
        <v>9621</v>
      </c>
      <c r="W975" s="5" t="s">
        <v>69</v>
      </c>
      <c r="X975" s="5" t="s">
        <v>69</v>
      </c>
      <c r="Y975" s="4">
        <v>228</v>
      </c>
      <c r="Z975" s="4">
        <v>10</v>
      </c>
      <c r="AA975" s="4">
        <v>17</v>
      </c>
      <c r="AB975" s="4">
        <v>1</v>
      </c>
      <c r="AC975" s="4">
        <v>4</v>
      </c>
      <c r="AD975" s="4">
        <v>65</v>
      </c>
      <c r="AE975" s="4">
        <v>71</v>
      </c>
      <c r="AF975" s="4">
        <v>0</v>
      </c>
      <c r="AG975" s="4">
        <v>1</v>
      </c>
      <c r="AH975" s="4">
        <v>61</v>
      </c>
      <c r="AI975" s="4">
        <v>65</v>
      </c>
      <c r="AJ975" s="4">
        <v>6</v>
      </c>
      <c r="AK975" s="4">
        <v>9</v>
      </c>
      <c r="AL975" s="4">
        <v>42</v>
      </c>
      <c r="AM975" s="4">
        <v>42</v>
      </c>
      <c r="AN975" s="4">
        <v>0</v>
      </c>
      <c r="AO975" s="4">
        <v>0</v>
      </c>
      <c r="AP975" s="4">
        <v>6</v>
      </c>
      <c r="AQ975" s="4">
        <v>9</v>
      </c>
      <c r="AR975" s="3" t="s">
        <v>63</v>
      </c>
      <c r="AS975" s="3" t="s">
        <v>63</v>
      </c>
      <c r="AT975" s="3" t="s">
        <v>62</v>
      </c>
      <c r="AU975" s="6" t="str">
        <f>HYPERLINK("http://catalog.hathitrust.org/Record/007148758","HathiTrust Record")</f>
        <v>HathiTrust Record</v>
      </c>
      <c r="AV975" s="6" t="str">
        <f>HYPERLINK("http://mcgill.on.worldcat.org/oclc/124026351","Catalog Record")</f>
        <v>Catalog Record</v>
      </c>
      <c r="AW975" s="6" t="str">
        <f>HYPERLINK("http://www.worldcat.org/oclc/124026351","WorldCat Record")</f>
        <v>WorldCat Record</v>
      </c>
      <c r="AX975" s="3" t="s">
        <v>9622</v>
      </c>
      <c r="AY975" s="3" t="s">
        <v>9623</v>
      </c>
      <c r="AZ975" s="3" t="s">
        <v>9624</v>
      </c>
      <c r="BA975" s="3" t="s">
        <v>9624</v>
      </c>
      <c r="BB975" s="3" t="s">
        <v>9625</v>
      </c>
      <c r="BC975" s="3" t="s">
        <v>82</v>
      </c>
      <c r="BD975" s="3" t="s">
        <v>70</v>
      </c>
      <c r="BE975" s="3" t="s">
        <v>9626</v>
      </c>
      <c r="BF975" s="3" t="s">
        <v>9625</v>
      </c>
      <c r="BG975" s="3" t="s">
        <v>9627</v>
      </c>
    </row>
    <row r="976" spans="1:59" ht="60" x14ac:dyDescent="0.25">
      <c r="A976" s="2" t="s">
        <v>59</v>
      </c>
      <c r="B976" s="2" t="s">
        <v>60</v>
      </c>
      <c r="C976" s="2" t="s">
        <v>9628</v>
      </c>
      <c r="D976" s="2" t="s">
        <v>9629</v>
      </c>
      <c r="E976" s="2" t="s">
        <v>9630</v>
      </c>
      <c r="G976" s="3" t="s">
        <v>63</v>
      </c>
      <c r="I976" s="3" t="s">
        <v>63</v>
      </c>
      <c r="J976" s="3" t="s">
        <v>63</v>
      </c>
      <c r="K976" s="3" t="s">
        <v>64</v>
      </c>
      <c r="M976" s="2" t="s">
        <v>9631</v>
      </c>
      <c r="N976" s="3" t="s">
        <v>106</v>
      </c>
      <c r="P976" s="3" t="s">
        <v>90</v>
      </c>
      <c r="Q976" s="2" t="s">
        <v>8738</v>
      </c>
      <c r="R976" s="3" t="s">
        <v>67</v>
      </c>
      <c r="S976" s="4">
        <v>1</v>
      </c>
      <c r="T976" s="4">
        <v>1</v>
      </c>
      <c r="U976" s="5" t="s">
        <v>5188</v>
      </c>
      <c r="V976" s="5" t="s">
        <v>5188</v>
      </c>
      <c r="W976" s="5" t="s">
        <v>69</v>
      </c>
      <c r="X976" s="5" t="s">
        <v>69</v>
      </c>
      <c r="Y976" s="4">
        <v>9</v>
      </c>
      <c r="Z976" s="4">
        <v>3</v>
      </c>
      <c r="AA976" s="4">
        <v>3</v>
      </c>
      <c r="AB976" s="4">
        <v>1</v>
      </c>
      <c r="AC976" s="4">
        <v>1</v>
      </c>
      <c r="AD976" s="4">
        <v>5</v>
      </c>
      <c r="AE976" s="4">
        <v>5</v>
      </c>
      <c r="AF976" s="4">
        <v>0</v>
      </c>
      <c r="AG976" s="4">
        <v>0</v>
      </c>
      <c r="AH976" s="4">
        <v>5</v>
      </c>
      <c r="AI976" s="4">
        <v>5</v>
      </c>
      <c r="AJ976" s="4">
        <v>1</v>
      </c>
      <c r="AK976" s="4">
        <v>1</v>
      </c>
      <c r="AL976" s="4">
        <v>3</v>
      </c>
      <c r="AM976" s="4">
        <v>3</v>
      </c>
      <c r="AN976" s="4">
        <v>0</v>
      </c>
      <c r="AO976" s="4">
        <v>0</v>
      </c>
      <c r="AP976" s="4">
        <v>1</v>
      </c>
      <c r="AQ976" s="4">
        <v>1</v>
      </c>
      <c r="AR976" s="3" t="s">
        <v>63</v>
      </c>
      <c r="AS976" s="3" t="s">
        <v>63</v>
      </c>
      <c r="AT976" s="3" t="s">
        <v>63</v>
      </c>
      <c r="AV976" s="6" t="str">
        <f>HYPERLINK("http://mcgill.on.worldcat.org/oclc/952425943","Catalog Record")</f>
        <v>Catalog Record</v>
      </c>
      <c r="AW976" s="6" t="str">
        <f>HYPERLINK("http://www.worldcat.org/oclc/952425943","WorldCat Record")</f>
        <v>WorldCat Record</v>
      </c>
      <c r="AX976" s="3" t="s">
        <v>9632</v>
      </c>
      <c r="AY976" s="3" t="s">
        <v>9633</v>
      </c>
      <c r="AZ976" s="3" t="s">
        <v>9634</v>
      </c>
      <c r="BA976" s="3" t="s">
        <v>9634</v>
      </c>
      <c r="BB976" s="3" t="s">
        <v>9635</v>
      </c>
      <c r="BC976" s="3" t="s">
        <v>82</v>
      </c>
      <c r="BD976" s="3" t="s">
        <v>70</v>
      </c>
      <c r="BE976" s="3" t="s">
        <v>9636</v>
      </c>
      <c r="BF976" s="3" t="s">
        <v>9635</v>
      </c>
      <c r="BG976" s="3" t="s">
        <v>9637</v>
      </c>
    </row>
    <row r="977" spans="1:59" ht="60" x14ac:dyDescent="0.25">
      <c r="A977" s="2" t="s">
        <v>59</v>
      </c>
      <c r="B977" s="2" t="s">
        <v>60</v>
      </c>
      <c r="C977" s="2" t="s">
        <v>9638</v>
      </c>
      <c r="D977" s="2" t="s">
        <v>9639</v>
      </c>
      <c r="E977" s="2" t="s">
        <v>9640</v>
      </c>
      <c r="G977" s="3" t="s">
        <v>63</v>
      </c>
      <c r="I977" s="3" t="s">
        <v>63</v>
      </c>
      <c r="J977" s="3" t="s">
        <v>63</v>
      </c>
      <c r="K977" s="3" t="s">
        <v>64</v>
      </c>
      <c r="M977" s="2" t="s">
        <v>9641</v>
      </c>
      <c r="N977" s="3" t="s">
        <v>143</v>
      </c>
      <c r="P977" s="3" t="s">
        <v>90</v>
      </c>
      <c r="R977" s="3" t="s">
        <v>67</v>
      </c>
      <c r="S977" s="4">
        <v>0</v>
      </c>
      <c r="T977" s="4">
        <v>0</v>
      </c>
      <c r="W977" s="5" t="s">
        <v>69</v>
      </c>
      <c r="X977" s="5" t="s">
        <v>69</v>
      </c>
      <c r="Y977" s="4">
        <v>25</v>
      </c>
      <c r="Z977" s="4">
        <v>4</v>
      </c>
      <c r="AA977" s="4">
        <v>4</v>
      </c>
      <c r="AB977" s="4">
        <v>1</v>
      </c>
      <c r="AC977" s="4">
        <v>1</v>
      </c>
      <c r="AD977" s="4">
        <v>14</v>
      </c>
      <c r="AE977" s="4">
        <v>14</v>
      </c>
      <c r="AF977" s="4">
        <v>0</v>
      </c>
      <c r="AG977" s="4">
        <v>0</v>
      </c>
      <c r="AH977" s="4">
        <v>14</v>
      </c>
      <c r="AI977" s="4">
        <v>14</v>
      </c>
      <c r="AJ977" s="4">
        <v>1</v>
      </c>
      <c r="AK977" s="4">
        <v>1</v>
      </c>
      <c r="AL977" s="4">
        <v>12</v>
      </c>
      <c r="AM977" s="4">
        <v>12</v>
      </c>
      <c r="AN977" s="4">
        <v>0</v>
      </c>
      <c r="AO977" s="4">
        <v>0</v>
      </c>
      <c r="AP977" s="4">
        <v>1</v>
      </c>
      <c r="AQ977" s="4">
        <v>1</v>
      </c>
      <c r="AR977" s="3" t="s">
        <v>63</v>
      </c>
      <c r="AS977" s="3" t="s">
        <v>63</v>
      </c>
      <c r="AT977" s="3" t="s">
        <v>63</v>
      </c>
      <c r="AV977" s="6" t="str">
        <f>HYPERLINK("http://mcgill.on.worldcat.org/oclc/886381041","Catalog Record")</f>
        <v>Catalog Record</v>
      </c>
      <c r="AW977" s="6" t="str">
        <f>HYPERLINK("http://www.worldcat.org/oclc/886381041","WorldCat Record")</f>
        <v>WorldCat Record</v>
      </c>
      <c r="AX977" s="3" t="s">
        <v>9642</v>
      </c>
      <c r="AY977" s="3" t="s">
        <v>9643</v>
      </c>
      <c r="AZ977" s="3" t="s">
        <v>9644</v>
      </c>
      <c r="BA977" s="3" t="s">
        <v>9644</v>
      </c>
      <c r="BB977" s="3" t="s">
        <v>9645</v>
      </c>
      <c r="BC977" s="3" t="s">
        <v>82</v>
      </c>
      <c r="BD977" s="3" t="s">
        <v>70</v>
      </c>
      <c r="BE977" s="3" t="s">
        <v>9646</v>
      </c>
      <c r="BF977" s="3" t="s">
        <v>9645</v>
      </c>
      <c r="BG977" s="3" t="s">
        <v>9647</v>
      </c>
    </row>
    <row r="978" spans="1:59" ht="60" x14ac:dyDescent="0.25">
      <c r="A978" s="2" t="s">
        <v>59</v>
      </c>
      <c r="B978" s="2" t="s">
        <v>60</v>
      </c>
      <c r="C978" s="2" t="s">
        <v>9648</v>
      </c>
      <c r="D978" s="2" t="s">
        <v>9649</v>
      </c>
      <c r="E978" s="2" t="s">
        <v>9650</v>
      </c>
      <c r="G978" s="3" t="s">
        <v>63</v>
      </c>
      <c r="I978" s="3" t="s">
        <v>63</v>
      </c>
      <c r="J978" s="3" t="s">
        <v>63</v>
      </c>
      <c r="K978" s="3" t="s">
        <v>64</v>
      </c>
      <c r="M978" s="2" t="s">
        <v>9651</v>
      </c>
      <c r="N978" s="3" t="s">
        <v>143</v>
      </c>
      <c r="P978" s="3" t="s">
        <v>90</v>
      </c>
      <c r="Q978" s="2" t="s">
        <v>9652</v>
      </c>
      <c r="R978" s="3" t="s">
        <v>67</v>
      </c>
      <c r="S978" s="4">
        <v>0</v>
      </c>
      <c r="T978" s="4">
        <v>0</v>
      </c>
      <c r="W978" s="5" t="s">
        <v>69</v>
      </c>
      <c r="X978" s="5" t="s">
        <v>69</v>
      </c>
      <c r="Y978" s="4">
        <v>58</v>
      </c>
      <c r="Z978" s="4">
        <v>4</v>
      </c>
      <c r="AA978" s="4">
        <v>4</v>
      </c>
      <c r="AB978" s="4">
        <v>1</v>
      </c>
      <c r="AC978" s="4">
        <v>1</v>
      </c>
      <c r="AD978" s="4">
        <v>25</v>
      </c>
      <c r="AE978" s="4">
        <v>25</v>
      </c>
      <c r="AF978" s="4">
        <v>0</v>
      </c>
      <c r="AG978" s="4">
        <v>0</v>
      </c>
      <c r="AH978" s="4">
        <v>24</v>
      </c>
      <c r="AI978" s="4">
        <v>24</v>
      </c>
      <c r="AJ978" s="4">
        <v>1</v>
      </c>
      <c r="AK978" s="4">
        <v>1</v>
      </c>
      <c r="AL978" s="4">
        <v>19</v>
      </c>
      <c r="AM978" s="4">
        <v>19</v>
      </c>
      <c r="AN978" s="4">
        <v>0</v>
      </c>
      <c r="AO978" s="4">
        <v>0</v>
      </c>
      <c r="AP978" s="4">
        <v>1</v>
      </c>
      <c r="AQ978" s="4">
        <v>1</v>
      </c>
      <c r="AR978" s="3" t="s">
        <v>63</v>
      </c>
      <c r="AS978" s="3" t="s">
        <v>63</v>
      </c>
      <c r="AT978" s="3" t="s">
        <v>63</v>
      </c>
      <c r="AV978" s="6" t="str">
        <f>HYPERLINK("http://mcgill.on.worldcat.org/oclc/893857393","Catalog Record")</f>
        <v>Catalog Record</v>
      </c>
      <c r="AW978" s="6" t="str">
        <f>HYPERLINK("http://www.worldcat.org/oclc/893857393","WorldCat Record")</f>
        <v>WorldCat Record</v>
      </c>
      <c r="AX978" s="3" t="s">
        <v>9653</v>
      </c>
      <c r="AY978" s="3" t="s">
        <v>9654</v>
      </c>
      <c r="AZ978" s="3" t="s">
        <v>9655</v>
      </c>
      <c r="BA978" s="3" t="s">
        <v>9655</v>
      </c>
      <c r="BB978" s="3" t="s">
        <v>9656</v>
      </c>
      <c r="BC978" s="3" t="s">
        <v>82</v>
      </c>
      <c r="BD978" s="3" t="s">
        <v>70</v>
      </c>
      <c r="BE978" s="3" t="s">
        <v>9657</v>
      </c>
      <c r="BF978" s="3" t="s">
        <v>9656</v>
      </c>
      <c r="BG978" s="3" t="s">
        <v>9658</v>
      </c>
    </row>
    <row r="979" spans="1:59" ht="60" x14ac:dyDescent="0.25">
      <c r="A979" s="2" t="s">
        <v>59</v>
      </c>
      <c r="B979" s="2" t="s">
        <v>60</v>
      </c>
      <c r="C979" s="2" t="s">
        <v>9659</v>
      </c>
      <c r="D979" s="2" t="s">
        <v>9660</v>
      </c>
      <c r="E979" s="2" t="s">
        <v>9661</v>
      </c>
      <c r="G979" s="3" t="s">
        <v>63</v>
      </c>
      <c r="I979" s="3" t="s">
        <v>63</v>
      </c>
      <c r="J979" s="3" t="s">
        <v>63</v>
      </c>
      <c r="K979" s="3" t="s">
        <v>64</v>
      </c>
      <c r="M979" s="2" t="s">
        <v>9662</v>
      </c>
      <c r="N979" s="3" t="s">
        <v>1226</v>
      </c>
      <c r="P979" s="3" t="s">
        <v>90</v>
      </c>
      <c r="Q979" s="2" t="s">
        <v>9663</v>
      </c>
      <c r="R979" s="3" t="s">
        <v>67</v>
      </c>
      <c r="S979" s="4">
        <v>3</v>
      </c>
      <c r="T979" s="4">
        <v>3</v>
      </c>
      <c r="U979" s="5" t="s">
        <v>4990</v>
      </c>
      <c r="V979" s="5" t="s">
        <v>4990</v>
      </c>
      <c r="W979" s="5" t="s">
        <v>69</v>
      </c>
      <c r="X979" s="5" t="s">
        <v>69</v>
      </c>
      <c r="Y979" s="4">
        <v>31</v>
      </c>
      <c r="Z979" s="4">
        <v>3</v>
      </c>
      <c r="AA979" s="4">
        <v>3</v>
      </c>
      <c r="AB979" s="4">
        <v>1</v>
      </c>
      <c r="AC979" s="4">
        <v>1</v>
      </c>
      <c r="AD979" s="4">
        <v>24</v>
      </c>
      <c r="AE979" s="4">
        <v>24</v>
      </c>
      <c r="AF979" s="4">
        <v>0</v>
      </c>
      <c r="AG979" s="4">
        <v>0</v>
      </c>
      <c r="AH979" s="4">
        <v>22</v>
      </c>
      <c r="AI979" s="4">
        <v>22</v>
      </c>
      <c r="AJ979" s="4">
        <v>1</v>
      </c>
      <c r="AK979" s="4">
        <v>1</v>
      </c>
      <c r="AL979" s="4">
        <v>22</v>
      </c>
      <c r="AM979" s="4">
        <v>22</v>
      </c>
      <c r="AN979" s="4">
        <v>0</v>
      </c>
      <c r="AO979" s="4">
        <v>0</v>
      </c>
      <c r="AP979" s="4">
        <v>1</v>
      </c>
      <c r="AQ979" s="4">
        <v>1</v>
      </c>
      <c r="AR979" s="3" t="s">
        <v>63</v>
      </c>
      <c r="AS979" s="3" t="s">
        <v>63</v>
      </c>
      <c r="AT979" s="3" t="s">
        <v>63</v>
      </c>
      <c r="AV979" s="6" t="str">
        <f>HYPERLINK("http://mcgill.on.worldcat.org/oclc/53798153","Catalog Record")</f>
        <v>Catalog Record</v>
      </c>
      <c r="AW979" s="6" t="str">
        <f>HYPERLINK("http://www.worldcat.org/oclc/53798153","WorldCat Record")</f>
        <v>WorldCat Record</v>
      </c>
      <c r="AX979" s="3" t="s">
        <v>9664</v>
      </c>
      <c r="AY979" s="3" t="s">
        <v>9665</v>
      </c>
      <c r="AZ979" s="3" t="s">
        <v>9666</v>
      </c>
      <c r="BA979" s="3" t="s">
        <v>9666</v>
      </c>
      <c r="BB979" s="3" t="s">
        <v>9667</v>
      </c>
      <c r="BC979" s="3" t="s">
        <v>82</v>
      </c>
      <c r="BD979" s="3" t="s">
        <v>70</v>
      </c>
      <c r="BE979" s="3" t="s">
        <v>9668</v>
      </c>
      <c r="BF979" s="3" t="s">
        <v>9667</v>
      </c>
      <c r="BG979" s="3" t="s">
        <v>9669</v>
      </c>
    </row>
    <row r="980" spans="1:59" ht="60" x14ac:dyDescent="0.25">
      <c r="A980" s="2" t="s">
        <v>59</v>
      </c>
      <c r="B980" s="2" t="s">
        <v>60</v>
      </c>
      <c r="C980" s="2" t="s">
        <v>9670</v>
      </c>
      <c r="D980" s="2" t="s">
        <v>9671</v>
      </c>
      <c r="E980" s="2" t="s">
        <v>9672</v>
      </c>
      <c r="G980" s="3" t="s">
        <v>63</v>
      </c>
      <c r="I980" s="3" t="s">
        <v>63</v>
      </c>
      <c r="J980" s="3" t="s">
        <v>63</v>
      </c>
      <c r="K980" s="3" t="s">
        <v>64</v>
      </c>
      <c r="M980" s="2" t="s">
        <v>9631</v>
      </c>
      <c r="N980" s="3" t="s">
        <v>106</v>
      </c>
      <c r="P980" s="3" t="s">
        <v>90</v>
      </c>
      <c r="Q980" s="2" t="s">
        <v>9673</v>
      </c>
      <c r="R980" s="3" t="s">
        <v>67</v>
      </c>
      <c r="S980" s="4">
        <v>0</v>
      </c>
      <c r="T980" s="4">
        <v>0</v>
      </c>
      <c r="W980" s="5" t="s">
        <v>69</v>
      </c>
      <c r="X980" s="5" t="s">
        <v>69</v>
      </c>
      <c r="Y980" s="4">
        <v>36</v>
      </c>
      <c r="Z980" s="4">
        <v>3</v>
      </c>
      <c r="AA980" s="4">
        <v>3</v>
      </c>
      <c r="AB980" s="4">
        <v>1</v>
      </c>
      <c r="AC980" s="4">
        <v>1</v>
      </c>
      <c r="AD980" s="4">
        <v>13</v>
      </c>
      <c r="AE980" s="4">
        <v>13</v>
      </c>
      <c r="AF980" s="4">
        <v>0</v>
      </c>
      <c r="AG980" s="4">
        <v>0</v>
      </c>
      <c r="AH980" s="4">
        <v>13</v>
      </c>
      <c r="AI980" s="4">
        <v>13</v>
      </c>
      <c r="AJ980" s="4">
        <v>0</v>
      </c>
      <c r="AK980" s="4">
        <v>0</v>
      </c>
      <c r="AL980" s="4">
        <v>9</v>
      </c>
      <c r="AM980" s="4">
        <v>9</v>
      </c>
      <c r="AN980" s="4">
        <v>0</v>
      </c>
      <c r="AO980" s="4">
        <v>0</v>
      </c>
      <c r="AP980" s="4">
        <v>0</v>
      </c>
      <c r="AQ980" s="4">
        <v>0</v>
      </c>
      <c r="AR980" s="3" t="s">
        <v>63</v>
      </c>
      <c r="AS980" s="3" t="s">
        <v>63</v>
      </c>
      <c r="AT980" s="3" t="s">
        <v>63</v>
      </c>
      <c r="AV980" s="6" t="str">
        <f>HYPERLINK("http://mcgill.on.worldcat.org/oclc/972336216","Catalog Record")</f>
        <v>Catalog Record</v>
      </c>
      <c r="AW980" s="6" t="str">
        <f>HYPERLINK("http://www.worldcat.org/oclc/972336216","WorldCat Record")</f>
        <v>WorldCat Record</v>
      </c>
      <c r="AX980" s="3" t="s">
        <v>9674</v>
      </c>
      <c r="AY980" s="3" t="s">
        <v>9675</v>
      </c>
      <c r="AZ980" s="3" t="s">
        <v>9676</v>
      </c>
      <c r="BA980" s="3" t="s">
        <v>9676</v>
      </c>
      <c r="BB980" s="3" t="s">
        <v>9677</v>
      </c>
      <c r="BC980" s="3" t="s">
        <v>82</v>
      </c>
      <c r="BD980" s="3" t="s">
        <v>70</v>
      </c>
      <c r="BE980" s="3" t="s">
        <v>9678</v>
      </c>
      <c r="BF980" s="3" t="s">
        <v>9677</v>
      </c>
      <c r="BG980" s="3" t="s">
        <v>9679</v>
      </c>
    </row>
    <row r="981" spans="1:59" ht="60" x14ac:dyDescent="0.25">
      <c r="A981" s="2" t="s">
        <v>59</v>
      </c>
      <c r="B981" s="2" t="s">
        <v>60</v>
      </c>
      <c r="C981" s="2" t="s">
        <v>9680</v>
      </c>
      <c r="D981" s="2" t="s">
        <v>9681</v>
      </c>
      <c r="E981" s="2" t="s">
        <v>9682</v>
      </c>
      <c r="F981" s="3" t="s">
        <v>8664</v>
      </c>
      <c r="G981" s="3" t="s">
        <v>62</v>
      </c>
      <c r="I981" s="3" t="s">
        <v>63</v>
      </c>
      <c r="J981" s="3" t="s">
        <v>63</v>
      </c>
      <c r="K981" s="3" t="s">
        <v>64</v>
      </c>
      <c r="M981" s="2" t="s">
        <v>9683</v>
      </c>
      <c r="N981" s="3" t="s">
        <v>2225</v>
      </c>
      <c r="P981" s="3" t="s">
        <v>90</v>
      </c>
      <c r="R981" s="3" t="s">
        <v>67</v>
      </c>
      <c r="S981" s="4">
        <v>2</v>
      </c>
      <c r="T981" s="4">
        <v>5</v>
      </c>
      <c r="U981" s="5" t="s">
        <v>9684</v>
      </c>
      <c r="V981" s="5" t="s">
        <v>9684</v>
      </c>
      <c r="W981" s="5" t="s">
        <v>69</v>
      </c>
      <c r="X981" s="5" t="s">
        <v>69</v>
      </c>
      <c r="Y981" s="4">
        <v>6</v>
      </c>
      <c r="Z981" s="4">
        <v>4</v>
      </c>
      <c r="AA981" s="4">
        <v>11</v>
      </c>
      <c r="AB981" s="4">
        <v>2</v>
      </c>
      <c r="AC981" s="4">
        <v>3</v>
      </c>
      <c r="AD981" s="4">
        <v>1</v>
      </c>
      <c r="AE981" s="4">
        <v>29</v>
      </c>
      <c r="AF981" s="4">
        <v>0</v>
      </c>
      <c r="AG981" s="4">
        <v>1</v>
      </c>
      <c r="AH981" s="4">
        <v>1</v>
      </c>
      <c r="AI981" s="4">
        <v>24</v>
      </c>
      <c r="AJ981" s="4">
        <v>1</v>
      </c>
      <c r="AK981" s="4">
        <v>7</v>
      </c>
      <c r="AL981" s="4">
        <v>1</v>
      </c>
      <c r="AM981" s="4">
        <v>16</v>
      </c>
      <c r="AN981" s="4">
        <v>0</v>
      </c>
      <c r="AO981" s="4">
        <v>0</v>
      </c>
      <c r="AP981" s="4">
        <v>1</v>
      </c>
      <c r="AQ981" s="4">
        <v>7</v>
      </c>
      <c r="AR981" s="3" t="s">
        <v>63</v>
      </c>
      <c r="AS981" s="3" t="s">
        <v>63</v>
      </c>
      <c r="AT981" s="3" t="s">
        <v>63</v>
      </c>
      <c r="AV981" s="6" t="str">
        <f>HYPERLINK("http://mcgill.on.worldcat.org/oclc/222353643","Catalog Record")</f>
        <v>Catalog Record</v>
      </c>
      <c r="AW981" s="6" t="str">
        <f>HYPERLINK("http://www.worldcat.org/oclc/1143376196","WorldCat Record")</f>
        <v>WorldCat Record</v>
      </c>
      <c r="AX981" s="3" t="s">
        <v>9685</v>
      </c>
      <c r="AY981" s="3" t="s">
        <v>9686</v>
      </c>
      <c r="AZ981" s="3" t="s">
        <v>9687</v>
      </c>
      <c r="BA981" s="3" t="s">
        <v>9687</v>
      </c>
      <c r="BB981" s="3" t="s">
        <v>9688</v>
      </c>
      <c r="BC981" s="3" t="s">
        <v>82</v>
      </c>
      <c r="BD981" s="3" t="s">
        <v>70</v>
      </c>
      <c r="BF981" s="3" t="s">
        <v>9688</v>
      </c>
      <c r="BG981" s="3" t="s">
        <v>9689</v>
      </c>
    </row>
    <row r="982" spans="1:59" ht="60" x14ac:dyDescent="0.25">
      <c r="A982" s="2" t="s">
        <v>59</v>
      </c>
      <c r="B982" s="2" t="s">
        <v>60</v>
      </c>
      <c r="C982" s="2" t="s">
        <v>9680</v>
      </c>
      <c r="D982" s="2" t="s">
        <v>9681</v>
      </c>
      <c r="E982" s="2" t="s">
        <v>9682</v>
      </c>
      <c r="F982" s="3" t="s">
        <v>8673</v>
      </c>
      <c r="G982" s="3" t="s">
        <v>62</v>
      </c>
      <c r="I982" s="3" t="s">
        <v>63</v>
      </c>
      <c r="J982" s="3" t="s">
        <v>63</v>
      </c>
      <c r="K982" s="3" t="s">
        <v>64</v>
      </c>
      <c r="M982" s="2" t="s">
        <v>9683</v>
      </c>
      <c r="N982" s="3" t="s">
        <v>2225</v>
      </c>
      <c r="P982" s="3" t="s">
        <v>90</v>
      </c>
      <c r="R982" s="3" t="s">
        <v>67</v>
      </c>
      <c r="S982" s="4">
        <v>3</v>
      </c>
      <c r="T982" s="4">
        <v>5</v>
      </c>
      <c r="U982" s="5" t="s">
        <v>9690</v>
      </c>
      <c r="V982" s="5" t="s">
        <v>9684</v>
      </c>
      <c r="W982" s="5" t="s">
        <v>69</v>
      </c>
      <c r="X982" s="5" t="s">
        <v>69</v>
      </c>
      <c r="Y982" s="4">
        <v>6</v>
      </c>
      <c r="Z982" s="4">
        <v>4</v>
      </c>
      <c r="AA982" s="4">
        <v>11</v>
      </c>
      <c r="AB982" s="4">
        <v>2</v>
      </c>
      <c r="AC982" s="4">
        <v>3</v>
      </c>
      <c r="AD982" s="4">
        <v>1</v>
      </c>
      <c r="AE982" s="4">
        <v>29</v>
      </c>
      <c r="AF982" s="4">
        <v>0</v>
      </c>
      <c r="AG982" s="4">
        <v>1</v>
      </c>
      <c r="AH982" s="4">
        <v>1</v>
      </c>
      <c r="AI982" s="4">
        <v>24</v>
      </c>
      <c r="AJ982" s="4">
        <v>1</v>
      </c>
      <c r="AK982" s="4">
        <v>7</v>
      </c>
      <c r="AL982" s="4">
        <v>1</v>
      </c>
      <c r="AM982" s="4">
        <v>16</v>
      </c>
      <c r="AN982" s="4">
        <v>0</v>
      </c>
      <c r="AO982" s="4">
        <v>0</v>
      </c>
      <c r="AP982" s="4">
        <v>1</v>
      </c>
      <c r="AQ982" s="4">
        <v>7</v>
      </c>
      <c r="AR982" s="3" t="s">
        <v>63</v>
      </c>
      <c r="AS982" s="3" t="s">
        <v>63</v>
      </c>
      <c r="AT982" s="3" t="s">
        <v>63</v>
      </c>
      <c r="AV982" s="6" t="str">
        <f>HYPERLINK("http://mcgill.on.worldcat.org/oclc/222353643","Catalog Record")</f>
        <v>Catalog Record</v>
      </c>
      <c r="AW982" s="6" t="str">
        <f>HYPERLINK("http://www.worldcat.org/oclc/1143376196","WorldCat Record")</f>
        <v>WorldCat Record</v>
      </c>
      <c r="AX982" s="3" t="s">
        <v>9685</v>
      </c>
      <c r="AY982" s="3" t="s">
        <v>9686</v>
      </c>
      <c r="AZ982" s="3" t="s">
        <v>9687</v>
      </c>
      <c r="BA982" s="3" t="s">
        <v>9687</v>
      </c>
      <c r="BB982" s="3" t="s">
        <v>9691</v>
      </c>
      <c r="BC982" s="3" t="s">
        <v>82</v>
      </c>
      <c r="BD982" s="3" t="s">
        <v>70</v>
      </c>
      <c r="BF982" s="3" t="s">
        <v>9691</v>
      </c>
      <c r="BG982" s="3" t="s">
        <v>9692</v>
      </c>
    </row>
    <row r="983" spans="1:59" ht="75" x14ac:dyDescent="0.25">
      <c r="A983" s="2" t="s">
        <v>59</v>
      </c>
      <c r="B983" s="2" t="s">
        <v>60</v>
      </c>
      <c r="C983" s="2" t="s">
        <v>9693</v>
      </c>
      <c r="D983" s="2" t="s">
        <v>9694</v>
      </c>
      <c r="E983" s="2" t="s">
        <v>9695</v>
      </c>
      <c r="G983" s="3" t="s">
        <v>63</v>
      </c>
      <c r="I983" s="3" t="s">
        <v>63</v>
      </c>
      <c r="J983" s="3" t="s">
        <v>63</v>
      </c>
      <c r="K983" s="3" t="s">
        <v>64</v>
      </c>
      <c r="M983" s="2" t="s">
        <v>9696</v>
      </c>
      <c r="N983" s="3" t="s">
        <v>2144</v>
      </c>
      <c r="P983" s="3" t="s">
        <v>66</v>
      </c>
      <c r="Q983" s="2" t="s">
        <v>9697</v>
      </c>
      <c r="R983" s="3" t="s">
        <v>67</v>
      </c>
      <c r="S983" s="4">
        <v>19</v>
      </c>
      <c r="T983" s="4">
        <v>19</v>
      </c>
      <c r="U983" s="5" t="s">
        <v>3102</v>
      </c>
      <c r="V983" s="5" t="s">
        <v>3102</v>
      </c>
      <c r="W983" s="5" t="s">
        <v>69</v>
      </c>
      <c r="X983" s="5" t="s">
        <v>69</v>
      </c>
      <c r="Y983" s="4">
        <v>28</v>
      </c>
      <c r="Z983" s="4">
        <v>8</v>
      </c>
      <c r="AA983" s="4">
        <v>12</v>
      </c>
      <c r="AB983" s="4">
        <v>3</v>
      </c>
      <c r="AC983" s="4">
        <v>4</v>
      </c>
      <c r="AD983" s="4">
        <v>8</v>
      </c>
      <c r="AE983" s="4">
        <v>11</v>
      </c>
      <c r="AF983" s="4">
        <v>1</v>
      </c>
      <c r="AG983" s="4">
        <v>2</v>
      </c>
      <c r="AH983" s="4">
        <v>5</v>
      </c>
      <c r="AI983" s="4">
        <v>8</v>
      </c>
      <c r="AJ983" s="4">
        <v>3</v>
      </c>
      <c r="AK983" s="4">
        <v>6</v>
      </c>
      <c r="AL983" s="4">
        <v>1</v>
      </c>
      <c r="AM983" s="4">
        <v>2</v>
      </c>
      <c r="AN983" s="4">
        <v>0</v>
      </c>
      <c r="AO983" s="4">
        <v>0</v>
      </c>
      <c r="AP983" s="4">
        <v>6</v>
      </c>
      <c r="AQ983" s="4">
        <v>9</v>
      </c>
      <c r="AR983" s="3" t="s">
        <v>63</v>
      </c>
      <c r="AS983" s="3" t="s">
        <v>63</v>
      </c>
      <c r="AT983" s="3" t="s">
        <v>62</v>
      </c>
      <c r="AU983" s="6" t="str">
        <f>HYPERLINK("http://catalog.hathitrust.org/Record/001956466","HathiTrust Record")</f>
        <v>HathiTrust Record</v>
      </c>
      <c r="AV983" s="6" t="str">
        <f>HYPERLINK("http://mcgill.on.worldcat.org/oclc/56774721","Catalog Record")</f>
        <v>Catalog Record</v>
      </c>
      <c r="AW983" s="6" t="str">
        <f>HYPERLINK("http://www.worldcat.org/oclc/56774721","WorldCat Record")</f>
        <v>WorldCat Record</v>
      </c>
      <c r="AX983" s="3" t="s">
        <v>9698</v>
      </c>
      <c r="AY983" s="3" t="s">
        <v>9699</v>
      </c>
      <c r="AZ983" s="3" t="s">
        <v>9700</v>
      </c>
      <c r="BA983" s="3" t="s">
        <v>9700</v>
      </c>
      <c r="BB983" s="3" t="s">
        <v>9701</v>
      </c>
      <c r="BC983" s="3" t="s">
        <v>82</v>
      </c>
      <c r="BD983" s="3" t="s">
        <v>70</v>
      </c>
      <c r="BF983" s="3" t="s">
        <v>9701</v>
      </c>
      <c r="BG983" s="3" t="s">
        <v>9702</v>
      </c>
    </row>
    <row r="984" spans="1:59" ht="75" x14ac:dyDescent="0.25">
      <c r="A984" s="2" t="s">
        <v>59</v>
      </c>
      <c r="B984" s="2" t="s">
        <v>60</v>
      </c>
      <c r="C984" s="2" t="s">
        <v>9703</v>
      </c>
      <c r="D984" s="2" t="s">
        <v>9704</v>
      </c>
      <c r="E984" s="2" t="s">
        <v>9705</v>
      </c>
      <c r="G984" s="3" t="s">
        <v>63</v>
      </c>
      <c r="I984" s="3" t="s">
        <v>63</v>
      </c>
      <c r="J984" s="3" t="s">
        <v>63</v>
      </c>
      <c r="K984" s="3" t="s">
        <v>64</v>
      </c>
      <c r="M984" s="2" t="s">
        <v>9706</v>
      </c>
      <c r="N984" s="3" t="s">
        <v>1343</v>
      </c>
      <c r="P984" s="3" t="s">
        <v>90</v>
      </c>
      <c r="R984" s="3" t="s">
        <v>67</v>
      </c>
      <c r="S984" s="4">
        <v>2</v>
      </c>
      <c r="T984" s="4">
        <v>2</v>
      </c>
      <c r="U984" s="5" t="s">
        <v>9180</v>
      </c>
      <c r="V984" s="5" t="s">
        <v>9180</v>
      </c>
      <c r="W984" s="5" t="s">
        <v>69</v>
      </c>
      <c r="X984" s="5" t="s">
        <v>69</v>
      </c>
      <c r="Y984" s="4">
        <v>69</v>
      </c>
      <c r="Z984" s="4">
        <v>6</v>
      </c>
      <c r="AA984" s="4">
        <v>6</v>
      </c>
      <c r="AB984" s="4">
        <v>1</v>
      </c>
      <c r="AC984" s="4">
        <v>1</v>
      </c>
      <c r="AD984" s="4">
        <v>44</v>
      </c>
      <c r="AE984" s="4">
        <v>44</v>
      </c>
      <c r="AF984" s="4">
        <v>0</v>
      </c>
      <c r="AG984" s="4">
        <v>0</v>
      </c>
      <c r="AH984" s="4">
        <v>43</v>
      </c>
      <c r="AI984" s="4">
        <v>43</v>
      </c>
      <c r="AJ984" s="4">
        <v>4</v>
      </c>
      <c r="AK984" s="4">
        <v>4</v>
      </c>
      <c r="AL984" s="4">
        <v>33</v>
      </c>
      <c r="AM984" s="4">
        <v>33</v>
      </c>
      <c r="AN984" s="4">
        <v>0</v>
      </c>
      <c r="AO984" s="4">
        <v>0</v>
      </c>
      <c r="AP984" s="4">
        <v>4</v>
      </c>
      <c r="AQ984" s="4">
        <v>4</v>
      </c>
      <c r="AR984" s="3" t="s">
        <v>63</v>
      </c>
      <c r="AS984" s="3" t="s">
        <v>63</v>
      </c>
      <c r="AT984" s="3" t="s">
        <v>63</v>
      </c>
      <c r="AV984" s="6" t="str">
        <f>HYPERLINK("http://mcgill.on.worldcat.org/oclc/44273013","Catalog Record")</f>
        <v>Catalog Record</v>
      </c>
      <c r="AW984" s="6" t="str">
        <f>HYPERLINK("http://www.worldcat.org/oclc/44273013","WorldCat Record")</f>
        <v>WorldCat Record</v>
      </c>
      <c r="AX984" s="3" t="s">
        <v>9707</v>
      </c>
      <c r="AY984" s="3" t="s">
        <v>9708</v>
      </c>
      <c r="AZ984" s="3" t="s">
        <v>9709</v>
      </c>
      <c r="BA984" s="3" t="s">
        <v>9709</v>
      </c>
      <c r="BB984" s="3" t="s">
        <v>9710</v>
      </c>
      <c r="BC984" s="3" t="s">
        <v>82</v>
      </c>
      <c r="BD984" s="3" t="s">
        <v>70</v>
      </c>
      <c r="BE984" s="3" t="s">
        <v>9711</v>
      </c>
      <c r="BF984" s="3" t="s">
        <v>9710</v>
      </c>
      <c r="BG984" s="3" t="s">
        <v>9712</v>
      </c>
    </row>
    <row r="985" spans="1:59" ht="60" x14ac:dyDescent="0.25">
      <c r="A985" s="2" t="s">
        <v>59</v>
      </c>
      <c r="B985" s="2" t="s">
        <v>60</v>
      </c>
      <c r="C985" s="2" t="s">
        <v>9713</v>
      </c>
      <c r="D985" s="2" t="s">
        <v>9714</v>
      </c>
      <c r="E985" s="2" t="s">
        <v>9715</v>
      </c>
      <c r="G985" s="3" t="s">
        <v>63</v>
      </c>
      <c r="I985" s="3" t="s">
        <v>63</v>
      </c>
      <c r="J985" s="3" t="s">
        <v>63</v>
      </c>
      <c r="K985" s="3" t="s">
        <v>64</v>
      </c>
      <c r="M985" s="2" t="s">
        <v>9716</v>
      </c>
      <c r="N985" s="3" t="s">
        <v>143</v>
      </c>
      <c r="P985" s="3" t="s">
        <v>90</v>
      </c>
      <c r="Q985" s="2" t="s">
        <v>9717</v>
      </c>
      <c r="R985" s="3" t="s">
        <v>67</v>
      </c>
      <c r="S985" s="4">
        <v>2</v>
      </c>
      <c r="T985" s="4">
        <v>2</v>
      </c>
      <c r="U985" s="5" t="s">
        <v>4588</v>
      </c>
      <c r="V985" s="5" t="s">
        <v>4588</v>
      </c>
      <c r="W985" s="5" t="s">
        <v>69</v>
      </c>
      <c r="X985" s="5" t="s">
        <v>69</v>
      </c>
      <c r="Y985" s="4">
        <v>25</v>
      </c>
      <c r="Z985" s="4">
        <v>4</v>
      </c>
      <c r="AA985" s="4">
        <v>4</v>
      </c>
      <c r="AB985" s="4">
        <v>1</v>
      </c>
      <c r="AC985" s="4">
        <v>1</v>
      </c>
      <c r="AD985" s="4">
        <v>2</v>
      </c>
      <c r="AE985" s="4">
        <v>2</v>
      </c>
      <c r="AF985" s="4">
        <v>0</v>
      </c>
      <c r="AG985" s="4">
        <v>0</v>
      </c>
      <c r="AH985" s="4">
        <v>2</v>
      </c>
      <c r="AI985" s="4">
        <v>2</v>
      </c>
      <c r="AJ985" s="4">
        <v>0</v>
      </c>
      <c r="AK985" s="4">
        <v>0</v>
      </c>
      <c r="AL985" s="4">
        <v>1</v>
      </c>
      <c r="AM985" s="4">
        <v>1</v>
      </c>
      <c r="AN985" s="4">
        <v>0</v>
      </c>
      <c r="AO985" s="4">
        <v>0</v>
      </c>
      <c r="AP985" s="4">
        <v>0</v>
      </c>
      <c r="AQ985" s="4">
        <v>0</v>
      </c>
      <c r="AR985" s="3" t="s">
        <v>63</v>
      </c>
      <c r="AS985" s="3" t="s">
        <v>63</v>
      </c>
      <c r="AT985" s="3" t="s">
        <v>63</v>
      </c>
      <c r="AV985" s="6" t="str">
        <f>HYPERLINK("http://mcgill.on.worldcat.org/oclc/896192118","Catalog Record")</f>
        <v>Catalog Record</v>
      </c>
      <c r="AW985" s="6" t="str">
        <f>HYPERLINK("http://www.worldcat.org/oclc/896192118","WorldCat Record")</f>
        <v>WorldCat Record</v>
      </c>
      <c r="AX985" s="3" t="s">
        <v>9718</v>
      </c>
      <c r="AY985" s="3" t="s">
        <v>9719</v>
      </c>
      <c r="AZ985" s="3" t="s">
        <v>9720</v>
      </c>
      <c r="BA985" s="3" t="s">
        <v>9720</v>
      </c>
      <c r="BB985" s="3" t="s">
        <v>9721</v>
      </c>
      <c r="BC985" s="3" t="s">
        <v>82</v>
      </c>
      <c r="BD985" s="3" t="s">
        <v>70</v>
      </c>
      <c r="BE985" s="3" t="s">
        <v>9722</v>
      </c>
      <c r="BF985" s="3" t="s">
        <v>9721</v>
      </c>
      <c r="BG985" s="3" t="s">
        <v>9723</v>
      </c>
    </row>
    <row r="986" spans="1:59" ht="60" x14ac:dyDescent="0.25">
      <c r="A986" s="2" t="s">
        <v>59</v>
      </c>
      <c r="B986" s="2" t="s">
        <v>60</v>
      </c>
      <c r="C986" s="2" t="s">
        <v>9724</v>
      </c>
      <c r="D986" s="2" t="s">
        <v>9725</v>
      </c>
      <c r="E986" s="2" t="s">
        <v>9726</v>
      </c>
      <c r="G986" s="3" t="s">
        <v>63</v>
      </c>
      <c r="I986" s="3" t="s">
        <v>63</v>
      </c>
      <c r="J986" s="3" t="s">
        <v>63</v>
      </c>
      <c r="K986" s="3" t="s">
        <v>64</v>
      </c>
      <c r="M986" s="2" t="s">
        <v>9557</v>
      </c>
      <c r="N986" s="3" t="s">
        <v>1557</v>
      </c>
      <c r="P986" s="3" t="s">
        <v>90</v>
      </c>
      <c r="Q986" s="2" t="s">
        <v>9727</v>
      </c>
      <c r="R986" s="3" t="s">
        <v>67</v>
      </c>
      <c r="S986" s="4">
        <v>0</v>
      </c>
      <c r="T986" s="4">
        <v>0</v>
      </c>
      <c r="W986" s="5" t="s">
        <v>9728</v>
      </c>
      <c r="X986" s="5" t="s">
        <v>9728</v>
      </c>
      <c r="Y986" s="4">
        <v>30</v>
      </c>
      <c r="Z986" s="4">
        <v>1</v>
      </c>
      <c r="AA986" s="4">
        <v>1</v>
      </c>
      <c r="AB986" s="4">
        <v>1</v>
      </c>
      <c r="AC986" s="4">
        <v>1</v>
      </c>
      <c r="AD986" s="4">
        <v>21</v>
      </c>
      <c r="AE986" s="4">
        <v>21</v>
      </c>
      <c r="AF986" s="4">
        <v>0</v>
      </c>
      <c r="AG986" s="4">
        <v>0</v>
      </c>
      <c r="AH986" s="4">
        <v>20</v>
      </c>
      <c r="AI986" s="4">
        <v>20</v>
      </c>
      <c r="AJ986" s="4">
        <v>0</v>
      </c>
      <c r="AK986" s="4">
        <v>0</v>
      </c>
      <c r="AL986" s="4">
        <v>17</v>
      </c>
      <c r="AM986" s="4">
        <v>17</v>
      </c>
      <c r="AN986" s="4">
        <v>0</v>
      </c>
      <c r="AO986" s="4">
        <v>0</v>
      </c>
      <c r="AP986" s="4">
        <v>0</v>
      </c>
      <c r="AQ986" s="4">
        <v>0</v>
      </c>
      <c r="AR986" s="3" t="s">
        <v>63</v>
      </c>
      <c r="AS986" s="3" t="s">
        <v>63</v>
      </c>
      <c r="AT986" s="3" t="s">
        <v>63</v>
      </c>
      <c r="AV986" s="6" t="str">
        <f>HYPERLINK("http://mcgill.on.worldcat.org/oclc/1019594450","Catalog Record")</f>
        <v>Catalog Record</v>
      </c>
      <c r="AW986" s="6" t="str">
        <f>HYPERLINK("http://www.worldcat.org/oclc/1019594450","WorldCat Record")</f>
        <v>WorldCat Record</v>
      </c>
      <c r="AX986" s="3" t="s">
        <v>9729</v>
      </c>
      <c r="AY986" s="3" t="s">
        <v>9730</v>
      </c>
      <c r="AZ986" s="3" t="s">
        <v>9731</v>
      </c>
      <c r="BA986" s="3" t="s">
        <v>9731</v>
      </c>
      <c r="BB986" s="3" t="s">
        <v>9732</v>
      </c>
      <c r="BC986" s="3" t="s">
        <v>82</v>
      </c>
      <c r="BD986" s="3" t="s">
        <v>70</v>
      </c>
      <c r="BE986" s="3" t="s">
        <v>9733</v>
      </c>
      <c r="BF986" s="3" t="s">
        <v>9732</v>
      </c>
      <c r="BG986" s="3" t="s">
        <v>9734</v>
      </c>
    </row>
    <row r="987" spans="1:59" ht="60" x14ac:dyDescent="0.25">
      <c r="A987" s="2" t="s">
        <v>59</v>
      </c>
      <c r="B987" s="2" t="s">
        <v>60</v>
      </c>
      <c r="C987" s="2" t="s">
        <v>9735</v>
      </c>
      <c r="D987" s="2" t="s">
        <v>9736</v>
      </c>
      <c r="E987" s="2" t="s">
        <v>9737</v>
      </c>
      <c r="G987" s="3" t="s">
        <v>63</v>
      </c>
      <c r="I987" s="3" t="s">
        <v>63</v>
      </c>
      <c r="J987" s="3" t="s">
        <v>63</v>
      </c>
      <c r="K987" s="3" t="s">
        <v>64</v>
      </c>
      <c r="M987" s="2" t="s">
        <v>9738</v>
      </c>
      <c r="N987" s="3" t="s">
        <v>130</v>
      </c>
      <c r="P987" s="3" t="s">
        <v>90</v>
      </c>
      <c r="R987" s="3" t="s">
        <v>67</v>
      </c>
      <c r="S987" s="4">
        <v>1</v>
      </c>
      <c r="T987" s="4">
        <v>1</v>
      </c>
      <c r="U987" s="5" t="s">
        <v>4588</v>
      </c>
      <c r="V987" s="5" t="s">
        <v>4588</v>
      </c>
      <c r="W987" s="5" t="s">
        <v>69</v>
      </c>
      <c r="X987" s="5" t="s">
        <v>69</v>
      </c>
      <c r="Y987" s="4">
        <v>28</v>
      </c>
      <c r="Z987" s="4">
        <v>3</v>
      </c>
      <c r="AA987" s="4">
        <v>3</v>
      </c>
      <c r="AB987" s="4">
        <v>1</v>
      </c>
      <c r="AC987" s="4">
        <v>1</v>
      </c>
      <c r="AD987" s="4">
        <v>20</v>
      </c>
      <c r="AE987" s="4">
        <v>20</v>
      </c>
      <c r="AF987" s="4">
        <v>0</v>
      </c>
      <c r="AG987" s="4">
        <v>0</v>
      </c>
      <c r="AH987" s="4">
        <v>19</v>
      </c>
      <c r="AI987" s="4">
        <v>19</v>
      </c>
      <c r="AJ987" s="4">
        <v>1</v>
      </c>
      <c r="AK987" s="4">
        <v>1</v>
      </c>
      <c r="AL987" s="4">
        <v>17</v>
      </c>
      <c r="AM987" s="4">
        <v>17</v>
      </c>
      <c r="AN987" s="4">
        <v>0</v>
      </c>
      <c r="AO987" s="4">
        <v>0</v>
      </c>
      <c r="AP987" s="4">
        <v>1</v>
      </c>
      <c r="AQ987" s="4">
        <v>1</v>
      </c>
      <c r="AR987" s="3" t="s">
        <v>63</v>
      </c>
      <c r="AS987" s="3" t="s">
        <v>63</v>
      </c>
      <c r="AT987" s="3" t="s">
        <v>63</v>
      </c>
      <c r="AV987" s="6" t="str">
        <f>HYPERLINK("http://mcgill.on.worldcat.org/oclc/852786168","Catalog Record")</f>
        <v>Catalog Record</v>
      </c>
      <c r="AW987" s="6" t="str">
        <f>HYPERLINK("http://www.worldcat.org/oclc/852786168","WorldCat Record")</f>
        <v>WorldCat Record</v>
      </c>
      <c r="AX987" s="3" t="s">
        <v>9739</v>
      </c>
      <c r="AY987" s="3" t="s">
        <v>9740</v>
      </c>
      <c r="AZ987" s="3" t="s">
        <v>9741</v>
      </c>
      <c r="BA987" s="3" t="s">
        <v>9741</v>
      </c>
      <c r="BB987" s="3" t="s">
        <v>9742</v>
      </c>
      <c r="BC987" s="3" t="s">
        <v>82</v>
      </c>
      <c r="BD987" s="3" t="s">
        <v>70</v>
      </c>
      <c r="BE987" s="3" t="s">
        <v>9743</v>
      </c>
      <c r="BF987" s="3" t="s">
        <v>9742</v>
      </c>
      <c r="BG987" s="3" t="s">
        <v>9744</v>
      </c>
    </row>
    <row r="988" spans="1:59" ht="60" x14ac:dyDescent="0.25">
      <c r="A988" s="2" t="s">
        <v>59</v>
      </c>
      <c r="B988" s="2" t="s">
        <v>60</v>
      </c>
      <c r="C988" s="2" t="s">
        <v>9745</v>
      </c>
      <c r="D988" s="2" t="s">
        <v>9746</v>
      </c>
      <c r="E988" s="2" t="s">
        <v>9747</v>
      </c>
      <c r="G988" s="3" t="s">
        <v>63</v>
      </c>
      <c r="I988" s="3" t="s">
        <v>63</v>
      </c>
      <c r="J988" s="3" t="s">
        <v>63</v>
      </c>
      <c r="K988" s="3" t="s">
        <v>64</v>
      </c>
      <c r="L988" s="2" t="s">
        <v>9748</v>
      </c>
      <c r="M988" s="2" t="s">
        <v>9749</v>
      </c>
      <c r="N988" s="3" t="s">
        <v>2459</v>
      </c>
      <c r="P988" s="3" t="s">
        <v>90</v>
      </c>
      <c r="R988" s="3" t="s">
        <v>67</v>
      </c>
      <c r="S988" s="4">
        <v>1</v>
      </c>
      <c r="T988" s="4">
        <v>1</v>
      </c>
      <c r="U988" s="5" t="s">
        <v>4990</v>
      </c>
      <c r="V988" s="5" t="s">
        <v>4990</v>
      </c>
      <c r="W988" s="5" t="s">
        <v>69</v>
      </c>
      <c r="X988" s="5" t="s">
        <v>69</v>
      </c>
      <c r="Y988" s="4">
        <v>11</v>
      </c>
      <c r="Z988" s="4">
        <v>1</v>
      </c>
      <c r="AA988" s="4">
        <v>1</v>
      </c>
      <c r="AB988" s="4">
        <v>1</v>
      </c>
      <c r="AC988" s="4">
        <v>1</v>
      </c>
      <c r="AD988" s="4">
        <v>1</v>
      </c>
      <c r="AE988" s="4">
        <v>1</v>
      </c>
      <c r="AF988" s="4">
        <v>0</v>
      </c>
      <c r="AG988" s="4">
        <v>0</v>
      </c>
      <c r="AH988" s="4">
        <v>1</v>
      </c>
      <c r="AI988" s="4">
        <v>1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3" t="s">
        <v>63</v>
      </c>
      <c r="AS988" s="3" t="s">
        <v>63</v>
      </c>
      <c r="AT988" s="3" t="s">
        <v>63</v>
      </c>
      <c r="AV988" s="6" t="str">
        <f>HYPERLINK("http://mcgill.on.worldcat.org/oclc/294760535","Catalog Record")</f>
        <v>Catalog Record</v>
      </c>
      <c r="AW988" s="6" t="str">
        <f>HYPERLINK("http://www.worldcat.org/oclc/294760535","WorldCat Record")</f>
        <v>WorldCat Record</v>
      </c>
      <c r="AX988" s="3" t="s">
        <v>9750</v>
      </c>
      <c r="AY988" s="3" t="s">
        <v>9751</v>
      </c>
      <c r="AZ988" s="3" t="s">
        <v>9752</v>
      </c>
      <c r="BA988" s="3" t="s">
        <v>9752</v>
      </c>
      <c r="BB988" s="3" t="s">
        <v>9753</v>
      </c>
      <c r="BC988" s="3" t="s">
        <v>82</v>
      </c>
      <c r="BD988" s="3" t="s">
        <v>70</v>
      </c>
      <c r="BE988" s="3" t="s">
        <v>9754</v>
      </c>
      <c r="BF988" s="3" t="s">
        <v>9753</v>
      </c>
      <c r="BG988" s="3" t="s">
        <v>9755</v>
      </c>
    </row>
    <row r="989" spans="1:59" ht="75" x14ac:dyDescent="0.25">
      <c r="A989" s="2" t="s">
        <v>59</v>
      </c>
      <c r="B989" s="2" t="s">
        <v>60</v>
      </c>
      <c r="C989" s="2" t="s">
        <v>9756</v>
      </c>
      <c r="D989" s="2" t="s">
        <v>9757</v>
      </c>
      <c r="E989" s="2" t="s">
        <v>9758</v>
      </c>
      <c r="G989" s="3" t="s">
        <v>63</v>
      </c>
      <c r="I989" s="3" t="s">
        <v>63</v>
      </c>
      <c r="J989" s="3" t="s">
        <v>63</v>
      </c>
      <c r="K989" s="3" t="s">
        <v>64</v>
      </c>
      <c r="M989" s="2" t="s">
        <v>9759</v>
      </c>
      <c r="N989" s="3" t="s">
        <v>629</v>
      </c>
      <c r="P989" s="3" t="s">
        <v>90</v>
      </c>
      <c r="Q989" s="2" t="s">
        <v>9760</v>
      </c>
      <c r="R989" s="3" t="s">
        <v>67</v>
      </c>
      <c r="S989" s="4">
        <v>1</v>
      </c>
      <c r="T989" s="4">
        <v>1</v>
      </c>
      <c r="U989" s="5" t="s">
        <v>9761</v>
      </c>
      <c r="V989" s="5" t="s">
        <v>9761</v>
      </c>
      <c r="W989" s="5" t="s">
        <v>69</v>
      </c>
      <c r="X989" s="5" t="s">
        <v>69</v>
      </c>
      <c r="Y989" s="4">
        <v>6</v>
      </c>
      <c r="Z989" s="4">
        <v>1</v>
      </c>
      <c r="AA989" s="4">
        <v>1</v>
      </c>
      <c r="AB989" s="4">
        <v>1</v>
      </c>
      <c r="AC989" s="4">
        <v>1</v>
      </c>
      <c r="AD989" s="4">
        <v>4</v>
      </c>
      <c r="AE989" s="4">
        <v>4</v>
      </c>
      <c r="AF989" s="4">
        <v>0</v>
      </c>
      <c r="AG989" s="4">
        <v>0</v>
      </c>
      <c r="AH989" s="4">
        <v>4</v>
      </c>
      <c r="AI989" s="4">
        <v>4</v>
      </c>
      <c r="AJ989" s="4">
        <v>0</v>
      </c>
      <c r="AK989" s="4">
        <v>0</v>
      </c>
      <c r="AL989" s="4">
        <v>3</v>
      </c>
      <c r="AM989" s="4">
        <v>3</v>
      </c>
      <c r="AN989" s="4">
        <v>0</v>
      </c>
      <c r="AO989" s="4">
        <v>0</v>
      </c>
      <c r="AP989" s="4">
        <v>0</v>
      </c>
      <c r="AQ989" s="4">
        <v>0</v>
      </c>
      <c r="AR989" s="3" t="s">
        <v>63</v>
      </c>
      <c r="AS989" s="3" t="s">
        <v>63</v>
      </c>
      <c r="AT989" s="3" t="s">
        <v>63</v>
      </c>
      <c r="AV989" s="6" t="str">
        <f>HYPERLINK("http://mcgill.on.worldcat.org/oclc/781969429","Catalog Record")</f>
        <v>Catalog Record</v>
      </c>
      <c r="AW989" s="6" t="str">
        <f>HYPERLINK("http://www.worldcat.org/oclc/781969429","WorldCat Record")</f>
        <v>WorldCat Record</v>
      </c>
      <c r="AX989" s="3" t="s">
        <v>9762</v>
      </c>
      <c r="AY989" s="3" t="s">
        <v>9763</v>
      </c>
      <c r="AZ989" s="3" t="s">
        <v>9764</v>
      </c>
      <c r="BA989" s="3" t="s">
        <v>9764</v>
      </c>
      <c r="BB989" s="3" t="s">
        <v>9765</v>
      </c>
      <c r="BC989" s="3" t="s">
        <v>82</v>
      </c>
      <c r="BD989" s="3" t="s">
        <v>70</v>
      </c>
      <c r="BE989" s="3" t="s">
        <v>9766</v>
      </c>
      <c r="BF989" s="3" t="s">
        <v>9765</v>
      </c>
      <c r="BG989" s="3" t="s">
        <v>9767</v>
      </c>
    </row>
    <row r="990" spans="1:59" ht="60" x14ac:dyDescent="0.25">
      <c r="A990" s="2" t="s">
        <v>59</v>
      </c>
      <c r="B990" s="2" t="s">
        <v>60</v>
      </c>
      <c r="C990" s="2" t="s">
        <v>9768</v>
      </c>
      <c r="D990" s="2" t="s">
        <v>9769</v>
      </c>
      <c r="E990" s="2" t="s">
        <v>9770</v>
      </c>
      <c r="G990" s="3" t="s">
        <v>63</v>
      </c>
      <c r="I990" s="3" t="s">
        <v>63</v>
      </c>
      <c r="J990" s="3" t="s">
        <v>63</v>
      </c>
      <c r="K990" s="3" t="s">
        <v>64</v>
      </c>
      <c r="M990" s="2" t="s">
        <v>9771</v>
      </c>
      <c r="N990" s="3" t="s">
        <v>1557</v>
      </c>
      <c r="P990" s="3" t="s">
        <v>90</v>
      </c>
      <c r="Q990" s="2" t="s">
        <v>9727</v>
      </c>
      <c r="R990" s="3" t="s">
        <v>67</v>
      </c>
      <c r="S990" s="4">
        <v>0</v>
      </c>
      <c r="T990" s="4">
        <v>0</v>
      </c>
      <c r="W990" s="5" t="s">
        <v>69</v>
      </c>
      <c r="X990" s="5" t="s">
        <v>69</v>
      </c>
      <c r="Y990" s="4">
        <v>41</v>
      </c>
      <c r="Z990" s="4">
        <v>1</v>
      </c>
      <c r="AA990" s="4">
        <v>1</v>
      </c>
      <c r="AB990" s="4">
        <v>1</v>
      </c>
      <c r="AC990" s="4">
        <v>1</v>
      </c>
      <c r="AD990" s="4">
        <v>24</v>
      </c>
      <c r="AE990" s="4">
        <v>24</v>
      </c>
      <c r="AF990" s="4">
        <v>0</v>
      </c>
      <c r="AG990" s="4">
        <v>0</v>
      </c>
      <c r="AH990" s="4">
        <v>23</v>
      </c>
      <c r="AI990" s="4">
        <v>23</v>
      </c>
      <c r="AJ990" s="4">
        <v>0</v>
      </c>
      <c r="AK990" s="4">
        <v>0</v>
      </c>
      <c r="AL990" s="4">
        <v>20</v>
      </c>
      <c r="AM990" s="4">
        <v>20</v>
      </c>
      <c r="AN990" s="4">
        <v>0</v>
      </c>
      <c r="AO990" s="4">
        <v>0</v>
      </c>
      <c r="AP990" s="4">
        <v>0</v>
      </c>
      <c r="AQ990" s="4">
        <v>0</v>
      </c>
      <c r="AR990" s="3" t="s">
        <v>63</v>
      </c>
      <c r="AS990" s="3" t="s">
        <v>63</v>
      </c>
      <c r="AT990" s="3" t="s">
        <v>63</v>
      </c>
      <c r="AV990" s="6" t="str">
        <f>HYPERLINK("http://mcgill.on.worldcat.org/oclc/1001572033","Catalog Record")</f>
        <v>Catalog Record</v>
      </c>
      <c r="AW990" s="6" t="str">
        <f>HYPERLINK("http://www.worldcat.org/oclc/1001572033","WorldCat Record")</f>
        <v>WorldCat Record</v>
      </c>
      <c r="AX990" s="3" t="s">
        <v>9772</v>
      </c>
      <c r="AY990" s="3" t="s">
        <v>9773</v>
      </c>
      <c r="AZ990" s="3" t="s">
        <v>9774</v>
      </c>
      <c r="BA990" s="3" t="s">
        <v>9774</v>
      </c>
      <c r="BB990" s="3" t="s">
        <v>9775</v>
      </c>
      <c r="BC990" s="3" t="s">
        <v>82</v>
      </c>
      <c r="BD990" s="3" t="s">
        <v>70</v>
      </c>
      <c r="BE990" s="3" t="s">
        <v>9776</v>
      </c>
      <c r="BF990" s="3" t="s">
        <v>9775</v>
      </c>
      <c r="BG990" s="3" t="s">
        <v>9777</v>
      </c>
    </row>
    <row r="991" spans="1:59" ht="60" x14ac:dyDescent="0.25">
      <c r="A991" s="2" t="s">
        <v>59</v>
      </c>
      <c r="B991" s="2" t="s">
        <v>60</v>
      </c>
      <c r="C991" s="2" t="s">
        <v>9778</v>
      </c>
      <c r="D991" s="2" t="s">
        <v>9779</v>
      </c>
      <c r="E991" s="2" t="s">
        <v>9780</v>
      </c>
      <c r="G991" s="3" t="s">
        <v>63</v>
      </c>
      <c r="I991" s="3" t="s">
        <v>63</v>
      </c>
      <c r="J991" s="3" t="s">
        <v>63</v>
      </c>
      <c r="K991" s="3" t="s">
        <v>64</v>
      </c>
      <c r="M991" s="2" t="s">
        <v>9781</v>
      </c>
      <c r="N991" s="3" t="s">
        <v>9782</v>
      </c>
      <c r="P991" s="3" t="s">
        <v>66</v>
      </c>
      <c r="Q991" s="2" t="s">
        <v>9783</v>
      </c>
      <c r="R991" s="3" t="s">
        <v>67</v>
      </c>
      <c r="S991" s="4">
        <v>11</v>
      </c>
      <c r="T991" s="4">
        <v>11</v>
      </c>
      <c r="U991" s="5" t="s">
        <v>9784</v>
      </c>
      <c r="V991" s="5" t="s">
        <v>9784</v>
      </c>
      <c r="W991" s="5" t="s">
        <v>69</v>
      </c>
      <c r="X991" s="5" t="s">
        <v>69</v>
      </c>
      <c r="Y991" s="4">
        <v>776</v>
      </c>
      <c r="Z991" s="4">
        <v>22</v>
      </c>
      <c r="AA991" s="4">
        <v>51</v>
      </c>
      <c r="AB991" s="4">
        <v>3</v>
      </c>
      <c r="AC991" s="4">
        <v>13</v>
      </c>
      <c r="AD991" s="4">
        <v>82</v>
      </c>
      <c r="AE991" s="4">
        <v>134</v>
      </c>
      <c r="AF991" s="4">
        <v>1</v>
      </c>
      <c r="AG991" s="4">
        <v>6</v>
      </c>
      <c r="AH991" s="4">
        <v>74</v>
      </c>
      <c r="AI991" s="4">
        <v>109</v>
      </c>
      <c r="AJ991" s="4">
        <v>9</v>
      </c>
      <c r="AK991" s="4">
        <v>19</v>
      </c>
      <c r="AL991" s="4">
        <v>36</v>
      </c>
      <c r="AM991" s="4">
        <v>64</v>
      </c>
      <c r="AN991" s="4">
        <v>0</v>
      </c>
      <c r="AO991" s="4">
        <v>0</v>
      </c>
      <c r="AP991" s="4">
        <v>15</v>
      </c>
      <c r="AQ991" s="4">
        <v>30</v>
      </c>
      <c r="AR991" s="3" t="s">
        <v>63</v>
      </c>
      <c r="AS991" s="3" t="s">
        <v>63</v>
      </c>
      <c r="AT991" s="3" t="s">
        <v>62</v>
      </c>
      <c r="AU991" s="6" t="str">
        <f>HYPERLINK("http://catalog.hathitrust.org/Record/007129147","HathiTrust Record")</f>
        <v>HathiTrust Record</v>
      </c>
      <c r="AV991" s="6" t="str">
        <f>HYPERLINK("http://mcgill.on.worldcat.org/oclc/319725","Catalog Record")</f>
        <v>Catalog Record</v>
      </c>
      <c r="AW991" s="6" t="str">
        <f>HYPERLINK("http://www.worldcat.org/oclc/319725","WorldCat Record")</f>
        <v>WorldCat Record</v>
      </c>
      <c r="AX991" s="3" t="s">
        <v>9785</v>
      </c>
      <c r="AY991" s="3" t="s">
        <v>9786</v>
      </c>
      <c r="AZ991" s="3" t="s">
        <v>9787</v>
      </c>
      <c r="BA991" s="3" t="s">
        <v>9787</v>
      </c>
      <c r="BB991" s="3" t="s">
        <v>9788</v>
      </c>
      <c r="BC991" s="3" t="s">
        <v>82</v>
      </c>
      <c r="BD991" s="3" t="s">
        <v>70</v>
      </c>
      <c r="BF991" s="3" t="s">
        <v>9788</v>
      </c>
      <c r="BG991" s="3" t="s">
        <v>9789</v>
      </c>
    </row>
    <row r="992" spans="1:59" ht="60" x14ac:dyDescent="0.25">
      <c r="A992" s="2" t="s">
        <v>59</v>
      </c>
      <c r="B992" s="2" t="s">
        <v>60</v>
      </c>
      <c r="C992" s="2" t="s">
        <v>9790</v>
      </c>
      <c r="D992" s="2" t="s">
        <v>9791</v>
      </c>
      <c r="E992" s="2" t="s">
        <v>9792</v>
      </c>
      <c r="G992" s="3" t="s">
        <v>63</v>
      </c>
      <c r="I992" s="3" t="s">
        <v>63</v>
      </c>
      <c r="J992" s="3" t="s">
        <v>63</v>
      </c>
      <c r="K992" s="3" t="s">
        <v>64</v>
      </c>
      <c r="M992" s="2" t="s">
        <v>9793</v>
      </c>
      <c r="N992" s="3" t="s">
        <v>441</v>
      </c>
      <c r="P992" s="3" t="s">
        <v>66</v>
      </c>
      <c r="R992" s="3" t="s">
        <v>67</v>
      </c>
      <c r="S992" s="4">
        <v>1</v>
      </c>
      <c r="T992" s="4">
        <v>1</v>
      </c>
      <c r="U992" s="5" t="s">
        <v>9794</v>
      </c>
      <c r="V992" s="5" t="s">
        <v>9794</v>
      </c>
      <c r="W992" s="5" t="s">
        <v>69</v>
      </c>
      <c r="X992" s="5" t="s">
        <v>69</v>
      </c>
      <c r="Y992" s="4">
        <v>14</v>
      </c>
      <c r="Z992" s="4">
        <v>4</v>
      </c>
      <c r="AA992" s="4">
        <v>4</v>
      </c>
      <c r="AB992" s="4">
        <v>1</v>
      </c>
      <c r="AC992" s="4">
        <v>1</v>
      </c>
      <c r="AD992" s="4">
        <v>3</v>
      </c>
      <c r="AE992" s="4">
        <v>4</v>
      </c>
      <c r="AF992" s="4">
        <v>0</v>
      </c>
      <c r="AG992" s="4">
        <v>0</v>
      </c>
      <c r="AH992" s="4">
        <v>2</v>
      </c>
      <c r="AI992" s="4">
        <v>3</v>
      </c>
      <c r="AJ992" s="4">
        <v>2</v>
      </c>
      <c r="AK992" s="4">
        <v>2</v>
      </c>
      <c r="AL992" s="4">
        <v>2</v>
      </c>
      <c r="AM992" s="4">
        <v>3</v>
      </c>
      <c r="AN992" s="4">
        <v>0</v>
      </c>
      <c r="AO992" s="4">
        <v>0</v>
      </c>
      <c r="AP992" s="4">
        <v>2</v>
      </c>
      <c r="AQ992" s="4">
        <v>2</v>
      </c>
      <c r="AR992" s="3" t="s">
        <v>63</v>
      </c>
      <c r="AS992" s="3" t="s">
        <v>63</v>
      </c>
      <c r="AT992" s="3" t="s">
        <v>63</v>
      </c>
      <c r="AV992" s="6" t="str">
        <f>HYPERLINK("http://mcgill.on.worldcat.org/oclc/427283673","Catalog Record")</f>
        <v>Catalog Record</v>
      </c>
      <c r="AW992" s="6" t="str">
        <f>HYPERLINK("http://www.worldcat.org/oclc/427283673","WorldCat Record")</f>
        <v>WorldCat Record</v>
      </c>
      <c r="AX992" s="3" t="s">
        <v>9795</v>
      </c>
      <c r="AY992" s="3" t="s">
        <v>9796</v>
      </c>
      <c r="AZ992" s="3" t="s">
        <v>9797</v>
      </c>
      <c r="BA992" s="3" t="s">
        <v>9797</v>
      </c>
      <c r="BB992" s="3" t="s">
        <v>9798</v>
      </c>
      <c r="BC992" s="3" t="s">
        <v>82</v>
      </c>
      <c r="BD992" s="3" t="s">
        <v>70</v>
      </c>
      <c r="BF992" s="3" t="s">
        <v>9798</v>
      </c>
      <c r="BG992" s="3" t="s">
        <v>9799</v>
      </c>
    </row>
    <row r="993" spans="1:59" ht="60" x14ac:dyDescent="0.25">
      <c r="A993" s="2" t="s">
        <v>59</v>
      </c>
      <c r="B993" s="2" t="s">
        <v>60</v>
      </c>
      <c r="C993" s="2" t="s">
        <v>9800</v>
      </c>
      <c r="D993" s="2" t="s">
        <v>9801</v>
      </c>
      <c r="E993" s="2" t="s">
        <v>9802</v>
      </c>
      <c r="G993" s="3" t="s">
        <v>63</v>
      </c>
      <c r="I993" s="3" t="s">
        <v>63</v>
      </c>
      <c r="J993" s="3" t="s">
        <v>63</v>
      </c>
      <c r="K993" s="3" t="s">
        <v>64</v>
      </c>
      <c r="M993" s="2" t="s">
        <v>9803</v>
      </c>
      <c r="N993" s="3" t="s">
        <v>313</v>
      </c>
      <c r="O993" s="2" t="s">
        <v>9804</v>
      </c>
      <c r="P993" s="3" t="s">
        <v>66</v>
      </c>
      <c r="R993" s="3" t="s">
        <v>67</v>
      </c>
      <c r="S993" s="4">
        <v>3</v>
      </c>
      <c r="T993" s="4">
        <v>3</v>
      </c>
      <c r="U993" s="5" t="s">
        <v>9805</v>
      </c>
      <c r="V993" s="5" t="s">
        <v>9805</v>
      </c>
      <c r="W993" s="5" t="s">
        <v>69</v>
      </c>
      <c r="X993" s="5" t="s">
        <v>69</v>
      </c>
      <c r="Y993" s="4">
        <v>264</v>
      </c>
      <c r="Z993" s="4">
        <v>13</v>
      </c>
      <c r="AA993" s="4">
        <v>18</v>
      </c>
      <c r="AB993" s="4">
        <v>3</v>
      </c>
      <c r="AC993" s="4">
        <v>5</v>
      </c>
      <c r="AD993" s="4">
        <v>34</v>
      </c>
      <c r="AE993" s="4">
        <v>34</v>
      </c>
      <c r="AF993" s="4">
        <v>0</v>
      </c>
      <c r="AG993" s="4">
        <v>0</v>
      </c>
      <c r="AH993" s="4">
        <v>32</v>
      </c>
      <c r="AI993" s="4">
        <v>32</v>
      </c>
      <c r="AJ993" s="4">
        <v>4</v>
      </c>
      <c r="AK993" s="4">
        <v>4</v>
      </c>
      <c r="AL993" s="4">
        <v>21</v>
      </c>
      <c r="AM993" s="4">
        <v>21</v>
      </c>
      <c r="AN993" s="4">
        <v>0</v>
      </c>
      <c r="AO993" s="4">
        <v>0</v>
      </c>
      <c r="AP993" s="4">
        <v>4</v>
      </c>
      <c r="AQ993" s="4">
        <v>4</v>
      </c>
      <c r="AR993" s="3" t="s">
        <v>63</v>
      </c>
      <c r="AS993" s="3" t="s">
        <v>63</v>
      </c>
      <c r="AT993" s="3" t="s">
        <v>63</v>
      </c>
      <c r="AV993" s="6" t="str">
        <f>HYPERLINK("http://mcgill.on.worldcat.org/oclc/601103649","Catalog Record")</f>
        <v>Catalog Record</v>
      </c>
      <c r="AW993" s="6" t="str">
        <f>HYPERLINK("http://www.worldcat.org/oclc/601103649","WorldCat Record")</f>
        <v>WorldCat Record</v>
      </c>
      <c r="AX993" s="3" t="s">
        <v>9806</v>
      </c>
      <c r="AY993" s="3" t="s">
        <v>9807</v>
      </c>
      <c r="AZ993" s="3" t="s">
        <v>9808</v>
      </c>
      <c r="BA993" s="3" t="s">
        <v>9808</v>
      </c>
      <c r="BB993" s="3" t="s">
        <v>9809</v>
      </c>
      <c r="BC993" s="3" t="s">
        <v>82</v>
      </c>
      <c r="BD993" s="3" t="s">
        <v>70</v>
      </c>
      <c r="BE993" s="3" t="s">
        <v>9810</v>
      </c>
      <c r="BF993" s="3" t="s">
        <v>9809</v>
      </c>
      <c r="BG993" s="3" t="s">
        <v>9811</v>
      </c>
    </row>
    <row r="994" spans="1:59" ht="60" x14ac:dyDescent="0.25">
      <c r="A994" s="2" t="s">
        <v>59</v>
      </c>
      <c r="B994" s="2" t="s">
        <v>60</v>
      </c>
      <c r="C994" s="2" t="s">
        <v>9812</v>
      </c>
      <c r="D994" s="2" t="s">
        <v>9813</v>
      </c>
      <c r="E994" s="2" t="s">
        <v>9814</v>
      </c>
      <c r="G994" s="3" t="s">
        <v>63</v>
      </c>
      <c r="I994" s="3" t="s">
        <v>62</v>
      </c>
      <c r="J994" s="3" t="s">
        <v>62</v>
      </c>
      <c r="K994" s="3" t="s">
        <v>64</v>
      </c>
      <c r="M994" s="2" t="s">
        <v>9815</v>
      </c>
      <c r="N994" s="3" t="s">
        <v>1010</v>
      </c>
      <c r="P994" s="3" t="s">
        <v>66</v>
      </c>
      <c r="R994" s="3" t="s">
        <v>67</v>
      </c>
      <c r="S994" s="4">
        <v>5</v>
      </c>
      <c r="T994" s="4">
        <v>6</v>
      </c>
      <c r="U994" s="5" t="s">
        <v>8229</v>
      </c>
      <c r="V994" s="5" t="s">
        <v>8229</v>
      </c>
      <c r="W994" s="5" t="s">
        <v>69</v>
      </c>
      <c r="X994" s="5" t="s">
        <v>69</v>
      </c>
      <c r="Y994" s="4">
        <v>174</v>
      </c>
      <c r="Z994" s="4">
        <v>7</v>
      </c>
      <c r="AA994" s="4">
        <v>37</v>
      </c>
      <c r="AB994" s="4">
        <v>1</v>
      </c>
      <c r="AC994" s="4">
        <v>5</v>
      </c>
      <c r="AD994" s="4">
        <v>37</v>
      </c>
      <c r="AE994" s="4">
        <v>122</v>
      </c>
      <c r="AF994" s="4">
        <v>0</v>
      </c>
      <c r="AG994" s="4">
        <v>3</v>
      </c>
      <c r="AH994" s="4">
        <v>33</v>
      </c>
      <c r="AI994" s="4">
        <v>100</v>
      </c>
      <c r="AJ994" s="4">
        <v>6</v>
      </c>
      <c r="AK994" s="4">
        <v>20</v>
      </c>
      <c r="AL994" s="4">
        <v>19</v>
      </c>
      <c r="AM994" s="4">
        <v>56</v>
      </c>
      <c r="AN994" s="4">
        <v>0</v>
      </c>
      <c r="AO994" s="4">
        <v>0</v>
      </c>
      <c r="AP994" s="4">
        <v>6</v>
      </c>
      <c r="AQ994" s="4">
        <v>28</v>
      </c>
      <c r="AR994" s="3" t="s">
        <v>63</v>
      </c>
      <c r="AS994" s="3" t="s">
        <v>63</v>
      </c>
      <c r="AT994" s="3" t="s">
        <v>62</v>
      </c>
      <c r="AU994" s="6" t="str">
        <f>HYPERLINK("http://catalog.hathitrust.org/Record/007122144","HathiTrust Record")</f>
        <v>HathiTrust Record</v>
      </c>
      <c r="AV994" s="6" t="str">
        <f>HYPERLINK("http://mcgill.on.worldcat.org/oclc/6614754","Catalog Record")</f>
        <v>Catalog Record</v>
      </c>
      <c r="AW994" s="6" t="str">
        <f>HYPERLINK("http://www.worldcat.org/oclc/6614754","WorldCat Record")</f>
        <v>WorldCat Record</v>
      </c>
      <c r="AX994" s="3" t="s">
        <v>9816</v>
      </c>
      <c r="AY994" s="3" t="s">
        <v>9817</v>
      </c>
      <c r="AZ994" s="3" t="s">
        <v>9818</v>
      </c>
      <c r="BA994" s="3" t="s">
        <v>9818</v>
      </c>
      <c r="BB994" s="3" t="s">
        <v>9819</v>
      </c>
      <c r="BC994" s="3" t="s">
        <v>82</v>
      </c>
      <c r="BD994" s="3" t="s">
        <v>70</v>
      </c>
      <c r="BF994" s="3" t="s">
        <v>9819</v>
      </c>
      <c r="BG994" s="3" t="s">
        <v>9820</v>
      </c>
    </row>
    <row r="995" spans="1:59" ht="60" x14ac:dyDescent="0.25">
      <c r="A995" s="2" t="s">
        <v>59</v>
      </c>
      <c r="B995" s="2" t="s">
        <v>60</v>
      </c>
      <c r="C995" s="2" t="s">
        <v>9812</v>
      </c>
      <c r="D995" s="2" t="s">
        <v>9813</v>
      </c>
      <c r="E995" s="2" t="s">
        <v>9814</v>
      </c>
      <c r="G995" s="3" t="s">
        <v>63</v>
      </c>
      <c r="I995" s="3" t="s">
        <v>62</v>
      </c>
      <c r="J995" s="3" t="s">
        <v>62</v>
      </c>
      <c r="K995" s="3" t="s">
        <v>64</v>
      </c>
      <c r="M995" s="2" t="s">
        <v>9815</v>
      </c>
      <c r="N995" s="3" t="s">
        <v>1010</v>
      </c>
      <c r="P995" s="3" t="s">
        <v>66</v>
      </c>
      <c r="R995" s="3" t="s">
        <v>67</v>
      </c>
      <c r="S995" s="4">
        <v>1</v>
      </c>
      <c r="T995" s="4">
        <v>6</v>
      </c>
      <c r="U995" s="5" t="s">
        <v>8229</v>
      </c>
      <c r="V995" s="5" t="s">
        <v>8229</v>
      </c>
      <c r="W995" s="5" t="s">
        <v>69</v>
      </c>
      <c r="X995" s="5" t="s">
        <v>69</v>
      </c>
      <c r="Y995" s="4">
        <v>174</v>
      </c>
      <c r="Z995" s="4">
        <v>7</v>
      </c>
      <c r="AA995" s="4">
        <v>37</v>
      </c>
      <c r="AB995" s="4">
        <v>1</v>
      </c>
      <c r="AC995" s="4">
        <v>5</v>
      </c>
      <c r="AD995" s="4">
        <v>37</v>
      </c>
      <c r="AE995" s="4">
        <v>122</v>
      </c>
      <c r="AF995" s="4">
        <v>0</v>
      </c>
      <c r="AG995" s="4">
        <v>3</v>
      </c>
      <c r="AH995" s="4">
        <v>33</v>
      </c>
      <c r="AI995" s="4">
        <v>100</v>
      </c>
      <c r="AJ995" s="4">
        <v>6</v>
      </c>
      <c r="AK995" s="4">
        <v>20</v>
      </c>
      <c r="AL995" s="4">
        <v>19</v>
      </c>
      <c r="AM995" s="4">
        <v>56</v>
      </c>
      <c r="AN995" s="4">
        <v>0</v>
      </c>
      <c r="AO995" s="4">
        <v>0</v>
      </c>
      <c r="AP995" s="4">
        <v>6</v>
      </c>
      <c r="AQ995" s="4">
        <v>28</v>
      </c>
      <c r="AR995" s="3" t="s">
        <v>63</v>
      </c>
      <c r="AS995" s="3" t="s">
        <v>63</v>
      </c>
      <c r="AT995" s="3" t="s">
        <v>62</v>
      </c>
      <c r="AU995" s="6" t="str">
        <f>HYPERLINK("http://catalog.hathitrust.org/Record/007122144","HathiTrust Record")</f>
        <v>HathiTrust Record</v>
      </c>
      <c r="AV995" s="6" t="str">
        <f>HYPERLINK("http://mcgill.on.worldcat.org/oclc/6614754","Catalog Record")</f>
        <v>Catalog Record</v>
      </c>
      <c r="AW995" s="6" t="str">
        <f>HYPERLINK("http://www.worldcat.org/oclc/6614754","WorldCat Record")</f>
        <v>WorldCat Record</v>
      </c>
      <c r="AX995" s="3" t="s">
        <v>9816</v>
      </c>
      <c r="AY995" s="3" t="s">
        <v>9817</v>
      </c>
      <c r="AZ995" s="3" t="s">
        <v>9818</v>
      </c>
      <c r="BA995" s="3" t="s">
        <v>9818</v>
      </c>
      <c r="BB995" s="3" t="s">
        <v>9821</v>
      </c>
      <c r="BC995" s="3" t="s">
        <v>82</v>
      </c>
      <c r="BD995" s="3" t="s">
        <v>70</v>
      </c>
      <c r="BF995" s="3" t="s">
        <v>9821</v>
      </c>
      <c r="BG995" s="3" t="s">
        <v>9822</v>
      </c>
    </row>
    <row r="996" spans="1:59" ht="60" x14ac:dyDescent="0.25">
      <c r="A996" s="2" t="s">
        <v>59</v>
      </c>
      <c r="B996" s="2" t="s">
        <v>60</v>
      </c>
      <c r="C996" s="2" t="s">
        <v>9823</v>
      </c>
      <c r="D996" s="2" t="s">
        <v>9824</v>
      </c>
      <c r="E996" s="2" t="s">
        <v>9814</v>
      </c>
      <c r="G996" s="3" t="s">
        <v>63</v>
      </c>
      <c r="I996" s="3" t="s">
        <v>63</v>
      </c>
      <c r="J996" s="3" t="s">
        <v>62</v>
      </c>
      <c r="K996" s="3" t="s">
        <v>64</v>
      </c>
      <c r="L996" s="2" t="s">
        <v>9825</v>
      </c>
      <c r="M996" s="2" t="s">
        <v>9826</v>
      </c>
      <c r="N996" s="3" t="s">
        <v>731</v>
      </c>
      <c r="P996" s="3" t="s">
        <v>66</v>
      </c>
      <c r="R996" s="3" t="s">
        <v>67</v>
      </c>
      <c r="S996" s="4">
        <v>10</v>
      </c>
      <c r="T996" s="4">
        <v>10</v>
      </c>
      <c r="U996" s="5" t="s">
        <v>8229</v>
      </c>
      <c r="V996" s="5" t="s">
        <v>8229</v>
      </c>
      <c r="W996" s="5" t="s">
        <v>69</v>
      </c>
      <c r="X996" s="5" t="s">
        <v>69</v>
      </c>
      <c r="Y996" s="4">
        <v>181</v>
      </c>
      <c r="Z996" s="4">
        <v>7</v>
      </c>
      <c r="AA996" s="4">
        <v>37</v>
      </c>
      <c r="AB996" s="4">
        <v>1</v>
      </c>
      <c r="AC996" s="4">
        <v>5</v>
      </c>
      <c r="AD996" s="4">
        <v>36</v>
      </c>
      <c r="AE996" s="4">
        <v>122</v>
      </c>
      <c r="AF996" s="4">
        <v>0</v>
      </c>
      <c r="AG996" s="4">
        <v>3</v>
      </c>
      <c r="AH996" s="4">
        <v>32</v>
      </c>
      <c r="AI996" s="4">
        <v>100</v>
      </c>
      <c r="AJ996" s="4">
        <v>2</v>
      </c>
      <c r="AK996" s="4">
        <v>20</v>
      </c>
      <c r="AL996" s="4">
        <v>19</v>
      </c>
      <c r="AM996" s="4">
        <v>56</v>
      </c>
      <c r="AN996" s="4">
        <v>0</v>
      </c>
      <c r="AO996" s="4">
        <v>0</v>
      </c>
      <c r="AP996" s="4">
        <v>5</v>
      </c>
      <c r="AQ996" s="4">
        <v>28</v>
      </c>
      <c r="AR996" s="3" t="s">
        <v>63</v>
      </c>
      <c r="AS996" s="3" t="s">
        <v>63</v>
      </c>
      <c r="AT996" s="3" t="s">
        <v>63</v>
      </c>
      <c r="AV996" s="6" t="str">
        <f>HYPERLINK("http://mcgill.on.worldcat.org/oclc/297501","Catalog Record")</f>
        <v>Catalog Record</v>
      </c>
      <c r="AW996" s="6" t="str">
        <f>HYPERLINK("http://www.worldcat.org/oclc/297501","WorldCat Record")</f>
        <v>WorldCat Record</v>
      </c>
      <c r="AX996" s="3" t="s">
        <v>9816</v>
      </c>
      <c r="AY996" s="3" t="s">
        <v>9827</v>
      </c>
      <c r="AZ996" s="3" t="s">
        <v>9828</v>
      </c>
      <c r="BA996" s="3" t="s">
        <v>9828</v>
      </c>
      <c r="BB996" s="3" t="s">
        <v>9829</v>
      </c>
      <c r="BC996" s="3" t="s">
        <v>82</v>
      </c>
      <c r="BD996" s="3" t="s">
        <v>70</v>
      </c>
      <c r="BE996" s="3" t="s">
        <v>9830</v>
      </c>
      <c r="BF996" s="3" t="s">
        <v>9829</v>
      </c>
      <c r="BG996" s="3" t="s">
        <v>9831</v>
      </c>
    </row>
    <row r="997" spans="1:59" ht="75" x14ac:dyDescent="0.25">
      <c r="A997" s="2" t="s">
        <v>59</v>
      </c>
      <c r="B997" s="2" t="s">
        <v>60</v>
      </c>
      <c r="C997" s="2" t="s">
        <v>9832</v>
      </c>
      <c r="D997" s="2" t="s">
        <v>9833</v>
      </c>
      <c r="E997" s="2" t="s">
        <v>9834</v>
      </c>
      <c r="G997" s="3" t="s">
        <v>63</v>
      </c>
      <c r="I997" s="3" t="s">
        <v>63</v>
      </c>
      <c r="J997" s="3" t="s">
        <v>63</v>
      </c>
      <c r="K997" s="3" t="s">
        <v>64</v>
      </c>
      <c r="L997" s="2" t="s">
        <v>9835</v>
      </c>
      <c r="M997" s="2" t="s">
        <v>9836</v>
      </c>
      <c r="N997" s="3" t="s">
        <v>130</v>
      </c>
      <c r="P997" s="3" t="s">
        <v>66</v>
      </c>
      <c r="Q997" s="2" t="s">
        <v>9837</v>
      </c>
      <c r="R997" s="3" t="s">
        <v>67</v>
      </c>
      <c r="S997" s="4">
        <v>4</v>
      </c>
      <c r="T997" s="4">
        <v>4</v>
      </c>
      <c r="U997" s="5" t="s">
        <v>1961</v>
      </c>
      <c r="V997" s="5" t="s">
        <v>1961</v>
      </c>
      <c r="W997" s="5" t="s">
        <v>69</v>
      </c>
      <c r="X997" s="5" t="s">
        <v>69</v>
      </c>
      <c r="Y997" s="4">
        <v>113</v>
      </c>
      <c r="Z997" s="4">
        <v>9</v>
      </c>
      <c r="AA997" s="4">
        <v>9</v>
      </c>
      <c r="AB997" s="4">
        <v>2</v>
      </c>
      <c r="AC997" s="4">
        <v>2</v>
      </c>
      <c r="AD997" s="4">
        <v>37</v>
      </c>
      <c r="AE997" s="4">
        <v>37</v>
      </c>
      <c r="AF997" s="4">
        <v>0</v>
      </c>
      <c r="AG997" s="4">
        <v>0</v>
      </c>
      <c r="AH997" s="4">
        <v>34</v>
      </c>
      <c r="AI997" s="4">
        <v>34</v>
      </c>
      <c r="AJ997" s="4">
        <v>5</v>
      </c>
      <c r="AK997" s="4">
        <v>5</v>
      </c>
      <c r="AL997" s="4">
        <v>24</v>
      </c>
      <c r="AM997" s="4">
        <v>24</v>
      </c>
      <c r="AN997" s="4">
        <v>0</v>
      </c>
      <c r="AO997" s="4">
        <v>0</v>
      </c>
      <c r="AP997" s="4">
        <v>5</v>
      </c>
      <c r="AQ997" s="4">
        <v>5</v>
      </c>
      <c r="AR997" s="3" t="s">
        <v>63</v>
      </c>
      <c r="AS997" s="3" t="s">
        <v>63</v>
      </c>
      <c r="AT997" s="3" t="s">
        <v>63</v>
      </c>
      <c r="AV997" s="6" t="str">
        <f>HYPERLINK("http://mcgill.on.worldcat.org/oclc/792881103","Catalog Record")</f>
        <v>Catalog Record</v>
      </c>
      <c r="AW997" s="6" t="str">
        <f>HYPERLINK("http://www.worldcat.org/oclc/792881103","WorldCat Record")</f>
        <v>WorldCat Record</v>
      </c>
      <c r="AX997" s="3" t="s">
        <v>9838</v>
      </c>
      <c r="AY997" s="3" t="s">
        <v>9839</v>
      </c>
      <c r="AZ997" s="3" t="s">
        <v>9840</v>
      </c>
      <c r="BA997" s="3" t="s">
        <v>9840</v>
      </c>
      <c r="BB997" s="3" t="s">
        <v>9841</v>
      </c>
      <c r="BC997" s="3" t="s">
        <v>82</v>
      </c>
      <c r="BD997" s="3" t="s">
        <v>70</v>
      </c>
      <c r="BE997" s="3" t="s">
        <v>9842</v>
      </c>
      <c r="BF997" s="3" t="s">
        <v>9841</v>
      </c>
      <c r="BG997" s="3" t="s">
        <v>9843</v>
      </c>
    </row>
    <row r="998" spans="1:59" ht="60" x14ac:dyDescent="0.25">
      <c r="A998" s="2" t="s">
        <v>59</v>
      </c>
      <c r="B998" s="2" t="s">
        <v>60</v>
      </c>
      <c r="C998" s="2" t="s">
        <v>9844</v>
      </c>
      <c r="D998" s="2" t="s">
        <v>9845</v>
      </c>
      <c r="E998" s="2" t="s">
        <v>9846</v>
      </c>
      <c r="G998" s="3" t="s">
        <v>63</v>
      </c>
      <c r="I998" s="3" t="s">
        <v>63</v>
      </c>
      <c r="J998" s="3" t="s">
        <v>63</v>
      </c>
      <c r="K998" s="3" t="s">
        <v>64</v>
      </c>
      <c r="M998" s="2" t="s">
        <v>9847</v>
      </c>
      <c r="N998" s="3" t="s">
        <v>374</v>
      </c>
      <c r="O998" s="2" t="s">
        <v>590</v>
      </c>
      <c r="P998" s="3" t="s">
        <v>66</v>
      </c>
      <c r="R998" s="3" t="s">
        <v>67</v>
      </c>
      <c r="S998" s="4">
        <v>7</v>
      </c>
      <c r="T998" s="4">
        <v>7</v>
      </c>
      <c r="U998" s="5" t="s">
        <v>9601</v>
      </c>
      <c r="V998" s="5" t="s">
        <v>9601</v>
      </c>
      <c r="W998" s="5" t="s">
        <v>69</v>
      </c>
      <c r="X998" s="5" t="s">
        <v>69</v>
      </c>
      <c r="Y998" s="4">
        <v>351</v>
      </c>
      <c r="Z998" s="4">
        <v>21</v>
      </c>
      <c r="AA998" s="4">
        <v>22</v>
      </c>
      <c r="AB998" s="4">
        <v>2</v>
      </c>
      <c r="AC998" s="4">
        <v>3</v>
      </c>
      <c r="AD998" s="4">
        <v>96</v>
      </c>
      <c r="AE998" s="4">
        <v>97</v>
      </c>
      <c r="AF998" s="4">
        <v>0</v>
      </c>
      <c r="AG998" s="4">
        <v>1</v>
      </c>
      <c r="AH998" s="4">
        <v>85</v>
      </c>
      <c r="AI998" s="4">
        <v>86</v>
      </c>
      <c r="AJ998" s="4">
        <v>13</v>
      </c>
      <c r="AK998" s="4">
        <v>14</v>
      </c>
      <c r="AL998" s="4">
        <v>50</v>
      </c>
      <c r="AM998" s="4">
        <v>50</v>
      </c>
      <c r="AN998" s="4">
        <v>0</v>
      </c>
      <c r="AO998" s="4">
        <v>0</v>
      </c>
      <c r="AP998" s="4">
        <v>16</v>
      </c>
      <c r="AQ998" s="4">
        <v>17</v>
      </c>
      <c r="AR998" s="3" t="s">
        <v>63</v>
      </c>
      <c r="AS998" s="3" t="s">
        <v>63</v>
      </c>
      <c r="AT998" s="3" t="s">
        <v>62</v>
      </c>
      <c r="AU998" s="6" t="str">
        <f>HYPERLINK("http://catalog.hathitrust.org/Record/003044914","HathiTrust Record")</f>
        <v>HathiTrust Record</v>
      </c>
      <c r="AV998" s="6" t="str">
        <f>HYPERLINK("http://mcgill.on.worldcat.org/oclc/31518015","Catalog Record")</f>
        <v>Catalog Record</v>
      </c>
      <c r="AW998" s="6" t="str">
        <f>HYPERLINK("http://www.worldcat.org/oclc/31518015","WorldCat Record")</f>
        <v>WorldCat Record</v>
      </c>
      <c r="AX998" s="3" t="s">
        <v>9848</v>
      </c>
      <c r="AY998" s="3" t="s">
        <v>9849</v>
      </c>
      <c r="AZ998" s="3" t="s">
        <v>9850</v>
      </c>
      <c r="BA998" s="3" t="s">
        <v>9850</v>
      </c>
      <c r="BB998" s="3" t="s">
        <v>9851</v>
      </c>
      <c r="BC998" s="3" t="s">
        <v>82</v>
      </c>
      <c r="BD998" s="3" t="s">
        <v>70</v>
      </c>
      <c r="BE998" s="3" t="s">
        <v>9852</v>
      </c>
      <c r="BF998" s="3" t="s">
        <v>9851</v>
      </c>
      <c r="BG998" s="3" t="s">
        <v>9853</v>
      </c>
    </row>
    <row r="999" spans="1:59" ht="60" x14ac:dyDescent="0.25">
      <c r="A999" s="2" t="s">
        <v>59</v>
      </c>
      <c r="B999" s="2" t="s">
        <v>60</v>
      </c>
      <c r="C999" s="2" t="s">
        <v>9854</v>
      </c>
      <c r="D999" s="2" t="s">
        <v>9855</v>
      </c>
      <c r="E999" s="2" t="s">
        <v>9856</v>
      </c>
      <c r="G999" s="3" t="s">
        <v>63</v>
      </c>
      <c r="I999" s="3" t="s">
        <v>63</v>
      </c>
      <c r="J999" s="3" t="s">
        <v>63</v>
      </c>
      <c r="K999" s="3" t="s">
        <v>64</v>
      </c>
      <c r="M999" s="2" t="s">
        <v>9857</v>
      </c>
      <c r="N999" s="3" t="s">
        <v>326</v>
      </c>
      <c r="P999" s="3" t="s">
        <v>66</v>
      </c>
      <c r="R999" s="3" t="s">
        <v>67</v>
      </c>
      <c r="S999" s="4">
        <v>4</v>
      </c>
      <c r="T999" s="4">
        <v>4</v>
      </c>
      <c r="U999" s="5" t="s">
        <v>9858</v>
      </c>
      <c r="V999" s="5" t="s">
        <v>9858</v>
      </c>
      <c r="W999" s="5" t="s">
        <v>69</v>
      </c>
      <c r="X999" s="5" t="s">
        <v>69</v>
      </c>
      <c r="Y999" s="4">
        <v>49</v>
      </c>
      <c r="Z999" s="4">
        <v>8</v>
      </c>
      <c r="AA999" s="4">
        <v>8</v>
      </c>
      <c r="AB999" s="4">
        <v>1</v>
      </c>
      <c r="AC999" s="4">
        <v>1</v>
      </c>
      <c r="AD999" s="4">
        <v>22</v>
      </c>
      <c r="AE999" s="4">
        <v>22</v>
      </c>
      <c r="AF999" s="4">
        <v>0</v>
      </c>
      <c r="AG999" s="4">
        <v>0</v>
      </c>
      <c r="AH999" s="4">
        <v>20</v>
      </c>
      <c r="AI999" s="4">
        <v>20</v>
      </c>
      <c r="AJ999" s="4">
        <v>3</v>
      </c>
      <c r="AK999" s="4">
        <v>3</v>
      </c>
      <c r="AL999" s="4">
        <v>13</v>
      </c>
      <c r="AM999" s="4">
        <v>13</v>
      </c>
      <c r="AN999" s="4">
        <v>0</v>
      </c>
      <c r="AO999" s="4">
        <v>0</v>
      </c>
      <c r="AP999" s="4">
        <v>3</v>
      </c>
      <c r="AQ999" s="4">
        <v>3</v>
      </c>
      <c r="AR999" s="3" t="s">
        <v>63</v>
      </c>
      <c r="AS999" s="3" t="s">
        <v>63</v>
      </c>
      <c r="AT999" s="3" t="s">
        <v>63</v>
      </c>
      <c r="AV999" s="6" t="str">
        <f>HYPERLINK("http://mcgill.on.worldcat.org/oclc/430322533","Catalog Record")</f>
        <v>Catalog Record</v>
      </c>
      <c r="AW999" s="6" t="str">
        <f>HYPERLINK("http://www.worldcat.org/oclc/430322533","WorldCat Record")</f>
        <v>WorldCat Record</v>
      </c>
      <c r="AX999" s="3" t="s">
        <v>9859</v>
      </c>
      <c r="AY999" s="3" t="s">
        <v>9860</v>
      </c>
      <c r="AZ999" s="3" t="s">
        <v>9861</v>
      </c>
      <c r="BA999" s="3" t="s">
        <v>9861</v>
      </c>
      <c r="BB999" s="3" t="s">
        <v>9862</v>
      </c>
      <c r="BC999" s="3" t="s">
        <v>82</v>
      </c>
      <c r="BD999" s="3" t="s">
        <v>70</v>
      </c>
      <c r="BE999" s="3" t="s">
        <v>9863</v>
      </c>
      <c r="BF999" s="3" t="s">
        <v>9862</v>
      </c>
      <c r="BG999" s="3" t="s">
        <v>9864</v>
      </c>
    </row>
    <row r="1000" spans="1:59" ht="60" x14ac:dyDescent="0.25">
      <c r="A1000" s="2" t="s">
        <v>59</v>
      </c>
      <c r="B1000" s="2" t="s">
        <v>60</v>
      </c>
      <c r="C1000" s="2" t="s">
        <v>9865</v>
      </c>
      <c r="D1000" s="2" t="s">
        <v>9866</v>
      </c>
      <c r="E1000" s="2" t="s">
        <v>9867</v>
      </c>
      <c r="G1000" s="3" t="s">
        <v>63</v>
      </c>
      <c r="I1000" s="3" t="s">
        <v>63</v>
      </c>
      <c r="J1000" s="3" t="s">
        <v>63</v>
      </c>
      <c r="K1000" s="3" t="s">
        <v>64</v>
      </c>
      <c r="M1000" s="2" t="s">
        <v>9868</v>
      </c>
      <c r="N1000" s="3" t="s">
        <v>130</v>
      </c>
      <c r="O1000" s="2" t="s">
        <v>1605</v>
      </c>
      <c r="P1000" s="3" t="s">
        <v>66</v>
      </c>
      <c r="R1000" s="3" t="s">
        <v>67</v>
      </c>
      <c r="S1000" s="4">
        <v>1</v>
      </c>
      <c r="T1000" s="4">
        <v>1</v>
      </c>
      <c r="U1000" s="5" t="s">
        <v>9869</v>
      </c>
      <c r="V1000" s="5" t="s">
        <v>9869</v>
      </c>
      <c r="W1000" s="5" t="s">
        <v>69</v>
      </c>
      <c r="X1000" s="5" t="s">
        <v>69</v>
      </c>
      <c r="Y1000" s="4">
        <v>138</v>
      </c>
      <c r="Z1000" s="4">
        <v>15</v>
      </c>
      <c r="AA1000" s="4">
        <v>100</v>
      </c>
      <c r="AB1000" s="4">
        <v>1</v>
      </c>
      <c r="AC1000" s="4">
        <v>14</v>
      </c>
      <c r="AD1000" s="4">
        <v>61</v>
      </c>
      <c r="AE1000" s="4">
        <v>117</v>
      </c>
      <c r="AF1000" s="4">
        <v>0</v>
      </c>
      <c r="AG1000" s="4">
        <v>8</v>
      </c>
      <c r="AH1000" s="4">
        <v>55</v>
      </c>
      <c r="AI1000" s="4">
        <v>80</v>
      </c>
      <c r="AJ1000" s="4">
        <v>11</v>
      </c>
      <c r="AK1000" s="4">
        <v>23</v>
      </c>
      <c r="AL1000" s="4">
        <v>36</v>
      </c>
      <c r="AM1000" s="4">
        <v>46</v>
      </c>
      <c r="AN1000" s="4">
        <v>0</v>
      </c>
      <c r="AO1000" s="4">
        <v>0</v>
      </c>
      <c r="AP1000" s="4">
        <v>11</v>
      </c>
      <c r="AQ1000" s="4">
        <v>44</v>
      </c>
      <c r="AR1000" s="3" t="s">
        <v>63</v>
      </c>
      <c r="AS1000" s="3" t="s">
        <v>63</v>
      </c>
      <c r="AT1000" s="3" t="s">
        <v>63</v>
      </c>
      <c r="AV1000" s="6" t="str">
        <f>HYPERLINK("http://mcgill.on.worldcat.org/oclc/861725478","Catalog Record")</f>
        <v>Catalog Record</v>
      </c>
      <c r="AW1000" s="6" t="str">
        <f>HYPERLINK("http://www.worldcat.org/oclc/861725478","WorldCat Record")</f>
        <v>WorldCat Record</v>
      </c>
      <c r="AX1000" s="3" t="s">
        <v>9870</v>
      </c>
      <c r="AY1000" s="3" t="s">
        <v>9871</v>
      </c>
      <c r="AZ1000" s="3" t="s">
        <v>9872</v>
      </c>
      <c r="BA1000" s="3" t="s">
        <v>9872</v>
      </c>
      <c r="BB1000" s="3" t="s">
        <v>9873</v>
      </c>
      <c r="BC1000" s="3" t="s">
        <v>82</v>
      </c>
      <c r="BD1000" s="3" t="s">
        <v>70</v>
      </c>
      <c r="BE1000" s="3" t="s">
        <v>9874</v>
      </c>
      <c r="BF1000" s="3" t="s">
        <v>9873</v>
      </c>
      <c r="BG1000" s="3" t="s">
        <v>9875</v>
      </c>
    </row>
    <row r="1001" spans="1:59" ht="60" x14ac:dyDescent="0.25">
      <c r="A1001" s="2" t="s">
        <v>59</v>
      </c>
      <c r="B1001" s="2" t="s">
        <v>60</v>
      </c>
      <c r="C1001" s="2" t="s">
        <v>9876</v>
      </c>
      <c r="D1001" s="2" t="s">
        <v>9877</v>
      </c>
      <c r="E1001" s="2" t="s">
        <v>9878</v>
      </c>
      <c r="G1001" s="3" t="s">
        <v>63</v>
      </c>
      <c r="I1001" s="3" t="s">
        <v>63</v>
      </c>
      <c r="J1001" s="3" t="s">
        <v>63</v>
      </c>
      <c r="K1001" s="3" t="s">
        <v>64</v>
      </c>
      <c r="M1001" s="2" t="s">
        <v>9879</v>
      </c>
      <c r="N1001" s="3" t="s">
        <v>161</v>
      </c>
      <c r="O1001" s="2" t="s">
        <v>590</v>
      </c>
      <c r="P1001" s="3" t="s">
        <v>66</v>
      </c>
      <c r="R1001" s="3" t="s">
        <v>67</v>
      </c>
      <c r="S1001" s="4">
        <v>14</v>
      </c>
      <c r="T1001" s="4">
        <v>14</v>
      </c>
      <c r="U1001" s="5" t="s">
        <v>9621</v>
      </c>
      <c r="V1001" s="5" t="s">
        <v>9621</v>
      </c>
      <c r="W1001" s="5" t="s">
        <v>69</v>
      </c>
      <c r="X1001" s="5" t="s">
        <v>69</v>
      </c>
      <c r="Y1001" s="4">
        <v>540</v>
      </c>
      <c r="Z1001" s="4">
        <v>22</v>
      </c>
      <c r="AA1001" s="4">
        <v>24</v>
      </c>
      <c r="AB1001" s="4">
        <v>1</v>
      </c>
      <c r="AC1001" s="4">
        <v>2</v>
      </c>
      <c r="AD1001" s="4">
        <v>97</v>
      </c>
      <c r="AE1001" s="4">
        <v>97</v>
      </c>
      <c r="AF1001" s="4">
        <v>0</v>
      </c>
      <c r="AG1001" s="4">
        <v>0</v>
      </c>
      <c r="AH1001" s="4">
        <v>88</v>
      </c>
      <c r="AI1001" s="4">
        <v>88</v>
      </c>
      <c r="AJ1001" s="4">
        <v>12</v>
      </c>
      <c r="AK1001" s="4">
        <v>12</v>
      </c>
      <c r="AL1001" s="4">
        <v>51</v>
      </c>
      <c r="AM1001" s="4">
        <v>51</v>
      </c>
      <c r="AN1001" s="4">
        <v>0</v>
      </c>
      <c r="AO1001" s="4">
        <v>0</v>
      </c>
      <c r="AP1001" s="4">
        <v>13</v>
      </c>
      <c r="AQ1001" s="4">
        <v>13</v>
      </c>
      <c r="AR1001" s="3" t="s">
        <v>63</v>
      </c>
      <c r="AS1001" s="3" t="s">
        <v>63</v>
      </c>
      <c r="AT1001" s="3" t="s">
        <v>62</v>
      </c>
      <c r="AU1001" s="6" t="str">
        <f>HYPERLINK("http://catalog.hathitrust.org/Record/001826602","HathiTrust Record")</f>
        <v>HathiTrust Record</v>
      </c>
      <c r="AV1001" s="6" t="str">
        <f>HYPERLINK("http://mcgill.on.worldcat.org/oclc/18683352","Catalog Record")</f>
        <v>Catalog Record</v>
      </c>
      <c r="AW1001" s="6" t="str">
        <f>HYPERLINK("http://www.worldcat.org/oclc/18683352","WorldCat Record")</f>
        <v>WorldCat Record</v>
      </c>
      <c r="AX1001" s="3" t="s">
        <v>9880</v>
      </c>
      <c r="AY1001" s="3" t="s">
        <v>9881</v>
      </c>
      <c r="AZ1001" s="3" t="s">
        <v>9882</v>
      </c>
      <c r="BA1001" s="3" t="s">
        <v>9882</v>
      </c>
      <c r="BB1001" s="3" t="s">
        <v>9883</v>
      </c>
      <c r="BC1001" s="3" t="s">
        <v>82</v>
      </c>
      <c r="BD1001" s="3" t="s">
        <v>70</v>
      </c>
      <c r="BE1001" s="3" t="s">
        <v>9884</v>
      </c>
      <c r="BF1001" s="3" t="s">
        <v>9883</v>
      </c>
      <c r="BG1001" s="3" t="s">
        <v>9885</v>
      </c>
    </row>
    <row r="1002" spans="1:59" ht="60" x14ac:dyDescent="0.25">
      <c r="A1002" s="2" t="s">
        <v>59</v>
      </c>
      <c r="B1002" s="2" t="s">
        <v>60</v>
      </c>
      <c r="C1002" s="2" t="s">
        <v>9886</v>
      </c>
      <c r="D1002" s="2" t="s">
        <v>9887</v>
      </c>
      <c r="E1002" s="2" t="s">
        <v>9888</v>
      </c>
      <c r="G1002" s="3" t="s">
        <v>63</v>
      </c>
      <c r="I1002" s="3" t="s">
        <v>62</v>
      </c>
      <c r="J1002" s="3" t="s">
        <v>63</v>
      </c>
      <c r="K1002" s="3" t="s">
        <v>64</v>
      </c>
      <c r="M1002" s="2" t="s">
        <v>9889</v>
      </c>
      <c r="N1002" s="3" t="s">
        <v>204</v>
      </c>
      <c r="P1002" s="3" t="s">
        <v>66</v>
      </c>
      <c r="R1002" s="3" t="s">
        <v>67</v>
      </c>
      <c r="S1002" s="4">
        <v>8</v>
      </c>
      <c r="T1002" s="4">
        <v>13</v>
      </c>
      <c r="U1002" s="5" t="s">
        <v>9890</v>
      </c>
      <c r="V1002" s="5" t="s">
        <v>7174</v>
      </c>
      <c r="W1002" s="5" t="s">
        <v>69</v>
      </c>
      <c r="X1002" s="5" t="s">
        <v>69</v>
      </c>
      <c r="Y1002" s="4">
        <v>377</v>
      </c>
      <c r="Z1002" s="4">
        <v>18</v>
      </c>
      <c r="AA1002" s="4">
        <v>24</v>
      </c>
      <c r="AB1002" s="4">
        <v>1</v>
      </c>
      <c r="AC1002" s="4">
        <v>5</v>
      </c>
      <c r="AD1002" s="4">
        <v>90</v>
      </c>
      <c r="AE1002" s="4">
        <v>93</v>
      </c>
      <c r="AF1002" s="4">
        <v>0</v>
      </c>
      <c r="AG1002" s="4">
        <v>1</v>
      </c>
      <c r="AH1002" s="4">
        <v>81</v>
      </c>
      <c r="AI1002" s="4">
        <v>83</v>
      </c>
      <c r="AJ1002" s="4">
        <v>12</v>
      </c>
      <c r="AK1002" s="4">
        <v>15</v>
      </c>
      <c r="AL1002" s="4">
        <v>51</v>
      </c>
      <c r="AM1002" s="4">
        <v>51</v>
      </c>
      <c r="AN1002" s="4">
        <v>0</v>
      </c>
      <c r="AO1002" s="4">
        <v>0</v>
      </c>
      <c r="AP1002" s="4">
        <v>12</v>
      </c>
      <c r="AQ1002" s="4">
        <v>15</v>
      </c>
      <c r="AR1002" s="3" t="s">
        <v>63</v>
      </c>
      <c r="AS1002" s="3" t="s">
        <v>63</v>
      </c>
      <c r="AT1002" s="3" t="s">
        <v>62</v>
      </c>
      <c r="AU1002" s="6" t="str">
        <f>HYPERLINK("http://catalog.hathitrust.org/Record/003092892","HathiTrust Record")</f>
        <v>HathiTrust Record</v>
      </c>
      <c r="AV1002" s="6" t="str">
        <f>HYPERLINK("http://mcgill.on.worldcat.org/oclc/34150807","Catalog Record")</f>
        <v>Catalog Record</v>
      </c>
      <c r="AW1002" s="6" t="str">
        <f>HYPERLINK("http://www.worldcat.org/oclc/34150807","WorldCat Record")</f>
        <v>WorldCat Record</v>
      </c>
      <c r="AX1002" s="3" t="s">
        <v>9891</v>
      </c>
      <c r="AY1002" s="3" t="s">
        <v>9892</v>
      </c>
      <c r="AZ1002" s="3" t="s">
        <v>9893</v>
      </c>
      <c r="BA1002" s="3" t="s">
        <v>9893</v>
      </c>
      <c r="BB1002" s="3" t="s">
        <v>9894</v>
      </c>
      <c r="BC1002" s="3" t="s">
        <v>82</v>
      </c>
      <c r="BD1002" s="3" t="s">
        <v>70</v>
      </c>
      <c r="BE1002" s="3" t="s">
        <v>9895</v>
      </c>
      <c r="BF1002" s="3" t="s">
        <v>9894</v>
      </c>
      <c r="BG1002" s="3" t="s">
        <v>9896</v>
      </c>
    </row>
    <row r="1003" spans="1:59" ht="60" x14ac:dyDescent="0.25">
      <c r="A1003" s="2" t="s">
        <v>59</v>
      </c>
      <c r="B1003" s="2" t="s">
        <v>60</v>
      </c>
      <c r="C1003" s="2" t="s">
        <v>9886</v>
      </c>
      <c r="D1003" s="2" t="s">
        <v>9887</v>
      </c>
      <c r="E1003" s="2" t="s">
        <v>9888</v>
      </c>
      <c r="G1003" s="3" t="s">
        <v>63</v>
      </c>
      <c r="I1003" s="3" t="s">
        <v>62</v>
      </c>
      <c r="J1003" s="3" t="s">
        <v>63</v>
      </c>
      <c r="K1003" s="3" t="s">
        <v>64</v>
      </c>
      <c r="M1003" s="2" t="s">
        <v>9889</v>
      </c>
      <c r="N1003" s="3" t="s">
        <v>204</v>
      </c>
      <c r="P1003" s="3" t="s">
        <v>66</v>
      </c>
      <c r="R1003" s="3" t="s">
        <v>67</v>
      </c>
      <c r="S1003" s="4">
        <v>5</v>
      </c>
      <c r="T1003" s="4">
        <v>13</v>
      </c>
      <c r="U1003" s="5" t="s">
        <v>7174</v>
      </c>
      <c r="V1003" s="5" t="s">
        <v>7174</v>
      </c>
      <c r="W1003" s="5" t="s">
        <v>69</v>
      </c>
      <c r="X1003" s="5" t="s">
        <v>69</v>
      </c>
      <c r="Y1003" s="4">
        <v>377</v>
      </c>
      <c r="Z1003" s="4">
        <v>18</v>
      </c>
      <c r="AA1003" s="4">
        <v>24</v>
      </c>
      <c r="AB1003" s="4">
        <v>1</v>
      </c>
      <c r="AC1003" s="4">
        <v>5</v>
      </c>
      <c r="AD1003" s="4">
        <v>90</v>
      </c>
      <c r="AE1003" s="4">
        <v>93</v>
      </c>
      <c r="AF1003" s="4">
        <v>0</v>
      </c>
      <c r="AG1003" s="4">
        <v>1</v>
      </c>
      <c r="AH1003" s="4">
        <v>81</v>
      </c>
      <c r="AI1003" s="4">
        <v>83</v>
      </c>
      <c r="AJ1003" s="4">
        <v>12</v>
      </c>
      <c r="AK1003" s="4">
        <v>15</v>
      </c>
      <c r="AL1003" s="4">
        <v>51</v>
      </c>
      <c r="AM1003" s="4">
        <v>51</v>
      </c>
      <c r="AN1003" s="4">
        <v>0</v>
      </c>
      <c r="AO1003" s="4">
        <v>0</v>
      </c>
      <c r="AP1003" s="4">
        <v>12</v>
      </c>
      <c r="AQ1003" s="4">
        <v>15</v>
      </c>
      <c r="AR1003" s="3" t="s">
        <v>63</v>
      </c>
      <c r="AS1003" s="3" t="s">
        <v>63</v>
      </c>
      <c r="AT1003" s="3" t="s">
        <v>62</v>
      </c>
      <c r="AU1003" s="6" t="str">
        <f>HYPERLINK("http://catalog.hathitrust.org/Record/003092892","HathiTrust Record")</f>
        <v>HathiTrust Record</v>
      </c>
      <c r="AV1003" s="6" t="str">
        <f>HYPERLINK("http://mcgill.on.worldcat.org/oclc/34150807","Catalog Record")</f>
        <v>Catalog Record</v>
      </c>
      <c r="AW1003" s="6" t="str">
        <f>HYPERLINK("http://www.worldcat.org/oclc/34150807","WorldCat Record")</f>
        <v>WorldCat Record</v>
      </c>
      <c r="AX1003" s="3" t="s">
        <v>9891</v>
      </c>
      <c r="AY1003" s="3" t="s">
        <v>9892</v>
      </c>
      <c r="AZ1003" s="3" t="s">
        <v>9893</v>
      </c>
      <c r="BA1003" s="3" t="s">
        <v>9893</v>
      </c>
      <c r="BB1003" s="3" t="s">
        <v>9897</v>
      </c>
      <c r="BC1003" s="3" t="s">
        <v>82</v>
      </c>
      <c r="BD1003" s="3" t="s">
        <v>70</v>
      </c>
      <c r="BE1003" s="3" t="s">
        <v>9895</v>
      </c>
      <c r="BF1003" s="3" t="s">
        <v>9897</v>
      </c>
      <c r="BG1003" s="3" t="s">
        <v>9898</v>
      </c>
    </row>
    <row r="1004" spans="1:59" ht="60" x14ac:dyDescent="0.25">
      <c r="A1004" s="2" t="s">
        <v>59</v>
      </c>
      <c r="B1004" s="2" t="s">
        <v>60</v>
      </c>
      <c r="C1004" s="2" t="s">
        <v>9899</v>
      </c>
      <c r="D1004" s="2" t="s">
        <v>9900</v>
      </c>
      <c r="E1004" s="2" t="s">
        <v>9901</v>
      </c>
      <c r="G1004" s="3" t="s">
        <v>63</v>
      </c>
      <c r="I1004" s="3" t="s">
        <v>63</v>
      </c>
      <c r="J1004" s="3" t="s">
        <v>63</v>
      </c>
      <c r="K1004" s="3" t="s">
        <v>64</v>
      </c>
      <c r="M1004" s="2" t="s">
        <v>9902</v>
      </c>
      <c r="N1004" s="3" t="s">
        <v>326</v>
      </c>
      <c r="O1004" s="2" t="s">
        <v>9903</v>
      </c>
      <c r="P1004" s="3" t="s">
        <v>66</v>
      </c>
      <c r="R1004" s="3" t="s">
        <v>67</v>
      </c>
      <c r="S1004" s="4">
        <v>5</v>
      </c>
      <c r="T1004" s="4">
        <v>5</v>
      </c>
      <c r="U1004" s="5" t="s">
        <v>7019</v>
      </c>
      <c r="V1004" s="5" t="s">
        <v>7019</v>
      </c>
      <c r="W1004" s="5" t="s">
        <v>69</v>
      </c>
      <c r="X1004" s="5" t="s">
        <v>69</v>
      </c>
      <c r="Y1004" s="4">
        <v>216</v>
      </c>
      <c r="Z1004" s="4">
        <v>18</v>
      </c>
      <c r="AA1004" s="4">
        <v>19</v>
      </c>
      <c r="AB1004" s="4">
        <v>2</v>
      </c>
      <c r="AC1004" s="4">
        <v>3</v>
      </c>
      <c r="AD1004" s="4">
        <v>62</v>
      </c>
      <c r="AE1004" s="4">
        <v>64</v>
      </c>
      <c r="AF1004" s="4">
        <v>1</v>
      </c>
      <c r="AG1004" s="4">
        <v>1</v>
      </c>
      <c r="AH1004" s="4">
        <v>56</v>
      </c>
      <c r="AI1004" s="4">
        <v>58</v>
      </c>
      <c r="AJ1004" s="4">
        <v>9</v>
      </c>
      <c r="AK1004" s="4">
        <v>9</v>
      </c>
      <c r="AL1004" s="4">
        <v>37</v>
      </c>
      <c r="AM1004" s="4">
        <v>37</v>
      </c>
      <c r="AN1004" s="4">
        <v>0</v>
      </c>
      <c r="AO1004" s="4">
        <v>0</v>
      </c>
      <c r="AP1004" s="4">
        <v>10</v>
      </c>
      <c r="AQ1004" s="4">
        <v>10</v>
      </c>
      <c r="AR1004" s="3" t="s">
        <v>63</v>
      </c>
      <c r="AS1004" s="3" t="s">
        <v>63</v>
      </c>
      <c r="AT1004" s="3" t="s">
        <v>63</v>
      </c>
      <c r="AV1004" s="6" t="str">
        <f>HYPERLINK("http://mcgill.on.worldcat.org/oclc/308209394","Catalog Record")</f>
        <v>Catalog Record</v>
      </c>
      <c r="AW1004" s="6" t="str">
        <f>HYPERLINK("http://www.worldcat.org/oclc/308209394","WorldCat Record")</f>
        <v>WorldCat Record</v>
      </c>
      <c r="AX1004" s="3" t="s">
        <v>9904</v>
      </c>
      <c r="AY1004" s="3" t="s">
        <v>9905</v>
      </c>
      <c r="AZ1004" s="3" t="s">
        <v>9906</v>
      </c>
      <c r="BA1004" s="3" t="s">
        <v>9906</v>
      </c>
      <c r="BB1004" s="3" t="s">
        <v>9907</v>
      </c>
      <c r="BC1004" s="3" t="s">
        <v>82</v>
      </c>
      <c r="BD1004" s="3" t="s">
        <v>70</v>
      </c>
      <c r="BE1004" s="3" t="s">
        <v>9908</v>
      </c>
      <c r="BF1004" s="3" t="s">
        <v>9907</v>
      </c>
      <c r="BG1004" s="3" t="s">
        <v>9909</v>
      </c>
    </row>
    <row r="1005" spans="1:59" ht="60" x14ac:dyDescent="0.25">
      <c r="A1005" s="2" t="s">
        <v>59</v>
      </c>
      <c r="B1005" s="2" t="s">
        <v>60</v>
      </c>
      <c r="C1005" s="2" t="s">
        <v>9910</v>
      </c>
      <c r="D1005" s="2" t="s">
        <v>9911</v>
      </c>
      <c r="E1005" s="2" t="s">
        <v>9912</v>
      </c>
      <c r="G1005" s="3" t="s">
        <v>63</v>
      </c>
      <c r="I1005" s="3" t="s">
        <v>63</v>
      </c>
      <c r="J1005" s="3" t="s">
        <v>63</v>
      </c>
      <c r="K1005" s="3" t="s">
        <v>64</v>
      </c>
      <c r="M1005" s="2" t="s">
        <v>9913</v>
      </c>
      <c r="N1005" s="3" t="s">
        <v>2765</v>
      </c>
      <c r="P1005" s="3" t="s">
        <v>66</v>
      </c>
      <c r="R1005" s="3" t="s">
        <v>67</v>
      </c>
      <c r="S1005" s="4">
        <v>4</v>
      </c>
      <c r="T1005" s="4">
        <v>4</v>
      </c>
      <c r="U1005" s="5" t="s">
        <v>9914</v>
      </c>
      <c r="V1005" s="5" t="s">
        <v>9914</v>
      </c>
      <c r="W1005" s="5" t="s">
        <v>69</v>
      </c>
      <c r="X1005" s="5" t="s">
        <v>69</v>
      </c>
      <c r="Y1005" s="4">
        <v>37</v>
      </c>
      <c r="Z1005" s="4">
        <v>3</v>
      </c>
      <c r="AA1005" s="4">
        <v>3</v>
      </c>
      <c r="AB1005" s="4">
        <v>1</v>
      </c>
      <c r="AC1005" s="4">
        <v>1</v>
      </c>
      <c r="AD1005" s="4">
        <v>13</v>
      </c>
      <c r="AE1005" s="4">
        <v>13</v>
      </c>
      <c r="AF1005" s="4">
        <v>0</v>
      </c>
      <c r="AG1005" s="4">
        <v>0</v>
      </c>
      <c r="AH1005" s="4">
        <v>12</v>
      </c>
      <c r="AI1005" s="4">
        <v>12</v>
      </c>
      <c r="AJ1005" s="4">
        <v>2</v>
      </c>
      <c r="AK1005" s="4">
        <v>2</v>
      </c>
      <c r="AL1005" s="4">
        <v>10</v>
      </c>
      <c r="AM1005" s="4">
        <v>10</v>
      </c>
      <c r="AN1005" s="4">
        <v>0</v>
      </c>
      <c r="AO1005" s="4">
        <v>0</v>
      </c>
      <c r="AP1005" s="4">
        <v>2</v>
      </c>
      <c r="AQ1005" s="4">
        <v>2</v>
      </c>
      <c r="AR1005" s="3" t="s">
        <v>63</v>
      </c>
      <c r="AS1005" s="3" t="s">
        <v>63</v>
      </c>
      <c r="AT1005" s="3" t="s">
        <v>63</v>
      </c>
      <c r="AV1005" s="6" t="str">
        <f>HYPERLINK("http://mcgill.on.worldcat.org/oclc/931708608","Catalog Record")</f>
        <v>Catalog Record</v>
      </c>
      <c r="AW1005" s="6" t="str">
        <f>HYPERLINK("http://www.worldcat.org/oclc/931708608","WorldCat Record")</f>
        <v>WorldCat Record</v>
      </c>
      <c r="AX1005" s="3" t="s">
        <v>9915</v>
      </c>
      <c r="AY1005" s="3" t="s">
        <v>9916</v>
      </c>
      <c r="AZ1005" s="3" t="s">
        <v>9917</v>
      </c>
      <c r="BA1005" s="3" t="s">
        <v>9917</v>
      </c>
      <c r="BB1005" s="3" t="s">
        <v>9918</v>
      </c>
      <c r="BC1005" s="3" t="s">
        <v>82</v>
      </c>
      <c r="BD1005" s="3" t="s">
        <v>538</v>
      </c>
      <c r="BE1005" s="3" t="s">
        <v>9919</v>
      </c>
      <c r="BF1005" s="3" t="s">
        <v>9918</v>
      </c>
      <c r="BG1005" s="3" t="s">
        <v>9920</v>
      </c>
    </row>
    <row r="1006" spans="1:59" ht="105" x14ac:dyDescent="0.25">
      <c r="A1006" s="2" t="s">
        <v>59</v>
      </c>
      <c r="B1006" s="2" t="s">
        <v>60</v>
      </c>
      <c r="C1006" s="2" t="s">
        <v>9921</v>
      </c>
      <c r="D1006" s="2" t="s">
        <v>9922</v>
      </c>
      <c r="E1006" s="2" t="s">
        <v>9923</v>
      </c>
      <c r="G1006" s="3" t="s">
        <v>63</v>
      </c>
      <c r="I1006" s="3" t="s">
        <v>63</v>
      </c>
      <c r="J1006" s="3" t="s">
        <v>63</v>
      </c>
      <c r="K1006" s="3" t="s">
        <v>64</v>
      </c>
      <c r="M1006" s="2" t="s">
        <v>9924</v>
      </c>
      <c r="N1006" s="3" t="s">
        <v>76</v>
      </c>
      <c r="P1006" s="3" t="s">
        <v>66</v>
      </c>
      <c r="Q1006" s="2" t="s">
        <v>9341</v>
      </c>
      <c r="R1006" s="3" t="s">
        <v>67</v>
      </c>
      <c r="S1006" s="4">
        <v>7</v>
      </c>
      <c r="T1006" s="4">
        <v>7</v>
      </c>
      <c r="U1006" s="5" t="s">
        <v>9925</v>
      </c>
      <c r="V1006" s="5" t="s">
        <v>9925</v>
      </c>
      <c r="W1006" s="5" t="s">
        <v>69</v>
      </c>
      <c r="X1006" s="5" t="s">
        <v>69</v>
      </c>
      <c r="Y1006" s="4">
        <v>252</v>
      </c>
      <c r="Z1006" s="4">
        <v>15</v>
      </c>
      <c r="AA1006" s="4">
        <v>15</v>
      </c>
      <c r="AB1006" s="4">
        <v>2</v>
      </c>
      <c r="AC1006" s="4">
        <v>2</v>
      </c>
      <c r="AD1006" s="4">
        <v>62</v>
      </c>
      <c r="AE1006" s="4">
        <v>62</v>
      </c>
      <c r="AF1006" s="4">
        <v>0</v>
      </c>
      <c r="AG1006" s="4">
        <v>0</v>
      </c>
      <c r="AH1006" s="4">
        <v>56</v>
      </c>
      <c r="AI1006" s="4">
        <v>56</v>
      </c>
      <c r="AJ1006" s="4">
        <v>8</v>
      </c>
      <c r="AK1006" s="4">
        <v>8</v>
      </c>
      <c r="AL1006" s="4">
        <v>38</v>
      </c>
      <c r="AM1006" s="4">
        <v>38</v>
      </c>
      <c r="AN1006" s="4">
        <v>0</v>
      </c>
      <c r="AO1006" s="4">
        <v>0</v>
      </c>
      <c r="AP1006" s="4">
        <v>9</v>
      </c>
      <c r="AQ1006" s="4">
        <v>9</v>
      </c>
      <c r="AR1006" s="3" t="s">
        <v>63</v>
      </c>
      <c r="AS1006" s="3" t="s">
        <v>63</v>
      </c>
      <c r="AT1006" s="3" t="s">
        <v>63</v>
      </c>
      <c r="AV1006" s="6" t="str">
        <f>HYPERLINK("http://mcgill.on.worldcat.org/oclc/802293730","Catalog Record")</f>
        <v>Catalog Record</v>
      </c>
      <c r="AW1006" s="6" t="str">
        <f>HYPERLINK("http://www.worldcat.org/oclc/802293730","WorldCat Record")</f>
        <v>WorldCat Record</v>
      </c>
      <c r="AX1006" s="3" t="s">
        <v>9926</v>
      </c>
      <c r="AY1006" s="3" t="s">
        <v>9927</v>
      </c>
      <c r="AZ1006" s="3" t="s">
        <v>9928</v>
      </c>
      <c r="BA1006" s="3" t="s">
        <v>9928</v>
      </c>
      <c r="BB1006" s="3" t="s">
        <v>9929</v>
      </c>
      <c r="BC1006" s="3" t="s">
        <v>82</v>
      </c>
      <c r="BD1006" s="3" t="s">
        <v>70</v>
      </c>
      <c r="BE1006" s="3" t="s">
        <v>9930</v>
      </c>
      <c r="BF1006" s="3" t="s">
        <v>9929</v>
      </c>
      <c r="BG1006" s="3" t="s">
        <v>9931</v>
      </c>
    </row>
    <row r="1007" spans="1:59" ht="60" x14ac:dyDescent="0.25">
      <c r="A1007" s="2" t="s">
        <v>59</v>
      </c>
      <c r="B1007" s="2" t="s">
        <v>60</v>
      </c>
      <c r="C1007" s="2" t="s">
        <v>9932</v>
      </c>
      <c r="D1007" s="2" t="s">
        <v>9933</v>
      </c>
      <c r="E1007" s="2" t="s">
        <v>9934</v>
      </c>
      <c r="G1007" s="3" t="s">
        <v>63</v>
      </c>
      <c r="I1007" s="3" t="s">
        <v>63</v>
      </c>
      <c r="J1007" s="3" t="s">
        <v>63</v>
      </c>
      <c r="K1007" s="3" t="s">
        <v>64</v>
      </c>
      <c r="M1007" s="2" t="s">
        <v>9935</v>
      </c>
      <c r="N1007" s="3" t="s">
        <v>287</v>
      </c>
      <c r="P1007" s="3" t="s">
        <v>66</v>
      </c>
      <c r="Q1007" s="2" t="s">
        <v>9341</v>
      </c>
      <c r="R1007" s="3" t="s">
        <v>67</v>
      </c>
      <c r="S1007" s="4">
        <v>4</v>
      </c>
      <c r="T1007" s="4">
        <v>4</v>
      </c>
      <c r="U1007" s="5" t="s">
        <v>9925</v>
      </c>
      <c r="V1007" s="5" t="s">
        <v>9925</v>
      </c>
      <c r="W1007" s="5" t="s">
        <v>69</v>
      </c>
      <c r="X1007" s="5" t="s">
        <v>69</v>
      </c>
      <c r="Y1007" s="4">
        <v>79</v>
      </c>
      <c r="Z1007" s="4">
        <v>7</v>
      </c>
      <c r="AA1007" s="4">
        <v>7</v>
      </c>
      <c r="AB1007" s="4">
        <v>2</v>
      </c>
      <c r="AC1007" s="4">
        <v>2</v>
      </c>
      <c r="AD1007" s="4">
        <v>26</v>
      </c>
      <c r="AE1007" s="4">
        <v>34</v>
      </c>
      <c r="AF1007" s="4">
        <v>0</v>
      </c>
      <c r="AG1007" s="4">
        <v>0</v>
      </c>
      <c r="AH1007" s="4">
        <v>25</v>
      </c>
      <c r="AI1007" s="4">
        <v>33</v>
      </c>
      <c r="AJ1007" s="4">
        <v>3</v>
      </c>
      <c r="AK1007" s="4">
        <v>3</v>
      </c>
      <c r="AL1007" s="4">
        <v>16</v>
      </c>
      <c r="AM1007" s="4">
        <v>23</v>
      </c>
      <c r="AN1007" s="4">
        <v>0</v>
      </c>
      <c r="AO1007" s="4">
        <v>0</v>
      </c>
      <c r="AP1007" s="4">
        <v>3</v>
      </c>
      <c r="AQ1007" s="4">
        <v>3</v>
      </c>
      <c r="AR1007" s="3" t="s">
        <v>63</v>
      </c>
      <c r="AS1007" s="3" t="s">
        <v>63</v>
      </c>
      <c r="AT1007" s="3" t="s">
        <v>63</v>
      </c>
      <c r="AV1007" s="6" t="str">
        <f>HYPERLINK("http://mcgill.on.worldcat.org/oclc/994208200","Catalog Record")</f>
        <v>Catalog Record</v>
      </c>
      <c r="AW1007" s="6" t="str">
        <f>HYPERLINK("http://www.worldcat.org/oclc/994208200","WorldCat Record")</f>
        <v>WorldCat Record</v>
      </c>
      <c r="AX1007" s="3" t="s">
        <v>9936</v>
      </c>
      <c r="AY1007" s="3" t="s">
        <v>9937</v>
      </c>
      <c r="AZ1007" s="3" t="s">
        <v>9938</v>
      </c>
      <c r="BA1007" s="3" t="s">
        <v>9938</v>
      </c>
      <c r="BB1007" s="3" t="s">
        <v>9939</v>
      </c>
      <c r="BC1007" s="3" t="s">
        <v>82</v>
      </c>
      <c r="BD1007" s="3" t="s">
        <v>70</v>
      </c>
      <c r="BE1007" s="3" t="s">
        <v>9940</v>
      </c>
      <c r="BF1007" s="3" t="s">
        <v>9939</v>
      </c>
      <c r="BG1007" s="3" t="s">
        <v>9941</v>
      </c>
    </row>
    <row r="1008" spans="1:59" ht="60" x14ac:dyDescent="0.25">
      <c r="A1008" s="2" t="s">
        <v>59</v>
      </c>
      <c r="B1008" s="2" t="s">
        <v>60</v>
      </c>
      <c r="C1008" s="2" t="s">
        <v>9942</v>
      </c>
      <c r="D1008" s="2" t="s">
        <v>9943</v>
      </c>
      <c r="E1008" s="2" t="s">
        <v>9944</v>
      </c>
      <c r="G1008" s="3" t="s">
        <v>63</v>
      </c>
      <c r="I1008" s="3" t="s">
        <v>63</v>
      </c>
      <c r="J1008" s="3" t="s">
        <v>63</v>
      </c>
      <c r="K1008" s="3" t="s">
        <v>64</v>
      </c>
      <c r="M1008" s="2" t="s">
        <v>9945</v>
      </c>
      <c r="N1008" s="3" t="s">
        <v>326</v>
      </c>
      <c r="P1008" s="3" t="s">
        <v>66</v>
      </c>
      <c r="Q1008" s="2" t="s">
        <v>9946</v>
      </c>
      <c r="R1008" s="3" t="s">
        <v>67</v>
      </c>
      <c r="S1008" s="4">
        <v>3</v>
      </c>
      <c r="T1008" s="4">
        <v>3</v>
      </c>
      <c r="U1008" s="5" t="s">
        <v>9784</v>
      </c>
      <c r="V1008" s="5" t="s">
        <v>9784</v>
      </c>
      <c r="W1008" s="5" t="s">
        <v>69</v>
      </c>
      <c r="X1008" s="5" t="s">
        <v>69</v>
      </c>
      <c r="Y1008" s="4">
        <v>95</v>
      </c>
      <c r="Z1008" s="4">
        <v>9</v>
      </c>
      <c r="AA1008" s="4">
        <v>12</v>
      </c>
      <c r="AB1008" s="4">
        <v>1</v>
      </c>
      <c r="AC1008" s="4">
        <v>2</v>
      </c>
      <c r="AD1008" s="4">
        <v>51</v>
      </c>
      <c r="AE1008" s="4">
        <v>54</v>
      </c>
      <c r="AF1008" s="4">
        <v>0</v>
      </c>
      <c r="AG1008" s="4">
        <v>0</v>
      </c>
      <c r="AH1008" s="4">
        <v>48</v>
      </c>
      <c r="AI1008" s="4">
        <v>50</v>
      </c>
      <c r="AJ1008" s="4">
        <v>6</v>
      </c>
      <c r="AK1008" s="4">
        <v>6</v>
      </c>
      <c r="AL1008" s="4">
        <v>33</v>
      </c>
      <c r="AM1008" s="4">
        <v>34</v>
      </c>
      <c r="AN1008" s="4">
        <v>0</v>
      </c>
      <c r="AO1008" s="4">
        <v>0</v>
      </c>
      <c r="AP1008" s="4">
        <v>6</v>
      </c>
      <c r="AQ1008" s="4">
        <v>7</v>
      </c>
      <c r="AR1008" s="3" t="s">
        <v>63</v>
      </c>
      <c r="AS1008" s="3" t="s">
        <v>63</v>
      </c>
      <c r="AT1008" s="3" t="s">
        <v>63</v>
      </c>
      <c r="AV1008" s="6" t="str">
        <f>HYPERLINK("http://mcgill.on.worldcat.org/oclc/320525148","Catalog Record")</f>
        <v>Catalog Record</v>
      </c>
      <c r="AW1008" s="6" t="str">
        <f>HYPERLINK("http://www.worldcat.org/oclc/320525148","WorldCat Record")</f>
        <v>WorldCat Record</v>
      </c>
      <c r="AX1008" s="3" t="s">
        <v>9947</v>
      </c>
      <c r="AY1008" s="3" t="s">
        <v>9948</v>
      </c>
      <c r="AZ1008" s="3" t="s">
        <v>9949</v>
      </c>
      <c r="BA1008" s="3" t="s">
        <v>9949</v>
      </c>
      <c r="BB1008" s="3" t="s">
        <v>9950</v>
      </c>
      <c r="BC1008" s="3" t="s">
        <v>82</v>
      </c>
      <c r="BD1008" s="3" t="s">
        <v>70</v>
      </c>
      <c r="BE1008" s="3" t="s">
        <v>9951</v>
      </c>
      <c r="BF1008" s="3" t="s">
        <v>9950</v>
      </c>
      <c r="BG1008" s="3" t="s">
        <v>9952</v>
      </c>
    </row>
    <row r="1009" spans="1:59" ht="60" x14ac:dyDescent="0.25">
      <c r="A1009" s="2" t="s">
        <v>59</v>
      </c>
      <c r="B1009" s="2" t="s">
        <v>60</v>
      </c>
      <c r="C1009" s="2" t="s">
        <v>9953</v>
      </c>
      <c r="D1009" s="2" t="s">
        <v>9954</v>
      </c>
      <c r="E1009" s="2" t="s">
        <v>9955</v>
      </c>
      <c r="G1009" s="3" t="s">
        <v>63</v>
      </c>
      <c r="I1009" s="3" t="s">
        <v>63</v>
      </c>
      <c r="J1009" s="3" t="s">
        <v>63</v>
      </c>
      <c r="K1009" s="3" t="s">
        <v>64</v>
      </c>
      <c r="M1009" s="2" t="s">
        <v>9956</v>
      </c>
      <c r="N1009" s="3" t="s">
        <v>190</v>
      </c>
      <c r="P1009" s="3" t="s">
        <v>66</v>
      </c>
      <c r="Q1009" s="2" t="s">
        <v>9341</v>
      </c>
      <c r="R1009" s="3" t="s">
        <v>67</v>
      </c>
      <c r="S1009" s="4">
        <v>8</v>
      </c>
      <c r="T1009" s="4">
        <v>8</v>
      </c>
      <c r="U1009" s="5" t="s">
        <v>9925</v>
      </c>
      <c r="V1009" s="5" t="s">
        <v>9925</v>
      </c>
      <c r="W1009" s="5" t="s">
        <v>69</v>
      </c>
      <c r="X1009" s="5" t="s">
        <v>69</v>
      </c>
      <c r="Y1009" s="4">
        <v>360</v>
      </c>
      <c r="Z1009" s="4">
        <v>22</v>
      </c>
      <c r="AA1009" s="4">
        <v>26</v>
      </c>
      <c r="AB1009" s="4">
        <v>2</v>
      </c>
      <c r="AC1009" s="4">
        <v>2</v>
      </c>
      <c r="AD1009" s="4">
        <v>78</v>
      </c>
      <c r="AE1009" s="4">
        <v>78</v>
      </c>
      <c r="AF1009" s="4">
        <v>1</v>
      </c>
      <c r="AG1009" s="4">
        <v>1</v>
      </c>
      <c r="AH1009" s="4">
        <v>71</v>
      </c>
      <c r="AI1009" s="4">
        <v>71</v>
      </c>
      <c r="AJ1009" s="4">
        <v>9</v>
      </c>
      <c r="AK1009" s="4">
        <v>9</v>
      </c>
      <c r="AL1009" s="4">
        <v>47</v>
      </c>
      <c r="AM1009" s="4">
        <v>47</v>
      </c>
      <c r="AN1009" s="4">
        <v>0</v>
      </c>
      <c r="AO1009" s="4">
        <v>0</v>
      </c>
      <c r="AP1009" s="4">
        <v>12</v>
      </c>
      <c r="AQ1009" s="4">
        <v>12</v>
      </c>
      <c r="AR1009" s="3" t="s">
        <v>63</v>
      </c>
      <c r="AS1009" s="3" t="s">
        <v>63</v>
      </c>
      <c r="AT1009" s="3" t="s">
        <v>62</v>
      </c>
      <c r="AU1009" s="6" t="str">
        <f>HYPERLINK("http://catalog.hathitrust.org/Record/007146884","HathiTrust Record")</f>
        <v>HathiTrust Record</v>
      </c>
      <c r="AV1009" s="6" t="str">
        <f>HYPERLINK("http://mcgill.on.worldcat.org/oclc/57638855","Catalog Record")</f>
        <v>Catalog Record</v>
      </c>
      <c r="AW1009" s="6" t="str">
        <f>HYPERLINK("http://www.worldcat.org/oclc/57638855","WorldCat Record")</f>
        <v>WorldCat Record</v>
      </c>
      <c r="AX1009" s="3" t="s">
        <v>9957</v>
      </c>
      <c r="AY1009" s="3" t="s">
        <v>9958</v>
      </c>
      <c r="AZ1009" s="3" t="s">
        <v>9959</v>
      </c>
      <c r="BA1009" s="3" t="s">
        <v>9959</v>
      </c>
      <c r="BB1009" s="3" t="s">
        <v>9960</v>
      </c>
      <c r="BC1009" s="3" t="s">
        <v>82</v>
      </c>
      <c r="BD1009" s="3" t="s">
        <v>70</v>
      </c>
      <c r="BE1009" s="3" t="s">
        <v>9961</v>
      </c>
      <c r="BF1009" s="3" t="s">
        <v>9960</v>
      </c>
      <c r="BG1009" s="3" t="s">
        <v>9962</v>
      </c>
    </row>
    <row r="1010" spans="1:59" ht="60" x14ac:dyDescent="0.25">
      <c r="A1010" s="2" t="s">
        <v>59</v>
      </c>
      <c r="B1010" s="2" t="s">
        <v>60</v>
      </c>
      <c r="C1010" s="2" t="s">
        <v>9963</v>
      </c>
      <c r="D1010" s="2" t="s">
        <v>9964</v>
      </c>
      <c r="E1010" s="2" t="s">
        <v>9965</v>
      </c>
      <c r="G1010" s="3" t="s">
        <v>63</v>
      </c>
      <c r="I1010" s="3" t="s">
        <v>63</v>
      </c>
      <c r="J1010" s="3" t="s">
        <v>63</v>
      </c>
      <c r="K1010" s="3" t="s">
        <v>64</v>
      </c>
      <c r="M1010" s="2" t="s">
        <v>9966</v>
      </c>
      <c r="N1010" s="3" t="s">
        <v>1023</v>
      </c>
      <c r="P1010" s="3" t="s">
        <v>66</v>
      </c>
      <c r="R1010" s="3" t="s">
        <v>67</v>
      </c>
      <c r="S1010" s="4">
        <v>14</v>
      </c>
      <c r="T1010" s="4">
        <v>14</v>
      </c>
      <c r="U1010" s="5" t="s">
        <v>9621</v>
      </c>
      <c r="V1010" s="5" t="s">
        <v>9621</v>
      </c>
      <c r="W1010" s="5" t="s">
        <v>69</v>
      </c>
      <c r="X1010" s="5" t="s">
        <v>69</v>
      </c>
      <c r="Y1010" s="4">
        <v>104</v>
      </c>
      <c r="Z1010" s="4">
        <v>10</v>
      </c>
      <c r="AA1010" s="4">
        <v>10</v>
      </c>
      <c r="AB1010" s="4">
        <v>1</v>
      </c>
      <c r="AC1010" s="4">
        <v>1</v>
      </c>
      <c r="AD1010" s="4">
        <v>47</v>
      </c>
      <c r="AE1010" s="4">
        <v>47</v>
      </c>
      <c r="AF1010" s="4">
        <v>0</v>
      </c>
      <c r="AG1010" s="4">
        <v>0</v>
      </c>
      <c r="AH1010" s="4">
        <v>45</v>
      </c>
      <c r="AI1010" s="4">
        <v>45</v>
      </c>
      <c r="AJ1010" s="4">
        <v>8</v>
      </c>
      <c r="AK1010" s="4">
        <v>8</v>
      </c>
      <c r="AL1010" s="4">
        <v>28</v>
      </c>
      <c r="AM1010" s="4">
        <v>28</v>
      </c>
      <c r="AN1010" s="4">
        <v>0</v>
      </c>
      <c r="AO1010" s="4">
        <v>0</v>
      </c>
      <c r="AP1010" s="4">
        <v>9</v>
      </c>
      <c r="AQ1010" s="4">
        <v>9</v>
      </c>
      <c r="AR1010" s="3" t="s">
        <v>63</v>
      </c>
      <c r="AS1010" s="3" t="s">
        <v>63</v>
      </c>
      <c r="AT1010" s="3" t="s">
        <v>63</v>
      </c>
      <c r="AV1010" s="6" t="str">
        <f>HYPERLINK("http://mcgill.on.worldcat.org/oclc/31674656","Catalog Record")</f>
        <v>Catalog Record</v>
      </c>
      <c r="AW1010" s="6" t="str">
        <f>HYPERLINK("http://www.worldcat.org/oclc/31674656","WorldCat Record")</f>
        <v>WorldCat Record</v>
      </c>
      <c r="AX1010" s="3" t="s">
        <v>9967</v>
      </c>
      <c r="AY1010" s="3" t="s">
        <v>9968</v>
      </c>
      <c r="AZ1010" s="3" t="s">
        <v>9969</v>
      </c>
      <c r="BA1010" s="3" t="s">
        <v>9969</v>
      </c>
      <c r="BB1010" s="3" t="s">
        <v>9970</v>
      </c>
      <c r="BC1010" s="3" t="s">
        <v>82</v>
      </c>
      <c r="BD1010" s="3" t="s">
        <v>70</v>
      </c>
      <c r="BE1010" s="3" t="s">
        <v>9971</v>
      </c>
      <c r="BF1010" s="3" t="s">
        <v>9970</v>
      </c>
      <c r="BG1010" s="3" t="s">
        <v>9972</v>
      </c>
    </row>
    <row r="1011" spans="1:59" ht="60" x14ac:dyDescent="0.25">
      <c r="A1011" s="2" t="s">
        <v>59</v>
      </c>
      <c r="B1011" s="2" t="s">
        <v>60</v>
      </c>
      <c r="C1011" s="2" t="s">
        <v>9973</v>
      </c>
      <c r="D1011" s="2" t="s">
        <v>9974</v>
      </c>
      <c r="E1011" s="2" t="s">
        <v>9975</v>
      </c>
      <c r="G1011" s="3" t="s">
        <v>63</v>
      </c>
      <c r="I1011" s="3" t="s">
        <v>63</v>
      </c>
      <c r="J1011" s="3" t="s">
        <v>63</v>
      </c>
      <c r="K1011" s="3" t="s">
        <v>64</v>
      </c>
      <c r="M1011" s="2" t="s">
        <v>1855</v>
      </c>
      <c r="N1011" s="3" t="s">
        <v>204</v>
      </c>
      <c r="P1011" s="3" t="s">
        <v>66</v>
      </c>
      <c r="R1011" s="3" t="s">
        <v>67</v>
      </c>
      <c r="S1011" s="4">
        <v>9</v>
      </c>
      <c r="T1011" s="4">
        <v>9</v>
      </c>
      <c r="U1011" s="5" t="s">
        <v>9976</v>
      </c>
      <c r="V1011" s="5" t="s">
        <v>9976</v>
      </c>
      <c r="W1011" s="5" t="s">
        <v>69</v>
      </c>
      <c r="X1011" s="5" t="s">
        <v>69</v>
      </c>
      <c r="Y1011" s="4">
        <v>296</v>
      </c>
      <c r="Z1011" s="4">
        <v>16</v>
      </c>
      <c r="AA1011" s="4">
        <v>16</v>
      </c>
      <c r="AB1011" s="4">
        <v>1</v>
      </c>
      <c r="AC1011" s="4">
        <v>1</v>
      </c>
      <c r="AD1011" s="4">
        <v>100</v>
      </c>
      <c r="AE1011" s="4">
        <v>100</v>
      </c>
      <c r="AF1011" s="4">
        <v>0</v>
      </c>
      <c r="AG1011" s="4">
        <v>0</v>
      </c>
      <c r="AH1011" s="4">
        <v>93</v>
      </c>
      <c r="AI1011" s="4">
        <v>93</v>
      </c>
      <c r="AJ1011" s="4">
        <v>11</v>
      </c>
      <c r="AK1011" s="4">
        <v>11</v>
      </c>
      <c r="AL1011" s="4">
        <v>54</v>
      </c>
      <c r="AM1011" s="4">
        <v>54</v>
      </c>
      <c r="AN1011" s="4">
        <v>0</v>
      </c>
      <c r="AO1011" s="4">
        <v>0</v>
      </c>
      <c r="AP1011" s="4">
        <v>12</v>
      </c>
      <c r="AQ1011" s="4">
        <v>12</v>
      </c>
      <c r="AR1011" s="3" t="s">
        <v>63</v>
      </c>
      <c r="AS1011" s="3" t="s">
        <v>63</v>
      </c>
      <c r="AT1011" s="3" t="s">
        <v>62</v>
      </c>
      <c r="AU1011" s="6" t="str">
        <f>HYPERLINK("http://catalog.hathitrust.org/Record/003946418","HathiTrust Record")</f>
        <v>HathiTrust Record</v>
      </c>
      <c r="AV1011" s="6" t="str">
        <f>HYPERLINK("http://mcgill.on.worldcat.org/oclc/34046344","Catalog Record")</f>
        <v>Catalog Record</v>
      </c>
      <c r="AW1011" s="6" t="str">
        <f>HYPERLINK("http://www.worldcat.org/oclc/34046344","WorldCat Record")</f>
        <v>WorldCat Record</v>
      </c>
      <c r="AX1011" s="3" t="s">
        <v>9977</v>
      </c>
      <c r="AY1011" s="3" t="s">
        <v>9978</v>
      </c>
      <c r="AZ1011" s="3" t="s">
        <v>9979</v>
      </c>
      <c r="BA1011" s="3" t="s">
        <v>9979</v>
      </c>
      <c r="BB1011" s="3" t="s">
        <v>9980</v>
      </c>
      <c r="BC1011" s="3" t="s">
        <v>82</v>
      </c>
      <c r="BD1011" s="3" t="s">
        <v>9981</v>
      </c>
      <c r="BE1011" s="3" t="s">
        <v>9982</v>
      </c>
      <c r="BF1011" s="3" t="s">
        <v>9980</v>
      </c>
      <c r="BG1011" s="3" t="s">
        <v>9983</v>
      </c>
    </row>
    <row r="1012" spans="1:59" ht="60" x14ac:dyDescent="0.25">
      <c r="A1012" s="2" t="s">
        <v>59</v>
      </c>
      <c r="B1012" s="2" t="s">
        <v>60</v>
      </c>
      <c r="C1012" s="2" t="s">
        <v>9984</v>
      </c>
      <c r="D1012" s="2" t="s">
        <v>9985</v>
      </c>
      <c r="E1012" s="2" t="s">
        <v>9986</v>
      </c>
      <c r="G1012" s="3" t="s">
        <v>63</v>
      </c>
      <c r="I1012" s="3" t="s">
        <v>63</v>
      </c>
      <c r="J1012" s="3" t="s">
        <v>63</v>
      </c>
      <c r="K1012" s="3" t="s">
        <v>64</v>
      </c>
      <c r="M1012" s="2" t="s">
        <v>9987</v>
      </c>
      <c r="N1012" s="3" t="s">
        <v>668</v>
      </c>
      <c r="O1012" s="2" t="s">
        <v>590</v>
      </c>
      <c r="P1012" s="3" t="s">
        <v>66</v>
      </c>
      <c r="R1012" s="3" t="s">
        <v>67</v>
      </c>
      <c r="S1012" s="4">
        <v>16</v>
      </c>
      <c r="T1012" s="4">
        <v>16</v>
      </c>
      <c r="U1012" s="5" t="s">
        <v>444</v>
      </c>
      <c r="V1012" s="5" t="s">
        <v>444</v>
      </c>
      <c r="W1012" s="5" t="s">
        <v>69</v>
      </c>
      <c r="X1012" s="5" t="s">
        <v>69</v>
      </c>
      <c r="Y1012" s="4">
        <v>396</v>
      </c>
      <c r="Z1012" s="4">
        <v>16</v>
      </c>
      <c r="AA1012" s="4">
        <v>20</v>
      </c>
      <c r="AB1012" s="4">
        <v>1</v>
      </c>
      <c r="AC1012" s="4">
        <v>2</v>
      </c>
      <c r="AD1012" s="4">
        <v>91</v>
      </c>
      <c r="AE1012" s="4">
        <v>96</v>
      </c>
      <c r="AF1012" s="4">
        <v>0</v>
      </c>
      <c r="AG1012" s="4">
        <v>0</v>
      </c>
      <c r="AH1012" s="4">
        <v>85</v>
      </c>
      <c r="AI1012" s="4">
        <v>89</v>
      </c>
      <c r="AJ1012" s="4">
        <v>10</v>
      </c>
      <c r="AK1012" s="4">
        <v>12</v>
      </c>
      <c r="AL1012" s="4">
        <v>51</v>
      </c>
      <c r="AM1012" s="4">
        <v>53</v>
      </c>
      <c r="AN1012" s="4">
        <v>0</v>
      </c>
      <c r="AO1012" s="4">
        <v>0</v>
      </c>
      <c r="AP1012" s="4">
        <v>10</v>
      </c>
      <c r="AQ1012" s="4">
        <v>13</v>
      </c>
      <c r="AR1012" s="3" t="s">
        <v>63</v>
      </c>
      <c r="AS1012" s="3" t="s">
        <v>63</v>
      </c>
      <c r="AT1012" s="3" t="s">
        <v>62</v>
      </c>
      <c r="AU1012" s="6" t="str">
        <f>HYPERLINK("http://catalog.hathitrust.org/Record/002460972","HathiTrust Record")</f>
        <v>HathiTrust Record</v>
      </c>
      <c r="AV1012" s="6" t="str">
        <f>HYPERLINK("http://mcgill.on.worldcat.org/oclc/21970931","Catalog Record")</f>
        <v>Catalog Record</v>
      </c>
      <c r="AW1012" s="6" t="str">
        <f>HYPERLINK("http://www.worldcat.org/oclc/21970931","WorldCat Record")</f>
        <v>WorldCat Record</v>
      </c>
      <c r="AX1012" s="3" t="s">
        <v>9988</v>
      </c>
      <c r="AY1012" s="3" t="s">
        <v>9989</v>
      </c>
      <c r="AZ1012" s="3" t="s">
        <v>9990</v>
      </c>
      <c r="BA1012" s="3" t="s">
        <v>9990</v>
      </c>
      <c r="BB1012" s="3" t="s">
        <v>9991</v>
      </c>
      <c r="BC1012" s="3" t="s">
        <v>82</v>
      </c>
      <c r="BD1012" s="3" t="s">
        <v>70</v>
      </c>
      <c r="BE1012" s="3" t="s">
        <v>9992</v>
      </c>
      <c r="BF1012" s="3" t="s">
        <v>9991</v>
      </c>
      <c r="BG1012" s="3" t="s">
        <v>9993</v>
      </c>
    </row>
    <row r="1013" spans="1:59" ht="60" x14ac:dyDescent="0.25">
      <c r="A1013" s="2" t="s">
        <v>59</v>
      </c>
      <c r="B1013" s="2" t="s">
        <v>60</v>
      </c>
      <c r="C1013" s="2" t="s">
        <v>9994</v>
      </c>
      <c r="D1013" s="2" t="s">
        <v>9995</v>
      </c>
      <c r="E1013" s="2" t="s">
        <v>9996</v>
      </c>
      <c r="G1013" s="3" t="s">
        <v>63</v>
      </c>
      <c r="I1013" s="3" t="s">
        <v>63</v>
      </c>
      <c r="J1013" s="3" t="s">
        <v>63</v>
      </c>
      <c r="K1013" s="3" t="s">
        <v>64</v>
      </c>
      <c r="M1013" s="2" t="s">
        <v>9997</v>
      </c>
      <c r="N1013" s="3" t="s">
        <v>313</v>
      </c>
      <c r="P1013" s="3" t="s">
        <v>66</v>
      </c>
      <c r="Q1013" s="2" t="s">
        <v>9998</v>
      </c>
      <c r="R1013" s="3" t="s">
        <v>67</v>
      </c>
      <c r="S1013" s="4">
        <v>2</v>
      </c>
      <c r="T1013" s="4">
        <v>2</v>
      </c>
      <c r="U1013" s="5" t="s">
        <v>8751</v>
      </c>
      <c r="V1013" s="5" t="s">
        <v>8751</v>
      </c>
      <c r="W1013" s="5" t="s">
        <v>69</v>
      </c>
      <c r="X1013" s="5" t="s">
        <v>69</v>
      </c>
      <c r="Y1013" s="4">
        <v>122</v>
      </c>
      <c r="Z1013" s="4">
        <v>9</v>
      </c>
      <c r="AA1013" s="4">
        <v>34</v>
      </c>
      <c r="AB1013" s="4">
        <v>1</v>
      </c>
      <c r="AC1013" s="4">
        <v>5</v>
      </c>
      <c r="AD1013" s="4">
        <v>63</v>
      </c>
      <c r="AE1013" s="4">
        <v>69</v>
      </c>
      <c r="AF1013" s="4">
        <v>0</v>
      </c>
      <c r="AG1013" s="4">
        <v>0</v>
      </c>
      <c r="AH1013" s="4">
        <v>56</v>
      </c>
      <c r="AI1013" s="4">
        <v>59</v>
      </c>
      <c r="AJ1013" s="4">
        <v>8</v>
      </c>
      <c r="AK1013" s="4">
        <v>9</v>
      </c>
      <c r="AL1013" s="4">
        <v>40</v>
      </c>
      <c r="AM1013" s="4">
        <v>41</v>
      </c>
      <c r="AN1013" s="4">
        <v>0</v>
      </c>
      <c r="AO1013" s="4">
        <v>0</v>
      </c>
      <c r="AP1013" s="4">
        <v>8</v>
      </c>
      <c r="AQ1013" s="4">
        <v>12</v>
      </c>
      <c r="AR1013" s="3" t="s">
        <v>63</v>
      </c>
      <c r="AS1013" s="3" t="s">
        <v>63</v>
      </c>
      <c r="AT1013" s="3" t="s">
        <v>63</v>
      </c>
      <c r="AV1013" s="6" t="str">
        <f>HYPERLINK("http://mcgill.on.worldcat.org/oclc/647672893","Catalog Record")</f>
        <v>Catalog Record</v>
      </c>
      <c r="AW1013" s="6" t="str">
        <f>HYPERLINK("http://www.worldcat.org/oclc/647672893","WorldCat Record")</f>
        <v>WorldCat Record</v>
      </c>
      <c r="AX1013" s="3" t="s">
        <v>9999</v>
      </c>
      <c r="AY1013" s="3" t="s">
        <v>10000</v>
      </c>
      <c r="AZ1013" s="3" t="s">
        <v>10001</v>
      </c>
      <c r="BA1013" s="3" t="s">
        <v>10001</v>
      </c>
      <c r="BB1013" s="3" t="s">
        <v>10002</v>
      </c>
      <c r="BC1013" s="3" t="s">
        <v>82</v>
      </c>
      <c r="BD1013" s="3" t="s">
        <v>70</v>
      </c>
      <c r="BE1013" s="3" t="s">
        <v>10003</v>
      </c>
      <c r="BF1013" s="3" t="s">
        <v>10002</v>
      </c>
      <c r="BG1013" s="3" t="s">
        <v>10004</v>
      </c>
    </row>
    <row r="1014" spans="1:59" ht="60" x14ac:dyDescent="0.25">
      <c r="A1014" s="2" t="s">
        <v>59</v>
      </c>
      <c r="B1014" s="2" t="s">
        <v>60</v>
      </c>
      <c r="C1014" s="2" t="s">
        <v>10005</v>
      </c>
      <c r="D1014" s="2" t="s">
        <v>10006</v>
      </c>
      <c r="E1014" s="2" t="s">
        <v>10007</v>
      </c>
      <c r="G1014" s="3" t="s">
        <v>63</v>
      </c>
      <c r="I1014" s="3" t="s">
        <v>63</v>
      </c>
      <c r="J1014" s="3" t="s">
        <v>63</v>
      </c>
      <c r="K1014" s="3" t="s">
        <v>64</v>
      </c>
      <c r="M1014" s="2" t="s">
        <v>10008</v>
      </c>
      <c r="N1014" s="3" t="s">
        <v>693</v>
      </c>
      <c r="P1014" s="3" t="s">
        <v>66</v>
      </c>
      <c r="Q1014" s="2" t="s">
        <v>10009</v>
      </c>
      <c r="R1014" s="3" t="s">
        <v>67</v>
      </c>
      <c r="S1014" s="4">
        <v>4</v>
      </c>
      <c r="T1014" s="4">
        <v>4</v>
      </c>
      <c r="U1014" s="5" t="s">
        <v>10010</v>
      </c>
      <c r="V1014" s="5" t="s">
        <v>10010</v>
      </c>
      <c r="W1014" s="5" t="s">
        <v>69</v>
      </c>
      <c r="X1014" s="5" t="s">
        <v>69</v>
      </c>
      <c r="Y1014" s="4">
        <v>163</v>
      </c>
      <c r="Z1014" s="4">
        <v>11</v>
      </c>
      <c r="AA1014" s="4">
        <v>13</v>
      </c>
      <c r="AB1014" s="4">
        <v>1</v>
      </c>
      <c r="AC1014" s="4">
        <v>3</v>
      </c>
      <c r="AD1014" s="4">
        <v>71</v>
      </c>
      <c r="AE1014" s="4">
        <v>71</v>
      </c>
      <c r="AF1014" s="4">
        <v>0</v>
      </c>
      <c r="AG1014" s="4">
        <v>0</v>
      </c>
      <c r="AH1014" s="4">
        <v>66</v>
      </c>
      <c r="AI1014" s="4">
        <v>66</v>
      </c>
      <c r="AJ1014" s="4">
        <v>9</v>
      </c>
      <c r="AK1014" s="4">
        <v>9</v>
      </c>
      <c r="AL1014" s="4">
        <v>43</v>
      </c>
      <c r="AM1014" s="4">
        <v>43</v>
      </c>
      <c r="AN1014" s="4">
        <v>0</v>
      </c>
      <c r="AO1014" s="4">
        <v>0</v>
      </c>
      <c r="AP1014" s="4">
        <v>9</v>
      </c>
      <c r="AQ1014" s="4">
        <v>9</v>
      </c>
      <c r="AR1014" s="3" t="s">
        <v>63</v>
      </c>
      <c r="AS1014" s="3" t="s">
        <v>63</v>
      </c>
      <c r="AT1014" s="3" t="s">
        <v>63</v>
      </c>
      <c r="AV1014" s="6" t="str">
        <f>HYPERLINK("http://mcgill.on.worldcat.org/oclc/57210560","Catalog Record")</f>
        <v>Catalog Record</v>
      </c>
      <c r="AW1014" s="6" t="str">
        <f>HYPERLINK("http://www.worldcat.org/oclc/57210560","WorldCat Record")</f>
        <v>WorldCat Record</v>
      </c>
      <c r="AX1014" s="3" t="s">
        <v>10011</v>
      </c>
      <c r="AY1014" s="3" t="s">
        <v>10012</v>
      </c>
      <c r="AZ1014" s="3" t="s">
        <v>10013</v>
      </c>
      <c r="BA1014" s="3" t="s">
        <v>10013</v>
      </c>
      <c r="BB1014" s="3" t="s">
        <v>10014</v>
      </c>
      <c r="BC1014" s="3" t="s">
        <v>82</v>
      </c>
      <c r="BD1014" s="3" t="s">
        <v>1611</v>
      </c>
      <c r="BE1014" s="3" t="s">
        <v>10015</v>
      </c>
      <c r="BF1014" s="3" t="s">
        <v>10014</v>
      </c>
      <c r="BG1014" s="3" t="s">
        <v>10016</v>
      </c>
    </row>
    <row r="1015" spans="1:59" ht="75" x14ac:dyDescent="0.25">
      <c r="A1015" s="2" t="s">
        <v>59</v>
      </c>
      <c r="B1015" s="2" t="s">
        <v>60</v>
      </c>
      <c r="C1015" s="2" t="s">
        <v>10017</v>
      </c>
      <c r="D1015" s="2" t="s">
        <v>10018</v>
      </c>
      <c r="E1015" s="2" t="s">
        <v>10019</v>
      </c>
      <c r="G1015" s="3" t="s">
        <v>63</v>
      </c>
      <c r="I1015" s="3" t="s">
        <v>63</v>
      </c>
      <c r="J1015" s="3" t="s">
        <v>63</v>
      </c>
      <c r="K1015" s="3" t="s">
        <v>64</v>
      </c>
      <c r="M1015" s="2" t="s">
        <v>10020</v>
      </c>
      <c r="N1015" s="3" t="s">
        <v>668</v>
      </c>
      <c r="P1015" s="3" t="s">
        <v>90</v>
      </c>
      <c r="R1015" s="3" t="s">
        <v>67</v>
      </c>
      <c r="S1015" s="4">
        <v>8</v>
      </c>
      <c r="T1015" s="4">
        <v>8</v>
      </c>
      <c r="U1015" s="5" t="s">
        <v>3789</v>
      </c>
      <c r="V1015" s="5" t="s">
        <v>3789</v>
      </c>
      <c r="W1015" s="5" t="s">
        <v>69</v>
      </c>
      <c r="X1015" s="5" t="s">
        <v>69</v>
      </c>
      <c r="Y1015" s="4">
        <v>24</v>
      </c>
      <c r="Z1015" s="4">
        <v>5</v>
      </c>
      <c r="AA1015" s="4">
        <v>8</v>
      </c>
      <c r="AB1015" s="4">
        <v>2</v>
      </c>
      <c r="AC1015" s="4">
        <v>2</v>
      </c>
      <c r="AD1015" s="4">
        <v>14</v>
      </c>
      <c r="AE1015" s="4">
        <v>55</v>
      </c>
      <c r="AF1015" s="4">
        <v>0</v>
      </c>
      <c r="AG1015" s="4">
        <v>0</v>
      </c>
      <c r="AH1015" s="4">
        <v>14</v>
      </c>
      <c r="AI1015" s="4">
        <v>52</v>
      </c>
      <c r="AJ1015" s="4">
        <v>2</v>
      </c>
      <c r="AK1015" s="4">
        <v>4</v>
      </c>
      <c r="AL1015" s="4">
        <v>7</v>
      </c>
      <c r="AM1015" s="4">
        <v>38</v>
      </c>
      <c r="AN1015" s="4">
        <v>0</v>
      </c>
      <c r="AO1015" s="4">
        <v>0</v>
      </c>
      <c r="AP1015" s="4">
        <v>2</v>
      </c>
      <c r="AQ1015" s="4">
        <v>4</v>
      </c>
      <c r="AR1015" s="3" t="s">
        <v>63</v>
      </c>
      <c r="AS1015" s="3" t="s">
        <v>63</v>
      </c>
      <c r="AT1015" s="3" t="s">
        <v>62</v>
      </c>
      <c r="AU1015" s="6" t="str">
        <f>HYPERLINK("http://catalog.hathitrust.org/Record/002447098","HathiTrust Record")</f>
        <v>HathiTrust Record</v>
      </c>
      <c r="AV1015" s="6" t="str">
        <f>HYPERLINK("http://mcgill.on.worldcat.org/oclc/57311926","Catalog Record")</f>
        <v>Catalog Record</v>
      </c>
      <c r="AW1015" s="6" t="str">
        <f>HYPERLINK("http://www.worldcat.org/oclc/57311926","WorldCat Record")</f>
        <v>WorldCat Record</v>
      </c>
      <c r="AX1015" s="3" t="s">
        <v>10021</v>
      </c>
      <c r="AY1015" s="3" t="s">
        <v>10022</v>
      </c>
      <c r="AZ1015" s="3" t="s">
        <v>10023</v>
      </c>
      <c r="BA1015" s="3" t="s">
        <v>10023</v>
      </c>
      <c r="BB1015" s="3" t="s">
        <v>10024</v>
      </c>
      <c r="BC1015" s="3" t="s">
        <v>82</v>
      </c>
      <c r="BD1015" s="3" t="s">
        <v>70</v>
      </c>
      <c r="BE1015" s="3" t="s">
        <v>10025</v>
      </c>
      <c r="BF1015" s="3" t="s">
        <v>10024</v>
      </c>
      <c r="BG1015" s="3" t="s">
        <v>10026</v>
      </c>
    </row>
    <row r="1016" spans="1:59" ht="60" x14ac:dyDescent="0.25">
      <c r="A1016" s="2" t="s">
        <v>59</v>
      </c>
      <c r="B1016" s="2" t="s">
        <v>60</v>
      </c>
      <c r="C1016" s="2" t="s">
        <v>10027</v>
      </c>
      <c r="D1016" s="2" t="s">
        <v>10028</v>
      </c>
      <c r="E1016" s="2" t="s">
        <v>10029</v>
      </c>
      <c r="G1016" s="3" t="s">
        <v>63</v>
      </c>
      <c r="I1016" s="3" t="s">
        <v>63</v>
      </c>
      <c r="J1016" s="3" t="s">
        <v>63</v>
      </c>
      <c r="K1016" s="3" t="s">
        <v>64</v>
      </c>
      <c r="L1016" s="2" t="s">
        <v>10030</v>
      </c>
      <c r="M1016" s="2" t="s">
        <v>10031</v>
      </c>
      <c r="N1016" s="3" t="s">
        <v>1023</v>
      </c>
      <c r="P1016" s="3" t="s">
        <v>66</v>
      </c>
      <c r="R1016" s="3" t="s">
        <v>67</v>
      </c>
      <c r="S1016" s="4">
        <v>35</v>
      </c>
      <c r="T1016" s="4">
        <v>35</v>
      </c>
      <c r="U1016" s="5" t="s">
        <v>10010</v>
      </c>
      <c r="V1016" s="5" t="s">
        <v>10010</v>
      </c>
      <c r="W1016" s="5" t="s">
        <v>69</v>
      </c>
      <c r="X1016" s="5" t="s">
        <v>69</v>
      </c>
      <c r="Y1016" s="4">
        <v>497</v>
      </c>
      <c r="Z1016" s="4">
        <v>27</v>
      </c>
      <c r="AA1016" s="4">
        <v>33</v>
      </c>
      <c r="AB1016" s="4">
        <v>2</v>
      </c>
      <c r="AC1016" s="4">
        <v>5</v>
      </c>
      <c r="AD1016" s="4">
        <v>114</v>
      </c>
      <c r="AE1016" s="4">
        <v>116</v>
      </c>
      <c r="AF1016" s="4">
        <v>0</v>
      </c>
      <c r="AG1016" s="4">
        <v>0</v>
      </c>
      <c r="AH1016" s="4">
        <v>101</v>
      </c>
      <c r="AI1016" s="4">
        <v>102</v>
      </c>
      <c r="AJ1016" s="4">
        <v>16</v>
      </c>
      <c r="AK1016" s="4">
        <v>16</v>
      </c>
      <c r="AL1016" s="4">
        <v>55</v>
      </c>
      <c r="AM1016" s="4">
        <v>55</v>
      </c>
      <c r="AN1016" s="4">
        <v>0</v>
      </c>
      <c r="AO1016" s="4">
        <v>0</v>
      </c>
      <c r="AP1016" s="4">
        <v>21</v>
      </c>
      <c r="AQ1016" s="4">
        <v>22</v>
      </c>
      <c r="AR1016" s="3" t="s">
        <v>63</v>
      </c>
      <c r="AS1016" s="3" t="s">
        <v>63</v>
      </c>
      <c r="AT1016" s="3" t="s">
        <v>63</v>
      </c>
      <c r="AV1016" s="6" t="str">
        <f>HYPERLINK("http://mcgill.on.worldcat.org/oclc/29565341","Catalog Record")</f>
        <v>Catalog Record</v>
      </c>
      <c r="AW1016" s="6" t="str">
        <f>HYPERLINK("http://www.worldcat.org/oclc/29565341","WorldCat Record")</f>
        <v>WorldCat Record</v>
      </c>
      <c r="AX1016" s="3" t="s">
        <v>10032</v>
      </c>
      <c r="AY1016" s="3" t="s">
        <v>10033</v>
      </c>
      <c r="AZ1016" s="3" t="s">
        <v>10034</v>
      </c>
      <c r="BA1016" s="3" t="s">
        <v>10034</v>
      </c>
      <c r="BB1016" s="3" t="s">
        <v>10035</v>
      </c>
      <c r="BC1016" s="3" t="s">
        <v>82</v>
      </c>
      <c r="BD1016" s="3" t="s">
        <v>70</v>
      </c>
      <c r="BE1016" s="3" t="s">
        <v>10036</v>
      </c>
      <c r="BF1016" s="3" t="s">
        <v>10035</v>
      </c>
      <c r="BG1016" s="3" t="s">
        <v>10037</v>
      </c>
    </row>
    <row r="1017" spans="1:59" ht="60" x14ac:dyDescent="0.25">
      <c r="A1017" s="2" t="s">
        <v>59</v>
      </c>
      <c r="B1017" s="2" t="s">
        <v>60</v>
      </c>
      <c r="C1017" s="2" t="s">
        <v>10082</v>
      </c>
      <c r="D1017" s="2" t="s">
        <v>10083</v>
      </c>
      <c r="E1017" s="2" t="s">
        <v>10084</v>
      </c>
      <c r="G1017" s="3" t="s">
        <v>63</v>
      </c>
      <c r="I1017" s="3" t="s">
        <v>63</v>
      </c>
      <c r="J1017" s="3" t="s">
        <v>63</v>
      </c>
      <c r="K1017" s="3" t="s">
        <v>64</v>
      </c>
      <c r="M1017" s="2" t="s">
        <v>10085</v>
      </c>
      <c r="N1017" s="3" t="s">
        <v>546</v>
      </c>
      <c r="P1017" s="3" t="s">
        <v>90</v>
      </c>
      <c r="Q1017" s="2" t="s">
        <v>10086</v>
      </c>
      <c r="R1017" s="3" t="s">
        <v>67</v>
      </c>
      <c r="S1017" s="4">
        <v>5</v>
      </c>
      <c r="T1017" s="4">
        <v>5</v>
      </c>
      <c r="U1017" s="5" t="s">
        <v>10087</v>
      </c>
      <c r="V1017" s="5" t="s">
        <v>10087</v>
      </c>
      <c r="W1017" s="5" t="s">
        <v>69</v>
      </c>
      <c r="X1017" s="5" t="s">
        <v>69</v>
      </c>
      <c r="Y1017" s="4">
        <v>101</v>
      </c>
      <c r="Z1017" s="4">
        <v>11</v>
      </c>
      <c r="AA1017" s="4">
        <v>14</v>
      </c>
      <c r="AB1017" s="4">
        <v>2</v>
      </c>
      <c r="AC1017" s="4">
        <v>2</v>
      </c>
      <c r="AD1017" s="4">
        <v>58</v>
      </c>
      <c r="AE1017" s="4">
        <v>60</v>
      </c>
      <c r="AF1017" s="4">
        <v>1</v>
      </c>
      <c r="AG1017" s="4">
        <v>1</v>
      </c>
      <c r="AH1017" s="4">
        <v>53</v>
      </c>
      <c r="AI1017" s="4">
        <v>55</v>
      </c>
      <c r="AJ1017" s="4">
        <v>8</v>
      </c>
      <c r="AK1017" s="4">
        <v>10</v>
      </c>
      <c r="AL1017" s="4">
        <v>38</v>
      </c>
      <c r="AM1017" s="4">
        <v>38</v>
      </c>
      <c r="AN1017" s="4">
        <v>0</v>
      </c>
      <c r="AO1017" s="4">
        <v>0</v>
      </c>
      <c r="AP1017" s="4">
        <v>8</v>
      </c>
      <c r="AQ1017" s="4">
        <v>10</v>
      </c>
      <c r="AR1017" s="3" t="s">
        <v>63</v>
      </c>
      <c r="AS1017" s="3" t="s">
        <v>63</v>
      </c>
      <c r="AT1017" s="3" t="s">
        <v>62</v>
      </c>
      <c r="AU1017" s="6" t="str">
        <f>HYPERLINK("http://catalog.hathitrust.org/Record/001353237","HathiTrust Record")</f>
        <v>HathiTrust Record</v>
      </c>
      <c r="AV1017" s="6" t="str">
        <f>HYPERLINK("http://mcgill.on.worldcat.org/oclc/6876002","Catalog Record")</f>
        <v>Catalog Record</v>
      </c>
      <c r="AW1017" s="6" t="str">
        <f>HYPERLINK("http://www.worldcat.org/oclc/6876002","WorldCat Record")</f>
        <v>WorldCat Record</v>
      </c>
      <c r="AX1017" s="3" t="s">
        <v>10088</v>
      </c>
      <c r="AY1017" s="3" t="s">
        <v>10089</v>
      </c>
      <c r="AZ1017" s="3" t="s">
        <v>10090</v>
      </c>
      <c r="BA1017" s="3" t="s">
        <v>10090</v>
      </c>
      <c r="BB1017" s="3" t="s">
        <v>10091</v>
      </c>
      <c r="BC1017" s="3" t="s">
        <v>82</v>
      </c>
      <c r="BD1017" s="3" t="s">
        <v>70</v>
      </c>
      <c r="BF1017" s="3" t="s">
        <v>10091</v>
      </c>
      <c r="BG1017" s="3" t="s">
        <v>10092</v>
      </c>
    </row>
    <row r="1018" spans="1:59" ht="60" x14ac:dyDescent="0.25">
      <c r="A1018" s="2" t="s">
        <v>59</v>
      </c>
      <c r="B1018" s="2" t="s">
        <v>60</v>
      </c>
      <c r="C1018" s="2" t="s">
        <v>10093</v>
      </c>
      <c r="D1018" s="2" t="s">
        <v>10094</v>
      </c>
      <c r="E1018" s="2" t="s">
        <v>10095</v>
      </c>
      <c r="G1018" s="3" t="s">
        <v>63</v>
      </c>
      <c r="I1018" s="3" t="s">
        <v>63</v>
      </c>
      <c r="J1018" s="3" t="s">
        <v>62</v>
      </c>
      <c r="K1018" s="3" t="s">
        <v>64</v>
      </c>
      <c r="M1018" s="2" t="s">
        <v>10096</v>
      </c>
      <c r="N1018" s="3" t="s">
        <v>837</v>
      </c>
      <c r="P1018" s="3" t="s">
        <v>90</v>
      </c>
      <c r="R1018" s="3" t="s">
        <v>67</v>
      </c>
      <c r="S1018" s="4">
        <v>4</v>
      </c>
      <c r="T1018" s="4">
        <v>4</v>
      </c>
      <c r="U1018" s="5" t="s">
        <v>10097</v>
      </c>
      <c r="V1018" s="5" t="s">
        <v>10097</v>
      </c>
      <c r="W1018" s="5" t="s">
        <v>69</v>
      </c>
      <c r="X1018" s="5" t="s">
        <v>69</v>
      </c>
      <c r="Y1018" s="4">
        <v>28</v>
      </c>
      <c r="Z1018" s="4">
        <v>2</v>
      </c>
      <c r="AA1018" s="4">
        <v>25</v>
      </c>
      <c r="AB1018" s="4">
        <v>1</v>
      </c>
      <c r="AC1018" s="4">
        <v>4</v>
      </c>
      <c r="AD1018" s="4">
        <v>13</v>
      </c>
      <c r="AE1018" s="4">
        <v>104</v>
      </c>
      <c r="AF1018" s="4">
        <v>0</v>
      </c>
      <c r="AG1018" s="4">
        <v>3</v>
      </c>
      <c r="AH1018" s="4">
        <v>12</v>
      </c>
      <c r="AI1018" s="4">
        <v>93</v>
      </c>
      <c r="AJ1018" s="4">
        <v>1</v>
      </c>
      <c r="AK1018" s="4">
        <v>19</v>
      </c>
      <c r="AL1018" s="4">
        <v>9</v>
      </c>
      <c r="AM1018" s="4">
        <v>57</v>
      </c>
      <c r="AN1018" s="4">
        <v>0</v>
      </c>
      <c r="AO1018" s="4">
        <v>11</v>
      </c>
      <c r="AP1018" s="4">
        <v>1</v>
      </c>
      <c r="AQ1018" s="4">
        <v>18</v>
      </c>
      <c r="AR1018" s="3" t="s">
        <v>63</v>
      </c>
      <c r="AS1018" s="3" t="s">
        <v>63</v>
      </c>
      <c r="AT1018" s="3" t="s">
        <v>62</v>
      </c>
      <c r="AU1018" s="6" t="str">
        <f>HYPERLINK("http://catalog.hathitrust.org/Record/009973478","HathiTrust Record")</f>
        <v>HathiTrust Record</v>
      </c>
      <c r="AV1018" s="6" t="str">
        <f>HYPERLINK("http://mcgill.on.worldcat.org/oclc/5113753","Catalog Record")</f>
        <v>Catalog Record</v>
      </c>
      <c r="AW1018" s="6" t="str">
        <f>HYPERLINK("http://www.worldcat.org/oclc/5113753","WorldCat Record")</f>
        <v>WorldCat Record</v>
      </c>
      <c r="AX1018" s="3" t="s">
        <v>10098</v>
      </c>
      <c r="AY1018" s="3" t="s">
        <v>10099</v>
      </c>
      <c r="AZ1018" s="3" t="s">
        <v>10100</v>
      </c>
      <c r="BA1018" s="3" t="s">
        <v>10100</v>
      </c>
      <c r="BB1018" s="3" t="s">
        <v>10101</v>
      </c>
      <c r="BC1018" s="3" t="s">
        <v>82</v>
      </c>
      <c r="BD1018" s="3" t="s">
        <v>70</v>
      </c>
      <c r="BF1018" s="3" t="s">
        <v>10101</v>
      </c>
      <c r="BG1018" s="3" t="s">
        <v>10102</v>
      </c>
    </row>
    <row r="1019" spans="1:59" ht="135" x14ac:dyDescent="0.25">
      <c r="A1019" s="2" t="s">
        <v>59</v>
      </c>
      <c r="B1019" s="2" t="s">
        <v>60</v>
      </c>
      <c r="C1019" s="2" t="s">
        <v>10103</v>
      </c>
      <c r="D1019" s="2" t="s">
        <v>10104</v>
      </c>
      <c r="E1019" s="2" t="s">
        <v>10105</v>
      </c>
      <c r="G1019" s="3" t="s">
        <v>63</v>
      </c>
      <c r="I1019" s="3" t="s">
        <v>63</v>
      </c>
      <c r="J1019" s="3" t="s">
        <v>62</v>
      </c>
      <c r="K1019" s="3" t="s">
        <v>64</v>
      </c>
      <c r="L1019" s="2" t="s">
        <v>10106</v>
      </c>
      <c r="M1019" s="2" t="s">
        <v>10107</v>
      </c>
      <c r="N1019" s="3" t="s">
        <v>668</v>
      </c>
      <c r="P1019" s="3" t="s">
        <v>90</v>
      </c>
      <c r="Q1019" s="2" t="s">
        <v>10108</v>
      </c>
      <c r="R1019" s="3" t="s">
        <v>67</v>
      </c>
      <c r="S1019" s="4">
        <v>11</v>
      </c>
      <c r="T1019" s="4">
        <v>11</v>
      </c>
      <c r="U1019" s="5" t="s">
        <v>10055</v>
      </c>
      <c r="V1019" s="5" t="s">
        <v>10055</v>
      </c>
      <c r="W1019" s="5" t="s">
        <v>69</v>
      </c>
      <c r="X1019" s="5" t="s">
        <v>69</v>
      </c>
      <c r="Y1019" s="4">
        <v>41</v>
      </c>
      <c r="Z1019" s="4">
        <v>7</v>
      </c>
      <c r="AA1019" s="4">
        <v>19</v>
      </c>
      <c r="AB1019" s="4">
        <v>1</v>
      </c>
      <c r="AC1019" s="4">
        <v>1</v>
      </c>
      <c r="AD1019" s="4">
        <v>30</v>
      </c>
      <c r="AE1019" s="4">
        <v>78</v>
      </c>
      <c r="AF1019" s="4">
        <v>0</v>
      </c>
      <c r="AG1019" s="4">
        <v>0</v>
      </c>
      <c r="AH1019" s="4">
        <v>29</v>
      </c>
      <c r="AI1019" s="4">
        <v>68</v>
      </c>
      <c r="AJ1019" s="4">
        <v>4</v>
      </c>
      <c r="AK1019" s="4">
        <v>11</v>
      </c>
      <c r="AL1019" s="4">
        <v>23</v>
      </c>
      <c r="AM1019" s="4">
        <v>47</v>
      </c>
      <c r="AN1019" s="4">
        <v>0</v>
      </c>
      <c r="AO1019" s="4">
        <v>0</v>
      </c>
      <c r="AP1019" s="4">
        <v>4</v>
      </c>
      <c r="AQ1019" s="4">
        <v>13</v>
      </c>
      <c r="AR1019" s="3" t="s">
        <v>63</v>
      </c>
      <c r="AS1019" s="3" t="s">
        <v>63</v>
      </c>
      <c r="AT1019" s="3" t="s">
        <v>62</v>
      </c>
      <c r="AU1019" s="6" t="str">
        <f>HYPERLINK("http://catalog.hathitrust.org/Record/002369961","HathiTrust Record")</f>
        <v>HathiTrust Record</v>
      </c>
      <c r="AV1019" s="6" t="str">
        <f>HYPERLINK("http://mcgill.on.worldcat.org/oclc/22872168","Catalog Record")</f>
        <v>Catalog Record</v>
      </c>
      <c r="AW1019" s="6" t="str">
        <f>HYPERLINK("http://www.worldcat.org/oclc/22872168","WorldCat Record")</f>
        <v>WorldCat Record</v>
      </c>
      <c r="AX1019" s="3" t="s">
        <v>10109</v>
      </c>
      <c r="AY1019" s="3" t="s">
        <v>10110</v>
      </c>
      <c r="AZ1019" s="3" t="s">
        <v>10111</v>
      </c>
      <c r="BA1019" s="3" t="s">
        <v>10111</v>
      </c>
      <c r="BB1019" s="3" t="s">
        <v>10112</v>
      </c>
      <c r="BC1019" s="3" t="s">
        <v>82</v>
      </c>
      <c r="BD1019" s="3" t="s">
        <v>70</v>
      </c>
      <c r="BE1019" s="3" t="s">
        <v>10113</v>
      </c>
      <c r="BF1019" s="3" t="s">
        <v>10112</v>
      </c>
      <c r="BG1019" s="3" t="s">
        <v>10114</v>
      </c>
    </row>
    <row r="1020" spans="1:59" ht="60" x14ac:dyDescent="0.25">
      <c r="A1020" s="2" t="s">
        <v>59</v>
      </c>
      <c r="B1020" s="2" t="s">
        <v>60</v>
      </c>
      <c r="C1020" s="2" t="s">
        <v>10038</v>
      </c>
      <c r="D1020" s="2" t="s">
        <v>10039</v>
      </c>
      <c r="E1020" s="2" t="s">
        <v>10040</v>
      </c>
      <c r="G1020" s="3" t="s">
        <v>63</v>
      </c>
      <c r="I1020" s="3" t="s">
        <v>63</v>
      </c>
      <c r="J1020" s="3" t="s">
        <v>63</v>
      </c>
      <c r="K1020" s="3" t="s">
        <v>64</v>
      </c>
      <c r="M1020" s="2" t="s">
        <v>10041</v>
      </c>
      <c r="N1020" s="3" t="s">
        <v>76</v>
      </c>
      <c r="P1020" s="3" t="s">
        <v>90</v>
      </c>
      <c r="Q1020" s="2" t="s">
        <v>10042</v>
      </c>
      <c r="R1020" s="3" t="s">
        <v>67</v>
      </c>
      <c r="S1020" s="4">
        <v>0</v>
      </c>
      <c r="T1020" s="4">
        <v>0</v>
      </c>
      <c r="W1020" s="5" t="s">
        <v>69</v>
      </c>
      <c r="X1020" s="5" t="s">
        <v>69</v>
      </c>
      <c r="Y1020" s="4">
        <v>2</v>
      </c>
      <c r="Z1020" s="4">
        <v>1</v>
      </c>
      <c r="AA1020" s="4">
        <v>1</v>
      </c>
      <c r="AB1020" s="4">
        <v>1</v>
      </c>
      <c r="AC1020" s="4">
        <v>1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3" t="s">
        <v>63</v>
      </c>
      <c r="AS1020" s="3" t="s">
        <v>63</v>
      </c>
      <c r="AT1020" s="3" t="s">
        <v>63</v>
      </c>
      <c r="AV1020" s="6" t="str">
        <f>HYPERLINK("http://mcgill.on.worldcat.org/oclc/866589726","Catalog Record")</f>
        <v>Catalog Record</v>
      </c>
      <c r="AW1020" s="6" t="str">
        <f>HYPERLINK("http://www.worldcat.org/oclc/866589726","WorldCat Record")</f>
        <v>WorldCat Record</v>
      </c>
      <c r="AX1020" s="3" t="s">
        <v>10043</v>
      </c>
      <c r="AY1020" s="3" t="s">
        <v>10044</v>
      </c>
      <c r="AZ1020" s="3" t="s">
        <v>10045</v>
      </c>
      <c r="BA1020" s="3" t="s">
        <v>10045</v>
      </c>
      <c r="BB1020" s="3" t="s">
        <v>10046</v>
      </c>
      <c r="BC1020" s="3" t="s">
        <v>82</v>
      </c>
      <c r="BD1020" s="3" t="s">
        <v>70</v>
      </c>
      <c r="BE1020" s="3" t="s">
        <v>10047</v>
      </c>
      <c r="BF1020" s="3" t="s">
        <v>10046</v>
      </c>
      <c r="BG1020" s="3" t="s">
        <v>10048</v>
      </c>
    </row>
    <row r="1021" spans="1:59" ht="60" x14ac:dyDescent="0.25">
      <c r="A1021" s="2" t="s">
        <v>59</v>
      </c>
      <c r="B1021" s="2" t="s">
        <v>60</v>
      </c>
      <c r="C1021" s="2" t="s">
        <v>10049</v>
      </c>
      <c r="D1021" s="2" t="s">
        <v>10050</v>
      </c>
      <c r="E1021" s="2" t="s">
        <v>10051</v>
      </c>
      <c r="G1021" s="3" t="s">
        <v>63</v>
      </c>
      <c r="I1021" s="3" t="s">
        <v>63</v>
      </c>
      <c r="J1021" s="3" t="s">
        <v>63</v>
      </c>
      <c r="K1021" s="3" t="s">
        <v>64</v>
      </c>
      <c r="L1021" s="2" t="s">
        <v>10052</v>
      </c>
      <c r="M1021" s="2" t="s">
        <v>10053</v>
      </c>
      <c r="N1021" s="3" t="s">
        <v>758</v>
      </c>
      <c r="P1021" s="3" t="s">
        <v>66</v>
      </c>
      <c r="Q1021" s="2" t="s">
        <v>10054</v>
      </c>
      <c r="R1021" s="3" t="s">
        <v>67</v>
      </c>
      <c r="S1021" s="4">
        <v>11</v>
      </c>
      <c r="T1021" s="4">
        <v>11</v>
      </c>
      <c r="U1021" s="5" t="s">
        <v>10055</v>
      </c>
      <c r="V1021" s="5" t="s">
        <v>10055</v>
      </c>
      <c r="W1021" s="5" t="s">
        <v>69</v>
      </c>
      <c r="X1021" s="5" t="s">
        <v>69</v>
      </c>
      <c r="Y1021" s="4">
        <v>506</v>
      </c>
      <c r="Z1021" s="4">
        <v>35</v>
      </c>
      <c r="AA1021" s="4">
        <v>41</v>
      </c>
      <c r="AB1021" s="4">
        <v>4</v>
      </c>
      <c r="AC1021" s="4">
        <v>5</v>
      </c>
      <c r="AD1021" s="4">
        <v>105</v>
      </c>
      <c r="AE1021" s="4">
        <v>122</v>
      </c>
      <c r="AF1021" s="4">
        <v>2</v>
      </c>
      <c r="AG1021" s="4">
        <v>3</v>
      </c>
      <c r="AH1021" s="4">
        <v>86</v>
      </c>
      <c r="AI1021" s="4">
        <v>99</v>
      </c>
      <c r="AJ1021" s="4">
        <v>16</v>
      </c>
      <c r="AK1021" s="4">
        <v>19</v>
      </c>
      <c r="AL1021" s="4">
        <v>51</v>
      </c>
      <c r="AM1021" s="4">
        <v>58</v>
      </c>
      <c r="AN1021" s="4">
        <v>0</v>
      </c>
      <c r="AO1021" s="4">
        <v>1</v>
      </c>
      <c r="AP1021" s="4">
        <v>21</v>
      </c>
      <c r="AQ1021" s="4">
        <v>27</v>
      </c>
      <c r="AR1021" s="3" t="s">
        <v>63</v>
      </c>
      <c r="AS1021" s="3" t="s">
        <v>63</v>
      </c>
      <c r="AT1021" s="3" t="s">
        <v>63</v>
      </c>
      <c r="AU1021" s="6" t="str">
        <f>HYPERLINK("http://catalog.hathitrust.org/Record/000980781","HathiTrust Record")</f>
        <v>HathiTrust Record</v>
      </c>
      <c r="AV1021" s="6" t="str">
        <f>HYPERLINK("http://mcgill.on.worldcat.org/oclc/190839","Catalog Record")</f>
        <v>Catalog Record</v>
      </c>
      <c r="AW1021" s="6" t="str">
        <f>HYPERLINK("http://www.worldcat.org/oclc/190839","WorldCat Record")</f>
        <v>WorldCat Record</v>
      </c>
      <c r="AX1021" s="3" t="s">
        <v>10056</v>
      </c>
      <c r="AY1021" s="3" t="s">
        <v>10057</v>
      </c>
      <c r="AZ1021" s="3" t="s">
        <v>10058</v>
      </c>
      <c r="BA1021" s="3" t="s">
        <v>10058</v>
      </c>
      <c r="BB1021" s="3" t="s">
        <v>10059</v>
      </c>
      <c r="BC1021" s="3" t="s">
        <v>82</v>
      </c>
      <c r="BD1021" s="3" t="s">
        <v>70</v>
      </c>
      <c r="BF1021" s="3" t="s">
        <v>10059</v>
      </c>
      <c r="BG1021" s="3" t="s">
        <v>10060</v>
      </c>
    </row>
    <row r="1022" spans="1:59" ht="60" x14ac:dyDescent="0.25">
      <c r="A1022" s="2" t="s">
        <v>59</v>
      </c>
      <c r="B1022" s="2" t="s">
        <v>60</v>
      </c>
      <c r="C1022" s="2" t="s">
        <v>10061</v>
      </c>
      <c r="D1022" s="2" t="s">
        <v>10062</v>
      </c>
      <c r="E1022" s="2" t="s">
        <v>10063</v>
      </c>
      <c r="G1022" s="3" t="s">
        <v>63</v>
      </c>
      <c r="I1022" s="3" t="s">
        <v>63</v>
      </c>
      <c r="J1022" s="3" t="s">
        <v>63</v>
      </c>
      <c r="K1022" s="3" t="s">
        <v>64</v>
      </c>
      <c r="L1022" s="2" t="s">
        <v>10052</v>
      </c>
      <c r="M1022" s="2" t="s">
        <v>10064</v>
      </c>
      <c r="N1022" s="3" t="s">
        <v>427</v>
      </c>
      <c r="O1022" s="2" t="s">
        <v>10065</v>
      </c>
      <c r="P1022" s="3" t="s">
        <v>66</v>
      </c>
      <c r="R1022" s="3" t="s">
        <v>67</v>
      </c>
      <c r="S1022" s="4">
        <v>13</v>
      </c>
      <c r="T1022" s="4">
        <v>13</v>
      </c>
      <c r="U1022" s="5" t="s">
        <v>10066</v>
      </c>
      <c r="V1022" s="5" t="s">
        <v>10066</v>
      </c>
      <c r="W1022" s="5" t="s">
        <v>69</v>
      </c>
      <c r="X1022" s="5" t="s">
        <v>69</v>
      </c>
      <c r="Y1022" s="4">
        <v>58</v>
      </c>
      <c r="Z1022" s="4">
        <v>2</v>
      </c>
      <c r="AA1022" s="4">
        <v>8</v>
      </c>
      <c r="AB1022" s="4">
        <v>1</v>
      </c>
      <c r="AC1022" s="4">
        <v>2</v>
      </c>
      <c r="AD1022" s="4">
        <v>22</v>
      </c>
      <c r="AE1022" s="4">
        <v>30</v>
      </c>
      <c r="AF1022" s="4">
        <v>0</v>
      </c>
      <c r="AG1022" s="4">
        <v>0</v>
      </c>
      <c r="AH1022" s="4">
        <v>20</v>
      </c>
      <c r="AI1022" s="4">
        <v>27</v>
      </c>
      <c r="AJ1022" s="4">
        <v>1</v>
      </c>
      <c r="AK1022" s="4">
        <v>5</v>
      </c>
      <c r="AL1022" s="4">
        <v>13</v>
      </c>
      <c r="AM1022" s="4">
        <v>16</v>
      </c>
      <c r="AN1022" s="4">
        <v>0</v>
      </c>
      <c r="AO1022" s="4">
        <v>0</v>
      </c>
      <c r="AP1022" s="4">
        <v>1</v>
      </c>
      <c r="AQ1022" s="4">
        <v>5</v>
      </c>
      <c r="AR1022" s="3" t="s">
        <v>63</v>
      </c>
      <c r="AS1022" s="3" t="s">
        <v>63</v>
      </c>
      <c r="AT1022" s="3" t="s">
        <v>62</v>
      </c>
      <c r="AU1022" s="6" t="str">
        <f>HYPERLINK("http://catalog.hathitrust.org/Record/001535998","HathiTrust Record")</f>
        <v>HathiTrust Record</v>
      </c>
      <c r="AV1022" s="6" t="str">
        <f>HYPERLINK("http://mcgill.on.worldcat.org/oclc/20589990","Catalog Record")</f>
        <v>Catalog Record</v>
      </c>
      <c r="AW1022" s="6" t="str">
        <f>HYPERLINK("http://www.worldcat.org/oclc/20589990","WorldCat Record")</f>
        <v>WorldCat Record</v>
      </c>
      <c r="AX1022" s="3" t="s">
        <v>10067</v>
      </c>
      <c r="AY1022" s="3" t="s">
        <v>10068</v>
      </c>
      <c r="AZ1022" s="3" t="s">
        <v>10069</v>
      </c>
      <c r="BA1022" s="3" t="s">
        <v>10069</v>
      </c>
      <c r="BB1022" s="3" t="s">
        <v>10070</v>
      </c>
      <c r="BC1022" s="3" t="s">
        <v>82</v>
      </c>
      <c r="BD1022" s="3" t="s">
        <v>70</v>
      </c>
      <c r="BE1022" s="3" t="s">
        <v>10071</v>
      </c>
      <c r="BF1022" s="3" t="s">
        <v>10070</v>
      </c>
      <c r="BG1022" s="3" t="s">
        <v>10072</v>
      </c>
    </row>
    <row r="1023" spans="1:59" ht="60" x14ac:dyDescent="0.25">
      <c r="A1023" s="2" t="s">
        <v>59</v>
      </c>
      <c r="B1023" s="2" t="s">
        <v>60</v>
      </c>
      <c r="C1023" s="2" t="s">
        <v>10073</v>
      </c>
      <c r="D1023" s="2" t="s">
        <v>10074</v>
      </c>
      <c r="E1023" s="2" t="s">
        <v>10075</v>
      </c>
      <c r="G1023" s="3" t="s">
        <v>63</v>
      </c>
      <c r="I1023" s="3" t="s">
        <v>63</v>
      </c>
      <c r="J1023" s="3" t="s">
        <v>63</v>
      </c>
      <c r="K1023" s="3" t="s">
        <v>64</v>
      </c>
      <c r="L1023" s="2" t="s">
        <v>10076</v>
      </c>
      <c r="M1023" s="2" t="s">
        <v>6746</v>
      </c>
      <c r="N1023" s="3" t="s">
        <v>3640</v>
      </c>
      <c r="P1023" s="3" t="s">
        <v>90</v>
      </c>
      <c r="R1023" s="3" t="s">
        <v>67</v>
      </c>
      <c r="S1023" s="4">
        <v>2</v>
      </c>
      <c r="T1023" s="4">
        <v>2</v>
      </c>
      <c r="U1023" s="5" t="s">
        <v>9040</v>
      </c>
      <c r="V1023" s="5" t="s">
        <v>9040</v>
      </c>
      <c r="W1023" s="5" t="s">
        <v>69</v>
      </c>
      <c r="X1023" s="5" t="s">
        <v>69</v>
      </c>
      <c r="Y1023" s="4">
        <v>85</v>
      </c>
      <c r="Z1023" s="4">
        <v>10</v>
      </c>
      <c r="AA1023" s="4">
        <v>12</v>
      </c>
      <c r="AB1023" s="4">
        <v>1</v>
      </c>
      <c r="AC1023" s="4">
        <v>2</v>
      </c>
      <c r="AD1023" s="4">
        <v>54</v>
      </c>
      <c r="AE1023" s="4">
        <v>56</v>
      </c>
      <c r="AF1023" s="4">
        <v>0</v>
      </c>
      <c r="AG1023" s="4">
        <v>1</v>
      </c>
      <c r="AH1023" s="4">
        <v>52</v>
      </c>
      <c r="AI1023" s="4">
        <v>53</v>
      </c>
      <c r="AJ1023" s="4">
        <v>7</v>
      </c>
      <c r="AK1023" s="4">
        <v>9</v>
      </c>
      <c r="AL1023" s="4">
        <v>35</v>
      </c>
      <c r="AM1023" s="4">
        <v>35</v>
      </c>
      <c r="AN1023" s="4">
        <v>0</v>
      </c>
      <c r="AO1023" s="4">
        <v>0</v>
      </c>
      <c r="AP1023" s="4">
        <v>7</v>
      </c>
      <c r="AQ1023" s="4">
        <v>8</v>
      </c>
      <c r="AR1023" s="3" t="s">
        <v>63</v>
      </c>
      <c r="AS1023" s="3" t="s">
        <v>63</v>
      </c>
      <c r="AT1023" s="3" t="s">
        <v>62</v>
      </c>
      <c r="AU1023" s="6" t="str">
        <f>HYPERLINK("http://catalog.hathitrust.org/Record/000188058","HathiTrust Record")</f>
        <v>HathiTrust Record</v>
      </c>
      <c r="AV1023" s="6" t="str">
        <f>HYPERLINK("http://mcgill.on.worldcat.org/oclc/10982912","Catalog Record")</f>
        <v>Catalog Record</v>
      </c>
      <c r="AW1023" s="6" t="str">
        <f>HYPERLINK("http://www.worldcat.org/oclc/10982912","WorldCat Record")</f>
        <v>WorldCat Record</v>
      </c>
      <c r="AX1023" s="3" t="s">
        <v>10077</v>
      </c>
      <c r="AY1023" s="3" t="s">
        <v>10078</v>
      </c>
      <c r="AZ1023" s="3" t="s">
        <v>10079</v>
      </c>
      <c r="BA1023" s="3" t="s">
        <v>10079</v>
      </c>
      <c r="BB1023" s="3" t="s">
        <v>10080</v>
      </c>
      <c r="BC1023" s="3" t="s">
        <v>82</v>
      </c>
      <c r="BD1023" s="3" t="s">
        <v>70</v>
      </c>
      <c r="BF1023" s="3" t="s">
        <v>10080</v>
      </c>
      <c r="BG1023" s="3" t="s">
        <v>10081</v>
      </c>
    </row>
    <row r="1024" spans="1:59" ht="60" x14ac:dyDescent="0.25">
      <c r="A1024" s="2" t="s">
        <v>59</v>
      </c>
      <c r="B1024" s="2" t="s">
        <v>60</v>
      </c>
      <c r="C1024" s="2" t="s">
        <v>10115</v>
      </c>
      <c r="D1024" s="2" t="s">
        <v>10116</v>
      </c>
      <c r="E1024" s="2" t="s">
        <v>10117</v>
      </c>
      <c r="F1024" s="3" t="s">
        <v>10118</v>
      </c>
      <c r="G1024" s="3" t="s">
        <v>62</v>
      </c>
      <c r="I1024" s="3" t="s">
        <v>63</v>
      </c>
      <c r="J1024" s="3" t="s">
        <v>63</v>
      </c>
      <c r="K1024" s="3" t="s">
        <v>64</v>
      </c>
      <c r="L1024" s="2" t="s">
        <v>10119</v>
      </c>
      <c r="M1024" s="2" t="s">
        <v>10120</v>
      </c>
      <c r="N1024" s="3" t="s">
        <v>2225</v>
      </c>
      <c r="P1024" s="3" t="s">
        <v>90</v>
      </c>
      <c r="R1024" s="3" t="s">
        <v>67</v>
      </c>
      <c r="S1024" s="4">
        <v>2</v>
      </c>
      <c r="T1024" s="4">
        <v>10</v>
      </c>
      <c r="U1024" s="5" t="s">
        <v>10055</v>
      </c>
      <c r="V1024" s="5" t="s">
        <v>10055</v>
      </c>
      <c r="W1024" s="5" t="s">
        <v>69</v>
      </c>
      <c r="X1024" s="5" t="s">
        <v>69</v>
      </c>
      <c r="Y1024" s="4">
        <v>155</v>
      </c>
      <c r="Z1024" s="4">
        <v>17</v>
      </c>
      <c r="AA1024" s="4">
        <v>18</v>
      </c>
      <c r="AB1024" s="4">
        <v>1</v>
      </c>
      <c r="AC1024" s="4">
        <v>2</v>
      </c>
      <c r="AD1024" s="4">
        <v>87</v>
      </c>
      <c r="AE1024" s="4">
        <v>88</v>
      </c>
      <c r="AF1024" s="4">
        <v>0</v>
      </c>
      <c r="AG1024" s="4">
        <v>1</v>
      </c>
      <c r="AH1024" s="4">
        <v>81</v>
      </c>
      <c r="AI1024" s="4">
        <v>81</v>
      </c>
      <c r="AJ1024" s="4">
        <v>12</v>
      </c>
      <c r="AK1024" s="4">
        <v>13</v>
      </c>
      <c r="AL1024" s="4">
        <v>48</v>
      </c>
      <c r="AM1024" s="4">
        <v>48</v>
      </c>
      <c r="AN1024" s="4">
        <v>0</v>
      </c>
      <c r="AO1024" s="4">
        <v>0</v>
      </c>
      <c r="AP1024" s="4">
        <v>14</v>
      </c>
      <c r="AQ1024" s="4">
        <v>14</v>
      </c>
      <c r="AR1024" s="3" t="s">
        <v>63</v>
      </c>
      <c r="AS1024" s="3" t="s">
        <v>63</v>
      </c>
      <c r="AT1024" s="3" t="s">
        <v>62</v>
      </c>
      <c r="AU1024" s="6" t="str">
        <f>HYPERLINK("http://catalog.hathitrust.org/Record/000289525","HathiTrust Record")</f>
        <v>HathiTrust Record</v>
      </c>
      <c r="AV1024" s="6" t="str">
        <f>HYPERLINK("http://mcgill.on.worldcat.org/oclc/11971844","Catalog Record")</f>
        <v>Catalog Record</v>
      </c>
      <c r="AW1024" s="6" t="str">
        <f>HYPERLINK("http://www.worldcat.org/oclc/11971844","WorldCat Record")</f>
        <v>WorldCat Record</v>
      </c>
      <c r="AX1024" s="3" t="s">
        <v>10121</v>
      </c>
      <c r="AY1024" s="3" t="s">
        <v>10122</v>
      </c>
      <c r="AZ1024" s="3" t="s">
        <v>10123</v>
      </c>
      <c r="BA1024" s="3" t="s">
        <v>10123</v>
      </c>
      <c r="BB1024" s="3" t="s">
        <v>10124</v>
      </c>
      <c r="BC1024" s="3" t="s">
        <v>82</v>
      </c>
      <c r="BD1024" s="3" t="s">
        <v>70</v>
      </c>
      <c r="BF1024" s="3" t="s">
        <v>10124</v>
      </c>
      <c r="BG1024" s="3" t="s">
        <v>10125</v>
      </c>
    </row>
    <row r="1025" spans="1:59" ht="60" x14ac:dyDescent="0.25">
      <c r="A1025" s="2" t="s">
        <v>59</v>
      </c>
      <c r="B1025" s="2" t="s">
        <v>60</v>
      </c>
      <c r="C1025" s="2" t="s">
        <v>10115</v>
      </c>
      <c r="D1025" s="2" t="s">
        <v>10116</v>
      </c>
      <c r="E1025" s="2" t="s">
        <v>10117</v>
      </c>
      <c r="F1025" s="3" t="s">
        <v>10126</v>
      </c>
      <c r="G1025" s="3" t="s">
        <v>62</v>
      </c>
      <c r="I1025" s="3" t="s">
        <v>63</v>
      </c>
      <c r="J1025" s="3" t="s">
        <v>63</v>
      </c>
      <c r="K1025" s="3" t="s">
        <v>64</v>
      </c>
      <c r="L1025" s="2" t="s">
        <v>10119</v>
      </c>
      <c r="M1025" s="2" t="s">
        <v>10120</v>
      </c>
      <c r="N1025" s="3" t="s">
        <v>2225</v>
      </c>
      <c r="P1025" s="3" t="s">
        <v>90</v>
      </c>
      <c r="R1025" s="3" t="s">
        <v>67</v>
      </c>
      <c r="S1025" s="4">
        <v>2</v>
      </c>
      <c r="T1025" s="4">
        <v>10</v>
      </c>
      <c r="U1025" s="5" t="s">
        <v>10055</v>
      </c>
      <c r="V1025" s="5" t="s">
        <v>10055</v>
      </c>
      <c r="W1025" s="5" t="s">
        <v>69</v>
      </c>
      <c r="X1025" s="5" t="s">
        <v>69</v>
      </c>
      <c r="Y1025" s="4">
        <v>155</v>
      </c>
      <c r="Z1025" s="4">
        <v>17</v>
      </c>
      <c r="AA1025" s="4">
        <v>18</v>
      </c>
      <c r="AB1025" s="4">
        <v>1</v>
      </c>
      <c r="AC1025" s="4">
        <v>2</v>
      </c>
      <c r="AD1025" s="4">
        <v>87</v>
      </c>
      <c r="AE1025" s="4">
        <v>88</v>
      </c>
      <c r="AF1025" s="4">
        <v>0</v>
      </c>
      <c r="AG1025" s="4">
        <v>1</v>
      </c>
      <c r="AH1025" s="4">
        <v>81</v>
      </c>
      <c r="AI1025" s="4">
        <v>81</v>
      </c>
      <c r="AJ1025" s="4">
        <v>12</v>
      </c>
      <c r="AK1025" s="4">
        <v>13</v>
      </c>
      <c r="AL1025" s="4">
        <v>48</v>
      </c>
      <c r="AM1025" s="4">
        <v>48</v>
      </c>
      <c r="AN1025" s="4">
        <v>0</v>
      </c>
      <c r="AO1025" s="4">
        <v>0</v>
      </c>
      <c r="AP1025" s="4">
        <v>14</v>
      </c>
      <c r="AQ1025" s="4">
        <v>14</v>
      </c>
      <c r="AR1025" s="3" t="s">
        <v>63</v>
      </c>
      <c r="AS1025" s="3" t="s">
        <v>63</v>
      </c>
      <c r="AT1025" s="3" t="s">
        <v>62</v>
      </c>
      <c r="AU1025" s="6" t="str">
        <f>HYPERLINK("http://catalog.hathitrust.org/Record/000289525","HathiTrust Record")</f>
        <v>HathiTrust Record</v>
      </c>
      <c r="AV1025" s="6" t="str">
        <f>HYPERLINK("http://mcgill.on.worldcat.org/oclc/11971844","Catalog Record")</f>
        <v>Catalog Record</v>
      </c>
      <c r="AW1025" s="6" t="str">
        <f>HYPERLINK("http://www.worldcat.org/oclc/11971844","WorldCat Record")</f>
        <v>WorldCat Record</v>
      </c>
      <c r="AX1025" s="3" t="s">
        <v>10121</v>
      </c>
      <c r="AY1025" s="3" t="s">
        <v>10122</v>
      </c>
      <c r="AZ1025" s="3" t="s">
        <v>10123</v>
      </c>
      <c r="BA1025" s="3" t="s">
        <v>10123</v>
      </c>
      <c r="BB1025" s="3" t="s">
        <v>10127</v>
      </c>
      <c r="BC1025" s="3" t="s">
        <v>82</v>
      </c>
      <c r="BD1025" s="3" t="s">
        <v>70</v>
      </c>
      <c r="BF1025" s="3" t="s">
        <v>10127</v>
      </c>
      <c r="BG1025" s="3" t="s">
        <v>10128</v>
      </c>
    </row>
    <row r="1026" spans="1:59" ht="60" x14ac:dyDescent="0.25">
      <c r="A1026" s="2" t="s">
        <v>59</v>
      </c>
      <c r="B1026" s="2" t="s">
        <v>60</v>
      </c>
      <c r="C1026" s="2" t="s">
        <v>10115</v>
      </c>
      <c r="D1026" s="2" t="s">
        <v>10116</v>
      </c>
      <c r="E1026" s="2" t="s">
        <v>10117</v>
      </c>
      <c r="F1026" s="3" t="s">
        <v>10129</v>
      </c>
      <c r="G1026" s="3" t="s">
        <v>62</v>
      </c>
      <c r="I1026" s="3" t="s">
        <v>63</v>
      </c>
      <c r="J1026" s="3" t="s">
        <v>63</v>
      </c>
      <c r="K1026" s="3" t="s">
        <v>64</v>
      </c>
      <c r="L1026" s="2" t="s">
        <v>10119</v>
      </c>
      <c r="M1026" s="2" t="s">
        <v>10120</v>
      </c>
      <c r="N1026" s="3" t="s">
        <v>2225</v>
      </c>
      <c r="P1026" s="3" t="s">
        <v>90</v>
      </c>
      <c r="R1026" s="3" t="s">
        <v>67</v>
      </c>
      <c r="S1026" s="4">
        <v>2</v>
      </c>
      <c r="T1026" s="4">
        <v>10</v>
      </c>
      <c r="U1026" s="5" t="s">
        <v>10055</v>
      </c>
      <c r="V1026" s="5" t="s">
        <v>10055</v>
      </c>
      <c r="W1026" s="5" t="s">
        <v>69</v>
      </c>
      <c r="X1026" s="5" t="s">
        <v>69</v>
      </c>
      <c r="Y1026" s="4">
        <v>155</v>
      </c>
      <c r="Z1026" s="4">
        <v>17</v>
      </c>
      <c r="AA1026" s="4">
        <v>18</v>
      </c>
      <c r="AB1026" s="4">
        <v>1</v>
      </c>
      <c r="AC1026" s="4">
        <v>2</v>
      </c>
      <c r="AD1026" s="4">
        <v>87</v>
      </c>
      <c r="AE1026" s="4">
        <v>88</v>
      </c>
      <c r="AF1026" s="4">
        <v>0</v>
      </c>
      <c r="AG1026" s="4">
        <v>1</v>
      </c>
      <c r="AH1026" s="4">
        <v>81</v>
      </c>
      <c r="AI1026" s="4">
        <v>81</v>
      </c>
      <c r="AJ1026" s="4">
        <v>12</v>
      </c>
      <c r="AK1026" s="4">
        <v>13</v>
      </c>
      <c r="AL1026" s="4">
        <v>48</v>
      </c>
      <c r="AM1026" s="4">
        <v>48</v>
      </c>
      <c r="AN1026" s="4">
        <v>0</v>
      </c>
      <c r="AO1026" s="4">
        <v>0</v>
      </c>
      <c r="AP1026" s="4">
        <v>14</v>
      </c>
      <c r="AQ1026" s="4">
        <v>14</v>
      </c>
      <c r="AR1026" s="3" t="s">
        <v>63</v>
      </c>
      <c r="AS1026" s="3" t="s">
        <v>63</v>
      </c>
      <c r="AT1026" s="3" t="s">
        <v>62</v>
      </c>
      <c r="AU1026" s="6" t="str">
        <f>HYPERLINK("http://catalog.hathitrust.org/Record/000289525","HathiTrust Record")</f>
        <v>HathiTrust Record</v>
      </c>
      <c r="AV1026" s="6" t="str">
        <f>HYPERLINK("http://mcgill.on.worldcat.org/oclc/11971844","Catalog Record")</f>
        <v>Catalog Record</v>
      </c>
      <c r="AW1026" s="6" t="str">
        <f>HYPERLINK("http://www.worldcat.org/oclc/11971844","WorldCat Record")</f>
        <v>WorldCat Record</v>
      </c>
      <c r="AX1026" s="3" t="s">
        <v>10121</v>
      </c>
      <c r="AY1026" s="3" t="s">
        <v>10122</v>
      </c>
      <c r="AZ1026" s="3" t="s">
        <v>10123</v>
      </c>
      <c r="BA1026" s="3" t="s">
        <v>10123</v>
      </c>
      <c r="BB1026" s="3" t="s">
        <v>10130</v>
      </c>
      <c r="BC1026" s="3" t="s">
        <v>82</v>
      </c>
      <c r="BD1026" s="3" t="s">
        <v>70</v>
      </c>
      <c r="BF1026" s="3" t="s">
        <v>10130</v>
      </c>
      <c r="BG1026" s="3" t="s">
        <v>10131</v>
      </c>
    </row>
    <row r="1027" spans="1:59" ht="60" x14ac:dyDescent="0.25">
      <c r="A1027" s="2" t="s">
        <v>59</v>
      </c>
      <c r="B1027" s="2" t="s">
        <v>60</v>
      </c>
      <c r="C1027" s="2" t="s">
        <v>10115</v>
      </c>
      <c r="D1027" s="2" t="s">
        <v>10116</v>
      </c>
      <c r="E1027" s="2" t="s">
        <v>10117</v>
      </c>
      <c r="F1027" s="3" t="s">
        <v>10132</v>
      </c>
      <c r="G1027" s="3" t="s">
        <v>62</v>
      </c>
      <c r="I1027" s="3" t="s">
        <v>63</v>
      </c>
      <c r="J1027" s="3" t="s">
        <v>63</v>
      </c>
      <c r="K1027" s="3" t="s">
        <v>64</v>
      </c>
      <c r="L1027" s="2" t="s">
        <v>10119</v>
      </c>
      <c r="M1027" s="2" t="s">
        <v>10120</v>
      </c>
      <c r="N1027" s="3" t="s">
        <v>2225</v>
      </c>
      <c r="P1027" s="3" t="s">
        <v>90</v>
      </c>
      <c r="R1027" s="3" t="s">
        <v>67</v>
      </c>
      <c r="S1027" s="4">
        <v>2</v>
      </c>
      <c r="T1027" s="4">
        <v>10</v>
      </c>
      <c r="U1027" s="5" t="s">
        <v>10055</v>
      </c>
      <c r="V1027" s="5" t="s">
        <v>10055</v>
      </c>
      <c r="W1027" s="5" t="s">
        <v>69</v>
      </c>
      <c r="X1027" s="5" t="s">
        <v>69</v>
      </c>
      <c r="Y1027" s="4">
        <v>155</v>
      </c>
      <c r="Z1027" s="4">
        <v>17</v>
      </c>
      <c r="AA1027" s="4">
        <v>18</v>
      </c>
      <c r="AB1027" s="4">
        <v>1</v>
      </c>
      <c r="AC1027" s="4">
        <v>2</v>
      </c>
      <c r="AD1027" s="4">
        <v>87</v>
      </c>
      <c r="AE1027" s="4">
        <v>88</v>
      </c>
      <c r="AF1027" s="4">
        <v>0</v>
      </c>
      <c r="AG1027" s="4">
        <v>1</v>
      </c>
      <c r="AH1027" s="4">
        <v>81</v>
      </c>
      <c r="AI1027" s="4">
        <v>81</v>
      </c>
      <c r="AJ1027" s="4">
        <v>12</v>
      </c>
      <c r="AK1027" s="4">
        <v>13</v>
      </c>
      <c r="AL1027" s="4">
        <v>48</v>
      </c>
      <c r="AM1027" s="4">
        <v>48</v>
      </c>
      <c r="AN1027" s="4">
        <v>0</v>
      </c>
      <c r="AO1027" s="4">
        <v>0</v>
      </c>
      <c r="AP1027" s="4">
        <v>14</v>
      </c>
      <c r="AQ1027" s="4">
        <v>14</v>
      </c>
      <c r="AR1027" s="3" t="s">
        <v>63</v>
      </c>
      <c r="AS1027" s="3" t="s">
        <v>63</v>
      </c>
      <c r="AT1027" s="3" t="s">
        <v>62</v>
      </c>
      <c r="AU1027" s="6" t="str">
        <f>HYPERLINK("http://catalog.hathitrust.org/Record/000289525","HathiTrust Record")</f>
        <v>HathiTrust Record</v>
      </c>
      <c r="AV1027" s="6" t="str">
        <f>HYPERLINK("http://mcgill.on.worldcat.org/oclc/11971844","Catalog Record")</f>
        <v>Catalog Record</v>
      </c>
      <c r="AW1027" s="6" t="str">
        <f>HYPERLINK("http://www.worldcat.org/oclc/11971844","WorldCat Record")</f>
        <v>WorldCat Record</v>
      </c>
      <c r="AX1027" s="3" t="s">
        <v>10121</v>
      </c>
      <c r="AY1027" s="3" t="s">
        <v>10122</v>
      </c>
      <c r="AZ1027" s="3" t="s">
        <v>10123</v>
      </c>
      <c r="BA1027" s="3" t="s">
        <v>10123</v>
      </c>
      <c r="BB1027" s="3" t="s">
        <v>10133</v>
      </c>
      <c r="BC1027" s="3" t="s">
        <v>82</v>
      </c>
      <c r="BD1027" s="3" t="s">
        <v>70</v>
      </c>
      <c r="BF1027" s="3" t="s">
        <v>10133</v>
      </c>
      <c r="BG1027" s="3" t="s">
        <v>10134</v>
      </c>
    </row>
    <row r="1028" spans="1:59" ht="60" x14ac:dyDescent="0.25">
      <c r="A1028" s="2" t="s">
        <v>59</v>
      </c>
      <c r="B1028" s="2" t="s">
        <v>60</v>
      </c>
      <c r="C1028" s="2" t="s">
        <v>10115</v>
      </c>
      <c r="D1028" s="2" t="s">
        <v>10116</v>
      </c>
      <c r="E1028" s="2" t="s">
        <v>10117</v>
      </c>
      <c r="F1028" s="3" t="s">
        <v>10135</v>
      </c>
      <c r="G1028" s="3" t="s">
        <v>62</v>
      </c>
      <c r="I1028" s="3" t="s">
        <v>63</v>
      </c>
      <c r="J1028" s="3" t="s">
        <v>63</v>
      </c>
      <c r="K1028" s="3" t="s">
        <v>64</v>
      </c>
      <c r="L1028" s="2" t="s">
        <v>10119</v>
      </c>
      <c r="M1028" s="2" t="s">
        <v>10120</v>
      </c>
      <c r="N1028" s="3" t="s">
        <v>2225</v>
      </c>
      <c r="P1028" s="3" t="s">
        <v>90</v>
      </c>
      <c r="R1028" s="3" t="s">
        <v>67</v>
      </c>
      <c r="S1028" s="4">
        <v>2</v>
      </c>
      <c r="T1028" s="4">
        <v>10</v>
      </c>
      <c r="U1028" s="5" t="s">
        <v>10055</v>
      </c>
      <c r="V1028" s="5" t="s">
        <v>10055</v>
      </c>
      <c r="W1028" s="5" t="s">
        <v>69</v>
      </c>
      <c r="X1028" s="5" t="s">
        <v>69</v>
      </c>
      <c r="Y1028" s="4">
        <v>155</v>
      </c>
      <c r="Z1028" s="4">
        <v>17</v>
      </c>
      <c r="AA1028" s="4">
        <v>18</v>
      </c>
      <c r="AB1028" s="4">
        <v>1</v>
      </c>
      <c r="AC1028" s="4">
        <v>2</v>
      </c>
      <c r="AD1028" s="4">
        <v>87</v>
      </c>
      <c r="AE1028" s="4">
        <v>88</v>
      </c>
      <c r="AF1028" s="4">
        <v>0</v>
      </c>
      <c r="AG1028" s="4">
        <v>1</v>
      </c>
      <c r="AH1028" s="4">
        <v>81</v>
      </c>
      <c r="AI1028" s="4">
        <v>81</v>
      </c>
      <c r="AJ1028" s="4">
        <v>12</v>
      </c>
      <c r="AK1028" s="4">
        <v>13</v>
      </c>
      <c r="AL1028" s="4">
        <v>48</v>
      </c>
      <c r="AM1028" s="4">
        <v>48</v>
      </c>
      <c r="AN1028" s="4">
        <v>0</v>
      </c>
      <c r="AO1028" s="4">
        <v>0</v>
      </c>
      <c r="AP1028" s="4">
        <v>14</v>
      </c>
      <c r="AQ1028" s="4">
        <v>14</v>
      </c>
      <c r="AR1028" s="3" t="s">
        <v>63</v>
      </c>
      <c r="AS1028" s="3" t="s">
        <v>63</v>
      </c>
      <c r="AT1028" s="3" t="s">
        <v>62</v>
      </c>
      <c r="AU1028" s="6" t="str">
        <f>HYPERLINK("http://catalog.hathitrust.org/Record/000289525","HathiTrust Record")</f>
        <v>HathiTrust Record</v>
      </c>
      <c r="AV1028" s="6" t="str">
        <f>HYPERLINK("http://mcgill.on.worldcat.org/oclc/11971844","Catalog Record")</f>
        <v>Catalog Record</v>
      </c>
      <c r="AW1028" s="6" t="str">
        <f>HYPERLINK("http://www.worldcat.org/oclc/11971844","WorldCat Record")</f>
        <v>WorldCat Record</v>
      </c>
      <c r="AX1028" s="3" t="s">
        <v>10121</v>
      </c>
      <c r="AY1028" s="3" t="s">
        <v>10122</v>
      </c>
      <c r="AZ1028" s="3" t="s">
        <v>10123</v>
      </c>
      <c r="BA1028" s="3" t="s">
        <v>10123</v>
      </c>
      <c r="BB1028" s="3" t="s">
        <v>10136</v>
      </c>
      <c r="BC1028" s="3" t="s">
        <v>82</v>
      </c>
      <c r="BD1028" s="3" t="s">
        <v>70</v>
      </c>
      <c r="BF1028" s="3" t="s">
        <v>10136</v>
      </c>
      <c r="BG1028" s="3" t="s">
        <v>10137</v>
      </c>
    </row>
    <row r="1029" spans="1:59" ht="60" x14ac:dyDescent="0.25">
      <c r="A1029" s="2" t="s">
        <v>59</v>
      </c>
      <c r="B1029" s="2" t="s">
        <v>60</v>
      </c>
      <c r="C1029" s="2" t="s">
        <v>10138</v>
      </c>
      <c r="D1029" s="2" t="s">
        <v>10139</v>
      </c>
      <c r="E1029" s="2" t="s">
        <v>10140</v>
      </c>
      <c r="F1029" s="3" t="s">
        <v>4437</v>
      </c>
      <c r="G1029" s="3" t="s">
        <v>62</v>
      </c>
      <c r="I1029" s="3" t="s">
        <v>63</v>
      </c>
      <c r="J1029" s="3" t="s">
        <v>63</v>
      </c>
      <c r="K1029" s="3" t="s">
        <v>64</v>
      </c>
      <c r="M1029" s="2" t="s">
        <v>10141</v>
      </c>
      <c r="N1029" s="3" t="s">
        <v>374</v>
      </c>
      <c r="P1029" s="3" t="s">
        <v>90</v>
      </c>
      <c r="R1029" s="3" t="s">
        <v>67</v>
      </c>
      <c r="S1029" s="4">
        <v>1</v>
      </c>
      <c r="T1029" s="4">
        <v>5</v>
      </c>
      <c r="U1029" s="5" t="s">
        <v>5503</v>
      </c>
      <c r="V1029" s="5" t="s">
        <v>5503</v>
      </c>
      <c r="W1029" s="5" t="s">
        <v>69</v>
      </c>
      <c r="X1029" s="5" t="s">
        <v>69</v>
      </c>
      <c r="Y1029" s="4">
        <v>89</v>
      </c>
      <c r="Z1029" s="4">
        <v>7</v>
      </c>
      <c r="AA1029" s="4">
        <v>7</v>
      </c>
      <c r="AB1029" s="4">
        <v>1</v>
      </c>
      <c r="AC1029" s="4">
        <v>1</v>
      </c>
      <c r="AD1029" s="4">
        <v>57</v>
      </c>
      <c r="AE1029" s="4">
        <v>57</v>
      </c>
      <c r="AF1029" s="4">
        <v>0</v>
      </c>
      <c r="AG1029" s="4">
        <v>0</v>
      </c>
      <c r="AH1029" s="4">
        <v>55</v>
      </c>
      <c r="AI1029" s="4">
        <v>55</v>
      </c>
      <c r="AJ1029" s="4">
        <v>5</v>
      </c>
      <c r="AK1029" s="4">
        <v>5</v>
      </c>
      <c r="AL1029" s="4">
        <v>41</v>
      </c>
      <c r="AM1029" s="4">
        <v>41</v>
      </c>
      <c r="AN1029" s="4">
        <v>0</v>
      </c>
      <c r="AO1029" s="4">
        <v>0</v>
      </c>
      <c r="AP1029" s="4">
        <v>5</v>
      </c>
      <c r="AQ1029" s="4">
        <v>5</v>
      </c>
      <c r="AR1029" s="3" t="s">
        <v>63</v>
      </c>
      <c r="AS1029" s="3" t="s">
        <v>63</v>
      </c>
      <c r="AT1029" s="3" t="s">
        <v>62</v>
      </c>
      <c r="AU1029" s="6" t="str">
        <f>HYPERLINK("http://catalog.hathitrust.org/Record/003179937","HathiTrust Record")</f>
        <v>HathiTrust Record</v>
      </c>
      <c r="AV1029" s="6" t="str">
        <f>HYPERLINK("http://mcgill.on.worldcat.org/oclc/32937343","Catalog Record")</f>
        <v>Catalog Record</v>
      </c>
      <c r="AW1029" s="6" t="str">
        <f>HYPERLINK("http://www.worldcat.org/oclc/32937343","WorldCat Record")</f>
        <v>WorldCat Record</v>
      </c>
      <c r="AX1029" s="3" t="s">
        <v>10142</v>
      </c>
      <c r="AY1029" s="3" t="s">
        <v>10143</v>
      </c>
      <c r="AZ1029" s="3" t="s">
        <v>10144</v>
      </c>
      <c r="BA1029" s="3" t="s">
        <v>10144</v>
      </c>
      <c r="BB1029" s="3" t="s">
        <v>10145</v>
      </c>
      <c r="BC1029" s="3" t="s">
        <v>82</v>
      </c>
      <c r="BD1029" s="3" t="s">
        <v>70</v>
      </c>
      <c r="BE1029" s="3" t="s">
        <v>10146</v>
      </c>
      <c r="BF1029" s="3" t="s">
        <v>10145</v>
      </c>
      <c r="BG1029" s="3" t="s">
        <v>10147</v>
      </c>
    </row>
    <row r="1030" spans="1:59" ht="60" x14ac:dyDescent="0.25">
      <c r="A1030" s="2" t="s">
        <v>59</v>
      </c>
      <c r="B1030" s="2" t="s">
        <v>60</v>
      </c>
      <c r="C1030" s="2" t="s">
        <v>10138</v>
      </c>
      <c r="D1030" s="2" t="s">
        <v>10139</v>
      </c>
      <c r="E1030" s="2" t="s">
        <v>10140</v>
      </c>
      <c r="F1030" s="3" t="s">
        <v>582</v>
      </c>
      <c r="G1030" s="3" t="s">
        <v>62</v>
      </c>
      <c r="I1030" s="3" t="s">
        <v>63</v>
      </c>
      <c r="J1030" s="3" t="s">
        <v>63</v>
      </c>
      <c r="K1030" s="3" t="s">
        <v>64</v>
      </c>
      <c r="M1030" s="2" t="s">
        <v>10141</v>
      </c>
      <c r="N1030" s="3" t="s">
        <v>374</v>
      </c>
      <c r="P1030" s="3" t="s">
        <v>90</v>
      </c>
      <c r="R1030" s="3" t="s">
        <v>67</v>
      </c>
      <c r="S1030" s="4">
        <v>1</v>
      </c>
      <c r="T1030" s="4">
        <v>5</v>
      </c>
      <c r="U1030" s="5" t="s">
        <v>5503</v>
      </c>
      <c r="V1030" s="5" t="s">
        <v>5503</v>
      </c>
      <c r="W1030" s="5" t="s">
        <v>69</v>
      </c>
      <c r="X1030" s="5" t="s">
        <v>69</v>
      </c>
      <c r="Y1030" s="4">
        <v>89</v>
      </c>
      <c r="Z1030" s="4">
        <v>7</v>
      </c>
      <c r="AA1030" s="4">
        <v>7</v>
      </c>
      <c r="AB1030" s="4">
        <v>1</v>
      </c>
      <c r="AC1030" s="4">
        <v>1</v>
      </c>
      <c r="AD1030" s="4">
        <v>57</v>
      </c>
      <c r="AE1030" s="4">
        <v>57</v>
      </c>
      <c r="AF1030" s="4">
        <v>0</v>
      </c>
      <c r="AG1030" s="4">
        <v>0</v>
      </c>
      <c r="AH1030" s="4">
        <v>55</v>
      </c>
      <c r="AI1030" s="4">
        <v>55</v>
      </c>
      <c r="AJ1030" s="4">
        <v>5</v>
      </c>
      <c r="AK1030" s="4">
        <v>5</v>
      </c>
      <c r="AL1030" s="4">
        <v>41</v>
      </c>
      <c r="AM1030" s="4">
        <v>41</v>
      </c>
      <c r="AN1030" s="4">
        <v>0</v>
      </c>
      <c r="AO1030" s="4">
        <v>0</v>
      </c>
      <c r="AP1030" s="4">
        <v>5</v>
      </c>
      <c r="AQ1030" s="4">
        <v>5</v>
      </c>
      <c r="AR1030" s="3" t="s">
        <v>63</v>
      </c>
      <c r="AS1030" s="3" t="s">
        <v>63</v>
      </c>
      <c r="AT1030" s="3" t="s">
        <v>62</v>
      </c>
      <c r="AU1030" s="6" t="str">
        <f>HYPERLINK("http://catalog.hathitrust.org/Record/003179937","HathiTrust Record")</f>
        <v>HathiTrust Record</v>
      </c>
      <c r="AV1030" s="6" t="str">
        <f>HYPERLINK("http://mcgill.on.worldcat.org/oclc/32937343","Catalog Record")</f>
        <v>Catalog Record</v>
      </c>
      <c r="AW1030" s="6" t="str">
        <f>HYPERLINK("http://www.worldcat.org/oclc/32937343","WorldCat Record")</f>
        <v>WorldCat Record</v>
      </c>
      <c r="AX1030" s="3" t="s">
        <v>10142</v>
      </c>
      <c r="AY1030" s="3" t="s">
        <v>10143</v>
      </c>
      <c r="AZ1030" s="3" t="s">
        <v>10144</v>
      </c>
      <c r="BA1030" s="3" t="s">
        <v>10144</v>
      </c>
      <c r="BB1030" s="3" t="s">
        <v>10148</v>
      </c>
      <c r="BC1030" s="3" t="s">
        <v>82</v>
      </c>
      <c r="BD1030" s="3" t="s">
        <v>70</v>
      </c>
      <c r="BE1030" s="3" t="s">
        <v>10146</v>
      </c>
      <c r="BF1030" s="3" t="s">
        <v>10148</v>
      </c>
      <c r="BG1030" s="3" t="s">
        <v>10149</v>
      </c>
    </row>
    <row r="1031" spans="1:59" ht="60" x14ac:dyDescent="0.25">
      <c r="A1031" s="2" t="s">
        <v>59</v>
      </c>
      <c r="B1031" s="2" t="s">
        <v>60</v>
      </c>
      <c r="C1031" s="2" t="s">
        <v>10138</v>
      </c>
      <c r="D1031" s="2" t="s">
        <v>10139</v>
      </c>
      <c r="E1031" s="2" t="s">
        <v>10140</v>
      </c>
      <c r="F1031" s="3" t="s">
        <v>4439</v>
      </c>
      <c r="G1031" s="3" t="s">
        <v>62</v>
      </c>
      <c r="I1031" s="3" t="s">
        <v>63</v>
      </c>
      <c r="J1031" s="3" t="s">
        <v>63</v>
      </c>
      <c r="K1031" s="3" t="s">
        <v>64</v>
      </c>
      <c r="M1031" s="2" t="s">
        <v>10141</v>
      </c>
      <c r="N1031" s="3" t="s">
        <v>374</v>
      </c>
      <c r="P1031" s="3" t="s">
        <v>90</v>
      </c>
      <c r="R1031" s="3" t="s">
        <v>67</v>
      </c>
      <c r="S1031" s="4">
        <v>1</v>
      </c>
      <c r="T1031" s="4">
        <v>5</v>
      </c>
      <c r="U1031" s="5" t="s">
        <v>5503</v>
      </c>
      <c r="V1031" s="5" t="s">
        <v>5503</v>
      </c>
      <c r="W1031" s="5" t="s">
        <v>69</v>
      </c>
      <c r="X1031" s="5" t="s">
        <v>69</v>
      </c>
      <c r="Y1031" s="4">
        <v>89</v>
      </c>
      <c r="Z1031" s="4">
        <v>7</v>
      </c>
      <c r="AA1031" s="4">
        <v>7</v>
      </c>
      <c r="AB1031" s="4">
        <v>1</v>
      </c>
      <c r="AC1031" s="4">
        <v>1</v>
      </c>
      <c r="AD1031" s="4">
        <v>57</v>
      </c>
      <c r="AE1031" s="4">
        <v>57</v>
      </c>
      <c r="AF1031" s="4">
        <v>0</v>
      </c>
      <c r="AG1031" s="4">
        <v>0</v>
      </c>
      <c r="AH1031" s="4">
        <v>55</v>
      </c>
      <c r="AI1031" s="4">
        <v>55</v>
      </c>
      <c r="AJ1031" s="4">
        <v>5</v>
      </c>
      <c r="AK1031" s="4">
        <v>5</v>
      </c>
      <c r="AL1031" s="4">
        <v>41</v>
      </c>
      <c r="AM1031" s="4">
        <v>41</v>
      </c>
      <c r="AN1031" s="4">
        <v>0</v>
      </c>
      <c r="AO1031" s="4">
        <v>0</v>
      </c>
      <c r="AP1031" s="4">
        <v>5</v>
      </c>
      <c r="AQ1031" s="4">
        <v>5</v>
      </c>
      <c r="AR1031" s="3" t="s">
        <v>63</v>
      </c>
      <c r="AS1031" s="3" t="s">
        <v>63</v>
      </c>
      <c r="AT1031" s="3" t="s">
        <v>62</v>
      </c>
      <c r="AU1031" s="6" t="str">
        <f>HYPERLINK("http://catalog.hathitrust.org/Record/003179937","HathiTrust Record")</f>
        <v>HathiTrust Record</v>
      </c>
      <c r="AV1031" s="6" t="str">
        <f>HYPERLINK("http://mcgill.on.worldcat.org/oclc/32937343","Catalog Record")</f>
        <v>Catalog Record</v>
      </c>
      <c r="AW1031" s="6" t="str">
        <f>HYPERLINK("http://www.worldcat.org/oclc/32937343","WorldCat Record")</f>
        <v>WorldCat Record</v>
      </c>
      <c r="AX1031" s="3" t="s">
        <v>10142</v>
      </c>
      <c r="AY1031" s="3" t="s">
        <v>10143</v>
      </c>
      <c r="AZ1031" s="3" t="s">
        <v>10144</v>
      </c>
      <c r="BA1031" s="3" t="s">
        <v>10144</v>
      </c>
      <c r="BB1031" s="3" t="s">
        <v>10150</v>
      </c>
      <c r="BC1031" s="3" t="s">
        <v>82</v>
      </c>
      <c r="BD1031" s="3" t="s">
        <v>70</v>
      </c>
      <c r="BE1031" s="3" t="s">
        <v>10146</v>
      </c>
      <c r="BF1031" s="3" t="s">
        <v>10150</v>
      </c>
      <c r="BG1031" s="3" t="s">
        <v>10151</v>
      </c>
    </row>
    <row r="1032" spans="1:59" ht="60" x14ac:dyDescent="0.25">
      <c r="A1032" s="2" t="s">
        <v>59</v>
      </c>
      <c r="B1032" s="2" t="s">
        <v>60</v>
      </c>
      <c r="C1032" s="2" t="s">
        <v>10138</v>
      </c>
      <c r="D1032" s="2" t="s">
        <v>10139</v>
      </c>
      <c r="E1032" s="2" t="s">
        <v>10140</v>
      </c>
      <c r="F1032" s="3" t="s">
        <v>571</v>
      </c>
      <c r="G1032" s="3" t="s">
        <v>62</v>
      </c>
      <c r="I1032" s="3" t="s">
        <v>63</v>
      </c>
      <c r="J1032" s="3" t="s">
        <v>63</v>
      </c>
      <c r="K1032" s="3" t="s">
        <v>64</v>
      </c>
      <c r="M1032" s="2" t="s">
        <v>10141</v>
      </c>
      <c r="N1032" s="3" t="s">
        <v>374</v>
      </c>
      <c r="P1032" s="3" t="s">
        <v>90</v>
      </c>
      <c r="R1032" s="3" t="s">
        <v>67</v>
      </c>
      <c r="S1032" s="4">
        <v>1</v>
      </c>
      <c r="T1032" s="4">
        <v>5</v>
      </c>
      <c r="U1032" s="5" t="s">
        <v>5503</v>
      </c>
      <c r="V1032" s="5" t="s">
        <v>5503</v>
      </c>
      <c r="W1032" s="5" t="s">
        <v>69</v>
      </c>
      <c r="X1032" s="5" t="s">
        <v>69</v>
      </c>
      <c r="Y1032" s="4">
        <v>89</v>
      </c>
      <c r="Z1032" s="4">
        <v>7</v>
      </c>
      <c r="AA1032" s="4">
        <v>7</v>
      </c>
      <c r="AB1032" s="4">
        <v>1</v>
      </c>
      <c r="AC1032" s="4">
        <v>1</v>
      </c>
      <c r="AD1032" s="4">
        <v>57</v>
      </c>
      <c r="AE1032" s="4">
        <v>57</v>
      </c>
      <c r="AF1032" s="4">
        <v>0</v>
      </c>
      <c r="AG1032" s="4">
        <v>0</v>
      </c>
      <c r="AH1032" s="4">
        <v>55</v>
      </c>
      <c r="AI1032" s="4">
        <v>55</v>
      </c>
      <c r="AJ1032" s="4">
        <v>5</v>
      </c>
      <c r="AK1032" s="4">
        <v>5</v>
      </c>
      <c r="AL1032" s="4">
        <v>41</v>
      </c>
      <c r="AM1032" s="4">
        <v>41</v>
      </c>
      <c r="AN1032" s="4">
        <v>0</v>
      </c>
      <c r="AO1032" s="4">
        <v>0</v>
      </c>
      <c r="AP1032" s="4">
        <v>5</v>
      </c>
      <c r="AQ1032" s="4">
        <v>5</v>
      </c>
      <c r="AR1032" s="3" t="s">
        <v>63</v>
      </c>
      <c r="AS1032" s="3" t="s">
        <v>63</v>
      </c>
      <c r="AT1032" s="3" t="s">
        <v>62</v>
      </c>
      <c r="AU1032" s="6" t="str">
        <f>HYPERLINK("http://catalog.hathitrust.org/Record/003179937","HathiTrust Record")</f>
        <v>HathiTrust Record</v>
      </c>
      <c r="AV1032" s="6" t="str">
        <f>HYPERLINK("http://mcgill.on.worldcat.org/oclc/32937343","Catalog Record")</f>
        <v>Catalog Record</v>
      </c>
      <c r="AW1032" s="6" t="str">
        <f>HYPERLINK("http://www.worldcat.org/oclc/32937343","WorldCat Record")</f>
        <v>WorldCat Record</v>
      </c>
      <c r="AX1032" s="3" t="s">
        <v>10142</v>
      </c>
      <c r="AY1032" s="3" t="s">
        <v>10143</v>
      </c>
      <c r="AZ1032" s="3" t="s">
        <v>10144</v>
      </c>
      <c r="BA1032" s="3" t="s">
        <v>10144</v>
      </c>
      <c r="BB1032" s="3" t="s">
        <v>10152</v>
      </c>
      <c r="BC1032" s="3" t="s">
        <v>82</v>
      </c>
      <c r="BD1032" s="3" t="s">
        <v>70</v>
      </c>
      <c r="BE1032" s="3" t="s">
        <v>10146</v>
      </c>
      <c r="BF1032" s="3" t="s">
        <v>10152</v>
      </c>
      <c r="BG1032" s="3" t="s">
        <v>10153</v>
      </c>
    </row>
    <row r="1033" spans="1:59" ht="60" x14ac:dyDescent="0.25">
      <c r="A1033" s="2" t="s">
        <v>59</v>
      </c>
      <c r="B1033" s="2" t="s">
        <v>60</v>
      </c>
      <c r="C1033" s="2" t="s">
        <v>10138</v>
      </c>
      <c r="D1033" s="2" t="s">
        <v>10139</v>
      </c>
      <c r="E1033" s="2" t="s">
        <v>10140</v>
      </c>
      <c r="F1033" s="3" t="s">
        <v>4032</v>
      </c>
      <c r="G1033" s="3" t="s">
        <v>62</v>
      </c>
      <c r="I1033" s="3" t="s">
        <v>63</v>
      </c>
      <c r="J1033" s="3" t="s">
        <v>63</v>
      </c>
      <c r="K1033" s="3" t="s">
        <v>64</v>
      </c>
      <c r="M1033" s="2" t="s">
        <v>10141</v>
      </c>
      <c r="N1033" s="3" t="s">
        <v>374</v>
      </c>
      <c r="P1033" s="3" t="s">
        <v>90</v>
      </c>
      <c r="R1033" s="3" t="s">
        <v>67</v>
      </c>
      <c r="S1033" s="4">
        <v>1</v>
      </c>
      <c r="T1033" s="4">
        <v>5</v>
      </c>
      <c r="U1033" s="5" t="s">
        <v>5503</v>
      </c>
      <c r="V1033" s="5" t="s">
        <v>5503</v>
      </c>
      <c r="W1033" s="5" t="s">
        <v>69</v>
      </c>
      <c r="X1033" s="5" t="s">
        <v>69</v>
      </c>
      <c r="Y1033" s="4">
        <v>89</v>
      </c>
      <c r="Z1033" s="4">
        <v>7</v>
      </c>
      <c r="AA1033" s="4">
        <v>7</v>
      </c>
      <c r="AB1033" s="4">
        <v>1</v>
      </c>
      <c r="AC1033" s="4">
        <v>1</v>
      </c>
      <c r="AD1033" s="4">
        <v>57</v>
      </c>
      <c r="AE1033" s="4">
        <v>57</v>
      </c>
      <c r="AF1033" s="4">
        <v>0</v>
      </c>
      <c r="AG1033" s="4">
        <v>0</v>
      </c>
      <c r="AH1033" s="4">
        <v>55</v>
      </c>
      <c r="AI1033" s="4">
        <v>55</v>
      </c>
      <c r="AJ1033" s="4">
        <v>5</v>
      </c>
      <c r="AK1033" s="4">
        <v>5</v>
      </c>
      <c r="AL1033" s="4">
        <v>41</v>
      </c>
      <c r="AM1033" s="4">
        <v>41</v>
      </c>
      <c r="AN1033" s="4">
        <v>0</v>
      </c>
      <c r="AO1033" s="4">
        <v>0</v>
      </c>
      <c r="AP1033" s="4">
        <v>5</v>
      </c>
      <c r="AQ1033" s="4">
        <v>5</v>
      </c>
      <c r="AR1033" s="3" t="s">
        <v>63</v>
      </c>
      <c r="AS1033" s="3" t="s">
        <v>63</v>
      </c>
      <c r="AT1033" s="3" t="s">
        <v>62</v>
      </c>
      <c r="AU1033" s="6" t="str">
        <f>HYPERLINK("http://catalog.hathitrust.org/Record/003179937","HathiTrust Record")</f>
        <v>HathiTrust Record</v>
      </c>
      <c r="AV1033" s="6" t="str">
        <f>HYPERLINK("http://mcgill.on.worldcat.org/oclc/32937343","Catalog Record")</f>
        <v>Catalog Record</v>
      </c>
      <c r="AW1033" s="6" t="str">
        <f>HYPERLINK("http://www.worldcat.org/oclc/32937343","WorldCat Record")</f>
        <v>WorldCat Record</v>
      </c>
      <c r="AX1033" s="3" t="s">
        <v>10142</v>
      </c>
      <c r="AY1033" s="3" t="s">
        <v>10143</v>
      </c>
      <c r="AZ1033" s="3" t="s">
        <v>10144</v>
      </c>
      <c r="BA1033" s="3" t="s">
        <v>10144</v>
      </c>
      <c r="BB1033" s="3" t="s">
        <v>10154</v>
      </c>
      <c r="BC1033" s="3" t="s">
        <v>82</v>
      </c>
      <c r="BD1033" s="3" t="s">
        <v>70</v>
      </c>
      <c r="BE1033" s="3" t="s">
        <v>10146</v>
      </c>
      <c r="BF1033" s="3" t="s">
        <v>10154</v>
      </c>
      <c r="BG1033" s="3" t="s">
        <v>10155</v>
      </c>
    </row>
    <row r="1034" spans="1:59" ht="60" x14ac:dyDescent="0.25">
      <c r="A1034" s="2" t="s">
        <v>59</v>
      </c>
      <c r="B1034" s="2" t="s">
        <v>60</v>
      </c>
      <c r="C1034" s="2" t="s">
        <v>10156</v>
      </c>
      <c r="D1034" s="2" t="s">
        <v>10157</v>
      </c>
      <c r="E1034" s="2" t="s">
        <v>10158</v>
      </c>
      <c r="G1034" s="3" t="s">
        <v>63</v>
      </c>
      <c r="I1034" s="3" t="s">
        <v>63</v>
      </c>
      <c r="J1034" s="3" t="s">
        <v>63</v>
      </c>
      <c r="K1034" s="3" t="s">
        <v>64</v>
      </c>
      <c r="L1034" s="2" t="s">
        <v>386</v>
      </c>
      <c r="M1034" s="2" t="s">
        <v>10159</v>
      </c>
      <c r="N1034" s="3" t="s">
        <v>1343</v>
      </c>
      <c r="P1034" s="3" t="s">
        <v>90</v>
      </c>
      <c r="R1034" s="3" t="s">
        <v>67</v>
      </c>
      <c r="S1034" s="4">
        <v>4</v>
      </c>
      <c r="T1034" s="4">
        <v>4</v>
      </c>
      <c r="U1034" s="5" t="s">
        <v>4911</v>
      </c>
      <c r="V1034" s="5" t="s">
        <v>4911</v>
      </c>
      <c r="W1034" s="5" t="s">
        <v>69</v>
      </c>
      <c r="X1034" s="5" t="s">
        <v>69</v>
      </c>
      <c r="Y1034" s="4">
        <v>56</v>
      </c>
      <c r="Z1034" s="4">
        <v>2</v>
      </c>
      <c r="AA1034" s="4">
        <v>7</v>
      </c>
      <c r="AB1034" s="4">
        <v>1</v>
      </c>
      <c r="AC1034" s="4">
        <v>3</v>
      </c>
      <c r="AD1034" s="4">
        <v>29</v>
      </c>
      <c r="AE1034" s="4">
        <v>37</v>
      </c>
      <c r="AF1034" s="4">
        <v>0</v>
      </c>
      <c r="AG1034" s="4">
        <v>1</v>
      </c>
      <c r="AH1034" s="4">
        <v>28</v>
      </c>
      <c r="AI1034" s="4">
        <v>34</v>
      </c>
      <c r="AJ1034" s="4">
        <v>1</v>
      </c>
      <c r="AK1034" s="4">
        <v>4</v>
      </c>
      <c r="AL1034" s="4">
        <v>22</v>
      </c>
      <c r="AM1034" s="4">
        <v>24</v>
      </c>
      <c r="AN1034" s="4">
        <v>0</v>
      </c>
      <c r="AO1034" s="4">
        <v>0</v>
      </c>
      <c r="AP1034" s="4">
        <v>1</v>
      </c>
      <c r="AQ1034" s="4">
        <v>5</v>
      </c>
      <c r="AR1034" s="3" t="s">
        <v>63</v>
      </c>
      <c r="AS1034" s="3" t="s">
        <v>63</v>
      </c>
      <c r="AT1034" s="3" t="s">
        <v>63</v>
      </c>
      <c r="AV1034" s="6" t="str">
        <f>HYPERLINK("http://mcgill.on.worldcat.org/oclc/45066546","Catalog Record")</f>
        <v>Catalog Record</v>
      </c>
      <c r="AW1034" s="6" t="str">
        <f>HYPERLINK("http://www.worldcat.org/oclc/45066546","WorldCat Record")</f>
        <v>WorldCat Record</v>
      </c>
      <c r="AX1034" s="3" t="s">
        <v>10160</v>
      </c>
      <c r="AY1034" s="3" t="s">
        <v>10161</v>
      </c>
      <c r="AZ1034" s="3" t="s">
        <v>10162</v>
      </c>
      <c r="BA1034" s="3" t="s">
        <v>10162</v>
      </c>
      <c r="BB1034" s="3" t="s">
        <v>10163</v>
      </c>
      <c r="BC1034" s="3" t="s">
        <v>82</v>
      </c>
      <c r="BD1034" s="3" t="s">
        <v>70</v>
      </c>
      <c r="BE1034" s="3" t="s">
        <v>10164</v>
      </c>
      <c r="BF1034" s="3" t="s">
        <v>10163</v>
      </c>
      <c r="BG1034" s="3" t="s">
        <v>10165</v>
      </c>
    </row>
    <row r="1035" spans="1:59" ht="75" x14ac:dyDescent="0.25">
      <c r="A1035" s="2" t="s">
        <v>59</v>
      </c>
      <c r="B1035" s="2" t="s">
        <v>60</v>
      </c>
      <c r="C1035" s="2" t="s">
        <v>10166</v>
      </c>
      <c r="D1035" s="2" t="s">
        <v>10167</v>
      </c>
      <c r="E1035" s="2" t="s">
        <v>10168</v>
      </c>
      <c r="G1035" s="3" t="s">
        <v>63</v>
      </c>
      <c r="I1035" s="3" t="s">
        <v>63</v>
      </c>
      <c r="J1035" s="3" t="s">
        <v>63</v>
      </c>
      <c r="K1035" s="3" t="s">
        <v>64</v>
      </c>
      <c r="M1035" s="2" t="s">
        <v>10169</v>
      </c>
      <c r="N1035" s="3" t="s">
        <v>313</v>
      </c>
      <c r="P1035" s="3" t="s">
        <v>90</v>
      </c>
      <c r="R1035" s="3" t="s">
        <v>67</v>
      </c>
      <c r="S1035" s="4">
        <v>0</v>
      </c>
      <c r="T1035" s="4">
        <v>0</v>
      </c>
      <c r="W1035" s="5" t="s">
        <v>69</v>
      </c>
      <c r="X1035" s="5" t="s">
        <v>69</v>
      </c>
      <c r="Y1035" s="4">
        <v>36</v>
      </c>
      <c r="Z1035" s="4">
        <v>4</v>
      </c>
      <c r="AA1035" s="4">
        <v>4</v>
      </c>
      <c r="AB1035" s="4">
        <v>1</v>
      </c>
      <c r="AC1035" s="4">
        <v>1</v>
      </c>
      <c r="AD1035" s="4">
        <v>28</v>
      </c>
      <c r="AE1035" s="4">
        <v>28</v>
      </c>
      <c r="AF1035" s="4">
        <v>0</v>
      </c>
      <c r="AG1035" s="4">
        <v>0</v>
      </c>
      <c r="AH1035" s="4">
        <v>27</v>
      </c>
      <c r="AI1035" s="4">
        <v>27</v>
      </c>
      <c r="AJ1035" s="4">
        <v>2</v>
      </c>
      <c r="AK1035" s="4">
        <v>2</v>
      </c>
      <c r="AL1035" s="4">
        <v>23</v>
      </c>
      <c r="AM1035" s="4">
        <v>23</v>
      </c>
      <c r="AN1035" s="4">
        <v>0</v>
      </c>
      <c r="AO1035" s="4">
        <v>0</v>
      </c>
      <c r="AP1035" s="4">
        <v>2</v>
      </c>
      <c r="AQ1035" s="4">
        <v>2</v>
      </c>
      <c r="AR1035" s="3" t="s">
        <v>63</v>
      </c>
      <c r="AS1035" s="3" t="s">
        <v>63</v>
      </c>
      <c r="AT1035" s="3" t="s">
        <v>63</v>
      </c>
      <c r="AV1035" s="6" t="str">
        <f>HYPERLINK("http://mcgill.on.worldcat.org/oclc/711737731","Catalog Record")</f>
        <v>Catalog Record</v>
      </c>
      <c r="AW1035" s="6" t="str">
        <f>HYPERLINK("http://www.worldcat.org/oclc/711737731","WorldCat Record")</f>
        <v>WorldCat Record</v>
      </c>
      <c r="AX1035" s="3" t="s">
        <v>10170</v>
      </c>
      <c r="AY1035" s="3" t="s">
        <v>10171</v>
      </c>
      <c r="AZ1035" s="3" t="s">
        <v>10172</v>
      </c>
      <c r="BA1035" s="3" t="s">
        <v>10172</v>
      </c>
      <c r="BB1035" s="3" t="s">
        <v>10173</v>
      </c>
      <c r="BC1035" s="3" t="s">
        <v>82</v>
      </c>
      <c r="BD1035" s="3" t="s">
        <v>70</v>
      </c>
      <c r="BE1035" s="3" t="s">
        <v>10174</v>
      </c>
      <c r="BF1035" s="3" t="s">
        <v>10173</v>
      </c>
      <c r="BG1035" s="3" t="s">
        <v>10175</v>
      </c>
    </row>
    <row r="1036" spans="1:59" ht="60" x14ac:dyDescent="0.25">
      <c r="A1036" s="2" t="s">
        <v>59</v>
      </c>
      <c r="B1036" s="2" t="s">
        <v>60</v>
      </c>
      <c r="C1036" s="2" t="s">
        <v>10176</v>
      </c>
      <c r="D1036" s="2" t="s">
        <v>10177</v>
      </c>
      <c r="E1036" s="2" t="s">
        <v>10178</v>
      </c>
      <c r="G1036" s="3" t="s">
        <v>63</v>
      </c>
      <c r="I1036" s="3" t="s">
        <v>63</v>
      </c>
      <c r="J1036" s="3" t="s">
        <v>63</v>
      </c>
      <c r="K1036" s="3" t="s">
        <v>64</v>
      </c>
      <c r="L1036" s="2" t="s">
        <v>10179</v>
      </c>
      <c r="M1036" s="2" t="s">
        <v>10180</v>
      </c>
      <c r="N1036" s="3" t="s">
        <v>10181</v>
      </c>
      <c r="P1036" s="3" t="s">
        <v>548</v>
      </c>
      <c r="Q1036" s="2" t="s">
        <v>10182</v>
      </c>
      <c r="R1036" s="3" t="s">
        <v>67</v>
      </c>
      <c r="S1036" s="4">
        <v>1</v>
      </c>
      <c r="T1036" s="4">
        <v>1</v>
      </c>
      <c r="U1036" s="5" t="s">
        <v>4874</v>
      </c>
      <c r="V1036" s="5" t="s">
        <v>4874</v>
      </c>
      <c r="W1036" s="5" t="s">
        <v>69</v>
      </c>
      <c r="X1036" s="5" t="s">
        <v>69</v>
      </c>
      <c r="Y1036" s="4">
        <v>103</v>
      </c>
      <c r="Z1036" s="4">
        <v>7</v>
      </c>
      <c r="AA1036" s="4">
        <v>8</v>
      </c>
      <c r="AB1036" s="4">
        <v>1</v>
      </c>
      <c r="AC1036" s="4">
        <v>2</v>
      </c>
      <c r="AD1036" s="4">
        <v>45</v>
      </c>
      <c r="AE1036" s="4">
        <v>46</v>
      </c>
      <c r="AF1036" s="4">
        <v>0</v>
      </c>
      <c r="AG1036" s="4">
        <v>1</v>
      </c>
      <c r="AH1036" s="4">
        <v>42</v>
      </c>
      <c r="AI1036" s="4">
        <v>42</v>
      </c>
      <c r="AJ1036" s="4">
        <v>4</v>
      </c>
      <c r="AK1036" s="4">
        <v>5</v>
      </c>
      <c r="AL1036" s="4">
        <v>34</v>
      </c>
      <c r="AM1036" s="4">
        <v>34</v>
      </c>
      <c r="AN1036" s="4">
        <v>0</v>
      </c>
      <c r="AO1036" s="4">
        <v>0</v>
      </c>
      <c r="AP1036" s="4">
        <v>4</v>
      </c>
      <c r="AQ1036" s="4">
        <v>4</v>
      </c>
      <c r="AR1036" s="3" t="s">
        <v>63</v>
      </c>
      <c r="AS1036" s="3" t="s">
        <v>63</v>
      </c>
      <c r="AT1036" s="3" t="s">
        <v>62</v>
      </c>
      <c r="AU1036" s="6" t="str">
        <f>HYPERLINK("http://catalog.hathitrust.org/Record/001684800","HathiTrust Record")</f>
        <v>HathiTrust Record</v>
      </c>
      <c r="AV1036" s="6" t="str">
        <f>HYPERLINK("http://mcgill.on.worldcat.org/oclc/7040203","Catalog Record")</f>
        <v>Catalog Record</v>
      </c>
      <c r="AW1036" s="6" t="str">
        <f>HYPERLINK("http://www.worldcat.org/oclc/7040203","WorldCat Record")</f>
        <v>WorldCat Record</v>
      </c>
      <c r="AX1036" s="3" t="s">
        <v>10183</v>
      </c>
      <c r="AY1036" s="3" t="s">
        <v>10184</v>
      </c>
      <c r="AZ1036" s="3" t="s">
        <v>10185</v>
      </c>
      <c r="BA1036" s="3" t="s">
        <v>10185</v>
      </c>
      <c r="BB1036" s="3" t="s">
        <v>10186</v>
      </c>
      <c r="BC1036" s="3" t="s">
        <v>82</v>
      </c>
      <c r="BD1036" s="3" t="s">
        <v>70</v>
      </c>
      <c r="BF1036" s="3" t="s">
        <v>10186</v>
      </c>
      <c r="BG1036" s="3" t="s">
        <v>10187</v>
      </c>
    </row>
    <row r="1037" spans="1:59" ht="60" x14ac:dyDescent="0.25">
      <c r="A1037" s="2" t="s">
        <v>59</v>
      </c>
      <c r="B1037" s="2" t="s">
        <v>60</v>
      </c>
      <c r="C1037" s="2" t="s">
        <v>10188</v>
      </c>
      <c r="D1037" s="2" t="s">
        <v>10189</v>
      </c>
      <c r="E1037" s="2" t="s">
        <v>10190</v>
      </c>
      <c r="G1037" s="3" t="s">
        <v>63</v>
      </c>
      <c r="I1037" s="3" t="s">
        <v>63</v>
      </c>
      <c r="J1037" s="3" t="s">
        <v>63</v>
      </c>
      <c r="K1037" s="3" t="s">
        <v>64</v>
      </c>
      <c r="L1037" s="2" t="s">
        <v>10191</v>
      </c>
      <c r="M1037" s="2" t="s">
        <v>10192</v>
      </c>
      <c r="N1037" s="3" t="s">
        <v>1113</v>
      </c>
      <c r="P1037" s="3" t="s">
        <v>90</v>
      </c>
      <c r="R1037" s="3" t="s">
        <v>67</v>
      </c>
      <c r="S1037" s="4">
        <v>3</v>
      </c>
      <c r="T1037" s="4">
        <v>3</v>
      </c>
      <c r="U1037" s="5" t="s">
        <v>4577</v>
      </c>
      <c r="V1037" s="5" t="s">
        <v>4577</v>
      </c>
      <c r="W1037" s="5" t="s">
        <v>69</v>
      </c>
      <c r="X1037" s="5" t="s">
        <v>69</v>
      </c>
      <c r="Y1037" s="4">
        <v>69</v>
      </c>
      <c r="Z1037" s="4">
        <v>5</v>
      </c>
      <c r="AA1037" s="4">
        <v>5</v>
      </c>
      <c r="AB1037" s="4">
        <v>1</v>
      </c>
      <c r="AC1037" s="4">
        <v>1</v>
      </c>
      <c r="AD1037" s="4">
        <v>44</v>
      </c>
      <c r="AE1037" s="4">
        <v>45</v>
      </c>
      <c r="AF1037" s="4">
        <v>0</v>
      </c>
      <c r="AG1037" s="4">
        <v>0</v>
      </c>
      <c r="AH1037" s="4">
        <v>43</v>
      </c>
      <c r="AI1037" s="4">
        <v>44</v>
      </c>
      <c r="AJ1037" s="4">
        <v>4</v>
      </c>
      <c r="AK1037" s="4">
        <v>4</v>
      </c>
      <c r="AL1037" s="4">
        <v>31</v>
      </c>
      <c r="AM1037" s="4">
        <v>32</v>
      </c>
      <c r="AN1037" s="4">
        <v>0</v>
      </c>
      <c r="AO1037" s="4">
        <v>0</v>
      </c>
      <c r="AP1037" s="4">
        <v>4</v>
      </c>
      <c r="AQ1037" s="4">
        <v>4</v>
      </c>
      <c r="AR1037" s="3" t="s">
        <v>63</v>
      </c>
      <c r="AS1037" s="3" t="s">
        <v>63</v>
      </c>
      <c r="AT1037" s="3" t="s">
        <v>63</v>
      </c>
      <c r="AV1037" s="6" t="str">
        <f>HYPERLINK("http://mcgill.on.worldcat.org/oclc/37710964","Catalog Record")</f>
        <v>Catalog Record</v>
      </c>
      <c r="AW1037" s="6" t="str">
        <f>HYPERLINK("http://www.worldcat.org/oclc/37710964","WorldCat Record")</f>
        <v>WorldCat Record</v>
      </c>
      <c r="AX1037" s="3" t="s">
        <v>10193</v>
      </c>
      <c r="AY1037" s="3" t="s">
        <v>10194</v>
      </c>
      <c r="AZ1037" s="3" t="s">
        <v>10195</v>
      </c>
      <c r="BA1037" s="3" t="s">
        <v>10195</v>
      </c>
      <c r="BB1037" s="3" t="s">
        <v>10196</v>
      </c>
      <c r="BC1037" s="3" t="s">
        <v>82</v>
      </c>
      <c r="BD1037" s="3" t="s">
        <v>70</v>
      </c>
      <c r="BE1037" s="3" t="s">
        <v>10197</v>
      </c>
      <c r="BF1037" s="3" t="s">
        <v>10196</v>
      </c>
      <c r="BG1037" s="3" t="s">
        <v>10198</v>
      </c>
    </row>
    <row r="1038" spans="1:59" ht="60" x14ac:dyDescent="0.25">
      <c r="A1038" s="2" t="s">
        <v>59</v>
      </c>
      <c r="B1038" s="2" t="s">
        <v>60</v>
      </c>
      <c r="C1038" s="2" t="s">
        <v>10199</v>
      </c>
      <c r="D1038" s="2" t="s">
        <v>10200</v>
      </c>
      <c r="E1038" s="2" t="s">
        <v>10201</v>
      </c>
      <c r="G1038" s="3" t="s">
        <v>63</v>
      </c>
      <c r="I1038" s="3" t="s">
        <v>63</v>
      </c>
      <c r="J1038" s="3" t="s">
        <v>63</v>
      </c>
      <c r="K1038" s="3" t="s">
        <v>64</v>
      </c>
      <c r="L1038" s="2" t="s">
        <v>10191</v>
      </c>
      <c r="M1038" s="2" t="s">
        <v>10202</v>
      </c>
      <c r="N1038" s="3" t="s">
        <v>313</v>
      </c>
      <c r="P1038" s="3" t="s">
        <v>90</v>
      </c>
      <c r="R1038" s="3" t="s">
        <v>67</v>
      </c>
      <c r="S1038" s="4">
        <v>0</v>
      </c>
      <c r="T1038" s="4">
        <v>0</v>
      </c>
      <c r="W1038" s="5" t="s">
        <v>69</v>
      </c>
      <c r="X1038" s="5" t="s">
        <v>69</v>
      </c>
      <c r="Y1038" s="4">
        <v>4</v>
      </c>
      <c r="Z1038" s="4">
        <v>1</v>
      </c>
      <c r="AA1038" s="4">
        <v>1</v>
      </c>
      <c r="AB1038" s="4">
        <v>1</v>
      </c>
      <c r="AC1038" s="4">
        <v>1</v>
      </c>
      <c r="AD1038" s="4">
        <v>1</v>
      </c>
      <c r="AE1038" s="4">
        <v>1</v>
      </c>
      <c r="AF1038" s="4">
        <v>0</v>
      </c>
      <c r="AG1038" s="4">
        <v>0</v>
      </c>
      <c r="AH1038" s="4">
        <v>1</v>
      </c>
      <c r="AI1038" s="4">
        <v>1</v>
      </c>
      <c r="AJ1038" s="4">
        <v>0</v>
      </c>
      <c r="AK1038" s="4">
        <v>0</v>
      </c>
      <c r="AL1038" s="4">
        <v>1</v>
      </c>
      <c r="AM1038" s="4">
        <v>1</v>
      </c>
      <c r="AN1038" s="4">
        <v>0</v>
      </c>
      <c r="AO1038" s="4">
        <v>0</v>
      </c>
      <c r="AP1038" s="4">
        <v>0</v>
      </c>
      <c r="AQ1038" s="4">
        <v>0</v>
      </c>
      <c r="AR1038" s="3" t="s">
        <v>63</v>
      </c>
      <c r="AS1038" s="3" t="s">
        <v>63</v>
      </c>
      <c r="AT1038" s="3" t="s">
        <v>63</v>
      </c>
      <c r="AV1038" s="6" t="str">
        <f>HYPERLINK("http://mcgill.on.worldcat.org/oclc/711737758","Catalog Record")</f>
        <v>Catalog Record</v>
      </c>
      <c r="AW1038" s="6" t="str">
        <f>HYPERLINK("http://www.worldcat.org/oclc/711737758","WorldCat Record")</f>
        <v>WorldCat Record</v>
      </c>
      <c r="AX1038" s="3" t="s">
        <v>10203</v>
      </c>
      <c r="AY1038" s="3" t="s">
        <v>10204</v>
      </c>
      <c r="AZ1038" s="3" t="s">
        <v>10205</v>
      </c>
      <c r="BA1038" s="3" t="s">
        <v>10205</v>
      </c>
      <c r="BB1038" s="3" t="s">
        <v>10206</v>
      </c>
      <c r="BC1038" s="3" t="s">
        <v>82</v>
      </c>
      <c r="BD1038" s="3" t="s">
        <v>70</v>
      </c>
      <c r="BE1038" s="3" t="s">
        <v>10207</v>
      </c>
      <c r="BF1038" s="3" t="s">
        <v>10206</v>
      </c>
      <c r="BG1038" s="3" t="s">
        <v>10208</v>
      </c>
    </row>
    <row r="1039" spans="1:59" ht="60" x14ac:dyDescent="0.25">
      <c r="A1039" s="2" t="s">
        <v>59</v>
      </c>
      <c r="B1039" s="2" t="s">
        <v>60</v>
      </c>
      <c r="C1039" s="2" t="s">
        <v>10209</v>
      </c>
      <c r="D1039" s="2" t="s">
        <v>10210</v>
      </c>
      <c r="E1039" s="2" t="s">
        <v>10211</v>
      </c>
      <c r="G1039" s="3" t="s">
        <v>63</v>
      </c>
      <c r="I1039" s="3" t="s">
        <v>63</v>
      </c>
      <c r="J1039" s="3" t="s">
        <v>63</v>
      </c>
      <c r="K1039" s="3" t="s">
        <v>64</v>
      </c>
      <c r="L1039" s="2" t="s">
        <v>10212</v>
      </c>
      <c r="M1039" s="2" t="s">
        <v>10213</v>
      </c>
      <c r="N1039" s="3" t="s">
        <v>362</v>
      </c>
      <c r="P1039" s="3" t="s">
        <v>66</v>
      </c>
      <c r="Q1039" s="2" t="s">
        <v>3902</v>
      </c>
      <c r="R1039" s="3" t="s">
        <v>67</v>
      </c>
      <c r="S1039" s="4">
        <v>3</v>
      </c>
      <c r="T1039" s="4">
        <v>3</v>
      </c>
      <c r="U1039" s="5" t="s">
        <v>10214</v>
      </c>
      <c r="V1039" s="5" t="s">
        <v>10214</v>
      </c>
      <c r="W1039" s="5" t="s">
        <v>69</v>
      </c>
      <c r="X1039" s="5" t="s">
        <v>69</v>
      </c>
      <c r="Y1039" s="4">
        <v>182</v>
      </c>
      <c r="Z1039" s="4">
        <v>11</v>
      </c>
      <c r="AA1039" s="4">
        <v>11</v>
      </c>
      <c r="AB1039" s="4">
        <v>1</v>
      </c>
      <c r="AC1039" s="4">
        <v>1</v>
      </c>
      <c r="AD1039" s="4">
        <v>95</v>
      </c>
      <c r="AE1039" s="4">
        <v>95</v>
      </c>
      <c r="AF1039" s="4">
        <v>0</v>
      </c>
      <c r="AG1039" s="4">
        <v>0</v>
      </c>
      <c r="AH1039" s="4">
        <v>89</v>
      </c>
      <c r="AI1039" s="4">
        <v>89</v>
      </c>
      <c r="AJ1039" s="4">
        <v>8</v>
      </c>
      <c r="AK1039" s="4">
        <v>8</v>
      </c>
      <c r="AL1039" s="4">
        <v>53</v>
      </c>
      <c r="AM1039" s="4">
        <v>53</v>
      </c>
      <c r="AN1039" s="4">
        <v>0</v>
      </c>
      <c r="AO1039" s="4">
        <v>0</v>
      </c>
      <c r="AP1039" s="4">
        <v>8</v>
      </c>
      <c r="AQ1039" s="4">
        <v>8</v>
      </c>
      <c r="AR1039" s="3" t="s">
        <v>63</v>
      </c>
      <c r="AS1039" s="3" t="s">
        <v>63</v>
      </c>
      <c r="AT1039" s="3" t="s">
        <v>62</v>
      </c>
      <c r="AU1039" s="6" t="str">
        <f>HYPERLINK("http://catalog.hathitrust.org/Record/004182814","HathiTrust Record")</f>
        <v>HathiTrust Record</v>
      </c>
      <c r="AV1039" s="6" t="str">
        <f>HYPERLINK("http://mcgill.on.worldcat.org/oclc/45757683","Catalog Record")</f>
        <v>Catalog Record</v>
      </c>
      <c r="AW1039" s="6" t="str">
        <f>HYPERLINK("http://www.worldcat.org/oclc/45757683","WorldCat Record")</f>
        <v>WorldCat Record</v>
      </c>
      <c r="AX1039" s="3" t="s">
        <v>10215</v>
      </c>
      <c r="AY1039" s="3" t="s">
        <v>10216</v>
      </c>
      <c r="AZ1039" s="3" t="s">
        <v>10217</v>
      </c>
      <c r="BA1039" s="3" t="s">
        <v>10217</v>
      </c>
      <c r="BB1039" s="3" t="s">
        <v>10218</v>
      </c>
      <c r="BC1039" s="3" t="s">
        <v>82</v>
      </c>
      <c r="BD1039" s="3" t="s">
        <v>70</v>
      </c>
      <c r="BE1039" s="3" t="s">
        <v>10219</v>
      </c>
      <c r="BF1039" s="3" t="s">
        <v>10218</v>
      </c>
      <c r="BG1039" s="3" t="s">
        <v>10220</v>
      </c>
    </row>
    <row r="1040" spans="1:59" ht="60" x14ac:dyDescent="0.25">
      <c r="A1040" s="2" t="s">
        <v>59</v>
      </c>
      <c r="B1040" s="2" t="s">
        <v>60</v>
      </c>
      <c r="C1040" s="2" t="s">
        <v>10221</v>
      </c>
      <c r="D1040" s="2" t="s">
        <v>10222</v>
      </c>
      <c r="E1040" s="2" t="s">
        <v>10223</v>
      </c>
      <c r="G1040" s="3" t="s">
        <v>63</v>
      </c>
      <c r="I1040" s="3" t="s">
        <v>63</v>
      </c>
      <c r="J1040" s="3" t="s">
        <v>63</v>
      </c>
      <c r="K1040" s="3" t="s">
        <v>64</v>
      </c>
      <c r="L1040" s="2" t="s">
        <v>10224</v>
      </c>
      <c r="M1040" s="2" t="s">
        <v>5810</v>
      </c>
      <c r="N1040" s="3" t="s">
        <v>629</v>
      </c>
      <c r="P1040" s="3" t="s">
        <v>90</v>
      </c>
      <c r="Q1040" s="2" t="s">
        <v>10225</v>
      </c>
      <c r="R1040" s="3" t="s">
        <v>67</v>
      </c>
      <c r="S1040" s="4">
        <v>1</v>
      </c>
      <c r="T1040" s="4">
        <v>1</v>
      </c>
      <c r="U1040" s="5" t="s">
        <v>10226</v>
      </c>
      <c r="V1040" s="5" t="s">
        <v>10226</v>
      </c>
      <c r="W1040" s="5" t="s">
        <v>69</v>
      </c>
      <c r="X1040" s="5" t="s">
        <v>69</v>
      </c>
      <c r="Y1040" s="4">
        <v>45</v>
      </c>
      <c r="Z1040" s="4">
        <v>4</v>
      </c>
      <c r="AA1040" s="4">
        <v>4</v>
      </c>
      <c r="AB1040" s="4">
        <v>1</v>
      </c>
      <c r="AC1040" s="4">
        <v>1</v>
      </c>
      <c r="AD1040" s="4">
        <v>26</v>
      </c>
      <c r="AE1040" s="4">
        <v>26</v>
      </c>
      <c r="AF1040" s="4">
        <v>0</v>
      </c>
      <c r="AG1040" s="4">
        <v>0</v>
      </c>
      <c r="AH1040" s="4">
        <v>25</v>
      </c>
      <c r="AI1040" s="4">
        <v>25</v>
      </c>
      <c r="AJ1040" s="4">
        <v>2</v>
      </c>
      <c r="AK1040" s="4">
        <v>2</v>
      </c>
      <c r="AL1040" s="4">
        <v>21</v>
      </c>
      <c r="AM1040" s="4">
        <v>21</v>
      </c>
      <c r="AN1040" s="4">
        <v>0</v>
      </c>
      <c r="AO1040" s="4">
        <v>0</v>
      </c>
      <c r="AP1040" s="4">
        <v>2</v>
      </c>
      <c r="AQ1040" s="4">
        <v>2</v>
      </c>
      <c r="AR1040" s="3" t="s">
        <v>63</v>
      </c>
      <c r="AS1040" s="3" t="s">
        <v>63</v>
      </c>
      <c r="AT1040" s="3" t="s">
        <v>63</v>
      </c>
      <c r="AV1040" s="6" t="str">
        <f>HYPERLINK("http://mcgill.on.worldcat.org/oclc/703356940","Catalog Record")</f>
        <v>Catalog Record</v>
      </c>
      <c r="AW1040" s="6" t="str">
        <f>HYPERLINK("http://www.worldcat.org/oclc/703356940","WorldCat Record")</f>
        <v>WorldCat Record</v>
      </c>
      <c r="AX1040" s="3" t="s">
        <v>10227</v>
      </c>
      <c r="AY1040" s="3" t="s">
        <v>10228</v>
      </c>
      <c r="AZ1040" s="3" t="s">
        <v>10229</v>
      </c>
      <c r="BA1040" s="3" t="s">
        <v>10229</v>
      </c>
      <c r="BB1040" s="3" t="s">
        <v>10230</v>
      </c>
      <c r="BC1040" s="3" t="s">
        <v>82</v>
      </c>
      <c r="BD1040" s="3" t="s">
        <v>70</v>
      </c>
      <c r="BE1040" s="3" t="s">
        <v>10231</v>
      </c>
      <c r="BF1040" s="3" t="s">
        <v>10230</v>
      </c>
      <c r="BG1040" s="3" t="s">
        <v>10232</v>
      </c>
    </row>
    <row r="1041" spans="1:59" ht="60" x14ac:dyDescent="0.25">
      <c r="A1041" s="2" t="s">
        <v>59</v>
      </c>
      <c r="B1041" s="2" t="s">
        <v>60</v>
      </c>
      <c r="C1041" s="2" t="s">
        <v>10233</v>
      </c>
      <c r="D1041" s="2" t="s">
        <v>10234</v>
      </c>
      <c r="E1041" s="2" t="s">
        <v>10235</v>
      </c>
      <c r="F1041" s="3" t="s">
        <v>1095</v>
      </c>
      <c r="G1041" s="3" t="s">
        <v>62</v>
      </c>
      <c r="I1041" s="3" t="s">
        <v>63</v>
      </c>
      <c r="J1041" s="3" t="s">
        <v>63</v>
      </c>
      <c r="K1041" s="3" t="s">
        <v>64</v>
      </c>
      <c r="L1041" s="2" t="s">
        <v>10236</v>
      </c>
      <c r="M1041" s="2" t="s">
        <v>10237</v>
      </c>
      <c r="N1041" s="3" t="s">
        <v>1010</v>
      </c>
      <c r="P1041" s="3" t="s">
        <v>90</v>
      </c>
      <c r="R1041" s="3" t="s">
        <v>67</v>
      </c>
      <c r="S1041" s="4">
        <v>4</v>
      </c>
      <c r="T1041" s="4">
        <v>7</v>
      </c>
      <c r="U1041" s="5" t="s">
        <v>5503</v>
      </c>
      <c r="V1041" s="5" t="s">
        <v>5503</v>
      </c>
      <c r="W1041" s="5" t="s">
        <v>69</v>
      </c>
      <c r="X1041" s="5" t="s">
        <v>69</v>
      </c>
      <c r="Y1041" s="4">
        <v>148</v>
      </c>
      <c r="Z1041" s="4">
        <v>3</v>
      </c>
      <c r="AA1041" s="4">
        <v>11</v>
      </c>
      <c r="AB1041" s="4">
        <v>1</v>
      </c>
      <c r="AC1041" s="4">
        <v>1</v>
      </c>
      <c r="AD1041" s="4">
        <v>62</v>
      </c>
      <c r="AE1041" s="4">
        <v>72</v>
      </c>
      <c r="AF1041" s="4">
        <v>0</v>
      </c>
      <c r="AG1041" s="4">
        <v>0</v>
      </c>
      <c r="AH1041" s="4">
        <v>59</v>
      </c>
      <c r="AI1041" s="4">
        <v>67</v>
      </c>
      <c r="AJ1041" s="4">
        <v>2</v>
      </c>
      <c r="AK1041" s="4">
        <v>9</v>
      </c>
      <c r="AL1041" s="4">
        <v>40</v>
      </c>
      <c r="AM1041" s="4">
        <v>43</v>
      </c>
      <c r="AN1041" s="4">
        <v>0</v>
      </c>
      <c r="AO1041" s="4">
        <v>0</v>
      </c>
      <c r="AP1041" s="4">
        <v>2</v>
      </c>
      <c r="AQ1041" s="4">
        <v>9</v>
      </c>
      <c r="AR1041" s="3" t="s">
        <v>63</v>
      </c>
      <c r="AS1041" s="3" t="s">
        <v>63</v>
      </c>
      <c r="AT1041" s="3" t="s">
        <v>62</v>
      </c>
      <c r="AU1041" s="6" t="str">
        <f>HYPERLINK("http://catalog.hathitrust.org/Record/102089264","HathiTrust Record")</f>
        <v>HathiTrust Record</v>
      </c>
      <c r="AV1041" s="6" t="str">
        <f>HYPERLINK("http://mcgill.on.worldcat.org/oclc/3955926","Catalog Record")</f>
        <v>Catalog Record</v>
      </c>
      <c r="AW1041" s="6" t="str">
        <f>HYPERLINK("http://www.worldcat.org/oclc/3955926","WorldCat Record")</f>
        <v>WorldCat Record</v>
      </c>
      <c r="AX1041" s="3" t="s">
        <v>10238</v>
      </c>
      <c r="AY1041" s="3" t="s">
        <v>10239</v>
      </c>
      <c r="AZ1041" s="3" t="s">
        <v>10240</v>
      </c>
      <c r="BA1041" s="3" t="s">
        <v>10240</v>
      </c>
      <c r="BB1041" s="3" t="s">
        <v>10241</v>
      </c>
      <c r="BC1041" s="3" t="s">
        <v>82</v>
      </c>
      <c r="BD1041" s="3" t="s">
        <v>70</v>
      </c>
      <c r="BF1041" s="3" t="s">
        <v>10241</v>
      </c>
      <c r="BG1041" s="3" t="s">
        <v>10242</v>
      </c>
    </row>
    <row r="1042" spans="1:59" ht="60" x14ac:dyDescent="0.25">
      <c r="A1042" s="2" t="s">
        <v>59</v>
      </c>
      <c r="B1042" s="2" t="s">
        <v>60</v>
      </c>
      <c r="C1042" s="2" t="s">
        <v>10233</v>
      </c>
      <c r="D1042" s="2" t="s">
        <v>10234</v>
      </c>
      <c r="E1042" s="2" t="s">
        <v>10235</v>
      </c>
      <c r="F1042" s="3" t="s">
        <v>61</v>
      </c>
      <c r="G1042" s="3" t="s">
        <v>62</v>
      </c>
      <c r="I1042" s="3" t="s">
        <v>63</v>
      </c>
      <c r="J1042" s="3" t="s">
        <v>63</v>
      </c>
      <c r="K1042" s="3" t="s">
        <v>64</v>
      </c>
      <c r="L1042" s="2" t="s">
        <v>10236</v>
      </c>
      <c r="M1042" s="2" t="s">
        <v>10237</v>
      </c>
      <c r="N1042" s="3" t="s">
        <v>1010</v>
      </c>
      <c r="P1042" s="3" t="s">
        <v>90</v>
      </c>
      <c r="R1042" s="3" t="s">
        <v>67</v>
      </c>
      <c r="S1042" s="4">
        <v>3</v>
      </c>
      <c r="T1042" s="4">
        <v>7</v>
      </c>
      <c r="U1042" s="5" t="s">
        <v>5503</v>
      </c>
      <c r="V1042" s="5" t="s">
        <v>5503</v>
      </c>
      <c r="W1042" s="5" t="s">
        <v>69</v>
      </c>
      <c r="X1042" s="5" t="s">
        <v>69</v>
      </c>
      <c r="Y1042" s="4">
        <v>148</v>
      </c>
      <c r="Z1042" s="4">
        <v>3</v>
      </c>
      <c r="AA1042" s="4">
        <v>11</v>
      </c>
      <c r="AB1042" s="4">
        <v>1</v>
      </c>
      <c r="AC1042" s="4">
        <v>1</v>
      </c>
      <c r="AD1042" s="4">
        <v>62</v>
      </c>
      <c r="AE1042" s="4">
        <v>72</v>
      </c>
      <c r="AF1042" s="4">
        <v>0</v>
      </c>
      <c r="AG1042" s="4">
        <v>0</v>
      </c>
      <c r="AH1042" s="4">
        <v>59</v>
      </c>
      <c r="AI1042" s="4">
        <v>67</v>
      </c>
      <c r="AJ1042" s="4">
        <v>2</v>
      </c>
      <c r="AK1042" s="4">
        <v>9</v>
      </c>
      <c r="AL1042" s="4">
        <v>40</v>
      </c>
      <c r="AM1042" s="4">
        <v>43</v>
      </c>
      <c r="AN1042" s="4">
        <v>0</v>
      </c>
      <c r="AO1042" s="4">
        <v>0</v>
      </c>
      <c r="AP1042" s="4">
        <v>2</v>
      </c>
      <c r="AQ1042" s="4">
        <v>9</v>
      </c>
      <c r="AR1042" s="3" t="s">
        <v>63</v>
      </c>
      <c r="AS1042" s="3" t="s">
        <v>63</v>
      </c>
      <c r="AT1042" s="3" t="s">
        <v>62</v>
      </c>
      <c r="AU1042" s="6" t="str">
        <f>HYPERLINK("http://catalog.hathitrust.org/Record/102089264","HathiTrust Record")</f>
        <v>HathiTrust Record</v>
      </c>
      <c r="AV1042" s="6" t="str">
        <f>HYPERLINK("http://mcgill.on.worldcat.org/oclc/3955926","Catalog Record")</f>
        <v>Catalog Record</v>
      </c>
      <c r="AW1042" s="6" t="str">
        <f>HYPERLINK("http://www.worldcat.org/oclc/3955926","WorldCat Record")</f>
        <v>WorldCat Record</v>
      </c>
      <c r="AX1042" s="3" t="s">
        <v>10238</v>
      </c>
      <c r="AY1042" s="3" t="s">
        <v>10239</v>
      </c>
      <c r="AZ1042" s="3" t="s">
        <v>10240</v>
      </c>
      <c r="BA1042" s="3" t="s">
        <v>10240</v>
      </c>
      <c r="BB1042" s="3" t="s">
        <v>10243</v>
      </c>
      <c r="BC1042" s="3" t="s">
        <v>82</v>
      </c>
      <c r="BD1042" s="3" t="s">
        <v>70</v>
      </c>
      <c r="BF1042" s="3" t="s">
        <v>10243</v>
      </c>
      <c r="BG1042" s="3" t="s">
        <v>10244</v>
      </c>
    </row>
    <row r="1043" spans="1:59" ht="75" x14ac:dyDescent="0.25">
      <c r="A1043" s="2" t="s">
        <v>59</v>
      </c>
      <c r="B1043" s="2" t="s">
        <v>60</v>
      </c>
      <c r="C1043" s="2" t="s">
        <v>10245</v>
      </c>
      <c r="D1043" s="2" t="s">
        <v>10246</v>
      </c>
      <c r="E1043" s="2" t="s">
        <v>10247</v>
      </c>
      <c r="F1043" s="3" t="s">
        <v>3653</v>
      </c>
      <c r="G1043" s="3" t="s">
        <v>62</v>
      </c>
      <c r="I1043" s="3" t="s">
        <v>63</v>
      </c>
      <c r="J1043" s="3" t="s">
        <v>63</v>
      </c>
      <c r="K1043" s="3" t="s">
        <v>64</v>
      </c>
      <c r="L1043" s="2" t="s">
        <v>10248</v>
      </c>
      <c r="M1043" s="2" t="s">
        <v>10249</v>
      </c>
      <c r="N1043" s="3" t="s">
        <v>455</v>
      </c>
      <c r="P1043" s="3" t="s">
        <v>90</v>
      </c>
      <c r="R1043" s="3" t="s">
        <v>67</v>
      </c>
      <c r="S1043" s="4">
        <v>22</v>
      </c>
      <c r="T1043" s="4">
        <v>31</v>
      </c>
      <c r="U1043" s="5" t="s">
        <v>2183</v>
      </c>
      <c r="V1043" s="5" t="s">
        <v>5503</v>
      </c>
      <c r="W1043" s="5" t="s">
        <v>69</v>
      </c>
      <c r="X1043" s="5" t="s">
        <v>69</v>
      </c>
      <c r="Y1043" s="4">
        <v>47</v>
      </c>
      <c r="Z1043" s="4">
        <v>1</v>
      </c>
      <c r="AA1043" s="4">
        <v>2</v>
      </c>
      <c r="AB1043" s="4">
        <v>1</v>
      </c>
      <c r="AC1043" s="4">
        <v>1</v>
      </c>
      <c r="AD1043" s="4">
        <v>28</v>
      </c>
      <c r="AE1043" s="4">
        <v>31</v>
      </c>
      <c r="AF1043" s="4">
        <v>0</v>
      </c>
      <c r="AG1043" s="4">
        <v>0</v>
      </c>
      <c r="AH1043" s="4">
        <v>28</v>
      </c>
      <c r="AI1043" s="4">
        <v>31</v>
      </c>
      <c r="AJ1043" s="4">
        <v>0</v>
      </c>
      <c r="AK1043" s="4">
        <v>1</v>
      </c>
      <c r="AL1043" s="4">
        <v>23</v>
      </c>
      <c r="AM1043" s="4">
        <v>24</v>
      </c>
      <c r="AN1043" s="4">
        <v>0</v>
      </c>
      <c r="AO1043" s="4">
        <v>0</v>
      </c>
      <c r="AP1043" s="4">
        <v>0</v>
      </c>
      <c r="AQ1043" s="4">
        <v>1</v>
      </c>
      <c r="AR1043" s="3" t="s">
        <v>63</v>
      </c>
      <c r="AS1043" s="3" t="s">
        <v>63</v>
      </c>
      <c r="AT1043" s="3" t="s">
        <v>62</v>
      </c>
      <c r="AU1043" s="6" t="str">
        <f>HYPERLINK("http://catalog.hathitrust.org/Record/000453491","HathiTrust Record")</f>
        <v>HathiTrust Record</v>
      </c>
      <c r="AV1043" s="6" t="str">
        <f>HYPERLINK("http://mcgill.on.worldcat.org/oclc/13632119","Catalog Record")</f>
        <v>Catalog Record</v>
      </c>
      <c r="AW1043" s="6" t="str">
        <f>HYPERLINK("http://www.worldcat.org/oclc/13632119","WorldCat Record")</f>
        <v>WorldCat Record</v>
      </c>
      <c r="AX1043" s="3" t="s">
        <v>10250</v>
      </c>
      <c r="AY1043" s="3" t="s">
        <v>10251</v>
      </c>
      <c r="AZ1043" s="3" t="s">
        <v>10252</v>
      </c>
      <c r="BA1043" s="3" t="s">
        <v>10252</v>
      </c>
      <c r="BB1043" s="3" t="s">
        <v>10253</v>
      </c>
      <c r="BC1043" s="3" t="s">
        <v>82</v>
      </c>
      <c r="BD1043" s="3" t="s">
        <v>538</v>
      </c>
      <c r="BF1043" s="3" t="s">
        <v>10253</v>
      </c>
      <c r="BG1043" s="3" t="s">
        <v>10254</v>
      </c>
    </row>
    <row r="1044" spans="1:59" ht="75" x14ac:dyDescent="0.25">
      <c r="A1044" s="2" t="s">
        <v>59</v>
      </c>
      <c r="B1044" s="2" t="s">
        <v>60</v>
      </c>
      <c r="C1044" s="2" t="s">
        <v>10245</v>
      </c>
      <c r="D1044" s="2" t="s">
        <v>10246</v>
      </c>
      <c r="E1044" s="2" t="s">
        <v>10247</v>
      </c>
      <c r="F1044" s="3" t="s">
        <v>3647</v>
      </c>
      <c r="G1044" s="3" t="s">
        <v>62</v>
      </c>
      <c r="I1044" s="3" t="s">
        <v>63</v>
      </c>
      <c r="J1044" s="3" t="s">
        <v>63</v>
      </c>
      <c r="K1044" s="3" t="s">
        <v>64</v>
      </c>
      <c r="L1044" s="2" t="s">
        <v>10248</v>
      </c>
      <c r="M1044" s="2" t="s">
        <v>10249</v>
      </c>
      <c r="N1044" s="3" t="s">
        <v>455</v>
      </c>
      <c r="P1044" s="3" t="s">
        <v>90</v>
      </c>
      <c r="R1044" s="3" t="s">
        <v>67</v>
      </c>
      <c r="S1044" s="4">
        <v>9</v>
      </c>
      <c r="T1044" s="4">
        <v>31</v>
      </c>
      <c r="U1044" s="5" t="s">
        <v>5503</v>
      </c>
      <c r="V1044" s="5" t="s">
        <v>5503</v>
      </c>
      <c r="W1044" s="5" t="s">
        <v>69</v>
      </c>
      <c r="X1044" s="5" t="s">
        <v>69</v>
      </c>
      <c r="Y1044" s="4">
        <v>47</v>
      </c>
      <c r="Z1044" s="4">
        <v>1</v>
      </c>
      <c r="AA1044" s="4">
        <v>2</v>
      </c>
      <c r="AB1044" s="4">
        <v>1</v>
      </c>
      <c r="AC1044" s="4">
        <v>1</v>
      </c>
      <c r="AD1044" s="4">
        <v>28</v>
      </c>
      <c r="AE1044" s="4">
        <v>31</v>
      </c>
      <c r="AF1044" s="4">
        <v>0</v>
      </c>
      <c r="AG1044" s="4">
        <v>0</v>
      </c>
      <c r="AH1044" s="4">
        <v>28</v>
      </c>
      <c r="AI1044" s="4">
        <v>31</v>
      </c>
      <c r="AJ1044" s="4">
        <v>0</v>
      </c>
      <c r="AK1044" s="4">
        <v>1</v>
      </c>
      <c r="AL1044" s="4">
        <v>23</v>
      </c>
      <c r="AM1044" s="4">
        <v>24</v>
      </c>
      <c r="AN1044" s="4">
        <v>0</v>
      </c>
      <c r="AO1044" s="4">
        <v>0</v>
      </c>
      <c r="AP1044" s="4">
        <v>0</v>
      </c>
      <c r="AQ1044" s="4">
        <v>1</v>
      </c>
      <c r="AR1044" s="3" t="s">
        <v>63</v>
      </c>
      <c r="AS1044" s="3" t="s">
        <v>63</v>
      </c>
      <c r="AT1044" s="3" t="s">
        <v>62</v>
      </c>
      <c r="AU1044" s="6" t="str">
        <f>HYPERLINK("http://catalog.hathitrust.org/Record/000453491","HathiTrust Record")</f>
        <v>HathiTrust Record</v>
      </c>
      <c r="AV1044" s="6" t="str">
        <f>HYPERLINK("http://mcgill.on.worldcat.org/oclc/13632119","Catalog Record")</f>
        <v>Catalog Record</v>
      </c>
      <c r="AW1044" s="6" t="str">
        <f>HYPERLINK("http://www.worldcat.org/oclc/13632119","WorldCat Record")</f>
        <v>WorldCat Record</v>
      </c>
      <c r="AX1044" s="3" t="s">
        <v>10250</v>
      </c>
      <c r="AY1044" s="3" t="s">
        <v>10251</v>
      </c>
      <c r="AZ1044" s="3" t="s">
        <v>10252</v>
      </c>
      <c r="BA1044" s="3" t="s">
        <v>10252</v>
      </c>
      <c r="BB1044" s="3" t="s">
        <v>10255</v>
      </c>
      <c r="BC1044" s="3" t="s">
        <v>82</v>
      </c>
      <c r="BD1044" s="3" t="s">
        <v>70</v>
      </c>
      <c r="BF1044" s="3" t="s">
        <v>10255</v>
      </c>
      <c r="BG1044" s="3" t="s">
        <v>10256</v>
      </c>
    </row>
    <row r="1045" spans="1:59" ht="60" x14ac:dyDescent="0.25">
      <c r="A1045" s="2" t="s">
        <v>59</v>
      </c>
      <c r="B1045" s="2" t="s">
        <v>60</v>
      </c>
      <c r="C1045" s="2" t="s">
        <v>10257</v>
      </c>
      <c r="D1045" s="2" t="s">
        <v>10258</v>
      </c>
      <c r="E1045" s="2" t="s">
        <v>10259</v>
      </c>
      <c r="G1045" s="3" t="s">
        <v>63</v>
      </c>
      <c r="I1045" s="3" t="s">
        <v>63</v>
      </c>
      <c r="J1045" s="3" t="s">
        <v>63</v>
      </c>
      <c r="K1045" s="3" t="s">
        <v>64</v>
      </c>
      <c r="L1045" s="2" t="s">
        <v>4479</v>
      </c>
      <c r="M1045" s="2" t="s">
        <v>10260</v>
      </c>
      <c r="N1045" s="3" t="s">
        <v>1418</v>
      </c>
      <c r="P1045" s="3" t="s">
        <v>90</v>
      </c>
      <c r="Q1045" s="2" t="s">
        <v>10261</v>
      </c>
      <c r="R1045" s="3" t="s">
        <v>67</v>
      </c>
      <c r="S1045" s="4">
        <v>8</v>
      </c>
      <c r="T1045" s="4">
        <v>8</v>
      </c>
      <c r="U1045" s="5" t="s">
        <v>2183</v>
      </c>
      <c r="V1045" s="5" t="s">
        <v>2183</v>
      </c>
      <c r="W1045" s="5" t="s">
        <v>69</v>
      </c>
      <c r="X1045" s="5" t="s">
        <v>69</v>
      </c>
      <c r="Y1045" s="4">
        <v>101</v>
      </c>
      <c r="Z1045" s="4">
        <v>9</v>
      </c>
      <c r="AA1045" s="4">
        <v>9</v>
      </c>
      <c r="AB1045" s="4">
        <v>1</v>
      </c>
      <c r="AC1045" s="4">
        <v>1</v>
      </c>
      <c r="AD1045" s="4">
        <v>56</v>
      </c>
      <c r="AE1045" s="4">
        <v>65</v>
      </c>
      <c r="AF1045" s="4">
        <v>0</v>
      </c>
      <c r="AG1045" s="4">
        <v>0</v>
      </c>
      <c r="AH1045" s="4">
        <v>53</v>
      </c>
      <c r="AI1045" s="4">
        <v>62</v>
      </c>
      <c r="AJ1045" s="4">
        <v>7</v>
      </c>
      <c r="AK1045" s="4">
        <v>7</v>
      </c>
      <c r="AL1045" s="4">
        <v>40</v>
      </c>
      <c r="AM1045" s="4">
        <v>43</v>
      </c>
      <c r="AN1045" s="4">
        <v>0</v>
      </c>
      <c r="AO1045" s="4">
        <v>0</v>
      </c>
      <c r="AP1045" s="4">
        <v>7</v>
      </c>
      <c r="AQ1045" s="4">
        <v>7</v>
      </c>
      <c r="AR1045" s="3" t="s">
        <v>63</v>
      </c>
      <c r="AS1045" s="3" t="s">
        <v>63</v>
      </c>
      <c r="AT1045" s="3" t="s">
        <v>62</v>
      </c>
      <c r="AU1045" s="6" t="str">
        <f>HYPERLINK("http://catalog.hathitrust.org/Record/001100251","HathiTrust Record")</f>
        <v>HathiTrust Record</v>
      </c>
      <c r="AV1045" s="6" t="str">
        <f>HYPERLINK("http://mcgill.on.worldcat.org/oclc/17925117","Catalog Record")</f>
        <v>Catalog Record</v>
      </c>
      <c r="AW1045" s="6" t="str">
        <f>HYPERLINK("http://www.worldcat.org/oclc/17925117","WorldCat Record")</f>
        <v>WorldCat Record</v>
      </c>
      <c r="AX1045" s="3" t="s">
        <v>10262</v>
      </c>
      <c r="AY1045" s="3" t="s">
        <v>10263</v>
      </c>
      <c r="AZ1045" s="3" t="s">
        <v>10264</v>
      </c>
      <c r="BA1045" s="3" t="s">
        <v>10264</v>
      </c>
      <c r="BB1045" s="3" t="s">
        <v>10265</v>
      </c>
      <c r="BC1045" s="3" t="s">
        <v>82</v>
      </c>
      <c r="BD1045" s="3" t="s">
        <v>70</v>
      </c>
      <c r="BF1045" s="3" t="s">
        <v>10265</v>
      </c>
      <c r="BG1045" s="3" t="s">
        <v>10266</v>
      </c>
    </row>
    <row r="1046" spans="1:59" ht="60" x14ac:dyDescent="0.25">
      <c r="A1046" s="2" t="s">
        <v>59</v>
      </c>
      <c r="B1046" s="2" t="s">
        <v>60</v>
      </c>
      <c r="C1046" s="2" t="s">
        <v>10267</v>
      </c>
      <c r="D1046" s="2" t="s">
        <v>10268</v>
      </c>
      <c r="E1046" s="2" t="s">
        <v>10269</v>
      </c>
      <c r="G1046" s="3" t="s">
        <v>63</v>
      </c>
      <c r="I1046" s="3" t="s">
        <v>63</v>
      </c>
      <c r="J1046" s="3" t="s">
        <v>63</v>
      </c>
      <c r="K1046" s="3" t="s">
        <v>64</v>
      </c>
      <c r="L1046" s="2" t="s">
        <v>5616</v>
      </c>
      <c r="M1046" s="2" t="s">
        <v>10270</v>
      </c>
      <c r="N1046" s="3" t="s">
        <v>190</v>
      </c>
      <c r="P1046" s="3" t="s">
        <v>90</v>
      </c>
      <c r="R1046" s="3" t="s">
        <v>67</v>
      </c>
      <c r="S1046" s="4">
        <v>5</v>
      </c>
      <c r="T1046" s="4">
        <v>5</v>
      </c>
      <c r="U1046" s="5" t="s">
        <v>10271</v>
      </c>
      <c r="V1046" s="5" t="s">
        <v>10271</v>
      </c>
      <c r="W1046" s="5" t="s">
        <v>69</v>
      </c>
      <c r="X1046" s="5" t="s">
        <v>69</v>
      </c>
      <c r="Y1046" s="4">
        <v>57</v>
      </c>
      <c r="Z1046" s="4">
        <v>6</v>
      </c>
      <c r="AA1046" s="4">
        <v>6</v>
      </c>
      <c r="AB1046" s="4">
        <v>1</v>
      </c>
      <c r="AC1046" s="4">
        <v>1</v>
      </c>
      <c r="AD1046" s="4">
        <v>40</v>
      </c>
      <c r="AE1046" s="4">
        <v>40</v>
      </c>
      <c r="AF1046" s="4">
        <v>0</v>
      </c>
      <c r="AG1046" s="4">
        <v>0</v>
      </c>
      <c r="AH1046" s="4">
        <v>40</v>
      </c>
      <c r="AI1046" s="4">
        <v>40</v>
      </c>
      <c r="AJ1046" s="4">
        <v>4</v>
      </c>
      <c r="AK1046" s="4">
        <v>4</v>
      </c>
      <c r="AL1046" s="4">
        <v>29</v>
      </c>
      <c r="AM1046" s="4">
        <v>29</v>
      </c>
      <c r="AN1046" s="4">
        <v>0</v>
      </c>
      <c r="AO1046" s="4">
        <v>0</v>
      </c>
      <c r="AP1046" s="4">
        <v>4</v>
      </c>
      <c r="AQ1046" s="4">
        <v>4</v>
      </c>
      <c r="AR1046" s="3" t="s">
        <v>63</v>
      </c>
      <c r="AS1046" s="3" t="s">
        <v>63</v>
      </c>
      <c r="AT1046" s="3" t="s">
        <v>62</v>
      </c>
      <c r="AU1046" s="6" t="str">
        <f>HYPERLINK("http://catalog.hathitrust.org/Record/005246323","HathiTrust Record")</f>
        <v>HathiTrust Record</v>
      </c>
      <c r="AV1046" s="6" t="str">
        <f>HYPERLINK("http://mcgill.on.worldcat.org/oclc/65286376","Catalog Record")</f>
        <v>Catalog Record</v>
      </c>
      <c r="AW1046" s="6" t="str">
        <f>HYPERLINK("http://www.worldcat.org/oclc/65286376","WorldCat Record")</f>
        <v>WorldCat Record</v>
      </c>
      <c r="AX1046" s="3" t="s">
        <v>10272</v>
      </c>
      <c r="AY1046" s="3" t="s">
        <v>10273</v>
      </c>
      <c r="AZ1046" s="3" t="s">
        <v>10274</v>
      </c>
      <c r="BA1046" s="3" t="s">
        <v>10274</v>
      </c>
      <c r="BB1046" s="3" t="s">
        <v>10275</v>
      </c>
      <c r="BC1046" s="3" t="s">
        <v>82</v>
      </c>
      <c r="BD1046" s="3" t="s">
        <v>538</v>
      </c>
      <c r="BE1046" s="3" t="s">
        <v>10276</v>
      </c>
      <c r="BF1046" s="3" t="s">
        <v>10275</v>
      </c>
      <c r="BG1046" s="3" t="s">
        <v>10277</v>
      </c>
    </row>
    <row r="1047" spans="1:59" ht="60" x14ac:dyDescent="0.25">
      <c r="A1047" s="2" t="s">
        <v>59</v>
      </c>
      <c r="B1047" s="2" t="s">
        <v>60</v>
      </c>
      <c r="C1047" s="2" t="s">
        <v>10278</v>
      </c>
      <c r="D1047" s="2" t="s">
        <v>10279</v>
      </c>
      <c r="E1047" s="2" t="s">
        <v>10280</v>
      </c>
      <c r="G1047" s="3" t="s">
        <v>63</v>
      </c>
      <c r="I1047" s="3" t="s">
        <v>62</v>
      </c>
      <c r="J1047" s="3" t="s">
        <v>63</v>
      </c>
      <c r="K1047" s="3" t="s">
        <v>64</v>
      </c>
      <c r="L1047" s="2" t="s">
        <v>10281</v>
      </c>
      <c r="M1047" s="2" t="s">
        <v>10282</v>
      </c>
      <c r="N1047" s="3" t="s">
        <v>480</v>
      </c>
      <c r="P1047" s="3" t="s">
        <v>66</v>
      </c>
      <c r="Q1047" s="2" t="s">
        <v>5294</v>
      </c>
      <c r="R1047" s="3" t="s">
        <v>67</v>
      </c>
      <c r="S1047" s="4">
        <v>9</v>
      </c>
      <c r="T1047" s="4">
        <v>30</v>
      </c>
      <c r="U1047" s="5" t="s">
        <v>1917</v>
      </c>
      <c r="V1047" s="5" t="s">
        <v>5503</v>
      </c>
      <c r="W1047" s="5" t="s">
        <v>69</v>
      </c>
      <c r="X1047" s="5" t="s">
        <v>69</v>
      </c>
      <c r="Y1047" s="4">
        <v>264</v>
      </c>
      <c r="Z1047" s="4">
        <v>18</v>
      </c>
      <c r="AA1047" s="4">
        <v>20</v>
      </c>
      <c r="AB1047" s="4">
        <v>1</v>
      </c>
      <c r="AC1047" s="4">
        <v>3</v>
      </c>
      <c r="AD1047" s="4">
        <v>98</v>
      </c>
      <c r="AE1047" s="4">
        <v>99</v>
      </c>
      <c r="AF1047" s="4">
        <v>0</v>
      </c>
      <c r="AG1047" s="4">
        <v>1</v>
      </c>
      <c r="AH1047" s="4">
        <v>90</v>
      </c>
      <c r="AI1047" s="4">
        <v>90</v>
      </c>
      <c r="AJ1047" s="4">
        <v>16</v>
      </c>
      <c r="AK1047" s="4">
        <v>17</v>
      </c>
      <c r="AL1047" s="4">
        <v>54</v>
      </c>
      <c r="AM1047" s="4">
        <v>54</v>
      </c>
      <c r="AN1047" s="4">
        <v>0</v>
      </c>
      <c r="AO1047" s="4">
        <v>0</v>
      </c>
      <c r="AP1047" s="4">
        <v>16</v>
      </c>
      <c r="AQ1047" s="4">
        <v>16</v>
      </c>
      <c r="AR1047" s="3" t="s">
        <v>63</v>
      </c>
      <c r="AS1047" s="3" t="s">
        <v>63</v>
      </c>
      <c r="AT1047" s="3" t="s">
        <v>62</v>
      </c>
      <c r="AU1047" s="6" t="str">
        <f>HYPERLINK("http://catalog.hathitrust.org/Record/002485353","HathiTrust Record")</f>
        <v>HathiTrust Record</v>
      </c>
      <c r="AV1047" s="6" t="str">
        <f>HYPERLINK("http://mcgill.on.worldcat.org/oclc/21592063","Catalog Record")</f>
        <v>Catalog Record</v>
      </c>
      <c r="AW1047" s="6" t="str">
        <f>HYPERLINK("http://www.worldcat.org/oclc/21592063","WorldCat Record")</f>
        <v>WorldCat Record</v>
      </c>
      <c r="AX1047" s="3" t="s">
        <v>10283</v>
      </c>
      <c r="AY1047" s="3" t="s">
        <v>10284</v>
      </c>
      <c r="AZ1047" s="3" t="s">
        <v>10285</v>
      </c>
      <c r="BA1047" s="3" t="s">
        <v>10285</v>
      </c>
      <c r="BB1047" s="3" t="s">
        <v>10286</v>
      </c>
      <c r="BC1047" s="3" t="s">
        <v>82</v>
      </c>
      <c r="BD1047" s="3" t="s">
        <v>538</v>
      </c>
      <c r="BE1047" s="3" t="s">
        <v>10287</v>
      </c>
      <c r="BF1047" s="3" t="s">
        <v>10286</v>
      </c>
      <c r="BG1047" s="3" t="s">
        <v>10288</v>
      </c>
    </row>
    <row r="1048" spans="1:59" ht="60" x14ac:dyDescent="0.25">
      <c r="A1048" s="2" t="s">
        <v>59</v>
      </c>
      <c r="B1048" s="2" t="s">
        <v>60</v>
      </c>
      <c r="C1048" s="2" t="s">
        <v>10278</v>
      </c>
      <c r="D1048" s="2" t="s">
        <v>10279</v>
      </c>
      <c r="E1048" s="2" t="s">
        <v>10280</v>
      </c>
      <c r="G1048" s="3" t="s">
        <v>63</v>
      </c>
      <c r="I1048" s="3" t="s">
        <v>62</v>
      </c>
      <c r="J1048" s="3" t="s">
        <v>63</v>
      </c>
      <c r="K1048" s="3" t="s">
        <v>64</v>
      </c>
      <c r="L1048" s="2" t="s">
        <v>10281</v>
      </c>
      <c r="M1048" s="2" t="s">
        <v>10282</v>
      </c>
      <c r="N1048" s="3" t="s">
        <v>480</v>
      </c>
      <c r="P1048" s="3" t="s">
        <v>66</v>
      </c>
      <c r="Q1048" s="2" t="s">
        <v>5294</v>
      </c>
      <c r="R1048" s="3" t="s">
        <v>67</v>
      </c>
      <c r="S1048" s="4">
        <v>21</v>
      </c>
      <c r="T1048" s="4">
        <v>30</v>
      </c>
      <c r="U1048" s="5" t="s">
        <v>5503</v>
      </c>
      <c r="V1048" s="5" t="s">
        <v>5503</v>
      </c>
      <c r="W1048" s="5" t="s">
        <v>69</v>
      </c>
      <c r="X1048" s="5" t="s">
        <v>69</v>
      </c>
      <c r="Y1048" s="4">
        <v>264</v>
      </c>
      <c r="Z1048" s="4">
        <v>18</v>
      </c>
      <c r="AA1048" s="4">
        <v>20</v>
      </c>
      <c r="AB1048" s="4">
        <v>1</v>
      </c>
      <c r="AC1048" s="4">
        <v>3</v>
      </c>
      <c r="AD1048" s="4">
        <v>98</v>
      </c>
      <c r="AE1048" s="4">
        <v>99</v>
      </c>
      <c r="AF1048" s="4">
        <v>0</v>
      </c>
      <c r="AG1048" s="4">
        <v>1</v>
      </c>
      <c r="AH1048" s="4">
        <v>90</v>
      </c>
      <c r="AI1048" s="4">
        <v>90</v>
      </c>
      <c r="AJ1048" s="4">
        <v>16</v>
      </c>
      <c r="AK1048" s="4">
        <v>17</v>
      </c>
      <c r="AL1048" s="4">
        <v>54</v>
      </c>
      <c r="AM1048" s="4">
        <v>54</v>
      </c>
      <c r="AN1048" s="4">
        <v>0</v>
      </c>
      <c r="AO1048" s="4">
        <v>0</v>
      </c>
      <c r="AP1048" s="4">
        <v>16</v>
      </c>
      <c r="AQ1048" s="4">
        <v>16</v>
      </c>
      <c r="AR1048" s="3" t="s">
        <v>63</v>
      </c>
      <c r="AS1048" s="3" t="s">
        <v>63</v>
      </c>
      <c r="AT1048" s="3" t="s">
        <v>62</v>
      </c>
      <c r="AU1048" s="6" t="str">
        <f>HYPERLINK("http://catalog.hathitrust.org/Record/002485353","HathiTrust Record")</f>
        <v>HathiTrust Record</v>
      </c>
      <c r="AV1048" s="6" t="str">
        <f>HYPERLINK("http://mcgill.on.worldcat.org/oclc/21592063","Catalog Record")</f>
        <v>Catalog Record</v>
      </c>
      <c r="AW1048" s="6" t="str">
        <f>HYPERLINK("http://www.worldcat.org/oclc/21592063","WorldCat Record")</f>
        <v>WorldCat Record</v>
      </c>
      <c r="AX1048" s="3" t="s">
        <v>10283</v>
      </c>
      <c r="AY1048" s="3" t="s">
        <v>10284</v>
      </c>
      <c r="AZ1048" s="3" t="s">
        <v>10285</v>
      </c>
      <c r="BA1048" s="3" t="s">
        <v>10285</v>
      </c>
      <c r="BB1048" s="3" t="s">
        <v>10289</v>
      </c>
      <c r="BC1048" s="3" t="s">
        <v>82</v>
      </c>
      <c r="BD1048" s="3" t="s">
        <v>70</v>
      </c>
      <c r="BE1048" s="3" t="s">
        <v>10287</v>
      </c>
      <c r="BF1048" s="3" t="s">
        <v>10289</v>
      </c>
      <c r="BG1048" s="3" t="s">
        <v>10290</v>
      </c>
    </row>
    <row r="1049" spans="1:59" ht="60" x14ac:dyDescent="0.25">
      <c r="A1049" s="2" t="s">
        <v>59</v>
      </c>
      <c r="B1049" s="2" t="s">
        <v>60</v>
      </c>
      <c r="C1049" s="2" t="s">
        <v>10291</v>
      </c>
      <c r="D1049" s="2" t="s">
        <v>10292</v>
      </c>
      <c r="E1049" s="2" t="s">
        <v>10293</v>
      </c>
      <c r="G1049" s="3" t="s">
        <v>63</v>
      </c>
      <c r="I1049" s="3" t="s">
        <v>63</v>
      </c>
      <c r="J1049" s="3" t="s">
        <v>63</v>
      </c>
      <c r="K1049" s="3" t="s">
        <v>64</v>
      </c>
      <c r="L1049" s="2" t="s">
        <v>10294</v>
      </c>
      <c r="M1049" s="2" t="s">
        <v>10295</v>
      </c>
      <c r="N1049" s="3" t="s">
        <v>2144</v>
      </c>
      <c r="P1049" s="3" t="s">
        <v>90</v>
      </c>
      <c r="Q1049" s="2" t="s">
        <v>10296</v>
      </c>
      <c r="R1049" s="3" t="s">
        <v>67</v>
      </c>
      <c r="S1049" s="4">
        <v>4</v>
      </c>
      <c r="T1049" s="4">
        <v>4</v>
      </c>
      <c r="U1049" s="5" t="s">
        <v>5503</v>
      </c>
      <c r="V1049" s="5" t="s">
        <v>5503</v>
      </c>
      <c r="W1049" s="5" t="s">
        <v>69</v>
      </c>
      <c r="X1049" s="5" t="s">
        <v>69</v>
      </c>
      <c r="Y1049" s="4">
        <v>100</v>
      </c>
      <c r="Z1049" s="4">
        <v>10</v>
      </c>
      <c r="AA1049" s="4">
        <v>10</v>
      </c>
      <c r="AB1049" s="4">
        <v>1</v>
      </c>
      <c r="AC1049" s="4">
        <v>1</v>
      </c>
      <c r="AD1049" s="4">
        <v>58</v>
      </c>
      <c r="AE1049" s="4">
        <v>58</v>
      </c>
      <c r="AF1049" s="4">
        <v>0</v>
      </c>
      <c r="AG1049" s="4">
        <v>0</v>
      </c>
      <c r="AH1049" s="4">
        <v>52</v>
      </c>
      <c r="AI1049" s="4">
        <v>52</v>
      </c>
      <c r="AJ1049" s="4">
        <v>8</v>
      </c>
      <c r="AK1049" s="4">
        <v>8</v>
      </c>
      <c r="AL1049" s="4">
        <v>41</v>
      </c>
      <c r="AM1049" s="4">
        <v>41</v>
      </c>
      <c r="AN1049" s="4">
        <v>0</v>
      </c>
      <c r="AO1049" s="4">
        <v>0</v>
      </c>
      <c r="AP1049" s="4">
        <v>8</v>
      </c>
      <c r="AQ1049" s="4">
        <v>8</v>
      </c>
      <c r="AR1049" s="3" t="s">
        <v>63</v>
      </c>
      <c r="AS1049" s="3" t="s">
        <v>63</v>
      </c>
      <c r="AT1049" s="3" t="s">
        <v>62</v>
      </c>
      <c r="AU1049" s="6" t="str">
        <f>HYPERLINK("http://catalog.hathitrust.org/Record/001059549","HathiTrust Record")</f>
        <v>HathiTrust Record</v>
      </c>
      <c r="AV1049" s="6" t="str">
        <f>HYPERLINK("http://mcgill.on.worldcat.org/oclc/6104529","Catalog Record")</f>
        <v>Catalog Record</v>
      </c>
      <c r="AW1049" s="6" t="str">
        <f>HYPERLINK("http://www.worldcat.org/oclc/6104529","WorldCat Record")</f>
        <v>WorldCat Record</v>
      </c>
      <c r="AX1049" s="3" t="s">
        <v>10297</v>
      </c>
      <c r="AY1049" s="3" t="s">
        <v>10298</v>
      </c>
      <c r="AZ1049" s="3" t="s">
        <v>10299</v>
      </c>
      <c r="BA1049" s="3" t="s">
        <v>10299</v>
      </c>
      <c r="BB1049" s="3" t="s">
        <v>10300</v>
      </c>
      <c r="BC1049" s="3" t="s">
        <v>82</v>
      </c>
      <c r="BD1049" s="3" t="s">
        <v>70</v>
      </c>
      <c r="BF1049" s="3" t="s">
        <v>10300</v>
      </c>
      <c r="BG1049" s="3" t="s">
        <v>10301</v>
      </c>
    </row>
    <row r="1050" spans="1:59" ht="90" x14ac:dyDescent="0.25">
      <c r="A1050" s="2" t="s">
        <v>59</v>
      </c>
      <c r="B1050" s="2" t="s">
        <v>60</v>
      </c>
      <c r="C1050" s="2" t="s">
        <v>10302</v>
      </c>
      <c r="D1050" s="2" t="s">
        <v>10303</v>
      </c>
      <c r="E1050" s="2" t="s">
        <v>10304</v>
      </c>
      <c r="G1050" s="3" t="s">
        <v>63</v>
      </c>
      <c r="I1050" s="3" t="s">
        <v>63</v>
      </c>
      <c r="J1050" s="3" t="s">
        <v>63</v>
      </c>
      <c r="K1050" s="3" t="s">
        <v>64</v>
      </c>
      <c r="L1050" s="2" t="s">
        <v>10305</v>
      </c>
      <c r="M1050" s="2" t="s">
        <v>10306</v>
      </c>
      <c r="N1050" s="3" t="s">
        <v>313</v>
      </c>
      <c r="P1050" s="3" t="s">
        <v>90</v>
      </c>
      <c r="R1050" s="3" t="s">
        <v>67</v>
      </c>
      <c r="S1050" s="4">
        <v>0</v>
      </c>
      <c r="T1050" s="4">
        <v>0</v>
      </c>
      <c r="W1050" s="5" t="s">
        <v>69</v>
      </c>
      <c r="X1050" s="5" t="s">
        <v>69</v>
      </c>
      <c r="Y1050" s="4">
        <v>15</v>
      </c>
      <c r="Z1050" s="4">
        <v>1</v>
      </c>
      <c r="AA1050" s="4">
        <v>1</v>
      </c>
      <c r="AB1050" s="4">
        <v>1</v>
      </c>
      <c r="AC1050" s="4">
        <v>1</v>
      </c>
      <c r="AD1050" s="4">
        <v>10</v>
      </c>
      <c r="AE1050" s="4">
        <v>10</v>
      </c>
      <c r="AF1050" s="4">
        <v>0</v>
      </c>
      <c r="AG1050" s="4">
        <v>0</v>
      </c>
      <c r="AH1050" s="4">
        <v>10</v>
      </c>
      <c r="AI1050" s="4">
        <v>10</v>
      </c>
      <c r="AJ1050" s="4">
        <v>0</v>
      </c>
      <c r="AK1050" s="4">
        <v>0</v>
      </c>
      <c r="AL1050" s="4">
        <v>10</v>
      </c>
      <c r="AM1050" s="4">
        <v>10</v>
      </c>
      <c r="AN1050" s="4">
        <v>0</v>
      </c>
      <c r="AO1050" s="4">
        <v>0</v>
      </c>
      <c r="AP1050" s="4">
        <v>0</v>
      </c>
      <c r="AQ1050" s="4">
        <v>0</v>
      </c>
      <c r="AR1050" s="3" t="s">
        <v>63</v>
      </c>
      <c r="AS1050" s="3" t="s">
        <v>63</v>
      </c>
      <c r="AT1050" s="3" t="s">
        <v>63</v>
      </c>
      <c r="AV1050" s="6" t="str">
        <f>HYPERLINK("http://mcgill.on.worldcat.org/oclc/711737750","Catalog Record")</f>
        <v>Catalog Record</v>
      </c>
      <c r="AW1050" s="6" t="str">
        <f>HYPERLINK("http://www.worldcat.org/oclc/711737750","WorldCat Record")</f>
        <v>WorldCat Record</v>
      </c>
      <c r="AX1050" s="3" t="s">
        <v>10307</v>
      </c>
      <c r="AY1050" s="3" t="s">
        <v>10308</v>
      </c>
      <c r="AZ1050" s="3" t="s">
        <v>10309</v>
      </c>
      <c r="BA1050" s="3" t="s">
        <v>10309</v>
      </c>
      <c r="BB1050" s="3" t="s">
        <v>10310</v>
      </c>
      <c r="BC1050" s="3" t="s">
        <v>82</v>
      </c>
      <c r="BD1050" s="3" t="s">
        <v>70</v>
      </c>
      <c r="BE1050" s="3" t="s">
        <v>10311</v>
      </c>
      <c r="BF1050" s="3" t="s">
        <v>10310</v>
      </c>
      <c r="BG1050" s="3" t="s">
        <v>10312</v>
      </c>
    </row>
    <row r="1051" spans="1:59" ht="60" x14ac:dyDescent="0.25">
      <c r="A1051" s="2" t="s">
        <v>59</v>
      </c>
      <c r="B1051" s="2" t="s">
        <v>60</v>
      </c>
      <c r="C1051" s="2" t="s">
        <v>10313</v>
      </c>
      <c r="D1051" s="2" t="s">
        <v>10314</v>
      </c>
      <c r="E1051" s="2" t="s">
        <v>10315</v>
      </c>
      <c r="G1051" s="3" t="s">
        <v>63</v>
      </c>
      <c r="I1051" s="3" t="s">
        <v>63</v>
      </c>
      <c r="J1051" s="3" t="s">
        <v>63</v>
      </c>
      <c r="K1051" s="3" t="s">
        <v>64</v>
      </c>
      <c r="L1051" s="2" t="s">
        <v>10316</v>
      </c>
      <c r="M1051" s="2" t="s">
        <v>10317</v>
      </c>
      <c r="N1051" s="3" t="s">
        <v>130</v>
      </c>
      <c r="P1051" s="3" t="s">
        <v>66</v>
      </c>
      <c r="Q1051" s="2" t="s">
        <v>10318</v>
      </c>
      <c r="R1051" s="3" t="s">
        <v>67</v>
      </c>
      <c r="S1051" s="4">
        <v>0</v>
      </c>
      <c r="T1051" s="4">
        <v>0</v>
      </c>
      <c r="W1051" s="5" t="s">
        <v>69</v>
      </c>
      <c r="X1051" s="5" t="s">
        <v>69</v>
      </c>
      <c r="Y1051" s="4">
        <v>92</v>
      </c>
      <c r="Z1051" s="4">
        <v>8</v>
      </c>
      <c r="AA1051" s="4">
        <v>88</v>
      </c>
      <c r="AB1051" s="4">
        <v>1</v>
      </c>
      <c r="AC1051" s="4">
        <v>17</v>
      </c>
      <c r="AD1051" s="4">
        <v>43</v>
      </c>
      <c r="AE1051" s="4">
        <v>131</v>
      </c>
      <c r="AF1051" s="4">
        <v>0</v>
      </c>
      <c r="AG1051" s="4">
        <v>8</v>
      </c>
      <c r="AH1051" s="4">
        <v>41</v>
      </c>
      <c r="AI1051" s="4">
        <v>94</v>
      </c>
      <c r="AJ1051" s="4">
        <v>5</v>
      </c>
      <c r="AK1051" s="4">
        <v>21</v>
      </c>
      <c r="AL1051" s="4">
        <v>29</v>
      </c>
      <c r="AM1051" s="4">
        <v>53</v>
      </c>
      <c r="AN1051" s="4">
        <v>0</v>
      </c>
      <c r="AO1051" s="4">
        <v>0</v>
      </c>
      <c r="AP1051" s="4">
        <v>5</v>
      </c>
      <c r="AQ1051" s="4">
        <v>43</v>
      </c>
      <c r="AR1051" s="3" t="s">
        <v>63</v>
      </c>
      <c r="AS1051" s="3" t="s">
        <v>63</v>
      </c>
      <c r="AT1051" s="3" t="s">
        <v>63</v>
      </c>
      <c r="AV1051" s="6" t="str">
        <f>HYPERLINK("http://mcgill.on.worldcat.org/oclc/858867927","Catalog Record")</f>
        <v>Catalog Record</v>
      </c>
      <c r="AW1051" s="6" t="str">
        <f>HYPERLINK("http://www.worldcat.org/oclc/858867927","WorldCat Record")</f>
        <v>WorldCat Record</v>
      </c>
      <c r="AX1051" s="3" t="s">
        <v>10319</v>
      </c>
      <c r="AY1051" s="3" t="s">
        <v>10320</v>
      </c>
      <c r="AZ1051" s="3" t="s">
        <v>10321</v>
      </c>
      <c r="BA1051" s="3" t="s">
        <v>10321</v>
      </c>
      <c r="BB1051" s="3" t="s">
        <v>10322</v>
      </c>
      <c r="BC1051" s="3" t="s">
        <v>82</v>
      </c>
      <c r="BD1051" s="3" t="s">
        <v>70</v>
      </c>
      <c r="BE1051" s="3" t="s">
        <v>10323</v>
      </c>
      <c r="BF1051" s="3" t="s">
        <v>10322</v>
      </c>
      <c r="BG1051" s="3" t="s">
        <v>10324</v>
      </c>
    </row>
    <row r="1052" spans="1:59" ht="60" x14ac:dyDescent="0.25">
      <c r="A1052" s="2" t="s">
        <v>59</v>
      </c>
      <c r="B1052" s="2" t="s">
        <v>60</v>
      </c>
      <c r="C1052" s="2" t="s">
        <v>10325</v>
      </c>
      <c r="D1052" s="2" t="s">
        <v>10326</v>
      </c>
      <c r="E1052" s="2" t="s">
        <v>10327</v>
      </c>
      <c r="G1052" s="3" t="s">
        <v>63</v>
      </c>
      <c r="I1052" s="3" t="s">
        <v>63</v>
      </c>
      <c r="J1052" s="3" t="s">
        <v>63</v>
      </c>
      <c r="K1052" s="3" t="s">
        <v>64</v>
      </c>
      <c r="L1052" s="2" t="s">
        <v>10328</v>
      </c>
      <c r="M1052" s="2" t="s">
        <v>10329</v>
      </c>
      <c r="N1052" s="3" t="s">
        <v>629</v>
      </c>
      <c r="P1052" s="3" t="s">
        <v>442</v>
      </c>
      <c r="R1052" s="3" t="s">
        <v>67</v>
      </c>
      <c r="S1052" s="4">
        <v>0</v>
      </c>
      <c r="T1052" s="4">
        <v>0</v>
      </c>
      <c r="W1052" s="5" t="s">
        <v>69</v>
      </c>
      <c r="X1052" s="5" t="s">
        <v>69</v>
      </c>
      <c r="Y1052" s="4">
        <v>11</v>
      </c>
      <c r="Z1052" s="4">
        <v>3</v>
      </c>
      <c r="AA1052" s="4">
        <v>3</v>
      </c>
      <c r="AB1052" s="4">
        <v>1</v>
      </c>
      <c r="AC1052" s="4">
        <v>1</v>
      </c>
      <c r="AD1052" s="4">
        <v>7</v>
      </c>
      <c r="AE1052" s="4">
        <v>7</v>
      </c>
      <c r="AF1052" s="4">
        <v>0</v>
      </c>
      <c r="AG1052" s="4">
        <v>0</v>
      </c>
      <c r="AH1052" s="4">
        <v>7</v>
      </c>
      <c r="AI1052" s="4">
        <v>7</v>
      </c>
      <c r="AJ1052" s="4">
        <v>1</v>
      </c>
      <c r="AK1052" s="4">
        <v>1</v>
      </c>
      <c r="AL1052" s="4">
        <v>6</v>
      </c>
      <c r="AM1052" s="4">
        <v>6</v>
      </c>
      <c r="AN1052" s="4">
        <v>0</v>
      </c>
      <c r="AO1052" s="4">
        <v>0</v>
      </c>
      <c r="AP1052" s="4">
        <v>1</v>
      </c>
      <c r="AQ1052" s="4">
        <v>1</v>
      </c>
      <c r="AR1052" s="3" t="s">
        <v>63</v>
      </c>
      <c r="AS1052" s="3" t="s">
        <v>63</v>
      </c>
      <c r="AT1052" s="3" t="s">
        <v>63</v>
      </c>
      <c r="AV1052" s="6" t="str">
        <f>HYPERLINK("http://mcgill.on.worldcat.org/oclc/747822139","Catalog Record")</f>
        <v>Catalog Record</v>
      </c>
      <c r="AW1052" s="6" t="str">
        <f>HYPERLINK("http://www.worldcat.org/oclc/747822139","WorldCat Record")</f>
        <v>WorldCat Record</v>
      </c>
      <c r="AX1052" s="3" t="s">
        <v>10330</v>
      </c>
      <c r="AY1052" s="3" t="s">
        <v>10331</v>
      </c>
      <c r="AZ1052" s="3" t="s">
        <v>10332</v>
      </c>
      <c r="BA1052" s="3" t="s">
        <v>10332</v>
      </c>
      <c r="BB1052" s="3" t="s">
        <v>10333</v>
      </c>
      <c r="BC1052" s="3" t="s">
        <v>82</v>
      </c>
      <c r="BD1052" s="3" t="s">
        <v>70</v>
      </c>
      <c r="BE1052" s="3" t="s">
        <v>10334</v>
      </c>
      <c r="BF1052" s="3" t="s">
        <v>10333</v>
      </c>
      <c r="BG1052" s="3" t="s">
        <v>10335</v>
      </c>
    </row>
    <row r="1053" spans="1:59" ht="60" x14ac:dyDescent="0.25">
      <c r="A1053" s="2" t="s">
        <v>59</v>
      </c>
      <c r="B1053" s="2" t="s">
        <v>60</v>
      </c>
      <c r="C1053" s="2" t="s">
        <v>10336</v>
      </c>
      <c r="D1053" s="2" t="s">
        <v>10337</v>
      </c>
      <c r="E1053" s="2" t="s">
        <v>10338</v>
      </c>
      <c r="G1053" s="3" t="s">
        <v>63</v>
      </c>
      <c r="I1053" s="3" t="s">
        <v>63</v>
      </c>
      <c r="J1053" s="3" t="s">
        <v>63</v>
      </c>
      <c r="K1053" s="3" t="s">
        <v>64</v>
      </c>
      <c r="L1053" s="2" t="s">
        <v>10339</v>
      </c>
      <c r="M1053" s="2" t="s">
        <v>10340</v>
      </c>
      <c r="N1053" s="3" t="s">
        <v>313</v>
      </c>
      <c r="P1053" s="3" t="s">
        <v>66</v>
      </c>
      <c r="Q1053" s="2" t="s">
        <v>3902</v>
      </c>
      <c r="R1053" s="3" t="s">
        <v>67</v>
      </c>
      <c r="S1053" s="4">
        <v>0</v>
      </c>
      <c r="T1053" s="4">
        <v>0</v>
      </c>
      <c r="W1053" s="5" t="s">
        <v>69</v>
      </c>
      <c r="X1053" s="5" t="s">
        <v>69</v>
      </c>
      <c r="Y1053" s="4">
        <v>119</v>
      </c>
      <c r="Z1053" s="4">
        <v>9</v>
      </c>
      <c r="AA1053" s="4">
        <v>15</v>
      </c>
      <c r="AB1053" s="4">
        <v>1</v>
      </c>
      <c r="AC1053" s="4">
        <v>5</v>
      </c>
      <c r="AD1053" s="4">
        <v>68</v>
      </c>
      <c r="AE1053" s="4">
        <v>75</v>
      </c>
      <c r="AF1053" s="4">
        <v>0</v>
      </c>
      <c r="AG1053" s="4">
        <v>1</v>
      </c>
      <c r="AH1053" s="4">
        <v>65</v>
      </c>
      <c r="AI1053" s="4">
        <v>69</v>
      </c>
      <c r="AJ1053" s="4">
        <v>7</v>
      </c>
      <c r="AK1053" s="4">
        <v>8</v>
      </c>
      <c r="AL1053" s="4">
        <v>44</v>
      </c>
      <c r="AM1053" s="4">
        <v>46</v>
      </c>
      <c r="AN1053" s="4">
        <v>0</v>
      </c>
      <c r="AO1053" s="4">
        <v>0</v>
      </c>
      <c r="AP1053" s="4">
        <v>7</v>
      </c>
      <c r="AQ1053" s="4">
        <v>10</v>
      </c>
      <c r="AR1053" s="3" t="s">
        <v>63</v>
      </c>
      <c r="AS1053" s="3" t="s">
        <v>63</v>
      </c>
      <c r="AT1053" s="3" t="s">
        <v>63</v>
      </c>
      <c r="AV1053" s="6" t="str">
        <f>HYPERLINK("http://mcgill.on.worldcat.org/oclc/449859203","Catalog Record")</f>
        <v>Catalog Record</v>
      </c>
      <c r="AW1053" s="6" t="str">
        <f>HYPERLINK("http://www.worldcat.org/oclc/449859203","WorldCat Record")</f>
        <v>WorldCat Record</v>
      </c>
      <c r="AX1053" s="3" t="s">
        <v>10341</v>
      </c>
      <c r="AY1053" s="3" t="s">
        <v>10342</v>
      </c>
      <c r="AZ1053" s="3" t="s">
        <v>10343</v>
      </c>
      <c r="BA1053" s="3" t="s">
        <v>10343</v>
      </c>
      <c r="BB1053" s="3" t="s">
        <v>10344</v>
      </c>
      <c r="BC1053" s="3" t="s">
        <v>82</v>
      </c>
      <c r="BD1053" s="3" t="s">
        <v>70</v>
      </c>
      <c r="BE1053" s="3" t="s">
        <v>10345</v>
      </c>
      <c r="BF1053" s="3" t="s">
        <v>10344</v>
      </c>
      <c r="BG1053" s="3" t="s">
        <v>10346</v>
      </c>
    </row>
    <row r="1054" spans="1:59" ht="60" x14ac:dyDescent="0.25">
      <c r="A1054" s="2" t="s">
        <v>59</v>
      </c>
      <c r="B1054" s="2" t="s">
        <v>60</v>
      </c>
      <c r="C1054" s="2" t="s">
        <v>10347</v>
      </c>
      <c r="D1054" s="2" t="s">
        <v>10348</v>
      </c>
      <c r="E1054" s="2" t="s">
        <v>10349</v>
      </c>
      <c r="G1054" s="3" t="s">
        <v>63</v>
      </c>
      <c r="I1054" s="3" t="s">
        <v>63</v>
      </c>
      <c r="J1054" s="3" t="s">
        <v>63</v>
      </c>
      <c r="K1054" s="3" t="s">
        <v>64</v>
      </c>
      <c r="L1054" s="2" t="s">
        <v>10350</v>
      </c>
      <c r="M1054" s="2" t="s">
        <v>10351</v>
      </c>
      <c r="N1054" s="3" t="s">
        <v>106</v>
      </c>
      <c r="P1054" s="3" t="s">
        <v>90</v>
      </c>
      <c r="Q1054" s="2" t="s">
        <v>10352</v>
      </c>
      <c r="R1054" s="3" t="s">
        <v>67</v>
      </c>
      <c r="S1054" s="4">
        <v>0</v>
      </c>
      <c r="T1054" s="4">
        <v>0</v>
      </c>
      <c r="W1054" s="5" t="s">
        <v>69</v>
      </c>
      <c r="X1054" s="5" t="s">
        <v>69</v>
      </c>
      <c r="Y1054" s="4">
        <v>35</v>
      </c>
      <c r="Z1054" s="4">
        <v>4</v>
      </c>
      <c r="AA1054" s="4">
        <v>4</v>
      </c>
      <c r="AB1054" s="4">
        <v>1</v>
      </c>
      <c r="AC1054" s="4">
        <v>1</v>
      </c>
      <c r="AD1054" s="4">
        <v>26</v>
      </c>
      <c r="AE1054" s="4">
        <v>26</v>
      </c>
      <c r="AF1054" s="4">
        <v>0</v>
      </c>
      <c r="AG1054" s="4">
        <v>0</v>
      </c>
      <c r="AH1054" s="4">
        <v>25</v>
      </c>
      <c r="AI1054" s="4">
        <v>25</v>
      </c>
      <c r="AJ1054" s="4">
        <v>2</v>
      </c>
      <c r="AK1054" s="4">
        <v>2</v>
      </c>
      <c r="AL1054" s="4">
        <v>21</v>
      </c>
      <c r="AM1054" s="4">
        <v>21</v>
      </c>
      <c r="AN1054" s="4">
        <v>0</v>
      </c>
      <c r="AO1054" s="4">
        <v>0</v>
      </c>
      <c r="AP1054" s="4">
        <v>2</v>
      </c>
      <c r="AQ1054" s="4">
        <v>2</v>
      </c>
      <c r="AR1054" s="3" t="s">
        <v>63</v>
      </c>
      <c r="AS1054" s="3" t="s">
        <v>63</v>
      </c>
      <c r="AT1054" s="3" t="s">
        <v>63</v>
      </c>
      <c r="AV1054" s="6" t="str">
        <f>HYPERLINK("http://mcgill.on.worldcat.org/oclc/950003249","Catalog Record")</f>
        <v>Catalog Record</v>
      </c>
      <c r="AW1054" s="6" t="str">
        <f>HYPERLINK("http://www.worldcat.org/oclc/950003249","WorldCat Record")</f>
        <v>WorldCat Record</v>
      </c>
      <c r="AX1054" s="3" t="s">
        <v>10353</v>
      </c>
      <c r="AY1054" s="3" t="s">
        <v>10354</v>
      </c>
      <c r="AZ1054" s="3" t="s">
        <v>10355</v>
      </c>
      <c r="BA1054" s="3" t="s">
        <v>10355</v>
      </c>
      <c r="BB1054" s="3" t="s">
        <v>10356</v>
      </c>
      <c r="BC1054" s="3" t="s">
        <v>82</v>
      </c>
      <c r="BD1054" s="3" t="s">
        <v>70</v>
      </c>
      <c r="BE1054" s="3" t="s">
        <v>10357</v>
      </c>
      <c r="BF1054" s="3" t="s">
        <v>10356</v>
      </c>
      <c r="BG1054" s="3" t="s">
        <v>10358</v>
      </c>
    </row>
    <row r="1055" spans="1:59" ht="60" x14ac:dyDescent="0.25">
      <c r="A1055" s="2" t="s">
        <v>59</v>
      </c>
      <c r="B1055" s="2" t="s">
        <v>60</v>
      </c>
      <c r="C1055" s="2" t="s">
        <v>10359</v>
      </c>
      <c r="D1055" s="2" t="s">
        <v>10360</v>
      </c>
      <c r="E1055" s="2" t="s">
        <v>10361</v>
      </c>
      <c r="G1055" s="3" t="s">
        <v>63</v>
      </c>
      <c r="I1055" s="3" t="s">
        <v>63</v>
      </c>
      <c r="J1055" s="3" t="s">
        <v>63</v>
      </c>
      <c r="K1055" s="3" t="s">
        <v>64</v>
      </c>
      <c r="L1055" s="2" t="s">
        <v>10362</v>
      </c>
      <c r="M1055" s="2" t="s">
        <v>10363</v>
      </c>
      <c r="N1055" s="3" t="s">
        <v>1418</v>
      </c>
      <c r="P1055" s="3" t="s">
        <v>90</v>
      </c>
      <c r="Q1055" s="2" t="s">
        <v>10364</v>
      </c>
      <c r="R1055" s="3" t="s">
        <v>67</v>
      </c>
      <c r="S1055" s="4">
        <v>4</v>
      </c>
      <c r="T1055" s="4">
        <v>4</v>
      </c>
      <c r="U1055" s="5" t="s">
        <v>404</v>
      </c>
      <c r="V1055" s="5" t="s">
        <v>404</v>
      </c>
      <c r="W1055" s="5" t="s">
        <v>69</v>
      </c>
      <c r="X1055" s="5" t="s">
        <v>69</v>
      </c>
      <c r="Y1055" s="4">
        <v>16</v>
      </c>
      <c r="Z1055" s="4">
        <v>2</v>
      </c>
      <c r="AA1055" s="4">
        <v>5</v>
      </c>
      <c r="AB1055" s="4">
        <v>1</v>
      </c>
      <c r="AC1055" s="4">
        <v>1</v>
      </c>
      <c r="AD1055" s="4">
        <v>7</v>
      </c>
      <c r="AE1055" s="4">
        <v>24</v>
      </c>
      <c r="AF1055" s="4">
        <v>0</v>
      </c>
      <c r="AG1055" s="4">
        <v>0</v>
      </c>
      <c r="AH1055" s="4">
        <v>7</v>
      </c>
      <c r="AI1055" s="4">
        <v>21</v>
      </c>
      <c r="AJ1055" s="4">
        <v>1</v>
      </c>
      <c r="AK1055" s="4">
        <v>3</v>
      </c>
      <c r="AL1055" s="4">
        <v>5</v>
      </c>
      <c r="AM1055" s="4">
        <v>14</v>
      </c>
      <c r="AN1055" s="4">
        <v>0</v>
      </c>
      <c r="AO1055" s="4">
        <v>0</v>
      </c>
      <c r="AP1055" s="4">
        <v>1</v>
      </c>
      <c r="AQ1055" s="4">
        <v>3</v>
      </c>
      <c r="AR1055" s="3" t="s">
        <v>63</v>
      </c>
      <c r="AS1055" s="3" t="s">
        <v>63</v>
      </c>
      <c r="AT1055" s="3" t="s">
        <v>63</v>
      </c>
      <c r="AV1055" s="6" t="str">
        <f>HYPERLINK("http://mcgill.on.worldcat.org/oclc/19252726","Catalog Record")</f>
        <v>Catalog Record</v>
      </c>
      <c r="AW1055" s="6" t="str">
        <f>HYPERLINK("http://www.worldcat.org/oclc/19252726","WorldCat Record")</f>
        <v>WorldCat Record</v>
      </c>
      <c r="AX1055" s="3" t="s">
        <v>10365</v>
      </c>
      <c r="AY1055" s="3" t="s">
        <v>10366</v>
      </c>
      <c r="AZ1055" s="3" t="s">
        <v>10367</v>
      </c>
      <c r="BA1055" s="3" t="s">
        <v>10367</v>
      </c>
      <c r="BB1055" s="3" t="s">
        <v>10368</v>
      </c>
      <c r="BC1055" s="3" t="s">
        <v>82</v>
      </c>
      <c r="BD1055" s="3" t="s">
        <v>70</v>
      </c>
      <c r="BF1055" s="3" t="s">
        <v>10368</v>
      </c>
      <c r="BG1055" s="3" t="s">
        <v>10369</v>
      </c>
    </row>
    <row r="1056" spans="1:59" ht="60" x14ac:dyDescent="0.25">
      <c r="A1056" s="2" t="s">
        <v>59</v>
      </c>
      <c r="B1056" s="2" t="s">
        <v>60</v>
      </c>
      <c r="C1056" s="2" t="s">
        <v>10370</v>
      </c>
      <c r="D1056" s="2" t="s">
        <v>10371</v>
      </c>
      <c r="E1056" s="2" t="s">
        <v>10372</v>
      </c>
      <c r="G1056" s="3" t="s">
        <v>63</v>
      </c>
      <c r="I1056" s="3" t="s">
        <v>63</v>
      </c>
      <c r="J1056" s="3" t="s">
        <v>63</v>
      </c>
      <c r="K1056" s="3" t="s">
        <v>64</v>
      </c>
      <c r="L1056" s="2" t="s">
        <v>10362</v>
      </c>
      <c r="M1056" s="2" t="s">
        <v>10373</v>
      </c>
      <c r="N1056" s="3" t="s">
        <v>1418</v>
      </c>
      <c r="P1056" s="3" t="s">
        <v>90</v>
      </c>
      <c r="R1056" s="3" t="s">
        <v>67</v>
      </c>
      <c r="S1056" s="4">
        <v>1</v>
      </c>
      <c r="T1056" s="4">
        <v>1</v>
      </c>
      <c r="U1056" s="5" t="s">
        <v>3208</v>
      </c>
      <c r="V1056" s="5" t="s">
        <v>3208</v>
      </c>
      <c r="W1056" s="5" t="s">
        <v>69</v>
      </c>
      <c r="X1056" s="5" t="s">
        <v>69</v>
      </c>
      <c r="Y1056" s="4">
        <v>40</v>
      </c>
      <c r="Z1056" s="4">
        <v>3</v>
      </c>
      <c r="AA1056" s="4">
        <v>4</v>
      </c>
      <c r="AB1056" s="4">
        <v>1</v>
      </c>
      <c r="AC1056" s="4">
        <v>1</v>
      </c>
      <c r="AD1056" s="4">
        <v>31</v>
      </c>
      <c r="AE1056" s="4">
        <v>37</v>
      </c>
      <c r="AF1056" s="4">
        <v>0</v>
      </c>
      <c r="AG1056" s="4">
        <v>0</v>
      </c>
      <c r="AH1056" s="4">
        <v>29</v>
      </c>
      <c r="AI1056" s="4">
        <v>35</v>
      </c>
      <c r="AJ1056" s="4">
        <v>2</v>
      </c>
      <c r="AK1056" s="4">
        <v>2</v>
      </c>
      <c r="AL1056" s="4">
        <v>26</v>
      </c>
      <c r="AM1056" s="4">
        <v>29</v>
      </c>
      <c r="AN1056" s="4">
        <v>0</v>
      </c>
      <c r="AO1056" s="4">
        <v>0</v>
      </c>
      <c r="AP1056" s="4">
        <v>2</v>
      </c>
      <c r="AQ1056" s="4">
        <v>2</v>
      </c>
      <c r="AR1056" s="3" t="s">
        <v>63</v>
      </c>
      <c r="AS1056" s="3" t="s">
        <v>63</v>
      </c>
      <c r="AT1056" s="3" t="s">
        <v>62</v>
      </c>
      <c r="AU1056" s="6" t="str">
        <f>HYPERLINK("http://catalog.hathitrust.org/Record/001082100","HathiTrust Record")</f>
        <v>HathiTrust Record</v>
      </c>
      <c r="AV1056" s="6" t="str">
        <f>HYPERLINK("http://mcgill.on.worldcat.org/oclc/18293498","Catalog Record")</f>
        <v>Catalog Record</v>
      </c>
      <c r="AW1056" s="6" t="str">
        <f>HYPERLINK("http://www.worldcat.org/oclc/18293498","WorldCat Record")</f>
        <v>WorldCat Record</v>
      </c>
      <c r="AX1056" s="3" t="s">
        <v>10374</v>
      </c>
      <c r="AY1056" s="3" t="s">
        <v>10375</v>
      </c>
      <c r="AZ1056" s="3" t="s">
        <v>10376</v>
      </c>
      <c r="BA1056" s="3" t="s">
        <v>10376</v>
      </c>
      <c r="BB1056" s="3" t="s">
        <v>10377</v>
      </c>
      <c r="BC1056" s="3" t="s">
        <v>82</v>
      </c>
      <c r="BD1056" s="3" t="s">
        <v>70</v>
      </c>
      <c r="BF1056" s="3" t="s">
        <v>10377</v>
      </c>
      <c r="BG1056" s="3" t="s">
        <v>10378</v>
      </c>
    </row>
    <row r="1057" spans="1:59" ht="60" x14ac:dyDescent="0.25">
      <c r="A1057" s="2" t="s">
        <v>59</v>
      </c>
      <c r="B1057" s="2" t="s">
        <v>60</v>
      </c>
      <c r="C1057" s="2" t="s">
        <v>10379</v>
      </c>
      <c r="D1057" s="2" t="s">
        <v>10380</v>
      </c>
      <c r="E1057" s="2" t="s">
        <v>10381</v>
      </c>
      <c r="G1057" s="3" t="s">
        <v>63</v>
      </c>
      <c r="I1057" s="3" t="s">
        <v>63</v>
      </c>
      <c r="J1057" s="3" t="s">
        <v>63</v>
      </c>
      <c r="K1057" s="3" t="s">
        <v>64</v>
      </c>
      <c r="L1057" s="2" t="s">
        <v>10382</v>
      </c>
      <c r="M1057" s="2" t="s">
        <v>10383</v>
      </c>
      <c r="N1057" s="3" t="s">
        <v>2765</v>
      </c>
      <c r="P1057" s="3" t="s">
        <v>66</v>
      </c>
      <c r="Q1057" s="2" t="s">
        <v>10384</v>
      </c>
      <c r="R1057" s="3" t="s">
        <v>67</v>
      </c>
      <c r="S1057" s="4">
        <v>0</v>
      </c>
      <c r="T1057" s="4">
        <v>0</v>
      </c>
      <c r="W1057" s="5" t="s">
        <v>69</v>
      </c>
      <c r="X1057" s="5" t="s">
        <v>69</v>
      </c>
      <c r="Y1057" s="4">
        <v>44</v>
      </c>
      <c r="Z1057" s="4">
        <v>5</v>
      </c>
      <c r="AA1057" s="4">
        <v>8</v>
      </c>
      <c r="AB1057" s="4">
        <v>1</v>
      </c>
      <c r="AC1057" s="4">
        <v>3</v>
      </c>
      <c r="AD1057" s="4">
        <v>26</v>
      </c>
      <c r="AE1057" s="4">
        <v>27</v>
      </c>
      <c r="AF1057" s="4">
        <v>0</v>
      </c>
      <c r="AG1057" s="4">
        <v>0</v>
      </c>
      <c r="AH1057" s="4">
        <v>25</v>
      </c>
      <c r="AI1057" s="4">
        <v>26</v>
      </c>
      <c r="AJ1057" s="4">
        <v>2</v>
      </c>
      <c r="AK1057" s="4">
        <v>3</v>
      </c>
      <c r="AL1057" s="4">
        <v>21</v>
      </c>
      <c r="AM1057" s="4">
        <v>21</v>
      </c>
      <c r="AN1057" s="4">
        <v>0</v>
      </c>
      <c r="AO1057" s="4">
        <v>0</v>
      </c>
      <c r="AP1057" s="4">
        <v>2</v>
      </c>
      <c r="AQ1057" s="4">
        <v>3</v>
      </c>
      <c r="AR1057" s="3" t="s">
        <v>63</v>
      </c>
      <c r="AS1057" s="3" t="s">
        <v>63</v>
      </c>
      <c r="AT1057" s="3" t="s">
        <v>63</v>
      </c>
      <c r="AV1057" s="6" t="str">
        <f>HYPERLINK("http://mcgill.on.worldcat.org/oclc/921239382","Catalog Record")</f>
        <v>Catalog Record</v>
      </c>
      <c r="AW1057" s="6" t="str">
        <f>HYPERLINK("http://www.worldcat.org/oclc/921239382","WorldCat Record")</f>
        <v>WorldCat Record</v>
      </c>
      <c r="AX1057" s="3" t="s">
        <v>10385</v>
      </c>
      <c r="AY1057" s="3" t="s">
        <v>10386</v>
      </c>
      <c r="AZ1057" s="3" t="s">
        <v>10387</v>
      </c>
      <c r="BA1057" s="3" t="s">
        <v>10387</v>
      </c>
      <c r="BB1057" s="3" t="s">
        <v>10388</v>
      </c>
      <c r="BC1057" s="3" t="s">
        <v>82</v>
      </c>
      <c r="BD1057" s="3" t="s">
        <v>70</v>
      </c>
      <c r="BE1057" s="3" t="s">
        <v>10389</v>
      </c>
      <c r="BF1057" s="3" t="s">
        <v>10388</v>
      </c>
      <c r="BG1057" s="3" t="s">
        <v>10390</v>
      </c>
    </row>
    <row r="1058" spans="1:59" ht="60" x14ac:dyDescent="0.25">
      <c r="A1058" s="2" t="s">
        <v>59</v>
      </c>
      <c r="B1058" s="2" t="s">
        <v>60</v>
      </c>
      <c r="C1058" s="2" t="s">
        <v>10391</v>
      </c>
      <c r="D1058" s="2" t="s">
        <v>10392</v>
      </c>
      <c r="E1058" s="2" t="s">
        <v>10393</v>
      </c>
      <c r="G1058" s="3" t="s">
        <v>63</v>
      </c>
      <c r="I1058" s="3" t="s">
        <v>63</v>
      </c>
      <c r="J1058" s="3" t="s">
        <v>63</v>
      </c>
      <c r="K1058" s="3" t="s">
        <v>64</v>
      </c>
      <c r="L1058" s="2" t="s">
        <v>10394</v>
      </c>
      <c r="M1058" s="2" t="s">
        <v>10395</v>
      </c>
      <c r="N1058" s="3" t="s">
        <v>918</v>
      </c>
      <c r="P1058" s="3" t="s">
        <v>90</v>
      </c>
      <c r="R1058" s="3" t="s">
        <v>67</v>
      </c>
      <c r="S1058" s="4">
        <v>17</v>
      </c>
      <c r="T1058" s="4">
        <v>17</v>
      </c>
      <c r="U1058" s="5" t="s">
        <v>2925</v>
      </c>
      <c r="V1058" s="5" t="s">
        <v>2925</v>
      </c>
      <c r="W1058" s="5" t="s">
        <v>69</v>
      </c>
      <c r="X1058" s="5" t="s">
        <v>69</v>
      </c>
      <c r="Y1058" s="4">
        <v>26</v>
      </c>
      <c r="Z1058" s="4">
        <v>3</v>
      </c>
      <c r="AA1058" s="4">
        <v>10</v>
      </c>
      <c r="AB1058" s="4">
        <v>1</v>
      </c>
      <c r="AC1058" s="4">
        <v>1</v>
      </c>
      <c r="AD1058" s="4">
        <v>13</v>
      </c>
      <c r="AE1058" s="4">
        <v>64</v>
      </c>
      <c r="AF1058" s="4">
        <v>0</v>
      </c>
      <c r="AG1058" s="4">
        <v>0</v>
      </c>
      <c r="AH1058" s="4">
        <v>13</v>
      </c>
      <c r="AI1058" s="4">
        <v>60</v>
      </c>
      <c r="AJ1058" s="4">
        <v>2</v>
      </c>
      <c r="AK1058" s="4">
        <v>7</v>
      </c>
      <c r="AL1058" s="4">
        <v>5</v>
      </c>
      <c r="AM1058" s="4">
        <v>34</v>
      </c>
      <c r="AN1058" s="4">
        <v>0</v>
      </c>
      <c r="AO1058" s="4">
        <v>0</v>
      </c>
      <c r="AP1058" s="4">
        <v>2</v>
      </c>
      <c r="AQ1058" s="4">
        <v>7</v>
      </c>
      <c r="AR1058" s="3" t="s">
        <v>63</v>
      </c>
      <c r="AS1058" s="3" t="s">
        <v>63</v>
      </c>
      <c r="AT1058" s="3" t="s">
        <v>62</v>
      </c>
      <c r="AU1058" s="6" t="str">
        <f>HYPERLINK("http://catalog.hathitrust.org/Record/101860209","HathiTrust Record")</f>
        <v>HathiTrust Record</v>
      </c>
      <c r="AV1058" s="6" t="str">
        <f>HYPERLINK("http://mcgill.on.worldcat.org/oclc/9897604","Catalog Record")</f>
        <v>Catalog Record</v>
      </c>
      <c r="AW1058" s="6" t="str">
        <f>HYPERLINK("http://www.worldcat.org/oclc/9897604","WorldCat Record")</f>
        <v>WorldCat Record</v>
      </c>
      <c r="AX1058" s="3" t="s">
        <v>10396</v>
      </c>
      <c r="AY1058" s="3" t="s">
        <v>10397</v>
      </c>
      <c r="AZ1058" s="3" t="s">
        <v>10398</v>
      </c>
      <c r="BA1058" s="3" t="s">
        <v>10398</v>
      </c>
      <c r="BB1058" s="3" t="s">
        <v>10399</v>
      </c>
      <c r="BC1058" s="3" t="s">
        <v>82</v>
      </c>
      <c r="BD1058" s="3" t="s">
        <v>70</v>
      </c>
      <c r="BF1058" s="3" t="s">
        <v>10399</v>
      </c>
      <c r="BG1058" s="3" t="s">
        <v>10400</v>
      </c>
    </row>
    <row r="1059" spans="1:59" ht="60" x14ac:dyDescent="0.25">
      <c r="A1059" s="2" t="s">
        <v>59</v>
      </c>
      <c r="B1059" s="2" t="s">
        <v>60</v>
      </c>
      <c r="C1059" s="2" t="s">
        <v>10401</v>
      </c>
      <c r="D1059" s="2" t="s">
        <v>10402</v>
      </c>
      <c r="E1059" s="2" t="s">
        <v>10403</v>
      </c>
      <c r="G1059" s="3" t="s">
        <v>63</v>
      </c>
      <c r="I1059" s="3" t="s">
        <v>62</v>
      </c>
      <c r="J1059" s="3" t="s">
        <v>62</v>
      </c>
      <c r="K1059" s="3" t="s">
        <v>10404</v>
      </c>
      <c r="L1059" s="2" t="s">
        <v>10394</v>
      </c>
      <c r="M1059" s="2" t="s">
        <v>10405</v>
      </c>
      <c r="N1059" s="3" t="s">
        <v>161</v>
      </c>
      <c r="P1059" s="3" t="s">
        <v>66</v>
      </c>
      <c r="R1059" s="3" t="s">
        <v>67</v>
      </c>
      <c r="S1059" s="4">
        <v>0</v>
      </c>
      <c r="T1059" s="4">
        <v>1</v>
      </c>
      <c r="V1059" s="5" t="s">
        <v>3755</v>
      </c>
      <c r="W1059" s="5" t="s">
        <v>10406</v>
      </c>
      <c r="X1059" s="5" t="s">
        <v>10406</v>
      </c>
      <c r="Y1059" s="4">
        <v>471</v>
      </c>
      <c r="Z1059" s="4">
        <v>19</v>
      </c>
      <c r="AA1059" s="4">
        <v>60</v>
      </c>
      <c r="AB1059" s="4">
        <v>1</v>
      </c>
      <c r="AC1059" s="4">
        <v>5</v>
      </c>
      <c r="AD1059" s="4">
        <v>102</v>
      </c>
      <c r="AE1059" s="4">
        <v>141</v>
      </c>
      <c r="AF1059" s="4">
        <v>0</v>
      </c>
      <c r="AG1059" s="4">
        <v>1</v>
      </c>
      <c r="AH1059" s="4">
        <v>95</v>
      </c>
      <c r="AI1059" s="4">
        <v>113</v>
      </c>
      <c r="AJ1059" s="4">
        <v>10</v>
      </c>
      <c r="AK1059" s="4">
        <v>19</v>
      </c>
      <c r="AL1059" s="4">
        <v>50</v>
      </c>
      <c r="AM1059" s="4">
        <v>61</v>
      </c>
      <c r="AN1059" s="4">
        <v>0</v>
      </c>
      <c r="AO1059" s="4">
        <v>0</v>
      </c>
      <c r="AP1059" s="4">
        <v>13</v>
      </c>
      <c r="AQ1059" s="4">
        <v>35</v>
      </c>
      <c r="AR1059" s="3" t="s">
        <v>63</v>
      </c>
      <c r="AS1059" s="3" t="s">
        <v>63</v>
      </c>
      <c r="AT1059" s="3" t="s">
        <v>62</v>
      </c>
      <c r="AU1059" s="6" t="str">
        <f>HYPERLINK("http://catalog.hathitrust.org/Record/001105746","HathiTrust Record")</f>
        <v>HathiTrust Record</v>
      </c>
      <c r="AV1059" s="6" t="str">
        <f>HYPERLINK("http://mcgill.on.worldcat.org/oclc/18222188","Catalog Record")</f>
        <v>Catalog Record</v>
      </c>
      <c r="AW1059" s="6" t="str">
        <f>HYPERLINK("http://www.worldcat.org/oclc/18222188","WorldCat Record")</f>
        <v>WorldCat Record</v>
      </c>
      <c r="AX1059" s="3" t="s">
        <v>10407</v>
      </c>
      <c r="AY1059" s="3" t="s">
        <v>10408</v>
      </c>
      <c r="AZ1059" s="3" t="s">
        <v>10409</v>
      </c>
      <c r="BA1059" s="3" t="s">
        <v>10409</v>
      </c>
      <c r="BB1059" s="3" t="s">
        <v>10410</v>
      </c>
      <c r="BC1059" s="3" t="s">
        <v>82</v>
      </c>
      <c r="BD1059" s="3" t="s">
        <v>70</v>
      </c>
      <c r="BE1059" s="3" t="s">
        <v>10411</v>
      </c>
      <c r="BF1059" s="3" t="s">
        <v>10410</v>
      </c>
      <c r="BG1059" s="3" t="s">
        <v>10412</v>
      </c>
    </row>
    <row r="1060" spans="1:59" ht="60" x14ac:dyDescent="0.25">
      <c r="A1060" s="2" t="s">
        <v>59</v>
      </c>
      <c r="B1060" s="2" t="s">
        <v>60</v>
      </c>
      <c r="C1060" s="2" t="s">
        <v>10413</v>
      </c>
      <c r="D1060" s="2" t="s">
        <v>10414</v>
      </c>
      <c r="E1060" s="2" t="s">
        <v>10415</v>
      </c>
      <c r="G1060" s="3" t="s">
        <v>63</v>
      </c>
      <c r="I1060" s="3" t="s">
        <v>62</v>
      </c>
      <c r="J1060" s="3" t="s">
        <v>62</v>
      </c>
      <c r="K1060" s="3" t="s">
        <v>10404</v>
      </c>
      <c r="L1060" s="2" t="s">
        <v>10394</v>
      </c>
      <c r="M1060" s="2" t="s">
        <v>10416</v>
      </c>
      <c r="N1060" s="3" t="s">
        <v>706</v>
      </c>
      <c r="P1060" s="3" t="s">
        <v>66</v>
      </c>
      <c r="R1060" s="3" t="s">
        <v>67</v>
      </c>
      <c r="S1060" s="4">
        <v>46</v>
      </c>
      <c r="T1060" s="4">
        <v>97</v>
      </c>
      <c r="U1060" s="5" t="s">
        <v>10417</v>
      </c>
      <c r="V1060" s="5" t="s">
        <v>10418</v>
      </c>
      <c r="W1060" s="5" t="s">
        <v>69</v>
      </c>
      <c r="X1060" s="5" t="s">
        <v>69</v>
      </c>
      <c r="Y1060" s="4">
        <v>173</v>
      </c>
      <c r="Z1060" s="4">
        <v>13</v>
      </c>
      <c r="AA1060" s="4">
        <v>60</v>
      </c>
      <c r="AB1060" s="4">
        <v>1</v>
      </c>
      <c r="AC1060" s="4">
        <v>5</v>
      </c>
      <c r="AD1060" s="4">
        <v>74</v>
      </c>
      <c r="AE1060" s="4">
        <v>141</v>
      </c>
      <c r="AF1060" s="4">
        <v>0</v>
      </c>
      <c r="AG1060" s="4">
        <v>1</v>
      </c>
      <c r="AH1060" s="4">
        <v>68</v>
      </c>
      <c r="AI1060" s="4">
        <v>113</v>
      </c>
      <c r="AJ1060" s="4">
        <v>9</v>
      </c>
      <c r="AK1060" s="4">
        <v>19</v>
      </c>
      <c r="AL1060" s="4">
        <v>42</v>
      </c>
      <c r="AM1060" s="4">
        <v>61</v>
      </c>
      <c r="AN1060" s="4">
        <v>0</v>
      </c>
      <c r="AO1060" s="4">
        <v>0</v>
      </c>
      <c r="AP1060" s="4">
        <v>10</v>
      </c>
      <c r="AQ1060" s="4">
        <v>35</v>
      </c>
      <c r="AR1060" s="3" t="s">
        <v>63</v>
      </c>
      <c r="AS1060" s="3" t="s">
        <v>63</v>
      </c>
      <c r="AT1060" s="3" t="s">
        <v>62</v>
      </c>
      <c r="AU1060" s="6" t="str">
        <f>HYPERLINK("http://catalog.hathitrust.org/Record/000384856","HathiTrust Record")</f>
        <v>HathiTrust Record</v>
      </c>
      <c r="AV1060" s="6" t="str">
        <f>HYPERLINK("http://mcgill.on.worldcat.org/oclc/13192275","Catalog Record")</f>
        <v>Catalog Record</v>
      </c>
      <c r="AW1060" s="6" t="str">
        <f>HYPERLINK("http://www.worldcat.org/oclc/13192275","WorldCat Record")</f>
        <v>WorldCat Record</v>
      </c>
      <c r="AX1060" s="3" t="s">
        <v>10407</v>
      </c>
      <c r="AY1060" s="3" t="s">
        <v>10419</v>
      </c>
      <c r="AZ1060" s="3" t="s">
        <v>10420</v>
      </c>
      <c r="BA1060" s="3" t="s">
        <v>10420</v>
      </c>
      <c r="BB1060" s="3" t="s">
        <v>10421</v>
      </c>
      <c r="BC1060" s="3" t="s">
        <v>82</v>
      </c>
      <c r="BD1060" s="3" t="s">
        <v>70</v>
      </c>
      <c r="BE1060" s="3" t="s">
        <v>10422</v>
      </c>
      <c r="BF1060" s="3" t="s">
        <v>10421</v>
      </c>
      <c r="BG1060" s="3" t="s">
        <v>10423</v>
      </c>
    </row>
    <row r="1061" spans="1:59" ht="60" x14ac:dyDescent="0.25">
      <c r="A1061" s="2" t="s">
        <v>59</v>
      </c>
      <c r="B1061" s="2" t="s">
        <v>60</v>
      </c>
      <c r="C1061" s="2" t="s">
        <v>10413</v>
      </c>
      <c r="D1061" s="2" t="s">
        <v>10414</v>
      </c>
      <c r="E1061" s="2" t="s">
        <v>10415</v>
      </c>
      <c r="G1061" s="3" t="s">
        <v>63</v>
      </c>
      <c r="I1061" s="3" t="s">
        <v>62</v>
      </c>
      <c r="J1061" s="3" t="s">
        <v>62</v>
      </c>
      <c r="K1061" s="3" t="s">
        <v>10404</v>
      </c>
      <c r="L1061" s="2" t="s">
        <v>10394</v>
      </c>
      <c r="M1061" s="2" t="s">
        <v>10416</v>
      </c>
      <c r="N1061" s="3" t="s">
        <v>706</v>
      </c>
      <c r="P1061" s="3" t="s">
        <v>66</v>
      </c>
      <c r="R1061" s="3" t="s">
        <v>67</v>
      </c>
      <c r="S1061" s="4">
        <v>51</v>
      </c>
      <c r="T1061" s="4">
        <v>97</v>
      </c>
      <c r="U1061" s="5" t="s">
        <v>10418</v>
      </c>
      <c r="V1061" s="5" t="s">
        <v>10418</v>
      </c>
      <c r="W1061" s="5" t="s">
        <v>69</v>
      </c>
      <c r="X1061" s="5" t="s">
        <v>69</v>
      </c>
      <c r="Y1061" s="4">
        <v>173</v>
      </c>
      <c r="Z1061" s="4">
        <v>13</v>
      </c>
      <c r="AA1061" s="4">
        <v>60</v>
      </c>
      <c r="AB1061" s="4">
        <v>1</v>
      </c>
      <c r="AC1061" s="4">
        <v>5</v>
      </c>
      <c r="AD1061" s="4">
        <v>74</v>
      </c>
      <c r="AE1061" s="4">
        <v>141</v>
      </c>
      <c r="AF1061" s="4">
        <v>0</v>
      </c>
      <c r="AG1061" s="4">
        <v>1</v>
      </c>
      <c r="AH1061" s="4">
        <v>68</v>
      </c>
      <c r="AI1061" s="4">
        <v>113</v>
      </c>
      <c r="AJ1061" s="4">
        <v>9</v>
      </c>
      <c r="AK1061" s="4">
        <v>19</v>
      </c>
      <c r="AL1061" s="4">
        <v>42</v>
      </c>
      <c r="AM1061" s="4">
        <v>61</v>
      </c>
      <c r="AN1061" s="4">
        <v>0</v>
      </c>
      <c r="AO1061" s="4">
        <v>0</v>
      </c>
      <c r="AP1061" s="4">
        <v>10</v>
      </c>
      <c r="AQ1061" s="4">
        <v>35</v>
      </c>
      <c r="AR1061" s="3" t="s">
        <v>63</v>
      </c>
      <c r="AS1061" s="3" t="s">
        <v>63</v>
      </c>
      <c r="AT1061" s="3" t="s">
        <v>62</v>
      </c>
      <c r="AU1061" s="6" t="str">
        <f>HYPERLINK("http://catalog.hathitrust.org/Record/000384856","HathiTrust Record")</f>
        <v>HathiTrust Record</v>
      </c>
      <c r="AV1061" s="6" t="str">
        <f>HYPERLINK("http://mcgill.on.worldcat.org/oclc/13192275","Catalog Record")</f>
        <v>Catalog Record</v>
      </c>
      <c r="AW1061" s="6" t="str">
        <f>HYPERLINK("http://www.worldcat.org/oclc/13192275","WorldCat Record")</f>
        <v>WorldCat Record</v>
      </c>
      <c r="AX1061" s="3" t="s">
        <v>10407</v>
      </c>
      <c r="AY1061" s="3" t="s">
        <v>10419</v>
      </c>
      <c r="AZ1061" s="3" t="s">
        <v>10420</v>
      </c>
      <c r="BA1061" s="3" t="s">
        <v>10420</v>
      </c>
      <c r="BB1061" s="3" t="s">
        <v>10424</v>
      </c>
      <c r="BC1061" s="3" t="s">
        <v>82</v>
      </c>
      <c r="BD1061" s="3" t="s">
        <v>70</v>
      </c>
      <c r="BE1061" s="3" t="s">
        <v>10422</v>
      </c>
      <c r="BF1061" s="3" t="s">
        <v>10424</v>
      </c>
      <c r="BG1061" s="3" t="s">
        <v>10425</v>
      </c>
    </row>
    <row r="1062" spans="1:59" ht="60" x14ac:dyDescent="0.25">
      <c r="A1062" s="2" t="s">
        <v>59</v>
      </c>
      <c r="B1062" s="2" t="s">
        <v>60</v>
      </c>
      <c r="C1062" s="2" t="s">
        <v>10426</v>
      </c>
      <c r="D1062" s="2" t="s">
        <v>10427</v>
      </c>
      <c r="E1062" s="2" t="s">
        <v>10403</v>
      </c>
      <c r="G1062" s="3" t="s">
        <v>63</v>
      </c>
      <c r="I1062" s="3" t="s">
        <v>62</v>
      </c>
      <c r="J1062" s="3" t="s">
        <v>62</v>
      </c>
      <c r="K1062" s="3" t="s">
        <v>10404</v>
      </c>
      <c r="L1062" s="2" t="s">
        <v>10394</v>
      </c>
      <c r="M1062" s="2" t="s">
        <v>10405</v>
      </c>
      <c r="N1062" s="3" t="s">
        <v>161</v>
      </c>
      <c r="P1062" s="3" t="s">
        <v>66</v>
      </c>
      <c r="R1062" s="3" t="s">
        <v>67</v>
      </c>
      <c r="S1062" s="4">
        <v>1</v>
      </c>
      <c r="T1062" s="4">
        <v>1</v>
      </c>
      <c r="U1062" s="5" t="s">
        <v>3755</v>
      </c>
      <c r="V1062" s="5" t="s">
        <v>3755</v>
      </c>
      <c r="W1062" s="5" t="s">
        <v>69</v>
      </c>
      <c r="X1062" s="5" t="s">
        <v>10406</v>
      </c>
      <c r="Y1062" s="4">
        <v>471</v>
      </c>
      <c r="Z1062" s="4">
        <v>19</v>
      </c>
      <c r="AA1062" s="4">
        <v>60</v>
      </c>
      <c r="AB1062" s="4">
        <v>1</v>
      </c>
      <c r="AC1062" s="4">
        <v>5</v>
      </c>
      <c r="AD1062" s="4">
        <v>102</v>
      </c>
      <c r="AE1062" s="4">
        <v>141</v>
      </c>
      <c r="AF1062" s="4">
        <v>0</v>
      </c>
      <c r="AG1062" s="4">
        <v>1</v>
      </c>
      <c r="AH1062" s="4">
        <v>95</v>
      </c>
      <c r="AI1062" s="4">
        <v>113</v>
      </c>
      <c r="AJ1062" s="4">
        <v>10</v>
      </c>
      <c r="AK1062" s="4">
        <v>19</v>
      </c>
      <c r="AL1062" s="4">
        <v>50</v>
      </c>
      <c r="AM1062" s="4">
        <v>61</v>
      </c>
      <c r="AN1062" s="4">
        <v>0</v>
      </c>
      <c r="AO1062" s="4">
        <v>0</v>
      </c>
      <c r="AP1062" s="4">
        <v>13</v>
      </c>
      <c r="AQ1062" s="4">
        <v>35</v>
      </c>
      <c r="AR1062" s="3" t="s">
        <v>63</v>
      </c>
      <c r="AS1062" s="3" t="s">
        <v>63</v>
      </c>
      <c r="AT1062" s="3" t="s">
        <v>62</v>
      </c>
      <c r="AU1062" s="6" t="str">
        <f>HYPERLINK("http://catalog.hathitrust.org/Record/001105746","HathiTrust Record")</f>
        <v>HathiTrust Record</v>
      </c>
      <c r="AV1062" s="6" t="str">
        <f>HYPERLINK("http://mcgill.on.worldcat.org/oclc/18222188","Catalog Record")</f>
        <v>Catalog Record</v>
      </c>
      <c r="AW1062" s="6" t="str">
        <f>HYPERLINK("http://www.worldcat.org/oclc/18222188","WorldCat Record")</f>
        <v>WorldCat Record</v>
      </c>
      <c r="AX1062" s="3" t="s">
        <v>10407</v>
      </c>
      <c r="AY1062" s="3" t="s">
        <v>10408</v>
      </c>
      <c r="AZ1062" s="3" t="s">
        <v>10409</v>
      </c>
      <c r="BA1062" s="3" t="s">
        <v>10409</v>
      </c>
      <c r="BB1062" s="3" t="s">
        <v>10428</v>
      </c>
      <c r="BC1062" s="3" t="s">
        <v>82</v>
      </c>
      <c r="BD1062" s="3" t="s">
        <v>70</v>
      </c>
      <c r="BE1062" s="3" t="s">
        <v>10411</v>
      </c>
      <c r="BF1062" s="3" t="s">
        <v>10428</v>
      </c>
      <c r="BG1062" s="3" t="s">
        <v>10429</v>
      </c>
    </row>
    <row r="1063" spans="1:59" ht="60" x14ac:dyDescent="0.25">
      <c r="A1063" s="2" t="s">
        <v>59</v>
      </c>
      <c r="B1063" s="2" t="s">
        <v>60</v>
      </c>
      <c r="C1063" s="2" t="s">
        <v>10430</v>
      </c>
      <c r="D1063" s="2" t="s">
        <v>10431</v>
      </c>
      <c r="E1063" s="2" t="s">
        <v>10432</v>
      </c>
      <c r="G1063" s="3" t="s">
        <v>63</v>
      </c>
      <c r="I1063" s="3" t="s">
        <v>63</v>
      </c>
      <c r="J1063" s="3" t="s">
        <v>63</v>
      </c>
      <c r="K1063" s="3" t="s">
        <v>64</v>
      </c>
      <c r="L1063" s="2" t="s">
        <v>10433</v>
      </c>
      <c r="M1063" s="2" t="s">
        <v>10213</v>
      </c>
      <c r="N1063" s="3" t="s">
        <v>362</v>
      </c>
      <c r="P1063" s="3" t="s">
        <v>66</v>
      </c>
      <c r="Q1063" s="2" t="s">
        <v>3902</v>
      </c>
      <c r="R1063" s="3" t="s">
        <v>67</v>
      </c>
      <c r="S1063" s="4">
        <v>25</v>
      </c>
      <c r="T1063" s="4">
        <v>25</v>
      </c>
      <c r="U1063" s="5" t="s">
        <v>10434</v>
      </c>
      <c r="V1063" s="5" t="s">
        <v>10434</v>
      </c>
      <c r="W1063" s="5" t="s">
        <v>69</v>
      </c>
      <c r="X1063" s="5" t="s">
        <v>69</v>
      </c>
      <c r="Y1063" s="4">
        <v>168</v>
      </c>
      <c r="Z1063" s="4">
        <v>12</v>
      </c>
      <c r="AA1063" s="4">
        <v>12</v>
      </c>
      <c r="AB1063" s="4">
        <v>2</v>
      </c>
      <c r="AC1063" s="4">
        <v>2</v>
      </c>
      <c r="AD1063" s="4">
        <v>90</v>
      </c>
      <c r="AE1063" s="4">
        <v>90</v>
      </c>
      <c r="AF1063" s="4">
        <v>0</v>
      </c>
      <c r="AG1063" s="4">
        <v>0</v>
      </c>
      <c r="AH1063" s="4">
        <v>84</v>
      </c>
      <c r="AI1063" s="4">
        <v>84</v>
      </c>
      <c r="AJ1063" s="4">
        <v>9</v>
      </c>
      <c r="AK1063" s="4">
        <v>9</v>
      </c>
      <c r="AL1063" s="4">
        <v>50</v>
      </c>
      <c r="AM1063" s="4">
        <v>50</v>
      </c>
      <c r="AN1063" s="4">
        <v>0</v>
      </c>
      <c r="AO1063" s="4">
        <v>0</v>
      </c>
      <c r="AP1063" s="4">
        <v>9</v>
      </c>
      <c r="AQ1063" s="4">
        <v>9</v>
      </c>
      <c r="AR1063" s="3" t="s">
        <v>63</v>
      </c>
      <c r="AS1063" s="3" t="s">
        <v>63</v>
      </c>
      <c r="AT1063" s="3" t="s">
        <v>62</v>
      </c>
      <c r="AU1063" s="6" t="str">
        <f>HYPERLINK("http://catalog.hathitrust.org/Record/003572589","HathiTrust Record")</f>
        <v>HathiTrust Record</v>
      </c>
      <c r="AV1063" s="6" t="str">
        <f>HYPERLINK("http://mcgill.on.worldcat.org/oclc/45100482","Catalog Record")</f>
        <v>Catalog Record</v>
      </c>
      <c r="AW1063" s="6" t="str">
        <f>HYPERLINK("http://www.worldcat.org/oclc/45100482","WorldCat Record")</f>
        <v>WorldCat Record</v>
      </c>
      <c r="AX1063" s="3" t="s">
        <v>10435</v>
      </c>
      <c r="AY1063" s="3" t="s">
        <v>10436</v>
      </c>
      <c r="AZ1063" s="3" t="s">
        <v>10437</v>
      </c>
      <c r="BA1063" s="3" t="s">
        <v>10437</v>
      </c>
      <c r="BB1063" s="3" t="s">
        <v>10438</v>
      </c>
      <c r="BC1063" s="3" t="s">
        <v>82</v>
      </c>
      <c r="BD1063" s="3" t="s">
        <v>70</v>
      </c>
      <c r="BE1063" s="3" t="s">
        <v>10439</v>
      </c>
      <c r="BF1063" s="3" t="s">
        <v>10438</v>
      </c>
      <c r="BG1063" s="3" t="s">
        <v>10440</v>
      </c>
    </row>
    <row r="1064" spans="1:59" ht="60" x14ac:dyDescent="0.25">
      <c r="A1064" s="2" t="s">
        <v>59</v>
      </c>
      <c r="B1064" s="2" t="s">
        <v>60</v>
      </c>
      <c r="C1064" s="2" t="s">
        <v>10441</v>
      </c>
      <c r="D1064" s="2" t="s">
        <v>10442</v>
      </c>
      <c r="E1064" s="2" t="s">
        <v>10443</v>
      </c>
      <c r="G1064" s="3" t="s">
        <v>63</v>
      </c>
      <c r="I1064" s="3" t="s">
        <v>63</v>
      </c>
      <c r="J1064" s="3" t="s">
        <v>63</v>
      </c>
      <c r="K1064" s="3" t="s">
        <v>64</v>
      </c>
      <c r="L1064" s="2" t="s">
        <v>10394</v>
      </c>
      <c r="M1064" s="2" t="s">
        <v>8126</v>
      </c>
      <c r="N1064" s="3" t="s">
        <v>374</v>
      </c>
      <c r="P1064" s="3" t="s">
        <v>66</v>
      </c>
      <c r="Q1064" s="2" t="s">
        <v>3902</v>
      </c>
      <c r="R1064" s="3" t="s">
        <v>67</v>
      </c>
      <c r="S1064" s="4">
        <v>10</v>
      </c>
      <c r="T1064" s="4">
        <v>10</v>
      </c>
      <c r="U1064" s="5" t="s">
        <v>3244</v>
      </c>
      <c r="V1064" s="5" t="s">
        <v>3244</v>
      </c>
      <c r="W1064" s="5" t="s">
        <v>69</v>
      </c>
      <c r="X1064" s="5" t="s">
        <v>69</v>
      </c>
      <c r="Y1064" s="4">
        <v>179</v>
      </c>
      <c r="Z1064" s="4">
        <v>12</v>
      </c>
      <c r="AA1064" s="4">
        <v>12</v>
      </c>
      <c r="AB1064" s="4">
        <v>1</v>
      </c>
      <c r="AC1064" s="4">
        <v>1</v>
      </c>
      <c r="AD1064" s="4">
        <v>93</v>
      </c>
      <c r="AE1064" s="4">
        <v>93</v>
      </c>
      <c r="AF1064" s="4">
        <v>0</v>
      </c>
      <c r="AG1064" s="4">
        <v>0</v>
      </c>
      <c r="AH1064" s="4">
        <v>87</v>
      </c>
      <c r="AI1064" s="4">
        <v>87</v>
      </c>
      <c r="AJ1064" s="4">
        <v>10</v>
      </c>
      <c r="AK1064" s="4">
        <v>10</v>
      </c>
      <c r="AL1064" s="4">
        <v>51</v>
      </c>
      <c r="AM1064" s="4">
        <v>51</v>
      </c>
      <c r="AN1064" s="4">
        <v>0</v>
      </c>
      <c r="AO1064" s="4">
        <v>0</v>
      </c>
      <c r="AP1064" s="4">
        <v>10</v>
      </c>
      <c r="AQ1064" s="4">
        <v>10</v>
      </c>
      <c r="AR1064" s="3" t="s">
        <v>63</v>
      </c>
      <c r="AS1064" s="3" t="s">
        <v>63</v>
      </c>
      <c r="AT1064" s="3" t="s">
        <v>62</v>
      </c>
      <c r="AU1064" s="6" t="str">
        <f>HYPERLINK("http://catalog.hathitrust.org/Record/003009237","HathiTrust Record")</f>
        <v>HathiTrust Record</v>
      </c>
      <c r="AV1064" s="6" t="str">
        <f>HYPERLINK("http://mcgill.on.worldcat.org/oclc/32430708","Catalog Record")</f>
        <v>Catalog Record</v>
      </c>
      <c r="AW1064" s="6" t="str">
        <f>HYPERLINK("http://www.worldcat.org/oclc/32430708","WorldCat Record")</f>
        <v>WorldCat Record</v>
      </c>
      <c r="AX1064" s="3" t="s">
        <v>10444</v>
      </c>
      <c r="AY1064" s="3" t="s">
        <v>10445</v>
      </c>
      <c r="AZ1064" s="3" t="s">
        <v>10446</v>
      </c>
      <c r="BA1064" s="3" t="s">
        <v>10446</v>
      </c>
      <c r="BB1064" s="3" t="s">
        <v>10447</v>
      </c>
      <c r="BC1064" s="3" t="s">
        <v>82</v>
      </c>
      <c r="BD1064" s="3" t="s">
        <v>70</v>
      </c>
      <c r="BE1064" s="3" t="s">
        <v>10448</v>
      </c>
      <c r="BF1064" s="3" t="s">
        <v>10447</v>
      </c>
      <c r="BG1064" s="3" t="s">
        <v>10449</v>
      </c>
    </row>
    <row r="1065" spans="1:59" ht="60" x14ac:dyDescent="0.25">
      <c r="A1065" s="2" t="s">
        <v>59</v>
      </c>
      <c r="B1065" s="2" t="s">
        <v>60</v>
      </c>
      <c r="C1065" s="2" t="s">
        <v>10685</v>
      </c>
      <c r="D1065" s="2" t="s">
        <v>10686</v>
      </c>
      <c r="E1065" s="2" t="s">
        <v>10687</v>
      </c>
      <c r="F1065" s="3" t="s">
        <v>4437</v>
      </c>
      <c r="G1065" s="3" t="s">
        <v>62</v>
      </c>
      <c r="I1065" s="3" t="s">
        <v>63</v>
      </c>
      <c r="J1065" s="3" t="s">
        <v>63</v>
      </c>
      <c r="K1065" s="3" t="s">
        <v>64</v>
      </c>
      <c r="L1065" s="2" t="s">
        <v>10688</v>
      </c>
      <c r="M1065" s="2" t="s">
        <v>10689</v>
      </c>
      <c r="N1065" s="3" t="s">
        <v>374</v>
      </c>
      <c r="P1065" s="3" t="s">
        <v>90</v>
      </c>
      <c r="R1065" s="3" t="s">
        <v>67</v>
      </c>
      <c r="S1065" s="4">
        <v>1</v>
      </c>
      <c r="T1065" s="4">
        <v>6</v>
      </c>
      <c r="U1065" s="5" t="s">
        <v>10690</v>
      </c>
      <c r="V1065" s="5" t="s">
        <v>2093</v>
      </c>
      <c r="W1065" s="5" t="s">
        <v>69</v>
      </c>
      <c r="X1065" s="5" t="s">
        <v>69</v>
      </c>
      <c r="Y1065" s="4">
        <v>58</v>
      </c>
      <c r="Z1065" s="4">
        <v>6</v>
      </c>
      <c r="AA1065" s="4">
        <v>6</v>
      </c>
      <c r="AB1065" s="4">
        <v>1</v>
      </c>
      <c r="AC1065" s="4">
        <v>1</v>
      </c>
      <c r="AD1065" s="4">
        <v>40</v>
      </c>
      <c r="AE1065" s="4">
        <v>40</v>
      </c>
      <c r="AF1065" s="4">
        <v>0</v>
      </c>
      <c r="AG1065" s="4">
        <v>0</v>
      </c>
      <c r="AH1065" s="4">
        <v>39</v>
      </c>
      <c r="AI1065" s="4">
        <v>39</v>
      </c>
      <c r="AJ1065" s="4">
        <v>4</v>
      </c>
      <c r="AK1065" s="4">
        <v>4</v>
      </c>
      <c r="AL1065" s="4">
        <v>32</v>
      </c>
      <c r="AM1065" s="4">
        <v>32</v>
      </c>
      <c r="AN1065" s="4">
        <v>0</v>
      </c>
      <c r="AO1065" s="4">
        <v>0</v>
      </c>
      <c r="AP1065" s="4">
        <v>4</v>
      </c>
      <c r="AQ1065" s="4">
        <v>4</v>
      </c>
      <c r="AR1065" s="3" t="s">
        <v>63</v>
      </c>
      <c r="AS1065" s="3" t="s">
        <v>63</v>
      </c>
      <c r="AT1065" s="3" t="s">
        <v>62</v>
      </c>
      <c r="AU1065" s="6" t="str">
        <f>HYPERLINK("http://catalog.hathitrust.org/Record/004139329","HathiTrust Record")</f>
        <v>HathiTrust Record</v>
      </c>
      <c r="AV1065" s="6" t="str">
        <f>HYPERLINK("http://mcgill.on.worldcat.org/oclc/34561345","Catalog Record")</f>
        <v>Catalog Record</v>
      </c>
      <c r="AW1065" s="6" t="str">
        <f>HYPERLINK("http://www.worldcat.org/oclc/34561345","WorldCat Record")</f>
        <v>WorldCat Record</v>
      </c>
      <c r="AX1065" s="3" t="s">
        <v>10691</v>
      </c>
      <c r="AY1065" s="3" t="s">
        <v>10692</v>
      </c>
      <c r="AZ1065" s="3" t="s">
        <v>10693</v>
      </c>
      <c r="BA1065" s="3" t="s">
        <v>10693</v>
      </c>
      <c r="BB1065" s="3" t="s">
        <v>10694</v>
      </c>
      <c r="BC1065" s="3" t="s">
        <v>82</v>
      </c>
      <c r="BD1065" s="3" t="s">
        <v>70</v>
      </c>
      <c r="BE1065" s="3" t="s">
        <v>10695</v>
      </c>
      <c r="BF1065" s="3" t="s">
        <v>10694</v>
      </c>
      <c r="BG1065" s="3" t="s">
        <v>10696</v>
      </c>
    </row>
    <row r="1066" spans="1:59" ht="60" x14ac:dyDescent="0.25">
      <c r="A1066" s="2" t="s">
        <v>59</v>
      </c>
      <c r="B1066" s="2" t="s">
        <v>60</v>
      </c>
      <c r="C1066" s="2" t="s">
        <v>10685</v>
      </c>
      <c r="D1066" s="2" t="s">
        <v>10686</v>
      </c>
      <c r="E1066" s="2" t="s">
        <v>10687</v>
      </c>
      <c r="F1066" s="3" t="s">
        <v>4439</v>
      </c>
      <c r="G1066" s="3" t="s">
        <v>62</v>
      </c>
      <c r="I1066" s="3" t="s">
        <v>63</v>
      </c>
      <c r="J1066" s="3" t="s">
        <v>63</v>
      </c>
      <c r="K1066" s="3" t="s">
        <v>64</v>
      </c>
      <c r="L1066" s="2" t="s">
        <v>10688</v>
      </c>
      <c r="M1066" s="2" t="s">
        <v>10689</v>
      </c>
      <c r="N1066" s="3" t="s">
        <v>374</v>
      </c>
      <c r="P1066" s="3" t="s">
        <v>90</v>
      </c>
      <c r="R1066" s="3" t="s">
        <v>67</v>
      </c>
      <c r="S1066" s="4">
        <v>1</v>
      </c>
      <c r="T1066" s="4">
        <v>6</v>
      </c>
      <c r="U1066" s="5" t="s">
        <v>10714</v>
      </c>
      <c r="V1066" s="5" t="s">
        <v>2093</v>
      </c>
      <c r="W1066" s="5" t="s">
        <v>69</v>
      </c>
      <c r="X1066" s="5" t="s">
        <v>69</v>
      </c>
      <c r="Y1066" s="4">
        <v>58</v>
      </c>
      <c r="Z1066" s="4">
        <v>6</v>
      </c>
      <c r="AA1066" s="4">
        <v>6</v>
      </c>
      <c r="AB1066" s="4">
        <v>1</v>
      </c>
      <c r="AC1066" s="4">
        <v>1</v>
      </c>
      <c r="AD1066" s="4">
        <v>40</v>
      </c>
      <c r="AE1066" s="4">
        <v>40</v>
      </c>
      <c r="AF1066" s="4">
        <v>0</v>
      </c>
      <c r="AG1066" s="4">
        <v>0</v>
      </c>
      <c r="AH1066" s="4">
        <v>39</v>
      </c>
      <c r="AI1066" s="4">
        <v>39</v>
      </c>
      <c r="AJ1066" s="4">
        <v>4</v>
      </c>
      <c r="AK1066" s="4">
        <v>4</v>
      </c>
      <c r="AL1066" s="4">
        <v>32</v>
      </c>
      <c r="AM1066" s="4">
        <v>32</v>
      </c>
      <c r="AN1066" s="4">
        <v>0</v>
      </c>
      <c r="AO1066" s="4">
        <v>0</v>
      </c>
      <c r="AP1066" s="4">
        <v>4</v>
      </c>
      <c r="AQ1066" s="4">
        <v>4</v>
      </c>
      <c r="AR1066" s="3" t="s">
        <v>63</v>
      </c>
      <c r="AS1066" s="3" t="s">
        <v>63</v>
      </c>
      <c r="AT1066" s="3" t="s">
        <v>62</v>
      </c>
      <c r="AU1066" s="6" t="str">
        <f>HYPERLINK("http://catalog.hathitrust.org/Record/004139329","HathiTrust Record")</f>
        <v>HathiTrust Record</v>
      </c>
      <c r="AV1066" s="6" t="str">
        <f>HYPERLINK("http://mcgill.on.worldcat.org/oclc/34561345","Catalog Record")</f>
        <v>Catalog Record</v>
      </c>
      <c r="AW1066" s="6" t="str">
        <f>HYPERLINK("http://www.worldcat.org/oclc/34561345","WorldCat Record")</f>
        <v>WorldCat Record</v>
      </c>
      <c r="AX1066" s="3" t="s">
        <v>10691</v>
      </c>
      <c r="AY1066" s="3" t="s">
        <v>10692</v>
      </c>
      <c r="AZ1066" s="3" t="s">
        <v>10693</v>
      </c>
      <c r="BA1066" s="3" t="s">
        <v>10693</v>
      </c>
      <c r="BB1066" s="3" t="s">
        <v>10715</v>
      </c>
      <c r="BC1066" s="3" t="s">
        <v>82</v>
      </c>
      <c r="BD1066" s="3" t="s">
        <v>70</v>
      </c>
      <c r="BE1066" s="3" t="s">
        <v>10695</v>
      </c>
      <c r="BF1066" s="3" t="s">
        <v>10715</v>
      </c>
      <c r="BG1066" s="3" t="s">
        <v>10716</v>
      </c>
    </row>
    <row r="1067" spans="1:59" ht="60" x14ac:dyDescent="0.25">
      <c r="A1067" s="2" t="s">
        <v>59</v>
      </c>
      <c r="B1067" s="2" t="s">
        <v>60</v>
      </c>
      <c r="C1067" s="2" t="s">
        <v>10685</v>
      </c>
      <c r="D1067" s="2" t="s">
        <v>10686</v>
      </c>
      <c r="E1067" s="2" t="s">
        <v>10687</v>
      </c>
      <c r="F1067" s="3" t="s">
        <v>571</v>
      </c>
      <c r="G1067" s="3" t="s">
        <v>62</v>
      </c>
      <c r="I1067" s="3" t="s">
        <v>63</v>
      </c>
      <c r="J1067" s="3" t="s">
        <v>63</v>
      </c>
      <c r="K1067" s="3" t="s">
        <v>64</v>
      </c>
      <c r="L1067" s="2" t="s">
        <v>10688</v>
      </c>
      <c r="M1067" s="2" t="s">
        <v>10689</v>
      </c>
      <c r="N1067" s="3" t="s">
        <v>374</v>
      </c>
      <c r="P1067" s="3" t="s">
        <v>90</v>
      </c>
      <c r="R1067" s="3" t="s">
        <v>67</v>
      </c>
      <c r="S1067" s="4">
        <v>0</v>
      </c>
      <c r="T1067" s="4">
        <v>6</v>
      </c>
      <c r="V1067" s="5" t="s">
        <v>2093</v>
      </c>
      <c r="W1067" s="5" t="s">
        <v>69</v>
      </c>
      <c r="X1067" s="5" t="s">
        <v>69</v>
      </c>
      <c r="Y1067" s="4">
        <v>58</v>
      </c>
      <c r="Z1067" s="4">
        <v>6</v>
      </c>
      <c r="AA1067" s="4">
        <v>6</v>
      </c>
      <c r="AB1067" s="4">
        <v>1</v>
      </c>
      <c r="AC1067" s="4">
        <v>1</v>
      </c>
      <c r="AD1067" s="4">
        <v>40</v>
      </c>
      <c r="AE1067" s="4">
        <v>40</v>
      </c>
      <c r="AF1067" s="4">
        <v>0</v>
      </c>
      <c r="AG1067" s="4">
        <v>0</v>
      </c>
      <c r="AH1067" s="4">
        <v>39</v>
      </c>
      <c r="AI1067" s="4">
        <v>39</v>
      </c>
      <c r="AJ1067" s="4">
        <v>4</v>
      </c>
      <c r="AK1067" s="4">
        <v>4</v>
      </c>
      <c r="AL1067" s="4">
        <v>32</v>
      </c>
      <c r="AM1067" s="4">
        <v>32</v>
      </c>
      <c r="AN1067" s="4">
        <v>0</v>
      </c>
      <c r="AO1067" s="4">
        <v>0</v>
      </c>
      <c r="AP1067" s="4">
        <v>4</v>
      </c>
      <c r="AQ1067" s="4">
        <v>4</v>
      </c>
      <c r="AR1067" s="3" t="s">
        <v>63</v>
      </c>
      <c r="AS1067" s="3" t="s">
        <v>63</v>
      </c>
      <c r="AT1067" s="3" t="s">
        <v>62</v>
      </c>
      <c r="AU1067" s="6" t="str">
        <f>HYPERLINK("http://catalog.hathitrust.org/Record/004139329","HathiTrust Record")</f>
        <v>HathiTrust Record</v>
      </c>
      <c r="AV1067" s="6" t="str">
        <f>HYPERLINK("http://mcgill.on.worldcat.org/oclc/34561345","Catalog Record")</f>
        <v>Catalog Record</v>
      </c>
      <c r="AW1067" s="6" t="str">
        <f>HYPERLINK("http://www.worldcat.org/oclc/34561345","WorldCat Record")</f>
        <v>WorldCat Record</v>
      </c>
      <c r="AX1067" s="3" t="s">
        <v>10691</v>
      </c>
      <c r="AY1067" s="3" t="s">
        <v>10692</v>
      </c>
      <c r="AZ1067" s="3" t="s">
        <v>10693</v>
      </c>
      <c r="BA1067" s="3" t="s">
        <v>10693</v>
      </c>
      <c r="BB1067" s="3" t="s">
        <v>10721</v>
      </c>
      <c r="BC1067" s="3" t="s">
        <v>82</v>
      </c>
      <c r="BD1067" s="3" t="s">
        <v>70</v>
      </c>
      <c r="BE1067" s="3" t="s">
        <v>10695</v>
      </c>
      <c r="BF1067" s="3" t="s">
        <v>10721</v>
      </c>
      <c r="BG1067" s="3" t="s">
        <v>10722</v>
      </c>
    </row>
    <row r="1068" spans="1:59" ht="60" x14ac:dyDescent="0.25">
      <c r="A1068" s="2" t="s">
        <v>59</v>
      </c>
      <c r="B1068" s="2" t="s">
        <v>60</v>
      </c>
      <c r="C1068" s="2" t="s">
        <v>10685</v>
      </c>
      <c r="D1068" s="2" t="s">
        <v>10686</v>
      </c>
      <c r="E1068" s="2" t="s">
        <v>10687</v>
      </c>
      <c r="F1068" s="3" t="s">
        <v>582</v>
      </c>
      <c r="G1068" s="3" t="s">
        <v>62</v>
      </c>
      <c r="I1068" s="3" t="s">
        <v>63</v>
      </c>
      <c r="J1068" s="3" t="s">
        <v>63</v>
      </c>
      <c r="K1068" s="3" t="s">
        <v>64</v>
      </c>
      <c r="L1068" s="2" t="s">
        <v>10688</v>
      </c>
      <c r="M1068" s="2" t="s">
        <v>10689</v>
      </c>
      <c r="N1068" s="3" t="s">
        <v>374</v>
      </c>
      <c r="P1068" s="3" t="s">
        <v>90</v>
      </c>
      <c r="R1068" s="3" t="s">
        <v>67</v>
      </c>
      <c r="S1068" s="4">
        <v>0</v>
      </c>
      <c r="T1068" s="4">
        <v>6</v>
      </c>
      <c r="V1068" s="5" t="s">
        <v>2093</v>
      </c>
      <c r="W1068" s="5" t="s">
        <v>69</v>
      </c>
      <c r="X1068" s="5" t="s">
        <v>69</v>
      </c>
      <c r="Y1068" s="4">
        <v>58</v>
      </c>
      <c r="Z1068" s="4">
        <v>6</v>
      </c>
      <c r="AA1068" s="4">
        <v>6</v>
      </c>
      <c r="AB1068" s="4">
        <v>1</v>
      </c>
      <c r="AC1068" s="4">
        <v>1</v>
      </c>
      <c r="AD1068" s="4">
        <v>40</v>
      </c>
      <c r="AE1068" s="4">
        <v>40</v>
      </c>
      <c r="AF1068" s="4">
        <v>0</v>
      </c>
      <c r="AG1068" s="4">
        <v>0</v>
      </c>
      <c r="AH1068" s="4">
        <v>39</v>
      </c>
      <c r="AI1068" s="4">
        <v>39</v>
      </c>
      <c r="AJ1068" s="4">
        <v>4</v>
      </c>
      <c r="AK1068" s="4">
        <v>4</v>
      </c>
      <c r="AL1068" s="4">
        <v>32</v>
      </c>
      <c r="AM1068" s="4">
        <v>32</v>
      </c>
      <c r="AN1068" s="4">
        <v>0</v>
      </c>
      <c r="AO1068" s="4">
        <v>0</v>
      </c>
      <c r="AP1068" s="4">
        <v>4</v>
      </c>
      <c r="AQ1068" s="4">
        <v>4</v>
      </c>
      <c r="AR1068" s="3" t="s">
        <v>63</v>
      </c>
      <c r="AS1068" s="3" t="s">
        <v>63</v>
      </c>
      <c r="AT1068" s="3" t="s">
        <v>62</v>
      </c>
      <c r="AU1068" s="6" t="str">
        <f>HYPERLINK("http://catalog.hathitrust.org/Record/004139329","HathiTrust Record")</f>
        <v>HathiTrust Record</v>
      </c>
      <c r="AV1068" s="6" t="str">
        <f>HYPERLINK("http://mcgill.on.worldcat.org/oclc/34561345","Catalog Record")</f>
        <v>Catalog Record</v>
      </c>
      <c r="AW1068" s="6" t="str">
        <f>HYPERLINK("http://www.worldcat.org/oclc/34561345","WorldCat Record")</f>
        <v>WorldCat Record</v>
      </c>
      <c r="AX1068" s="3" t="s">
        <v>10691</v>
      </c>
      <c r="AY1068" s="3" t="s">
        <v>10692</v>
      </c>
      <c r="AZ1068" s="3" t="s">
        <v>10693</v>
      </c>
      <c r="BA1068" s="3" t="s">
        <v>10693</v>
      </c>
      <c r="BB1068" s="3" t="s">
        <v>10723</v>
      </c>
      <c r="BC1068" s="3" t="s">
        <v>82</v>
      </c>
      <c r="BD1068" s="3" t="s">
        <v>70</v>
      </c>
      <c r="BE1068" s="3" t="s">
        <v>10695</v>
      </c>
      <c r="BF1068" s="3" t="s">
        <v>10723</v>
      </c>
      <c r="BG1068" s="3" t="s">
        <v>10724</v>
      </c>
    </row>
    <row r="1069" spans="1:59" ht="150" x14ac:dyDescent="0.25">
      <c r="A1069" s="2" t="s">
        <v>59</v>
      </c>
      <c r="B1069" s="2" t="s">
        <v>60</v>
      </c>
      <c r="C1069" s="2" t="s">
        <v>10450</v>
      </c>
      <c r="D1069" s="2" t="s">
        <v>10451</v>
      </c>
      <c r="E1069" s="2" t="s">
        <v>10452</v>
      </c>
      <c r="F1069" s="3" t="s">
        <v>10453</v>
      </c>
      <c r="G1069" s="3" t="s">
        <v>62</v>
      </c>
      <c r="I1069" s="3" t="s">
        <v>63</v>
      </c>
      <c r="J1069" s="3" t="s">
        <v>63</v>
      </c>
      <c r="K1069" s="3" t="s">
        <v>64</v>
      </c>
      <c r="L1069" s="2" t="s">
        <v>10454</v>
      </c>
      <c r="N1069" s="3" t="s">
        <v>10455</v>
      </c>
      <c r="O1069" s="2" t="s">
        <v>10456</v>
      </c>
      <c r="P1069" s="3" t="s">
        <v>90</v>
      </c>
      <c r="R1069" s="3" t="s">
        <v>67</v>
      </c>
      <c r="S1069" s="4">
        <v>5</v>
      </c>
      <c r="T1069" s="4">
        <v>253</v>
      </c>
      <c r="U1069" s="5" t="s">
        <v>10457</v>
      </c>
      <c r="V1069" s="5" t="s">
        <v>5434</v>
      </c>
      <c r="W1069" s="5" t="s">
        <v>69</v>
      </c>
      <c r="X1069" s="5" t="s">
        <v>69</v>
      </c>
      <c r="Y1069" s="4">
        <v>1</v>
      </c>
      <c r="Z1069" s="4">
        <v>1</v>
      </c>
      <c r="AA1069" s="4">
        <v>1</v>
      </c>
      <c r="AB1069" s="4">
        <v>1</v>
      </c>
      <c r="AC1069" s="4">
        <v>1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3" t="s">
        <v>63</v>
      </c>
      <c r="AS1069" s="3" t="s">
        <v>63</v>
      </c>
      <c r="AT1069" s="3" t="s">
        <v>63</v>
      </c>
      <c r="AV1069" s="6" t="str">
        <f>HYPERLINK("http://mcgill.on.worldcat.org/oclc/427507485","Catalog Record")</f>
        <v>Catalog Record</v>
      </c>
      <c r="AW1069" s="6" t="str">
        <f>HYPERLINK("http://www.worldcat.org/oclc/427507485","WorldCat Record")</f>
        <v>WorldCat Record</v>
      </c>
      <c r="AX1069" s="3" t="s">
        <v>10458</v>
      </c>
      <c r="AY1069" s="3" t="s">
        <v>10459</v>
      </c>
      <c r="AZ1069" s="3" t="s">
        <v>10460</v>
      </c>
      <c r="BA1069" s="3" t="s">
        <v>10460</v>
      </c>
      <c r="BB1069" s="3" t="s">
        <v>10461</v>
      </c>
      <c r="BC1069" s="3" t="s">
        <v>82</v>
      </c>
      <c r="BD1069" s="3" t="s">
        <v>70</v>
      </c>
      <c r="BF1069" s="3" t="s">
        <v>10461</v>
      </c>
      <c r="BG1069" s="3" t="s">
        <v>10462</v>
      </c>
    </row>
    <row r="1070" spans="1:59" ht="150" x14ac:dyDescent="0.25">
      <c r="A1070" s="2" t="s">
        <v>59</v>
      </c>
      <c r="B1070" s="2" t="s">
        <v>60</v>
      </c>
      <c r="C1070" s="2" t="s">
        <v>10450</v>
      </c>
      <c r="D1070" s="2" t="s">
        <v>10451</v>
      </c>
      <c r="E1070" s="2" t="s">
        <v>10452</v>
      </c>
      <c r="F1070" s="3" t="s">
        <v>10463</v>
      </c>
      <c r="G1070" s="3" t="s">
        <v>62</v>
      </c>
      <c r="I1070" s="3" t="s">
        <v>63</v>
      </c>
      <c r="J1070" s="3" t="s">
        <v>63</v>
      </c>
      <c r="K1070" s="3" t="s">
        <v>64</v>
      </c>
      <c r="L1070" s="2" t="s">
        <v>10454</v>
      </c>
      <c r="N1070" s="3" t="s">
        <v>10455</v>
      </c>
      <c r="O1070" s="2" t="s">
        <v>10456</v>
      </c>
      <c r="P1070" s="3" t="s">
        <v>90</v>
      </c>
      <c r="R1070" s="3" t="s">
        <v>67</v>
      </c>
      <c r="S1070" s="4">
        <v>22</v>
      </c>
      <c r="T1070" s="4">
        <v>253</v>
      </c>
      <c r="U1070" s="5" t="s">
        <v>5434</v>
      </c>
      <c r="V1070" s="5" t="s">
        <v>5434</v>
      </c>
      <c r="W1070" s="5" t="s">
        <v>69</v>
      </c>
      <c r="X1070" s="5" t="s">
        <v>69</v>
      </c>
      <c r="Y1070" s="4">
        <v>1</v>
      </c>
      <c r="Z1070" s="4">
        <v>1</v>
      </c>
      <c r="AA1070" s="4">
        <v>1</v>
      </c>
      <c r="AB1070" s="4">
        <v>1</v>
      </c>
      <c r="AC1070" s="4">
        <v>1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3" t="s">
        <v>63</v>
      </c>
      <c r="AS1070" s="3" t="s">
        <v>63</v>
      </c>
      <c r="AT1070" s="3" t="s">
        <v>63</v>
      </c>
      <c r="AV1070" s="6" t="str">
        <f>HYPERLINK("http://mcgill.on.worldcat.org/oclc/427507485","Catalog Record")</f>
        <v>Catalog Record</v>
      </c>
      <c r="AW1070" s="6" t="str">
        <f>HYPERLINK("http://www.worldcat.org/oclc/427507485","WorldCat Record")</f>
        <v>WorldCat Record</v>
      </c>
      <c r="AX1070" s="3" t="s">
        <v>10458</v>
      </c>
      <c r="AY1070" s="3" t="s">
        <v>10459</v>
      </c>
      <c r="AZ1070" s="3" t="s">
        <v>10460</v>
      </c>
      <c r="BA1070" s="3" t="s">
        <v>10460</v>
      </c>
      <c r="BB1070" s="3" t="s">
        <v>10464</v>
      </c>
      <c r="BC1070" s="3" t="s">
        <v>82</v>
      </c>
      <c r="BD1070" s="3" t="s">
        <v>538</v>
      </c>
      <c r="BF1070" s="3" t="s">
        <v>10464</v>
      </c>
      <c r="BG1070" s="3" t="s">
        <v>10465</v>
      </c>
    </row>
    <row r="1071" spans="1:59" ht="150" x14ac:dyDescent="0.25">
      <c r="A1071" s="2" t="s">
        <v>59</v>
      </c>
      <c r="B1071" s="2" t="s">
        <v>60</v>
      </c>
      <c r="C1071" s="2" t="s">
        <v>10450</v>
      </c>
      <c r="D1071" s="2" t="s">
        <v>10451</v>
      </c>
      <c r="E1071" s="2" t="s">
        <v>10452</v>
      </c>
      <c r="F1071" s="3" t="s">
        <v>10466</v>
      </c>
      <c r="G1071" s="3" t="s">
        <v>62</v>
      </c>
      <c r="I1071" s="3" t="s">
        <v>63</v>
      </c>
      <c r="J1071" s="3" t="s">
        <v>63</v>
      </c>
      <c r="K1071" s="3" t="s">
        <v>64</v>
      </c>
      <c r="L1071" s="2" t="s">
        <v>10454</v>
      </c>
      <c r="N1071" s="3" t="s">
        <v>10455</v>
      </c>
      <c r="O1071" s="2" t="s">
        <v>10456</v>
      </c>
      <c r="P1071" s="3" t="s">
        <v>90</v>
      </c>
      <c r="R1071" s="3" t="s">
        <v>67</v>
      </c>
      <c r="S1071" s="4">
        <v>9</v>
      </c>
      <c r="T1071" s="4">
        <v>253</v>
      </c>
      <c r="U1071" s="5" t="s">
        <v>10467</v>
      </c>
      <c r="V1071" s="5" t="s">
        <v>5434</v>
      </c>
      <c r="W1071" s="5" t="s">
        <v>69</v>
      </c>
      <c r="X1071" s="5" t="s">
        <v>69</v>
      </c>
      <c r="Y1071" s="4">
        <v>1</v>
      </c>
      <c r="Z1071" s="4">
        <v>1</v>
      </c>
      <c r="AA1071" s="4">
        <v>1</v>
      </c>
      <c r="AB1071" s="4">
        <v>1</v>
      </c>
      <c r="AC1071" s="4">
        <v>1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3" t="s">
        <v>63</v>
      </c>
      <c r="AS1071" s="3" t="s">
        <v>63</v>
      </c>
      <c r="AT1071" s="3" t="s">
        <v>63</v>
      </c>
      <c r="AV1071" s="6" t="str">
        <f>HYPERLINK("http://mcgill.on.worldcat.org/oclc/427507485","Catalog Record")</f>
        <v>Catalog Record</v>
      </c>
      <c r="AW1071" s="6" t="str">
        <f>HYPERLINK("http://www.worldcat.org/oclc/427507485","WorldCat Record")</f>
        <v>WorldCat Record</v>
      </c>
      <c r="AX1071" s="3" t="s">
        <v>10458</v>
      </c>
      <c r="AY1071" s="3" t="s">
        <v>10459</v>
      </c>
      <c r="AZ1071" s="3" t="s">
        <v>10460</v>
      </c>
      <c r="BA1071" s="3" t="s">
        <v>10460</v>
      </c>
      <c r="BB1071" s="3" t="s">
        <v>10468</v>
      </c>
      <c r="BC1071" s="3" t="s">
        <v>82</v>
      </c>
      <c r="BD1071" s="3" t="s">
        <v>70</v>
      </c>
      <c r="BF1071" s="3" t="s">
        <v>10468</v>
      </c>
      <c r="BG1071" s="3" t="s">
        <v>10469</v>
      </c>
    </row>
    <row r="1072" spans="1:59" ht="150" x14ac:dyDescent="0.25">
      <c r="A1072" s="2" t="s">
        <v>59</v>
      </c>
      <c r="B1072" s="2" t="s">
        <v>60</v>
      </c>
      <c r="C1072" s="2" t="s">
        <v>10450</v>
      </c>
      <c r="D1072" s="2" t="s">
        <v>10451</v>
      </c>
      <c r="E1072" s="2" t="s">
        <v>10452</v>
      </c>
      <c r="F1072" s="3" t="s">
        <v>10470</v>
      </c>
      <c r="G1072" s="3" t="s">
        <v>62</v>
      </c>
      <c r="I1072" s="3" t="s">
        <v>63</v>
      </c>
      <c r="J1072" s="3" t="s">
        <v>63</v>
      </c>
      <c r="K1072" s="3" t="s">
        <v>64</v>
      </c>
      <c r="L1072" s="2" t="s">
        <v>10454</v>
      </c>
      <c r="N1072" s="3" t="s">
        <v>10455</v>
      </c>
      <c r="O1072" s="2" t="s">
        <v>10456</v>
      </c>
      <c r="P1072" s="3" t="s">
        <v>90</v>
      </c>
      <c r="R1072" s="3" t="s">
        <v>67</v>
      </c>
      <c r="S1072" s="4">
        <v>24</v>
      </c>
      <c r="T1072" s="4">
        <v>253</v>
      </c>
      <c r="U1072" s="5" t="s">
        <v>3390</v>
      </c>
      <c r="V1072" s="5" t="s">
        <v>5434</v>
      </c>
      <c r="W1072" s="5" t="s">
        <v>69</v>
      </c>
      <c r="X1072" s="5" t="s">
        <v>69</v>
      </c>
      <c r="Y1072" s="4">
        <v>1</v>
      </c>
      <c r="Z1072" s="4">
        <v>1</v>
      </c>
      <c r="AA1072" s="4">
        <v>1</v>
      </c>
      <c r="AB1072" s="4">
        <v>1</v>
      </c>
      <c r="AC1072" s="4">
        <v>1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3" t="s">
        <v>63</v>
      </c>
      <c r="AS1072" s="3" t="s">
        <v>63</v>
      </c>
      <c r="AT1072" s="3" t="s">
        <v>63</v>
      </c>
      <c r="AV1072" s="6" t="str">
        <f>HYPERLINK("http://mcgill.on.worldcat.org/oclc/427507485","Catalog Record")</f>
        <v>Catalog Record</v>
      </c>
      <c r="AW1072" s="6" t="str">
        <f>HYPERLINK("http://www.worldcat.org/oclc/427507485","WorldCat Record")</f>
        <v>WorldCat Record</v>
      </c>
      <c r="AX1072" s="3" t="s">
        <v>10458</v>
      </c>
      <c r="AY1072" s="3" t="s">
        <v>10459</v>
      </c>
      <c r="AZ1072" s="3" t="s">
        <v>10460</v>
      </c>
      <c r="BA1072" s="3" t="s">
        <v>10460</v>
      </c>
      <c r="BB1072" s="3" t="s">
        <v>10471</v>
      </c>
      <c r="BC1072" s="3" t="s">
        <v>82</v>
      </c>
      <c r="BD1072" s="3" t="s">
        <v>538</v>
      </c>
      <c r="BF1072" s="3" t="s">
        <v>10471</v>
      </c>
      <c r="BG1072" s="3" t="s">
        <v>10472</v>
      </c>
    </row>
    <row r="1073" spans="1:59" ht="150" x14ac:dyDescent="0.25">
      <c r="A1073" s="2" t="s">
        <v>59</v>
      </c>
      <c r="B1073" s="2" t="s">
        <v>60</v>
      </c>
      <c r="C1073" s="2" t="s">
        <v>10450</v>
      </c>
      <c r="D1073" s="2" t="s">
        <v>10451</v>
      </c>
      <c r="E1073" s="2" t="s">
        <v>10452</v>
      </c>
      <c r="F1073" s="3" t="s">
        <v>10473</v>
      </c>
      <c r="G1073" s="3" t="s">
        <v>62</v>
      </c>
      <c r="I1073" s="3" t="s">
        <v>63</v>
      </c>
      <c r="J1073" s="3" t="s">
        <v>63</v>
      </c>
      <c r="K1073" s="3" t="s">
        <v>64</v>
      </c>
      <c r="L1073" s="2" t="s">
        <v>10454</v>
      </c>
      <c r="N1073" s="3" t="s">
        <v>10455</v>
      </c>
      <c r="O1073" s="2" t="s">
        <v>10456</v>
      </c>
      <c r="P1073" s="3" t="s">
        <v>90</v>
      </c>
      <c r="R1073" s="3" t="s">
        <v>67</v>
      </c>
      <c r="S1073" s="4">
        <v>8</v>
      </c>
      <c r="T1073" s="4">
        <v>253</v>
      </c>
      <c r="U1073" s="5" t="s">
        <v>10474</v>
      </c>
      <c r="V1073" s="5" t="s">
        <v>5434</v>
      </c>
      <c r="W1073" s="5" t="s">
        <v>69</v>
      </c>
      <c r="X1073" s="5" t="s">
        <v>69</v>
      </c>
      <c r="Y1073" s="4">
        <v>1</v>
      </c>
      <c r="Z1073" s="4">
        <v>1</v>
      </c>
      <c r="AA1073" s="4">
        <v>1</v>
      </c>
      <c r="AB1073" s="4">
        <v>1</v>
      </c>
      <c r="AC1073" s="4">
        <v>1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3" t="s">
        <v>63</v>
      </c>
      <c r="AS1073" s="3" t="s">
        <v>63</v>
      </c>
      <c r="AT1073" s="3" t="s">
        <v>63</v>
      </c>
      <c r="AV1073" s="6" t="str">
        <f>HYPERLINK("http://mcgill.on.worldcat.org/oclc/427507485","Catalog Record")</f>
        <v>Catalog Record</v>
      </c>
      <c r="AW1073" s="6" t="str">
        <f>HYPERLINK("http://www.worldcat.org/oclc/427507485","WorldCat Record")</f>
        <v>WorldCat Record</v>
      </c>
      <c r="AX1073" s="3" t="s">
        <v>10458</v>
      </c>
      <c r="AY1073" s="3" t="s">
        <v>10459</v>
      </c>
      <c r="AZ1073" s="3" t="s">
        <v>10460</v>
      </c>
      <c r="BA1073" s="3" t="s">
        <v>10460</v>
      </c>
      <c r="BB1073" s="3" t="s">
        <v>10475</v>
      </c>
      <c r="BC1073" s="3" t="s">
        <v>82</v>
      </c>
      <c r="BD1073" s="3" t="s">
        <v>70</v>
      </c>
      <c r="BF1073" s="3" t="s">
        <v>10475</v>
      </c>
      <c r="BG1073" s="3" t="s">
        <v>10476</v>
      </c>
    </row>
    <row r="1074" spans="1:59" ht="150" x14ac:dyDescent="0.25">
      <c r="A1074" s="2" t="s">
        <v>59</v>
      </c>
      <c r="B1074" s="2" t="s">
        <v>60</v>
      </c>
      <c r="C1074" s="2" t="s">
        <v>10450</v>
      </c>
      <c r="D1074" s="2" t="s">
        <v>10451</v>
      </c>
      <c r="E1074" s="2" t="s">
        <v>10452</v>
      </c>
      <c r="F1074" s="3" t="s">
        <v>10477</v>
      </c>
      <c r="G1074" s="3" t="s">
        <v>62</v>
      </c>
      <c r="I1074" s="3" t="s">
        <v>63</v>
      </c>
      <c r="J1074" s="3" t="s">
        <v>63</v>
      </c>
      <c r="K1074" s="3" t="s">
        <v>64</v>
      </c>
      <c r="L1074" s="2" t="s">
        <v>10454</v>
      </c>
      <c r="N1074" s="3" t="s">
        <v>10455</v>
      </c>
      <c r="O1074" s="2" t="s">
        <v>10456</v>
      </c>
      <c r="P1074" s="3" t="s">
        <v>90</v>
      </c>
      <c r="R1074" s="3" t="s">
        <v>67</v>
      </c>
      <c r="S1074" s="4">
        <v>10</v>
      </c>
      <c r="T1074" s="4">
        <v>253</v>
      </c>
      <c r="U1074" s="5" t="s">
        <v>10478</v>
      </c>
      <c r="V1074" s="5" t="s">
        <v>5434</v>
      </c>
      <c r="W1074" s="5" t="s">
        <v>69</v>
      </c>
      <c r="X1074" s="5" t="s">
        <v>69</v>
      </c>
      <c r="Y1074" s="4">
        <v>1</v>
      </c>
      <c r="Z1074" s="4">
        <v>1</v>
      </c>
      <c r="AA1074" s="4">
        <v>1</v>
      </c>
      <c r="AB1074" s="4">
        <v>1</v>
      </c>
      <c r="AC1074" s="4">
        <v>1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3" t="s">
        <v>63</v>
      </c>
      <c r="AS1074" s="3" t="s">
        <v>63</v>
      </c>
      <c r="AT1074" s="3" t="s">
        <v>63</v>
      </c>
      <c r="AV1074" s="6" t="str">
        <f>HYPERLINK("http://mcgill.on.worldcat.org/oclc/427507485","Catalog Record")</f>
        <v>Catalog Record</v>
      </c>
      <c r="AW1074" s="6" t="str">
        <f>HYPERLINK("http://www.worldcat.org/oclc/427507485","WorldCat Record")</f>
        <v>WorldCat Record</v>
      </c>
      <c r="AX1074" s="3" t="s">
        <v>10458</v>
      </c>
      <c r="AY1074" s="3" t="s">
        <v>10459</v>
      </c>
      <c r="AZ1074" s="3" t="s">
        <v>10460</v>
      </c>
      <c r="BA1074" s="3" t="s">
        <v>10460</v>
      </c>
      <c r="BB1074" s="3" t="s">
        <v>10479</v>
      </c>
      <c r="BC1074" s="3" t="s">
        <v>82</v>
      </c>
      <c r="BD1074" s="3" t="s">
        <v>70</v>
      </c>
      <c r="BF1074" s="3" t="s">
        <v>10479</v>
      </c>
      <c r="BG1074" s="3" t="s">
        <v>10480</v>
      </c>
    </row>
    <row r="1075" spans="1:59" ht="150" x14ac:dyDescent="0.25">
      <c r="A1075" s="2" t="s">
        <v>59</v>
      </c>
      <c r="B1075" s="2" t="s">
        <v>60</v>
      </c>
      <c r="C1075" s="2" t="s">
        <v>10450</v>
      </c>
      <c r="D1075" s="2" t="s">
        <v>10451</v>
      </c>
      <c r="E1075" s="2" t="s">
        <v>10452</v>
      </c>
      <c r="F1075" s="3" t="s">
        <v>10481</v>
      </c>
      <c r="G1075" s="3" t="s">
        <v>62</v>
      </c>
      <c r="I1075" s="3" t="s">
        <v>63</v>
      </c>
      <c r="J1075" s="3" t="s">
        <v>63</v>
      </c>
      <c r="K1075" s="3" t="s">
        <v>64</v>
      </c>
      <c r="L1075" s="2" t="s">
        <v>10454</v>
      </c>
      <c r="N1075" s="3" t="s">
        <v>10455</v>
      </c>
      <c r="O1075" s="2" t="s">
        <v>10456</v>
      </c>
      <c r="P1075" s="3" t="s">
        <v>90</v>
      </c>
      <c r="R1075" s="3" t="s">
        <v>67</v>
      </c>
      <c r="S1075" s="4">
        <v>8</v>
      </c>
      <c r="T1075" s="4">
        <v>253</v>
      </c>
      <c r="U1075" s="5" t="s">
        <v>10482</v>
      </c>
      <c r="V1075" s="5" t="s">
        <v>5434</v>
      </c>
      <c r="W1075" s="5" t="s">
        <v>69</v>
      </c>
      <c r="X1075" s="5" t="s">
        <v>69</v>
      </c>
      <c r="Y1075" s="4">
        <v>1</v>
      </c>
      <c r="Z1075" s="4">
        <v>1</v>
      </c>
      <c r="AA1075" s="4">
        <v>1</v>
      </c>
      <c r="AB1075" s="4">
        <v>1</v>
      </c>
      <c r="AC1075" s="4">
        <v>1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3" t="s">
        <v>63</v>
      </c>
      <c r="AS1075" s="3" t="s">
        <v>63</v>
      </c>
      <c r="AT1075" s="3" t="s">
        <v>63</v>
      </c>
      <c r="AV1075" s="6" t="str">
        <f>HYPERLINK("http://mcgill.on.worldcat.org/oclc/427507485","Catalog Record")</f>
        <v>Catalog Record</v>
      </c>
      <c r="AW1075" s="6" t="str">
        <f>HYPERLINK("http://www.worldcat.org/oclc/427507485","WorldCat Record")</f>
        <v>WorldCat Record</v>
      </c>
      <c r="AX1075" s="3" t="s">
        <v>10458</v>
      </c>
      <c r="AY1075" s="3" t="s">
        <v>10459</v>
      </c>
      <c r="AZ1075" s="3" t="s">
        <v>10460</v>
      </c>
      <c r="BA1075" s="3" t="s">
        <v>10460</v>
      </c>
      <c r="BB1075" s="3" t="s">
        <v>10483</v>
      </c>
      <c r="BC1075" s="3" t="s">
        <v>82</v>
      </c>
      <c r="BD1075" s="3" t="s">
        <v>70</v>
      </c>
      <c r="BF1075" s="3" t="s">
        <v>10483</v>
      </c>
      <c r="BG1075" s="3" t="s">
        <v>10484</v>
      </c>
    </row>
    <row r="1076" spans="1:59" ht="150" x14ac:dyDescent="0.25">
      <c r="A1076" s="2" t="s">
        <v>59</v>
      </c>
      <c r="B1076" s="2" t="s">
        <v>60</v>
      </c>
      <c r="C1076" s="2" t="s">
        <v>10450</v>
      </c>
      <c r="D1076" s="2" t="s">
        <v>10451</v>
      </c>
      <c r="E1076" s="2" t="s">
        <v>10452</v>
      </c>
      <c r="F1076" s="3" t="s">
        <v>2601</v>
      </c>
      <c r="G1076" s="3" t="s">
        <v>62</v>
      </c>
      <c r="I1076" s="3" t="s">
        <v>63</v>
      </c>
      <c r="J1076" s="3" t="s">
        <v>63</v>
      </c>
      <c r="K1076" s="3" t="s">
        <v>64</v>
      </c>
      <c r="L1076" s="2" t="s">
        <v>10454</v>
      </c>
      <c r="N1076" s="3" t="s">
        <v>10455</v>
      </c>
      <c r="O1076" s="2" t="s">
        <v>10456</v>
      </c>
      <c r="P1076" s="3" t="s">
        <v>90</v>
      </c>
      <c r="R1076" s="3" t="s">
        <v>67</v>
      </c>
      <c r="S1076" s="4">
        <v>7</v>
      </c>
      <c r="T1076" s="4">
        <v>253</v>
      </c>
      <c r="U1076" s="5" t="s">
        <v>10485</v>
      </c>
      <c r="V1076" s="5" t="s">
        <v>5434</v>
      </c>
      <c r="W1076" s="5" t="s">
        <v>69</v>
      </c>
      <c r="X1076" s="5" t="s">
        <v>69</v>
      </c>
      <c r="Y1076" s="4">
        <v>1</v>
      </c>
      <c r="Z1076" s="4">
        <v>1</v>
      </c>
      <c r="AA1076" s="4">
        <v>1</v>
      </c>
      <c r="AB1076" s="4">
        <v>1</v>
      </c>
      <c r="AC1076" s="4">
        <v>1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3" t="s">
        <v>63</v>
      </c>
      <c r="AS1076" s="3" t="s">
        <v>63</v>
      </c>
      <c r="AT1076" s="3" t="s">
        <v>63</v>
      </c>
      <c r="AV1076" s="6" t="str">
        <f>HYPERLINK("http://mcgill.on.worldcat.org/oclc/427507485","Catalog Record")</f>
        <v>Catalog Record</v>
      </c>
      <c r="AW1076" s="6" t="str">
        <f>HYPERLINK("http://www.worldcat.org/oclc/427507485","WorldCat Record")</f>
        <v>WorldCat Record</v>
      </c>
      <c r="AX1076" s="3" t="s">
        <v>10458</v>
      </c>
      <c r="AY1076" s="3" t="s">
        <v>10459</v>
      </c>
      <c r="AZ1076" s="3" t="s">
        <v>10460</v>
      </c>
      <c r="BA1076" s="3" t="s">
        <v>10460</v>
      </c>
      <c r="BB1076" s="3" t="s">
        <v>10486</v>
      </c>
      <c r="BC1076" s="3" t="s">
        <v>82</v>
      </c>
      <c r="BD1076" s="3" t="s">
        <v>70</v>
      </c>
      <c r="BF1076" s="3" t="s">
        <v>10486</v>
      </c>
      <c r="BG1076" s="3" t="s">
        <v>10487</v>
      </c>
    </row>
    <row r="1077" spans="1:59" ht="150" x14ac:dyDescent="0.25">
      <c r="A1077" s="2" t="s">
        <v>59</v>
      </c>
      <c r="B1077" s="2" t="s">
        <v>60</v>
      </c>
      <c r="C1077" s="2" t="s">
        <v>10450</v>
      </c>
      <c r="D1077" s="2" t="s">
        <v>10451</v>
      </c>
      <c r="E1077" s="2" t="s">
        <v>10452</v>
      </c>
      <c r="F1077" s="3" t="s">
        <v>10488</v>
      </c>
      <c r="G1077" s="3" t="s">
        <v>62</v>
      </c>
      <c r="I1077" s="3" t="s">
        <v>63</v>
      </c>
      <c r="J1077" s="3" t="s">
        <v>63</v>
      </c>
      <c r="K1077" s="3" t="s">
        <v>64</v>
      </c>
      <c r="L1077" s="2" t="s">
        <v>10454</v>
      </c>
      <c r="N1077" s="3" t="s">
        <v>10455</v>
      </c>
      <c r="O1077" s="2" t="s">
        <v>10456</v>
      </c>
      <c r="P1077" s="3" t="s">
        <v>90</v>
      </c>
      <c r="R1077" s="3" t="s">
        <v>67</v>
      </c>
      <c r="S1077" s="4">
        <v>17</v>
      </c>
      <c r="T1077" s="4">
        <v>253</v>
      </c>
      <c r="U1077" s="5" t="s">
        <v>10489</v>
      </c>
      <c r="V1077" s="5" t="s">
        <v>5434</v>
      </c>
      <c r="W1077" s="5" t="s">
        <v>69</v>
      </c>
      <c r="X1077" s="5" t="s">
        <v>69</v>
      </c>
      <c r="Y1077" s="4">
        <v>1</v>
      </c>
      <c r="Z1077" s="4">
        <v>1</v>
      </c>
      <c r="AA1077" s="4">
        <v>1</v>
      </c>
      <c r="AB1077" s="4">
        <v>1</v>
      </c>
      <c r="AC1077" s="4">
        <v>1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3" t="s">
        <v>63</v>
      </c>
      <c r="AS1077" s="3" t="s">
        <v>63</v>
      </c>
      <c r="AT1077" s="3" t="s">
        <v>63</v>
      </c>
      <c r="AV1077" s="6" t="str">
        <f>HYPERLINK("http://mcgill.on.worldcat.org/oclc/427507485","Catalog Record")</f>
        <v>Catalog Record</v>
      </c>
      <c r="AW1077" s="6" t="str">
        <f>HYPERLINK("http://www.worldcat.org/oclc/427507485","WorldCat Record")</f>
        <v>WorldCat Record</v>
      </c>
      <c r="AX1077" s="3" t="s">
        <v>10458</v>
      </c>
      <c r="AY1077" s="3" t="s">
        <v>10459</v>
      </c>
      <c r="AZ1077" s="3" t="s">
        <v>10460</v>
      </c>
      <c r="BA1077" s="3" t="s">
        <v>10460</v>
      </c>
      <c r="BB1077" s="3" t="s">
        <v>10490</v>
      </c>
      <c r="BC1077" s="3" t="s">
        <v>82</v>
      </c>
      <c r="BD1077" s="3" t="s">
        <v>70</v>
      </c>
      <c r="BF1077" s="3" t="s">
        <v>10490</v>
      </c>
      <c r="BG1077" s="3" t="s">
        <v>10491</v>
      </c>
    </row>
    <row r="1078" spans="1:59" ht="150" x14ac:dyDescent="0.25">
      <c r="A1078" s="2" t="s">
        <v>59</v>
      </c>
      <c r="B1078" s="2" t="s">
        <v>60</v>
      </c>
      <c r="C1078" s="2" t="s">
        <v>10450</v>
      </c>
      <c r="D1078" s="2" t="s">
        <v>10451</v>
      </c>
      <c r="E1078" s="2" t="s">
        <v>10452</v>
      </c>
      <c r="F1078" s="3" t="s">
        <v>4184</v>
      </c>
      <c r="G1078" s="3" t="s">
        <v>62</v>
      </c>
      <c r="I1078" s="3" t="s">
        <v>63</v>
      </c>
      <c r="J1078" s="3" t="s">
        <v>63</v>
      </c>
      <c r="K1078" s="3" t="s">
        <v>64</v>
      </c>
      <c r="L1078" s="2" t="s">
        <v>10454</v>
      </c>
      <c r="N1078" s="3" t="s">
        <v>10455</v>
      </c>
      <c r="O1078" s="2" t="s">
        <v>10456</v>
      </c>
      <c r="P1078" s="3" t="s">
        <v>90</v>
      </c>
      <c r="R1078" s="3" t="s">
        <v>67</v>
      </c>
      <c r="S1078" s="4">
        <v>5</v>
      </c>
      <c r="T1078" s="4">
        <v>253</v>
      </c>
      <c r="U1078" s="5" t="s">
        <v>10492</v>
      </c>
      <c r="V1078" s="5" t="s">
        <v>5434</v>
      </c>
      <c r="W1078" s="5" t="s">
        <v>69</v>
      </c>
      <c r="X1078" s="5" t="s">
        <v>69</v>
      </c>
      <c r="Y1078" s="4">
        <v>1</v>
      </c>
      <c r="Z1078" s="4">
        <v>1</v>
      </c>
      <c r="AA1078" s="4">
        <v>1</v>
      </c>
      <c r="AB1078" s="4">
        <v>1</v>
      </c>
      <c r="AC1078" s="4">
        <v>1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3" t="s">
        <v>63</v>
      </c>
      <c r="AS1078" s="3" t="s">
        <v>63</v>
      </c>
      <c r="AT1078" s="3" t="s">
        <v>63</v>
      </c>
      <c r="AV1078" s="6" t="str">
        <f>HYPERLINK("http://mcgill.on.worldcat.org/oclc/427507485","Catalog Record")</f>
        <v>Catalog Record</v>
      </c>
      <c r="AW1078" s="6" t="str">
        <f>HYPERLINK("http://www.worldcat.org/oclc/427507485","WorldCat Record")</f>
        <v>WorldCat Record</v>
      </c>
      <c r="AX1078" s="3" t="s">
        <v>10458</v>
      </c>
      <c r="AY1078" s="3" t="s">
        <v>10459</v>
      </c>
      <c r="AZ1078" s="3" t="s">
        <v>10460</v>
      </c>
      <c r="BA1078" s="3" t="s">
        <v>10460</v>
      </c>
      <c r="BB1078" s="3" t="s">
        <v>10493</v>
      </c>
      <c r="BC1078" s="3" t="s">
        <v>82</v>
      </c>
      <c r="BD1078" s="3" t="s">
        <v>70</v>
      </c>
      <c r="BF1078" s="3" t="s">
        <v>10493</v>
      </c>
      <c r="BG1078" s="3" t="s">
        <v>10494</v>
      </c>
    </row>
    <row r="1079" spans="1:59" ht="150" x14ac:dyDescent="0.25">
      <c r="A1079" s="2" t="s">
        <v>59</v>
      </c>
      <c r="B1079" s="2" t="s">
        <v>60</v>
      </c>
      <c r="C1079" s="2" t="s">
        <v>10450</v>
      </c>
      <c r="D1079" s="2" t="s">
        <v>10451</v>
      </c>
      <c r="E1079" s="2" t="s">
        <v>10452</v>
      </c>
      <c r="F1079" s="3" t="s">
        <v>10495</v>
      </c>
      <c r="G1079" s="3" t="s">
        <v>62</v>
      </c>
      <c r="I1079" s="3" t="s">
        <v>63</v>
      </c>
      <c r="J1079" s="3" t="s">
        <v>63</v>
      </c>
      <c r="K1079" s="3" t="s">
        <v>64</v>
      </c>
      <c r="L1079" s="2" t="s">
        <v>10454</v>
      </c>
      <c r="N1079" s="3" t="s">
        <v>10455</v>
      </c>
      <c r="O1079" s="2" t="s">
        <v>10456</v>
      </c>
      <c r="P1079" s="3" t="s">
        <v>90</v>
      </c>
      <c r="R1079" s="3" t="s">
        <v>67</v>
      </c>
      <c r="S1079" s="4">
        <v>26</v>
      </c>
      <c r="T1079" s="4">
        <v>253</v>
      </c>
      <c r="U1079" s="5" t="s">
        <v>10496</v>
      </c>
      <c r="V1079" s="5" t="s">
        <v>5434</v>
      </c>
      <c r="W1079" s="5" t="s">
        <v>69</v>
      </c>
      <c r="X1079" s="5" t="s">
        <v>69</v>
      </c>
      <c r="Y1079" s="4">
        <v>1</v>
      </c>
      <c r="Z1079" s="4">
        <v>1</v>
      </c>
      <c r="AA1079" s="4">
        <v>1</v>
      </c>
      <c r="AB1079" s="4">
        <v>1</v>
      </c>
      <c r="AC1079" s="4">
        <v>1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3" t="s">
        <v>63</v>
      </c>
      <c r="AS1079" s="3" t="s">
        <v>63</v>
      </c>
      <c r="AT1079" s="3" t="s">
        <v>63</v>
      </c>
      <c r="AV1079" s="6" t="str">
        <f>HYPERLINK("http://mcgill.on.worldcat.org/oclc/427507485","Catalog Record")</f>
        <v>Catalog Record</v>
      </c>
      <c r="AW1079" s="6" t="str">
        <f>HYPERLINK("http://www.worldcat.org/oclc/427507485","WorldCat Record")</f>
        <v>WorldCat Record</v>
      </c>
      <c r="AX1079" s="3" t="s">
        <v>10458</v>
      </c>
      <c r="AY1079" s="3" t="s">
        <v>10459</v>
      </c>
      <c r="AZ1079" s="3" t="s">
        <v>10460</v>
      </c>
      <c r="BA1079" s="3" t="s">
        <v>10460</v>
      </c>
      <c r="BB1079" s="3" t="s">
        <v>10497</v>
      </c>
      <c r="BC1079" s="3" t="s">
        <v>82</v>
      </c>
      <c r="BD1079" s="3" t="s">
        <v>70</v>
      </c>
      <c r="BF1079" s="3" t="s">
        <v>10497</v>
      </c>
      <c r="BG1079" s="3" t="s">
        <v>10498</v>
      </c>
    </row>
    <row r="1080" spans="1:59" ht="150" x14ac:dyDescent="0.25">
      <c r="A1080" s="2" t="s">
        <v>59</v>
      </c>
      <c r="B1080" s="2" t="s">
        <v>60</v>
      </c>
      <c r="C1080" s="2" t="s">
        <v>10450</v>
      </c>
      <c r="D1080" s="2" t="s">
        <v>10451</v>
      </c>
      <c r="E1080" s="2" t="s">
        <v>10452</v>
      </c>
      <c r="F1080" s="3" t="s">
        <v>10499</v>
      </c>
      <c r="G1080" s="3" t="s">
        <v>62</v>
      </c>
      <c r="I1080" s="3" t="s">
        <v>63</v>
      </c>
      <c r="J1080" s="3" t="s">
        <v>63</v>
      </c>
      <c r="K1080" s="3" t="s">
        <v>64</v>
      </c>
      <c r="L1080" s="2" t="s">
        <v>10454</v>
      </c>
      <c r="N1080" s="3" t="s">
        <v>10455</v>
      </c>
      <c r="O1080" s="2" t="s">
        <v>10456</v>
      </c>
      <c r="P1080" s="3" t="s">
        <v>90</v>
      </c>
      <c r="R1080" s="3" t="s">
        <v>67</v>
      </c>
      <c r="S1080" s="4">
        <v>11</v>
      </c>
      <c r="T1080" s="4">
        <v>253</v>
      </c>
      <c r="U1080" s="5" t="s">
        <v>10500</v>
      </c>
      <c r="V1080" s="5" t="s">
        <v>5434</v>
      </c>
      <c r="W1080" s="5" t="s">
        <v>69</v>
      </c>
      <c r="X1080" s="5" t="s">
        <v>69</v>
      </c>
      <c r="Y1080" s="4">
        <v>1</v>
      </c>
      <c r="Z1080" s="4">
        <v>1</v>
      </c>
      <c r="AA1080" s="4">
        <v>1</v>
      </c>
      <c r="AB1080" s="4">
        <v>1</v>
      </c>
      <c r="AC1080" s="4">
        <v>1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3" t="s">
        <v>63</v>
      </c>
      <c r="AS1080" s="3" t="s">
        <v>63</v>
      </c>
      <c r="AT1080" s="3" t="s">
        <v>63</v>
      </c>
      <c r="AV1080" s="6" t="str">
        <f>HYPERLINK("http://mcgill.on.worldcat.org/oclc/427507485","Catalog Record")</f>
        <v>Catalog Record</v>
      </c>
      <c r="AW1080" s="6" t="str">
        <f>HYPERLINK("http://www.worldcat.org/oclc/427507485","WorldCat Record")</f>
        <v>WorldCat Record</v>
      </c>
      <c r="AX1080" s="3" t="s">
        <v>10458</v>
      </c>
      <c r="AY1080" s="3" t="s">
        <v>10459</v>
      </c>
      <c r="AZ1080" s="3" t="s">
        <v>10460</v>
      </c>
      <c r="BA1080" s="3" t="s">
        <v>10460</v>
      </c>
      <c r="BB1080" s="3" t="s">
        <v>10501</v>
      </c>
      <c r="BC1080" s="3" t="s">
        <v>82</v>
      </c>
      <c r="BD1080" s="3" t="s">
        <v>70</v>
      </c>
      <c r="BF1080" s="3" t="s">
        <v>10501</v>
      </c>
      <c r="BG1080" s="3" t="s">
        <v>10502</v>
      </c>
    </row>
    <row r="1081" spans="1:59" ht="150" x14ac:dyDescent="0.25">
      <c r="A1081" s="2" t="s">
        <v>59</v>
      </c>
      <c r="B1081" s="2" t="s">
        <v>60</v>
      </c>
      <c r="C1081" s="2" t="s">
        <v>10450</v>
      </c>
      <c r="D1081" s="2" t="s">
        <v>10451</v>
      </c>
      <c r="E1081" s="2" t="s">
        <v>10452</v>
      </c>
      <c r="F1081" s="3" t="s">
        <v>10503</v>
      </c>
      <c r="G1081" s="3" t="s">
        <v>62</v>
      </c>
      <c r="I1081" s="3" t="s">
        <v>63</v>
      </c>
      <c r="J1081" s="3" t="s">
        <v>63</v>
      </c>
      <c r="K1081" s="3" t="s">
        <v>64</v>
      </c>
      <c r="L1081" s="2" t="s">
        <v>10454</v>
      </c>
      <c r="N1081" s="3" t="s">
        <v>10455</v>
      </c>
      <c r="O1081" s="2" t="s">
        <v>10456</v>
      </c>
      <c r="P1081" s="3" t="s">
        <v>90</v>
      </c>
      <c r="R1081" s="3" t="s">
        <v>67</v>
      </c>
      <c r="S1081" s="4">
        <v>11</v>
      </c>
      <c r="T1081" s="4">
        <v>253</v>
      </c>
      <c r="U1081" s="5" t="s">
        <v>10504</v>
      </c>
      <c r="V1081" s="5" t="s">
        <v>5434</v>
      </c>
      <c r="W1081" s="5" t="s">
        <v>69</v>
      </c>
      <c r="X1081" s="5" t="s">
        <v>69</v>
      </c>
      <c r="Y1081" s="4">
        <v>1</v>
      </c>
      <c r="Z1081" s="4">
        <v>1</v>
      </c>
      <c r="AA1081" s="4">
        <v>1</v>
      </c>
      <c r="AB1081" s="4">
        <v>1</v>
      </c>
      <c r="AC1081" s="4">
        <v>1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3" t="s">
        <v>63</v>
      </c>
      <c r="AS1081" s="3" t="s">
        <v>63</v>
      </c>
      <c r="AT1081" s="3" t="s">
        <v>63</v>
      </c>
      <c r="AV1081" s="6" t="str">
        <f>HYPERLINK("http://mcgill.on.worldcat.org/oclc/427507485","Catalog Record")</f>
        <v>Catalog Record</v>
      </c>
      <c r="AW1081" s="6" t="str">
        <f>HYPERLINK("http://www.worldcat.org/oclc/427507485","WorldCat Record")</f>
        <v>WorldCat Record</v>
      </c>
      <c r="AX1081" s="3" t="s">
        <v>10458</v>
      </c>
      <c r="AY1081" s="3" t="s">
        <v>10459</v>
      </c>
      <c r="AZ1081" s="3" t="s">
        <v>10460</v>
      </c>
      <c r="BA1081" s="3" t="s">
        <v>10460</v>
      </c>
      <c r="BB1081" s="3" t="s">
        <v>10505</v>
      </c>
      <c r="BC1081" s="3" t="s">
        <v>82</v>
      </c>
      <c r="BD1081" s="3" t="s">
        <v>70</v>
      </c>
      <c r="BF1081" s="3" t="s">
        <v>10505</v>
      </c>
      <c r="BG1081" s="3" t="s">
        <v>10506</v>
      </c>
    </row>
    <row r="1082" spans="1:59" ht="150" x14ac:dyDescent="0.25">
      <c r="A1082" s="2" t="s">
        <v>59</v>
      </c>
      <c r="B1082" s="2" t="s">
        <v>60</v>
      </c>
      <c r="C1082" s="2" t="s">
        <v>10450</v>
      </c>
      <c r="D1082" s="2" t="s">
        <v>10451</v>
      </c>
      <c r="E1082" s="2" t="s">
        <v>10452</v>
      </c>
      <c r="F1082" s="3" t="s">
        <v>10507</v>
      </c>
      <c r="G1082" s="3" t="s">
        <v>62</v>
      </c>
      <c r="I1082" s="3" t="s">
        <v>63</v>
      </c>
      <c r="J1082" s="3" t="s">
        <v>63</v>
      </c>
      <c r="K1082" s="3" t="s">
        <v>64</v>
      </c>
      <c r="L1082" s="2" t="s">
        <v>10454</v>
      </c>
      <c r="N1082" s="3" t="s">
        <v>10455</v>
      </c>
      <c r="O1082" s="2" t="s">
        <v>10456</v>
      </c>
      <c r="P1082" s="3" t="s">
        <v>90</v>
      </c>
      <c r="R1082" s="3" t="s">
        <v>67</v>
      </c>
      <c r="S1082" s="4">
        <v>3</v>
      </c>
      <c r="T1082" s="4">
        <v>253</v>
      </c>
      <c r="U1082" s="5" t="s">
        <v>10508</v>
      </c>
      <c r="V1082" s="5" t="s">
        <v>5434</v>
      </c>
      <c r="W1082" s="5" t="s">
        <v>69</v>
      </c>
      <c r="X1082" s="5" t="s">
        <v>69</v>
      </c>
      <c r="Y1082" s="4">
        <v>1</v>
      </c>
      <c r="Z1082" s="4">
        <v>1</v>
      </c>
      <c r="AA1082" s="4">
        <v>1</v>
      </c>
      <c r="AB1082" s="4">
        <v>1</v>
      </c>
      <c r="AC1082" s="4">
        <v>1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3" t="s">
        <v>63</v>
      </c>
      <c r="AS1082" s="3" t="s">
        <v>63</v>
      </c>
      <c r="AT1082" s="3" t="s">
        <v>63</v>
      </c>
      <c r="AV1082" s="6" t="str">
        <f>HYPERLINK("http://mcgill.on.worldcat.org/oclc/427507485","Catalog Record")</f>
        <v>Catalog Record</v>
      </c>
      <c r="AW1082" s="6" t="str">
        <f>HYPERLINK("http://www.worldcat.org/oclc/427507485","WorldCat Record")</f>
        <v>WorldCat Record</v>
      </c>
      <c r="AX1082" s="3" t="s">
        <v>10458</v>
      </c>
      <c r="AY1082" s="3" t="s">
        <v>10459</v>
      </c>
      <c r="AZ1082" s="3" t="s">
        <v>10460</v>
      </c>
      <c r="BA1082" s="3" t="s">
        <v>10460</v>
      </c>
      <c r="BB1082" s="3" t="s">
        <v>10509</v>
      </c>
      <c r="BC1082" s="3" t="s">
        <v>82</v>
      </c>
      <c r="BD1082" s="3" t="s">
        <v>70</v>
      </c>
      <c r="BF1082" s="3" t="s">
        <v>10509</v>
      </c>
      <c r="BG1082" s="3" t="s">
        <v>10510</v>
      </c>
    </row>
    <row r="1083" spans="1:59" ht="150" x14ac:dyDescent="0.25">
      <c r="A1083" s="2" t="s">
        <v>59</v>
      </c>
      <c r="B1083" s="2" t="s">
        <v>60</v>
      </c>
      <c r="C1083" s="2" t="s">
        <v>10450</v>
      </c>
      <c r="D1083" s="2" t="s">
        <v>10451</v>
      </c>
      <c r="E1083" s="2" t="s">
        <v>10452</v>
      </c>
      <c r="F1083" s="3" t="s">
        <v>4181</v>
      </c>
      <c r="G1083" s="3" t="s">
        <v>62</v>
      </c>
      <c r="I1083" s="3" t="s">
        <v>63</v>
      </c>
      <c r="J1083" s="3" t="s">
        <v>63</v>
      </c>
      <c r="K1083" s="3" t="s">
        <v>64</v>
      </c>
      <c r="L1083" s="2" t="s">
        <v>10454</v>
      </c>
      <c r="N1083" s="3" t="s">
        <v>10455</v>
      </c>
      <c r="O1083" s="2" t="s">
        <v>10456</v>
      </c>
      <c r="P1083" s="3" t="s">
        <v>90</v>
      </c>
      <c r="R1083" s="3" t="s">
        <v>67</v>
      </c>
      <c r="S1083" s="4">
        <v>9</v>
      </c>
      <c r="T1083" s="4">
        <v>253</v>
      </c>
      <c r="U1083" s="5" t="s">
        <v>10511</v>
      </c>
      <c r="V1083" s="5" t="s">
        <v>5434</v>
      </c>
      <c r="W1083" s="5" t="s">
        <v>69</v>
      </c>
      <c r="X1083" s="5" t="s">
        <v>69</v>
      </c>
      <c r="Y1083" s="4">
        <v>1</v>
      </c>
      <c r="Z1083" s="4">
        <v>1</v>
      </c>
      <c r="AA1083" s="4">
        <v>1</v>
      </c>
      <c r="AB1083" s="4">
        <v>1</v>
      </c>
      <c r="AC1083" s="4">
        <v>1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3" t="s">
        <v>63</v>
      </c>
      <c r="AS1083" s="3" t="s">
        <v>63</v>
      </c>
      <c r="AT1083" s="3" t="s">
        <v>63</v>
      </c>
      <c r="AV1083" s="6" t="str">
        <f>HYPERLINK("http://mcgill.on.worldcat.org/oclc/427507485","Catalog Record")</f>
        <v>Catalog Record</v>
      </c>
      <c r="AW1083" s="6" t="str">
        <f>HYPERLINK("http://www.worldcat.org/oclc/427507485","WorldCat Record")</f>
        <v>WorldCat Record</v>
      </c>
      <c r="AX1083" s="3" t="s">
        <v>10458</v>
      </c>
      <c r="AY1083" s="3" t="s">
        <v>10459</v>
      </c>
      <c r="AZ1083" s="3" t="s">
        <v>10460</v>
      </c>
      <c r="BA1083" s="3" t="s">
        <v>10460</v>
      </c>
      <c r="BB1083" s="3" t="s">
        <v>10512</v>
      </c>
      <c r="BC1083" s="3" t="s">
        <v>82</v>
      </c>
      <c r="BD1083" s="3" t="s">
        <v>70</v>
      </c>
      <c r="BF1083" s="3" t="s">
        <v>10512</v>
      </c>
      <c r="BG1083" s="3" t="s">
        <v>10513</v>
      </c>
    </row>
    <row r="1084" spans="1:59" ht="150" x14ac:dyDescent="0.25">
      <c r="A1084" s="2" t="s">
        <v>59</v>
      </c>
      <c r="B1084" s="2" t="s">
        <v>60</v>
      </c>
      <c r="C1084" s="2" t="s">
        <v>10450</v>
      </c>
      <c r="D1084" s="2" t="s">
        <v>10451</v>
      </c>
      <c r="E1084" s="2" t="s">
        <v>10452</v>
      </c>
      <c r="F1084" s="3" t="s">
        <v>4168</v>
      </c>
      <c r="G1084" s="3" t="s">
        <v>62</v>
      </c>
      <c r="I1084" s="3" t="s">
        <v>63</v>
      </c>
      <c r="J1084" s="3" t="s">
        <v>63</v>
      </c>
      <c r="K1084" s="3" t="s">
        <v>64</v>
      </c>
      <c r="L1084" s="2" t="s">
        <v>10454</v>
      </c>
      <c r="N1084" s="3" t="s">
        <v>10455</v>
      </c>
      <c r="O1084" s="2" t="s">
        <v>10456</v>
      </c>
      <c r="P1084" s="3" t="s">
        <v>90</v>
      </c>
      <c r="R1084" s="3" t="s">
        <v>67</v>
      </c>
      <c r="S1084" s="4">
        <v>21</v>
      </c>
      <c r="T1084" s="4">
        <v>253</v>
      </c>
      <c r="U1084" s="5" t="s">
        <v>10514</v>
      </c>
      <c r="V1084" s="5" t="s">
        <v>5434</v>
      </c>
      <c r="W1084" s="5" t="s">
        <v>69</v>
      </c>
      <c r="X1084" s="5" t="s">
        <v>69</v>
      </c>
      <c r="Y1084" s="4">
        <v>1</v>
      </c>
      <c r="Z1084" s="4">
        <v>1</v>
      </c>
      <c r="AA1084" s="4">
        <v>1</v>
      </c>
      <c r="AB1084" s="4">
        <v>1</v>
      </c>
      <c r="AC1084" s="4">
        <v>1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3" t="s">
        <v>63</v>
      </c>
      <c r="AS1084" s="3" t="s">
        <v>63</v>
      </c>
      <c r="AT1084" s="3" t="s">
        <v>63</v>
      </c>
      <c r="AV1084" s="6" t="str">
        <f>HYPERLINK("http://mcgill.on.worldcat.org/oclc/427507485","Catalog Record")</f>
        <v>Catalog Record</v>
      </c>
      <c r="AW1084" s="6" t="str">
        <f>HYPERLINK("http://www.worldcat.org/oclc/427507485","WorldCat Record")</f>
        <v>WorldCat Record</v>
      </c>
      <c r="AX1084" s="3" t="s">
        <v>10458</v>
      </c>
      <c r="AY1084" s="3" t="s">
        <v>10459</v>
      </c>
      <c r="AZ1084" s="3" t="s">
        <v>10460</v>
      </c>
      <c r="BA1084" s="3" t="s">
        <v>10460</v>
      </c>
      <c r="BB1084" s="3" t="s">
        <v>10515</v>
      </c>
      <c r="BC1084" s="3" t="s">
        <v>82</v>
      </c>
      <c r="BD1084" s="3" t="s">
        <v>70</v>
      </c>
      <c r="BF1084" s="3" t="s">
        <v>10515</v>
      </c>
      <c r="BG1084" s="3" t="s">
        <v>10516</v>
      </c>
    </row>
    <row r="1085" spans="1:59" ht="150" x14ac:dyDescent="0.25">
      <c r="A1085" s="2" t="s">
        <v>59</v>
      </c>
      <c r="B1085" s="2" t="s">
        <v>60</v>
      </c>
      <c r="C1085" s="2" t="s">
        <v>10450</v>
      </c>
      <c r="D1085" s="2" t="s">
        <v>10451</v>
      </c>
      <c r="E1085" s="2" t="s">
        <v>10452</v>
      </c>
      <c r="F1085" s="3" t="s">
        <v>10517</v>
      </c>
      <c r="G1085" s="3" t="s">
        <v>62</v>
      </c>
      <c r="I1085" s="3" t="s">
        <v>63</v>
      </c>
      <c r="J1085" s="3" t="s">
        <v>63</v>
      </c>
      <c r="K1085" s="3" t="s">
        <v>64</v>
      </c>
      <c r="L1085" s="2" t="s">
        <v>10454</v>
      </c>
      <c r="N1085" s="3" t="s">
        <v>10455</v>
      </c>
      <c r="O1085" s="2" t="s">
        <v>10456</v>
      </c>
      <c r="P1085" s="3" t="s">
        <v>90</v>
      </c>
      <c r="R1085" s="3" t="s">
        <v>67</v>
      </c>
      <c r="S1085" s="4">
        <v>3</v>
      </c>
      <c r="T1085" s="4">
        <v>253</v>
      </c>
      <c r="U1085" s="5" t="s">
        <v>10518</v>
      </c>
      <c r="V1085" s="5" t="s">
        <v>5434</v>
      </c>
      <c r="W1085" s="5" t="s">
        <v>69</v>
      </c>
      <c r="X1085" s="5" t="s">
        <v>69</v>
      </c>
      <c r="Y1085" s="4">
        <v>1</v>
      </c>
      <c r="Z1085" s="4">
        <v>1</v>
      </c>
      <c r="AA1085" s="4">
        <v>1</v>
      </c>
      <c r="AB1085" s="4">
        <v>1</v>
      </c>
      <c r="AC1085" s="4">
        <v>1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3" t="s">
        <v>63</v>
      </c>
      <c r="AS1085" s="3" t="s">
        <v>63</v>
      </c>
      <c r="AT1085" s="3" t="s">
        <v>63</v>
      </c>
      <c r="AV1085" s="6" t="str">
        <f>HYPERLINK("http://mcgill.on.worldcat.org/oclc/427507485","Catalog Record")</f>
        <v>Catalog Record</v>
      </c>
      <c r="AW1085" s="6" t="str">
        <f>HYPERLINK("http://www.worldcat.org/oclc/427507485","WorldCat Record")</f>
        <v>WorldCat Record</v>
      </c>
      <c r="AX1085" s="3" t="s">
        <v>10458</v>
      </c>
      <c r="AY1085" s="3" t="s">
        <v>10459</v>
      </c>
      <c r="AZ1085" s="3" t="s">
        <v>10460</v>
      </c>
      <c r="BA1085" s="3" t="s">
        <v>10460</v>
      </c>
      <c r="BB1085" s="3" t="s">
        <v>10519</v>
      </c>
      <c r="BC1085" s="3" t="s">
        <v>82</v>
      </c>
      <c r="BD1085" s="3" t="s">
        <v>70</v>
      </c>
      <c r="BF1085" s="3" t="s">
        <v>10519</v>
      </c>
      <c r="BG1085" s="3" t="s">
        <v>10520</v>
      </c>
    </row>
    <row r="1086" spans="1:59" ht="150" x14ac:dyDescent="0.25">
      <c r="A1086" s="2" t="s">
        <v>59</v>
      </c>
      <c r="B1086" s="2" t="s">
        <v>60</v>
      </c>
      <c r="C1086" s="2" t="s">
        <v>10450</v>
      </c>
      <c r="D1086" s="2" t="s">
        <v>10451</v>
      </c>
      <c r="E1086" s="2" t="s">
        <v>10452</v>
      </c>
      <c r="F1086" s="3" t="s">
        <v>10521</v>
      </c>
      <c r="G1086" s="3" t="s">
        <v>62</v>
      </c>
      <c r="I1086" s="3" t="s">
        <v>63</v>
      </c>
      <c r="J1086" s="3" t="s">
        <v>63</v>
      </c>
      <c r="K1086" s="3" t="s">
        <v>64</v>
      </c>
      <c r="L1086" s="2" t="s">
        <v>10454</v>
      </c>
      <c r="N1086" s="3" t="s">
        <v>10455</v>
      </c>
      <c r="O1086" s="2" t="s">
        <v>10456</v>
      </c>
      <c r="P1086" s="3" t="s">
        <v>90</v>
      </c>
      <c r="R1086" s="3" t="s">
        <v>67</v>
      </c>
      <c r="S1086" s="4">
        <v>20</v>
      </c>
      <c r="T1086" s="4">
        <v>253</v>
      </c>
      <c r="U1086" s="5" t="s">
        <v>10522</v>
      </c>
      <c r="V1086" s="5" t="s">
        <v>5434</v>
      </c>
      <c r="W1086" s="5" t="s">
        <v>69</v>
      </c>
      <c r="X1086" s="5" t="s">
        <v>69</v>
      </c>
      <c r="Y1086" s="4">
        <v>1</v>
      </c>
      <c r="Z1086" s="4">
        <v>1</v>
      </c>
      <c r="AA1086" s="4">
        <v>1</v>
      </c>
      <c r="AB1086" s="4">
        <v>1</v>
      </c>
      <c r="AC1086" s="4">
        <v>1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3" t="s">
        <v>63</v>
      </c>
      <c r="AS1086" s="3" t="s">
        <v>63</v>
      </c>
      <c r="AT1086" s="3" t="s">
        <v>63</v>
      </c>
      <c r="AV1086" s="6" t="str">
        <f>HYPERLINK("http://mcgill.on.worldcat.org/oclc/427507485","Catalog Record")</f>
        <v>Catalog Record</v>
      </c>
      <c r="AW1086" s="6" t="str">
        <f>HYPERLINK("http://www.worldcat.org/oclc/427507485","WorldCat Record")</f>
        <v>WorldCat Record</v>
      </c>
      <c r="AX1086" s="3" t="s">
        <v>10458</v>
      </c>
      <c r="AY1086" s="3" t="s">
        <v>10459</v>
      </c>
      <c r="AZ1086" s="3" t="s">
        <v>10460</v>
      </c>
      <c r="BA1086" s="3" t="s">
        <v>10460</v>
      </c>
      <c r="BB1086" s="3" t="s">
        <v>10523</v>
      </c>
      <c r="BC1086" s="3" t="s">
        <v>82</v>
      </c>
      <c r="BD1086" s="3" t="s">
        <v>70</v>
      </c>
      <c r="BF1086" s="3" t="s">
        <v>10523</v>
      </c>
      <c r="BG1086" s="3" t="s">
        <v>10524</v>
      </c>
    </row>
    <row r="1087" spans="1:59" ht="150" x14ac:dyDescent="0.25">
      <c r="A1087" s="2" t="s">
        <v>59</v>
      </c>
      <c r="B1087" s="2" t="s">
        <v>60</v>
      </c>
      <c r="C1087" s="2" t="s">
        <v>10450</v>
      </c>
      <c r="D1087" s="2" t="s">
        <v>10451</v>
      </c>
      <c r="E1087" s="2" t="s">
        <v>10452</v>
      </c>
      <c r="F1087" s="3" t="s">
        <v>10525</v>
      </c>
      <c r="G1087" s="3" t="s">
        <v>62</v>
      </c>
      <c r="I1087" s="3" t="s">
        <v>63</v>
      </c>
      <c r="J1087" s="3" t="s">
        <v>63</v>
      </c>
      <c r="K1087" s="3" t="s">
        <v>64</v>
      </c>
      <c r="L1087" s="2" t="s">
        <v>10454</v>
      </c>
      <c r="N1087" s="3" t="s">
        <v>10455</v>
      </c>
      <c r="O1087" s="2" t="s">
        <v>10456</v>
      </c>
      <c r="P1087" s="3" t="s">
        <v>90</v>
      </c>
      <c r="R1087" s="3" t="s">
        <v>67</v>
      </c>
      <c r="S1087" s="4">
        <v>23</v>
      </c>
      <c r="T1087" s="4">
        <v>253</v>
      </c>
      <c r="U1087" s="5" t="s">
        <v>10492</v>
      </c>
      <c r="V1087" s="5" t="s">
        <v>5434</v>
      </c>
      <c r="W1087" s="5" t="s">
        <v>69</v>
      </c>
      <c r="X1087" s="5" t="s">
        <v>69</v>
      </c>
      <c r="Y1087" s="4">
        <v>1</v>
      </c>
      <c r="Z1087" s="4">
        <v>1</v>
      </c>
      <c r="AA1087" s="4">
        <v>1</v>
      </c>
      <c r="AB1087" s="4">
        <v>1</v>
      </c>
      <c r="AC1087" s="4">
        <v>1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3" t="s">
        <v>63</v>
      </c>
      <c r="AS1087" s="3" t="s">
        <v>63</v>
      </c>
      <c r="AT1087" s="3" t="s">
        <v>63</v>
      </c>
      <c r="AV1087" s="6" t="str">
        <f>HYPERLINK("http://mcgill.on.worldcat.org/oclc/427507485","Catalog Record")</f>
        <v>Catalog Record</v>
      </c>
      <c r="AW1087" s="6" t="str">
        <f>HYPERLINK("http://www.worldcat.org/oclc/427507485","WorldCat Record")</f>
        <v>WorldCat Record</v>
      </c>
      <c r="AX1087" s="3" t="s">
        <v>10458</v>
      </c>
      <c r="AY1087" s="3" t="s">
        <v>10459</v>
      </c>
      <c r="AZ1087" s="3" t="s">
        <v>10460</v>
      </c>
      <c r="BA1087" s="3" t="s">
        <v>10460</v>
      </c>
      <c r="BB1087" s="3" t="s">
        <v>10526</v>
      </c>
      <c r="BC1087" s="3" t="s">
        <v>82</v>
      </c>
      <c r="BD1087" s="3" t="s">
        <v>70</v>
      </c>
      <c r="BF1087" s="3" t="s">
        <v>10526</v>
      </c>
      <c r="BG1087" s="3" t="s">
        <v>10527</v>
      </c>
    </row>
    <row r="1088" spans="1:59" ht="150" x14ac:dyDescent="0.25">
      <c r="A1088" s="2" t="s">
        <v>59</v>
      </c>
      <c r="B1088" s="2" t="s">
        <v>60</v>
      </c>
      <c r="C1088" s="2" t="s">
        <v>10450</v>
      </c>
      <c r="D1088" s="2" t="s">
        <v>10451</v>
      </c>
      <c r="E1088" s="2" t="s">
        <v>10452</v>
      </c>
      <c r="F1088" s="3" t="s">
        <v>10528</v>
      </c>
      <c r="G1088" s="3" t="s">
        <v>62</v>
      </c>
      <c r="I1088" s="3" t="s">
        <v>63</v>
      </c>
      <c r="J1088" s="3" t="s">
        <v>63</v>
      </c>
      <c r="K1088" s="3" t="s">
        <v>64</v>
      </c>
      <c r="L1088" s="2" t="s">
        <v>10454</v>
      </c>
      <c r="N1088" s="3" t="s">
        <v>10455</v>
      </c>
      <c r="O1088" s="2" t="s">
        <v>10456</v>
      </c>
      <c r="P1088" s="3" t="s">
        <v>90</v>
      </c>
      <c r="R1088" s="3" t="s">
        <v>67</v>
      </c>
      <c r="S1088" s="4">
        <v>11</v>
      </c>
      <c r="T1088" s="4">
        <v>253</v>
      </c>
      <c r="U1088" s="5" t="s">
        <v>1869</v>
      </c>
      <c r="V1088" s="5" t="s">
        <v>5434</v>
      </c>
      <c r="W1088" s="5" t="s">
        <v>69</v>
      </c>
      <c r="X1088" s="5" t="s">
        <v>69</v>
      </c>
      <c r="Y1088" s="4">
        <v>1</v>
      </c>
      <c r="Z1088" s="4">
        <v>1</v>
      </c>
      <c r="AA1088" s="4">
        <v>1</v>
      </c>
      <c r="AB1088" s="4">
        <v>1</v>
      </c>
      <c r="AC1088" s="4">
        <v>1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3" t="s">
        <v>63</v>
      </c>
      <c r="AS1088" s="3" t="s">
        <v>63</v>
      </c>
      <c r="AT1088" s="3" t="s">
        <v>63</v>
      </c>
      <c r="AV1088" s="6" t="str">
        <f>HYPERLINK("http://mcgill.on.worldcat.org/oclc/427507485","Catalog Record")</f>
        <v>Catalog Record</v>
      </c>
      <c r="AW1088" s="6" t="str">
        <f>HYPERLINK("http://www.worldcat.org/oclc/427507485","WorldCat Record")</f>
        <v>WorldCat Record</v>
      </c>
      <c r="AX1088" s="3" t="s">
        <v>10458</v>
      </c>
      <c r="AY1088" s="3" t="s">
        <v>10459</v>
      </c>
      <c r="AZ1088" s="3" t="s">
        <v>10460</v>
      </c>
      <c r="BA1088" s="3" t="s">
        <v>10460</v>
      </c>
      <c r="BB1088" s="3" t="s">
        <v>10529</v>
      </c>
      <c r="BC1088" s="3" t="s">
        <v>82</v>
      </c>
      <c r="BD1088" s="3" t="s">
        <v>70</v>
      </c>
      <c r="BF1088" s="3" t="s">
        <v>10529</v>
      </c>
      <c r="BG1088" s="3" t="s">
        <v>10530</v>
      </c>
    </row>
    <row r="1089" spans="1:59" ht="60" x14ac:dyDescent="0.25">
      <c r="A1089" s="2" t="s">
        <v>59</v>
      </c>
      <c r="B1089" s="2" t="s">
        <v>60</v>
      </c>
      <c r="C1089" s="2" t="s">
        <v>10531</v>
      </c>
      <c r="D1089" s="2" t="s">
        <v>10532</v>
      </c>
      <c r="E1089" s="2" t="s">
        <v>10533</v>
      </c>
      <c r="F1089" s="3" t="s">
        <v>10534</v>
      </c>
      <c r="G1089" s="3" t="s">
        <v>62</v>
      </c>
      <c r="I1089" s="3" t="s">
        <v>62</v>
      </c>
      <c r="J1089" s="3" t="s">
        <v>63</v>
      </c>
      <c r="K1089" s="3" t="s">
        <v>64</v>
      </c>
      <c r="L1089" s="2" t="s">
        <v>10454</v>
      </c>
      <c r="M1089" s="2" t="s">
        <v>10535</v>
      </c>
      <c r="N1089" s="3" t="s">
        <v>743</v>
      </c>
      <c r="P1089" s="3" t="s">
        <v>90</v>
      </c>
      <c r="R1089" s="3" t="s">
        <v>67</v>
      </c>
      <c r="S1089" s="4">
        <v>3</v>
      </c>
      <c r="T1089" s="4">
        <v>338</v>
      </c>
      <c r="U1089" s="5" t="s">
        <v>10536</v>
      </c>
      <c r="V1089" s="5" t="s">
        <v>10537</v>
      </c>
      <c r="W1089" s="5" t="s">
        <v>69</v>
      </c>
      <c r="X1089" s="5" t="s">
        <v>69</v>
      </c>
      <c r="Y1089" s="4">
        <v>27</v>
      </c>
      <c r="Z1089" s="4">
        <v>9</v>
      </c>
      <c r="AA1089" s="4">
        <v>15</v>
      </c>
      <c r="AB1089" s="4">
        <v>1</v>
      </c>
      <c r="AC1089" s="4">
        <v>1</v>
      </c>
      <c r="AD1089" s="4">
        <v>12</v>
      </c>
      <c r="AE1089" s="4">
        <v>91</v>
      </c>
      <c r="AF1089" s="4">
        <v>0</v>
      </c>
      <c r="AG1089" s="4">
        <v>0</v>
      </c>
      <c r="AH1089" s="4">
        <v>8</v>
      </c>
      <c r="AI1089" s="4">
        <v>85</v>
      </c>
      <c r="AJ1089" s="4">
        <v>6</v>
      </c>
      <c r="AK1089" s="4">
        <v>11</v>
      </c>
      <c r="AL1089" s="4">
        <v>6</v>
      </c>
      <c r="AM1089" s="4">
        <v>48</v>
      </c>
      <c r="AN1089" s="4">
        <v>0</v>
      </c>
      <c r="AO1089" s="4">
        <v>0</v>
      </c>
      <c r="AP1089" s="4">
        <v>6</v>
      </c>
      <c r="AQ1089" s="4">
        <v>11</v>
      </c>
      <c r="AR1089" s="3" t="s">
        <v>63</v>
      </c>
      <c r="AS1089" s="3" t="s">
        <v>63</v>
      </c>
      <c r="AT1089" s="3" t="s">
        <v>62</v>
      </c>
      <c r="AU1089" s="6" t="str">
        <f>HYPERLINK("http://catalog.hathitrust.org/Record/101883230","HathiTrust Record")</f>
        <v>HathiTrust Record</v>
      </c>
      <c r="AV1089" s="6" t="str">
        <f>HYPERLINK("http://mcgill.on.worldcat.org/oclc/43124239","Catalog Record")</f>
        <v>Catalog Record</v>
      </c>
      <c r="AW1089" s="6" t="str">
        <f>HYPERLINK("http://www.worldcat.org/oclc/43124239","WorldCat Record")</f>
        <v>WorldCat Record</v>
      </c>
      <c r="AX1089" s="3" t="s">
        <v>10538</v>
      </c>
      <c r="AY1089" s="3" t="s">
        <v>10539</v>
      </c>
      <c r="AZ1089" s="3" t="s">
        <v>10540</v>
      </c>
      <c r="BA1089" s="3" t="s">
        <v>10540</v>
      </c>
      <c r="BB1089" s="3" t="s">
        <v>10541</v>
      </c>
      <c r="BC1089" s="3" t="s">
        <v>82</v>
      </c>
      <c r="BD1089" s="3" t="s">
        <v>70</v>
      </c>
      <c r="BE1089" s="3" t="s">
        <v>10542</v>
      </c>
      <c r="BF1089" s="3" t="s">
        <v>10541</v>
      </c>
      <c r="BG1089" s="3" t="s">
        <v>10543</v>
      </c>
    </row>
    <row r="1090" spans="1:59" ht="60" x14ac:dyDescent="0.25">
      <c r="A1090" s="2" t="s">
        <v>59</v>
      </c>
      <c r="B1090" s="2" t="s">
        <v>60</v>
      </c>
      <c r="C1090" s="2" t="s">
        <v>10531</v>
      </c>
      <c r="D1090" s="2" t="s">
        <v>10532</v>
      </c>
      <c r="E1090" s="2" t="s">
        <v>10533</v>
      </c>
      <c r="F1090" s="3" t="s">
        <v>10544</v>
      </c>
      <c r="G1090" s="3" t="s">
        <v>62</v>
      </c>
      <c r="I1090" s="3" t="s">
        <v>62</v>
      </c>
      <c r="J1090" s="3" t="s">
        <v>63</v>
      </c>
      <c r="K1090" s="3" t="s">
        <v>64</v>
      </c>
      <c r="L1090" s="2" t="s">
        <v>10454</v>
      </c>
      <c r="M1090" s="2" t="s">
        <v>10535</v>
      </c>
      <c r="N1090" s="3" t="s">
        <v>743</v>
      </c>
      <c r="P1090" s="3" t="s">
        <v>90</v>
      </c>
      <c r="R1090" s="3" t="s">
        <v>67</v>
      </c>
      <c r="S1090" s="4">
        <v>0</v>
      </c>
      <c r="T1090" s="4">
        <v>338</v>
      </c>
      <c r="V1090" s="5" t="s">
        <v>10537</v>
      </c>
      <c r="W1090" s="5" t="s">
        <v>69</v>
      </c>
      <c r="X1090" s="5" t="s">
        <v>69</v>
      </c>
      <c r="Y1090" s="4">
        <v>27</v>
      </c>
      <c r="Z1090" s="4">
        <v>9</v>
      </c>
      <c r="AA1090" s="4">
        <v>15</v>
      </c>
      <c r="AB1090" s="4">
        <v>1</v>
      </c>
      <c r="AC1090" s="4">
        <v>1</v>
      </c>
      <c r="AD1090" s="4">
        <v>12</v>
      </c>
      <c r="AE1090" s="4">
        <v>91</v>
      </c>
      <c r="AF1090" s="4">
        <v>0</v>
      </c>
      <c r="AG1090" s="4">
        <v>0</v>
      </c>
      <c r="AH1090" s="4">
        <v>8</v>
      </c>
      <c r="AI1090" s="4">
        <v>85</v>
      </c>
      <c r="AJ1090" s="4">
        <v>6</v>
      </c>
      <c r="AK1090" s="4">
        <v>11</v>
      </c>
      <c r="AL1090" s="4">
        <v>6</v>
      </c>
      <c r="AM1090" s="4">
        <v>48</v>
      </c>
      <c r="AN1090" s="4">
        <v>0</v>
      </c>
      <c r="AO1090" s="4">
        <v>0</v>
      </c>
      <c r="AP1090" s="4">
        <v>6</v>
      </c>
      <c r="AQ1090" s="4">
        <v>11</v>
      </c>
      <c r="AR1090" s="3" t="s">
        <v>63</v>
      </c>
      <c r="AS1090" s="3" t="s">
        <v>63</v>
      </c>
      <c r="AT1090" s="3" t="s">
        <v>62</v>
      </c>
      <c r="AU1090" s="6" t="str">
        <f>HYPERLINK("http://catalog.hathitrust.org/Record/101883230","HathiTrust Record")</f>
        <v>HathiTrust Record</v>
      </c>
      <c r="AV1090" s="6" t="str">
        <f>HYPERLINK("http://mcgill.on.worldcat.org/oclc/43124239","Catalog Record")</f>
        <v>Catalog Record</v>
      </c>
      <c r="AW1090" s="6" t="str">
        <f>HYPERLINK("http://www.worldcat.org/oclc/43124239","WorldCat Record")</f>
        <v>WorldCat Record</v>
      </c>
      <c r="AX1090" s="3" t="s">
        <v>10538</v>
      </c>
      <c r="AY1090" s="3" t="s">
        <v>10539</v>
      </c>
      <c r="AZ1090" s="3" t="s">
        <v>10540</v>
      </c>
      <c r="BA1090" s="3" t="s">
        <v>10540</v>
      </c>
      <c r="BB1090" s="3" t="s">
        <v>10545</v>
      </c>
      <c r="BC1090" s="3" t="s">
        <v>82</v>
      </c>
      <c r="BD1090" s="3" t="s">
        <v>70</v>
      </c>
      <c r="BE1090" s="3" t="s">
        <v>10542</v>
      </c>
      <c r="BF1090" s="3" t="s">
        <v>10545</v>
      </c>
      <c r="BG1090" s="3" t="s">
        <v>10546</v>
      </c>
    </row>
    <row r="1091" spans="1:59" ht="60" x14ac:dyDescent="0.25">
      <c r="A1091" s="2" t="s">
        <v>59</v>
      </c>
      <c r="B1091" s="2" t="s">
        <v>60</v>
      </c>
      <c r="C1091" s="2" t="s">
        <v>10531</v>
      </c>
      <c r="D1091" s="2" t="s">
        <v>10532</v>
      </c>
      <c r="E1091" s="2" t="s">
        <v>10533</v>
      </c>
      <c r="F1091" s="3" t="s">
        <v>10547</v>
      </c>
      <c r="G1091" s="3" t="s">
        <v>62</v>
      </c>
      <c r="I1091" s="3" t="s">
        <v>62</v>
      </c>
      <c r="J1091" s="3" t="s">
        <v>63</v>
      </c>
      <c r="K1091" s="3" t="s">
        <v>64</v>
      </c>
      <c r="L1091" s="2" t="s">
        <v>10454</v>
      </c>
      <c r="M1091" s="2" t="s">
        <v>10535</v>
      </c>
      <c r="N1091" s="3" t="s">
        <v>743</v>
      </c>
      <c r="P1091" s="3" t="s">
        <v>90</v>
      </c>
      <c r="R1091" s="3" t="s">
        <v>67</v>
      </c>
      <c r="S1091" s="4">
        <v>2</v>
      </c>
      <c r="T1091" s="4">
        <v>338</v>
      </c>
      <c r="U1091" s="5" t="s">
        <v>10537</v>
      </c>
      <c r="V1091" s="5" t="s">
        <v>10537</v>
      </c>
      <c r="W1091" s="5" t="s">
        <v>69</v>
      </c>
      <c r="X1091" s="5" t="s">
        <v>69</v>
      </c>
      <c r="Y1091" s="4">
        <v>27</v>
      </c>
      <c r="Z1091" s="4">
        <v>9</v>
      </c>
      <c r="AA1091" s="4">
        <v>15</v>
      </c>
      <c r="AB1091" s="4">
        <v>1</v>
      </c>
      <c r="AC1091" s="4">
        <v>1</v>
      </c>
      <c r="AD1091" s="4">
        <v>12</v>
      </c>
      <c r="AE1091" s="4">
        <v>91</v>
      </c>
      <c r="AF1091" s="4">
        <v>0</v>
      </c>
      <c r="AG1091" s="4">
        <v>0</v>
      </c>
      <c r="AH1091" s="4">
        <v>8</v>
      </c>
      <c r="AI1091" s="4">
        <v>85</v>
      </c>
      <c r="AJ1091" s="4">
        <v>6</v>
      </c>
      <c r="AK1091" s="4">
        <v>11</v>
      </c>
      <c r="AL1091" s="4">
        <v>6</v>
      </c>
      <c r="AM1091" s="4">
        <v>48</v>
      </c>
      <c r="AN1091" s="4">
        <v>0</v>
      </c>
      <c r="AO1091" s="4">
        <v>0</v>
      </c>
      <c r="AP1091" s="4">
        <v>6</v>
      </c>
      <c r="AQ1091" s="4">
        <v>11</v>
      </c>
      <c r="AR1091" s="3" t="s">
        <v>63</v>
      </c>
      <c r="AS1091" s="3" t="s">
        <v>63</v>
      </c>
      <c r="AT1091" s="3" t="s">
        <v>62</v>
      </c>
      <c r="AU1091" s="6" t="str">
        <f>HYPERLINK("http://catalog.hathitrust.org/Record/101883230","HathiTrust Record")</f>
        <v>HathiTrust Record</v>
      </c>
      <c r="AV1091" s="6" t="str">
        <f>HYPERLINK("http://mcgill.on.worldcat.org/oclc/43124239","Catalog Record")</f>
        <v>Catalog Record</v>
      </c>
      <c r="AW1091" s="6" t="str">
        <f>HYPERLINK("http://www.worldcat.org/oclc/43124239","WorldCat Record")</f>
        <v>WorldCat Record</v>
      </c>
      <c r="AX1091" s="3" t="s">
        <v>10538</v>
      </c>
      <c r="AY1091" s="3" t="s">
        <v>10539</v>
      </c>
      <c r="AZ1091" s="3" t="s">
        <v>10540</v>
      </c>
      <c r="BA1091" s="3" t="s">
        <v>10540</v>
      </c>
      <c r="BB1091" s="3" t="s">
        <v>10548</v>
      </c>
      <c r="BC1091" s="3" t="s">
        <v>82</v>
      </c>
      <c r="BD1091" s="3" t="s">
        <v>70</v>
      </c>
      <c r="BE1091" s="3" t="s">
        <v>10542</v>
      </c>
      <c r="BF1091" s="3" t="s">
        <v>10548</v>
      </c>
      <c r="BG1091" s="3" t="s">
        <v>10549</v>
      </c>
    </row>
    <row r="1092" spans="1:59" ht="60" x14ac:dyDescent="0.25">
      <c r="A1092" s="2" t="s">
        <v>59</v>
      </c>
      <c r="B1092" s="2" t="s">
        <v>60</v>
      </c>
      <c r="C1092" s="2" t="s">
        <v>10531</v>
      </c>
      <c r="D1092" s="2" t="s">
        <v>10532</v>
      </c>
      <c r="E1092" s="2" t="s">
        <v>10533</v>
      </c>
      <c r="F1092" s="3" t="s">
        <v>10550</v>
      </c>
      <c r="G1092" s="3" t="s">
        <v>62</v>
      </c>
      <c r="I1092" s="3" t="s">
        <v>62</v>
      </c>
      <c r="J1092" s="3" t="s">
        <v>63</v>
      </c>
      <c r="K1092" s="3" t="s">
        <v>64</v>
      </c>
      <c r="L1092" s="2" t="s">
        <v>10454</v>
      </c>
      <c r="M1092" s="2" t="s">
        <v>10535</v>
      </c>
      <c r="N1092" s="3" t="s">
        <v>743</v>
      </c>
      <c r="P1092" s="3" t="s">
        <v>90</v>
      </c>
      <c r="R1092" s="3" t="s">
        <v>67</v>
      </c>
      <c r="S1092" s="4">
        <v>7</v>
      </c>
      <c r="T1092" s="4">
        <v>338</v>
      </c>
      <c r="U1092" s="5" t="s">
        <v>10536</v>
      </c>
      <c r="V1092" s="5" t="s">
        <v>10537</v>
      </c>
      <c r="W1092" s="5" t="s">
        <v>69</v>
      </c>
      <c r="X1092" s="5" t="s">
        <v>69</v>
      </c>
      <c r="Y1092" s="4">
        <v>27</v>
      </c>
      <c r="Z1092" s="4">
        <v>9</v>
      </c>
      <c r="AA1092" s="4">
        <v>15</v>
      </c>
      <c r="AB1092" s="4">
        <v>1</v>
      </c>
      <c r="AC1092" s="4">
        <v>1</v>
      </c>
      <c r="AD1092" s="4">
        <v>12</v>
      </c>
      <c r="AE1092" s="4">
        <v>91</v>
      </c>
      <c r="AF1092" s="4">
        <v>0</v>
      </c>
      <c r="AG1092" s="4">
        <v>0</v>
      </c>
      <c r="AH1092" s="4">
        <v>8</v>
      </c>
      <c r="AI1092" s="4">
        <v>85</v>
      </c>
      <c r="AJ1092" s="4">
        <v>6</v>
      </c>
      <c r="AK1092" s="4">
        <v>11</v>
      </c>
      <c r="AL1092" s="4">
        <v>6</v>
      </c>
      <c r="AM1092" s="4">
        <v>48</v>
      </c>
      <c r="AN1092" s="4">
        <v>0</v>
      </c>
      <c r="AO1092" s="4">
        <v>0</v>
      </c>
      <c r="AP1092" s="4">
        <v>6</v>
      </c>
      <c r="AQ1092" s="4">
        <v>11</v>
      </c>
      <c r="AR1092" s="3" t="s">
        <v>63</v>
      </c>
      <c r="AS1092" s="3" t="s">
        <v>63</v>
      </c>
      <c r="AT1092" s="3" t="s">
        <v>62</v>
      </c>
      <c r="AU1092" s="6" t="str">
        <f>HYPERLINK("http://catalog.hathitrust.org/Record/101883230","HathiTrust Record")</f>
        <v>HathiTrust Record</v>
      </c>
      <c r="AV1092" s="6" t="str">
        <f>HYPERLINK("http://mcgill.on.worldcat.org/oclc/43124239","Catalog Record")</f>
        <v>Catalog Record</v>
      </c>
      <c r="AW1092" s="6" t="str">
        <f>HYPERLINK("http://www.worldcat.org/oclc/43124239","WorldCat Record")</f>
        <v>WorldCat Record</v>
      </c>
      <c r="AX1092" s="3" t="s">
        <v>10538</v>
      </c>
      <c r="AY1092" s="3" t="s">
        <v>10539</v>
      </c>
      <c r="AZ1092" s="3" t="s">
        <v>10540</v>
      </c>
      <c r="BA1092" s="3" t="s">
        <v>10540</v>
      </c>
      <c r="BB1092" s="3" t="s">
        <v>10551</v>
      </c>
      <c r="BC1092" s="3" t="s">
        <v>82</v>
      </c>
      <c r="BD1092" s="3" t="s">
        <v>70</v>
      </c>
      <c r="BE1092" s="3" t="s">
        <v>10542</v>
      </c>
      <c r="BF1092" s="3" t="s">
        <v>10551</v>
      </c>
      <c r="BG1092" s="3" t="s">
        <v>10552</v>
      </c>
    </row>
    <row r="1093" spans="1:59" ht="60" x14ac:dyDescent="0.25">
      <c r="A1093" s="2" t="s">
        <v>59</v>
      </c>
      <c r="B1093" s="2" t="s">
        <v>60</v>
      </c>
      <c r="C1093" s="2" t="s">
        <v>10531</v>
      </c>
      <c r="D1093" s="2" t="s">
        <v>10532</v>
      </c>
      <c r="E1093" s="2" t="s">
        <v>10533</v>
      </c>
      <c r="F1093" s="3" t="s">
        <v>10553</v>
      </c>
      <c r="G1093" s="3" t="s">
        <v>62</v>
      </c>
      <c r="I1093" s="3" t="s">
        <v>62</v>
      </c>
      <c r="J1093" s="3" t="s">
        <v>63</v>
      </c>
      <c r="K1093" s="3" t="s">
        <v>64</v>
      </c>
      <c r="L1093" s="2" t="s">
        <v>10454</v>
      </c>
      <c r="M1093" s="2" t="s">
        <v>10535</v>
      </c>
      <c r="N1093" s="3" t="s">
        <v>743</v>
      </c>
      <c r="P1093" s="3" t="s">
        <v>90</v>
      </c>
      <c r="R1093" s="3" t="s">
        <v>67</v>
      </c>
      <c r="S1093" s="4">
        <v>2</v>
      </c>
      <c r="T1093" s="4">
        <v>338</v>
      </c>
      <c r="U1093" s="5" t="s">
        <v>10537</v>
      </c>
      <c r="V1093" s="5" t="s">
        <v>10537</v>
      </c>
      <c r="W1093" s="5" t="s">
        <v>69</v>
      </c>
      <c r="X1093" s="5" t="s">
        <v>69</v>
      </c>
      <c r="Y1093" s="4">
        <v>27</v>
      </c>
      <c r="Z1093" s="4">
        <v>9</v>
      </c>
      <c r="AA1093" s="4">
        <v>15</v>
      </c>
      <c r="AB1093" s="4">
        <v>1</v>
      </c>
      <c r="AC1093" s="4">
        <v>1</v>
      </c>
      <c r="AD1093" s="4">
        <v>12</v>
      </c>
      <c r="AE1093" s="4">
        <v>91</v>
      </c>
      <c r="AF1093" s="4">
        <v>0</v>
      </c>
      <c r="AG1093" s="4">
        <v>0</v>
      </c>
      <c r="AH1093" s="4">
        <v>8</v>
      </c>
      <c r="AI1093" s="4">
        <v>85</v>
      </c>
      <c r="AJ1093" s="4">
        <v>6</v>
      </c>
      <c r="AK1093" s="4">
        <v>11</v>
      </c>
      <c r="AL1093" s="4">
        <v>6</v>
      </c>
      <c r="AM1093" s="4">
        <v>48</v>
      </c>
      <c r="AN1093" s="4">
        <v>0</v>
      </c>
      <c r="AO1093" s="4">
        <v>0</v>
      </c>
      <c r="AP1093" s="4">
        <v>6</v>
      </c>
      <c r="AQ1093" s="4">
        <v>11</v>
      </c>
      <c r="AR1093" s="3" t="s">
        <v>63</v>
      </c>
      <c r="AS1093" s="3" t="s">
        <v>63</v>
      </c>
      <c r="AT1093" s="3" t="s">
        <v>62</v>
      </c>
      <c r="AU1093" s="6" t="str">
        <f>HYPERLINK("http://catalog.hathitrust.org/Record/101883230","HathiTrust Record")</f>
        <v>HathiTrust Record</v>
      </c>
      <c r="AV1093" s="6" t="str">
        <f>HYPERLINK("http://mcgill.on.worldcat.org/oclc/43124239","Catalog Record")</f>
        <v>Catalog Record</v>
      </c>
      <c r="AW1093" s="6" t="str">
        <f>HYPERLINK("http://www.worldcat.org/oclc/43124239","WorldCat Record")</f>
        <v>WorldCat Record</v>
      </c>
      <c r="AX1093" s="3" t="s">
        <v>10538</v>
      </c>
      <c r="AY1093" s="3" t="s">
        <v>10539</v>
      </c>
      <c r="AZ1093" s="3" t="s">
        <v>10540</v>
      </c>
      <c r="BA1093" s="3" t="s">
        <v>10540</v>
      </c>
      <c r="BB1093" s="3" t="s">
        <v>10554</v>
      </c>
      <c r="BC1093" s="3" t="s">
        <v>82</v>
      </c>
      <c r="BD1093" s="3" t="s">
        <v>70</v>
      </c>
      <c r="BE1093" s="3" t="s">
        <v>10542</v>
      </c>
      <c r="BF1093" s="3" t="s">
        <v>10554</v>
      </c>
      <c r="BG1093" s="3" t="s">
        <v>10555</v>
      </c>
    </row>
    <row r="1094" spans="1:59" ht="60" x14ac:dyDescent="0.25">
      <c r="A1094" s="2" t="s">
        <v>59</v>
      </c>
      <c r="B1094" s="2" t="s">
        <v>60</v>
      </c>
      <c r="C1094" s="2" t="s">
        <v>10531</v>
      </c>
      <c r="D1094" s="2" t="s">
        <v>10532</v>
      </c>
      <c r="E1094" s="2" t="s">
        <v>10533</v>
      </c>
      <c r="F1094" s="3" t="s">
        <v>10556</v>
      </c>
      <c r="G1094" s="3" t="s">
        <v>62</v>
      </c>
      <c r="I1094" s="3" t="s">
        <v>62</v>
      </c>
      <c r="J1094" s="3" t="s">
        <v>63</v>
      </c>
      <c r="K1094" s="3" t="s">
        <v>64</v>
      </c>
      <c r="L1094" s="2" t="s">
        <v>10454</v>
      </c>
      <c r="M1094" s="2" t="s">
        <v>10535</v>
      </c>
      <c r="N1094" s="3" t="s">
        <v>743</v>
      </c>
      <c r="P1094" s="3" t="s">
        <v>90</v>
      </c>
      <c r="R1094" s="3" t="s">
        <v>67</v>
      </c>
      <c r="S1094" s="4">
        <v>2</v>
      </c>
      <c r="T1094" s="4">
        <v>338</v>
      </c>
      <c r="U1094" s="5" t="s">
        <v>10536</v>
      </c>
      <c r="V1094" s="5" t="s">
        <v>10537</v>
      </c>
      <c r="W1094" s="5" t="s">
        <v>69</v>
      </c>
      <c r="X1094" s="5" t="s">
        <v>69</v>
      </c>
      <c r="Y1094" s="4">
        <v>27</v>
      </c>
      <c r="Z1094" s="4">
        <v>9</v>
      </c>
      <c r="AA1094" s="4">
        <v>15</v>
      </c>
      <c r="AB1094" s="4">
        <v>1</v>
      </c>
      <c r="AC1094" s="4">
        <v>1</v>
      </c>
      <c r="AD1094" s="4">
        <v>12</v>
      </c>
      <c r="AE1094" s="4">
        <v>91</v>
      </c>
      <c r="AF1094" s="4">
        <v>0</v>
      </c>
      <c r="AG1094" s="4">
        <v>0</v>
      </c>
      <c r="AH1094" s="4">
        <v>8</v>
      </c>
      <c r="AI1094" s="4">
        <v>85</v>
      </c>
      <c r="AJ1094" s="4">
        <v>6</v>
      </c>
      <c r="AK1094" s="4">
        <v>11</v>
      </c>
      <c r="AL1094" s="4">
        <v>6</v>
      </c>
      <c r="AM1094" s="4">
        <v>48</v>
      </c>
      <c r="AN1094" s="4">
        <v>0</v>
      </c>
      <c r="AO1094" s="4">
        <v>0</v>
      </c>
      <c r="AP1094" s="4">
        <v>6</v>
      </c>
      <c r="AQ1094" s="4">
        <v>11</v>
      </c>
      <c r="AR1094" s="3" t="s">
        <v>63</v>
      </c>
      <c r="AS1094" s="3" t="s">
        <v>63</v>
      </c>
      <c r="AT1094" s="3" t="s">
        <v>62</v>
      </c>
      <c r="AU1094" s="6" t="str">
        <f>HYPERLINK("http://catalog.hathitrust.org/Record/101883230","HathiTrust Record")</f>
        <v>HathiTrust Record</v>
      </c>
      <c r="AV1094" s="6" t="str">
        <f>HYPERLINK("http://mcgill.on.worldcat.org/oclc/43124239","Catalog Record")</f>
        <v>Catalog Record</v>
      </c>
      <c r="AW1094" s="6" t="str">
        <f>HYPERLINK("http://www.worldcat.org/oclc/43124239","WorldCat Record")</f>
        <v>WorldCat Record</v>
      </c>
      <c r="AX1094" s="3" t="s">
        <v>10538</v>
      </c>
      <c r="AY1094" s="3" t="s">
        <v>10539</v>
      </c>
      <c r="AZ1094" s="3" t="s">
        <v>10540</v>
      </c>
      <c r="BA1094" s="3" t="s">
        <v>10540</v>
      </c>
      <c r="BB1094" s="3" t="s">
        <v>10557</v>
      </c>
      <c r="BC1094" s="3" t="s">
        <v>82</v>
      </c>
      <c r="BD1094" s="3" t="s">
        <v>70</v>
      </c>
      <c r="BE1094" s="3" t="s">
        <v>10542</v>
      </c>
      <c r="BF1094" s="3" t="s">
        <v>10557</v>
      </c>
      <c r="BG1094" s="3" t="s">
        <v>10558</v>
      </c>
    </row>
    <row r="1095" spans="1:59" ht="60" x14ac:dyDescent="0.25">
      <c r="A1095" s="2" t="s">
        <v>59</v>
      </c>
      <c r="B1095" s="2" t="s">
        <v>60</v>
      </c>
      <c r="C1095" s="2" t="s">
        <v>10531</v>
      </c>
      <c r="D1095" s="2" t="s">
        <v>10532</v>
      </c>
      <c r="E1095" s="2" t="s">
        <v>10533</v>
      </c>
      <c r="F1095" s="3" t="s">
        <v>9066</v>
      </c>
      <c r="G1095" s="3" t="s">
        <v>62</v>
      </c>
      <c r="I1095" s="3" t="s">
        <v>62</v>
      </c>
      <c r="J1095" s="3" t="s">
        <v>63</v>
      </c>
      <c r="K1095" s="3" t="s">
        <v>64</v>
      </c>
      <c r="L1095" s="2" t="s">
        <v>10454</v>
      </c>
      <c r="M1095" s="2" t="s">
        <v>10535</v>
      </c>
      <c r="N1095" s="3" t="s">
        <v>743</v>
      </c>
      <c r="P1095" s="3" t="s">
        <v>90</v>
      </c>
      <c r="R1095" s="3" t="s">
        <v>67</v>
      </c>
      <c r="S1095" s="4">
        <v>2</v>
      </c>
      <c r="T1095" s="4">
        <v>338</v>
      </c>
      <c r="U1095" s="5" t="s">
        <v>10559</v>
      </c>
      <c r="V1095" s="5" t="s">
        <v>10537</v>
      </c>
      <c r="W1095" s="5" t="s">
        <v>69</v>
      </c>
      <c r="X1095" s="5" t="s">
        <v>69</v>
      </c>
      <c r="Y1095" s="4">
        <v>27</v>
      </c>
      <c r="Z1095" s="4">
        <v>9</v>
      </c>
      <c r="AA1095" s="4">
        <v>15</v>
      </c>
      <c r="AB1095" s="4">
        <v>1</v>
      </c>
      <c r="AC1095" s="4">
        <v>1</v>
      </c>
      <c r="AD1095" s="4">
        <v>12</v>
      </c>
      <c r="AE1095" s="4">
        <v>91</v>
      </c>
      <c r="AF1095" s="4">
        <v>0</v>
      </c>
      <c r="AG1095" s="4">
        <v>0</v>
      </c>
      <c r="AH1095" s="4">
        <v>8</v>
      </c>
      <c r="AI1095" s="4">
        <v>85</v>
      </c>
      <c r="AJ1095" s="4">
        <v>6</v>
      </c>
      <c r="AK1095" s="4">
        <v>11</v>
      </c>
      <c r="AL1095" s="4">
        <v>6</v>
      </c>
      <c r="AM1095" s="4">
        <v>48</v>
      </c>
      <c r="AN1095" s="4">
        <v>0</v>
      </c>
      <c r="AO1095" s="4">
        <v>0</v>
      </c>
      <c r="AP1095" s="4">
        <v>6</v>
      </c>
      <c r="AQ1095" s="4">
        <v>11</v>
      </c>
      <c r="AR1095" s="3" t="s">
        <v>63</v>
      </c>
      <c r="AS1095" s="3" t="s">
        <v>63</v>
      </c>
      <c r="AT1095" s="3" t="s">
        <v>62</v>
      </c>
      <c r="AU1095" s="6" t="str">
        <f>HYPERLINK("http://catalog.hathitrust.org/Record/101883230","HathiTrust Record")</f>
        <v>HathiTrust Record</v>
      </c>
      <c r="AV1095" s="6" t="str">
        <f>HYPERLINK("http://mcgill.on.worldcat.org/oclc/43124239","Catalog Record")</f>
        <v>Catalog Record</v>
      </c>
      <c r="AW1095" s="6" t="str">
        <f>HYPERLINK("http://www.worldcat.org/oclc/43124239","WorldCat Record")</f>
        <v>WorldCat Record</v>
      </c>
      <c r="AX1095" s="3" t="s">
        <v>10538</v>
      </c>
      <c r="AY1095" s="3" t="s">
        <v>10539</v>
      </c>
      <c r="AZ1095" s="3" t="s">
        <v>10540</v>
      </c>
      <c r="BA1095" s="3" t="s">
        <v>10540</v>
      </c>
      <c r="BB1095" s="3" t="s">
        <v>10560</v>
      </c>
      <c r="BC1095" s="3" t="s">
        <v>82</v>
      </c>
      <c r="BD1095" s="3" t="s">
        <v>70</v>
      </c>
      <c r="BE1095" s="3" t="s">
        <v>10542</v>
      </c>
      <c r="BF1095" s="3" t="s">
        <v>10560</v>
      </c>
      <c r="BG1095" s="3" t="s">
        <v>10561</v>
      </c>
    </row>
    <row r="1096" spans="1:59" ht="60" x14ac:dyDescent="0.25">
      <c r="A1096" s="2" t="s">
        <v>59</v>
      </c>
      <c r="B1096" s="2" t="s">
        <v>60</v>
      </c>
      <c r="C1096" s="2" t="s">
        <v>10531</v>
      </c>
      <c r="D1096" s="2" t="s">
        <v>10532</v>
      </c>
      <c r="E1096" s="2" t="s">
        <v>10533</v>
      </c>
      <c r="F1096" s="3" t="s">
        <v>4439</v>
      </c>
      <c r="G1096" s="3" t="s">
        <v>62</v>
      </c>
      <c r="I1096" s="3" t="s">
        <v>62</v>
      </c>
      <c r="J1096" s="3" t="s">
        <v>63</v>
      </c>
      <c r="K1096" s="3" t="s">
        <v>64</v>
      </c>
      <c r="L1096" s="2" t="s">
        <v>10454</v>
      </c>
      <c r="M1096" s="2" t="s">
        <v>10535</v>
      </c>
      <c r="N1096" s="3" t="s">
        <v>743</v>
      </c>
      <c r="P1096" s="3" t="s">
        <v>90</v>
      </c>
      <c r="R1096" s="3" t="s">
        <v>67</v>
      </c>
      <c r="S1096" s="4">
        <v>2</v>
      </c>
      <c r="T1096" s="4">
        <v>338</v>
      </c>
      <c r="U1096" s="5" t="s">
        <v>10562</v>
      </c>
      <c r="V1096" s="5" t="s">
        <v>10537</v>
      </c>
      <c r="W1096" s="5" t="s">
        <v>69</v>
      </c>
      <c r="X1096" s="5" t="s">
        <v>69</v>
      </c>
      <c r="Y1096" s="4">
        <v>27</v>
      </c>
      <c r="Z1096" s="4">
        <v>9</v>
      </c>
      <c r="AA1096" s="4">
        <v>15</v>
      </c>
      <c r="AB1096" s="4">
        <v>1</v>
      </c>
      <c r="AC1096" s="4">
        <v>1</v>
      </c>
      <c r="AD1096" s="4">
        <v>12</v>
      </c>
      <c r="AE1096" s="4">
        <v>91</v>
      </c>
      <c r="AF1096" s="4">
        <v>0</v>
      </c>
      <c r="AG1096" s="4">
        <v>0</v>
      </c>
      <c r="AH1096" s="4">
        <v>8</v>
      </c>
      <c r="AI1096" s="4">
        <v>85</v>
      </c>
      <c r="AJ1096" s="4">
        <v>6</v>
      </c>
      <c r="AK1096" s="4">
        <v>11</v>
      </c>
      <c r="AL1096" s="4">
        <v>6</v>
      </c>
      <c r="AM1096" s="4">
        <v>48</v>
      </c>
      <c r="AN1096" s="4">
        <v>0</v>
      </c>
      <c r="AO1096" s="4">
        <v>0</v>
      </c>
      <c r="AP1096" s="4">
        <v>6</v>
      </c>
      <c r="AQ1096" s="4">
        <v>11</v>
      </c>
      <c r="AR1096" s="3" t="s">
        <v>63</v>
      </c>
      <c r="AS1096" s="3" t="s">
        <v>63</v>
      </c>
      <c r="AT1096" s="3" t="s">
        <v>62</v>
      </c>
      <c r="AU1096" s="6" t="str">
        <f>HYPERLINK("http://catalog.hathitrust.org/Record/101883230","HathiTrust Record")</f>
        <v>HathiTrust Record</v>
      </c>
      <c r="AV1096" s="6" t="str">
        <f>HYPERLINK("http://mcgill.on.worldcat.org/oclc/43124239","Catalog Record")</f>
        <v>Catalog Record</v>
      </c>
      <c r="AW1096" s="6" t="str">
        <f>HYPERLINK("http://www.worldcat.org/oclc/43124239","WorldCat Record")</f>
        <v>WorldCat Record</v>
      </c>
      <c r="AX1096" s="3" t="s">
        <v>10538</v>
      </c>
      <c r="AY1096" s="3" t="s">
        <v>10539</v>
      </c>
      <c r="AZ1096" s="3" t="s">
        <v>10540</v>
      </c>
      <c r="BA1096" s="3" t="s">
        <v>10540</v>
      </c>
      <c r="BB1096" s="3" t="s">
        <v>10563</v>
      </c>
      <c r="BC1096" s="3" t="s">
        <v>82</v>
      </c>
      <c r="BD1096" s="3" t="s">
        <v>70</v>
      </c>
      <c r="BE1096" s="3" t="s">
        <v>10542</v>
      </c>
      <c r="BF1096" s="3" t="s">
        <v>10563</v>
      </c>
      <c r="BG1096" s="3" t="s">
        <v>10564</v>
      </c>
    </row>
    <row r="1097" spans="1:59" ht="60" x14ac:dyDescent="0.25">
      <c r="A1097" s="2" t="s">
        <v>59</v>
      </c>
      <c r="B1097" s="2" t="s">
        <v>60</v>
      </c>
      <c r="C1097" s="2" t="s">
        <v>10531</v>
      </c>
      <c r="D1097" s="2" t="s">
        <v>10532</v>
      </c>
      <c r="E1097" s="2" t="s">
        <v>10533</v>
      </c>
      <c r="F1097" s="3" t="s">
        <v>9055</v>
      </c>
      <c r="G1097" s="3" t="s">
        <v>62</v>
      </c>
      <c r="I1097" s="3" t="s">
        <v>62</v>
      </c>
      <c r="J1097" s="3" t="s">
        <v>63</v>
      </c>
      <c r="K1097" s="3" t="s">
        <v>64</v>
      </c>
      <c r="L1097" s="2" t="s">
        <v>10454</v>
      </c>
      <c r="M1097" s="2" t="s">
        <v>10535</v>
      </c>
      <c r="N1097" s="3" t="s">
        <v>743</v>
      </c>
      <c r="P1097" s="3" t="s">
        <v>90</v>
      </c>
      <c r="R1097" s="3" t="s">
        <v>67</v>
      </c>
      <c r="S1097" s="4">
        <v>0</v>
      </c>
      <c r="T1097" s="4">
        <v>338</v>
      </c>
      <c r="V1097" s="5" t="s">
        <v>10537</v>
      </c>
      <c r="W1097" s="5" t="s">
        <v>69</v>
      </c>
      <c r="X1097" s="5" t="s">
        <v>69</v>
      </c>
      <c r="Y1097" s="4">
        <v>27</v>
      </c>
      <c r="Z1097" s="4">
        <v>9</v>
      </c>
      <c r="AA1097" s="4">
        <v>15</v>
      </c>
      <c r="AB1097" s="4">
        <v>1</v>
      </c>
      <c r="AC1097" s="4">
        <v>1</v>
      </c>
      <c r="AD1097" s="4">
        <v>12</v>
      </c>
      <c r="AE1097" s="4">
        <v>91</v>
      </c>
      <c r="AF1097" s="4">
        <v>0</v>
      </c>
      <c r="AG1097" s="4">
        <v>0</v>
      </c>
      <c r="AH1097" s="4">
        <v>8</v>
      </c>
      <c r="AI1097" s="4">
        <v>85</v>
      </c>
      <c r="AJ1097" s="4">
        <v>6</v>
      </c>
      <c r="AK1097" s="4">
        <v>11</v>
      </c>
      <c r="AL1097" s="4">
        <v>6</v>
      </c>
      <c r="AM1097" s="4">
        <v>48</v>
      </c>
      <c r="AN1097" s="4">
        <v>0</v>
      </c>
      <c r="AO1097" s="4">
        <v>0</v>
      </c>
      <c r="AP1097" s="4">
        <v>6</v>
      </c>
      <c r="AQ1097" s="4">
        <v>11</v>
      </c>
      <c r="AR1097" s="3" t="s">
        <v>63</v>
      </c>
      <c r="AS1097" s="3" t="s">
        <v>63</v>
      </c>
      <c r="AT1097" s="3" t="s">
        <v>62</v>
      </c>
      <c r="AU1097" s="6" t="str">
        <f>HYPERLINK("http://catalog.hathitrust.org/Record/101883230","HathiTrust Record")</f>
        <v>HathiTrust Record</v>
      </c>
      <c r="AV1097" s="6" t="str">
        <f>HYPERLINK("http://mcgill.on.worldcat.org/oclc/43124239","Catalog Record")</f>
        <v>Catalog Record</v>
      </c>
      <c r="AW1097" s="6" t="str">
        <f>HYPERLINK("http://www.worldcat.org/oclc/43124239","WorldCat Record")</f>
        <v>WorldCat Record</v>
      </c>
      <c r="AX1097" s="3" t="s">
        <v>10538</v>
      </c>
      <c r="AY1097" s="3" t="s">
        <v>10539</v>
      </c>
      <c r="AZ1097" s="3" t="s">
        <v>10540</v>
      </c>
      <c r="BA1097" s="3" t="s">
        <v>10540</v>
      </c>
      <c r="BB1097" s="3" t="s">
        <v>10565</v>
      </c>
      <c r="BC1097" s="3" t="s">
        <v>82</v>
      </c>
      <c r="BD1097" s="3" t="s">
        <v>70</v>
      </c>
      <c r="BE1097" s="3" t="s">
        <v>10542</v>
      </c>
      <c r="BF1097" s="3" t="s">
        <v>10565</v>
      </c>
      <c r="BG1097" s="3" t="s">
        <v>10566</v>
      </c>
    </row>
    <row r="1098" spans="1:59" ht="60" x14ac:dyDescent="0.25">
      <c r="A1098" s="2" t="s">
        <v>59</v>
      </c>
      <c r="B1098" s="2" t="s">
        <v>60</v>
      </c>
      <c r="C1098" s="2" t="s">
        <v>10531</v>
      </c>
      <c r="D1098" s="2" t="s">
        <v>10532</v>
      </c>
      <c r="E1098" s="2" t="s">
        <v>10533</v>
      </c>
      <c r="F1098" s="3" t="s">
        <v>9066</v>
      </c>
      <c r="G1098" s="3" t="s">
        <v>62</v>
      </c>
      <c r="I1098" s="3" t="s">
        <v>62</v>
      </c>
      <c r="J1098" s="3" t="s">
        <v>63</v>
      </c>
      <c r="K1098" s="3" t="s">
        <v>64</v>
      </c>
      <c r="L1098" s="2" t="s">
        <v>10454</v>
      </c>
      <c r="M1098" s="2" t="s">
        <v>10535</v>
      </c>
      <c r="N1098" s="3" t="s">
        <v>743</v>
      </c>
      <c r="P1098" s="3" t="s">
        <v>90</v>
      </c>
      <c r="R1098" s="3" t="s">
        <v>67</v>
      </c>
      <c r="S1098" s="4">
        <v>3</v>
      </c>
      <c r="T1098" s="4">
        <v>338</v>
      </c>
      <c r="U1098" s="5" t="s">
        <v>10536</v>
      </c>
      <c r="V1098" s="5" t="s">
        <v>10537</v>
      </c>
      <c r="W1098" s="5" t="s">
        <v>69</v>
      </c>
      <c r="X1098" s="5" t="s">
        <v>69</v>
      </c>
      <c r="Y1098" s="4">
        <v>27</v>
      </c>
      <c r="Z1098" s="4">
        <v>9</v>
      </c>
      <c r="AA1098" s="4">
        <v>15</v>
      </c>
      <c r="AB1098" s="4">
        <v>1</v>
      </c>
      <c r="AC1098" s="4">
        <v>1</v>
      </c>
      <c r="AD1098" s="4">
        <v>12</v>
      </c>
      <c r="AE1098" s="4">
        <v>91</v>
      </c>
      <c r="AF1098" s="4">
        <v>0</v>
      </c>
      <c r="AG1098" s="4">
        <v>0</v>
      </c>
      <c r="AH1098" s="4">
        <v>8</v>
      </c>
      <c r="AI1098" s="4">
        <v>85</v>
      </c>
      <c r="AJ1098" s="4">
        <v>6</v>
      </c>
      <c r="AK1098" s="4">
        <v>11</v>
      </c>
      <c r="AL1098" s="4">
        <v>6</v>
      </c>
      <c r="AM1098" s="4">
        <v>48</v>
      </c>
      <c r="AN1098" s="4">
        <v>0</v>
      </c>
      <c r="AO1098" s="4">
        <v>0</v>
      </c>
      <c r="AP1098" s="4">
        <v>6</v>
      </c>
      <c r="AQ1098" s="4">
        <v>11</v>
      </c>
      <c r="AR1098" s="3" t="s">
        <v>63</v>
      </c>
      <c r="AS1098" s="3" t="s">
        <v>63</v>
      </c>
      <c r="AT1098" s="3" t="s">
        <v>62</v>
      </c>
      <c r="AU1098" s="6" t="str">
        <f>HYPERLINK("http://catalog.hathitrust.org/Record/101883230","HathiTrust Record")</f>
        <v>HathiTrust Record</v>
      </c>
      <c r="AV1098" s="6" t="str">
        <f>HYPERLINK("http://mcgill.on.worldcat.org/oclc/43124239","Catalog Record")</f>
        <v>Catalog Record</v>
      </c>
      <c r="AW1098" s="6" t="str">
        <f>HYPERLINK("http://www.worldcat.org/oclc/43124239","WorldCat Record")</f>
        <v>WorldCat Record</v>
      </c>
      <c r="AX1098" s="3" t="s">
        <v>10538</v>
      </c>
      <c r="AY1098" s="3" t="s">
        <v>10539</v>
      </c>
      <c r="AZ1098" s="3" t="s">
        <v>10540</v>
      </c>
      <c r="BA1098" s="3" t="s">
        <v>10540</v>
      </c>
      <c r="BB1098" s="3" t="s">
        <v>10567</v>
      </c>
      <c r="BC1098" s="3" t="s">
        <v>82</v>
      </c>
      <c r="BD1098" s="3" t="s">
        <v>70</v>
      </c>
      <c r="BE1098" s="3" t="s">
        <v>10542</v>
      </c>
      <c r="BF1098" s="3" t="s">
        <v>10567</v>
      </c>
      <c r="BG1098" s="3" t="s">
        <v>10568</v>
      </c>
    </row>
    <row r="1099" spans="1:59" ht="60" x14ac:dyDescent="0.25">
      <c r="A1099" s="2" t="s">
        <v>59</v>
      </c>
      <c r="B1099" s="2" t="s">
        <v>60</v>
      </c>
      <c r="C1099" s="2" t="s">
        <v>10531</v>
      </c>
      <c r="D1099" s="2" t="s">
        <v>10532</v>
      </c>
      <c r="E1099" s="2" t="s">
        <v>10533</v>
      </c>
      <c r="F1099" s="3" t="s">
        <v>4437</v>
      </c>
      <c r="G1099" s="3" t="s">
        <v>62</v>
      </c>
      <c r="I1099" s="3" t="s">
        <v>62</v>
      </c>
      <c r="J1099" s="3" t="s">
        <v>63</v>
      </c>
      <c r="K1099" s="3" t="s">
        <v>64</v>
      </c>
      <c r="L1099" s="2" t="s">
        <v>10454</v>
      </c>
      <c r="M1099" s="2" t="s">
        <v>10535</v>
      </c>
      <c r="N1099" s="3" t="s">
        <v>743</v>
      </c>
      <c r="P1099" s="3" t="s">
        <v>90</v>
      </c>
      <c r="R1099" s="3" t="s">
        <v>67</v>
      </c>
      <c r="S1099" s="4">
        <v>8</v>
      </c>
      <c r="T1099" s="4">
        <v>338</v>
      </c>
      <c r="U1099" s="5" t="s">
        <v>10569</v>
      </c>
      <c r="V1099" s="5" t="s">
        <v>10537</v>
      </c>
      <c r="W1099" s="5" t="s">
        <v>69</v>
      </c>
      <c r="X1099" s="5" t="s">
        <v>69</v>
      </c>
      <c r="Y1099" s="4">
        <v>27</v>
      </c>
      <c r="Z1099" s="4">
        <v>9</v>
      </c>
      <c r="AA1099" s="4">
        <v>15</v>
      </c>
      <c r="AB1099" s="4">
        <v>1</v>
      </c>
      <c r="AC1099" s="4">
        <v>1</v>
      </c>
      <c r="AD1099" s="4">
        <v>12</v>
      </c>
      <c r="AE1099" s="4">
        <v>91</v>
      </c>
      <c r="AF1099" s="4">
        <v>0</v>
      </c>
      <c r="AG1099" s="4">
        <v>0</v>
      </c>
      <c r="AH1099" s="4">
        <v>8</v>
      </c>
      <c r="AI1099" s="4">
        <v>85</v>
      </c>
      <c r="AJ1099" s="4">
        <v>6</v>
      </c>
      <c r="AK1099" s="4">
        <v>11</v>
      </c>
      <c r="AL1099" s="4">
        <v>6</v>
      </c>
      <c r="AM1099" s="4">
        <v>48</v>
      </c>
      <c r="AN1099" s="4">
        <v>0</v>
      </c>
      <c r="AO1099" s="4">
        <v>0</v>
      </c>
      <c r="AP1099" s="4">
        <v>6</v>
      </c>
      <c r="AQ1099" s="4">
        <v>11</v>
      </c>
      <c r="AR1099" s="3" t="s">
        <v>63</v>
      </c>
      <c r="AS1099" s="3" t="s">
        <v>63</v>
      </c>
      <c r="AT1099" s="3" t="s">
        <v>62</v>
      </c>
      <c r="AU1099" s="6" t="str">
        <f>HYPERLINK("http://catalog.hathitrust.org/Record/101883230","HathiTrust Record")</f>
        <v>HathiTrust Record</v>
      </c>
      <c r="AV1099" s="6" t="str">
        <f>HYPERLINK("http://mcgill.on.worldcat.org/oclc/43124239","Catalog Record")</f>
        <v>Catalog Record</v>
      </c>
      <c r="AW1099" s="6" t="str">
        <f>HYPERLINK("http://www.worldcat.org/oclc/43124239","WorldCat Record")</f>
        <v>WorldCat Record</v>
      </c>
      <c r="AX1099" s="3" t="s">
        <v>10538</v>
      </c>
      <c r="AY1099" s="3" t="s">
        <v>10539</v>
      </c>
      <c r="AZ1099" s="3" t="s">
        <v>10540</v>
      </c>
      <c r="BA1099" s="3" t="s">
        <v>10540</v>
      </c>
      <c r="BB1099" s="3" t="s">
        <v>10570</v>
      </c>
      <c r="BC1099" s="3" t="s">
        <v>82</v>
      </c>
      <c r="BD1099" s="3" t="s">
        <v>70</v>
      </c>
      <c r="BE1099" s="3" t="s">
        <v>10542</v>
      </c>
      <c r="BF1099" s="3" t="s">
        <v>10570</v>
      </c>
      <c r="BG1099" s="3" t="s">
        <v>10571</v>
      </c>
    </row>
    <row r="1100" spans="1:59" ht="60" x14ac:dyDescent="0.25">
      <c r="A1100" s="2" t="s">
        <v>59</v>
      </c>
      <c r="B1100" s="2" t="s">
        <v>60</v>
      </c>
      <c r="C1100" s="2" t="s">
        <v>10531</v>
      </c>
      <c r="D1100" s="2" t="s">
        <v>10532</v>
      </c>
      <c r="E1100" s="2" t="s">
        <v>10533</v>
      </c>
      <c r="F1100" s="3" t="s">
        <v>4428</v>
      </c>
      <c r="G1100" s="3" t="s">
        <v>62</v>
      </c>
      <c r="I1100" s="3" t="s">
        <v>62</v>
      </c>
      <c r="J1100" s="3" t="s">
        <v>63</v>
      </c>
      <c r="K1100" s="3" t="s">
        <v>64</v>
      </c>
      <c r="L1100" s="2" t="s">
        <v>10454</v>
      </c>
      <c r="M1100" s="2" t="s">
        <v>10535</v>
      </c>
      <c r="N1100" s="3" t="s">
        <v>743</v>
      </c>
      <c r="P1100" s="3" t="s">
        <v>90</v>
      </c>
      <c r="R1100" s="3" t="s">
        <v>67</v>
      </c>
      <c r="S1100" s="4">
        <v>3</v>
      </c>
      <c r="T1100" s="4">
        <v>338</v>
      </c>
      <c r="U1100" s="5" t="s">
        <v>4037</v>
      </c>
      <c r="V1100" s="5" t="s">
        <v>10537</v>
      </c>
      <c r="W1100" s="5" t="s">
        <v>69</v>
      </c>
      <c r="X1100" s="5" t="s">
        <v>69</v>
      </c>
      <c r="Y1100" s="4">
        <v>27</v>
      </c>
      <c r="Z1100" s="4">
        <v>9</v>
      </c>
      <c r="AA1100" s="4">
        <v>15</v>
      </c>
      <c r="AB1100" s="4">
        <v>1</v>
      </c>
      <c r="AC1100" s="4">
        <v>1</v>
      </c>
      <c r="AD1100" s="4">
        <v>12</v>
      </c>
      <c r="AE1100" s="4">
        <v>91</v>
      </c>
      <c r="AF1100" s="4">
        <v>0</v>
      </c>
      <c r="AG1100" s="4">
        <v>0</v>
      </c>
      <c r="AH1100" s="4">
        <v>8</v>
      </c>
      <c r="AI1100" s="4">
        <v>85</v>
      </c>
      <c r="AJ1100" s="4">
        <v>6</v>
      </c>
      <c r="AK1100" s="4">
        <v>11</v>
      </c>
      <c r="AL1100" s="4">
        <v>6</v>
      </c>
      <c r="AM1100" s="4">
        <v>48</v>
      </c>
      <c r="AN1100" s="4">
        <v>0</v>
      </c>
      <c r="AO1100" s="4">
        <v>0</v>
      </c>
      <c r="AP1100" s="4">
        <v>6</v>
      </c>
      <c r="AQ1100" s="4">
        <v>11</v>
      </c>
      <c r="AR1100" s="3" t="s">
        <v>63</v>
      </c>
      <c r="AS1100" s="3" t="s">
        <v>63</v>
      </c>
      <c r="AT1100" s="3" t="s">
        <v>62</v>
      </c>
      <c r="AU1100" s="6" t="str">
        <f>HYPERLINK("http://catalog.hathitrust.org/Record/101883230","HathiTrust Record")</f>
        <v>HathiTrust Record</v>
      </c>
      <c r="AV1100" s="6" t="str">
        <f>HYPERLINK("http://mcgill.on.worldcat.org/oclc/43124239","Catalog Record")</f>
        <v>Catalog Record</v>
      </c>
      <c r="AW1100" s="6" t="str">
        <f>HYPERLINK("http://www.worldcat.org/oclc/43124239","WorldCat Record")</f>
        <v>WorldCat Record</v>
      </c>
      <c r="AX1100" s="3" t="s">
        <v>10538</v>
      </c>
      <c r="AY1100" s="3" t="s">
        <v>10539</v>
      </c>
      <c r="AZ1100" s="3" t="s">
        <v>10540</v>
      </c>
      <c r="BA1100" s="3" t="s">
        <v>10540</v>
      </c>
      <c r="BB1100" s="3" t="s">
        <v>10572</v>
      </c>
      <c r="BC1100" s="3" t="s">
        <v>82</v>
      </c>
      <c r="BD1100" s="3" t="s">
        <v>70</v>
      </c>
      <c r="BE1100" s="3" t="s">
        <v>10542</v>
      </c>
      <c r="BF1100" s="3" t="s">
        <v>10572</v>
      </c>
      <c r="BG1100" s="3" t="s">
        <v>10573</v>
      </c>
    </row>
    <row r="1101" spans="1:59" ht="60" x14ac:dyDescent="0.25">
      <c r="A1101" s="2" t="s">
        <v>59</v>
      </c>
      <c r="B1101" s="2" t="s">
        <v>60</v>
      </c>
      <c r="C1101" s="2" t="s">
        <v>10531</v>
      </c>
      <c r="D1101" s="2" t="s">
        <v>10532</v>
      </c>
      <c r="E1101" s="2" t="s">
        <v>10533</v>
      </c>
      <c r="F1101" s="3" t="s">
        <v>10574</v>
      </c>
      <c r="G1101" s="3" t="s">
        <v>62</v>
      </c>
      <c r="I1101" s="3" t="s">
        <v>62</v>
      </c>
      <c r="J1101" s="3" t="s">
        <v>63</v>
      </c>
      <c r="K1101" s="3" t="s">
        <v>64</v>
      </c>
      <c r="L1101" s="2" t="s">
        <v>10454</v>
      </c>
      <c r="M1101" s="2" t="s">
        <v>10535</v>
      </c>
      <c r="N1101" s="3" t="s">
        <v>743</v>
      </c>
      <c r="P1101" s="3" t="s">
        <v>90</v>
      </c>
      <c r="R1101" s="3" t="s">
        <v>67</v>
      </c>
      <c r="S1101" s="4">
        <v>2</v>
      </c>
      <c r="T1101" s="4">
        <v>338</v>
      </c>
      <c r="U1101" s="5" t="s">
        <v>10536</v>
      </c>
      <c r="V1101" s="5" t="s">
        <v>10537</v>
      </c>
      <c r="W1101" s="5" t="s">
        <v>69</v>
      </c>
      <c r="X1101" s="5" t="s">
        <v>69</v>
      </c>
      <c r="Y1101" s="4">
        <v>27</v>
      </c>
      <c r="Z1101" s="4">
        <v>9</v>
      </c>
      <c r="AA1101" s="4">
        <v>15</v>
      </c>
      <c r="AB1101" s="4">
        <v>1</v>
      </c>
      <c r="AC1101" s="4">
        <v>1</v>
      </c>
      <c r="AD1101" s="4">
        <v>12</v>
      </c>
      <c r="AE1101" s="4">
        <v>91</v>
      </c>
      <c r="AF1101" s="4">
        <v>0</v>
      </c>
      <c r="AG1101" s="4">
        <v>0</v>
      </c>
      <c r="AH1101" s="4">
        <v>8</v>
      </c>
      <c r="AI1101" s="4">
        <v>85</v>
      </c>
      <c r="AJ1101" s="4">
        <v>6</v>
      </c>
      <c r="AK1101" s="4">
        <v>11</v>
      </c>
      <c r="AL1101" s="4">
        <v>6</v>
      </c>
      <c r="AM1101" s="4">
        <v>48</v>
      </c>
      <c r="AN1101" s="4">
        <v>0</v>
      </c>
      <c r="AO1101" s="4">
        <v>0</v>
      </c>
      <c r="AP1101" s="4">
        <v>6</v>
      </c>
      <c r="AQ1101" s="4">
        <v>11</v>
      </c>
      <c r="AR1101" s="3" t="s">
        <v>63</v>
      </c>
      <c r="AS1101" s="3" t="s">
        <v>63</v>
      </c>
      <c r="AT1101" s="3" t="s">
        <v>62</v>
      </c>
      <c r="AU1101" s="6" t="str">
        <f>HYPERLINK("http://catalog.hathitrust.org/Record/101883230","HathiTrust Record")</f>
        <v>HathiTrust Record</v>
      </c>
      <c r="AV1101" s="6" t="str">
        <f>HYPERLINK("http://mcgill.on.worldcat.org/oclc/43124239","Catalog Record")</f>
        <v>Catalog Record</v>
      </c>
      <c r="AW1101" s="6" t="str">
        <f>HYPERLINK("http://www.worldcat.org/oclc/43124239","WorldCat Record")</f>
        <v>WorldCat Record</v>
      </c>
      <c r="AX1101" s="3" t="s">
        <v>10538</v>
      </c>
      <c r="AY1101" s="3" t="s">
        <v>10539</v>
      </c>
      <c r="AZ1101" s="3" t="s">
        <v>10540</v>
      </c>
      <c r="BA1101" s="3" t="s">
        <v>10540</v>
      </c>
      <c r="BB1101" s="3" t="s">
        <v>10575</v>
      </c>
      <c r="BC1101" s="3" t="s">
        <v>82</v>
      </c>
      <c r="BD1101" s="3" t="s">
        <v>70</v>
      </c>
      <c r="BE1101" s="3" t="s">
        <v>10542</v>
      </c>
      <c r="BF1101" s="3" t="s">
        <v>10575</v>
      </c>
      <c r="BG1101" s="3" t="s">
        <v>10576</v>
      </c>
    </row>
    <row r="1102" spans="1:59" ht="60" x14ac:dyDescent="0.25">
      <c r="A1102" s="2" t="s">
        <v>59</v>
      </c>
      <c r="B1102" s="2" t="s">
        <v>60</v>
      </c>
      <c r="C1102" s="2" t="s">
        <v>10531</v>
      </c>
      <c r="D1102" s="2" t="s">
        <v>10532</v>
      </c>
      <c r="E1102" s="2" t="s">
        <v>10533</v>
      </c>
      <c r="F1102" s="3" t="s">
        <v>9055</v>
      </c>
      <c r="G1102" s="3" t="s">
        <v>62</v>
      </c>
      <c r="I1102" s="3" t="s">
        <v>62</v>
      </c>
      <c r="J1102" s="3" t="s">
        <v>63</v>
      </c>
      <c r="K1102" s="3" t="s">
        <v>64</v>
      </c>
      <c r="L1102" s="2" t="s">
        <v>10454</v>
      </c>
      <c r="M1102" s="2" t="s">
        <v>10535</v>
      </c>
      <c r="N1102" s="3" t="s">
        <v>743</v>
      </c>
      <c r="P1102" s="3" t="s">
        <v>90</v>
      </c>
      <c r="R1102" s="3" t="s">
        <v>67</v>
      </c>
      <c r="S1102" s="4">
        <v>0</v>
      </c>
      <c r="T1102" s="4">
        <v>338</v>
      </c>
      <c r="V1102" s="5" t="s">
        <v>10537</v>
      </c>
      <c r="W1102" s="5" t="s">
        <v>69</v>
      </c>
      <c r="X1102" s="5" t="s">
        <v>69</v>
      </c>
      <c r="Y1102" s="4">
        <v>27</v>
      </c>
      <c r="Z1102" s="4">
        <v>9</v>
      </c>
      <c r="AA1102" s="4">
        <v>15</v>
      </c>
      <c r="AB1102" s="4">
        <v>1</v>
      </c>
      <c r="AC1102" s="4">
        <v>1</v>
      </c>
      <c r="AD1102" s="4">
        <v>12</v>
      </c>
      <c r="AE1102" s="4">
        <v>91</v>
      </c>
      <c r="AF1102" s="4">
        <v>0</v>
      </c>
      <c r="AG1102" s="4">
        <v>0</v>
      </c>
      <c r="AH1102" s="4">
        <v>8</v>
      </c>
      <c r="AI1102" s="4">
        <v>85</v>
      </c>
      <c r="AJ1102" s="4">
        <v>6</v>
      </c>
      <c r="AK1102" s="4">
        <v>11</v>
      </c>
      <c r="AL1102" s="4">
        <v>6</v>
      </c>
      <c r="AM1102" s="4">
        <v>48</v>
      </c>
      <c r="AN1102" s="4">
        <v>0</v>
      </c>
      <c r="AO1102" s="4">
        <v>0</v>
      </c>
      <c r="AP1102" s="4">
        <v>6</v>
      </c>
      <c r="AQ1102" s="4">
        <v>11</v>
      </c>
      <c r="AR1102" s="3" t="s">
        <v>63</v>
      </c>
      <c r="AS1102" s="3" t="s">
        <v>63</v>
      </c>
      <c r="AT1102" s="3" t="s">
        <v>62</v>
      </c>
      <c r="AU1102" s="6" t="str">
        <f>HYPERLINK("http://catalog.hathitrust.org/Record/101883230","HathiTrust Record")</f>
        <v>HathiTrust Record</v>
      </c>
      <c r="AV1102" s="6" t="str">
        <f>HYPERLINK("http://mcgill.on.worldcat.org/oclc/43124239","Catalog Record")</f>
        <v>Catalog Record</v>
      </c>
      <c r="AW1102" s="6" t="str">
        <f>HYPERLINK("http://www.worldcat.org/oclc/43124239","WorldCat Record")</f>
        <v>WorldCat Record</v>
      </c>
      <c r="AX1102" s="3" t="s">
        <v>10538</v>
      </c>
      <c r="AY1102" s="3" t="s">
        <v>10539</v>
      </c>
      <c r="AZ1102" s="3" t="s">
        <v>10540</v>
      </c>
      <c r="BA1102" s="3" t="s">
        <v>10540</v>
      </c>
      <c r="BB1102" s="3" t="s">
        <v>10577</v>
      </c>
      <c r="BC1102" s="3" t="s">
        <v>82</v>
      </c>
      <c r="BD1102" s="3" t="s">
        <v>70</v>
      </c>
      <c r="BE1102" s="3" t="s">
        <v>10542</v>
      </c>
      <c r="BF1102" s="3" t="s">
        <v>10577</v>
      </c>
      <c r="BG1102" s="3" t="s">
        <v>10578</v>
      </c>
    </row>
    <row r="1103" spans="1:59" ht="60" x14ac:dyDescent="0.25">
      <c r="A1103" s="2" t="s">
        <v>59</v>
      </c>
      <c r="B1103" s="2" t="s">
        <v>60</v>
      </c>
      <c r="C1103" s="2" t="s">
        <v>10531</v>
      </c>
      <c r="D1103" s="2" t="s">
        <v>10532</v>
      </c>
      <c r="E1103" s="2" t="s">
        <v>10533</v>
      </c>
      <c r="F1103" s="3" t="s">
        <v>582</v>
      </c>
      <c r="G1103" s="3" t="s">
        <v>62</v>
      </c>
      <c r="I1103" s="3" t="s">
        <v>62</v>
      </c>
      <c r="J1103" s="3" t="s">
        <v>63</v>
      </c>
      <c r="K1103" s="3" t="s">
        <v>64</v>
      </c>
      <c r="L1103" s="2" t="s">
        <v>10454</v>
      </c>
      <c r="M1103" s="2" t="s">
        <v>10535</v>
      </c>
      <c r="N1103" s="3" t="s">
        <v>743</v>
      </c>
      <c r="P1103" s="3" t="s">
        <v>90</v>
      </c>
      <c r="R1103" s="3" t="s">
        <v>67</v>
      </c>
      <c r="S1103" s="4">
        <v>3</v>
      </c>
      <c r="T1103" s="4">
        <v>338</v>
      </c>
      <c r="U1103" s="5" t="s">
        <v>10579</v>
      </c>
      <c r="V1103" s="5" t="s">
        <v>10537</v>
      </c>
      <c r="W1103" s="5" t="s">
        <v>69</v>
      </c>
      <c r="X1103" s="5" t="s">
        <v>69</v>
      </c>
      <c r="Y1103" s="4">
        <v>27</v>
      </c>
      <c r="Z1103" s="4">
        <v>9</v>
      </c>
      <c r="AA1103" s="4">
        <v>15</v>
      </c>
      <c r="AB1103" s="4">
        <v>1</v>
      </c>
      <c r="AC1103" s="4">
        <v>1</v>
      </c>
      <c r="AD1103" s="4">
        <v>12</v>
      </c>
      <c r="AE1103" s="4">
        <v>91</v>
      </c>
      <c r="AF1103" s="4">
        <v>0</v>
      </c>
      <c r="AG1103" s="4">
        <v>0</v>
      </c>
      <c r="AH1103" s="4">
        <v>8</v>
      </c>
      <c r="AI1103" s="4">
        <v>85</v>
      </c>
      <c r="AJ1103" s="4">
        <v>6</v>
      </c>
      <c r="AK1103" s="4">
        <v>11</v>
      </c>
      <c r="AL1103" s="4">
        <v>6</v>
      </c>
      <c r="AM1103" s="4">
        <v>48</v>
      </c>
      <c r="AN1103" s="4">
        <v>0</v>
      </c>
      <c r="AO1103" s="4">
        <v>0</v>
      </c>
      <c r="AP1103" s="4">
        <v>6</v>
      </c>
      <c r="AQ1103" s="4">
        <v>11</v>
      </c>
      <c r="AR1103" s="3" t="s">
        <v>63</v>
      </c>
      <c r="AS1103" s="3" t="s">
        <v>63</v>
      </c>
      <c r="AT1103" s="3" t="s">
        <v>62</v>
      </c>
      <c r="AU1103" s="6" t="str">
        <f>HYPERLINK("http://catalog.hathitrust.org/Record/101883230","HathiTrust Record")</f>
        <v>HathiTrust Record</v>
      </c>
      <c r="AV1103" s="6" t="str">
        <f>HYPERLINK("http://mcgill.on.worldcat.org/oclc/43124239","Catalog Record")</f>
        <v>Catalog Record</v>
      </c>
      <c r="AW1103" s="6" t="str">
        <f>HYPERLINK("http://www.worldcat.org/oclc/43124239","WorldCat Record")</f>
        <v>WorldCat Record</v>
      </c>
      <c r="AX1103" s="3" t="s">
        <v>10538</v>
      </c>
      <c r="AY1103" s="3" t="s">
        <v>10539</v>
      </c>
      <c r="AZ1103" s="3" t="s">
        <v>10540</v>
      </c>
      <c r="BA1103" s="3" t="s">
        <v>10540</v>
      </c>
      <c r="BB1103" s="3" t="s">
        <v>10580</v>
      </c>
      <c r="BC1103" s="3" t="s">
        <v>82</v>
      </c>
      <c r="BD1103" s="3" t="s">
        <v>70</v>
      </c>
      <c r="BE1103" s="3" t="s">
        <v>10542</v>
      </c>
      <c r="BF1103" s="3" t="s">
        <v>10580</v>
      </c>
      <c r="BG1103" s="3" t="s">
        <v>10581</v>
      </c>
    </row>
    <row r="1104" spans="1:59" ht="60" x14ac:dyDescent="0.25">
      <c r="A1104" s="2" t="s">
        <v>59</v>
      </c>
      <c r="B1104" s="2" t="s">
        <v>60</v>
      </c>
      <c r="C1104" s="2" t="s">
        <v>10531</v>
      </c>
      <c r="D1104" s="2" t="s">
        <v>10532</v>
      </c>
      <c r="E1104" s="2" t="s">
        <v>10533</v>
      </c>
      <c r="F1104" s="3" t="s">
        <v>10550</v>
      </c>
      <c r="G1104" s="3" t="s">
        <v>62</v>
      </c>
      <c r="I1104" s="3" t="s">
        <v>62</v>
      </c>
      <c r="J1104" s="3" t="s">
        <v>63</v>
      </c>
      <c r="K1104" s="3" t="s">
        <v>64</v>
      </c>
      <c r="L1104" s="2" t="s">
        <v>10454</v>
      </c>
      <c r="M1104" s="2" t="s">
        <v>10535</v>
      </c>
      <c r="N1104" s="3" t="s">
        <v>743</v>
      </c>
      <c r="P1104" s="3" t="s">
        <v>90</v>
      </c>
      <c r="R1104" s="3" t="s">
        <v>67</v>
      </c>
      <c r="S1104" s="4">
        <v>0</v>
      </c>
      <c r="T1104" s="4">
        <v>338</v>
      </c>
      <c r="V1104" s="5" t="s">
        <v>10537</v>
      </c>
      <c r="W1104" s="5" t="s">
        <v>69</v>
      </c>
      <c r="X1104" s="5" t="s">
        <v>69</v>
      </c>
      <c r="Y1104" s="4">
        <v>27</v>
      </c>
      <c r="Z1104" s="4">
        <v>9</v>
      </c>
      <c r="AA1104" s="4">
        <v>15</v>
      </c>
      <c r="AB1104" s="4">
        <v>1</v>
      </c>
      <c r="AC1104" s="4">
        <v>1</v>
      </c>
      <c r="AD1104" s="4">
        <v>12</v>
      </c>
      <c r="AE1104" s="4">
        <v>91</v>
      </c>
      <c r="AF1104" s="4">
        <v>0</v>
      </c>
      <c r="AG1104" s="4">
        <v>0</v>
      </c>
      <c r="AH1104" s="4">
        <v>8</v>
      </c>
      <c r="AI1104" s="4">
        <v>85</v>
      </c>
      <c r="AJ1104" s="4">
        <v>6</v>
      </c>
      <c r="AK1104" s="4">
        <v>11</v>
      </c>
      <c r="AL1104" s="4">
        <v>6</v>
      </c>
      <c r="AM1104" s="4">
        <v>48</v>
      </c>
      <c r="AN1104" s="4">
        <v>0</v>
      </c>
      <c r="AO1104" s="4">
        <v>0</v>
      </c>
      <c r="AP1104" s="4">
        <v>6</v>
      </c>
      <c r="AQ1104" s="4">
        <v>11</v>
      </c>
      <c r="AR1104" s="3" t="s">
        <v>63</v>
      </c>
      <c r="AS1104" s="3" t="s">
        <v>63</v>
      </c>
      <c r="AT1104" s="3" t="s">
        <v>62</v>
      </c>
      <c r="AU1104" s="6" t="str">
        <f>HYPERLINK("http://catalog.hathitrust.org/Record/101883230","HathiTrust Record")</f>
        <v>HathiTrust Record</v>
      </c>
      <c r="AV1104" s="6" t="str">
        <f>HYPERLINK("http://mcgill.on.worldcat.org/oclc/43124239","Catalog Record")</f>
        <v>Catalog Record</v>
      </c>
      <c r="AW1104" s="6" t="str">
        <f>HYPERLINK("http://www.worldcat.org/oclc/43124239","WorldCat Record")</f>
        <v>WorldCat Record</v>
      </c>
      <c r="AX1104" s="3" t="s">
        <v>10538</v>
      </c>
      <c r="AY1104" s="3" t="s">
        <v>10539</v>
      </c>
      <c r="AZ1104" s="3" t="s">
        <v>10540</v>
      </c>
      <c r="BA1104" s="3" t="s">
        <v>10540</v>
      </c>
      <c r="BB1104" s="3" t="s">
        <v>10582</v>
      </c>
      <c r="BC1104" s="3" t="s">
        <v>82</v>
      </c>
      <c r="BD1104" s="3" t="s">
        <v>70</v>
      </c>
      <c r="BE1104" s="3" t="s">
        <v>10542</v>
      </c>
      <c r="BF1104" s="3" t="s">
        <v>10582</v>
      </c>
      <c r="BG1104" s="3" t="s">
        <v>10583</v>
      </c>
    </row>
    <row r="1105" spans="1:59" ht="60" x14ac:dyDescent="0.25">
      <c r="A1105" s="2" t="s">
        <v>59</v>
      </c>
      <c r="B1105" s="2" t="s">
        <v>60</v>
      </c>
      <c r="C1105" s="2" t="s">
        <v>10531</v>
      </c>
      <c r="D1105" s="2" t="s">
        <v>10532</v>
      </c>
      <c r="E1105" s="2" t="s">
        <v>10533</v>
      </c>
      <c r="F1105" s="3" t="s">
        <v>571</v>
      </c>
      <c r="G1105" s="3" t="s">
        <v>62</v>
      </c>
      <c r="I1105" s="3" t="s">
        <v>62</v>
      </c>
      <c r="J1105" s="3" t="s">
        <v>63</v>
      </c>
      <c r="K1105" s="3" t="s">
        <v>64</v>
      </c>
      <c r="L1105" s="2" t="s">
        <v>10454</v>
      </c>
      <c r="M1105" s="2" t="s">
        <v>10535</v>
      </c>
      <c r="N1105" s="3" t="s">
        <v>743</v>
      </c>
      <c r="P1105" s="3" t="s">
        <v>90</v>
      </c>
      <c r="R1105" s="3" t="s">
        <v>67</v>
      </c>
      <c r="S1105" s="4">
        <v>20</v>
      </c>
      <c r="T1105" s="4">
        <v>338</v>
      </c>
      <c r="U1105" s="5" t="s">
        <v>10584</v>
      </c>
      <c r="V1105" s="5" t="s">
        <v>10537</v>
      </c>
      <c r="W1105" s="5" t="s">
        <v>69</v>
      </c>
      <c r="X1105" s="5" t="s">
        <v>69</v>
      </c>
      <c r="Y1105" s="4">
        <v>27</v>
      </c>
      <c r="Z1105" s="4">
        <v>9</v>
      </c>
      <c r="AA1105" s="4">
        <v>15</v>
      </c>
      <c r="AB1105" s="4">
        <v>1</v>
      </c>
      <c r="AC1105" s="4">
        <v>1</v>
      </c>
      <c r="AD1105" s="4">
        <v>12</v>
      </c>
      <c r="AE1105" s="4">
        <v>91</v>
      </c>
      <c r="AF1105" s="4">
        <v>0</v>
      </c>
      <c r="AG1105" s="4">
        <v>0</v>
      </c>
      <c r="AH1105" s="4">
        <v>8</v>
      </c>
      <c r="AI1105" s="4">
        <v>85</v>
      </c>
      <c r="AJ1105" s="4">
        <v>6</v>
      </c>
      <c r="AK1105" s="4">
        <v>11</v>
      </c>
      <c r="AL1105" s="4">
        <v>6</v>
      </c>
      <c r="AM1105" s="4">
        <v>48</v>
      </c>
      <c r="AN1105" s="4">
        <v>0</v>
      </c>
      <c r="AO1105" s="4">
        <v>0</v>
      </c>
      <c r="AP1105" s="4">
        <v>6</v>
      </c>
      <c r="AQ1105" s="4">
        <v>11</v>
      </c>
      <c r="AR1105" s="3" t="s">
        <v>63</v>
      </c>
      <c r="AS1105" s="3" t="s">
        <v>63</v>
      </c>
      <c r="AT1105" s="3" t="s">
        <v>62</v>
      </c>
      <c r="AU1105" s="6" t="str">
        <f>HYPERLINK("http://catalog.hathitrust.org/Record/101883230","HathiTrust Record")</f>
        <v>HathiTrust Record</v>
      </c>
      <c r="AV1105" s="6" t="str">
        <f>HYPERLINK("http://mcgill.on.worldcat.org/oclc/43124239","Catalog Record")</f>
        <v>Catalog Record</v>
      </c>
      <c r="AW1105" s="6" t="str">
        <f>HYPERLINK("http://www.worldcat.org/oclc/43124239","WorldCat Record")</f>
        <v>WorldCat Record</v>
      </c>
      <c r="AX1105" s="3" t="s">
        <v>10538</v>
      </c>
      <c r="AY1105" s="3" t="s">
        <v>10539</v>
      </c>
      <c r="AZ1105" s="3" t="s">
        <v>10540</v>
      </c>
      <c r="BA1105" s="3" t="s">
        <v>10540</v>
      </c>
      <c r="BB1105" s="3" t="s">
        <v>10585</v>
      </c>
      <c r="BC1105" s="3" t="s">
        <v>82</v>
      </c>
      <c r="BD1105" s="3" t="s">
        <v>70</v>
      </c>
      <c r="BE1105" s="3" t="s">
        <v>10542</v>
      </c>
      <c r="BF1105" s="3" t="s">
        <v>10585</v>
      </c>
      <c r="BG1105" s="3" t="s">
        <v>10586</v>
      </c>
    </row>
    <row r="1106" spans="1:59" ht="60" x14ac:dyDescent="0.25">
      <c r="A1106" s="2" t="s">
        <v>59</v>
      </c>
      <c r="B1106" s="2" t="s">
        <v>60</v>
      </c>
      <c r="C1106" s="2" t="s">
        <v>10531</v>
      </c>
      <c r="D1106" s="2" t="s">
        <v>10532</v>
      </c>
      <c r="E1106" s="2" t="s">
        <v>10533</v>
      </c>
      <c r="F1106" s="3" t="s">
        <v>9069</v>
      </c>
      <c r="G1106" s="3" t="s">
        <v>62</v>
      </c>
      <c r="I1106" s="3" t="s">
        <v>62</v>
      </c>
      <c r="J1106" s="3" t="s">
        <v>63</v>
      </c>
      <c r="K1106" s="3" t="s">
        <v>64</v>
      </c>
      <c r="L1106" s="2" t="s">
        <v>10454</v>
      </c>
      <c r="M1106" s="2" t="s">
        <v>10535</v>
      </c>
      <c r="N1106" s="3" t="s">
        <v>743</v>
      </c>
      <c r="P1106" s="3" t="s">
        <v>90</v>
      </c>
      <c r="R1106" s="3" t="s">
        <v>67</v>
      </c>
      <c r="S1106" s="4">
        <v>5</v>
      </c>
      <c r="T1106" s="4">
        <v>338</v>
      </c>
      <c r="U1106" s="5" t="s">
        <v>10587</v>
      </c>
      <c r="V1106" s="5" t="s">
        <v>10537</v>
      </c>
      <c r="W1106" s="5" t="s">
        <v>69</v>
      </c>
      <c r="X1106" s="5" t="s">
        <v>69</v>
      </c>
      <c r="Y1106" s="4">
        <v>27</v>
      </c>
      <c r="Z1106" s="4">
        <v>9</v>
      </c>
      <c r="AA1106" s="4">
        <v>15</v>
      </c>
      <c r="AB1106" s="4">
        <v>1</v>
      </c>
      <c r="AC1106" s="4">
        <v>1</v>
      </c>
      <c r="AD1106" s="4">
        <v>12</v>
      </c>
      <c r="AE1106" s="4">
        <v>91</v>
      </c>
      <c r="AF1106" s="4">
        <v>0</v>
      </c>
      <c r="AG1106" s="4">
        <v>0</v>
      </c>
      <c r="AH1106" s="4">
        <v>8</v>
      </c>
      <c r="AI1106" s="4">
        <v>85</v>
      </c>
      <c r="AJ1106" s="4">
        <v>6</v>
      </c>
      <c r="AK1106" s="4">
        <v>11</v>
      </c>
      <c r="AL1106" s="4">
        <v>6</v>
      </c>
      <c r="AM1106" s="4">
        <v>48</v>
      </c>
      <c r="AN1106" s="4">
        <v>0</v>
      </c>
      <c r="AO1106" s="4">
        <v>0</v>
      </c>
      <c r="AP1106" s="4">
        <v>6</v>
      </c>
      <c r="AQ1106" s="4">
        <v>11</v>
      </c>
      <c r="AR1106" s="3" t="s">
        <v>63</v>
      </c>
      <c r="AS1106" s="3" t="s">
        <v>63</v>
      </c>
      <c r="AT1106" s="3" t="s">
        <v>62</v>
      </c>
      <c r="AU1106" s="6" t="str">
        <f>HYPERLINK("http://catalog.hathitrust.org/Record/101883230","HathiTrust Record")</f>
        <v>HathiTrust Record</v>
      </c>
      <c r="AV1106" s="6" t="str">
        <f>HYPERLINK("http://mcgill.on.worldcat.org/oclc/43124239","Catalog Record")</f>
        <v>Catalog Record</v>
      </c>
      <c r="AW1106" s="6" t="str">
        <f>HYPERLINK("http://www.worldcat.org/oclc/43124239","WorldCat Record")</f>
        <v>WorldCat Record</v>
      </c>
      <c r="AX1106" s="3" t="s">
        <v>10538</v>
      </c>
      <c r="AY1106" s="3" t="s">
        <v>10539</v>
      </c>
      <c r="AZ1106" s="3" t="s">
        <v>10540</v>
      </c>
      <c r="BA1106" s="3" t="s">
        <v>10540</v>
      </c>
      <c r="BB1106" s="3" t="s">
        <v>10588</v>
      </c>
      <c r="BC1106" s="3" t="s">
        <v>82</v>
      </c>
      <c r="BD1106" s="3" t="s">
        <v>70</v>
      </c>
      <c r="BE1106" s="3" t="s">
        <v>10542</v>
      </c>
      <c r="BF1106" s="3" t="s">
        <v>10588</v>
      </c>
      <c r="BG1106" s="3" t="s">
        <v>10589</v>
      </c>
    </row>
    <row r="1107" spans="1:59" ht="60" x14ac:dyDescent="0.25">
      <c r="A1107" s="2" t="s">
        <v>59</v>
      </c>
      <c r="B1107" s="2" t="s">
        <v>60</v>
      </c>
      <c r="C1107" s="2" t="s">
        <v>10531</v>
      </c>
      <c r="D1107" s="2" t="s">
        <v>10532</v>
      </c>
      <c r="E1107" s="2" t="s">
        <v>10533</v>
      </c>
      <c r="F1107" s="3" t="s">
        <v>4032</v>
      </c>
      <c r="G1107" s="3" t="s">
        <v>62</v>
      </c>
      <c r="I1107" s="3" t="s">
        <v>62</v>
      </c>
      <c r="J1107" s="3" t="s">
        <v>63</v>
      </c>
      <c r="K1107" s="3" t="s">
        <v>64</v>
      </c>
      <c r="L1107" s="2" t="s">
        <v>10454</v>
      </c>
      <c r="M1107" s="2" t="s">
        <v>10535</v>
      </c>
      <c r="N1107" s="3" t="s">
        <v>743</v>
      </c>
      <c r="P1107" s="3" t="s">
        <v>90</v>
      </c>
      <c r="R1107" s="3" t="s">
        <v>67</v>
      </c>
      <c r="S1107" s="4">
        <v>31</v>
      </c>
      <c r="T1107" s="4">
        <v>338</v>
      </c>
      <c r="U1107" s="5" t="s">
        <v>4050</v>
      </c>
      <c r="V1107" s="5" t="s">
        <v>10537</v>
      </c>
      <c r="W1107" s="5" t="s">
        <v>69</v>
      </c>
      <c r="X1107" s="5" t="s">
        <v>69</v>
      </c>
      <c r="Y1107" s="4">
        <v>27</v>
      </c>
      <c r="Z1107" s="4">
        <v>9</v>
      </c>
      <c r="AA1107" s="4">
        <v>15</v>
      </c>
      <c r="AB1107" s="4">
        <v>1</v>
      </c>
      <c r="AC1107" s="4">
        <v>1</v>
      </c>
      <c r="AD1107" s="4">
        <v>12</v>
      </c>
      <c r="AE1107" s="4">
        <v>91</v>
      </c>
      <c r="AF1107" s="4">
        <v>0</v>
      </c>
      <c r="AG1107" s="4">
        <v>0</v>
      </c>
      <c r="AH1107" s="4">
        <v>8</v>
      </c>
      <c r="AI1107" s="4">
        <v>85</v>
      </c>
      <c r="AJ1107" s="4">
        <v>6</v>
      </c>
      <c r="AK1107" s="4">
        <v>11</v>
      </c>
      <c r="AL1107" s="4">
        <v>6</v>
      </c>
      <c r="AM1107" s="4">
        <v>48</v>
      </c>
      <c r="AN1107" s="4">
        <v>0</v>
      </c>
      <c r="AO1107" s="4">
        <v>0</v>
      </c>
      <c r="AP1107" s="4">
        <v>6</v>
      </c>
      <c r="AQ1107" s="4">
        <v>11</v>
      </c>
      <c r="AR1107" s="3" t="s">
        <v>63</v>
      </c>
      <c r="AS1107" s="3" t="s">
        <v>63</v>
      </c>
      <c r="AT1107" s="3" t="s">
        <v>62</v>
      </c>
      <c r="AU1107" s="6" t="str">
        <f>HYPERLINK("http://catalog.hathitrust.org/Record/101883230","HathiTrust Record")</f>
        <v>HathiTrust Record</v>
      </c>
      <c r="AV1107" s="6" t="str">
        <f>HYPERLINK("http://mcgill.on.worldcat.org/oclc/43124239","Catalog Record")</f>
        <v>Catalog Record</v>
      </c>
      <c r="AW1107" s="6" t="str">
        <f>HYPERLINK("http://www.worldcat.org/oclc/43124239","WorldCat Record")</f>
        <v>WorldCat Record</v>
      </c>
      <c r="AX1107" s="3" t="s">
        <v>10538</v>
      </c>
      <c r="AY1107" s="3" t="s">
        <v>10539</v>
      </c>
      <c r="AZ1107" s="3" t="s">
        <v>10540</v>
      </c>
      <c r="BA1107" s="3" t="s">
        <v>10540</v>
      </c>
      <c r="BB1107" s="3" t="s">
        <v>10590</v>
      </c>
      <c r="BC1107" s="3" t="s">
        <v>82</v>
      </c>
      <c r="BD1107" s="3" t="s">
        <v>70</v>
      </c>
      <c r="BE1107" s="3" t="s">
        <v>10542</v>
      </c>
      <c r="BF1107" s="3" t="s">
        <v>10590</v>
      </c>
      <c r="BG1107" s="3" t="s">
        <v>10591</v>
      </c>
    </row>
    <row r="1108" spans="1:59" ht="60" x14ac:dyDescent="0.25">
      <c r="A1108" s="2" t="s">
        <v>59</v>
      </c>
      <c r="B1108" s="2" t="s">
        <v>60</v>
      </c>
      <c r="C1108" s="2" t="s">
        <v>10531</v>
      </c>
      <c r="D1108" s="2" t="s">
        <v>10532</v>
      </c>
      <c r="E1108" s="2" t="s">
        <v>10533</v>
      </c>
      <c r="F1108" s="3" t="s">
        <v>4431</v>
      </c>
      <c r="G1108" s="3" t="s">
        <v>62</v>
      </c>
      <c r="I1108" s="3" t="s">
        <v>62</v>
      </c>
      <c r="J1108" s="3" t="s">
        <v>63</v>
      </c>
      <c r="K1108" s="3" t="s">
        <v>64</v>
      </c>
      <c r="L1108" s="2" t="s">
        <v>10454</v>
      </c>
      <c r="M1108" s="2" t="s">
        <v>10535</v>
      </c>
      <c r="N1108" s="3" t="s">
        <v>743</v>
      </c>
      <c r="P1108" s="3" t="s">
        <v>90</v>
      </c>
      <c r="R1108" s="3" t="s">
        <v>67</v>
      </c>
      <c r="S1108" s="4">
        <v>16</v>
      </c>
      <c r="T1108" s="4">
        <v>338</v>
      </c>
      <c r="U1108" s="5" t="s">
        <v>8682</v>
      </c>
      <c r="V1108" s="5" t="s">
        <v>10537</v>
      </c>
      <c r="W1108" s="5" t="s">
        <v>69</v>
      </c>
      <c r="X1108" s="5" t="s">
        <v>69</v>
      </c>
      <c r="Y1108" s="4">
        <v>27</v>
      </c>
      <c r="Z1108" s="4">
        <v>9</v>
      </c>
      <c r="AA1108" s="4">
        <v>15</v>
      </c>
      <c r="AB1108" s="4">
        <v>1</v>
      </c>
      <c r="AC1108" s="4">
        <v>1</v>
      </c>
      <c r="AD1108" s="4">
        <v>12</v>
      </c>
      <c r="AE1108" s="4">
        <v>91</v>
      </c>
      <c r="AF1108" s="4">
        <v>0</v>
      </c>
      <c r="AG1108" s="4">
        <v>0</v>
      </c>
      <c r="AH1108" s="4">
        <v>8</v>
      </c>
      <c r="AI1108" s="4">
        <v>85</v>
      </c>
      <c r="AJ1108" s="4">
        <v>6</v>
      </c>
      <c r="AK1108" s="4">
        <v>11</v>
      </c>
      <c r="AL1108" s="4">
        <v>6</v>
      </c>
      <c r="AM1108" s="4">
        <v>48</v>
      </c>
      <c r="AN1108" s="4">
        <v>0</v>
      </c>
      <c r="AO1108" s="4">
        <v>0</v>
      </c>
      <c r="AP1108" s="4">
        <v>6</v>
      </c>
      <c r="AQ1108" s="4">
        <v>11</v>
      </c>
      <c r="AR1108" s="3" t="s">
        <v>63</v>
      </c>
      <c r="AS1108" s="3" t="s">
        <v>63</v>
      </c>
      <c r="AT1108" s="3" t="s">
        <v>62</v>
      </c>
      <c r="AU1108" s="6" t="str">
        <f>HYPERLINK("http://catalog.hathitrust.org/Record/101883230","HathiTrust Record")</f>
        <v>HathiTrust Record</v>
      </c>
      <c r="AV1108" s="6" t="str">
        <f>HYPERLINK("http://mcgill.on.worldcat.org/oclc/43124239","Catalog Record")</f>
        <v>Catalog Record</v>
      </c>
      <c r="AW1108" s="6" t="str">
        <f>HYPERLINK("http://www.worldcat.org/oclc/43124239","WorldCat Record")</f>
        <v>WorldCat Record</v>
      </c>
      <c r="AX1108" s="3" t="s">
        <v>10538</v>
      </c>
      <c r="AY1108" s="3" t="s">
        <v>10539</v>
      </c>
      <c r="AZ1108" s="3" t="s">
        <v>10540</v>
      </c>
      <c r="BA1108" s="3" t="s">
        <v>10540</v>
      </c>
      <c r="BB1108" s="3" t="s">
        <v>10592</v>
      </c>
      <c r="BC1108" s="3" t="s">
        <v>82</v>
      </c>
      <c r="BD1108" s="3" t="s">
        <v>70</v>
      </c>
      <c r="BE1108" s="3" t="s">
        <v>10542</v>
      </c>
      <c r="BF1108" s="3" t="s">
        <v>10592</v>
      </c>
      <c r="BG1108" s="3" t="s">
        <v>10593</v>
      </c>
    </row>
    <row r="1109" spans="1:59" ht="60" x14ac:dyDescent="0.25">
      <c r="A1109" s="2" t="s">
        <v>59</v>
      </c>
      <c r="B1109" s="2" t="s">
        <v>60</v>
      </c>
      <c r="C1109" s="2" t="s">
        <v>10531</v>
      </c>
      <c r="D1109" s="2" t="s">
        <v>10532</v>
      </c>
      <c r="E1109" s="2" t="s">
        <v>10533</v>
      </c>
      <c r="F1109" s="3" t="s">
        <v>4435</v>
      </c>
      <c r="G1109" s="3" t="s">
        <v>62</v>
      </c>
      <c r="I1109" s="3" t="s">
        <v>62</v>
      </c>
      <c r="J1109" s="3" t="s">
        <v>63</v>
      </c>
      <c r="K1109" s="3" t="s">
        <v>64</v>
      </c>
      <c r="L1109" s="2" t="s">
        <v>10454</v>
      </c>
      <c r="M1109" s="2" t="s">
        <v>10535</v>
      </c>
      <c r="N1109" s="3" t="s">
        <v>743</v>
      </c>
      <c r="P1109" s="3" t="s">
        <v>90</v>
      </c>
      <c r="R1109" s="3" t="s">
        <v>67</v>
      </c>
      <c r="S1109" s="4">
        <v>8</v>
      </c>
      <c r="T1109" s="4">
        <v>338</v>
      </c>
      <c r="U1109" s="5" t="s">
        <v>10537</v>
      </c>
      <c r="V1109" s="5" t="s">
        <v>10537</v>
      </c>
      <c r="W1109" s="5" t="s">
        <v>69</v>
      </c>
      <c r="X1109" s="5" t="s">
        <v>69</v>
      </c>
      <c r="Y1109" s="4">
        <v>27</v>
      </c>
      <c r="Z1109" s="4">
        <v>9</v>
      </c>
      <c r="AA1109" s="4">
        <v>15</v>
      </c>
      <c r="AB1109" s="4">
        <v>1</v>
      </c>
      <c r="AC1109" s="4">
        <v>1</v>
      </c>
      <c r="AD1109" s="4">
        <v>12</v>
      </c>
      <c r="AE1109" s="4">
        <v>91</v>
      </c>
      <c r="AF1109" s="4">
        <v>0</v>
      </c>
      <c r="AG1109" s="4">
        <v>0</v>
      </c>
      <c r="AH1109" s="4">
        <v>8</v>
      </c>
      <c r="AI1109" s="4">
        <v>85</v>
      </c>
      <c r="AJ1109" s="4">
        <v>6</v>
      </c>
      <c r="AK1109" s="4">
        <v>11</v>
      </c>
      <c r="AL1109" s="4">
        <v>6</v>
      </c>
      <c r="AM1109" s="4">
        <v>48</v>
      </c>
      <c r="AN1109" s="4">
        <v>0</v>
      </c>
      <c r="AO1109" s="4">
        <v>0</v>
      </c>
      <c r="AP1109" s="4">
        <v>6</v>
      </c>
      <c r="AQ1109" s="4">
        <v>11</v>
      </c>
      <c r="AR1109" s="3" t="s">
        <v>63</v>
      </c>
      <c r="AS1109" s="3" t="s">
        <v>63</v>
      </c>
      <c r="AT1109" s="3" t="s">
        <v>62</v>
      </c>
      <c r="AU1109" s="6" t="str">
        <f>HYPERLINK("http://catalog.hathitrust.org/Record/101883230","HathiTrust Record")</f>
        <v>HathiTrust Record</v>
      </c>
      <c r="AV1109" s="6" t="str">
        <f>HYPERLINK("http://mcgill.on.worldcat.org/oclc/43124239","Catalog Record")</f>
        <v>Catalog Record</v>
      </c>
      <c r="AW1109" s="6" t="str">
        <f>HYPERLINK("http://www.worldcat.org/oclc/43124239","WorldCat Record")</f>
        <v>WorldCat Record</v>
      </c>
      <c r="AX1109" s="3" t="s">
        <v>10538</v>
      </c>
      <c r="AY1109" s="3" t="s">
        <v>10539</v>
      </c>
      <c r="AZ1109" s="3" t="s">
        <v>10540</v>
      </c>
      <c r="BA1109" s="3" t="s">
        <v>10540</v>
      </c>
      <c r="BB1109" s="3" t="s">
        <v>10594</v>
      </c>
      <c r="BC1109" s="3" t="s">
        <v>82</v>
      </c>
      <c r="BD1109" s="3" t="s">
        <v>70</v>
      </c>
      <c r="BE1109" s="3" t="s">
        <v>10542</v>
      </c>
      <c r="BF1109" s="3" t="s">
        <v>10594</v>
      </c>
      <c r="BG1109" s="3" t="s">
        <v>10595</v>
      </c>
    </row>
    <row r="1110" spans="1:59" ht="60" x14ac:dyDescent="0.25">
      <c r="A1110" s="2" t="s">
        <v>59</v>
      </c>
      <c r="B1110" s="2" t="s">
        <v>60</v>
      </c>
      <c r="C1110" s="2" t="s">
        <v>10531</v>
      </c>
      <c r="D1110" s="2" t="s">
        <v>10532</v>
      </c>
      <c r="E1110" s="2" t="s">
        <v>10533</v>
      </c>
      <c r="F1110" s="3" t="s">
        <v>4032</v>
      </c>
      <c r="G1110" s="3" t="s">
        <v>62</v>
      </c>
      <c r="I1110" s="3" t="s">
        <v>62</v>
      </c>
      <c r="J1110" s="3" t="s">
        <v>63</v>
      </c>
      <c r="K1110" s="3" t="s">
        <v>64</v>
      </c>
      <c r="L1110" s="2" t="s">
        <v>10454</v>
      </c>
      <c r="M1110" s="2" t="s">
        <v>10535</v>
      </c>
      <c r="N1110" s="3" t="s">
        <v>743</v>
      </c>
      <c r="P1110" s="3" t="s">
        <v>90</v>
      </c>
      <c r="R1110" s="3" t="s">
        <v>67</v>
      </c>
      <c r="S1110" s="4">
        <v>6</v>
      </c>
      <c r="T1110" s="4">
        <v>338</v>
      </c>
      <c r="U1110" s="5" t="s">
        <v>10537</v>
      </c>
      <c r="V1110" s="5" t="s">
        <v>10537</v>
      </c>
      <c r="W1110" s="5" t="s">
        <v>69</v>
      </c>
      <c r="X1110" s="5" t="s">
        <v>69</v>
      </c>
      <c r="Y1110" s="4">
        <v>27</v>
      </c>
      <c r="Z1110" s="4">
        <v>9</v>
      </c>
      <c r="AA1110" s="4">
        <v>15</v>
      </c>
      <c r="AB1110" s="4">
        <v>1</v>
      </c>
      <c r="AC1110" s="4">
        <v>1</v>
      </c>
      <c r="AD1110" s="4">
        <v>12</v>
      </c>
      <c r="AE1110" s="4">
        <v>91</v>
      </c>
      <c r="AF1110" s="4">
        <v>0</v>
      </c>
      <c r="AG1110" s="4">
        <v>0</v>
      </c>
      <c r="AH1110" s="4">
        <v>8</v>
      </c>
      <c r="AI1110" s="4">
        <v>85</v>
      </c>
      <c r="AJ1110" s="4">
        <v>6</v>
      </c>
      <c r="AK1110" s="4">
        <v>11</v>
      </c>
      <c r="AL1110" s="4">
        <v>6</v>
      </c>
      <c r="AM1110" s="4">
        <v>48</v>
      </c>
      <c r="AN1110" s="4">
        <v>0</v>
      </c>
      <c r="AO1110" s="4">
        <v>0</v>
      </c>
      <c r="AP1110" s="4">
        <v>6</v>
      </c>
      <c r="AQ1110" s="4">
        <v>11</v>
      </c>
      <c r="AR1110" s="3" t="s">
        <v>63</v>
      </c>
      <c r="AS1110" s="3" t="s">
        <v>63</v>
      </c>
      <c r="AT1110" s="3" t="s">
        <v>62</v>
      </c>
      <c r="AU1110" s="6" t="str">
        <f>HYPERLINK("http://catalog.hathitrust.org/Record/101883230","HathiTrust Record")</f>
        <v>HathiTrust Record</v>
      </c>
      <c r="AV1110" s="6" t="str">
        <f>HYPERLINK("http://mcgill.on.worldcat.org/oclc/43124239","Catalog Record")</f>
        <v>Catalog Record</v>
      </c>
      <c r="AW1110" s="6" t="str">
        <f>HYPERLINK("http://www.worldcat.org/oclc/43124239","WorldCat Record")</f>
        <v>WorldCat Record</v>
      </c>
      <c r="AX1110" s="3" t="s">
        <v>10538</v>
      </c>
      <c r="AY1110" s="3" t="s">
        <v>10539</v>
      </c>
      <c r="AZ1110" s="3" t="s">
        <v>10540</v>
      </c>
      <c r="BA1110" s="3" t="s">
        <v>10540</v>
      </c>
      <c r="BB1110" s="3" t="s">
        <v>10596</v>
      </c>
      <c r="BC1110" s="3" t="s">
        <v>82</v>
      </c>
      <c r="BD1110" s="3" t="s">
        <v>70</v>
      </c>
      <c r="BE1110" s="3" t="s">
        <v>10542</v>
      </c>
      <c r="BF1110" s="3" t="s">
        <v>10596</v>
      </c>
      <c r="BG1110" s="3" t="s">
        <v>10597</v>
      </c>
    </row>
    <row r="1111" spans="1:59" ht="60" x14ac:dyDescent="0.25">
      <c r="A1111" s="2" t="s">
        <v>59</v>
      </c>
      <c r="B1111" s="2" t="s">
        <v>60</v>
      </c>
      <c r="C1111" s="2" t="s">
        <v>10531</v>
      </c>
      <c r="D1111" s="2" t="s">
        <v>10532</v>
      </c>
      <c r="E1111" s="2" t="s">
        <v>10533</v>
      </c>
      <c r="F1111" s="3" t="s">
        <v>4438</v>
      </c>
      <c r="G1111" s="3" t="s">
        <v>62</v>
      </c>
      <c r="I1111" s="3" t="s">
        <v>62</v>
      </c>
      <c r="J1111" s="3" t="s">
        <v>63</v>
      </c>
      <c r="K1111" s="3" t="s">
        <v>64</v>
      </c>
      <c r="L1111" s="2" t="s">
        <v>10454</v>
      </c>
      <c r="M1111" s="2" t="s">
        <v>10535</v>
      </c>
      <c r="N1111" s="3" t="s">
        <v>743</v>
      </c>
      <c r="P1111" s="3" t="s">
        <v>90</v>
      </c>
      <c r="R1111" s="3" t="s">
        <v>67</v>
      </c>
      <c r="S1111" s="4">
        <v>0</v>
      </c>
      <c r="T1111" s="4">
        <v>338</v>
      </c>
      <c r="V1111" s="5" t="s">
        <v>10537</v>
      </c>
      <c r="W1111" s="5" t="s">
        <v>69</v>
      </c>
      <c r="X1111" s="5" t="s">
        <v>69</v>
      </c>
      <c r="Y1111" s="4">
        <v>27</v>
      </c>
      <c r="Z1111" s="4">
        <v>9</v>
      </c>
      <c r="AA1111" s="4">
        <v>15</v>
      </c>
      <c r="AB1111" s="4">
        <v>1</v>
      </c>
      <c r="AC1111" s="4">
        <v>1</v>
      </c>
      <c r="AD1111" s="4">
        <v>12</v>
      </c>
      <c r="AE1111" s="4">
        <v>91</v>
      </c>
      <c r="AF1111" s="4">
        <v>0</v>
      </c>
      <c r="AG1111" s="4">
        <v>0</v>
      </c>
      <c r="AH1111" s="4">
        <v>8</v>
      </c>
      <c r="AI1111" s="4">
        <v>85</v>
      </c>
      <c r="AJ1111" s="4">
        <v>6</v>
      </c>
      <c r="AK1111" s="4">
        <v>11</v>
      </c>
      <c r="AL1111" s="4">
        <v>6</v>
      </c>
      <c r="AM1111" s="4">
        <v>48</v>
      </c>
      <c r="AN1111" s="4">
        <v>0</v>
      </c>
      <c r="AO1111" s="4">
        <v>0</v>
      </c>
      <c r="AP1111" s="4">
        <v>6</v>
      </c>
      <c r="AQ1111" s="4">
        <v>11</v>
      </c>
      <c r="AR1111" s="3" t="s">
        <v>63</v>
      </c>
      <c r="AS1111" s="3" t="s">
        <v>63</v>
      </c>
      <c r="AT1111" s="3" t="s">
        <v>62</v>
      </c>
      <c r="AU1111" s="6" t="str">
        <f>HYPERLINK("http://catalog.hathitrust.org/Record/101883230","HathiTrust Record")</f>
        <v>HathiTrust Record</v>
      </c>
      <c r="AV1111" s="6" t="str">
        <f>HYPERLINK("http://mcgill.on.worldcat.org/oclc/43124239","Catalog Record")</f>
        <v>Catalog Record</v>
      </c>
      <c r="AW1111" s="6" t="str">
        <f>HYPERLINK("http://www.worldcat.org/oclc/43124239","WorldCat Record")</f>
        <v>WorldCat Record</v>
      </c>
      <c r="AX1111" s="3" t="s">
        <v>10538</v>
      </c>
      <c r="AY1111" s="3" t="s">
        <v>10539</v>
      </c>
      <c r="AZ1111" s="3" t="s">
        <v>10540</v>
      </c>
      <c r="BA1111" s="3" t="s">
        <v>10540</v>
      </c>
      <c r="BB1111" s="3" t="s">
        <v>10598</v>
      </c>
      <c r="BC1111" s="3" t="s">
        <v>82</v>
      </c>
      <c r="BD1111" s="3" t="s">
        <v>70</v>
      </c>
      <c r="BE1111" s="3" t="s">
        <v>10542</v>
      </c>
      <c r="BF1111" s="3" t="s">
        <v>10598</v>
      </c>
      <c r="BG1111" s="3" t="s">
        <v>10599</v>
      </c>
    </row>
    <row r="1112" spans="1:59" ht="60" x14ac:dyDescent="0.25">
      <c r="A1112" s="2" t="s">
        <v>59</v>
      </c>
      <c r="B1112" s="2" t="s">
        <v>60</v>
      </c>
      <c r="C1112" s="2" t="s">
        <v>10531</v>
      </c>
      <c r="D1112" s="2" t="s">
        <v>10532</v>
      </c>
      <c r="E1112" s="2" t="s">
        <v>10533</v>
      </c>
      <c r="F1112" s="3" t="s">
        <v>4436</v>
      </c>
      <c r="G1112" s="3" t="s">
        <v>62</v>
      </c>
      <c r="I1112" s="3" t="s">
        <v>62</v>
      </c>
      <c r="J1112" s="3" t="s">
        <v>63</v>
      </c>
      <c r="K1112" s="3" t="s">
        <v>64</v>
      </c>
      <c r="L1112" s="2" t="s">
        <v>10454</v>
      </c>
      <c r="M1112" s="2" t="s">
        <v>10535</v>
      </c>
      <c r="N1112" s="3" t="s">
        <v>743</v>
      </c>
      <c r="P1112" s="3" t="s">
        <v>90</v>
      </c>
      <c r="R1112" s="3" t="s">
        <v>67</v>
      </c>
      <c r="S1112" s="4">
        <v>5</v>
      </c>
      <c r="T1112" s="4">
        <v>338</v>
      </c>
      <c r="U1112" s="5" t="s">
        <v>10600</v>
      </c>
      <c r="V1112" s="5" t="s">
        <v>10537</v>
      </c>
      <c r="W1112" s="5" t="s">
        <v>69</v>
      </c>
      <c r="X1112" s="5" t="s">
        <v>69</v>
      </c>
      <c r="Y1112" s="4">
        <v>27</v>
      </c>
      <c r="Z1112" s="4">
        <v>9</v>
      </c>
      <c r="AA1112" s="4">
        <v>15</v>
      </c>
      <c r="AB1112" s="4">
        <v>1</v>
      </c>
      <c r="AC1112" s="4">
        <v>1</v>
      </c>
      <c r="AD1112" s="4">
        <v>12</v>
      </c>
      <c r="AE1112" s="4">
        <v>91</v>
      </c>
      <c r="AF1112" s="4">
        <v>0</v>
      </c>
      <c r="AG1112" s="4">
        <v>0</v>
      </c>
      <c r="AH1112" s="4">
        <v>8</v>
      </c>
      <c r="AI1112" s="4">
        <v>85</v>
      </c>
      <c r="AJ1112" s="4">
        <v>6</v>
      </c>
      <c r="AK1112" s="4">
        <v>11</v>
      </c>
      <c r="AL1112" s="4">
        <v>6</v>
      </c>
      <c r="AM1112" s="4">
        <v>48</v>
      </c>
      <c r="AN1112" s="4">
        <v>0</v>
      </c>
      <c r="AO1112" s="4">
        <v>0</v>
      </c>
      <c r="AP1112" s="4">
        <v>6</v>
      </c>
      <c r="AQ1112" s="4">
        <v>11</v>
      </c>
      <c r="AR1112" s="3" t="s">
        <v>63</v>
      </c>
      <c r="AS1112" s="3" t="s">
        <v>63</v>
      </c>
      <c r="AT1112" s="3" t="s">
        <v>62</v>
      </c>
      <c r="AU1112" s="6" t="str">
        <f>HYPERLINK("http://catalog.hathitrust.org/Record/101883230","HathiTrust Record")</f>
        <v>HathiTrust Record</v>
      </c>
      <c r="AV1112" s="6" t="str">
        <f>HYPERLINK("http://mcgill.on.worldcat.org/oclc/43124239","Catalog Record")</f>
        <v>Catalog Record</v>
      </c>
      <c r="AW1112" s="6" t="str">
        <f>HYPERLINK("http://www.worldcat.org/oclc/43124239","WorldCat Record")</f>
        <v>WorldCat Record</v>
      </c>
      <c r="AX1112" s="3" t="s">
        <v>10538</v>
      </c>
      <c r="AY1112" s="3" t="s">
        <v>10539</v>
      </c>
      <c r="AZ1112" s="3" t="s">
        <v>10540</v>
      </c>
      <c r="BA1112" s="3" t="s">
        <v>10540</v>
      </c>
      <c r="BB1112" s="3" t="s">
        <v>10601</v>
      </c>
      <c r="BC1112" s="3" t="s">
        <v>82</v>
      </c>
      <c r="BD1112" s="3" t="s">
        <v>70</v>
      </c>
      <c r="BE1112" s="3" t="s">
        <v>10542</v>
      </c>
      <c r="BF1112" s="3" t="s">
        <v>10601</v>
      </c>
      <c r="BG1112" s="3" t="s">
        <v>10602</v>
      </c>
    </row>
    <row r="1113" spans="1:59" ht="60" x14ac:dyDescent="0.25">
      <c r="A1113" s="2" t="s">
        <v>59</v>
      </c>
      <c r="B1113" s="2" t="s">
        <v>60</v>
      </c>
      <c r="C1113" s="2" t="s">
        <v>10531</v>
      </c>
      <c r="D1113" s="2" t="s">
        <v>10532</v>
      </c>
      <c r="E1113" s="2" t="s">
        <v>10533</v>
      </c>
      <c r="F1113" s="3" t="s">
        <v>10547</v>
      </c>
      <c r="G1113" s="3" t="s">
        <v>62</v>
      </c>
      <c r="I1113" s="3" t="s">
        <v>62</v>
      </c>
      <c r="J1113" s="3" t="s">
        <v>63</v>
      </c>
      <c r="K1113" s="3" t="s">
        <v>64</v>
      </c>
      <c r="L1113" s="2" t="s">
        <v>10454</v>
      </c>
      <c r="M1113" s="2" t="s">
        <v>10535</v>
      </c>
      <c r="N1113" s="3" t="s">
        <v>743</v>
      </c>
      <c r="P1113" s="3" t="s">
        <v>90</v>
      </c>
      <c r="R1113" s="3" t="s">
        <v>67</v>
      </c>
      <c r="S1113" s="4">
        <v>7</v>
      </c>
      <c r="T1113" s="4">
        <v>338</v>
      </c>
      <c r="U1113" s="5" t="s">
        <v>10536</v>
      </c>
      <c r="V1113" s="5" t="s">
        <v>10537</v>
      </c>
      <c r="W1113" s="5" t="s">
        <v>69</v>
      </c>
      <c r="X1113" s="5" t="s">
        <v>69</v>
      </c>
      <c r="Y1113" s="4">
        <v>27</v>
      </c>
      <c r="Z1113" s="4">
        <v>9</v>
      </c>
      <c r="AA1113" s="4">
        <v>15</v>
      </c>
      <c r="AB1113" s="4">
        <v>1</v>
      </c>
      <c r="AC1113" s="4">
        <v>1</v>
      </c>
      <c r="AD1113" s="4">
        <v>12</v>
      </c>
      <c r="AE1113" s="4">
        <v>91</v>
      </c>
      <c r="AF1113" s="4">
        <v>0</v>
      </c>
      <c r="AG1113" s="4">
        <v>0</v>
      </c>
      <c r="AH1113" s="4">
        <v>8</v>
      </c>
      <c r="AI1113" s="4">
        <v>85</v>
      </c>
      <c r="AJ1113" s="4">
        <v>6</v>
      </c>
      <c r="AK1113" s="4">
        <v>11</v>
      </c>
      <c r="AL1113" s="4">
        <v>6</v>
      </c>
      <c r="AM1113" s="4">
        <v>48</v>
      </c>
      <c r="AN1113" s="4">
        <v>0</v>
      </c>
      <c r="AO1113" s="4">
        <v>0</v>
      </c>
      <c r="AP1113" s="4">
        <v>6</v>
      </c>
      <c r="AQ1113" s="4">
        <v>11</v>
      </c>
      <c r="AR1113" s="3" t="s">
        <v>63</v>
      </c>
      <c r="AS1113" s="3" t="s">
        <v>63</v>
      </c>
      <c r="AT1113" s="3" t="s">
        <v>62</v>
      </c>
      <c r="AU1113" s="6" t="str">
        <f>HYPERLINK("http://catalog.hathitrust.org/Record/101883230","HathiTrust Record")</f>
        <v>HathiTrust Record</v>
      </c>
      <c r="AV1113" s="6" t="str">
        <f>HYPERLINK("http://mcgill.on.worldcat.org/oclc/43124239","Catalog Record")</f>
        <v>Catalog Record</v>
      </c>
      <c r="AW1113" s="6" t="str">
        <f>HYPERLINK("http://www.worldcat.org/oclc/43124239","WorldCat Record")</f>
        <v>WorldCat Record</v>
      </c>
      <c r="AX1113" s="3" t="s">
        <v>10538</v>
      </c>
      <c r="AY1113" s="3" t="s">
        <v>10539</v>
      </c>
      <c r="AZ1113" s="3" t="s">
        <v>10540</v>
      </c>
      <c r="BA1113" s="3" t="s">
        <v>10540</v>
      </c>
      <c r="BB1113" s="3" t="s">
        <v>10603</v>
      </c>
      <c r="BC1113" s="3" t="s">
        <v>82</v>
      </c>
      <c r="BD1113" s="3" t="s">
        <v>70</v>
      </c>
      <c r="BE1113" s="3" t="s">
        <v>10542</v>
      </c>
      <c r="BF1113" s="3" t="s">
        <v>10603</v>
      </c>
      <c r="BG1113" s="3" t="s">
        <v>10604</v>
      </c>
    </row>
    <row r="1114" spans="1:59" ht="60" x14ac:dyDescent="0.25">
      <c r="A1114" s="2" t="s">
        <v>59</v>
      </c>
      <c r="B1114" s="2" t="s">
        <v>60</v>
      </c>
      <c r="C1114" s="2" t="s">
        <v>10531</v>
      </c>
      <c r="D1114" s="2" t="s">
        <v>10532</v>
      </c>
      <c r="E1114" s="2" t="s">
        <v>10533</v>
      </c>
      <c r="F1114" s="3" t="s">
        <v>4432</v>
      </c>
      <c r="G1114" s="3" t="s">
        <v>62</v>
      </c>
      <c r="I1114" s="3" t="s">
        <v>62</v>
      </c>
      <c r="J1114" s="3" t="s">
        <v>63</v>
      </c>
      <c r="K1114" s="3" t="s">
        <v>64</v>
      </c>
      <c r="L1114" s="2" t="s">
        <v>10454</v>
      </c>
      <c r="M1114" s="2" t="s">
        <v>10535</v>
      </c>
      <c r="N1114" s="3" t="s">
        <v>743</v>
      </c>
      <c r="P1114" s="3" t="s">
        <v>90</v>
      </c>
      <c r="R1114" s="3" t="s">
        <v>67</v>
      </c>
      <c r="S1114" s="4">
        <v>8</v>
      </c>
      <c r="T1114" s="4">
        <v>338</v>
      </c>
      <c r="U1114" s="5" t="s">
        <v>10605</v>
      </c>
      <c r="V1114" s="5" t="s">
        <v>10537</v>
      </c>
      <c r="W1114" s="5" t="s">
        <v>69</v>
      </c>
      <c r="X1114" s="5" t="s">
        <v>69</v>
      </c>
      <c r="Y1114" s="4">
        <v>27</v>
      </c>
      <c r="Z1114" s="4">
        <v>9</v>
      </c>
      <c r="AA1114" s="4">
        <v>15</v>
      </c>
      <c r="AB1114" s="4">
        <v>1</v>
      </c>
      <c r="AC1114" s="4">
        <v>1</v>
      </c>
      <c r="AD1114" s="4">
        <v>12</v>
      </c>
      <c r="AE1114" s="4">
        <v>91</v>
      </c>
      <c r="AF1114" s="4">
        <v>0</v>
      </c>
      <c r="AG1114" s="4">
        <v>0</v>
      </c>
      <c r="AH1114" s="4">
        <v>8</v>
      </c>
      <c r="AI1114" s="4">
        <v>85</v>
      </c>
      <c r="AJ1114" s="4">
        <v>6</v>
      </c>
      <c r="AK1114" s="4">
        <v>11</v>
      </c>
      <c r="AL1114" s="4">
        <v>6</v>
      </c>
      <c r="AM1114" s="4">
        <v>48</v>
      </c>
      <c r="AN1114" s="4">
        <v>0</v>
      </c>
      <c r="AO1114" s="4">
        <v>0</v>
      </c>
      <c r="AP1114" s="4">
        <v>6</v>
      </c>
      <c r="AQ1114" s="4">
        <v>11</v>
      </c>
      <c r="AR1114" s="3" t="s">
        <v>63</v>
      </c>
      <c r="AS1114" s="3" t="s">
        <v>63</v>
      </c>
      <c r="AT1114" s="3" t="s">
        <v>62</v>
      </c>
      <c r="AU1114" s="6" t="str">
        <f>HYPERLINK("http://catalog.hathitrust.org/Record/101883230","HathiTrust Record")</f>
        <v>HathiTrust Record</v>
      </c>
      <c r="AV1114" s="6" t="str">
        <f>HYPERLINK("http://mcgill.on.worldcat.org/oclc/43124239","Catalog Record")</f>
        <v>Catalog Record</v>
      </c>
      <c r="AW1114" s="6" t="str">
        <f>HYPERLINK("http://www.worldcat.org/oclc/43124239","WorldCat Record")</f>
        <v>WorldCat Record</v>
      </c>
      <c r="AX1114" s="3" t="s">
        <v>10538</v>
      </c>
      <c r="AY1114" s="3" t="s">
        <v>10539</v>
      </c>
      <c r="AZ1114" s="3" t="s">
        <v>10540</v>
      </c>
      <c r="BA1114" s="3" t="s">
        <v>10540</v>
      </c>
      <c r="BB1114" s="3" t="s">
        <v>10606</v>
      </c>
      <c r="BC1114" s="3" t="s">
        <v>82</v>
      </c>
      <c r="BD1114" s="3" t="s">
        <v>538</v>
      </c>
      <c r="BE1114" s="3" t="s">
        <v>10542</v>
      </c>
      <c r="BF1114" s="3" t="s">
        <v>10606</v>
      </c>
      <c r="BG1114" s="3" t="s">
        <v>10607</v>
      </c>
    </row>
    <row r="1115" spans="1:59" ht="60" x14ac:dyDescent="0.25">
      <c r="A1115" s="2" t="s">
        <v>59</v>
      </c>
      <c r="B1115" s="2" t="s">
        <v>60</v>
      </c>
      <c r="C1115" s="2" t="s">
        <v>10531</v>
      </c>
      <c r="D1115" s="2" t="s">
        <v>10532</v>
      </c>
      <c r="E1115" s="2" t="s">
        <v>10533</v>
      </c>
      <c r="F1115" s="3" t="s">
        <v>4432</v>
      </c>
      <c r="G1115" s="3" t="s">
        <v>62</v>
      </c>
      <c r="I1115" s="3" t="s">
        <v>62</v>
      </c>
      <c r="J1115" s="3" t="s">
        <v>63</v>
      </c>
      <c r="K1115" s="3" t="s">
        <v>64</v>
      </c>
      <c r="L1115" s="2" t="s">
        <v>10454</v>
      </c>
      <c r="M1115" s="2" t="s">
        <v>10535</v>
      </c>
      <c r="N1115" s="3" t="s">
        <v>743</v>
      </c>
      <c r="P1115" s="3" t="s">
        <v>90</v>
      </c>
      <c r="R1115" s="3" t="s">
        <v>67</v>
      </c>
      <c r="S1115" s="4">
        <v>28</v>
      </c>
      <c r="T1115" s="4">
        <v>338</v>
      </c>
      <c r="U1115" s="5" t="s">
        <v>10608</v>
      </c>
      <c r="V1115" s="5" t="s">
        <v>10537</v>
      </c>
      <c r="W1115" s="5" t="s">
        <v>69</v>
      </c>
      <c r="X1115" s="5" t="s">
        <v>69</v>
      </c>
      <c r="Y1115" s="4">
        <v>27</v>
      </c>
      <c r="Z1115" s="4">
        <v>9</v>
      </c>
      <c r="AA1115" s="4">
        <v>15</v>
      </c>
      <c r="AB1115" s="4">
        <v>1</v>
      </c>
      <c r="AC1115" s="4">
        <v>1</v>
      </c>
      <c r="AD1115" s="4">
        <v>12</v>
      </c>
      <c r="AE1115" s="4">
        <v>91</v>
      </c>
      <c r="AF1115" s="4">
        <v>0</v>
      </c>
      <c r="AG1115" s="4">
        <v>0</v>
      </c>
      <c r="AH1115" s="4">
        <v>8</v>
      </c>
      <c r="AI1115" s="4">
        <v>85</v>
      </c>
      <c r="AJ1115" s="4">
        <v>6</v>
      </c>
      <c r="AK1115" s="4">
        <v>11</v>
      </c>
      <c r="AL1115" s="4">
        <v>6</v>
      </c>
      <c r="AM1115" s="4">
        <v>48</v>
      </c>
      <c r="AN1115" s="4">
        <v>0</v>
      </c>
      <c r="AO1115" s="4">
        <v>0</v>
      </c>
      <c r="AP1115" s="4">
        <v>6</v>
      </c>
      <c r="AQ1115" s="4">
        <v>11</v>
      </c>
      <c r="AR1115" s="3" t="s">
        <v>63</v>
      </c>
      <c r="AS1115" s="3" t="s">
        <v>63</v>
      </c>
      <c r="AT1115" s="3" t="s">
        <v>62</v>
      </c>
      <c r="AU1115" s="6" t="str">
        <f>HYPERLINK("http://catalog.hathitrust.org/Record/101883230","HathiTrust Record")</f>
        <v>HathiTrust Record</v>
      </c>
      <c r="AV1115" s="6" t="str">
        <f>HYPERLINK("http://mcgill.on.worldcat.org/oclc/43124239","Catalog Record")</f>
        <v>Catalog Record</v>
      </c>
      <c r="AW1115" s="6" t="str">
        <f>HYPERLINK("http://www.worldcat.org/oclc/43124239","WorldCat Record")</f>
        <v>WorldCat Record</v>
      </c>
      <c r="AX1115" s="3" t="s">
        <v>10538</v>
      </c>
      <c r="AY1115" s="3" t="s">
        <v>10539</v>
      </c>
      <c r="AZ1115" s="3" t="s">
        <v>10540</v>
      </c>
      <c r="BA1115" s="3" t="s">
        <v>10540</v>
      </c>
      <c r="BB1115" s="3" t="s">
        <v>10609</v>
      </c>
      <c r="BC1115" s="3" t="s">
        <v>82</v>
      </c>
      <c r="BD1115" s="3" t="s">
        <v>70</v>
      </c>
      <c r="BE1115" s="3" t="s">
        <v>10542</v>
      </c>
      <c r="BF1115" s="3" t="s">
        <v>10609</v>
      </c>
      <c r="BG1115" s="3" t="s">
        <v>10610</v>
      </c>
    </row>
    <row r="1116" spans="1:59" ht="60" x14ac:dyDescent="0.25">
      <c r="A1116" s="2" t="s">
        <v>59</v>
      </c>
      <c r="B1116" s="2" t="s">
        <v>60</v>
      </c>
      <c r="C1116" s="2" t="s">
        <v>10531</v>
      </c>
      <c r="D1116" s="2" t="s">
        <v>10532</v>
      </c>
      <c r="E1116" s="2" t="s">
        <v>10533</v>
      </c>
      <c r="F1116" s="3" t="s">
        <v>4431</v>
      </c>
      <c r="G1116" s="3" t="s">
        <v>62</v>
      </c>
      <c r="I1116" s="3" t="s">
        <v>62</v>
      </c>
      <c r="J1116" s="3" t="s">
        <v>63</v>
      </c>
      <c r="K1116" s="3" t="s">
        <v>64</v>
      </c>
      <c r="L1116" s="2" t="s">
        <v>10454</v>
      </c>
      <c r="M1116" s="2" t="s">
        <v>10535</v>
      </c>
      <c r="N1116" s="3" t="s">
        <v>743</v>
      </c>
      <c r="P1116" s="3" t="s">
        <v>90</v>
      </c>
      <c r="R1116" s="3" t="s">
        <v>67</v>
      </c>
      <c r="S1116" s="4">
        <v>2</v>
      </c>
      <c r="T1116" s="4">
        <v>338</v>
      </c>
      <c r="U1116" s="5" t="s">
        <v>2093</v>
      </c>
      <c r="V1116" s="5" t="s">
        <v>10537</v>
      </c>
      <c r="W1116" s="5" t="s">
        <v>69</v>
      </c>
      <c r="X1116" s="5" t="s">
        <v>69</v>
      </c>
      <c r="Y1116" s="4">
        <v>27</v>
      </c>
      <c r="Z1116" s="4">
        <v>9</v>
      </c>
      <c r="AA1116" s="4">
        <v>15</v>
      </c>
      <c r="AB1116" s="4">
        <v>1</v>
      </c>
      <c r="AC1116" s="4">
        <v>1</v>
      </c>
      <c r="AD1116" s="4">
        <v>12</v>
      </c>
      <c r="AE1116" s="4">
        <v>91</v>
      </c>
      <c r="AF1116" s="4">
        <v>0</v>
      </c>
      <c r="AG1116" s="4">
        <v>0</v>
      </c>
      <c r="AH1116" s="4">
        <v>8</v>
      </c>
      <c r="AI1116" s="4">
        <v>85</v>
      </c>
      <c r="AJ1116" s="4">
        <v>6</v>
      </c>
      <c r="AK1116" s="4">
        <v>11</v>
      </c>
      <c r="AL1116" s="4">
        <v>6</v>
      </c>
      <c r="AM1116" s="4">
        <v>48</v>
      </c>
      <c r="AN1116" s="4">
        <v>0</v>
      </c>
      <c r="AO1116" s="4">
        <v>0</v>
      </c>
      <c r="AP1116" s="4">
        <v>6</v>
      </c>
      <c r="AQ1116" s="4">
        <v>11</v>
      </c>
      <c r="AR1116" s="3" t="s">
        <v>63</v>
      </c>
      <c r="AS1116" s="3" t="s">
        <v>63</v>
      </c>
      <c r="AT1116" s="3" t="s">
        <v>62</v>
      </c>
      <c r="AU1116" s="6" t="str">
        <f>HYPERLINK("http://catalog.hathitrust.org/Record/101883230","HathiTrust Record")</f>
        <v>HathiTrust Record</v>
      </c>
      <c r="AV1116" s="6" t="str">
        <f>HYPERLINK("http://mcgill.on.worldcat.org/oclc/43124239","Catalog Record")</f>
        <v>Catalog Record</v>
      </c>
      <c r="AW1116" s="6" t="str">
        <f>HYPERLINK("http://www.worldcat.org/oclc/43124239","WorldCat Record")</f>
        <v>WorldCat Record</v>
      </c>
      <c r="AX1116" s="3" t="s">
        <v>10538</v>
      </c>
      <c r="AY1116" s="3" t="s">
        <v>10539</v>
      </c>
      <c r="AZ1116" s="3" t="s">
        <v>10540</v>
      </c>
      <c r="BA1116" s="3" t="s">
        <v>10540</v>
      </c>
      <c r="BB1116" s="3" t="s">
        <v>10611</v>
      </c>
      <c r="BC1116" s="3" t="s">
        <v>82</v>
      </c>
      <c r="BD1116" s="3" t="s">
        <v>70</v>
      </c>
      <c r="BE1116" s="3" t="s">
        <v>10542</v>
      </c>
      <c r="BF1116" s="3" t="s">
        <v>10611</v>
      </c>
      <c r="BG1116" s="3" t="s">
        <v>10612</v>
      </c>
    </row>
    <row r="1117" spans="1:59" ht="60" x14ac:dyDescent="0.25">
      <c r="A1117" s="2" t="s">
        <v>59</v>
      </c>
      <c r="B1117" s="2" t="s">
        <v>60</v>
      </c>
      <c r="C1117" s="2" t="s">
        <v>10531</v>
      </c>
      <c r="D1117" s="2" t="s">
        <v>10532</v>
      </c>
      <c r="E1117" s="2" t="s">
        <v>10533</v>
      </c>
      <c r="F1117" s="3" t="s">
        <v>10613</v>
      </c>
      <c r="G1117" s="3" t="s">
        <v>62</v>
      </c>
      <c r="I1117" s="3" t="s">
        <v>62</v>
      </c>
      <c r="J1117" s="3" t="s">
        <v>63</v>
      </c>
      <c r="K1117" s="3" t="s">
        <v>64</v>
      </c>
      <c r="L1117" s="2" t="s">
        <v>10454</v>
      </c>
      <c r="M1117" s="2" t="s">
        <v>10535</v>
      </c>
      <c r="N1117" s="3" t="s">
        <v>743</v>
      </c>
      <c r="P1117" s="3" t="s">
        <v>90</v>
      </c>
      <c r="R1117" s="3" t="s">
        <v>67</v>
      </c>
      <c r="S1117" s="4">
        <v>2</v>
      </c>
      <c r="T1117" s="4">
        <v>338</v>
      </c>
      <c r="U1117" s="5" t="s">
        <v>10536</v>
      </c>
      <c r="V1117" s="5" t="s">
        <v>10537</v>
      </c>
      <c r="W1117" s="5" t="s">
        <v>69</v>
      </c>
      <c r="X1117" s="5" t="s">
        <v>69</v>
      </c>
      <c r="Y1117" s="4">
        <v>27</v>
      </c>
      <c r="Z1117" s="4">
        <v>9</v>
      </c>
      <c r="AA1117" s="4">
        <v>15</v>
      </c>
      <c r="AB1117" s="4">
        <v>1</v>
      </c>
      <c r="AC1117" s="4">
        <v>1</v>
      </c>
      <c r="AD1117" s="4">
        <v>12</v>
      </c>
      <c r="AE1117" s="4">
        <v>91</v>
      </c>
      <c r="AF1117" s="4">
        <v>0</v>
      </c>
      <c r="AG1117" s="4">
        <v>0</v>
      </c>
      <c r="AH1117" s="4">
        <v>8</v>
      </c>
      <c r="AI1117" s="4">
        <v>85</v>
      </c>
      <c r="AJ1117" s="4">
        <v>6</v>
      </c>
      <c r="AK1117" s="4">
        <v>11</v>
      </c>
      <c r="AL1117" s="4">
        <v>6</v>
      </c>
      <c r="AM1117" s="4">
        <v>48</v>
      </c>
      <c r="AN1117" s="4">
        <v>0</v>
      </c>
      <c r="AO1117" s="4">
        <v>0</v>
      </c>
      <c r="AP1117" s="4">
        <v>6</v>
      </c>
      <c r="AQ1117" s="4">
        <v>11</v>
      </c>
      <c r="AR1117" s="3" t="s">
        <v>63</v>
      </c>
      <c r="AS1117" s="3" t="s">
        <v>63</v>
      </c>
      <c r="AT1117" s="3" t="s">
        <v>62</v>
      </c>
      <c r="AU1117" s="6" t="str">
        <f>HYPERLINK("http://catalog.hathitrust.org/Record/101883230","HathiTrust Record")</f>
        <v>HathiTrust Record</v>
      </c>
      <c r="AV1117" s="6" t="str">
        <f>HYPERLINK("http://mcgill.on.worldcat.org/oclc/43124239","Catalog Record")</f>
        <v>Catalog Record</v>
      </c>
      <c r="AW1117" s="6" t="str">
        <f>HYPERLINK("http://www.worldcat.org/oclc/43124239","WorldCat Record")</f>
        <v>WorldCat Record</v>
      </c>
      <c r="AX1117" s="3" t="s">
        <v>10538</v>
      </c>
      <c r="AY1117" s="3" t="s">
        <v>10539</v>
      </c>
      <c r="AZ1117" s="3" t="s">
        <v>10540</v>
      </c>
      <c r="BA1117" s="3" t="s">
        <v>10540</v>
      </c>
      <c r="BB1117" s="3" t="s">
        <v>10614</v>
      </c>
      <c r="BC1117" s="3" t="s">
        <v>82</v>
      </c>
      <c r="BD1117" s="3" t="s">
        <v>70</v>
      </c>
      <c r="BE1117" s="3" t="s">
        <v>10542</v>
      </c>
      <c r="BF1117" s="3" t="s">
        <v>10614</v>
      </c>
      <c r="BG1117" s="3" t="s">
        <v>10615</v>
      </c>
    </row>
    <row r="1118" spans="1:59" ht="60" x14ac:dyDescent="0.25">
      <c r="A1118" s="2" t="s">
        <v>59</v>
      </c>
      <c r="B1118" s="2" t="s">
        <v>60</v>
      </c>
      <c r="C1118" s="2" t="s">
        <v>10531</v>
      </c>
      <c r="D1118" s="2" t="s">
        <v>10532</v>
      </c>
      <c r="E1118" s="2" t="s">
        <v>10533</v>
      </c>
      <c r="F1118" s="3" t="s">
        <v>10616</v>
      </c>
      <c r="G1118" s="3" t="s">
        <v>62</v>
      </c>
      <c r="I1118" s="3" t="s">
        <v>62</v>
      </c>
      <c r="J1118" s="3" t="s">
        <v>63</v>
      </c>
      <c r="K1118" s="3" t="s">
        <v>64</v>
      </c>
      <c r="L1118" s="2" t="s">
        <v>10454</v>
      </c>
      <c r="M1118" s="2" t="s">
        <v>10535</v>
      </c>
      <c r="N1118" s="3" t="s">
        <v>743</v>
      </c>
      <c r="P1118" s="3" t="s">
        <v>90</v>
      </c>
      <c r="R1118" s="3" t="s">
        <v>67</v>
      </c>
      <c r="S1118" s="4">
        <v>2</v>
      </c>
      <c r="T1118" s="4">
        <v>338</v>
      </c>
      <c r="U1118" s="5" t="s">
        <v>10537</v>
      </c>
      <c r="V1118" s="5" t="s">
        <v>10537</v>
      </c>
      <c r="W1118" s="5" t="s">
        <v>69</v>
      </c>
      <c r="X1118" s="5" t="s">
        <v>69</v>
      </c>
      <c r="Y1118" s="4">
        <v>27</v>
      </c>
      <c r="Z1118" s="4">
        <v>9</v>
      </c>
      <c r="AA1118" s="4">
        <v>15</v>
      </c>
      <c r="AB1118" s="4">
        <v>1</v>
      </c>
      <c r="AC1118" s="4">
        <v>1</v>
      </c>
      <c r="AD1118" s="4">
        <v>12</v>
      </c>
      <c r="AE1118" s="4">
        <v>91</v>
      </c>
      <c r="AF1118" s="4">
        <v>0</v>
      </c>
      <c r="AG1118" s="4">
        <v>0</v>
      </c>
      <c r="AH1118" s="4">
        <v>8</v>
      </c>
      <c r="AI1118" s="4">
        <v>85</v>
      </c>
      <c r="AJ1118" s="4">
        <v>6</v>
      </c>
      <c r="AK1118" s="4">
        <v>11</v>
      </c>
      <c r="AL1118" s="4">
        <v>6</v>
      </c>
      <c r="AM1118" s="4">
        <v>48</v>
      </c>
      <c r="AN1118" s="4">
        <v>0</v>
      </c>
      <c r="AO1118" s="4">
        <v>0</v>
      </c>
      <c r="AP1118" s="4">
        <v>6</v>
      </c>
      <c r="AQ1118" s="4">
        <v>11</v>
      </c>
      <c r="AR1118" s="3" t="s">
        <v>63</v>
      </c>
      <c r="AS1118" s="3" t="s">
        <v>63</v>
      </c>
      <c r="AT1118" s="3" t="s">
        <v>62</v>
      </c>
      <c r="AU1118" s="6" t="str">
        <f>HYPERLINK("http://catalog.hathitrust.org/Record/101883230","HathiTrust Record")</f>
        <v>HathiTrust Record</v>
      </c>
      <c r="AV1118" s="6" t="str">
        <f>HYPERLINK("http://mcgill.on.worldcat.org/oclc/43124239","Catalog Record")</f>
        <v>Catalog Record</v>
      </c>
      <c r="AW1118" s="6" t="str">
        <f>HYPERLINK("http://www.worldcat.org/oclc/43124239","WorldCat Record")</f>
        <v>WorldCat Record</v>
      </c>
      <c r="AX1118" s="3" t="s">
        <v>10538</v>
      </c>
      <c r="AY1118" s="3" t="s">
        <v>10539</v>
      </c>
      <c r="AZ1118" s="3" t="s">
        <v>10540</v>
      </c>
      <c r="BA1118" s="3" t="s">
        <v>10540</v>
      </c>
      <c r="BB1118" s="3" t="s">
        <v>10617</v>
      </c>
      <c r="BC1118" s="3" t="s">
        <v>82</v>
      </c>
      <c r="BD1118" s="3" t="s">
        <v>70</v>
      </c>
      <c r="BE1118" s="3" t="s">
        <v>10542</v>
      </c>
      <c r="BF1118" s="3" t="s">
        <v>10617</v>
      </c>
      <c r="BG1118" s="3" t="s">
        <v>10618</v>
      </c>
    </row>
    <row r="1119" spans="1:59" ht="60" x14ac:dyDescent="0.25">
      <c r="A1119" s="2" t="s">
        <v>59</v>
      </c>
      <c r="B1119" s="2" t="s">
        <v>60</v>
      </c>
      <c r="C1119" s="2" t="s">
        <v>10531</v>
      </c>
      <c r="D1119" s="2" t="s">
        <v>10532</v>
      </c>
      <c r="E1119" s="2" t="s">
        <v>10533</v>
      </c>
      <c r="F1119" s="3" t="s">
        <v>9072</v>
      </c>
      <c r="G1119" s="3" t="s">
        <v>62</v>
      </c>
      <c r="I1119" s="3" t="s">
        <v>62</v>
      </c>
      <c r="J1119" s="3" t="s">
        <v>63</v>
      </c>
      <c r="K1119" s="3" t="s">
        <v>64</v>
      </c>
      <c r="L1119" s="2" t="s">
        <v>10454</v>
      </c>
      <c r="M1119" s="2" t="s">
        <v>10535</v>
      </c>
      <c r="N1119" s="3" t="s">
        <v>743</v>
      </c>
      <c r="P1119" s="3" t="s">
        <v>90</v>
      </c>
      <c r="R1119" s="3" t="s">
        <v>67</v>
      </c>
      <c r="S1119" s="4">
        <v>7</v>
      </c>
      <c r="T1119" s="4">
        <v>338</v>
      </c>
      <c r="U1119" s="5" t="s">
        <v>10619</v>
      </c>
      <c r="V1119" s="5" t="s">
        <v>10537</v>
      </c>
      <c r="W1119" s="5" t="s">
        <v>69</v>
      </c>
      <c r="X1119" s="5" t="s">
        <v>69</v>
      </c>
      <c r="Y1119" s="4">
        <v>27</v>
      </c>
      <c r="Z1119" s="4">
        <v>9</v>
      </c>
      <c r="AA1119" s="4">
        <v>15</v>
      </c>
      <c r="AB1119" s="4">
        <v>1</v>
      </c>
      <c r="AC1119" s="4">
        <v>1</v>
      </c>
      <c r="AD1119" s="4">
        <v>12</v>
      </c>
      <c r="AE1119" s="4">
        <v>91</v>
      </c>
      <c r="AF1119" s="4">
        <v>0</v>
      </c>
      <c r="AG1119" s="4">
        <v>0</v>
      </c>
      <c r="AH1119" s="4">
        <v>8</v>
      </c>
      <c r="AI1119" s="4">
        <v>85</v>
      </c>
      <c r="AJ1119" s="4">
        <v>6</v>
      </c>
      <c r="AK1119" s="4">
        <v>11</v>
      </c>
      <c r="AL1119" s="4">
        <v>6</v>
      </c>
      <c r="AM1119" s="4">
        <v>48</v>
      </c>
      <c r="AN1119" s="4">
        <v>0</v>
      </c>
      <c r="AO1119" s="4">
        <v>0</v>
      </c>
      <c r="AP1119" s="4">
        <v>6</v>
      </c>
      <c r="AQ1119" s="4">
        <v>11</v>
      </c>
      <c r="AR1119" s="3" t="s">
        <v>63</v>
      </c>
      <c r="AS1119" s="3" t="s">
        <v>63</v>
      </c>
      <c r="AT1119" s="3" t="s">
        <v>62</v>
      </c>
      <c r="AU1119" s="6" t="str">
        <f>HYPERLINK("http://catalog.hathitrust.org/Record/101883230","HathiTrust Record")</f>
        <v>HathiTrust Record</v>
      </c>
      <c r="AV1119" s="6" t="str">
        <f>HYPERLINK("http://mcgill.on.worldcat.org/oclc/43124239","Catalog Record")</f>
        <v>Catalog Record</v>
      </c>
      <c r="AW1119" s="6" t="str">
        <f>HYPERLINK("http://www.worldcat.org/oclc/43124239","WorldCat Record")</f>
        <v>WorldCat Record</v>
      </c>
      <c r="AX1119" s="3" t="s">
        <v>10538</v>
      </c>
      <c r="AY1119" s="3" t="s">
        <v>10539</v>
      </c>
      <c r="AZ1119" s="3" t="s">
        <v>10540</v>
      </c>
      <c r="BA1119" s="3" t="s">
        <v>10540</v>
      </c>
      <c r="BB1119" s="3" t="s">
        <v>10620</v>
      </c>
      <c r="BC1119" s="3" t="s">
        <v>82</v>
      </c>
      <c r="BD1119" s="3" t="s">
        <v>70</v>
      </c>
      <c r="BE1119" s="3" t="s">
        <v>10542</v>
      </c>
      <c r="BF1119" s="3" t="s">
        <v>10620</v>
      </c>
      <c r="BG1119" s="3" t="s">
        <v>10621</v>
      </c>
    </row>
    <row r="1120" spans="1:59" ht="60" x14ac:dyDescent="0.25">
      <c r="A1120" s="2" t="s">
        <v>59</v>
      </c>
      <c r="B1120" s="2" t="s">
        <v>60</v>
      </c>
      <c r="C1120" s="2" t="s">
        <v>10531</v>
      </c>
      <c r="D1120" s="2" t="s">
        <v>10532</v>
      </c>
      <c r="E1120" s="2" t="s">
        <v>10533</v>
      </c>
      <c r="F1120" s="3" t="s">
        <v>4428</v>
      </c>
      <c r="G1120" s="3" t="s">
        <v>62</v>
      </c>
      <c r="I1120" s="3" t="s">
        <v>62</v>
      </c>
      <c r="J1120" s="3" t="s">
        <v>63</v>
      </c>
      <c r="K1120" s="3" t="s">
        <v>64</v>
      </c>
      <c r="L1120" s="2" t="s">
        <v>10454</v>
      </c>
      <c r="M1120" s="2" t="s">
        <v>10535</v>
      </c>
      <c r="N1120" s="3" t="s">
        <v>743</v>
      </c>
      <c r="P1120" s="3" t="s">
        <v>90</v>
      </c>
      <c r="R1120" s="3" t="s">
        <v>67</v>
      </c>
      <c r="S1120" s="4">
        <v>23</v>
      </c>
      <c r="T1120" s="4">
        <v>338</v>
      </c>
      <c r="U1120" s="5" t="s">
        <v>10587</v>
      </c>
      <c r="V1120" s="5" t="s">
        <v>10537</v>
      </c>
      <c r="W1120" s="5" t="s">
        <v>69</v>
      </c>
      <c r="X1120" s="5" t="s">
        <v>69</v>
      </c>
      <c r="Y1120" s="4">
        <v>27</v>
      </c>
      <c r="Z1120" s="4">
        <v>9</v>
      </c>
      <c r="AA1120" s="4">
        <v>15</v>
      </c>
      <c r="AB1120" s="4">
        <v>1</v>
      </c>
      <c r="AC1120" s="4">
        <v>1</v>
      </c>
      <c r="AD1120" s="4">
        <v>12</v>
      </c>
      <c r="AE1120" s="4">
        <v>91</v>
      </c>
      <c r="AF1120" s="4">
        <v>0</v>
      </c>
      <c r="AG1120" s="4">
        <v>0</v>
      </c>
      <c r="AH1120" s="4">
        <v>8</v>
      </c>
      <c r="AI1120" s="4">
        <v>85</v>
      </c>
      <c r="AJ1120" s="4">
        <v>6</v>
      </c>
      <c r="AK1120" s="4">
        <v>11</v>
      </c>
      <c r="AL1120" s="4">
        <v>6</v>
      </c>
      <c r="AM1120" s="4">
        <v>48</v>
      </c>
      <c r="AN1120" s="4">
        <v>0</v>
      </c>
      <c r="AO1120" s="4">
        <v>0</v>
      </c>
      <c r="AP1120" s="4">
        <v>6</v>
      </c>
      <c r="AQ1120" s="4">
        <v>11</v>
      </c>
      <c r="AR1120" s="3" t="s">
        <v>63</v>
      </c>
      <c r="AS1120" s="3" t="s">
        <v>63</v>
      </c>
      <c r="AT1120" s="3" t="s">
        <v>62</v>
      </c>
      <c r="AU1120" s="6" t="str">
        <f>HYPERLINK("http://catalog.hathitrust.org/Record/101883230","HathiTrust Record")</f>
        <v>HathiTrust Record</v>
      </c>
      <c r="AV1120" s="6" t="str">
        <f>HYPERLINK("http://mcgill.on.worldcat.org/oclc/43124239","Catalog Record")</f>
        <v>Catalog Record</v>
      </c>
      <c r="AW1120" s="6" t="str">
        <f>HYPERLINK("http://www.worldcat.org/oclc/43124239","WorldCat Record")</f>
        <v>WorldCat Record</v>
      </c>
      <c r="AX1120" s="3" t="s">
        <v>10538</v>
      </c>
      <c r="AY1120" s="3" t="s">
        <v>10539</v>
      </c>
      <c r="AZ1120" s="3" t="s">
        <v>10540</v>
      </c>
      <c r="BA1120" s="3" t="s">
        <v>10540</v>
      </c>
      <c r="BB1120" s="3" t="s">
        <v>10622</v>
      </c>
      <c r="BC1120" s="3" t="s">
        <v>82</v>
      </c>
      <c r="BD1120" s="3" t="s">
        <v>70</v>
      </c>
      <c r="BE1120" s="3" t="s">
        <v>10542</v>
      </c>
      <c r="BF1120" s="3" t="s">
        <v>10622</v>
      </c>
      <c r="BG1120" s="3" t="s">
        <v>10623</v>
      </c>
    </row>
    <row r="1121" spans="1:59" ht="60" x14ac:dyDescent="0.25">
      <c r="A1121" s="2" t="s">
        <v>59</v>
      </c>
      <c r="B1121" s="2" t="s">
        <v>60</v>
      </c>
      <c r="C1121" s="2" t="s">
        <v>10531</v>
      </c>
      <c r="D1121" s="2" t="s">
        <v>10532</v>
      </c>
      <c r="E1121" s="2" t="s">
        <v>10533</v>
      </c>
      <c r="F1121" s="3" t="s">
        <v>4434</v>
      </c>
      <c r="G1121" s="3" t="s">
        <v>62</v>
      </c>
      <c r="I1121" s="3" t="s">
        <v>62</v>
      </c>
      <c r="J1121" s="3" t="s">
        <v>63</v>
      </c>
      <c r="K1121" s="3" t="s">
        <v>64</v>
      </c>
      <c r="L1121" s="2" t="s">
        <v>10454</v>
      </c>
      <c r="M1121" s="2" t="s">
        <v>10535</v>
      </c>
      <c r="N1121" s="3" t="s">
        <v>743</v>
      </c>
      <c r="P1121" s="3" t="s">
        <v>90</v>
      </c>
      <c r="R1121" s="3" t="s">
        <v>67</v>
      </c>
      <c r="S1121" s="4">
        <v>3</v>
      </c>
      <c r="T1121" s="4">
        <v>338</v>
      </c>
      <c r="U1121" s="5" t="s">
        <v>10624</v>
      </c>
      <c r="V1121" s="5" t="s">
        <v>10537</v>
      </c>
      <c r="W1121" s="5" t="s">
        <v>69</v>
      </c>
      <c r="X1121" s="5" t="s">
        <v>69</v>
      </c>
      <c r="Y1121" s="4">
        <v>27</v>
      </c>
      <c r="Z1121" s="4">
        <v>9</v>
      </c>
      <c r="AA1121" s="4">
        <v>15</v>
      </c>
      <c r="AB1121" s="4">
        <v>1</v>
      </c>
      <c r="AC1121" s="4">
        <v>1</v>
      </c>
      <c r="AD1121" s="4">
        <v>12</v>
      </c>
      <c r="AE1121" s="4">
        <v>91</v>
      </c>
      <c r="AF1121" s="4">
        <v>0</v>
      </c>
      <c r="AG1121" s="4">
        <v>0</v>
      </c>
      <c r="AH1121" s="4">
        <v>8</v>
      </c>
      <c r="AI1121" s="4">
        <v>85</v>
      </c>
      <c r="AJ1121" s="4">
        <v>6</v>
      </c>
      <c r="AK1121" s="4">
        <v>11</v>
      </c>
      <c r="AL1121" s="4">
        <v>6</v>
      </c>
      <c r="AM1121" s="4">
        <v>48</v>
      </c>
      <c r="AN1121" s="4">
        <v>0</v>
      </c>
      <c r="AO1121" s="4">
        <v>0</v>
      </c>
      <c r="AP1121" s="4">
        <v>6</v>
      </c>
      <c r="AQ1121" s="4">
        <v>11</v>
      </c>
      <c r="AR1121" s="3" t="s">
        <v>63</v>
      </c>
      <c r="AS1121" s="3" t="s">
        <v>63</v>
      </c>
      <c r="AT1121" s="3" t="s">
        <v>62</v>
      </c>
      <c r="AU1121" s="6" t="str">
        <f>HYPERLINK("http://catalog.hathitrust.org/Record/101883230","HathiTrust Record")</f>
        <v>HathiTrust Record</v>
      </c>
      <c r="AV1121" s="6" t="str">
        <f>HYPERLINK("http://mcgill.on.worldcat.org/oclc/43124239","Catalog Record")</f>
        <v>Catalog Record</v>
      </c>
      <c r="AW1121" s="6" t="str">
        <f>HYPERLINK("http://www.worldcat.org/oclc/43124239","WorldCat Record")</f>
        <v>WorldCat Record</v>
      </c>
      <c r="AX1121" s="3" t="s">
        <v>10538</v>
      </c>
      <c r="AY1121" s="3" t="s">
        <v>10539</v>
      </c>
      <c r="AZ1121" s="3" t="s">
        <v>10540</v>
      </c>
      <c r="BA1121" s="3" t="s">
        <v>10540</v>
      </c>
      <c r="BB1121" s="3" t="s">
        <v>10625</v>
      </c>
      <c r="BC1121" s="3" t="s">
        <v>82</v>
      </c>
      <c r="BD1121" s="3" t="s">
        <v>70</v>
      </c>
      <c r="BE1121" s="3" t="s">
        <v>10542</v>
      </c>
      <c r="BF1121" s="3" t="s">
        <v>10625</v>
      </c>
      <c r="BG1121" s="3" t="s">
        <v>10626</v>
      </c>
    </row>
    <row r="1122" spans="1:59" ht="60" x14ac:dyDescent="0.25">
      <c r="A1122" s="2" t="s">
        <v>59</v>
      </c>
      <c r="B1122" s="2" t="s">
        <v>60</v>
      </c>
      <c r="C1122" s="2" t="s">
        <v>10531</v>
      </c>
      <c r="D1122" s="2" t="s">
        <v>10532</v>
      </c>
      <c r="E1122" s="2" t="s">
        <v>10533</v>
      </c>
      <c r="F1122" s="3" t="s">
        <v>571</v>
      </c>
      <c r="G1122" s="3" t="s">
        <v>62</v>
      </c>
      <c r="I1122" s="3" t="s">
        <v>62</v>
      </c>
      <c r="J1122" s="3" t="s">
        <v>63</v>
      </c>
      <c r="K1122" s="3" t="s">
        <v>64</v>
      </c>
      <c r="L1122" s="2" t="s">
        <v>10454</v>
      </c>
      <c r="M1122" s="2" t="s">
        <v>10535</v>
      </c>
      <c r="N1122" s="3" t="s">
        <v>743</v>
      </c>
      <c r="P1122" s="3" t="s">
        <v>90</v>
      </c>
      <c r="R1122" s="3" t="s">
        <v>67</v>
      </c>
      <c r="S1122" s="4">
        <v>5</v>
      </c>
      <c r="T1122" s="4">
        <v>338</v>
      </c>
      <c r="U1122" s="5" t="s">
        <v>10579</v>
      </c>
      <c r="V1122" s="5" t="s">
        <v>10537</v>
      </c>
      <c r="W1122" s="5" t="s">
        <v>69</v>
      </c>
      <c r="X1122" s="5" t="s">
        <v>69</v>
      </c>
      <c r="Y1122" s="4">
        <v>27</v>
      </c>
      <c r="Z1122" s="4">
        <v>9</v>
      </c>
      <c r="AA1122" s="4">
        <v>15</v>
      </c>
      <c r="AB1122" s="4">
        <v>1</v>
      </c>
      <c r="AC1122" s="4">
        <v>1</v>
      </c>
      <c r="AD1122" s="4">
        <v>12</v>
      </c>
      <c r="AE1122" s="4">
        <v>91</v>
      </c>
      <c r="AF1122" s="4">
        <v>0</v>
      </c>
      <c r="AG1122" s="4">
        <v>0</v>
      </c>
      <c r="AH1122" s="4">
        <v>8</v>
      </c>
      <c r="AI1122" s="4">
        <v>85</v>
      </c>
      <c r="AJ1122" s="4">
        <v>6</v>
      </c>
      <c r="AK1122" s="4">
        <v>11</v>
      </c>
      <c r="AL1122" s="4">
        <v>6</v>
      </c>
      <c r="AM1122" s="4">
        <v>48</v>
      </c>
      <c r="AN1122" s="4">
        <v>0</v>
      </c>
      <c r="AO1122" s="4">
        <v>0</v>
      </c>
      <c r="AP1122" s="4">
        <v>6</v>
      </c>
      <c r="AQ1122" s="4">
        <v>11</v>
      </c>
      <c r="AR1122" s="3" t="s">
        <v>63</v>
      </c>
      <c r="AS1122" s="3" t="s">
        <v>63</v>
      </c>
      <c r="AT1122" s="3" t="s">
        <v>62</v>
      </c>
      <c r="AU1122" s="6" t="str">
        <f>HYPERLINK("http://catalog.hathitrust.org/Record/101883230","HathiTrust Record")</f>
        <v>HathiTrust Record</v>
      </c>
      <c r="AV1122" s="6" t="str">
        <f>HYPERLINK("http://mcgill.on.worldcat.org/oclc/43124239","Catalog Record")</f>
        <v>Catalog Record</v>
      </c>
      <c r="AW1122" s="6" t="str">
        <f>HYPERLINK("http://www.worldcat.org/oclc/43124239","WorldCat Record")</f>
        <v>WorldCat Record</v>
      </c>
      <c r="AX1122" s="3" t="s">
        <v>10538</v>
      </c>
      <c r="AY1122" s="3" t="s">
        <v>10539</v>
      </c>
      <c r="AZ1122" s="3" t="s">
        <v>10540</v>
      </c>
      <c r="BA1122" s="3" t="s">
        <v>10540</v>
      </c>
      <c r="BB1122" s="3" t="s">
        <v>10627</v>
      </c>
      <c r="BC1122" s="3" t="s">
        <v>82</v>
      </c>
      <c r="BD1122" s="3" t="s">
        <v>70</v>
      </c>
      <c r="BE1122" s="3" t="s">
        <v>10542</v>
      </c>
      <c r="BF1122" s="3" t="s">
        <v>10627</v>
      </c>
      <c r="BG1122" s="3" t="s">
        <v>10628</v>
      </c>
    </row>
    <row r="1123" spans="1:59" ht="60" x14ac:dyDescent="0.25">
      <c r="A1123" s="2" t="s">
        <v>59</v>
      </c>
      <c r="B1123" s="2" t="s">
        <v>60</v>
      </c>
      <c r="C1123" s="2" t="s">
        <v>10531</v>
      </c>
      <c r="D1123" s="2" t="s">
        <v>10532</v>
      </c>
      <c r="E1123" s="2" t="s">
        <v>10533</v>
      </c>
      <c r="F1123" s="3" t="s">
        <v>10629</v>
      </c>
      <c r="G1123" s="3" t="s">
        <v>62</v>
      </c>
      <c r="I1123" s="3" t="s">
        <v>62</v>
      </c>
      <c r="J1123" s="3" t="s">
        <v>63</v>
      </c>
      <c r="K1123" s="3" t="s">
        <v>64</v>
      </c>
      <c r="L1123" s="2" t="s">
        <v>10454</v>
      </c>
      <c r="M1123" s="2" t="s">
        <v>10535</v>
      </c>
      <c r="N1123" s="3" t="s">
        <v>743</v>
      </c>
      <c r="P1123" s="3" t="s">
        <v>90</v>
      </c>
      <c r="R1123" s="3" t="s">
        <v>67</v>
      </c>
      <c r="S1123" s="4">
        <v>2</v>
      </c>
      <c r="T1123" s="4">
        <v>338</v>
      </c>
      <c r="U1123" s="5" t="s">
        <v>10536</v>
      </c>
      <c r="V1123" s="5" t="s">
        <v>10537</v>
      </c>
      <c r="W1123" s="5" t="s">
        <v>69</v>
      </c>
      <c r="X1123" s="5" t="s">
        <v>69</v>
      </c>
      <c r="Y1123" s="4">
        <v>27</v>
      </c>
      <c r="Z1123" s="4">
        <v>9</v>
      </c>
      <c r="AA1123" s="4">
        <v>15</v>
      </c>
      <c r="AB1123" s="4">
        <v>1</v>
      </c>
      <c r="AC1123" s="4">
        <v>1</v>
      </c>
      <c r="AD1123" s="4">
        <v>12</v>
      </c>
      <c r="AE1123" s="4">
        <v>91</v>
      </c>
      <c r="AF1123" s="4">
        <v>0</v>
      </c>
      <c r="AG1123" s="4">
        <v>0</v>
      </c>
      <c r="AH1123" s="4">
        <v>8</v>
      </c>
      <c r="AI1123" s="4">
        <v>85</v>
      </c>
      <c r="AJ1123" s="4">
        <v>6</v>
      </c>
      <c r="AK1123" s="4">
        <v>11</v>
      </c>
      <c r="AL1123" s="4">
        <v>6</v>
      </c>
      <c r="AM1123" s="4">
        <v>48</v>
      </c>
      <c r="AN1123" s="4">
        <v>0</v>
      </c>
      <c r="AO1123" s="4">
        <v>0</v>
      </c>
      <c r="AP1123" s="4">
        <v>6</v>
      </c>
      <c r="AQ1123" s="4">
        <v>11</v>
      </c>
      <c r="AR1123" s="3" t="s">
        <v>63</v>
      </c>
      <c r="AS1123" s="3" t="s">
        <v>63</v>
      </c>
      <c r="AT1123" s="3" t="s">
        <v>62</v>
      </c>
      <c r="AU1123" s="6" t="str">
        <f>HYPERLINK("http://catalog.hathitrust.org/Record/101883230","HathiTrust Record")</f>
        <v>HathiTrust Record</v>
      </c>
      <c r="AV1123" s="6" t="str">
        <f>HYPERLINK("http://mcgill.on.worldcat.org/oclc/43124239","Catalog Record")</f>
        <v>Catalog Record</v>
      </c>
      <c r="AW1123" s="6" t="str">
        <f>HYPERLINK("http://www.worldcat.org/oclc/43124239","WorldCat Record")</f>
        <v>WorldCat Record</v>
      </c>
      <c r="AX1123" s="3" t="s">
        <v>10538</v>
      </c>
      <c r="AY1123" s="3" t="s">
        <v>10539</v>
      </c>
      <c r="AZ1123" s="3" t="s">
        <v>10540</v>
      </c>
      <c r="BA1123" s="3" t="s">
        <v>10540</v>
      </c>
      <c r="BB1123" s="3" t="s">
        <v>10630</v>
      </c>
      <c r="BC1123" s="3" t="s">
        <v>82</v>
      </c>
      <c r="BD1123" s="3" t="s">
        <v>70</v>
      </c>
      <c r="BE1123" s="3" t="s">
        <v>10542</v>
      </c>
      <c r="BF1123" s="3" t="s">
        <v>10630</v>
      </c>
      <c r="BG1123" s="3" t="s">
        <v>10631</v>
      </c>
    </row>
    <row r="1124" spans="1:59" ht="60" x14ac:dyDescent="0.25">
      <c r="A1124" s="2" t="s">
        <v>59</v>
      </c>
      <c r="B1124" s="2" t="s">
        <v>60</v>
      </c>
      <c r="C1124" s="2" t="s">
        <v>10531</v>
      </c>
      <c r="D1124" s="2" t="s">
        <v>10532</v>
      </c>
      <c r="E1124" s="2" t="s">
        <v>10533</v>
      </c>
      <c r="F1124" s="3" t="s">
        <v>4439</v>
      </c>
      <c r="G1124" s="3" t="s">
        <v>62</v>
      </c>
      <c r="I1124" s="3" t="s">
        <v>62</v>
      </c>
      <c r="J1124" s="3" t="s">
        <v>63</v>
      </c>
      <c r="K1124" s="3" t="s">
        <v>64</v>
      </c>
      <c r="L1124" s="2" t="s">
        <v>10454</v>
      </c>
      <c r="M1124" s="2" t="s">
        <v>10535</v>
      </c>
      <c r="N1124" s="3" t="s">
        <v>743</v>
      </c>
      <c r="P1124" s="3" t="s">
        <v>90</v>
      </c>
      <c r="R1124" s="3" t="s">
        <v>67</v>
      </c>
      <c r="S1124" s="4">
        <v>11</v>
      </c>
      <c r="T1124" s="4">
        <v>338</v>
      </c>
      <c r="U1124" s="5" t="s">
        <v>10632</v>
      </c>
      <c r="V1124" s="5" t="s">
        <v>10537</v>
      </c>
      <c r="W1124" s="5" t="s">
        <v>69</v>
      </c>
      <c r="X1124" s="5" t="s">
        <v>69</v>
      </c>
      <c r="Y1124" s="4">
        <v>27</v>
      </c>
      <c r="Z1124" s="4">
        <v>9</v>
      </c>
      <c r="AA1124" s="4">
        <v>15</v>
      </c>
      <c r="AB1124" s="4">
        <v>1</v>
      </c>
      <c r="AC1124" s="4">
        <v>1</v>
      </c>
      <c r="AD1124" s="4">
        <v>12</v>
      </c>
      <c r="AE1124" s="4">
        <v>91</v>
      </c>
      <c r="AF1124" s="4">
        <v>0</v>
      </c>
      <c r="AG1124" s="4">
        <v>0</v>
      </c>
      <c r="AH1124" s="4">
        <v>8</v>
      </c>
      <c r="AI1124" s="4">
        <v>85</v>
      </c>
      <c r="AJ1124" s="4">
        <v>6</v>
      </c>
      <c r="AK1124" s="4">
        <v>11</v>
      </c>
      <c r="AL1124" s="4">
        <v>6</v>
      </c>
      <c r="AM1124" s="4">
        <v>48</v>
      </c>
      <c r="AN1124" s="4">
        <v>0</v>
      </c>
      <c r="AO1124" s="4">
        <v>0</v>
      </c>
      <c r="AP1124" s="4">
        <v>6</v>
      </c>
      <c r="AQ1124" s="4">
        <v>11</v>
      </c>
      <c r="AR1124" s="3" t="s">
        <v>63</v>
      </c>
      <c r="AS1124" s="3" t="s">
        <v>63</v>
      </c>
      <c r="AT1124" s="3" t="s">
        <v>62</v>
      </c>
      <c r="AU1124" s="6" t="str">
        <f>HYPERLINK("http://catalog.hathitrust.org/Record/101883230","HathiTrust Record")</f>
        <v>HathiTrust Record</v>
      </c>
      <c r="AV1124" s="6" t="str">
        <f>HYPERLINK("http://mcgill.on.worldcat.org/oclc/43124239","Catalog Record")</f>
        <v>Catalog Record</v>
      </c>
      <c r="AW1124" s="6" t="str">
        <f>HYPERLINK("http://www.worldcat.org/oclc/43124239","WorldCat Record")</f>
        <v>WorldCat Record</v>
      </c>
      <c r="AX1124" s="3" t="s">
        <v>10538</v>
      </c>
      <c r="AY1124" s="3" t="s">
        <v>10539</v>
      </c>
      <c r="AZ1124" s="3" t="s">
        <v>10540</v>
      </c>
      <c r="BA1124" s="3" t="s">
        <v>10540</v>
      </c>
      <c r="BB1124" s="3" t="s">
        <v>10633</v>
      </c>
      <c r="BC1124" s="3" t="s">
        <v>82</v>
      </c>
      <c r="BD1124" s="3" t="s">
        <v>70</v>
      </c>
      <c r="BE1124" s="3" t="s">
        <v>10542</v>
      </c>
      <c r="BF1124" s="3" t="s">
        <v>10633</v>
      </c>
      <c r="BG1124" s="3" t="s">
        <v>10634</v>
      </c>
    </row>
    <row r="1125" spans="1:59" ht="60" x14ac:dyDescent="0.25">
      <c r="A1125" s="2" t="s">
        <v>59</v>
      </c>
      <c r="B1125" s="2" t="s">
        <v>60</v>
      </c>
      <c r="C1125" s="2" t="s">
        <v>10531</v>
      </c>
      <c r="D1125" s="2" t="s">
        <v>10532</v>
      </c>
      <c r="E1125" s="2" t="s">
        <v>10533</v>
      </c>
      <c r="F1125" s="3" t="s">
        <v>4437</v>
      </c>
      <c r="G1125" s="3" t="s">
        <v>62</v>
      </c>
      <c r="I1125" s="3" t="s">
        <v>62</v>
      </c>
      <c r="J1125" s="3" t="s">
        <v>63</v>
      </c>
      <c r="K1125" s="3" t="s">
        <v>64</v>
      </c>
      <c r="L1125" s="2" t="s">
        <v>10454</v>
      </c>
      <c r="M1125" s="2" t="s">
        <v>10535</v>
      </c>
      <c r="N1125" s="3" t="s">
        <v>743</v>
      </c>
      <c r="P1125" s="3" t="s">
        <v>90</v>
      </c>
      <c r="R1125" s="3" t="s">
        <v>67</v>
      </c>
      <c r="S1125" s="4">
        <v>3</v>
      </c>
      <c r="T1125" s="4">
        <v>338</v>
      </c>
      <c r="U1125" s="5" t="s">
        <v>10635</v>
      </c>
      <c r="V1125" s="5" t="s">
        <v>10537</v>
      </c>
      <c r="W1125" s="5" t="s">
        <v>69</v>
      </c>
      <c r="X1125" s="5" t="s">
        <v>69</v>
      </c>
      <c r="Y1125" s="4">
        <v>27</v>
      </c>
      <c r="Z1125" s="4">
        <v>9</v>
      </c>
      <c r="AA1125" s="4">
        <v>15</v>
      </c>
      <c r="AB1125" s="4">
        <v>1</v>
      </c>
      <c r="AC1125" s="4">
        <v>1</v>
      </c>
      <c r="AD1125" s="4">
        <v>12</v>
      </c>
      <c r="AE1125" s="4">
        <v>91</v>
      </c>
      <c r="AF1125" s="4">
        <v>0</v>
      </c>
      <c r="AG1125" s="4">
        <v>0</v>
      </c>
      <c r="AH1125" s="4">
        <v>8</v>
      </c>
      <c r="AI1125" s="4">
        <v>85</v>
      </c>
      <c r="AJ1125" s="4">
        <v>6</v>
      </c>
      <c r="AK1125" s="4">
        <v>11</v>
      </c>
      <c r="AL1125" s="4">
        <v>6</v>
      </c>
      <c r="AM1125" s="4">
        <v>48</v>
      </c>
      <c r="AN1125" s="4">
        <v>0</v>
      </c>
      <c r="AO1125" s="4">
        <v>0</v>
      </c>
      <c r="AP1125" s="4">
        <v>6</v>
      </c>
      <c r="AQ1125" s="4">
        <v>11</v>
      </c>
      <c r="AR1125" s="3" t="s">
        <v>63</v>
      </c>
      <c r="AS1125" s="3" t="s">
        <v>63</v>
      </c>
      <c r="AT1125" s="3" t="s">
        <v>62</v>
      </c>
      <c r="AU1125" s="6" t="str">
        <f>HYPERLINK("http://catalog.hathitrust.org/Record/101883230","HathiTrust Record")</f>
        <v>HathiTrust Record</v>
      </c>
      <c r="AV1125" s="6" t="str">
        <f>HYPERLINK("http://mcgill.on.worldcat.org/oclc/43124239","Catalog Record")</f>
        <v>Catalog Record</v>
      </c>
      <c r="AW1125" s="6" t="str">
        <f>HYPERLINK("http://www.worldcat.org/oclc/43124239","WorldCat Record")</f>
        <v>WorldCat Record</v>
      </c>
      <c r="AX1125" s="3" t="s">
        <v>10538</v>
      </c>
      <c r="AY1125" s="3" t="s">
        <v>10539</v>
      </c>
      <c r="AZ1125" s="3" t="s">
        <v>10540</v>
      </c>
      <c r="BA1125" s="3" t="s">
        <v>10540</v>
      </c>
      <c r="BB1125" s="3" t="s">
        <v>10636</v>
      </c>
      <c r="BC1125" s="3" t="s">
        <v>82</v>
      </c>
      <c r="BD1125" s="3" t="s">
        <v>70</v>
      </c>
      <c r="BE1125" s="3" t="s">
        <v>10542</v>
      </c>
      <c r="BF1125" s="3" t="s">
        <v>10636</v>
      </c>
      <c r="BG1125" s="3" t="s">
        <v>10637</v>
      </c>
    </row>
    <row r="1126" spans="1:59" ht="60" x14ac:dyDescent="0.25">
      <c r="A1126" s="2" t="s">
        <v>59</v>
      </c>
      <c r="B1126" s="2" t="s">
        <v>60</v>
      </c>
      <c r="C1126" s="2" t="s">
        <v>10531</v>
      </c>
      <c r="D1126" s="2" t="s">
        <v>10532</v>
      </c>
      <c r="E1126" s="2" t="s">
        <v>10533</v>
      </c>
      <c r="F1126" s="3" t="s">
        <v>10638</v>
      </c>
      <c r="G1126" s="3" t="s">
        <v>62</v>
      </c>
      <c r="I1126" s="3" t="s">
        <v>62</v>
      </c>
      <c r="J1126" s="3" t="s">
        <v>63</v>
      </c>
      <c r="K1126" s="3" t="s">
        <v>64</v>
      </c>
      <c r="L1126" s="2" t="s">
        <v>10454</v>
      </c>
      <c r="M1126" s="2" t="s">
        <v>10535</v>
      </c>
      <c r="N1126" s="3" t="s">
        <v>743</v>
      </c>
      <c r="P1126" s="3" t="s">
        <v>90</v>
      </c>
      <c r="R1126" s="3" t="s">
        <v>67</v>
      </c>
      <c r="S1126" s="4">
        <v>3</v>
      </c>
      <c r="T1126" s="4">
        <v>338</v>
      </c>
      <c r="U1126" s="5" t="s">
        <v>10536</v>
      </c>
      <c r="V1126" s="5" t="s">
        <v>10537</v>
      </c>
      <c r="W1126" s="5" t="s">
        <v>69</v>
      </c>
      <c r="X1126" s="5" t="s">
        <v>69</v>
      </c>
      <c r="Y1126" s="4">
        <v>27</v>
      </c>
      <c r="Z1126" s="4">
        <v>9</v>
      </c>
      <c r="AA1126" s="4">
        <v>15</v>
      </c>
      <c r="AB1126" s="4">
        <v>1</v>
      </c>
      <c r="AC1126" s="4">
        <v>1</v>
      </c>
      <c r="AD1126" s="4">
        <v>12</v>
      </c>
      <c r="AE1126" s="4">
        <v>91</v>
      </c>
      <c r="AF1126" s="4">
        <v>0</v>
      </c>
      <c r="AG1126" s="4">
        <v>0</v>
      </c>
      <c r="AH1126" s="4">
        <v>8</v>
      </c>
      <c r="AI1126" s="4">
        <v>85</v>
      </c>
      <c r="AJ1126" s="4">
        <v>6</v>
      </c>
      <c r="AK1126" s="4">
        <v>11</v>
      </c>
      <c r="AL1126" s="4">
        <v>6</v>
      </c>
      <c r="AM1126" s="4">
        <v>48</v>
      </c>
      <c r="AN1126" s="4">
        <v>0</v>
      </c>
      <c r="AO1126" s="4">
        <v>0</v>
      </c>
      <c r="AP1126" s="4">
        <v>6</v>
      </c>
      <c r="AQ1126" s="4">
        <v>11</v>
      </c>
      <c r="AR1126" s="3" t="s">
        <v>63</v>
      </c>
      <c r="AS1126" s="3" t="s">
        <v>63</v>
      </c>
      <c r="AT1126" s="3" t="s">
        <v>62</v>
      </c>
      <c r="AU1126" s="6" t="str">
        <f>HYPERLINK("http://catalog.hathitrust.org/Record/101883230","HathiTrust Record")</f>
        <v>HathiTrust Record</v>
      </c>
      <c r="AV1126" s="6" t="str">
        <f>HYPERLINK("http://mcgill.on.worldcat.org/oclc/43124239","Catalog Record")</f>
        <v>Catalog Record</v>
      </c>
      <c r="AW1126" s="6" t="str">
        <f>HYPERLINK("http://www.worldcat.org/oclc/43124239","WorldCat Record")</f>
        <v>WorldCat Record</v>
      </c>
      <c r="AX1126" s="3" t="s">
        <v>10538</v>
      </c>
      <c r="AY1126" s="3" t="s">
        <v>10539</v>
      </c>
      <c r="AZ1126" s="3" t="s">
        <v>10540</v>
      </c>
      <c r="BA1126" s="3" t="s">
        <v>10540</v>
      </c>
      <c r="BB1126" s="3" t="s">
        <v>10639</v>
      </c>
      <c r="BC1126" s="3" t="s">
        <v>82</v>
      </c>
      <c r="BD1126" s="3" t="s">
        <v>70</v>
      </c>
      <c r="BE1126" s="3" t="s">
        <v>10542</v>
      </c>
      <c r="BF1126" s="3" t="s">
        <v>10639</v>
      </c>
      <c r="BG1126" s="3" t="s">
        <v>10640</v>
      </c>
    </row>
    <row r="1127" spans="1:59" ht="60" x14ac:dyDescent="0.25">
      <c r="A1127" s="2" t="s">
        <v>59</v>
      </c>
      <c r="B1127" s="2" t="s">
        <v>60</v>
      </c>
      <c r="C1127" s="2" t="s">
        <v>10531</v>
      </c>
      <c r="D1127" s="2" t="s">
        <v>10532</v>
      </c>
      <c r="E1127" s="2" t="s">
        <v>10533</v>
      </c>
      <c r="F1127" s="3" t="s">
        <v>9069</v>
      </c>
      <c r="G1127" s="3" t="s">
        <v>62</v>
      </c>
      <c r="I1127" s="3" t="s">
        <v>62</v>
      </c>
      <c r="J1127" s="3" t="s">
        <v>63</v>
      </c>
      <c r="K1127" s="3" t="s">
        <v>64</v>
      </c>
      <c r="L1127" s="2" t="s">
        <v>10454</v>
      </c>
      <c r="M1127" s="2" t="s">
        <v>10535</v>
      </c>
      <c r="N1127" s="3" t="s">
        <v>743</v>
      </c>
      <c r="P1127" s="3" t="s">
        <v>90</v>
      </c>
      <c r="R1127" s="3" t="s">
        <v>67</v>
      </c>
      <c r="S1127" s="4">
        <v>3</v>
      </c>
      <c r="T1127" s="4">
        <v>338</v>
      </c>
      <c r="U1127" s="5" t="s">
        <v>10641</v>
      </c>
      <c r="V1127" s="5" t="s">
        <v>10537</v>
      </c>
      <c r="W1127" s="5" t="s">
        <v>69</v>
      </c>
      <c r="X1127" s="5" t="s">
        <v>69</v>
      </c>
      <c r="Y1127" s="4">
        <v>27</v>
      </c>
      <c r="Z1127" s="4">
        <v>9</v>
      </c>
      <c r="AA1127" s="4">
        <v>15</v>
      </c>
      <c r="AB1127" s="4">
        <v>1</v>
      </c>
      <c r="AC1127" s="4">
        <v>1</v>
      </c>
      <c r="AD1127" s="4">
        <v>12</v>
      </c>
      <c r="AE1127" s="4">
        <v>91</v>
      </c>
      <c r="AF1127" s="4">
        <v>0</v>
      </c>
      <c r="AG1127" s="4">
        <v>0</v>
      </c>
      <c r="AH1127" s="4">
        <v>8</v>
      </c>
      <c r="AI1127" s="4">
        <v>85</v>
      </c>
      <c r="AJ1127" s="4">
        <v>6</v>
      </c>
      <c r="AK1127" s="4">
        <v>11</v>
      </c>
      <c r="AL1127" s="4">
        <v>6</v>
      </c>
      <c r="AM1127" s="4">
        <v>48</v>
      </c>
      <c r="AN1127" s="4">
        <v>0</v>
      </c>
      <c r="AO1127" s="4">
        <v>0</v>
      </c>
      <c r="AP1127" s="4">
        <v>6</v>
      </c>
      <c r="AQ1127" s="4">
        <v>11</v>
      </c>
      <c r="AR1127" s="3" t="s">
        <v>63</v>
      </c>
      <c r="AS1127" s="3" t="s">
        <v>63</v>
      </c>
      <c r="AT1127" s="3" t="s">
        <v>62</v>
      </c>
      <c r="AU1127" s="6" t="str">
        <f>HYPERLINK("http://catalog.hathitrust.org/Record/101883230","HathiTrust Record")</f>
        <v>HathiTrust Record</v>
      </c>
      <c r="AV1127" s="6" t="str">
        <f>HYPERLINK("http://mcgill.on.worldcat.org/oclc/43124239","Catalog Record")</f>
        <v>Catalog Record</v>
      </c>
      <c r="AW1127" s="6" t="str">
        <f>HYPERLINK("http://www.worldcat.org/oclc/43124239","WorldCat Record")</f>
        <v>WorldCat Record</v>
      </c>
      <c r="AX1127" s="3" t="s">
        <v>10538</v>
      </c>
      <c r="AY1127" s="3" t="s">
        <v>10539</v>
      </c>
      <c r="AZ1127" s="3" t="s">
        <v>10540</v>
      </c>
      <c r="BA1127" s="3" t="s">
        <v>10540</v>
      </c>
      <c r="BB1127" s="3" t="s">
        <v>10642</v>
      </c>
      <c r="BC1127" s="3" t="s">
        <v>82</v>
      </c>
      <c r="BD1127" s="3" t="s">
        <v>70</v>
      </c>
      <c r="BE1127" s="3" t="s">
        <v>10542</v>
      </c>
      <c r="BF1127" s="3" t="s">
        <v>10642</v>
      </c>
      <c r="BG1127" s="3" t="s">
        <v>10643</v>
      </c>
    </row>
    <row r="1128" spans="1:59" ht="60" x14ac:dyDescent="0.25">
      <c r="A1128" s="2" t="s">
        <v>59</v>
      </c>
      <c r="B1128" s="2" t="s">
        <v>60</v>
      </c>
      <c r="C1128" s="2" t="s">
        <v>10531</v>
      </c>
      <c r="D1128" s="2" t="s">
        <v>10532</v>
      </c>
      <c r="E1128" s="2" t="s">
        <v>10533</v>
      </c>
      <c r="F1128" s="3" t="s">
        <v>10644</v>
      </c>
      <c r="G1128" s="3" t="s">
        <v>62</v>
      </c>
      <c r="I1128" s="3" t="s">
        <v>62</v>
      </c>
      <c r="J1128" s="3" t="s">
        <v>63</v>
      </c>
      <c r="K1128" s="3" t="s">
        <v>64</v>
      </c>
      <c r="L1128" s="2" t="s">
        <v>10454</v>
      </c>
      <c r="M1128" s="2" t="s">
        <v>10535</v>
      </c>
      <c r="N1128" s="3" t="s">
        <v>743</v>
      </c>
      <c r="P1128" s="3" t="s">
        <v>90</v>
      </c>
      <c r="R1128" s="3" t="s">
        <v>67</v>
      </c>
      <c r="S1128" s="4">
        <v>3</v>
      </c>
      <c r="T1128" s="4">
        <v>338</v>
      </c>
      <c r="U1128" s="5" t="s">
        <v>10536</v>
      </c>
      <c r="V1128" s="5" t="s">
        <v>10537</v>
      </c>
      <c r="W1128" s="5" t="s">
        <v>69</v>
      </c>
      <c r="X1128" s="5" t="s">
        <v>69</v>
      </c>
      <c r="Y1128" s="4">
        <v>27</v>
      </c>
      <c r="Z1128" s="4">
        <v>9</v>
      </c>
      <c r="AA1128" s="4">
        <v>15</v>
      </c>
      <c r="AB1128" s="4">
        <v>1</v>
      </c>
      <c r="AC1128" s="4">
        <v>1</v>
      </c>
      <c r="AD1128" s="4">
        <v>12</v>
      </c>
      <c r="AE1128" s="4">
        <v>91</v>
      </c>
      <c r="AF1128" s="4">
        <v>0</v>
      </c>
      <c r="AG1128" s="4">
        <v>0</v>
      </c>
      <c r="AH1128" s="4">
        <v>8</v>
      </c>
      <c r="AI1128" s="4">
        <v>85</v>
      </c>
      <c r="AJ1128" s="4">
        <v>6</v>
      </c>
      <c r="AK1128" s="4">
        <v>11</v>
      </c>
      <c r="AL1128" s="4">
        <v>6</v>
      </c>
      <c r="AM1128" s="4">
        <v>48</v>
      </c>
      <c r="AN1128" s="4">
        <v>0</v>
      </c>
      <c r="AO1128" s="4">
        <v>0</v>
      </c>
      <c r="AP1128" s="4">
        <v>6</v>
      </c>
      <c r="AQ1128" s="4">
        <v>11</v>
      </c>
      <c r="AR1128" s="3" t="s">
        <v>63</v>
      </c>
      <c r="AS1128" s="3" t="s">
        <v>63</v>
      </c>
      <c r="AT1128" s="3" t="s">
        <v>62</v>
      </c>
      <c r="AU1128" s="6" t="str">
        <f>HYPERLINK("http://catalog.hathitrust.org/Record/101883230","HathiTrust Record")</f>
        <v>HathiTrust Record</v>
      </c>
      <c r="AV1128" s="6" t="str">
        <f>HYPERLINK("http://mcgill.on.worldcat.org/oclc/43124239","Catalog Record")</f>
        <v>Catalog Record</v>
      </c>
      <c r="AW1128" s="6" t="str">
        <f>HYPERLINK("http://www.worldcat.org/oclc/43124239","WorldCat Record")</f>
        <v>WorldCat Record</v>
      </c>
      <c r="AX1128" s="3" t="s">
        <v>10538</v>
      </c>
      <c r="AY1128" s="3" t="s">
        <v>10539</v>
      </c>
      <c r="AZ1128" s="3" t="s">
        <v>10540</v>
      </c>
      <c r="BA1128" s="3" t="s">
        <v>10540</v>
      </c>
      <c r="BB1128" s="3" t="s">
        <v>10645</v>
      </c>
      <c r="BC1128" s="3" t="s">
        <v>82</v>
      </c>
      <c r="BD1128" s="3" t="s">
        <v>70</v>
      </c>
      <c r="BE1128" s="3" t="s">
        <v>10542</v>
      </c>
      <c r="BF1128" s="3" t="s">
        <v>10645</v>
      </c>
      <c r="BG1128" s="3" t="s">
        <v>10646</v>
      </c>
    </row>
    <row r="1129" spans="1:59" ht="60" x14ac:dyDescent="0.25">
      <c r="A1129" s="2" t="s">
        <v>59</v>
      </c>
      <c r="B1129" s="2" t="s">
        <v>60</v>
      </c>
      <c r="C1129" s="2" t="s">
        <v>10531</v>
      </c>
      <c r="D1129" s="2" t="s">
        <v>10532</v>
      </c>
      <c r="E1129" s="2" t="s">
        <v>10533</v>
      </c>
      <c r="F1129" s="3" t="s">
        <v>10647</v>
      </c>
      <c r="G1129" s="3" t="s">
        <v>62</v>
      </c>
      <c r="I1129" s="3" t="s">
        <v>62</v>
      </c>
      <c r="J1129" s="3" t="s">
        <v>63</v>
      </c>
      <c r="K1129" s="3" t="s">
        <v>64</v>
      </c>
      <c r="L1129" s="2" t="s">
        <v>10454</v>
      </c>
      <c r="M1129" s="2" t="s">
        <v>10535</v>
      </c>
      <c r="N1129" s="3" t="s">
        <v>743</v>
      </c>
      <c r="P1129" s="3" t="s">
        <v>90</v>
      </c>
      <c r="R1129" s="3" t="s">
        <v>67</v>
      </c>
      <c r="S1129" s="4">
        <v>2</v>
      </c>
      <c r="T1129" s="4">
        <v>338</v>
      </c>
      <c r="U1129" s="5" t="s">
        <v>10536</v>
      </c>
      <c r="V1129" s="5" t="s">
        <v>10537</v>
      </c>
      <c r="W1129" s="5" t="s">
        <v>69</v>
      </c>
      <c r="X1129" s="5" t="s">
        <v>69</v>
      </c>
      <c r="Y1129" s="4">
        <v>27</v>
      </c>
      <c r="Z1129" s="4">
        <v>9</v>
      </c>
      <c r="AA1129" s="4">
        <v>15</v>
      </c>
      <c r="AB1129" s="4">
        <v>1</v>
      </c>
      <c r="AC1129" s="4">
        <v>1</v>
      </c>
      <c r="AD1129" s="4">
        <v>12</v>
      </c>
      <c r="AE1129" s="4">
        <v>91</v>
      </c>
      <c r="AF1129" s="4">
        <v>0</v>
      </c>
      <c r="AG1129" s="4">
        <v>0</v>
      </c>
      <c r="AH1129" s="4">
        <v>8</v>
      </c>
      <c r="AI1129" s="4">
        <v>85</v>
      </c>
      <c r="AJ1129" s="4">
        <v>6</v>
      </c>
      <c r="AK1129" s="4">
        <v>11</v>
      </c>
      <c r="AL1129" s="4">
        <v>6</v>
      </c>
      <c r="AM1129" s="4">
        <v>48</v>
      </c>
      <c r="AN1129" s="4">
        <v>0</v>
      </c>
      <c r="AO1129" s="4">
        <v>0</v>
      </c>
      <c r="AP1129" s="4">
        <v>6</v>
      </c>
      <c r="AQ1129" s="4">
        <v>11</v>
      </c>
      <c r="AR1129" s="3" t="s">
        <v>63</v>
      </c>
      <c r="AS1129" s="3" t="s">
        <v>63</v>
      </c>
      <c r="AT1129" s="3" t="s">
        <v>62</v>
      </c>
      <c r="AU1129" s="6" t="str">
        <f>HYPERLINK("http://catalog.hathitrust.org/Record/101883230","HathiTrust Record")</f>
        <v>HathiTrust Record</v>
      </c>
      <c r="AV1129" s="6" t="str">
        <f>HYPERLINK("http://mcgill.on.worldcat.org/oclc/43124239","Catalog Record")</f>
        <v>Catalog Record</v>
      </c>
      <c r="AW1129" s="6" t="str">
        <f>HYPERLINK("http://www.worldcat.org/oclc/43124239","WorldCat Record")</f>
        <v>WorldCat Record</v>
      </c>
      <c r="AX1129" s="3" t="s">
        <v>10538</v>
      </c>
      <c r="AY1129" s="3" t="s">
        <v>10539</v>
      </c>
      <c r="AZ1129" s="3" t="s">
        <v>10540</v>
      </c>
      <c r="BA1129" s="3" t="s">
        <v>10540</v>
      </c>
      <c r="BB1129" s="3" t="s">
        <v>10648</v>
      </c>
      <c r="BC1129" s="3" t="s">
        <v>82</v>
      </c>
      <c r="BD1129" s="3" t="s">
        <v>70</v>
      </c>
      <c r="BE1129" s="3" t="s">
        <v>10542</v>
      </c>
      <c r="BF1129" s="3" t="s">
        <v>10648</v>
      </c>
      <c r="BG1129" s="3" t="s">
        <v>10649</v>
      </c>
    </row>
    <row r="1130" spans="1:59" ht="60" x14ac:dyDescent="0.25">
      <c r="A1130" s="2" t="s">
        <v>59</v>
      </c>
      <c r="B1130" s="2" t="s">
        <v>60</v>
      </c>
      <c r="C1130" s="2" t="s">
        <v>10531</v>
      </c>
      <c r="D1130" s="2" t="s">
        <v>10532</v>
      </c>
      <c r="E1130" s="2" t="s">
        <v>10533</v>
      </c>
      <c r="F1130" s="3" t="s">
        <v>10650</v>
      </c>
      <c r="G1130" s="3" t="s">
        <v>62</v>
      </c>
      <c r="I1130" s="3" t="s">
        <v>62</v>
      </c>
      <c r="J1130" s="3" t="s">
        <v>63</v>
      </c>
      <c r="K1130" s="3" t="s">
        <v>64</v>
      </c>
      <c r="L1130" s="2" t="s">
        <v>10454</v>
      </c>
      <c r="M1130" s="2" t="s">
        <v>10535</v>
      </c>
      <c r="N1130" s="3" t="s">
        <v>743</v>
      </c>
      <c r="P1130" s="3" t="s">
        <v>90</v>
      </c>
      <c r="R1130" s="3" t="s">
        <v>67</v>
      </c>
      <c r="S1130" s="4">
        <v>2</v>
      </c>
      <c r="T1130" s="4">
        <v>338</v>
      </c>
      <c r="U1130" s="5" t="s">
        <v>10536</v>
      </c>
      <c r="V1130" s="5" t="s">
        <v>10537</v>
      </c>
      <c r="W1130" s="5" t="s">
        <v>69</v>
      </c>
      <c r="X1130" s="5" t="s">
        <v>69</v>
      </c>
      <c r="Y1130" s="4">
        <v>27</v>
      </c>
      <c r="Z1130" s="4">
        <v>9</v>
      </c>
      <c r="AA1130" s="4">
        <v>15</v>
      </c>
      <c r="AB1130" s="4">
        <v>1</v>
      </c>
      <c r="AC1130" s="4">
        <v>1</v>
      </c>
      <c r="AD1130" s="4">
        <v>12</v>
      </c>
      <c r="AE1130" s="4">
        <v>91</v>
      </c>
      <c r="AF1130" s="4">
        <v>0</v>
      </c>
      <c r="AG1130" s="4">
        <v>0</v>
      </c>
      <c r="AH1130" s="4">
        <v>8</v>
      </c>
      <c r="AI1130" s="4">
        <v>85</v>
      </c>
      <c r="AJ1130" s="4">
        <v>6</v>
      </c>
      <c r="AK1130" s="4">
        <v>11</v>
      </c>
      <c r="AL1130" s="4">
        <v>6</v>
      </c>
      <c r="AM1130" s="4">
        <v>48</v>
      </c>
      <c r="AN1130" s="4">
        <v>0</v>
      </c>
      <c r="AO1130" s="4">
        <v>0</v>
      </c>
      <c r="AP1130" s="4">
        <v>6</v>
      </c>
      <c r="AQ1130" s="4">
        <v>11</v>
      </c>
      <c r="AR1130" s="3" t="s">
        <v>63</v>
      </c>
      <c r="AS1130" s="3" t="s">
        <v>63</v>
      </c>
      <c r="AT1130" s="3" t="s">
        <v>62</v>
      </c>
      <c r="AU1130" s="6" t="str">
        <f>HYPERLINK("http://catalog.hathitrust.org/Record/101883230","HathiTrust Record")</f>
        <v>HathiTrust Record</v>
      </c>
      <c r="AV1130" s="6" t="str">
        <f>HYPERLINK("http://mcgill.on.worldcat.org/oclc/43124239","Catalog Record")</f>
        <v>Catalog Record</v>
      </c>
      <c r="AW1130" s="6" t="str">
        <f>HYPERLINK("http://www.worldcat.org/oclc/43124239","WorldCat Record")</f>
        <v>WorldCat Record</v>
      </c>
      <c r="AX1130" s="3" t="s">
        <v>10538</v>
      </c>
      <c r="AY1130" s="3" t="s">
        <v>10539</v>
      </c>
      <c r="AZ1130" s="3" t="s">
        <v>10540</v>
      </c>
      <c r="BA1130" s="3" t="s">
        <v>10540</v>
      </c>
      <c r="BB1130" s="3" t="s">
        <v>10651</v>
      </c>
      <c r="BC1130" s="3" t="s">
        <v>82</v>
      </c>
      <c r="BD1130" s="3" t="s">
        <v>70</v>
      </c>
      <c r="BE1130" s="3" t="s">
        <v>10542</v>
      </c>
      <c r="BF1130" s="3" t="s">
        <v>10651</v>
      </c>
      <c r="BG1130" s="3" t="s">
        <v>10652</v>
      </c>
    </row>
    <row r="1131" spans="1:59" ht="60" x14ac:dyDescent="0.25">
      <c r="A1131" s="2" t="s">
        <v>59</v>
      </c>
      <c r="B1131" s="2" t="s">
        <v>60</v>
      </c>
      <c r="C1131" s="2" t="s">
        <v>10531</v>
      </c>
      <c r="D1131" s="2" t="s">
        <v>10532</v>
      </c>
      <c r="E1131" s="2" t="s">
        <v>10533</v>
      </c>
      <c r="F1131" s="3" t="s">
        <v>4427</v>
      </c>
      <c r="G1131" s="3" t="s">
        <v>62</v>
      </c>
      <c r="I1131" s="3" t="s">
        <v>62</v>
      </c>
      <c r="J1131" s="3" t="s">
        <v>63</v>
      </c>
      <c r="K1131" s="3" t="s">
        <v>64</v>
      </c>
      <c r="L1131" s="2" t="s">
        <v>10454</v>
      </c>
      <c r="M1131" s="2" t="s">
        <v>10535</v>
      </c>
      <c r="N1131" s="3" t="s">
        <v>743</v>
      </c>
      <c r="P1131" s="3" t="s">
        <v>90</v>
      </c>
      <c r="R1131" s="3" t="s">
        <v>67</v>
      </c>
      <c r="S1131" s="4">
        <v>1</v>
      </c>
      <c r="T1131" s="4">
        <v>338</v>
      </c>
      <c r="U1131" s="5" t="s">
        <v>10587</v>
      </c>
      <c r="V1131" s="5" t="s">
        <v>10537</v>
      </c>
      <c r="W1131" s="5" t="s">
        <v>69</v>
      </c>
      <c r="X1131" s="5" t="s">
        <v>69</v>
      </c>
      <c r="Y1131" s="4">
        <v>27</v>
      </c>
      <c r="Z1131" s="4">
        <v>9</v>
      </c>
      <c r="AA1131" s="4">
        <v>15</v>
      </c>
      <c r="AB1131" s="4">
        <v>1</v>
      </c>
      <c r="AC1131" s="4">
        <v>1</v>
      </c>
      <c r="AD1131" s="4">
        <v>12</v>
      </c>
      <c r="AE1131" s="4">
        <v>91</v>
      </c>
      <c r="AF1131" s="4">
        <v>0</v>
      </c>
      <c r="AG1131" s="4">
        <v>0</v>
      </c>
      <c r="AH1131" s="4">
        <v>8</v>
      </c>
      <c r="AI1131" s="4">
        <v>85</v>
      </c>
      <c r="AJ1131" s="4">
        <v>6</v>
      </c>
      <c r="AK1131" s="4">
        <v>11</v>
      </c>
      <c r="AL1131" s="4">
        <v>6</v>
      </c>
      <c r="AM1131" s="4">
        <v>48</v>
      </c>
      <c r="AN1131" s="4">
        <v>0</v>
      </c>
      <c r="AO1131" s="4">
        <v>0</v>
      </c>
      <c r="AP1131" s="4">
        <v>6</v>
      </c>
      <c r="AQ1131" s="4">
        <v>11</v>
      </c>
      <c r="AR1131" s="3" t="s">
        <v>63</v>
      </c>
      <c r="AS1131" s="3" t="s">
        <v>63</v>
      </c>
      <c r="AT1131" s="3" t="s">
        <v>62</v>
      </c>
      <c r="AU1131" s="6" t="str">
        <f>HYPERLINK("http://catalog.hathitrust.org/Record/101883230","HathiTrust Record")</f>
        <v>HathiTrust Record</v>
      </c>
      <c r="AV1131" s="6" t="str">
        <f>HYPERLINK("http://mcgill.on.worldcat.org/oclc/43124239","Catalog Record")</f>
        <v>Catalog Record</v>
      </c>
      <c r="AW1131" s="6" t="str">
        <f>HYPERLINK("http://www.worldcat.org/oclc/43124239","WorldCat Record")</f>
        <v>WorldCat Record</v>
      </c>
      <c r="AX1131" s="3" t="s">
        <v>10538</v>
      </c>
      <c r="AY1131" s="3" t="s">
        <v>10539</v>
      </c>
      <c r="AZ1131" s="3" t="s">
        <v>10540</v>
      </c>
      <c r="BA1131" s="3" t="s">
        <v>10540</v>
      </c>
      <c r="BB1131" s="3" t="s">
        <v>10653</v>
      </c>
      <c r="BC1131" s="3" t="s">
        <v>82</v>
      </c>
      <c r="BD1131" s="3" t="s">
        <v>70</v>
      </c>
      <c r="BE1131" s="3" t="s">
        <v>10542</v>
      </c>
      <c r="BF1131" s="3" t="s">
        <v>10653</v>
      </c>
      <c r="BG1131" s="3" t="s">
        <v>10654</v>
      </c>
    </row>
    <row r="1132" spans="1:59" ht="60" x14ac:dyDescent="0.25">
      <c r="A1132" s="2" t="s">
        <v>59</v>
      </c>
      <c r="B1132" s="2" t="s">
        <v>60</v>
      </c>
      <c r="C1132" s="2" t="s">
        <v>10531</v>
      </c>
      <c r="D1132" s="2" t="s">
        <v>10532</v>
      </c>
      <c r="E1132" s="2" t="s">
        <v>10533</v>
      </c>
      <c r="F1132" s="3" t="s">
        <v>10616</v>
      </c>
      <c r="G1132" s="3" t="s">
        <v>62</v>
      </c>
      <c r="I1132" s="3" t="s">
        <v>62</v>
      </c>
      <c r="J1132" s="3" t="s">
        <v>63</v>
      </c>
      <c r="K1132" s="3" t="s">
        <v>64</v>
      </c>
      <c r="L1132" s="2" t="s">
        <v>10454</v>
      </c>
      <c r="M1132" s="2" t="s">
        <v>10535</v>
      </c>
      <c r="N1132" s="3" t="s">
        <v>743</v>
      </c>
      <c r="P1132" s="3" t="s">
        <v>90</v>
      </c>
      <c r="R1132" s="3" t="s">
        <v>67</v>
      </c>
      <c r="S1132" s="4">
        <v>7</v>
      </c>
      <c r="T1132" s="4">
        <v>338</v>
      </c>
      <c r="U1132" s="5" t="s">
        <v>10536</v>
      </c>
      <c r="V1132" s="5" t="s">
        <v>10537</v>
      </c>
      <c r="W1132" s="5" t="s">
        <v>69</v>
      </c>
      <c r="X1132" s="5" t="s">
        <v>69</v>
      </c>
      <c r="Y1132" s="4">
        <v>27</v>
      </c>
      <c r="Z1132" s="4">
        <v>9</v>
      </c>
      <c r="AA1132" s="4">
        <v>15</v>
      </c>
      <c r="AB1132" s="4">
        <v>1</v>
      </c>
      <c r="AC1132" s="4">
        <v>1</v>
      </c>
      <c r="AD1132" s="4">
        <v>12</v>
      </c>
      <c r="AE1132" s="4">
        <v>91</v>
      </c>
      <c r="AF1132" s="4">
        <v>0</v>
      </c>
      <c r="AG1132" s="4">
        <v>0</v>
      </c>
      <c r="AH1132" s="4">
        <v>8</v>
      </c>
      <c r="AI1132" s="4">
        <v>85</v>
      </c>
      <c r="AJ1132" s="4">
        <v>6</v>
      </c>
      <c r="AK1132" s="4">
        <v>11</v>
      </c>
      <c r="AL1132" s="4">
        <v>6</v>
      </c>
      <c r="AM1132" s="4">
        <v>48</v>
      </c>
      <c r="AN1132" s="4">
        <v>0</v>
      </c>
      <c r="AO1132" s="4">
        <v>0</v>
      </c>
      <c r="AP1132" s="4">
        <v>6</v>
      </c>
      <c r="AQ1132" s="4">
        <v>11</v>
      </c>
      <c r="AR1132" s="3" t="s">
        <v>63</v>
      </c>
      <c r="AS1132" s="3" t="s">
        <v>63</v>
      </c>
      <c r="AT1132" s="3" t="s">
        <v>62</v>
      </c>
      <c r="AU1132" s="6" t="str">
        <f>HYPERLINK("http://catalog.hathitrust.org/Record/101883230","HathiTrust Record")</f>
        <v>HathiTrust Record</v>
      </c>
      <c r="AV1132" s="6" t="str">
        <f>HYPERLINK("http://mcgill.on.worldcat.org/oclc/43124239","Catalog Record")</f>
        <v>Catalog Record</v>
      </c>
      <c r="AW1132" s="6" t="str">
        <f>HYPERLINK("http://www.worldcat.org/oclc/43124239","WorldCat Record")</f>
        <v>WorldCat Record</v>
      </c>
      <c r="AX1132" s="3" t="s">
        <v>10538</v>
      </c>
      <c r="AY1132" s="3" t="s">
        <v>10539</v>
      </c>
      <c r="AZ1132" s="3" t="s">
        <v>10540</v>
      </c>
      <c r="BA1132" s="3" t="s">
        <v>10540</v>
      </c>
      <c r="BB1132" s="3" t="s">
        <v>10655</v>
      </c>
      <c r="BC1132" s="3" t="s">
        <v>82</v>
      </c>
      <c r="BD1132" s="3" t="s">
        <v>70</v>
      </c>
      <c r="BE1132" s="3" t="s">
        <v>10542</v>
      </c>
      <c r="BF1132" s="3" t="s">
        <v>10655</v>
      </c>
      <c r="BG1132" s="3" t="s">
        <v>10656</v>
      </c>
    </row>
    <row r="1133" spans="1:59" ht="60" x14ac:dyDescent="0.25">
      <c r="A1133" s="2" t="s">
        <v>59</v>
      </c>
      <c r="B1133" s="2" t="s">
        <v>60</v>
      </c>
      <c r="C1133" s="2" t="s">
        <v>10531</v>
      </c>
      <c r="D1133" s="2" t="s">
        <v>10532</v>
      </c>
      <c r="E1133" s="2" t="s">
        <v>10533</v>
      </c>
      <c r="F1133" s="3" t="s">
        <v>4427</v>
      </c>
      <c r="G1133" s="3" t="s">
        <v>62</v>
      </c>
      <c r="I1133" s="3" t="s">
        <v>62</v>
      </c>
      <c r="J1133" s="3" t="s">
        <v>63</v>
      </c>
      <c r="K1133" s="3" t="s">
        <v>64</v>
      </c>
      <c r="L1133" s="2" t="s">
        <v>10454</v>
      </c>
      <c r="M1133" s="2" t="s">
        <v>10535</v>
      </c>
      <c r="N1133" s="3" t="s">
        <v>743</v>
      </c>
      <c r="P1133" s="3" t="s">
        <v>90</v>
      </c>
      <c r="R1133" s="3" t="s">
        <v>67</v>
      </c>
      <c r="S1133" s="4">
        <v>5</v>
      </c>
      <c r="T1133" s="4">
        <v>338</v>
      </c>
      <c r="U1133" s="5" t="s">
        <v>10657</v>
      </c>
      <c r="V1133" s="5" t="s">
        <v>10537</v>
      </c>
      <c r="W1133" s="5" t="s">
        <v>69</v>
      </c>
      <c r="X1133" s="5" t="s">
        <v>69</v>
      </c>
      <c r="Y1133" s="4">
        <v>27</v>
      </c>
      <c r="Z1133" s="4">
        <v>9</v>
      </c>
      <c r="AA1133" s="4">
        <v>15</v>
      </c>
      <c r="AB1133" s="4">
        <v>1</v>
      </c>
      <c r="AC1133" s="4">
        <v>1</v>
      </c>
      <c r="AD1133" s="4">
        <v>12</v>
      </c>
      <c r="AE1133" s="4">
        <v>91</v>
      </c>
      <c r="AF1133" s="4">
        <v>0</v>
      </c>
      <c r="AG1133" s="4">
        <v>0</v>
      </c>
      <c r="AH1133" s="4">
        <v>8</v>
      </c>
      <c r="AI1133" s="4">
        <v>85</v>
      </c>
      <c r="AJ1133" s="4">
        <v>6</v>
      </c>
      <c r="AK1133" s="4">
        <v>11</v>
      </c>
      <c r="AL1133" s="4">
        <v>6</v>
      </c>
      <c r="AM1133" s="4">
        <v>48</v>
      </c>
      <c r="AN1133" s="4">
        <v>0</v>
      </c>
      <c r="AO1133" s="4">
        <v>0</v>
      </c>
      <c r="AP1133" s="4">
        <v>6</v>
      </c>
      <c r="AQ1133" s="4">
        <v>11</v>
      </c>
      <c r="AR1133" s="3" t="s">
        <v>63</v>
      </c>
      <c r="AS1133" s="3" t="s">
        <v>63</v>
      </c>
      <c r="AT1133" s="3" t="s">
        <v>62</v>
      </c>
      <c r="AU1133" s="6" t="str">
        <f>HYPERLINK("http://catalog.hathitrust.org/Record/101883230","HathiTrust Record")</f>
        <v>HathiTrust Record</v>
      </c>
      <c r="AV1133" s="6" t="str">
        <f>HYPERLINK("http://mcgill.on.worldcat.org/oclc/43124239","Catalog Record")</f>
        <v>Catalog Record</v>
      </c>
      <c r="AW1133" s="6" t="str">
        <f>HYPERLINK("http://www.worldcat.org/oclc/43124239","WorldCat Record")</f>
        <v>WorldCat Record</v>
      </c>
      <c r="AX1133" s="3" t="s">
        <v>10538</v>
      </c>
      <c r="AY1133" s="3" t="s">
        <v>10539</v>
      </c>
      <c r="AZ1133" s="3" t="s">
        <v>10540</v>
      </c>
      <c r="BA1133" s="3" t="s">
        <v>10540</v>
      </c>
      <c r="BB1133" s="3" t="s">
        <v>10658</v>
      </c>
      <c r="BC1133" s="3" t="s">
        <v>82</v>
      </c>
      <c r="BD1133" s="3" t="s">
        <v>70</v>
      </c>
      <c r="BE1133" s="3" t="s">
        <v>10542</v>
      </c>
      <c r="BF1133" s="3" t="s">
        <v>10658</v>
      </c>
      <c r="BG1133" s="3" t="s">
        <v>10659</v>
      </c>
    </row>
    <row r="1134" spans="1:59" ht="60" x14ac:dyDescent="0.25">
      <c r="A1134" s="2" t="s">
        <v>59</v>
      </c>
      <c r="B1134" s="2" t="s">
        <v>60</v>
      </c>
      <c r="C1134" s="2" t="s">
        <v>10531</v>
      </c>
      <c r="D1134" s="2" t="s">
        <v>10532</v>
      </c>
      <c r="E1134" s="2" t="s">
        <v>10533</v>
      </c>
      <c r="F1134" s="3" t="s">
        <v>10534</v>
      </c>
      <c r="G1134" s="3" t="s">
        <v>62</v>
      </c>
      <c r="I1134" s="3" t="s">
        <v>62</v>
      </c>
      <c r="J1134" s="3" t="s">
        <v>63</v>
      </c>
      <c r="K1134" s="3" t="s">
        <v>64</v>
      </c>
      <c r="L1134" s="2" t="s">
        <v>10454</v>
      </c>
      <c r="M1134" s="2" t="s">
        <v>10535</v>
      </c>
      <c r="N1134" s="3" t="s">
        <v>743</v>
      </c>
      <c r="P1134" s="3" t="s">
        <v>90</v>
      </c>
      <c r="R1134" s="3" t="s">
        <v>67</v>
      </c>
      <c r="S1134" s="4">
        <v>5</v>
      </c>
      <c r="T1134" s="4">
        <v>338</v>
      </c>
      <c r="U1134" s="5" t="s">
        <v>10660</v>
      </c>
      <c r="V1134" s="5" t="s">
        <v>10537</v>
      </c>
      <c r="W1134" s="5" t="s">
        <v>69</v>
      </c>
      <c r="X1134" s="5" t="s">
        <v>69</v>
      </c>
      <c r="Y1134" s="4">
        <v>27</v>
      </c>
      <c r="Z1134" s="4">
        <v>9</v>
      </c>
      <c r="AA1134" s="4">
        <v>15</v>
      </c>
      <c r="AB1134" s="4">
        <v>1</v>
      </c>
      <c r="AC1134" s="4">
        <v>1</v>
      </c>
      <c r="AD1134" s="4">
        <v>12</v>
      </c>
      <c r="AE1134" s="4">
        <v>91</v>
      </c>
      <c r="AF1134" s="4">
        <v>0</v>
      </c>
      <c r="AG1134" s="4">
        <v>0</v>
      </c>
      <c r="AH1134" s="4">
        <v>8</v>
      </c>
      <c r="AI1134" s="4">
        <v>85</v>
      </c>
      <c r="AJ1134" s="4">
        <v>6</v>
      </c>
      <c r="AK1134" s="4">
        <v>11</v>
      </c>
      <c r="AL1134" s="4">
        <v>6</v>
      </c>
      <c r="AM1134" s="4">
        <v>48</v>
      </c>
      <c r="AN1134" s="4">
        <v>0</v>
      </c>
      <c r="AO1134" s="4">
        <v>0</v>
      </c>
      <c r="AP1134" s="4">
        <v>6</v>
      </c>
      <c r="AQ1134" s="4">
        <v>11</v>
      </c>
      <c r="AR1134" s="3" t="s">
        <v>63</v>
      </c>
      <c r="AS1134" s="3" t="s">
        <v>63</v>
      </c>
      <c r="AT1134" s="3" t="s">
        <v>62</v>
      </c>
      <c r="AU1134" s="6" t="str">
        <f>HYPERLINK("http://catalog.hathitrust.org/Record/101883230","HathiTrust Record")</f>
        <v>HathiTrust Record</v>
      </c>
      <c r="AV1134" s="6" t="str">
        <f>HYPERLINK("http://mcgill.on.worldcat.org/oclc/43124239","Catalog Record")</f>
        <v>Catalog Record</v>
      </c>
      <c r="AW1134" s="6" t="str">
        <f>HYPERLINK("http://www.worldcat.org/oclc/43124239","WorldCat Record")</f>
        <v>WorldCat Record</v>
      </c>
      <c r="AX1134" s="3" t="s">
        <v>10538</v>
      </c>
      <c r="AY1134" s="3" t="s">
        <v>10539</v>
      </c>
      <c r="AZ1134" s="3" t="s">
        <v>10540</v>
      </c>
      <c r="BA1134" s="3" t="s">
        <v>10540</v>
      </c>
      <c r="BB1134" s="3" t="s">
        <v>10661</v>
      </c>
      <c r="BC1134" s="3" t="s">
        <v>82</v>
      </c>
      <c r="BD1134" s="3" t="s">
        <v>70</v>
      </c>
      <c r="BE1134" s="3" t="s">
        <v>10542</v>
      </c>
      <c r="BF1134" s="3" t="s">
        <v>10661</v>
      </c>
      <c r="BG1134" s="3" t="s">
        <v>10662</v>
      </c>
    </row>
    <row r="1135" spans="1:59" ht="60" x14ac:dyDescent="0.25">
      <c r="A1135" s="2" t="s">
        <v>59</v>
      </c>
      <c r="B1135" s="2" t="s">
        <v>60</v>
      </c>
      <c r="C1135" s="2" t="s">
        <v>10531</v>
      </c>
      <c r="D1135" s="2" t="s">
        <v>10532</v>
      </c>
      <c r="E1135" s="2" t="s">
        <v>10533</v>
      </c>
      <c r="F1135" s="3" t="s">
        <v>582</v>
      </c>
      <c r="G1135" s="3" t="s">
        <v>62</v>
      </c>
      <c r="I1135" s="3" t="s">
        <v>62</v>
      </c>
      <c r="J1135" s="3" t="s">
        <v>63</v>
      </c>
      <c r="K1135" s="3" t="s">
        <v>64</v>
      </c>
      <c r="L1135" s="2" t="s">
        <v>10454</v>
      </c>
      <c r="M1135" s="2" t="s">
        <v>10535</v>
      </c>
      <c r="N1135" s="3" t="s">
        <v>743</v>
      </c>
      <c r="P1135" s="3" t="s">
        <v>90</v>
      </c>
      <c r="R1135" s="3" t="s">
        <v>67</v>
      </c>
      <c r="S1135" s="4">
        <v>21</v>
      </c>
      <c r="T1135" s="4">
        <v>338</v>
      </c>
      <c r="U1135" s="5" t="s">
        <v>10663</v>
      </c>
      <c r="V1135" s="5" t="s">
        <v>10537</v>
      </c>
      <c r="W1135" s="5" t="s">
        <v>69</v>
      </c>
      <c r="X1135" s="5" t="s">
        <v>69</v>
      </c>
      <c r="Y1135" s="4">
        <v>27</v>
      </c>
      <c r="Z1135" s="4">
        <v>9</v>
      </c>
      <c r="AA1135" s="4">
        <v>15</v>
      </c>
      <c r="AB1135" s="4">
        <v>1</v>
      </c>
      <c r="AC1135" s="4">
        <v>1</v>
      </c>
      <c r="AD1135" s="4">
        <v>12</v>
      </c>
      <c r="AE1135" s="4">
        <v>91</v>
      </c>
      <c r="AF1135" s="4">
        <v>0</v>
      </c>
      <c r="AG1135" s="4">
        <v>0</v>
      </c>
      <c r="AH1135" s="4">
        <v>8</v>
      </c>
      <c r="AI1135" s="4">
        <v>85</v>
      </c>
      <c r="AJ1135" s="4">
        <v>6</v>
      </c>
      <c r="AK1135" s="4">
        <v>11</v>
      </c>
      <c r="AL1135" s="4">
        <v>6</v>
      </c>
      <c r="AM1135" s="4">
        <v>48</v>
      </c>
      <c r="AN1135" s="4">
        <v>0</v>
      </c>
      <c r="AO1135" s="4">
        <v>0</v>
      </c>
      <c r="AP1135" s="4">
        <v>6</v>
      </c>
      <c r="AQ1135" s="4">
        <v>11</v>
      </c>
      <c r="AR1135" s="3" t="s">
        <v>63</v>
      </c>
      <c r="AS1135" s="3" t="s">
        <v>63</v>
      </c>
      <c r="AT1135" s="3" t="s">
        <v>62</v>
      </c>
      <c r="AU1135" s="6" t="str">
        <f>HYPERLINK("http://catalog.hathitrust.org/Record/101883230","HathiTrust Record")</f>
        <v>HathiTrust Record</v>
      </c>
      <c r="AV1135" s="6" t="str">
        <f>HYPERLINK("http://mcgill.on.worldcat.org/oclc/43124239","Catalog Record")</f>
        <v>Catalog Record</v>
      </c>
      <c r="AW1135" s="6" t="str">
        <f>HYPERLINK("http://www.worldcat.org/oclc/43124239","WorldCat Record")</f>
        <v>WorldCat Record</v>
      </c>
      <c r="AX1135" s="3" t="s">
        <v>10538</v>
      </c>
      <c r="AY1135" s="3" t="s">
        <v>10539</v>
      </c>
      <c r="AZ1135" s="3" t="s">
        <v>10540</v>
      </c>
      <c r="BA1135" s="3" t="s">
        <v>10540</v>
      </c>
      <c r="BB1135" s="3" t="s">
        <v>10664</v>
      </c>
      <c r="BC1135" s="3" t="s">
        <v>82</v>
      </c>
      <c r="BD1135" s="3" t="s">
        <v>70</v>
      </c>
      <c r="BE1135" s="3" t="s">
        <v>10542</v>
      </c>
      <c r="BF1135" s="3" t="s">
        <v>10664</v>
      </c>
      <c r="BG1135" s="3" t="s">
        <v>10665</v>
      </c>
    </row>
    <row r="1136" spans="1:59" ht="60" x14ac:dyDescent="0.25">
      <c r="A1136" s="2" t="s">
        <v>59</v>
      </c>
      <c r="B1136" s="2" t="s">
        <v>60</v>
      </c>
      <c r="C1136" s="2" t="s">
        <v>10531</v>
      </c>
      <c r="D1136" s="2" t="s">
        <v>10532</v>
      </c>
      <c r="E1136" s="2" t="s">
        <v>10533</v>
      </c>
      <c r="F1136" s="3" t="s">
        <v>9072</v>
      </c>
      <c r="G1136" s="3" t="s">
        <v>62</v>
      </c>
      <c r="I1136" s="3" t="s">
        <v>62</v>
      </c>
      <c r="J1136" s="3" t="s">
        <v>63</v>
      </c>
      <c r="K1136" s="3" t="s">
        <v>64</v>
      </c>
      <c r="L1136" s="2" t="s">
        <v>10454</v>
      </c>
      <c r="M1136" s="2" t="s">
        <v>10535</v>
      </c>
      <c r="N1136" s="3" t="s">
        <v>743</v>
      </c>
      <c r="P1136" s="3" t="s">
        <v>90</v>
      </c>
      <c r="R1136" s="3" t="s">
        <v>67</v>
      </c>
      <c r="S1136" s="4">
        <v>2</v>
      </c>
      <c r="T1136" s="4">
        <v>338</v>
      </c>
      <c r="U1136" s="5" t="s">
        <v>10536</v>
      </c>
      <c r="V1136" s="5" t="s">
        <v>10537</v>
      </c>
      <c r="W1136" s="5" t="s">
        <v>69</v>
      </c>
      <c r="X1136" s="5" t="s">
        <v>69</v>
      </c>
      <c r="Y1136" s="4">
        <v>27</v>
      </c>
      <c r="Z1136" s="4">
        <v>9</v>
      </c>
      <c r="AA1136" s="4">
        <v>15</v>
      </c>
      <c r="AB1136" s="4">
        <v>1</v>
      </c>
      <c r="AC1136" s="4">
        <v>1</v>
      </c>
      <c r="AD1136" s="4">
        <v>12</v>
      </c>
      <c r="AE1136" s="4">
        <v>91</v>
      </c>
      <c r="AF1136" s="4">
        <v>0</v>
      </c>
      <c r="AG1136" s="4">
        <v>0</v>
      </c>
      <c r="AH1136" s="4">
        <v>8</v>
      </c>
      <c r="AI1136" s="4">
        <v>85</v>
      </c>
      <c r="AJ1136" s="4">
        <v>6</v>
      </c>
      <c r="AK1136" s="4">
        <v>11</v>
      </c>
      <c r="AL1136" s="4">
        <v>6</v>
      </c>
      <c r="AM1136" s="4">
        <v>48</v>
      </c>
      <c r="AN1136" s="4">
        <v>0</v>
      </c>
      <c r="AO1136" s="4">
        <v>0</v>
      </c>
      <c r="AP1136" s="4">
        <v>6</v>
      </c>
      <c r="AQ1136" s="4">
        <v>11</v>
      </c>
      <c r="AR1136" s="3" t="s">
        <v>63</v>
      </c>
      <c r="AS1136" s="3" t="s">
        <v>63</v>
      </c>
      <c r="AT1136" s="3" t="s">
        <v>62</v>
      </c>
      <c r="AU1136" s="6" t="str">
        <f>HYPERLINK("http://catalog.hathitrust.org/Record/101883230","HathiTrust Record")</f>
        <v>HathiTrust Record</v>
      </c>
      <c r="AV1136" s="6" t="str">
        <f>HYPERLINK("http://mcgill.on.worldcat.org/oclc/43124239","Catalog Record")</f>
        <v>Catalog Record</v>
      </c>
      <c r="AW1136" s="6" t="str">
        <f>HYPERLINK("http://www.worldcat.org/oclc/43124239","WorldCat Record")</f>
        <v>WorldCat Record</v>
      </c>
      <c r="AX1136" s="3" t="s">
        <v>10538</v>
      </c>
      <c r="AY1136" s="3" t="s">
        <v>10539</v>
      </c>
      <c r="AZ1136" s="3" t="s">
        <v>10540</v>
      </c>
      <c r="BA1136" s="3" t="s">
        <v>10540</v>
      </c>
      <c r="BB1136" s="3" t="s">
        <v>10666</v>
      </c>
      <c r="BC1136" s="3" t="s">
        <v>82</v>
      </c>
      <c r="BD1136" s="3" t="s">
        <v>70</v>
      </c>
      <c r="BE1136" s="3" t="s">
        <v>10542</v>
      </c>
      <c r="BF1136" s="3" t="s">
        <v>10666</v>
      </c>
      <c r="BG1136" s="3" t="s">
        <v>10667</v>
      </c>
    </row>
    <row r="1137" spans="1:59" ht="60" x14ac:dyDescent="0.25">
      <c r="A1137" s="2" t="s">
        <v>59</v>
      </c>
      <c r="B1137" s="2" t="s">
        <v>60</v>
      </c>
      <c r="C1137" s="2" t="s">
        <v>10531</v>
      </c>
      <c r="D1137" s="2" t="s">
        <v>10532</v>
      </c>
      <c r="E1137" s="2" t="s">
        <v>10533</v>
      </c>
      <c r="F1137" s="3" t="s">
        <v>4438</v>
      </c>
      <c r="G1137" s="3" t="s">
        <v>62</v>
      </c>
      <c r="I1137" s="3" t="s">
        <v>62</v>
      </c>
      <c r="J1137" s="3" t="s">
        <v>63</v>
      </c>
      <c r="K1137" s="3" t="s">
        <v>64</v>
      </c>
      <c r="L1137" s="2" t="s">
        <v>10454</v>
      </c>
      <c r="M1137" s="2" t="s">
        <v>10535</v>
      </c>
      <c r="N1137" s="3" t="s">
        <v>743</v>
      </c>
      <c r="P1137" s="3" t="s">
        <v>90</v>
      </c>
      <c r="R1137" s="3" t="s">
        <v>67</v>
      </c>
      <c r="S1137" s="4">
        <v>2</v>
      </c>
      <c r="T1137" s="4">
        <v>338</v>
      </c>
      <c r="U1137" s="5" t="s">
        <v>10668</v>
      </c>
      <c r="V1137" s="5" t="s">
        <v>10537</v>
      </c>
      <c r="W1137" s="5" t="s">
        <v>69</v>
      </c>
      <c r="X1137" s="5" t="s">
        <v>69</v>
      </c>
      <c r="Y1137" s="4">
        <v>27</v>
      </c>
      <c r="Z1137" s="4">
        <v>9</v>
      </c>
      <c r="AA1137" s="4">
        <v>15</v>
      </c>
      <c r="AB1137" s="4">
        <v>1</v>
      </c>
      <c r="AC1137" s="4">
        <v>1</v>
      </c>
      <c r="AD1137" s="4">
        <v>12</v>
      </c>
      <c r="AE1137" s="4">
        <v>91</v>
      </c>
      <c r="AF1137" s="4">
        <v>0</v>
      </c>
      <c r="AG1137" s="4">
        <v>0</v>
      </c>
      <c r="AH1137" s="4">
        <v>8</v>
      </c>
      <c r="AI1137" s="4">
        <v>85</v>
      </c>
      <c r="AJ1137" s="4">
        <v>6</v>
      </c>
      <c r="AK1137" s="4">
        <v>11</v>
      </c>
      <c r="AL1137" s="4">
        <v>6</v>
      </c>
      <c r="AM1137" s="4">
        <v>48</v>
      </c>
      <c r="AN1137" s="4">
        <v>0</v>
      </c>
      <c r="AO1137" s="4">
        <v>0</v>
      </c>
      <c r="AP1137" s="4">
        <v>6</v>
      </c>
      <c r="AQ1137" s="4">
        <v>11</v>
      </c>
      <c r="AR1137" s="3" t="s">
        <v>63</v>
      </c>
      <c r="AS1137" s="3" t="s">
        <v>63</v>
      </c>
      <c r="AT1137" s="3" t="s">
        <v>62</v>
      </c>
      <c r="AU1137" s="6" t="str">
        <f>HYPERLINK("http://catalog.hathitrust.org/Record/101883230","HathiTrust Record")</f>
        <v>HathiTrust Record</v>
      </c>
      <c r="AV1137" s="6" t="str">
        <f>HYPERLINK("http://mcgill.on.worldcat.org/oclc/43124239","Catalog Record")</f>
        <v>Catalog Record</v>
      </c>
      <c r="AW1137" s="6" t="str">
        <f>HYPERLINK("http://www.worldcat.org/oclc/43124239","WorldCat Record")</f>
        <v>WorldCat Record</v>
      </c>
      <c r="AX1137" s="3" t="s">
        <v>10538</v>
      </c>
      <c r="AY1137" s="3" t="s">
        <v>10539</v>
      </c>
      <c r="AZ1137" s="3" t="s">
        <v>10540</v>
      </c>
      <c r="BA1137" s="3" t="s">
        <v>10540</v>
      </c>
      <c r="BB1137" s="3" t="s">
        <v>10669</v>
      </c>
      <c r="BC1137" s="3" t="s">
        <v>82</v>
      </c>
      <c r="BD1137" s="3" t="s">
        <v>70</v>
      </c>
      <c r="BE1137" s="3" t="s">
        <v>10542</v>
      </c>
      <c r="BF1137" s="3" t="s">
        <v>10669</v>
      </c>
      <c r="BG1137" s="3" t="s">
        <v>10670</v>
      </c>
    </row>
    <row r="1138" spans="1:59" ht="60" x14ac:dyDescent="0.25">
      <c r="A1138" s="2" t="s">
        <v>59</v>
      </c>
      <c r="B1138" s="2" t="s">
        <v>60</v>
      </c>
      <c r="C1138" s="2" t="s">
        <v>10531</v>
      </c>
      <c r="D1138" s="2" t="s">
        <v>10532</v>
      </c>
      <c r="E1138" s="2" t="s">
        <v>10533</v>
      </c>
      <c r="F1138" s="3" t="s">
        <v>4433</v>
      </c>
      <c r="G1138" s="3" t="s">
        <v>62</v>
      </c>
      <c r="I1138" s="3" t="s">
        <v>62</v>
      </c>
      <c r="J1138" s="3" t="s">
        <v>63</v>
      </c>
      <c r="K1138" s="3" t="s">
        <v>64</v>
      </c>
      <c r="L1138" s="2" t="s">
        <v>10454</v>
      </c>
      <c r="M1138" s="2" t="s">
        <v>10535</v>
      </c>
      <c r="N1138" s="3" t="s">
        <v>743</v>
      </c>
      <c r="P1138" s="3" t="s">
        <v>90</v>
      </c>
      <c r="R1138" s="3" t="s">
        <v>67</v>
      </c>
      <c r="S1138" s="4">
        <v>9</v>
      </c>
      <c r="T1138" s="4">
        <v>338</v>
      </c>
      <c r="U1138" s="5" t="s">
        <v>2093</v>
      </c>
      <c r="V1138" s="5" t="s">
        <v>10537</v>
      </c>
      <c r="W1138" s="5" t="s">
        <v>69</v>
      </c>
      <c r="X1138" s="5" t="s">
        <v>69</v>
      </c>
      <c r="Y1138" s="4">
        <v>27</v>
      </c>
      <c r="Z1138" s="4">
        <v>9</v>
      </c>
      <c r="AA1138" s="4">
        <v>15</v>
      </c>
      <c r="AB1138" s="4">
        <v>1</v>
      </c>
      <c r="AC1138" s="4">
        <v>1</v>
      </c>
      <c r="AD1138" s="4">
        <v>12</v>
      </c>
      <c r="AE1138" s="4">
        <v>91</v>
      </c>
      <c r="AF1138" s="4">
        <v>0</v>
      </c>
      <c r="AG1138" s="4">
        <v>0</v>
      </c>
      <c r="AH1138" s="4">
        <v>8</v>
      </c>
      <c r="AI1138" s="4">
        <v>85</v>
      </c>
      <c r="AJ1138" s="4">
        <v>6</v>
      </c>
      <c r="AK1138" s="4">
        <v>11</v>
      </c>
      <c r="AL1138" s="4">
        <v>6</v>
      </c>
      <c r="AM1138" s="4">
        <v>48</v>
      </c>
      <c r="AN1138" s="4">
        <v>0</v>
      </c>
      <c r="AO1138" s="4">
        <v>0</v>
      </c>
      <c r="AP1138" s="4">
        <v>6</v>
      </c>
      <c r="AQ1138" s="4">
        <v>11</v>
      </c>
      <c r="AR1138" s="3" t="s">
        <v>63</v>
      </c>
      <c r="AS1138" s="3" t="s">
        <v>63</v>
      </c>
      <c r="AT1138" s="3" t="s">
        <v>62</v>
      </c>
      <c r="AU1138" s="6" t="str">
        <f>HYPERLINK("http://catalog.hathitrust.org/Record/101883230","HathiTrust Record")</f>
        <v>HathiTrust Record</v>
      </c>
      <c r="AV1138" s="6" t="str">
        <f>HYPERLINK("http://mcgill.on.worldcat.org/oclc/43124239","Catalog Record")</f>
        <v>Catalog Record</v>
      </c>
      <c r="AW1138" s="6" t="str">
        <f>HYPERLINK("http://www.worldcat.org/oclc/43124239","WorldCat Record")</f>
        <v>WorldCat Record</v>
      </c>
      <c r="AX1138" s="3" t="s">
        <v>10538</v>
      </c>
      <c r="AY1138" s="3" t="s">
        <v>10539</v>
      </c>
      <c r="AZ1138" s="3" t="s">
        <v>10540</v>
      </c>
      <c r="BA1138" s="3" t="s">
        <v>10540</v>
      </c>
      <c r="BB1138" s="3" t="s">
        <v>10671</v>
      </c>
      <c r="BC1138" s="3" t="s">
        <v>82</v>
      </c>
      <c r="BD1138" s="3" t="s">
        <v>70</v>
      </c>
      <c r="BE1138" s="3" t="s">
        <v>10542</v>
      </c>
      <c r="BF1138" s="3" t="s">
        <v>10671</v>
      </c>
      <c r="BG1138" s="3" t="s">
        <v>10672</v>
      </c>
    </row>
    <row r="1139" spans="1:59" ht="60" x14ac:dyDescent="0.25">
      <c r="A1139" s="2" t="s">
        <v>59</v>
      </c>
      <c r="B1139" s="2" t="s">
        <v>60</v>
      </c>
      <c r="C1139" s="2" t="s">
        <v>10531</v>
      </c>
      <c r="D1139" s="2" t="s">
        <v>10532</v>
      </c>
      <c r="E1139" s="2" t="s">
        <v>10533</v>
      </c>
      <c r="F1139" s="3" t="s">
        <v>4436</v>
      </c>
      <c r="G1139" s="3" t="s">
        <v>62</v>
      </c>
      <c r="I1139" s="3" t="s">
        <v>62</v>
      </c>
      <c r="J1139" s="3" t="s">
        <v>63</v>
      </c>
      <c r="K1139" s="3" t="s">
        <v>64</v>
      </c>
      <c r="L1139" s="2" t="s">
        <v>10454</v>
      </c>
      <c r="M1139" s="2" t="s">
        <v>10535</v>
      </c>
      <c r="N1139" s="3" t="s">
        <v>743</v>
      </c>
      <c r="P1139" s="3" t="s">
        <v>90</v>
      </c>
      <c r="R1139" s="3" t="s">
        <v>67</v>
      </c>
      <c r="S1139" s="4">
        <v>1</v>
      </c>
      <c r="T1139" s="4">
        <v>338</v>
      </c>
      <c r="U1139" s="5" t="s">
        <v>10624</v>
      </c>
      <c r="V1139" s="5" t="s">
        <v>10537</v>
      </c>
      <c r="W1139" s="5" t="s">
        <v>69</v>
      </c>
      <c r="X1139" s="5" t="s">
        <v>69</v>
      </c>
      <c r="Y1139" s="4">
        <v>27</v>
      </c>
      <c r="Z1139" s="4">
        <v>9</v>
      </c>
      <c r="AA1139" s="4">
        <v>15</v>
      </c>
      <c r="AB1139" s="4">
        <v>1</v>
      </c>
      <c r="AC1139" s="4">
        <v>1</v>
      </c>
      <c r="AD1139" s="4">
        <v>12</v>
      </c>
      <c r="AE1139" s="4">
        <v>91</v>
      </c>
      <c r="AF1139" s="4">
        <v>0</v>
      </c>
      <c r="AG1139" s="4">
        <v>0</v>
      </c>
      <c r="AH1139" s="4">
        <v>8</v>
      </c>
      <c r="AI1139" s="4">
        <v>85</v>
      </c>
      <c r="AJ1139" s="4">
        <v>6</v>
      </c>
      <c r="AK1139" s="4">
        <v>11</v>
      </c>
      <c r="AL1139" s="4">
        <v>6</v>
      </c>
      <c r="AM1139" s="4">
        <v>48</v>
      </c>
      <c r="AN1139" s="4">
        <v>0</v>
      </c>
      <c r="AO1139" s="4">
        <v>0</v>
      </c>
      <c r="AP1139" s="4">
        <v>6</v>
      </c>
      <c r="AQ1139" s="4">
        <v>11</v>
      </c>
      <c r="AR1139" s="3" t="s">
        <v>63</v>
      </c>
      <c r="AS1139" s="3" t="s">
        <v>63</v>
      </c>
      <c r="AT1139" s="3" t="s">
        <v>62</v>
      </c>
      <c r="AU1139" s="6" t="str">
        <f>HYPERLINK("http://catalog.hathitrust.org/Record/101883230","HathiTrust Record")</f>
        <v>HathiTrust Record</v>
      </c>
      <c r="AV1139" s="6" t="str">
        <f>HYPERLINK("http://mcgill.on.worldcat.org/oclc/43124239","Catalog Record")</f>
        <v>Catalog Record</v>
      </c>
      <c r="AW1139" s="6" t="str">
        <f>HYPERLINK("http://www.worldcat.org/oclc/43124239","WorldCat Record")</f>
        <v>WorldCat Record</v>
      </c>
      <c r="AX1139" s="3" t="s">
        <v>10538</v>
      </c>
      <c r="AY1139" s="3" t="s">
        <v>10539</v>
      </c>
      <c r="AZ1139" s="3" t="s">
        <v>10540</v>
      </c>
      <c r="BA1139" s="3" t="s">
        <v>10540</v>
      </c>
      <c r="BB1139" s="3" t="s">
        <v>10673</v>
      </c>
      <c r="BC1139" s="3" t="s">
        <v>82</v>
      </c>
      <c r="BD1139" s="3" t="s">
        <v>70</v>
      </c>
      <c r="BE1139" s="3" t="s">
        <v>10542</v>
      </c>
      <c r="BF1139" s="3" t="s">
        <v>10673</v>
      </c>
      <c r="BG1139" s="3" t="s">
        <v>10674</v>
      </c>
    </row>
    <row r="1140" spans="1:59" ht="60" x14ac:dyDescent="0.25">
      <c r="A1140" s="2" t="s">
        <v>59</v>
      </c>
      <c r="B1140" s="2" t="s">
        <v>60</v>
      </c>
      <c r="C1140" s="2" t="s">
        <v>10531</v>
      </c>
      <c r="D1140" s="2" t="s">
        <v>10532</v>
      </c>
      <c r="E1140" s="2" t="s">
        <v>10533</v>
      </c>
      <c r="F1140" s="3" t="s">
        <v>4435</v>
      </c>
      <c r="G1140" s="3" t="s">
        <v>62</v>
      </c>
      <c r="I1140" s="3" t="s">
        <v>62</v>
      </c>
      <c r="J1140" s="3" t="s">
        <v>63</v>
      </c>
      <c r="K1140" s="3" t="s">
        <v>64</v>
      </c>
      <c r="L1140" s="2" t="s">
        <v>10454</v>
      </c>
      <c r="M1140" s="2" t="s">
        <v>10535</v>
      </c>
      <c r="N1140" s="3" t="s">
        <v>743</v>
      </c>
      <c r="P1140" s="3" t="s">
        <v>90</v>
      </c>
      <c r="R1140" s="3" t="s">
        <v>67</v>
      </c>
      <c r="S1140" s="4">
        <v>24</v>
      </c>
      <c r="T1140" s="4">
        <v>338</v>
      </c>
      <c r="U1140" s="5" t="s">
        <v>10675</v>
      </c>
      <c r="V1140" s="5" t="s">
        <v>10537</v>
      </c>
      <c r="W1140" s="5" t="s">
        <v>69</v>
      </c>
      <c r="X1140" s="5" t="s">
        <v>69</v>
      </c>
      <c r="Y1140" s="4">
        <v>27</v>
      </c>
      <c r="Z1140" s="4">
        <v>9</v>
      </c>
      <c r="AA1140" s="4">
        <v>15</v>
      </c>
      <c r="AB1140" s="4">
        <v>1</v>
      </c>
      <c r="AC1140" s="4">
        <v>1</v>
      </c>
      <c r="AD1140" s="4">
        <v>12</v>
      </c>
      <c r="AE1140" s="4">
        <v>91</v>
      </c>
      <c r="AF1140" s="4">
        <v>0</v>
      </c>
      <c r="AG1140" s="4">
        <v>0</v>
      </c>
      <c r="AH1140" s="4">
        <v>8</v>
      </c>
      <c r="AI1140" s="4">
        <v>85</v>
      </c>
      <c r="AJ1140" s="4">
        <v>6</v>
      </c>
      <c r="AK1140" s="4">
        <v>11</v>
      </c>
      <c r="AL1140" s="4">
        <v>6</v>
      </c>
      <c r="AM1140" s="4">
        <v>48</v>
      </c>
      <c r="AN1140" s="4">
        <v>0</v>
      </c>
      <c r="AO1140" s="4">
        <v>0</v>
      </c>
      <c r="AP1140" s="4">
        <v>6</v>
      </c>
      <c r="AQ1140" s="4">
        <v>11</v>
      </c>
      <c r="AR1140" s="3" t="s">
        <v>63</v>
      </c>
      <c r="AS1140" s="3" t="s">
        <v>63</v>
      </c>
      <c r="AT1140" s="3" t="s">
        <v>62</v>
      </c>
      <c r="AU1140" s="6" t="str">
        <f>HYPERLINK("http://catalog.hathitrust.org/Record/101883230","HathiTrust Record")</f>
        <v>HathiTrust Record</v>
      </c>
      <c r="AV1140" s="6" t="str">
        <f>HYPERLINK("http://mcgill.on.worldcat.org/oclc/43124239","Catalog Record")</f>
        <v>Catalog Record</v>
      </c>
      <c r="AW1140" s="6" t="str">
        <f>HYPERLINK("http://www.worldcat.org/oclc/43124239","WorldCat Record")</f>
        <v>WorldCat Record</v>
      </c>
      <c r="AX1140" s="3" t="s">
        <v>10538</v>
      </c>
      <c r="AY1140" s="3" t="s">
        <v>10539</v>
      </c>
      <c r="AZ1140" s="3" t="s">
        <v>10540</v>
      </c>
      <c r="BA1140" s="3" t="s">
        <v>10540</v>
      </c>
      <c r="BB1140" s="3" t="s">
        <v>10676</v>
      </c>
      <c r="BC1140" s="3" t="s">
        <v>82</v>
      </c>
      <c r="BD1140" s="3" t="s">
        <v>70</v>
      </c>
      <c r="BE1140" s="3" t="s">
        <v>10542</v>
      </c>
      <c r="BF1140" s="3" t="s">
        <v>10676</v>
      </c>
      <c r="BG1140" s="3" t="s">
        <v>10677</v>
      </c>
    </row>
    <row r="1141" spans="1:59" ht="60" x14ac:dyDescent="0.25">
      <c r="A1141" s="2" t="s">
        <v>59</v>
      </c>
      <c r="B1141" s="2" t="s">
        <v>60</v>
      </c>
      <c r="C1141" s="2" t="s">
        <v>10531</v>
      </c>
      <c r="D1141" s="2" t="s">
        <v>10532</v>
      </c>
      <c r="E1141" s="2" t="s">
        <v>10533</v>
      </c>
      <c r="F1141" s="3" t="s">
        <v>4434</v>
      </c>
      <c r="G1141" s="3" t="s">
        <v>62</v>
      </c>
      <c r="I1141" s="3" t="s">
        <v>62</v>
      </c>
      <c r="J1141" s="3" t="s">
        <v>63</v>
      </c>
      <c r="K1141" s="3" t="s">
        <v>64</v>
      </c>
      <c r="L1141" s="2" t="s">
        <v>10454</v>
      </c>
      <c r="M1141" s="2" t="s">
        <v>10535</v>
      </c>
      <c r="N1141" s="3" t="s">
        <v>743</v>
      </c>
      <c r="P1141" s="3" t="s">
        <v>90</v>
      </c>
      <c r="R1141" s="3" t="s">
        <v>67</v>
      </c>
      <c r="S1141" s="4">
        <v>1</v>
      </c>
      <c r="T1141" s="4">
        <v>338</v>
      </c>
      <c r="U1141" s="5" t="s">
        <v>10537</v>
      </c>
      <c r="V1141" s="5" t="s">
        <v>10537</v>
      </c>
      <c r="W1141" s="5" t="s">
        <v>69</v>
      </c>
      <c r="X1141" s="5" t="s">
        <v>69</v>
      </c>
      <c r="Y1141" s="4">
        <v>27</v>
      </c>
      <c r="Z1141" s="4">
        <v>9</v>
      </c>
      <c r="AA1141" s="4">
        <v>15</v>
      </c>
      <c r="AB1141" s="4">
        <v>1</v>
      </c>
      <c r="AC1141" s="4">
        <v>1</v>
      </c>
      <c r="AD1141" s="4">
        <v>12</v>
      </c>
      <c r="AE1141" s="4">
        <v>91</v>
      </c>
      <c r="AF1141" s="4">
        <v>0</v>
      </c>
      <c r="AG1141" s="4">
        <v>0</v>
      </c>
      <c r="AH1141" s="4">
        <v>8</v>
      </c>
      <c r="AI1141" s="4">
        <v>85</v>
      </c>
      <c r="AJ1141" s="4">
        <v>6</v>
      </c>
      <c r="AK1141" s="4">
        <v>11</v>
      </c>
      <c r="AL1141" s="4">
        <v>6</v>
      </c>
      <c r="AM1141" s="4">
        <v>48</v>
      </c>
      <c r="AN1141" s="4">
        <v>0</v>
      </c>
      <c r="AO1141" s="4">
        <v>0</v>
      </c>
      <c r="AP1141" s="4">
        <v>6</v>
      </c>
      <c r="AQ1141" s="4">
        <v>11</v>
      </c>
      <c r="AR1141" s="3" t="s">
        <v>63</v>
      </c>
      <c r="AS1141" s="3" t="s">
        <v>63</v>
      </c>
      <c r="AT1141" s="3" t="s">
        <v>62</v>
      </c>
      <c r="AU1141" s="6" t="str">
        <f>HYPERLINK("http://catalog.hathitrust.org/Record/101883230","HathiTrust Record")</f>
        <v>HathiTrust Record</v>
      </c>
      <c r="AV1141" s="6" t="str">
        <f>HYPERLINK("http://mcgill.on.worldcat.org/oclc/43124239","Catalog Record")</f>
        <v>Catalog Record</v>
      </c>
      <c r="AW1141" s="6" t="str">
        <f>HYPERLINK("http://www.worldcat.org/oclc/43124239","WorldCat Record")</f>
        <v>WorldCat Record</v>
      </c>
      <c r="AX1141" s="3" t="s">
        <v>10538</v>
      </c>
      <c r="AY1141" s="3" t="s">
        <v>10539</v>
      </c>
      <c r="AZ1141" s="3" t="s">
        <v>10540</v>
      </c>
      <c r="BA1141" s="3" t="s">
        <v>10540</v>
      </c>
      <c r="BB1141" s="3" t="s">
        <v>10678</v>
      </c>
      <c r="BC1141" s="3" t="s">
        <v>82</v>
      </c>
      <c r="BD1141" s="3" t="s">
        <v>70</v>
      </c>
      <c r="BE1141" s="3" t="s">
        <v>10542</v>
      </c>
      <c r="BF1141" s="3" t="s">
        <v>10678</v>
      </c>
      <c r="BG1141" s="3" t="s">
        <v>10679</v>
      </c>
    </row>
    <row r="1142" spans="1:59" ht="60" x14ac:dyDescent="0.25">
      <c r="A1142" s="2" t="s">
        <v>59</v>
      </c>
      <c r="B1142" s="2" t="s">
        <v>60</v>
      </c>
      <c r="C1142" s="2" t="s">
        <v>10531</v>
      </c>
      <c r="D1142" s="2" t="s">
        <v>10532</v>
      </c>
      <c r="E1142" s="2" t="s">
        <v>10533</v>
      </c>
      <c r="F1142" s="3" t="s">
        <v>9085</v>
      </c>
      <c r="G1142" s="3" t="s">
        <v>62</v>
      </c>
      <c r="I1142" s="3" t="s">
        <v>62</v>
      </c>
      <c r="J1142" s="3" t="s">
        <v>63</v>
      </c>
      <c r="K1142" s="3" t="s">
        <v>64</v>
      </c>
      <c r="L1142" s="2" t="s">
        <v>10454</v>
      </c>
      <c r="M1142" s="2" t="s">
        <v>10535</v>
      </c>
      <c r="N1142" s="3" t="s">
        <v>743</v>
      </c>
      <c r="P1142" s="3" t="s">
        <v>90</v>
      </c>
      <c r="R1142" s="3" t="s">
        <v>67</v>
      </c>
      <c r="S1142" s="4">
        <v>11</v>
      </c>
      <c r="T1142" s="4">
        <v>338</v>
      </c>
      <c r="U1142" s="5" t="s">
        <v>10605</v>
      </c>
      <c r="V1142" s="5" t="s">
        <v>10537</v>
      </c>
      <c r="W1142" s="5" t="s">
        <v>69</v>
      </c>
      <c r="X1142" s="5" t="s">
        <v>69</v>
      </c>
      <c r="Y1142" s="4">
        <v>27</v>
      </c>
      <c r="Z1142" s="4">
        <v>9</v>
      </c>
      <c r="AA1142" s="4">
        <v>15</v>
      </c>
      <c r="AB1142" s="4">
        <v>1</v>
      </c>
      <c r="AC1142" s="4">
        <v>1</v>
      </c>
      <c r="AD1142" s="4">
        <v>12</v>
      </c>
      <c r="AE1142" s="4">
        <v>91</v>
      </c>
      <c r="AF1142" s="4">
        <v>0</v>
      </c>
      <c r="AG1142" s="4">
        <v>0</v>
      </c>
      <c r="AH1142" s="4">
        <v>8</v>
      </c>
      <c r="AI1142" s="4">
        <v>85</v>
      </c>
      <c r="AJ1142" s="4">
        <v>6</v>
      </c>
      <c r="AK1142" s="4">
        <v>11</v>
      </c>
      <c r="AL1142" s="4">
        <v>6</v>
      </c>
      <c r="AM1142" s="4">
        <v>48</v>
      </c>
      <c r="AN1142" s="4">
        <v>0</v>
      </c>
      <c r="AO1142" s="4">
        <v>0</v>
      </c>
      <c r="AP1142" s="4">
        <v>6</v>
      </c>
      <c r="AQ1142" s="4">
        <v>11</v>
      </c>
      <c r="AR1142" s="3" t="s">
        <v>63</v>
      </c>
      <c r="AS1142" s="3" t="s">
        <v>63</v>
      </c>
      <c r="AT1142" s="3" t="s">
        <v>62</v>
      </c>
      <c r="AU1142" s="6" t="str">
        <f>HYPERLINK("http://catalog.hathitrust.org/Record/101883230","HathiTrust Record")</f>
        <v>HathiTrust Record</v>
      </c>
      <c r="AV1142" s="6" t="str">
        <f>HYPERLINK("http://mcgill.on.worldcat.org/oclc/43124239","Catalog Record")</f>
        <v>Catalog Record</v>
      </c>
      <c r="AW1142" s="6" t="str">
        <f>HYPERLINK("http://www.worldcat.org/oclc/43124239","WorldCat Record")</f>
        <v>WorldCat Record</v>
      </c>
      <c r="AX1142" s="3" t="s">
        <v>10538</v>
      </c>
      <c r="AY1142" s="3" t="s">
        <v>10539</v>
      </c>
      <c r="AZ1142" s="3" t="s">
        <v>10540</v>
      </c>
      <c r="BA1142" s="3" t="s">
        <v>10540</v>
      </c>
      <c r="BB1142" s="3" t="s">
        <v>10680</v>
      </c>
      <c r="BC1142" s="3" t="s">
        <v>82</v>
      </c>
      <c r="BD1142" s="3" t="s">
        <v>538</v>
      </c>
      <c r="BE1142" s="3" t="s">
        <v>10542</v>
      </c>
      <c r="BF1142" s="3" t="s">
        <v>10680</v>
      </c>
      <c r="BG1142" s="3" t="s">
        <v>10681</v>
      </c>
    </row>
    <row r="1143" spans="1:59" ht="60" x14ac:dyDescent="0.25">
      <c r="A1143" s="2" t="s">
        <v>59</v>
      </c>
      <c r="B1143" s="2" t="s">
        <v>60</v>
      </c>
      <c r="C1143" s="2" t="s">
        <v>10531</v>
      </c>
      <c r="D1143" s="2" t="s">
        <v>10532</v>
      </c>
      <c r="E1143" s="2" t="s">
        <v>10533</v>
      </c>
      <c r="F1143" s="3" t="s">
        <v>9085</v>
      </c>
      <c r="G1143" s="3" t="s">
        <v>62</v>
      </c>
      <c r="I1143" s="3" t="s">
        <v>62</v>
      </c>
      <c r="J1143" s="3" t="s">
        <v>63</v>
      </c>
      <c r="K1143" s="3" t="s">
        <v>64</v>
      </c>
      <c r="L1143" s="2" t="s">
        <v>10454</v>
      </c>
      <c r="M1143" s="2" t="s">
        <v>10535</v>
      </c>
      <c r="N1143" s="3" t="s">
        <v>743</v>
      </c>
      <c r="P1143" s="3" t="s">
        <v>90</v>
      </c>
      <c r="R1143" s="3" t="s">
        <v>67</v>
      </c>
      <c r="S1143" s="4">
        <v>3</v>
      </c>
      <c r="T1143" s="4">
        <v>338</v>
      </c>
      <c r="U1143" s="5" t="s">
        <v>10682</v>
      </c>
      <c r="V1143" s="5" t="s">
        <v>10537</v>
      </c>
      <c r="W1143" s="5" t="s">
        <v>69</v>
      </c>
      <c r="X1143" s="5" t="s">
        <v>69</v>
      </c>
      <c r="Y1143" s="4">
        <v>27</v>
      </c>
      <c r="Z1143" s="4">
        <v>9</v>
      </c>
      <c r="AA1143" s="4">
        <v>15</v>
      </c>
      <c r="AB1143" s="4">
        <v>1</v>
      </c>
      <c r="AC1143" s="4">
        <v>1</v>
      </c>
      <c r="AD1143" s="4">
        <v>12</v>
      </c>
      <c r="AE1143" s="4">
        <v>91</v>
      </c>
      <c r="AF1143" s="4">
        <v>0</v>
      </c>
      <c r="AG1143" s="4">
        <v>0</v>
      </c>
      <c r="AH1143" s="4">
        <v>8</v>
      </c>
      <c r="AI1143" s="4">
        <v>85</v>
      </c>
      <c r="AJ1143" s="4">
        <v>6</v>
      </c>
      <c r="AK1143" s="4">
        <v>11</v>
      </c>
      <c r="AL1143" s="4">
        <v>6</v>
      </c>
      <c r="AM1143" s="4">
        <v>48</v>
      </c>
      <c r="AN1143" s="4">
        <v>0</v>
      </c>
      <c r="AO1143" s="4">
        <v>0</v>
      </c>
      <c r="AP1143" s="4">
        <v>6</v>
      </c>
      <c r="AQ1143" s="4">
        <v>11</v>
      </c>
      <c r="AR1143" s="3" t="s">
        <v>63</v>
      </c>
      <c r="AS1143" s="3" t="s">
        <v>63</v>
      </c>
      <c r="AT1143" s="3" t="s">
        <v>62</v>
      </c>
      <c r="AU1143" s="6" t="str">
        <f>HYPERLINK("http://catalog.hathitrust.org/Record/101883230","HathiTrust Record")</f>
        <v>HathiTrust Record</v>
      </c>
      <c r="AV1143" s="6" t="str">
        <f>HYPERLINK("http://mcgill.on.worldcat.org/oclc/43124239","Catalog Record")</f>
        <v>Catalog Record</v>
      </c>
      <c r="AW1143" s="6" t="str">
        <f>HYPERLINK("http://www.worldcat.org/oclc/43124239","WorldCat Record")</f>
        <v>WorldCat Record</v>
      </c>
      <c r="AX1143" s="3" t="s">
        <v>10538</v>
      </c>
      <c r="AY1143" s="3" t="s">
        <v>10539</v>
      </c>
      <c r="AZ1143" s="3" t="s">
        <v>10540</v>
      </c>
      <c r="BA1143" s="3" t="s">
        <v>10540</v>
      </c>
      <c r="BB1143" s="3" t="s">
        <v>10683</v>
      </c>
      <c r="BC1143" s="3" t="s">
        <v>82</v>
      </c>
      <c r="BD1143" s="3" t="s">
        <v>70</v>
      </c>
      <c r="BE1143" s="3" t="s">
        <v>10542</v>
      </c>
      <c r="BF1143" s="3" t="s">
        <v>10683</v>
      </c>
      <c r="BG1143" s="3" t="s">
        <v>10684</v>
      </c>
    </row>
    <row r="1144" spans="1:59" ht="60" x14ac:dyDescent="0.25">
      <c r="A1144" s="2" t="s">
        <v>59</v>
      </c>
      <c r="B1144" s="2" t="s">
        <v>60</v>
      </c>
      <c r="C1144" s="2" t="s">
        <v>10697</v>
      </c>
      <c r="D1144" s="2" t="s">
        <v>10686</v>
      </c>
      <c r="E1144" s="2" t="s">
        <v>10687</v>
      </c>
      <c r="F1144" s="3" t="s">
        <v>10528</v>
      </c>
      <c r="G1144" s="3" t="s">
        <v>62</v>
      </c>
      <c r="I1144" s="3" t="s">
        <v>63</v>
      </c>
      <c r="J1144" s="3" t="s">
        <v>63</v>
      </c>
      <c r="K1144" s="3" t="s">
        <v>64</v>
      </c>
      <c r="L1144" s="2" t="s">
        <v>10688</v>
      </c>
      <c r="M1144" s="2" t="s">
        <v>10689</v>
      </c>
      <c r="N1144" s="3" t="s">
        <v>374</v>
      </c>
      <c r="P1144" s="3" t="s">
        <v>90</v>
      </c>
      <c r="R1144" s="3" t="s">
        <v>67</v>
      </c>
      <c r="S1144" s="4">
        <v>0</v>
      </c>
      <c r="T1144" s="4">
        <v>6</v>
      </c>
      <c r="V1144" s="5" t="s">
        <v>2093</v>
      </c>
      <c r="W1144" s="5" t="s">
        <v>69</v>
      </c>
      <c r="X1144" s="5" t="s">
        <v>69</v>
      </c>
      <c r="Y1144" s="4">
        <v>58</v>
      </c>
      <c r="Z1144" s="4">
        <v>6</v>
      </c>
      <c r="AA1144" s="4">
        <v>6</v>
      </c>
      <c r="AB1144" s="4">
        <v>1</v>
      </c>
      <c r="AC1144" s="4">
        <v>1</v>
      </c>
      <c r="AD1144" s="4">
        <v>40</v>
      </c>
      <c r="AE1144" s="4">
        <v>40</v>
      </c>
      <c r="AF1144" s="4">
        <v>0</v>
      </c>
      <c r="AG1144" s="4">
        <v>0</v>
      </c>
      <c r="AH1144" s="4">
        <v>39</v>
      </c>
      <c r="AI1144" s="4">
        <v>39</v>
      </c>
      <c r="AJ1144" s="4">
        <v>4</v>
      </c>
      <c r="AK1144" s="4">
        <v>4</v>
      </c>
      <c r="AL1144" s="4">
        <v>32</v>
      </c>
      <c r="AM1144" s="4">
        <v>32</v>
      </c>
      <c r="AN1144" s="4">
        <v>0</v>
      </c>
      <c r="AO1144" s="4">
        <v>0</v>
      </c>
      <c r="AP1144" s="4">
        <v>4</v>
      </c>
      <c r="AQ1144" s="4">
        <v>4</v>
      </c>
      <c r="AR1144" s="3" t="s">
        <v>63</v>
      </c>
      <c r="AS1144" s="3" t="s">
        <v>63</v>
      </c>
      <c r="AT1144" s="3" t="s">
        <v>62</v>
      </c>
      <c r="AU1144" s="6" t="str">
        <f>HYPERLINK("http://catalog.hathitrust.org/Record/004139329","HathiTrust Record")</f>
        <v>HathiTrust Record</v>
      </c>
      <c r="AV1144" s="6" t="str">
        <f>HYPERLINK("http://mcgill.on.worldcat.org/oclc/34561345","Catalog Record")</f>
        <v>Catalog Record</v>
      </c>
      <c r="AW1144" s="6" t="str">
        <f>HYPERLINK("http://www.worldcat.org/oclc/34561345","WorldCat Record")</f>
        <v>WorldCat Record</v>
      </c>
      <c r="AX1144" s="3" t="s">
        <v>10691</v>
      </c>
      <c r="AY1144" s="3" t="s">
        <v>10692</v>
      </c>
      <c r="AZ1144" s="3" t="s">
        <v>10693</v>
      </c>
      <c r="BA1144" s="3" t="s">
        <v>10693</v>
      </c>
      <c r="BB1144" s="3" t="s">
        <v>10698</v>
      </c>
      <c r="BC1144" s="3" t="s">
        <v>82</v>
      </c>
      <c r="BD1144" s="3" t="s">
        <v>70</v>
      </c>
      <c r="BE1144" s="3" t="s">
        <v>10695</v>
      </c>
      <c r="BF1144" s="3" t="s">
        <v>10698</v>
      </c>
      <c r="BG1144" s="3" t="s">
        <v>10699</v>
      </c>
    </row>
    <row r="1145" spans="1:59" ht="60" x14ac:dyDescent="0.25">
      <c r="A1145" s="2" t="s">
        <v>59</v>
      </c>
      <c r="B1145" s="2" t="s">
        <v>60</v>
      </c>
      <c r="C1145" s="2" t="s">
        <v>10697</v>
      </c>
      <c r="D1145" s="2" t="s">
        <v>10686</v>
      </c>
      <c r="E1145" s="2" t="s">
        <v>10687</v>
      </c>
      <c r="F1145" s="3" t="s">
        <v>4181</v>
      </c>
      <c r="G1145" s="3" t="s">
        <v>62</v>
      </c>
      <c r="I1145" s="3" t="s">
        <v>63</v>
      </c>
      <c r="J1145" s="3" t="s">
        <v>63</v>
      </c>
      <c r="K1145" s="3" t="s">
        <v>64</v>
      </c>
      <c r="L1145" s="2" t="s">
        <v>10688</v>
      </c>
      <c r="M1145" s="2" t="s">
        <v>10689</v>
      </c>
      <c r="N1145" s="3" t="s">
        <v>374</v>
      </c>
      <c r="P1145" s="3" t="s">
        <v>90</v>
      </c>
      <c r="R1145" s="3" t="s">
        <v>67</v>
      </c>
      <c r="S1145" s="4">
        <v>0</v>
      </c>
      <c r="T1145" s="4">
        <v>6</v>
      </c>
      <c r="V1145" s="5" t="s">
        <v>2093</v>
      </c>
      <c r="W1145" s="5" t="s">
        <v>69</v>
      </c>
      <c r="X1145" s="5" t="s">
        <v>69</v>
      </c>
      <c r="Y1145" s="4">
        <v>58</v>
      </c>
      <c r="Z1145" s="4">
        <v>6</v>
      </c>
      <c r="AA1145" s="4">
        <v>6</v>
      </c>
      <c r="AB1145" s="4">
        <v>1</v>
      </c>
      <c r="AC1145" s="4">
        <v>1</v>
      </c>
      <c r="AD1145" s="4">
        <v>40</v>
      </c>
      <c r="AE1145" s="4">
        <v>40</v>
      </c>
      <c r="AF1145" s="4">
        <v>0</v>
      </c>
      <c r="AG1145" s="4">
        <v>0</v>
      </c>
      <c r="AH1145" s="4">
        <v>39</v>
      </c>
      <c r="AI1145" s="4">
        <v>39</v>
      </c>
      <c r="AJ1145" s="4">
        <v>4</v>
      </c>
      <c r="AK1145" s="4">
        <v>4</v>
      </c>
      <c r="AL1145" s="4">
        <v>32</v>
      </c>
      <c r="AM1145" s="4">
        <v>32</v>
      </c>
      <c r="AN1145" s="4">
        <v>0</v>
      </c>
      <c r="AO1145" s="4">
        <v>0</v>
      </c>
      <c r="AP1145" s="4">
        <v>4</v>
      </c>
      <c r="AQ1145" s="4">
        <v>4</v>
      </c>
      <c r="AR1145" s="3" t="s">
        <v>63</v>
      </c>
      <c r="AS1145" s="3" t="s">
        <v>63</v>
      </c>
      <c r="AT1145" s="3" t="s">
        <v>62</v>
      </c>
      <c r="AU1145" s="6" t="str">
        <f>HYPERLINK("http://catalog.hathitrust.org/Record/004139329","HathiTrust Record")</f>
        <v>HathiTrust Record</v>
      </c>
      <c r="AV1145" s="6" t="str">
        <f>HYPERLINK("http://mcgill.on.worldcat.org/oclc/34561345","Catalog Record")</f>
        <v>Catalog Record</v>
      </c>
      <c r="AW1145" s="6" t="str">
        <f>HYPERLINK("http://www.worldcat.org/oclc/34561345","WorldCat Record")</f>
        <v>WorldCat Record</v>
      </c>
      <c r="AX1145" s="3" t="s">
        <v>10691</v>
      </c>
      <c r="AY1145" s="3" t="s">
        <v>10692</v>
      </c>
      <c r="AZ1145" s="3" t="s">
        <v>10693</v>
      </c>
      <c r="BA1145" s="3" t="s">
        <v>10693</v>
      </c>
      <c r="BB1145" s="3" t="s">
        <v>10700</v>
      </c>
      <c r="BC1145" s="3" t="s">
        <v>82</v>
      </c>
      <c r="BD1145" s="3" t="s">
        <v>70</v>
      </c>
      <c r="BE1145" s="3" t="s">
        <v>10695</v>
      </c>
      <c r="BF1145" s="3" t="s">
        <v>10700</v>
      </c>
      <c r="BG1145" s="3" t="s">
        <v>10701</v>
      </c>
    </row>
    <row r="1146" spans="1:59" ht="60" x14ac:dyDescent="0.25">
      <c r="A1146" s="2" t="s">
        <v>59</v>
      </c>
      <c r="B1146" s="2" t="s">
        <v>60</v>
      </c>
      <c r="C1146" s="2" t="s">
        <v>10697</v>
      </c>
      <c r="D1146" s="2" t="s">
        <v>10686</v>
      </c>
      <c r="E1146" s="2" t="s">
        <v>10687</v>
      </c>
      <c r="F1146" s="3" t="s">
        <v>10507</v>
      </c>
      <c r="G1146" s="3" t="s">
        <v>62</v>
      </c>
      <c r="I1146" s="3" t="s">
        <v>63</v>
      </c>
      <c r="J1146" s="3" t="s">
        <v>63</v>
      </c>
      <c r="K1146" s="3" t="s">
        <v>64</v>
      </c>
      <c r="L1146" s="2" t="s">
        <v>10688</v>
      </c>
      <c r="M1146" s="2" t="s">
        <v>10689</v>
      </c>
      <c r="N1146" s="3" t="s">
        <v>374</v>
      </c>
      <c r="P1146" s="3" t="s">
        <v>90</v>
      </c>
      <c r="R1146" s="3" t="s">
        <v>67</v>
      </c>
      <c r="S1146" s="4">
        <v>1</v>
      </c>
      <c r="T1146" s="4">
        <v>6</v>
      </c>
      <c r="U1146" s="5" t="s">
        <v>10702</v>
      </c>
      <c r="V1146" s="5" t="s">
        <v>2093</v>
      </c>
      <c r="W1146" s="5" t="s">
        <v>69</v>
      </c>
      <c r="X1146" s="5" t="s">
        <v>69</v>
      </c>
      <c r="Y1146" s="4">
        <v>58</v>
      </c>
      <c r="Z1146" s="4">
        <v>6</v>
      </c>
      <c r="AA1146" s="4">
        <v>6</v>
      </c>
      <c r="AB1146" s="4">
        <v>1</v>
      </c>
      <c r="AC1146" s="4">
        <v>1</v>
      </c>
      <c r="AD1146" s="4">
        <v>40</v>
      </c>
      <c r="AE1146" s="4">
        <v>40</v>
      </c>
      <c r="AF1146" s="4">
        <v>0</v>
      </c>
      <c r="AG1146" s="4">
        <v>0</v>
      </c>
      <c r="AH1146" s="4">
        <v>39</v>
      </c>
      <c r="AI1146" s="4">
        <v>39</v>
      </c>
      <c r="AJ1146" s="4">
        <v>4</v>
      </c>
      <c r="AK1146" s="4">
        <v>4</v>
      </c>
      <c r="AL1146" s="4">
        <v>32</v>
      </c>
      <c r="AM1146" s="4">
        <v>32</v>
      </c>
      <c r="AN1146" s="4">
        <v>0</v>
      </c>
      <c r="AO1146" s="4">
        <v>0</v>
      </c>
      <c r="AP1146" s="4">
        <v>4</v>
      </c>
      <c r="AQ1146" s="4">
        <v>4</v>
      </c>
      <c r="AR1146" s="3" t="s">
        <v>63</v>
      </c>
      <c r="AS1146" s="3" t="s">
        <v>63</v>
      </c>
      <c r="AT1146" s="3" t="s">
        <v>62</v>
      </c>
      <c r="AU1146" s="6" t="str">
        <f>HYPERLINK("http://catalog.hathitrust.org/Record/004139329","HathiTrust Record")</f>
        <v>HathiTrust Record</v>
      </c>
      <c r="AV1146" s="6" t="str">
        <f>HYPERLINK("http://mcgill.on.worldcat.org/oclc/34561345","Catalog Record")</f>
        <v>Catalog Record</v>
      </c>
      <c r="AW1146" s="6" t="str">
        <f>HYPERLINK("http://www.worldcat.org/oclc/34561345","WorldCat Record")</f>
        <v>WorldCat Record</v>
      </c>
      <c r="AX1146" s="3" t="s">
        <v>10691</v>
      </c>
      <c r="AY1146" s="3" t="s">
        <v>10692</v>
      </c>
      <c r="AZ1146" s="3" t="s">
        <v>10693</v>
      </c>
      <c r="BA1146" s="3" t="s">
        <v>10693</v>
      </c>
      <c r="BB1146" s="3" t="s">
        <v>10703</v>
      </c>
      <c r="BC1146" s="3" t="s">
        <v>82</v>
      </c>
      <c r="BD1146" s="3" t="s">
        <v>70</v>
      </c>
      <c r="BE1146" s="3" t="s">
        <v>10695</v>
      </c>
      <c r="BF1146" s="3" t="s">
        <v>10703</v>
      </c>
      <c r="BG1146" s="3" t="s">
        <v>10704</v>
      </c>
    </row>
    <row r="1147" spans="1:59" ht="60" x14ac:dyDescent="0.25">
      <c r="A1147" s="2" t="s">
        <v>59</v>
      </c>
      <c r="B1147" s="2" t="s">
        <v>60</v>
      </c>
      <c r="C1147" s="2" t="s">
        <v>10697</v>
      </c>
      <c r="D1147" s="2" t="s">
        <v>10686</v>
      </c>
      <c r="E1147" s="2" t="s">
        <v>10687</v>
      </c>
      <c r="F1147" s="3" t="s">
        <v>10705</v>
      </c>
      <c r="G1147" s="3" t="s">
        <v>62</v>
      </c>
      <c r="I1147" s="3" t="s">
        <v>63</v>
      </c>
      <c r="J1147" s="3" t="s">
        <v>63</v>
      </c>
      <c r="K1147" s="3" t="s">
        <v>64</v>
      </c>
      <c r="L1147" s="2" t="s">
        <v>10688</v>
      </c>
      <c r="M1147" s="2" t="s">
        <v>10689</v>
      </c>
      <c r="N1147" s="3" t="s">
        <v>374</v>
      </c>
      <c r="P1147" s="3" t="s">
        <v>90</v>
      </c>
      <c r="R1147" s="3" t="s">
        <v>67</v>
      </c>
      <c r="S1147" s="4">
        <v>0</v>
      </c>
      <c r="T1147" s="4">
        <v>6</v>
      </c>
      <c r="V1147" s="5" t="s">
        <v>2093</v>
      </c>
      <c r="W1147" s="5" t="s">
        <v>69</v>
      </c>
      <c r="X1147" s="5" t="s">
        <v>69</v>
      </c>
      <c r="Y1147" s="4">
        <v>58</v>
      </c>
      <c r="Z1147" s="4">
        <v>6</v>
      </c>
      <c r="AA1147" s="4">
        <v>6</v>
      </c>
      <c r="AB1147" s="4">
        <v>1</v>
      </c>
      <c r="AC1147" s="4">
        <v>1</v>
      </c>
      <c r="AD1147" s="4">
        <v>40</v>
      </c>
      <c r="AE1147" s="4">
        <v>40</v>
      </c>
      <c r="AF1147" s="4">
        <v>0</v>
      </c>
      <c r="AG1147" s="4">
        <v>0</v>
      </c>
      <c r="AH1147" s="4">
        <v>39</v>
      </c>
      <c r="AI1147" s="4">
        <v>39</v>
      </c>
      <c r="AJ1147" s="4">
        <v>4</v>
      </c>
      <c r="AK1147" s="4">
        <v>4</v>
      </c>
      <c r="AL1147" s="4">
        <v>32</v>
      </c>
      <c r="AM1147" s="4">
        <v>32</v>
      </c>
      <c r="AN1147" s="4">
        <v>0</v>
      </c>
      <c r="AO1147" s="4">
        <v>0</v>
      </c>
      <c r="AP1147" s="4">
        <v>4</v>
      </c>
      <c r="AQ1147" s="4">
        <v>4</v>
      </c>
      <c r="AR1147" s="3" t="s">
        <v>63</v>
      </c>
      <c r="AS1147" s="3" t="s">
        <v>63</v>
      </c>
      <c r="AT1147" s="3" t="s">
        <v>62</v>
      </c>
      <c r="AU1147" s="6" t="str">
        <f>HYPERLINK("http://catalog.hathitrust.org/Record/004139329","HathiTrust Record")</f>
        <v>HathiTrust Record</v>
      </c>
      <c r="AV1147" s="6" t="str">
        <f>HYPERLINK("http://mcgill.on.worldcat.org/oclc/34561345","Catalog Record")</f>
        <v>Catalog Record</v>
      </c>
      <c r="AW1147" s="6" t="str">
        <f>HYPERLINK("http://www.worldcat.org/oclc/34561345","WorldCat Record")</f>
        <v>WorldCat Record</v>
      </c>
      <c r="AX1147" s="3" t="s">
        <v>10691</v>
      </c>
      <c r="AY1147" s="3" t="s">
        <v>10692</v>
      </c>
      <c r="AZ1147" s="3" t="s">
        <v>10693</v>
      </c>
      <c r="BA1147" s="3" t="s">
        <v>10693</v>
      </c>
      <c r="BB1147" s="3" t="s">
        <v>10706</v>
      </c>
      <c r="BC1147" s="3" t="s">
        <v>82</v>
      </c>
      <c r="BD1147" s="3" t="s">
        <v>70</v>
      </c>
      <c r="BE1147" s="3" t="s">
        <v>10695</v>
      </c>
      <c r="BF1147" s="3" t="s">
        <v>10706</v>
      </c>
      <c r="BG1147" s="3" t="s">
        <v>10707</v>
      </c>
    </row>
    <row r="1148" spans="1:59" ht="60" x14ac:dyDescent="0.25">
      <c r="A1148" s="2" t="s">
        <v>59</v>
      </c>
      <c r="B1148" s="2" t="s">
        <v>60</v>
      </c>
      <c r="C1148" s="2" t="s">
        <v>10697</v>
      </c>
      <c r="D1148" s="2" t="s">
        <v>10686</v>
      </c>
      <c r="E1148" s="2" t="s">
        <v>10687</v>
      </c>
      <c r="F1148" s="3" t="s">
        <v>4184</v>
      </c>
      <c r="G1148" s="3" t="s">
        <v>62</v>
      </c>
      <c r="I1148" s="3" t="s">
        <v>63</v>
      </c>
      <c r="J1148" s="3" t="s">
        <v>63</v>
      </c>
      <c r="K1148" s="3" t="s">
        <v>64</v>
      </c>
      <c r="L1148" s="2" t="s">
        <v>10688</v>
      </c>
      <c r="M1148" s="2" t="s">
        <v>10689</v>
      </c>
      <c r="N1148" s="3" t="s">
        <v>374</v>
      </c>
      <c r="P1148" s="3" t="s">
        <v>90</v>
      </c>
      <c r="R1148" s="3" t="s">
        <v>67</v>
      </c>
      <c r="S1148" s="4">
        <v>0</v>
      </c>
      <c r="T1148" s="4">
        <v>6</v>
      </c>
      <c r="V1148" s="5" t="s">
        <v>2093</v>
      </c>
      <c r="W1148" s="5" t="s">
        <v>69</v>
      </c>
      <c r="X1148" s="5" t="s">
        <v>69</v>
      </c>
      <c r="Y1148" s="4">
        <v>58</v>
      </c>
      <c r="Z1148" s="4">
        <v>6</v>
      </c>
      <c r="AA1148" s="4">
        <v>6</v>
      </c>
      <c r="AB1148" s="4">
        <v>1</v>
      </c>
      <c r="AC1148" s="4">
        <v>1</v>
      </c>
      <c r="AD1148" s="4">
        <v>40</v>
      </c>
      <c r="AE1148" s="4">
        <v>40</v>
      </c>
      <c r="AF1148" s="4">
        <v>0</v>
      </c>
      <c r="AG1148" s="4">
        <v>0</v>
      </c>
      <c r="AH1148" s="4">
        <v>39</v>
      </c>
      <c r="AI1148" s="4">
        <v>39</v>
      </c>
      <c r="AJ1148" s="4">
        <v>4</v>
      </c>
      <c r="AK1148" s="4">
        <v>4</v>
      </c>
      <c r="AL1148" s="4">
        <v>32</v>
      </c>
      <c r="AM1148" s="4">
        <v>32</v>
      </c>
      <c r="AN1148" s="4">
        <v>0</v>
      </c>
      <c r="AO1148" s="4">
        <v>0</v>
      </c>
      <c r="AP1148" s="4">
        <v>4</v>
      </c>
      <c r="AQ1148" s="4">
        <v>4</v>
      </c>
      <c r="AR1148" s="3" t="s">
        <v>63</v>
      </c>
      <c r="AS1148" s="3" t="s">
        <v>63</v>
      </c>
      <c r="AT1148" s="3" t="s">
        <v>62</v>
      </c>
      <c r="AU1148" s="6" t="str">
        <f>HYPERLINK("http://catalog.hathitrust.org/Record/004139329","HathiTrust Record")</f>
        <v>HathiTrust Record</v>
      </c>
      <c r="AV1148" s="6" t="str">
        <f>HYPERLINK("http://mcgill.on.worldcat.org/oclc/34561345","Catalog Record")</f>
        <v>Catalog Record</v>
      </c>
      <c r="AW1148" s="6" t="str">
        <f>HYPERLINK("http://www.worldcat.org/oclc/34561345","WorldCat Record")</f>
        <v>WorldCat Record</v>
      </c>
      <c r="AX1148" s="3" t="s">
        <v>10691</v>
      </c>
      <c r="AY1148" s="3" t="s">
        <v>10692</v>
      </c>
      <c r="AZ1148" s="3" t="s">
        <v>10693</v>
      </c>
      <c r="BA1148" s="3" t="s">
        <v>10693</v>
      </c>
      <c r="BB1148" s="3" t="s">
        <v>10708</v>
      </c>
      <c r="BC1148" s="3" t="s">
        <v>82</v>
      </c>
      <c r="BD1148" s="3" t="s">
        <v>70</v>
      </c>
      <c r="BE1148" s="3" t="s">
        <v>10695</v>
      </c>
      <c r="BF1148" s="3" t="s">
        <v>10708</v>
      </c>
      <c r="BG1148" s="3" t="s">
        <v>10709</v>
      </c>
    </row>
    <row r="1149" spans="1:59" ht="60" x14ac:dyDescent="0.25">
      <c r="A1149" s="2" t="s">
        <v>59</v>
      </c>
      <c r="B1149" s="2" t="s">
        <v>60</v>
      </c>
      <c r="C1149" s="2" t="s">
        <v>10697</v>
      </c>
      <c r="D1149" s="2" t="s">
        <v>10686</v>
      </c>
      <c r="E1149" s="2" t="s">
        <v>10687</v>
      </c>
      <c r="F1149" s="3" t="s">
        <v>4168</v>
      </c>
      <c r="G1149" s="3" t="s">
        <v>62</v>
      </c>
      <c r="I1149" s="3" t="s">
        <v>63</v>
      </c>
      <c r="J1149" s="3" t="s">
        <v>63</v>
      </c>
      <c r="K1149" s="3" t="s">
        <v>64</v>
      </c>
      <c r="L1149" s="2" t="s">
        <v>10688</v>
      </c>
      <c r="M1149" s="2" t="s">
        <v>10689</v>
      </c>
      <c r="N1149" s="3" t="s">
        <v>374</v>
      </c>
      <c r="P1149" s="3" t="s">
        <v>90</v>
      </c>
      <c r="R1149" s="3" t="s">
        <v>67</v>
      </c>
      <c r="S1149" s="4">
        <v>0</v>
      </c>
      <c r="T1149" s="4">
        <v>6</v>
      </c>
      <c r="V1149" s="5" t="s">
        <v>2093</v>
      </c>
      <c r="W1149" s="5" t="s">
        <v>69</v>
      </c>
      <c r="X1149" s="5" t="s">
        <v>69</v>
      </c>
      <c r="Y1149" s="4">
        <v>58</v>
      </c>
      <c r="Z1149" s="4">
        <v>6</v>
      </c>
      <c r="AA1149" s="4">
        <v>6</v>
      </c>
      <c r="AB1149" s="4">
        <v>1</v>
      </c>
      <c r="AC1149" s="4">
        <v>1</v>
      </c>
      <c r="AD1149" s="4">
        <v>40</v>
      </c>
      <c r="AE1149" s="4">
        <v>40</v>
      </c>
      <c r="AF1149" s="4">
        <v>0</v>
      </c>
      <c r="AG1149" s="4">
        <v>0</v>
      </c>
      <c r="AH1149" s="4">
        <v>39</v>
      </c>
      <c r="AI1149" s="4">
        <v>39</v>
      </c>
      <c r="AJ1149" s="4">
        <v>4</v>
      </c>
      <c r="AK1149" s="4">
        <v>4</v>
      </c>
      <c r="AL1149" s="4">
        <v>32</v>
      </c>
      <c r="AM1149" s="4">
        <v>32</v>
      </c>
      <c r="AN1149" s="4">
        <v>0</v>
      </c>
      <c r="AO1149" s="4">
        <v>0</v>
      </c>
      <c r="AP1149" s="4">
        <v>4</v>
      </c>
      <c r="AQ1149" s="4">
        <v>4</v>
      </c>
      <c r="AR1149" s="3" t="s">
        <v>63</v>
      </c>
      <c r="AS1149" s="3" t="s">
        <v>63</v>
      </c>
      <c r="AT1149" s="3" t="s">
        <v>62</v>
      </c>
      <c r="AU1149" s="6" t="str">
        <f>HYPERLINK("http://catalog.hathitrust.org/Record/004139329","HathiTrust Record")</f>
        <v>HathiTrust Record</v>
      </c>
      <c r="AV1149" s="6" t="str">
        <f>HYPERLINK("http://mcgill.on.worldcat.org/oclc/34561345","Catalog Record")</f>
        <v>Catalog Record</v>
      </c>
      <c r="AW1149" s="6" t="str">
        <f>HYPERLINK("http://www.worldcat.org/oclc/34561345","WorldCat Record")</f>
        <v>WorldCat Record</v>
      </c>
      <c r="AX1149" s="3" t="s">
        <v>10691</v>
      </c>
      <c r="AY1149" s="3" t="s">
        <v>10692</v>
      </c>
      <c r="AZ1149" s="3" t="s">
        <v>10693</v>
      </c>
      <c r="BA1149" s="3" t="s">
        <v>10693</v>
      </c>
      <c r="BB1149" s="3" t="s">
        <v>10710</v>
      </c>
      <c r="BC1149" s="3" t="s">
        <v>82</v>
      </c>
      <c r="BD1149" s="3" t="s">
        <v>70</v>
      </c>
      <c r="BE1149" s="3" t="s">
        <v>10695</v>
      </c>
      <c r="BF1149" s="3" t="s">
        <v>10710</v>
      </c>
      <c r="BG1149" s="3" t="s">
        <v>10711</v>
      </c>
    </row>
    <row r="1150" spans="1:59" ht="60" x14ac:dyDescent="0.25">
      <c r="A1150" s="2" t="s">
        <v>59</v>
      </c>
      <c r="B1150" s="2" t="s">
        <v>60</v>
      </c>
      <c r="C1150" s="2" t="s">
        <v>10697</v>
      </c>
      <c r="D1150" s="2" t="s">
        <v>10686</v>
      </c>
      <c r="E1150" s="2" t="s">
        <v>10687</v>
      </c>
      <c r="F1150" s="3" t="s">
        <v>10477</v>
      </c>
      <c r="G1150" s="3" t="s">
        <v>62</v>
      </c>
      <c r="I1150" s="3" t="s">
        <v>63</v>
      </c>
      <c r="J1150" s="3" t="s">
        <v>63</v>
      </c>
      <c r="K1150" s="3" t="s">
        <v>64</v>
      </c>
      <c r="L1150" s="2" t="s">
        <v>10688</v>
      </c>
      <c r="M1150" s="2" t="s">
        <v>10689</v>
      </c>
      <c r="N1150" s="3" t="s">
        <v>374</v>
      </c>
      <c r="P1150" s="3" t="s">
        <v>90</v>
      </c>
      <c r="R1150" s="3" t="s">
        <v>67</v>
      </c>
      <c r="S1150" s="4">
        <v>1</v>
      </c>
      <c r="T1150" s="4">
        <v>6</v>
      </c>
      <c r="U1150" s="5" t="s">
        <v>4698</v>
      </c>
      <c r="V1150" s="5" t="s">
        <v>2093</v>
      </c>
      <c r="W1150" s="5" t="s">
        <v>69</v>
      </c>
      <c r="X1150" s="5" t="s">
        <v>69</v>
      </c>
      <c r="Y1150" s="4">
        <v>58</v>
      </c>
      <c r="Z1150" s="4">
        <v>6</v>
      </c>
      <c r="AA1150" s="4">
        <v>6</v>
      </c>
      <c r="AB1150" s="4">
        <v>1</v>
      </c>
      <c r="AC1150" s="4">
        <v>1</v>
      </c>
      <c r="AD1150" s="4">
        <v>40</v>
      </c>
      <c r="AE1150" s="4">
        <v>40</v>
      </c>
      <c r="AF1150" s="4">
        <v>0</v>
      </c>
      <c r="AG1150" s="4">
        <v>0</v>
      </c>
      <c r="AH1150" s="4">
        <v>39</v>
      </c>
      <c r="AI1150" s="4">
        <v>39</v>
      </c>
      <c r="AJ1150" s="4">
        <v>4</v>
      </c>
      <c r="AK1150" s="4">
        <v>4</v>
      </c>
      <c r="AL1150" s="4">
        <v>32</v>
      </c>
      <c r="AM1150" s="4">
        <v>32</v>
      </c>
      <c r="AN1150" s="4">
        <v>0</v>
      </c>
      <c r="AO1150" s="4">
        <v>0</v>
      </c>
      <c r="AP1150" s="4">
        <v>4</v>
      </c>
      <c r="AQ1150" s="4">
        <v>4</v>
      </c>
      <c r="AR1150" s="3" t="s">
        <v>63</v>
      </c>
      <c r="AS1150" s="3" t="s">
        <v>63</v>
      </c>
      <c r="AT1150" s="3" t="s">
        <v>62</v>
      </c>
      <c r="AU1150" s="6" t="str">
        <f>HYPERLINK("http://catalog.hathitrust.org/Record/004139329","HathiTrust Record")</f>
        <v>HathiTrust Record</v>
      </c>
      <c r="AV1150" s="6" t="str">
        <f>HYPERLINK("http://mcgill.on.worldcat.org/oclc/34561345","Catalog Record")</f>
        <v>Catalog Record</v>
      </c>
      <c r="AW1150" s="6" t="str">
        <f>HYPERLINK("http://www.worldcat.org/oclc/34561345","WorldCat Record")</f>
        <v>WorldCat Record</v>
      </c>
      <c r="AX1150" s="3" t="s">
        <v>10691</v>
      </c>
      <c r="AY1150" s="3" t="s">
        <v>10692</v>
      </c>
      <c r="AZ1150" s="3" t="s">
        <v>10693</v>
      </c>
      <c r="BA1150" s="3" t="s">
        <v>10693</v>
      </c>
      <c r="BB1150" s="3" t="s">
        <v>10712</v>
      </c>
      <c r="BC1150" s="3" t="s">
        <v>82</v>
      </c>
      <c r="BD1150" s="3" t="s">
        <v>70</v>
      </c>
      <c r="BE1150" s="3" t="s">
        <v>10695</v>
      </c>
      <c r="BF1150" s="3" t="s">
        <v>10712</v>
      </c>
      <c r="BG1150" s="3" t="s">
        <v>10713</v>
      </c>
    </row>
    <row r="1151" spans="1:59" ht="60" x14ac:dyDescent="0.25">
      <c r="A1151" s="2" t="s">
        <v>59</v>
      </c>
      <c r="B1151" s="2" t="s">
        <v>60</v>
      </c>
      <c r="C1151" s="2" t="s">
        <v>10697</v>
      </c>
      <c r="D1151" s="2" t="s">
        <v>10686</v>
      </c>
      <c r="E1151" s="2" t="s">
        <v>10687</v>
      </c>
      <c r="F1151" s="3" t="s">
        <v>10521</v>
      </c>
      <c r="G1151" s="3" t="s">
        <v>62</v>
      </c>
      <c r="I1151" s="3" t="s">
        <v>63</v>
      </c>
      <c r="J1151" s="3" t="s">
        <v>63</v>
      </c>
      <c r="K1151" s="3" t="s">
        <v>64</v>
      </c>
      <c r="L1151" s="2" t="s">
        <v>10688</v>
      </c>
      <c r="M1151" s="2" t="s">
        <v>10689</v>
      </c>
      <c r="N1151" s="3" t="s">
        <v>374</v>
      </c>
      <c r="P1151" s="3" t="s">
        <v>90</v>
      </c>
      <c r="R1151" s="3" t="s">
        <v>67</v>
      </c>
      <c r="S1151" s="4">
        <v>0</v>
      </c>
      <c r="T1151" s="4">
        <v>6</v>
      </c>
      <c r="V1151" s="5" t="s">
        <v>2093</v>
      </c>
      <c r="W1151" s="5" t="s">
        <v>69</v>
      </c>
      <c r="X1151" s="5" t="s">
        <v>69</v>
      </c>
      <c r="Y1151" s="4">
        <v>58</v>
      </c>
      <c r="Z1151" s="4">
        <v>6</v>
      </c>
      <c r="AA1151" s="4">
        <v>6</v>
      </c>
      <c r="AB1151" s="4">
        <v>1</v>
      </c>
      <c r="AC1151" s="4">
        <v>1</v>
      </c>
      <c r="AD1151" s="4">
        <v>40</v>
      </c>
      <c r="AE1151" s="4">
        <v>40</v>
      </c>
      <c r="AF1151" s="4">
        <v>0</v>
      </c>
      <c r="AG1151" s="4">
        <v>0</v>
      </c>
      <c r="AH1151" s="4">
        <v>39</v>
      </c>
      <c r="AI1151" s="4">
        <v>39</v>
      </c>
      <c r="AJ1151" s="4">
        <v>4</v>
      </c>
      <c r="AK1151" s="4">
        <v>4</v>
      </c>
      <c r="AL1151" s="4">
        <v>32</v>
      </c>
      <c r="AM1151" s="4">
        <v>32</v>
      </c>
      <c r="AN1151" s="4">
        <v>0</v>
      </c>
      <c r="AO1151" s="4">
        <v>0</v>
      </c>
      <c r="AP1151" s="4">
        <v>4</v>
      </c>
      <c r="AQ1151" s="4">
        <v>4</v>
      </c>
      <c r="AR1151" s="3" t="s">
        <v>63</v>
      </c>
      <c r="AS1151" s="3" t="s">
        <v>63</v>
      </c>
      <c r="AT1151" s="3" t="s">
        <v>62</v>
      </c>
      <c r="AU1151" s="6" t="str">
        <f>HYPERLINK("http://catalog.hathitrust.org/Record/004139329","HathiTrust Record")</f>
        <v>HathiTrust Record</v>
      </c>
      <c r="AV1151" s="6" t="str">
        <f>HYPERLINK("http://mcgill.on.worldcat.org/oclc/34561345","Catalog Record")</f>
        <v>Catalog Record</v>
      </c>
      <c r="AW1151" s="6" t="str">
        <f>HYPERLINK("http://www.worldcat.org/oclc/34561345","WorldCat Record")</f>
        <v>WorldCat Record</v>
      </c>
      <c r="AX1151" s="3" t="s">
        <v>10691</v>
      </c>
      <c r="AY1151" s="3" t="s">
        <v>10692</v>
      </c>
      <c r="AZ1151" s="3" t="s">
        <v>10693</v>
      </c>
      <c r="BA1151" s="3" t="s">
        <v>10693</v>
      </c>
      <c r="BB1151" s="3" t="s">
        <v>10717</v>
      </c>
      <c r="BC1151" s="3" t="s">
        <v>82</v>
      </c>
      <c r="BD1151" s="3" t="s">
        <v>70</v>
      </c>
      <c r="BE1151" s="3" t="s">
        <v>10695</v>
      </c>
      <c r="BF1151" s="3" t="s">
        <v>10717</v>
      </c>
      <c r="BG1151" s="3" t="s">
        <v>10718</v>
      </c>
    </row>
    <row r="1152" spans="1:59" ht="60" x14ac:dyDescent="0.25">
      <c r="A1152" s="2" t="s">
        <v>59</v>
      </c>
      <c r="B1152" s="2" t="s">
        <v>60</v>
      </c>
      <c r="C1152" s="2" t="s">
        <v>10697</v>
      </c>
      <c r="D1152" s="2" t="s">
        <v>10686</v>
      </c>
      <c r="E1152" s="2" t="s">
        <v>10687</v>
      </c>
      <c r="F1152" s="3" t="s">
        <v>10473</v>
      </c>
      <c r="G1152" s="3" t="s">
        <v>62</v>
      </c>
      <c r="I1152" s="3" t="s">
        <v>63</v>
      </c>
      <c r="J1152" s="3" t="s">
        <v>63</v>
      </c>
      <c r="K1152" s="3" t="s">
        <v>64</v>
      </c>
      <c r="L1152" s="2" t="s">
        <v>10688</v>
      </c>
      <c r="M1152" s="2" t="s">
        <v>10689</v>
      </c>
      <c r="N1152" s="3" t="s">
        <v>374</v>
      </c>
      <c r="P1152" s="3" t="s">
        <v>90</v>
      </c>
      <c r="R1152" s="3" t="s">
        <v>67</v>
      </c>
      <c r="S1152" s="4">
        <v>0</v>
      </c>
      <c r="T1152" s="4">
        <v>6</v>
      </c>
      <c r="V1152" s="5" t="s">
        <v>2093</v>
      </c>
      <c r="W1152" s="5" t="s">
        <v>69</v>
      </c>
      <c r="X1152" s="5" t="s">
        <v>69</v>
      </c>
      <c r="Y1152" s="4">
        <v>58</v>
      </c>
      <c r="Z1152" s="4">
        <v>6</v>
      </c>
      <c r="AA1152" s="4">
        <v>6</v>
      </c>
      <c r="AB1152" s="4">
        <v>1</v>
      </c>
      <c r="AC1152" s="4">
        <v>1</v>
      </c>
      <c r="AD1152" s="4">
        <v>40</v>
      </c>
      <c r="AE1152" s="4">
        <v>40</v>
      </c>
      <c r="AF1152" s="4">
        <v>0</v>
      </c>
      <c r="AG1152" s="4">
        <v>0</v>
      </c>
      <c r="AH1152" s="4">
        <v>39</v>
      </c>
      <c r="AI1152" s="4">
        <v>39</v>
      </c>
      <c r="AJ1152" s="4">
        <v>4</v>
      </c>
      <c r="AK1152" s="4">
        <v>4</v>
      </c>
      <c r="AL1152" s="4">
        <v>32</v>
      </c>
      <c r="AM1152" s="4">
        <v>32</v>
      </c>
      <c r="AN1152" s="4">
        <v>0</v>
      </c>
      <c r="AO1152" s="4">
        <v>0</v>
      </c>
      <c r="AP1152" s="4">
        <v>4</v>
      </c>
      <c r="AQ1152" s="4">
        <v>4</v>
      </c>
      <c r="AR1152" s="3" t="s">
        <v>63</v>
      </c>
      <c r="AS1152" s="3" t="s">
        <v>63</v>
      </c>
      <c r="AT1152" s="3" t="s">
        <v>62</v>
      </c>
      <c r="AU1152" s="6" t="str">
        <f>HYPERLINK("http://catalog.hathitrust.org/Record/004139329","HathiTrust Record")</f>
        <v>HathiTrust Record</v>
      </c>
      <c r="AV1152" s="6" t="str">
        <f>HYPERLINK("http://mcgill.on.worldcat.org/oclc/34561345","Catalog Record")</f>
        <v>Catalog Record</v>
      </c>
      <c r="AW1152" s="6" t="str">
        <f>HYPERLINK("http://www.worldcat.org/oclc/34561345","WorldCat Record")</f>
        <v>WorldCat Record</v>
      </c>
      <c r="AX1152" s="3" t="s">
        <v>10691</v>
      </c>
      <c r="AY1152" s="3" t="s">
        <v>10692</v>
      </c>
      <c r="AZ1152" s="3" t="s">
        <v>10693</v>
      </c>
      <c r="BA1152" s="3" t="s">
        <v>10693</v>
      </c>
      <c r="BB1152" s="3" t="s">
        <v>10719</v>
      </c>
      <c r="BC1152" s="3" t="s">
        <v>82</v>
      </c>
      <c r="BD1152" s="3" t="s">
        <v>70</v>
      </c>
      <c r="BE1152" s="3" t="s">
        <v>10695</v>
      </c>
      <c r="BF1152" s="3" t="s">
        <v>10719</v>
      </c>
      <c r="BG1152" s="3" t="s">
        <v>10720</v>
      </c>
    </row>
    <row r="1153" spans="1:59" ht="60" x14ac:dyDescent="0.25">
      <c r="A1153" s="2" t="s">
        <v>59</v>
      </c>
      <c r="B1153" s="2" t="s">
        <v>60</v>
      </c>
      <c r="C1153" s="2" t="s">
        <v>10697</v>
      </c>
      <c r="D1153" s="2" t="s">
        <v>10686</v>
      </c>
      <c r="E1153" s="2" t="s">
        <v>10687</v>
      </c>
      <c r="F1153" s="3" t="s">
        <v>10725</v>
      </c>
      <c r="G1153" s="3" t="s">
        <v>62</v>
      </c>
      <c r="I1153" s="3" t="s">
        <v>63</v>
      </c>
      <c r="J1153" s="3" t="s">
        <v>63</v>
      </c>
      <c r="K1153" s="3" t="s">
        <v>64</v>
      </c>
      <c r="L1153" s="2" t="s">
        <v>10688</v>
      </c>
      <c r="M1153" s="2" t="s">
        <v>10689</v>
      </c>
      <c r="N1153" s="3" t="s">
        <v>374</v>
      </c>
      <c r="P1153" s="3" t="s">
        <v>90</v>
      </c>
      <c r="R1153" s="3" t="s">
        <v>67</v>
      </c>
      <c r="S1153" s="4">
        <v>0</v>
      </c>
      <c r="T1153" s="4">
        <v>6</v>
      </c>
      <c r="V1153" s="5" t="s">
        <v>2093</v>
      </c>
      <c r="W1153" s="5" t="s">
        <v>69</v>
      </c>
      <c r="X1153" s="5" t="s">
        <v>69</v>
      </c>
      <c r="Y1153" s="4">
        <v>58</v>
      </c>
      <c r="Z1153" s="4">
        <v>6</v>
      </c>
      <c r="AA1153" s="4">
        <v>6</v>
      </c>
      <c r="AB1153" s="4">
        <v>1</v>
      </c>
      <c r="AC1153" s="4">
        <v>1</v>
      </c>
      <c r="AD1153" s="4">
        <v>40</v>
      </c>
      <c r="AE1153" s="4">
        <v>40</v>
      </c>
      <c r="AF1153" s="4">
        <v>0</v>
      </c>
      <c r="AG1153" s="4">
        <v>0</v>
      </c>
      <c r="AH1153" s="4">
        <v>39</v>
      </c>
      <c r="AI1153" s="4">
        <v>39</v>
      </c>
      <c r="AJ1153" s="4">
        <v>4</v>
      </c>
      <c r="AK1153" s="4">
        <v>4</v>
      </c>
      <c r="AL1153" s="4">
        <v>32</v>
      </c>
      <c r="AM1153" s="4">
        <v>32</v>
      </c>
      <c r="AN1153" s="4">
        <v>0</v>
      </c>
      <c r="AO1153" s="4">
        <v>0</v>
      </c>
      <c r="AP1153" s="4">
        <v>4</v>
      </c>
      <c r="AQ1153" s="4">
        <v>4</v>
      </c>
      <c r="AR1153" s="3" t="s">
        <v>63</v>
      </c>
      <c r="AS1153" s="3" t="s">
        <v>63</v>
      </c>
      <c r="AT1153" s="3" t="s">
        <v>62</v>
      </c>
      <c r="AU1153" s="6" t="str">
        <f>HYPERLINK("http://catalog.hathitrust.org/Record/004139329","HathiTrust Record")</f>
        <v>HathiTrust Record</v>
      </c>
      <c r="AV1153" s="6" t="str">
        <f>HYPERLINK("http://mcgill.on.worldcat.org/oclc/34561345","Catalog Record")</f>
        <v>Catalog Record</v>
      </c>
      <c r="AW1153" s="6" t="str">
        <f>HYPERLINK("http://www.worldcat.org/oclc/34561345","WorldCat Record")</f>
        <v>WorldCat Record</v>
      </c>
      <c r="AX1153" s="3" t="s">
        <v>10691</v>
      </c>
      <c r="AY1153" s="3" t="s">
        <v>10692</v>
      </c>
      <c r="AZ1153" s="3" t="s">
        <v>10693</v>
      </c>
      <c r="BA1153" s="3" t="s">
        <v>10693</v>
      </c>
      <c r="BB1153" s="3" t="s">
        <v>10726</v>
      </c>
      <c r="BC1153" s="3" t="s">
        <v>82</v>
      </c>
      <c r="BD1153" s="3" t="s">
        <v>70</v>
      </c>
      <c r="BE1153" s="3" t="s">
        <v>10695</v>
      </c>
      <c r="BF1153" s="3" t="s">
        <v>10726</v>
      </c>
      <c r="BG1153" s="3" t="s">
        <v>10727</v>
      </c>
    </row>
    <row r="1154" spans="1:59" ht="60" x14ac:dyDescent="0.25">
      <c r="A1154" s="2" t="s">
        <v>59</v>
      </c>
      <c r="B1154" s="2" t="s">
        <v>60</v>
      </c>
      <c r="C1154" s="2" t="s">
        <v>10697</v>
      </c>
      <c r="D1154" s="2" t="s">
        <v>10686</v>
      </c>
      <c r="E1154" s="2" t="s">
        <v>10687</v>
      </c>
      <c r="F1154" s="3" t="s">
        <v>2601</v>
      </c>
      <c r="G1154" s="3" t="s">
        <v>62</v>
      </c>
      <c r="I1154" s="3" t="s">
        <v>63</v>
      </c>
      <c r="J1154" s="3" t="s">
        <v>63</v>
      </c>
      <c r="K1154" s="3" t="s">
        <v>64</v>
      </c>
      <c r="L1154" s="2" t="s">
        <v>10688</v>
      </c>
      <c r="M1154" s="2" t="s">
        <v>10689</v>
      </c>
      <c r="N1154" s="3" t="s">
        <v>374</v>
      </c>
      <c r="P1154" s="3" t="s">
        <v>90</v>
      </c>
      <c r="R1154" s="3" t="s">
        <v>67</v>
      </c>
      <c r="S1154" s="4">
        <v>2</v>
      </c>
      <c r="T1154" s="4">
        <v>6</v>
      </c>
      <c r="U1154" s="5" t="s">
        <v>2093</v>
      </c>
      <c r="V1154" s="5" t="s">
        <v>2093</v>
      </c>
      <c r="W1154" s="5" t="s">
        <v>69</v>
      </c>
      <c r="X1154" s="5" t="s">
        <v>69</v>
      </c>
      <c r="Y1154" s="4">
        <v>58</v>
      </c>
      <c r="Z1154" s="4">
        <v>6</v>
      </c>
      <c r="AA1154" s="4">
        <v>6</v>
      </c>
      <c r="AB1154" s="4">
        <v>1</v>
      </c>
      <c r="AC1154" s="4">
        <v>1</v>
      </c>
      <c r="AD1154" s="4">
        <v>40</v>
      </c>
      <c r="AE1154" s="4">
        <v>40</v>
      </c>
      <c r="AF1154" s="4">
        <v>0</v>
      </c>
      <c r="AG1154" s="4">
        <v>0</v>
      </c>
      <c r="AH1154" s="4">
        <v>39</v>
      </c>
      <c r="AI1154" s="4">
        <v>39</v>
      </c>
      <c r="AJ1154" s="4">
        <v>4</v>
      </c>
      <c r="AK1154" s="4">
        <v>4</v>
      </c>
      <c r="AL1154" s="4">
        <v>32</v>
      </c>
      <c r="AM1154" s="4">
        <v>32</v>
      </c>
      <c r="AN1154" s="4">
        <v>0</v>
      </c>
      <c r="AO1154" s="4">
        <v>0</v>
      </c>
      <c r="AP1154" s="4">
        <v>4</v>
      </c>
      <c r="AQ1154" s="4">
        <v>4</v>
      </c>
      <c r="AR1154" s="3" t="s">
        <v>63</v>
      </c>
      <c r="AS1154" s="3" t="s">
        <v>63</v>
      </c>
      <c r="AT1154" s="3" t="s">
        <v>62</v>
      </c>
      <c r="AU1154" s="6" t="str">
        <f>HYPERLINK("http://catalog.hathitrust.org/Record/004139329","HathiTrust Record")</f>
        <v>HathiTrust Record</v>
      </c>
      <c r="AV1154" s="6" t="str">
        <f>HYPERLINK("http://mcgill.on.worldcat.org/oclc/34561345","Catalog Record")</f>
        <v>Catalog Record</v>
      </c>
      <c r="AW1154" s="6" t="str">
        <f>HYPERLINK("http://www.worldcat.org/oclc/34561345","WorldCat Record")</f>
        <v>WorldCat Record</v>
      </c>
      <c r="AX1154" s="3" t="s">
        <v>10691</v>
      </c>
      <c r="AY1154" s="3" t="s">
        <v>10692</v>
      </c>
      <c r="AZ1154" s="3" t="s">
        <v>10693</v>
      </c>
      <c r="BA1154" s="3" t="s">
        <v>10693</v>
      </c>
      <c r="BB1154" s="3" t="s">
        <v>10728</v>
      </c>
      <c r="BC1154" s="3" t="s">
        <v>82</v>
      </c>
      <c r="BD1154" s="3" t="s">
        <v>70</v>
      </c>
      <c r="BE1154" s="3" t="s">
        <v>10695</v>
      </c>
      <c r="BF1154" s="3" t="s">
        <v>10728</v>
      </c>
      <c r="BG1154" s="3" t="s">
        <v>10729</v>
      </c>
    </row>
    <row r="1155" spans="1:59" ht="60" x14ac:dyDescent="0.25">
      <c r="A1155" s="2" t="s">
        <v>59</v>
      </c>
      <c r="B1155" s="2" t="s">
        <v>60</v>
      </c>
      <c r="C1155" s="2" t="s">
        <v>10730</v>
      </c>
      <c r="D1155" s="2" t="s">
        <v>10731</v>
      </c>
      <c r="E1155" s="2" t="s">
        <v>10732</v>
      </c>
      <c r="G1155" s="3" t="s">
        <v>63</v>
      </c>
      <c r="I1155" s="3" t="s">
        <v>63</v>
      </c>
      <c r="J1155" s="3" t="s">
        <v>62</v>
      </c>
      <c r="K1155" s="3" t="s">
        <v>64</v>
      </c>
      <c r="L1155" s="2" t="s">
        <v>10454</v>
      </c>
      <c r="M1155" s="2" t="s">
        <v>10733</v>
      </c>
      <c r="N1155" s="3" t="s">
        <v>274</v>
      </c>
      <c r="P1155" s="3" t="s">
        <v>90</v>
      </c>
      <c r="R1155" s="3" t="s">
        <v>67</v>
      </c>
      <c r="S1155" s="4">
        <v>8</v>
      </c>
      <c r="T1155" s="4">
        <v>8</v>
      </c>
      <c r="U1155" s="5" t="s">
        <v>9320</v>
      </c>
      <c r="V1155" s="5" t="s">
        <v>9320</v>
      </c>
      <c r="W1155" s="5" t="s">
        <v>69</v>
      </c>
      <c r="X1155" s="5" t="s">
        <v>69</v>
      </c>
      <c r="Y1155" s="4">
        <v>13</v>
      </c>
      <c r="Z1155" s="4">
        <v>2</v>
      </c>
      <c r="AA1155" s="4">
        <v>4</v>
      </c>
      <c r="AB1155" s="4">
        <v>1</v>
      </c>
      <c r="AC1155" s="4">
        <v>1</v>
      </c>
      <c r="AD1155" s="4">
        <v>9</v>
      </c>
      <c r="AE1155" s="4">
        <v>66</v>
      </c>
      <c r="AF1155" s="4">
        <v>0</v>
      </c>
      <c r="AG1155" s="4">
        <v>0</v>
      </c>
      <c r="AH1155" s="4">
        <v>8</v>
      </c>
      <c r="AI1155" s="4">
        <v>63</v>
      </c>
      <c r="AJ1155" s="4">
        <v>1</v>
      </c>
      <c r="AK1155" s="4">
        <v>2</v>
      </c>
      <c r="AL1155" s="4">
        <v>7</v>
      </c>
      <c r="AM1155" s="4">
        <v>43</v>
      </c>
      <c r="AN1155" s="4">
        <v>0</v>
      </c>
      <c r="AO1155" s="4">
        <v>0</v>
      </c>
      <c r="AP1155" s="4">
        <v>1</v>
      </c>
      <c r="AQ1155" s="4">
        <v>2</v>
      </c>
      <c r="AR1155" s="3" t="s">
        <v>63</v>
      </c>
      <c r="AS1155" s="3" t="s">
        <v>63</v>
      </c>
      <c r="AT1155" s="3" t="s">
        <v>63</v>
      </c>
      <c r="AV1155" s="6" t="str">
        <f>HYPERLINK("http://mcgill.on.worldcat.org/oclc/44487093","Catalog Record")</f>
        <v>Catalog Record</v>
      </c>
      <c r="AW1155" s="6" t="str">
        <f>HYPERLINK("http://www.worldcat.org/oclc/44487093","WorldCat Record")</f>
        <v>WorldCat Record</v>
      </c>
      <c r="AX1155" s="3" t="s">
        <v>10734</v>
      </c>
      <c r="AY1155" s="3" t="s">
        <v>10735</v>
      </c>
      <c r="AZ1155" s="3" t="s">
        <v>10736</v>
      </c>
      <c r="BA1155" s="3" t="s">
        <v>10736</v>
      </c>
      <c r="BB1155" s="3" t="s">
        <v>10737</v>
      </c>
      <c r="BC1155" s="3" t="s">
        <v>82</v>
      </c>
      <c r="BD1155" s="3" t="s">
        <v>70</v>
      </c>
      <c r="BE1155" s="3" t="s">
        <v>10738</v>
      </c>
      <c r="BF1155" s="3" t="s">
        <v>10737</v>
      </c>
      <c r="BG1155" s="3" t="s">
        <v>10739</v>
      </c>
    </row>
    <row r="1156" spans="1:59" ht="60" x14ac:dyDescent="0.25">
      <c r="A1156" s="2" t="s">
        <v>59</v>
      </c>
      <c r="B1156" s="2" t="s">
        <v>60</v>
      </c>
      <c r="C1156" s="2" t="s">
        <v>10740</v>
      </c>
      <c r="D1156" s="2" t="s">
        <v>10741</v>
      </c>
      <c r="E1156" s="2" t="s">
        <v>10742</v>
      </c>
      <c r="G1156" s="3" t="s">
        <v>63</v>
      </c>
      <c r="I1156" s="3" t="s">
        <v>63</v>
      </c>
      <c r="J1156" s="3" t="s">
        <v>62</v>
      </c>
      <c r="K1156" s="3" t="s">
        <v>64</v>
      </c>
      <c r="L1156" s="2" t="s">
        <v>10454</v>
      </c>
      <c r="M1156" s="2" t="s">
        <v>10743</v>
      </c>
      <c r="N1156" s="3" t="s">
        <v>629</v>
      </c>
      <c r="P1156" s="3" t="s">
        <v>90</v>
      </c>
      <c r="Q1156" s="2" t="s">
        <v>10744</v>
      </c>
      <c r="R1156" s="3" t="s">
        <v>67</v>
      </c>
      <c r="S1156" s="4">
        <v>1</v>
      </c>
      <c r="T1156" s="4">
        <v>1</v>
      </c>
      <c r="U1156" s="5" t="s">
        <v>10745</v>
      </c>
      <c r="V1156" s="5" t="s">
        <v>10745</v>
      </c>
      <c r="W1156" s="5" t="s">
        <v>69</v>
      </c>
      <c r="X1156" s="5" t="s">
        <v>69</v>
      </c>
      <c r="Y1156" s="4">
        <v>4</v>
      </c>
      <c r="Z1156" s="4">
        <v>1</v>
      </c>
      <c r="AA1156" s="4">
        <v>4</v>
      </c>
      <c r="AB1156" s="4">
        <v>1</v>
      </c>
      <c r="AC1156" s="4">
        <v>1</v>
      </c>
      <c r="AD1156" s="4">
        <v>2</v>
      </c>
      <c r="AE1156" s="4">
        <v>66</v>
      </c>
      <c r="AF1156" s="4">
        <v>0</v>
      </c>
      <c r="AG1156" s="4">
        <v>0</v>
      </c>
      <c r="AH1156" s="4">
        <v>2</v>
      </c>
      <c r="AI1156" s="4">
        <v>63</v>
      </c>
      <c r="AJ1156" s="4">
        <v>0</v>
      </c>
      <c r="AK1156" s="4">
        <v>2</v>
      </c>
      <c r="AL1156" s="4">
        <v>1</v>
      </c>
      <c r="AM1156" s="4">
        <v>43</v>
      </c>
      <c r="AN1156" s="4">
        <v>0</v>
      </c>
      <c r="AO1156" s="4">
        <v>0</v>
      </c>
      <c r="AP1156" s="4">
        <v>0</v>
      </c>
      <c r="AQ1156" s="4">
        <v>2</v>
      </c>
      <c r="AR1156" s="3" t="s">
        <v>63</v>
      </c>
      <c r="AS1156" s="3" t="s">
        <v>63</v>
      </c>
      <c r="AT1156" s="3" t="s">
        <v>63</v>
      </c>
      <c r="AV1156" s="6" t="str">
        <f>HYPERLINK("http://mcgill.on.worldcat.org/oclc/765812171","Catalog Record")</f>
        <v>Catalog Record</v>
      </c>
      <c r="AW1156" s="6" t="str">
        <f>HYPERLINK("http://www.worldcat.org/oclc/765812171","WorldCat Record")</f>
        <v>WorldCat Record</v>
      </c>
      <c r="AX1156" s="3" t="s">
        <v>10734</v>
      </c>
      <c r="AY1156" s="3" t="s">
        <v>10746</v>
      </c>
      <c r="AZ1156" s="3" t="s">
        <v>10747</v>
      </c>
      <c r="BA1156" s="3" t="s">
        <v>10747</v>
      </c>
      <c r="BB1156" s="3" t="s">
        <v>10748</v>
      </c>
      <c r="BC1156" s="3" t="s">
        <v>82</v>
      </c>
      <c r="BD1156" s="3" t="s">
        <v>70</v>
      </c>
      <c r="BE1156" s="3" t="s">
        <v>10749</v>
      </c>
      <c r="BF1156" s="3" t="s">
        <v>10748</v>
      </c>
      <c r="BG1156" s="3" t="s">
        <v>10750</v>
      </c>
    </row>
    <row r="1157" spans="1:59" ht="60" x14ac:dyDescent="0.25">
      <c r="A1157" s="2" t="s">
        <v>59</v>
      </c>
      <c r="B1157" s="2" t="s">
        <v>60</v>
      </c>
      <c r="C1157" s="2" t="s">
        <v>10751</v>
      </c>
      <c r="D1157" s="2" t="s">
        <v>10752</v>
      </c>
      <c r="E1157" s="2" t="s">
        <v>10753</v>
      </c>
      <c r="F1157" s="3" t="s">
        <v>2601</v>
      </c>
      <c r="G1157" s="3" t="s">
        <v>62</v>
      </c>
      <c r="I1157" s="3" t="s">
        <v>63</v>
      </c>
      <c r="J1157" s="3" t="s">
        <v>62</v>
      </c>
      <c r="K1157" s="3" t="s">
        <v>64</v>
      </c>
      <c r="L1157" s="2" t="s">
        <v>10454</v>
      </c>
      <c r="M1157" s="2" t="s">
        <v>10754</v>
      </c>
      <c r="N1157" s="3" t="s">
        <v>220</v>
      </c>
      <c r="P1157" s="3" t="s">
        <v>66</v>
      </c>
      <c r="Q1157" s="2" t="s">
        <v>4253</v>
      </c>
      <c r="R1157" s="3" t="s">
        <v>67</v>
      </c>
      <c r="S1157" s="4">
        <v>24</v>
      </c>
      <c r="T1157" s="4">
        <v>49</v>
      </c>
      <c r="U1157" s="5" t="s">
        <v>10755</v>
      </c>
      <c r="V1157" s="5" t="s">
        <v>10755</v>
      </c>
      <c r="W1157" s="5" t="s">
        <v>69</v>
      </c>
      <c r="X1157" s="5" t="s">
        <v>69</v>
      </c>
      <c r="Y1157" s="4">
        <v>524</v>
      </c>
      <c r="Z1157" s="4">
        <v>23</v>
      </c>
      <c r="AA1157" s="4">
        <v>51</v>
      </c>
      <c r="AB1157" s="4">
        <v>1</v>
      </c>
      <c r="AC1157" s="4">
        <v>5</v>
      </c>
      <c r="AD1157" s="4">
        <v>109</v>
      </c>
      <c r="AE1157" s="4">
        <v>141</v>
      </c>
      <c r="AF1157" s="4">
        <v>0</v>
      </c>
      <c r="AG1157" s="4">
        <v>4</v>
      </c>
      <c r="AH1157" s="4">
        <v>99</v>
      </c>
      <c r="AI1157" s="4">
        <v>114</v>
      </c>
      <c r="AJ1157" s="4">
        <v>12</v>
      </c>
      <c r="AK1157" s="4">
        <v>25</v>
      </c>
      <c r="AL1157" s="4">
        <v>54</v>
      </c>
      <c r="AM1157" s="4">
        <v>60</v>
      </c>
      <c r="AN1157" s="4">
        <v>0</v>
      </c>
      <c r="AO1157" s="4">
        <v>5</v>
      </c>
      <c r="AP1157" s="4">
        <v>16</v>
      </c>
      <c r="AQ1157" s="4">
        <v>33</v>
      </c>
      <c r="AR1157" s="3" t="s">
        <v>63</v>
      </c>
      <c r="AS1157" s="3" t="s">
        <v>63</v>
      </c>
      <c r="AT1157" s="3" t="s">
        <v>62</v>
      </c>
      <c r="AU1157" s="6" t="str">
        <f>HYPERLINK("http://catalog.hathitrust.org/Record/002731847","HathiTrust Record")</f>
        <v>HathiTrust Record</v>
      </c>
      <c r="AV1157" s="6" t="str">
        <f>HYPERLINK("http://mcgill.on.worldcat.org/oclc/25370331","Catalog Record")</f>
        <v>Catalog Record</v>
      </c>
      <c r="AW1157" s="6" t="str">
        <f>HYPERLINK("http://www.worldcat.org/oclc/25370331","WorldCat Record")</f>
        <v>WorldCat Record</v>
      </c>
      <c r="AX1157" s="3" t="s">
        <v>10756</v>
      </c>
      <c r="AY1157" s="3" t="s">
        <v>10757</v>
      </c>
      <c r="AZ1157" s="3" t="s">
        <v>10758</v>
      </c>
      <c r="BA1157" s="3" t="s">
        <v>10758</v>
      </c>
      <c r="BB1157" s="3" t="s">
        <v>10759</v>
      </c>
      <c r="BC1157" s="3" t="s">
        <v>82</v>
      </c>
      <c r="BD1157" s="3" t="s">
        <v>70</v>
      </c>
      <c r="BE1157" s="3" t="s">
        <v>10760</v>
      </c>
      <c r="BF1157" s="3" t="s">
        <v>10759</v>
      </c>
      <c r="BG1157" s="3" t="s">
        <v>10761</v>
      </c>
    </row>
    <row r="1158" spans="1:59" ht="60" x14ac:dyDescent="0.25">
      <c r="A1158" s="2" t="s">
        <v>59</v>
      </c>
      <c r="B1158" s="2" t="s">
        <v>60</v>
      </c>
      <c r="C1158" s="2" t="s">
        <v>10751</v>
      </c>
      <c r="D1158" s="2" t="s">
        <v>10752</v>
      </c>
      <c r="E1158" s="2" t="s">
        <v>10753</v>
      </c>
      <c r="F1158" s="3" t="s">
        <v>4181</v>
      </c>
      <c r="G1158" s="3" t="s">
        <v>62</v>
      </c>
      <c r="I1158" s="3" t="s">
        <v>63</v>
      </c>
      <c r="J1158" s="3" t="s">
        <v>62</v>
      </c>
      <c r="K1158" s="3" t="s">
        <v>64</v>
      </c>
      <c r="L1158" s="2" t="s">
        <v>10454</v>
      </c>
      <c r="M1158" s="2" t="s">
        <v>10754</v>
      </c>
      <c r="N1158" s="3" t="s">
        <v>220</v>
      </c>
      <c r="P1158" s="3" t="s">
        <v>66</v>
      </c>
      <c r="Q1158" s="2" t="s">
        <v>4253</v>
      </c>
      <c r="R1158" s="3" t="s">
        <v>67</v>
      </c>
      <c r="S1158" s="4">
        <v>25</v>
      </c>
      <c r="T1158" s="4">
        <v>49</v>
      </c>
      <c r="U1158" s="5" t="s">
        <v>10755</v>
      </c>
      <c r="V1158" s="5" t="s">
        <v>10755</v>
      </c>
      <c r="W1158" s="5" t="s">
        <v>69</v>
      </c>
      <c r="X1158" s="5" t="s">
        <v>69</v>
      </c>
      <c r="Y1158" s="4">
        <v>524</v>
      </c>
      <c r="Z1158" s="4">
        <v>23</v>
      </c>
      <c r="AA1158" s="4">
        <v>51</v>
      </c>
      <c r="AB1158" s="4">
        <v>1</v>
      </c>
      <c r="AC1158" s="4">
        <v>5</v>
      </c>
      <c r="AD1158" s="4">
        <v>109</v>
      </c>
      <c r="AE1158" s="4">
        <v>141</v>
      </c>
      <c r="AF1158" s="4">
        <v>0</v>
      </c>
      <c r="AG1158" s="4">
        <v>4</v>
      </c>
      <c r="AH1158" s="4">
        <v>99</v>
      </c>
      <c r="AI1158" s="4">
        <v>114</v>
      </c>
      <c r="AJ1158" s="4">
        <v>12</v>
      </c>
      <c r="AK1158" s="4">
        <v>25</v>
      </c>
      <c r="AL1158" s="4">
        <v>54</v>
      </c>
      <c r="AM1158" s="4">
        <v>60</v>
      </c>
      <c r="AN1158" s="4">
        <v>0</v>
      </c>
      <c r="AO1158" s="4">
        <v>5</v>
      </c>
      <c r="AP1158" s="4">
        <v>16</v>
      </c>
      <c r="AQ1158" s="4">
        <v>33</v>
      </c>
      <c r="AR1158" s="3" t="s">
        <v>63</v>
      </c>
      <c r="AS1158" s="3" t="s">
        <v>63</v>
      </c>
      <c r="AT1158" s="3" t="s">
        <v>62</v>
      </c>
      <c r="AU1158" s="6" t="str">
        <f>HYPERLINK("http://catalog.hathitrust.org/Record/002731847","HathiTrust Record")</f>
        <v>HathiTrust Record</v>
      </c>
      <c r="AV1158" s="6" t="str">
        <f>HYPERLINK("http://mcgill.on.worldcat.org/oclc/25370331","Catalog Record")</f>
        <v>Catalog Record</v>
      </c>
      <c r="AW1158" s="6" t="str">
        <f>HYPERLINK("http://www.worldcat.org/oclc/25370331","WorldCat Record")</f>
        <v>WorldCat Record</v>
      </c>
      <c r="AX1158" s="3" t="s">
        <v>10756</v>
      </c>
      <c r="AY1158" s="3" t="s">
        <v>10757</v>
      </c>
      <c r="AZ1158" s="3" t="s">
        <v>10758</v>
      </c>
      <c r="BA1158" s="3" t="s">
        <v>10758</v>
      </c>
      <c r="BB1158" s="3" t="s">
        <v>10762</v>
      </c>
      <c r="BC1158" s="3" t="s">
        <v>82</v>
      </c>
      <c r="BD1158" s="3" t="s">
        <v>70</v>
      </c>
      <c r="BE1158" s="3" t="s">
        <v>10760</v>
      </c>
      <c r="BF1158" s="3" t="s">
        <v>10762</v>
      </c>
      <c r="BG1158" s="3" t="s">
        <v>10763</v>
      </c>
    </row>
    <row r="1159" spans="1:59" ht="75" x14ac:dyDescent="0.25">
      <c r="A1159" s="2" t="s">
        <v>59</v>
      </c>
      <c r="B1159" s="2" t="s">
        <v>60</v>
      </c>
      <c r="C1159" s="2" t="s">
        <v>10764</v>
      </c>
      <c r="D1159" s="2" t="s">
        <v>10765</v>
      </c>
      <c r="E1159" s="2" t="s">
        <v>10766</v>
      </c>
      <c r="F1159" s="3" t="s">
        <v>10767</v>
      </c>
      <c r="G1159" s="3" t="s">
        <v>63</v>
      </c>
      <c r="I1159" s="3" t="s">
        <v>62</v>
      </c>
      <c r="J1159" s="3" t="s">
        <v>63</v>
      </c>
      <c r="K1159" s="3" t="s">
        <v>64</v>
      </c>
      <c r="L1159" s="2" t="s">
        <v>4190</v>
      </c>
      <c r="M1159" s="2" t="s">
        <v>10768</v>
      </c>
      <c r="N1159" s="3" t="s">
        <v>2043</v>
      </c>
      <c r="P1159" s="3" t="s">
        <v>66</v>
      </c>
      <c r="Q1159" s="2" t="s">
        <v>10769</v>
      </c>
      <c r="R1159" s="3" t="s">
        <v>67</v>
      </c>
      <c r="S1159" s="4">
        <v>8</v>
      </c>
      <c r="T1159" s="4">
        <v>22</v>
      </c>
      <c r="U1159" s="5" t="s">
        <v>4990</v>
      </c>
      <c r="V1159" s="5" t="s">
        <v>4990</v>
      </c>
      <c r="W1159" s="5" t="s">
        <v>69</v>
      </c>
      <c r="X1159" s="5" t="s">
        <v>69</v>
      </c>
      <c r="Y1159" s="4">
        <v>32</v>
      </c>
      <c r="Z1159" s="4">
        <v>1</v>
      </c>
      <c r="AA1159" s="4">
        <v>29</v>
      </c>
      <c r="AB1159" s="4">
        <v>1</v>
      </c>
      <c r="AC1159" s="4">
        <v>3</v>
      </c>
      <c r="AD1159" s="4">
        <v>5</v>
      </c>
      <c r="AE1159" s="4">
        <v>120</v>
      </c>
      <c r="AF1159" s="4">
        <v>0</v>
      </c>
      <c r="AG1159" s="4">
        <v>2</v>
      </c>
      <c r="AH1159" s="4">
        <v>5</v>
      </c>
      <c r="AI1159" s="4">
        <v>106</v>
      </c>
      <c r="AJ1159" s="4">
        <v>0</v>
      </c>
      <c r="AK1159" s="4">
        <v>21</v>
      </c>
      <c r="AL1159" s="4">
        <v>3</v>
      </c>
      <c r="AM1159" s="4">
        <v>56</v>
      </c>
      <c r="AN1159" s="4">
        <v>0</v>
      </c>
      <c r="AO1159" s="4">
        <v>0</v>
      </c>
      <c r="AP1159" s="4">
        <v>0</v>
      </c>
      <c r="AQ1159" s="4">
        <v>21</v>
      </c>
      <c r="AR1159" s="3" t="s">
        <v>63</v>
      </c>
      <c r="AS1159" s="3" t="s">
        <v>63</v>
      </c>
      <c r="AT1159" s="3" t="s">
        <v>63</v>
      </c>
      <c r="AV1159" s="6" t="str">
        <f>HYPERLINK("http://mcgill.on.worldcat.org/oclc/22442332","Catalog Record")</f>
        <v>Catalog Record</v>
      </c>
      <c r="AW1159" s="6" t="str">
        <f>HYPERLINK("http://www.worldcat.org/oclc/22442332","WorldCat Record")</f>
        <v>WorldCat Record</v>
      </c>
      <c r="AX1159" s="3" t="s">
        <v>10770</v>
      </c>
      <c r="AY1159" s="3" t="s">
        <v>10771</v>
      </c>
      <c r="AZ1159" s="3" t="s">
        <v>10772</v>
      </c>
      <c r="BA1159" s="3" t="s">
        <v>10772</v>
      </c>
      <c r="BB1159" s="3" t="s">
        <v>10773</v>
      </c>
      <c r="BC1159" s="3" t="s">
        <v>82</v>
      </c>
      <c r="BD1159" s="3" t="s">
        <v>70</v>
      </c>
      <c r="BE1159" s="3" t="s">
        <v>10774</v>
      </c>
      <c r="BF1159" s="3" t="s">
        <v>10773</v>
      </c>
      <c r="BG1159" s="3" t="s">
        <v>10775</v>
      </c>
    </row>
    <row r="1160" spans="1:59" ht="75" x14ac:dyDescent="0.25">
      <c r="A1160" s="2" t="s">
        <v>59</v>
      </c>
      <c r="B1160" s="2" t="s">
        <v>60</v>
      </c>
      <c r="C1160" s="2" t="s">
        <v>10764</v>
      </c>
      <c r="D1160" s="2" t="s">
        <v>10765</v>
      </c>
      <c r="E1160" s="2" t="s">
        <v>10766</v>
      </c>
      <c r="G1160" s="3" t="s">
        <v>63</v>
      </c>
      <c r="I1160" s="3" t="s">
        <v>62</v>
      </c>
      <c r="J1160" s="3" t="s">
        <v>63</v>
      </c>
      <c r="K1160" s="3" t="s">
        <v>64</v>
      </c>
      <c r="L1160" s="2" t="s">
        <v>4190</v>
      </c>
      <c r="M1160" s="2" t="s">
        <v>10768</v>
      </c>
      <c r="N1160" s="3" t="s">
        <v>2043</v>
      </c>
      <c r="P1160" s="3" t="s">
        <v>66</v>
      </c>
      <c r="Q1160" s="2" t="s">
        <v>10769</v>
      </c>
      <c r="R1160" s="3" t="s">
        <v>67</v>
      </c>
      <c r="S1160" s="4">
        <v>14</v>
      </c>
      <c r="T1160" s="4">
        <v>22</v>
      </c>
      <c r="U1160" s="5" t="s">
        <v>4192</v>
      </c>
      <c r="V1160" s="5" t="s">
        <v>4990</v>
      </c>
      <c r="W1160" s="5" t="s">
        <v>69</v>
      </c>
      <c r="X1160" s="5" t="s">
        <v>69</v>
      </c>
      <c r="Y1160" s="4">
        <v>32</v>
      </c>
      <c r="Z1160" s="4">
        <v>1</v>
      </c>
      <c r="AA1160" s="4">
        <v>29</v>
      </c>
      <c r="AB1160" s="4">
        <v>1</v>
      </c>
      <c r="AC1160" s="4">
        <v>3</v>
      </c>
      <c r="AD1160" s="4">
        <v>5</v>
      </c>
      <c r="AE1160" s="4">
        <v>120</v>
      </c>
      <c r="AF1160" s="4">
        <v>0</v>
      </c>
      <c r="AG1160" s="4">
        <v>2</v>
      </c>
      <c r="AH1160" s="4">
        <v>5</v>
      </c>
      <c r="AI1160" s="4">
        <v>106</v>
      </c>
      <c r="AJ1160" s="4">
        <v>0</v>
      </c>
      <c r="AK1160" s="4">
        <v>21</v>
      </c>
      <c r="AL1160" s="4">
        <v>3</v>
      </c>
      <c r="AM1160" s="4">
        <v>56</v>
      </c>
      <c r="AN1160" s="4">
        <v>0</v>
      </c>
      <c r="AO1160" s="4">
        <v>0</v>
      </c>
      <c r="AP1160" s="4">
        <v>0</v>
      </c>
      <c r="AQ1160" s="4">
        <v>21</v>
      </c>
      <c r="AR1160" s="3" t="s">
        <v>63</v>
      </c>
      <c r="AS1160" s="3" t="s">
        <v>63</v>
      </c>
      <c r="AT1160" s="3" t="s">
        <v>63</v>
      </c>
      <c r="AV1160" s="6" t="str">
        <f>HYPERLINK("http://mcgill.on.worldcat.org/oclc/22442332","Catalog Record")</f>
        <v>Catalog Record</v>
      </c>
      <c r="AW1160" s="6" t="str">
        <f>HYPERLINK("http://www.worldcat.org/oclc/22442332","WorldCat Record")</f>
        <v>WorldCat Record</v>
      </c>
      <c r="AX1160" s="3" t="s">
        <v>10770</v>
      </c>
      <c r="AY1160" s="3" t="s">
        <v>10771</v>
      </c>
      <c r="AZ1160" s="3" t="s">
        <v>10772</v>
      </c>
      <c r="BA1160" s="3" t="s">
        <v>10772</v>
      </c>
      <c r="BB1160" s="3" t="s">
        <v>10776</v>
      </c>
      <c r="BC1160" s="3" t="s">
        <v>82</v>
      </c>
      <c r="BD1160" s="3" t="s">
        <v>538</v>
      </c>
      <c r="BE1160" s="3" t="s">
        <v>10774</v>
      </c>
      <c r="BF1160" s="3" t="s">
        <v>10776</v>
      </c>
      <c r="BG1160" s="3" t="s">
        <v>10777</v>
      </c>
    </row>
    <row r="1161" spans="1:59" ht="60" x14ac:dyDescent="0.25">
      <c r="A1161" s="2" t="s">
        <v>59</v>
      </c>
      <c r="B1161" s="2" t="s">
        <v>60</v>
      </c>
      <c r="C1161" s="2" t="s">
        <v>10789</v>
      </c>
      <c r="D1161" s="2" t="s">
        <v>10790</v>
      </c>
      <c r="E1161" s="2" t="s">
        <v>10791</v>
      </c>
      <c r="G1161" s="3" t="s">
        <v>63</v>
      </c>
      <c r="I1161" s="3" t="s">
        <v>63</v>
      </c>
      <c r="J1161" s="3" t="s">
        <v>63</v>
      </c>
      <c r="K1161" s="3" t="s">
        <v>64</v>
      </c>
      <c r="L1161" s="2" t="s">
        <v>10454</v>
      </c>
      <c r="M1161" s="2" t="s">
        <v>10792</v>
      </c>
      <c r="N1161" s="3" t="s">
        <v>326</v>
      </c>
      <c r="P1161" s="3" t="s">
        <v>66</v>
      </c>
      <c r="Q1161" s="2" t="s">
        <v>9341</v>
      </c>
      <c r="R1161" s="3" t="s">
        <v>67</v>
      </c>
      <c r="S1161" s="4">
        <v>23</v>
      </c>
      <c r="T1161" s="4">
        <v>23</v>
      </c>
      <c r="U1161" s="5" t="s">
        <v>10793</v>
      </c>
      <c r="V1161" s="5" t="s">
        <v>10793</v>
      </c>
      <c r="W1161" s="5" t="s">
        <v>69</v>
      </c>
      <c r="X1161" s="5" t="s">
        <v>69</v>
      </c>
      <c r="Y1161" s="4">
        <v>257</v>
      </c>
      <c r="Z1161" s="4">
        <v>13</v>
      </c>
      <c r="AA1161" s="4">
        <v>40</v>
      </c>
      <c r="AB1161" s="4">
        <v>3</v>
      </c>
      <c r="AC1161" s="4">
        <v>5</v>
      </c>
      <c r="AD1161" s="4">
        <v>49</v>
      </c>
      <c r="AE1161" s="4">
        <v>85</v>
      </c>
      <c r="AF1161" s="4">
        <v>1</v>
      </c>
      <c r="AG1161" s="4">
        <v>1</v>
      </c>
      <c r="AH1161" s="4">
        <v>44</v>
      </c>
      <c r="AI1161" s="4">
        <v>74</v>
      </c>
      <c r="AJ1161" s="4">
        <v>7</v>
      </c>
      <c r="AK1161" s="4">
        <v>17</v>
      </c>
      <c r="AL1161" s="4">
        <v>33</v>
      </c>
      <c r="AM1161" s="4">
        <v>47</v>
      </c>
      <c r="AN1161" s="4">
        <v>0</v>
      </c>
      <c r="AO1161" s="4">
        <v>0</v>
      </c>
      <c r="AP1161" s="4">
        <v>7</v>
      </c>
      <c r="AQ1161" s="4">
        <v>19</v>
      </c>
      <c r="AR1161" s="3" t="s">
        <v>63</v>
      </c>
      <c r="AS1161" s="3" t="s">
        <v>63</v>
      </c>
      <c r="AT1161" s="3" t="s">
        <v>63</v>
      </c>
      <c r="AV1161" s="6" t="str">
        <f>HYPERLINK("http://mcgill.on.worldcat.org/oclc/263294164","Catalog Record")</f>
        <v>Catalog Record</v>
      </c>
      <c r="AW1161" s="6" t="str">
        <f>HYPERLINK("http://www.worldcat.org/oclc/263294164","WorldCat Record")</f>
        <v>WorldCat Record</v>
      </c>
      <c r="AX1161" s="3" t="s">
        <v>10794</v>
      </c>
      <c r="AY1161" s="3" t="s">
        <v>10795</v>
      </c>
      <c r="AZ1161" s="3" t="s">
        <v>10796</v>
      </c>
      <c r="BA1161" s="3" t="s">
        <v>10796</v>
      </c>
      <c r="BB1161" s="3" t="s">
        <v>10797</v>
      </c>
      <c r="BC1161" s="3" t="s">
        <v>82</v>
      </c>
      <c r="BD1161" s="3" t="s">
        <v>538</v>
      </c>
      <c r="BE1161" s="3" t="s">
        <v>10798</v>
      </c>
      <c r="BF1161" s="3" t="s">
        <v>10797</v>
      </c>
      <c r="BG1161" s="3" t="s">
        <v>10799</v>
      </c>
    </row>
    <row r="1162" spans="1:59" ht="60" x14ac:dyDescent="0.25">
      <c r="A1162" s="2" t="s">
        <v>59</v>
      </c>
      <c r="B1162" s="2" t="s">
        <v>60</v>
      </c>
      <c r="C1162" s="2" t="s">
        <v>10778</v>
      </c>
      <c r="D1162" s="2" t="s">
        <v>10779</v>
      </c>
      <c r="E1162" s="2" t="s">
        <v>10780</v>
      </c>
      <c r="G1162" s="3" t="s">
        <v>63</v>
      </c>
      <c r="I1162" s="3" t="s">
        <v>63</v>
      </c>
      <c r="J1162" s="3" t="s">
        <v>63</v>
      </c>
      <c r="K1162" s="3" t="s">
        <v>64</v>
      </c>
      <c r="L1162" s="2" t="s">
        <v>10454</v>
      </c>
      <c r="M1162" s="2" t="s">
        <v>10781</v>
      </c>
      <c r="N1162" s="3" t="s">
        <v>455</v>
      </c>
      <c r="P1162" s="3" t="s">
        <v>90</v>
      </c>
      <c r="Q1162" s="2" t="s">
        <v>10782</v>
      </c>
      <c r="R1162" s="3" t="s">
        <v>67</v>
      </c>
      <c r="S1162" s="4">
        <v>2</v>
      </c>
      <c r="T1162" s="4">
        <v>2</v>
      </c>
      <c r="U1162" s="5" t="s">
        <v>10783</v>
      </c>
      <c r="V1162" s="5" t="s">
        <v>10783</v>
      </c>
      <c r="W1162" s="5" t="s">
        <v>69</v>
      </c>
      <c r="X1162" s="5" t="s">
        <v>69</v>
      </c>
      <c r="Y1162" s="4">
        <v>3</v>
      </c>
      <c r="Z1162" s="4">
        <v>1</v>
      </c>
      <c r="AA1162" s="4">
        <v>1</v>
      </c>
      <c r="AB1162" s="4">
        <v>1</v>
      </c>
      <c r="AC1162" s="4">
        <v>1</v>
      </c>
      <c r="AD1162" s="4">
        <v>1</v>
      </c>
      <c r="AE1162" s="4">
        <v>6</v>
      </c>
      <c r="AF1162" s="4">
        <v>0</v>
      </c>
      <c r="AG1162" s="4">
        <v>0</v>
      </c>
      <c r="AH1162" s="4">
        <v>1</v>
      </c>
      <c r="AI1162" s="4">
        <v>6</v>
      </c>
      <c r="AJ1162" s="4">
        <v>0</v>
      </c>
      <c r="AK1162" s="4">
        <v>0</v>
      </c>
      <c r="AL1162" s="4">
        <v>1</v>
      </c>
      <c r="AM1162" s="4">
        <v>2</v>
      </c>
      <c r="AN1162" s="4">
        <v>0</v>
      </c>
      <c r="AO1162" s="4">
        <v>0</v>
      </c>
      <c r="AP1162" s="4">
        <v>0</v>
      </c>
      <c r="AQ1162" s="4">
        <v>0</v>
      </c>
      <c r="AR1162" s="3" t="s">
        <v>63</v>
      </c>
      <c r="AS1162" s="3" t="s">
        <v>63</v>
      </c>
      <c r="AT1162" s="3" t="s">
        <v>63</v>
      </c>
      <c r="AV1162" s="6" t="str">
        <f>HYPERLINK("http://mcgill.on.worldcat.org/oclc/11284787","Catalog Record")</f>
        <v>Catalog Record</v>
      </c>
      <c r="AW1162" s="6" t="str">
        <f>HYPERLINK("http://www.worldcat.org/oclc/11284787","WorldCat Record")</f>
        <v>WorldCat Record</v>
      </c>
      <c r="AX1162" s="3" t="s">
        <v>10784</v>
      </c>
      <c r="AY1162" s="3" t="s">
        <v>10785</v>
      </c>
      <c r="AZ1162" s="3" t="s">
        <v>10786</v>
      </c>
      <c r="BA1162" s="3" t="s">
        <v>10786</v>
      </c>
      <c r="BB1162" s="3" t="s">
        <v>10787</v>
      </c>
      <c r="BC1162" s="3" t="s">
        <v>82</v>
      </c>
      <c r="BD1162" s="3" t="s">
        <v>70</v>
      </c>
      <c r="BF1162" s="3" t="s">
        <v>10787</v>
      </c>
      <c r="BG1162" s="3" t="s">
        <v>10788</v>
      </c>
    </row>
    <row r="1163" spans="1:59" ht="60" x14ac:dyDescent="0.25">
      <c r="A1163" s="2" t="s">
        <v>59</v>
      </c>
      <c r="B1163" s="2" t="s">
        <v>60</v>
      </c>
      <c r="C1163" s="2" t="s">
        <v>10800</v>
      </c>
      <c r="D1163" s="2" t="s">
        <v>10801</v>
      </c>
      <c r="E1163" s="2" t="s">
        <v>10802</v>
      </c>
      <c r="G1163" s="3" t="s">
        <v>63</v>
      </c>
      <c r="I1163" s="3" t="s">
        <v>63</v>
      </c>
      <c r="J1163" s="3" t="s">
        <v>63</v>
      </c>
      <c r="K1163" s="3" t="s">
        <v>64</v>
      </c>
      <c r="L1163" s="2" t="s">
        <v>10454</v>
      </c>
      <c r="M1163" s="2" t="s">
        <v>10803</v>
      </c>
      <c r="N1163" s="3" t="s">
        <v>1916</v>
      </c>
      <c r="P1163" s="3" t="s">
        <v>90</v>
      </c>
      <c r="R1163" s="3" t="s">
        <v>67</v>
      </c>
      <c r="S1163" s="4">
        <v>2</v>
      </c>
      <c r="T1163" s="4">
        <v>2</v>
      </c>
      <c r="U1163" s="5" t="s">
        <v>10804</v>
      </c>
      <c r="V1163" s="5" t="s">
        <v>10804</v>
      </c>
      <c r="W1163" s="5" t="s">
        <v>69</v>
      </c>
      <c r="X1163" s="5" t="s">
        <v>69</v>
      </c>
      <c r="Y1163" s="4">
        <v>8</v>
      </c>
      <c r="Z1163" s="4">
        <v>1</v>
      </c>
      <c r="AA1163" s="4">
        <v>1</v>
      </c>
      <c r="AB1163" s="4">
        <v>1</v>
      </c>
      <c r="AC1163" s="4">
        <v>1</v>
      </c>
      <c r="AD1163" s="4">
        <v>2</v>
      </c>
      <c r="AE1163" s="4">
        <v>2</v>
      </c>
      <c r="AF1163" s="4">
        <v>0</v>
      </c>
      <c r="AG1163" s="4">
        <v>0</v>
      </c>
      <c r="AH1163" s="4">
        <v>2</v>
      </c>
      <c r="AI1163" s="4">
        <v>2</v>
      </c>
      <c r="AJ1163" s="4">
        <v>0</v>
      </c>
      <c r="AK1163" s="4">
        <v>0</v>
      </c>
      <c r="AL1163" s="4">
        <v>2</v>
      </c>
      <c r="AM1163" s="4">
        <v>2</v>
      </c>
      <c r="AN1163" s="4">
        <v>0</v>
      </c>
      <c r="AO1163" s="4">
        <v>0</v>
      </c>
      <c r="AP1163" s="4">
        <v>0</v>
      </c>
      <c r="AQ1163" s="4">
        <v>0</v>
      </c>
      <c r="AR1163" s="3" t="s">
        <v>63</v>
      </c>
      <c r="AS1163" s="3" t="s">
        <v>63</v>
      </c>
      <c r="AT1163" s="3" t="s">
        <v>62</v>
      </c>
      <c r="AU1163" s="6" t="str">
        <f>HYPERLINK("http://catalog.hathitrust.org/Record/101877712","HathiTrust Record")</f>
        <v>HathiTrust Record</v>
      </c>
      <c r="AV1163" s="6" t="str">
        <f>HYPERLINK("http://mcgill.on.worldcat.org/oclc/14282628","Catalog Record")</f>
        <v>Catalog Record</v>
      </c>
      <c r="AW1163" s="6" t="str">
        <f>HYPERLINK("http://www.worldcat.org/oclc/14282628","WorldCat Record")</f>
        <v>WorldCat Record</v>
      </c>
      <c r="AX1163" s="3" t="s">
        <v>10805</v>
      </c>
      <c r="AY1163" s="3" t="s">
        <v>10806</v>
      </c>
      <c r="AZ1163" s="3" t="s">
        <v>10807</v>
      </c>
      <c r="BA1163" s="3" t="s">
        <v>10807</v>
      </c>
      <c r="BB1163" s="3" t="s">
        <v>10808</v>
      </c>
      <c r="BC1163" s="3" t="s">
        <v>82</v>
      </c>
      <c r="BD1163" s="3" t="s">
        <v>70</v>
      </c>
      <c r="BF1163" s="3" t="s">
        <v>10808</v>
      </c>
      <c r="BG1163" s="3" t="s">
        <v>10809</v>
      </c>
    </row>
    <row r="1164" spans="1:59" ht="60" x14ac:dyDescent="0.25">
      <c r="A1164" s="2" t="s">
        <v>59</v>
      </c>
      <c r="B1164" s="2" t="s">
        <v>60</v>
      </c>
      <c r="C1164" s="2" t="s">
        <v>10810</v>
      </c>
      <c r="D1164" s="2" t="s">
        <v>10811</v>
      </c>
      <c r="E1164" s="2" t="s">
        <v>10812</v>
      </c>
      <c r="G1164" s="3" t="s">
        <v>63</v>
      </c>
      <c r="I1164" s="3" t="s">
        <v>63</v>
      </c>
      <c r="J1164" s="3" t="s">
        <v>63</v>
      </c>
      <c r="K1164" s="3" t="s">
        <v>64</v>
      </c>
      <c r="L1164" s="2" t="s">
        <v>10454</v>
      </c>
      <c r="M1164" s="2" t="s">
        <v>10813</v>
      </c>
      <c r="N1164" s="3" t="s">
        <v>693</v>
      </c>
      <c r="P1164" s="3" t="s">
        <v>90</v>
      </c>
      <c r="R1164" s="3" t="s">
        <v>67</v>
      </c>
      <c r="S1164" s="4">
        <v>12</v>
      </c>
      <c r="T1164" s="4">
        <v>12</v>
      </c>
      <c r="U1164" s="5" t="s">
        <v>10814</v>
      </c>
      <c r="V1164" s="5" t="s">
        <v>10814</v>
      </c>
      <c r="W1164" s="5" t="s">
        <v>69</v>
      </c>
      <c r="X1164" s="5" t="s">
        <v>69</v>
      </c>
      <c r="Y1164" s="4">
        <v>2</v>
      </c>
      <c r="Z1164" s="4">
        <v>1</v>
      </c>
      <c r="AA1164" s="4">
        <v>9</v>
      </c>
      <c r="AB1164" s="4">
        <v>1</v>
      </c>
      <c r="AC1164" s="4">
        <v>2</v>
      </c>
      <c r="AD1164" s="4">
        <v>0</v>
      </c>
      <c r="AE1164" s="4">
        <v>33</v>
      </c>
      <c r="AF1164" s="4">
        <v>0</v>
      </c>
      <c r="AG1164" s="4">
        <v>0</v>
      </c>
      <c r="AH1164" s="4">
        <v>0</v>
      </c>
      <c r="AI1164" s="4">
        <v>32</v>
      </c>
      <c r="AJ1164" s="4">
        <v>0</v>
      </c>
      <c r="AK1164" s="4">
        <v>2</v>
      </c>
      <c r="AL1164" s="4">
        <v>0</v>
      </c>
      <c r="AM1164" s="4">
        <v>24</v>
      </c>
      <c r="AN1164" s="4">
        <v>0</v>
      </c>
      <c r="AO1164" s="4">
        <v>2</v>
      </c>
      <c r="AP1164" s="4">
        <v>0</v>
      </c>
      <c r="AQ1164" s="4">
        <v>2</v>
      </c>
      <c r="AR1164" s="3" t="s">
        <v>63</v>
      </c>
      <c r="AS1164" s="3" t="s">
        <v>63</v>
      </c>
      <c r="AT1164" s="3" t="s">
        <v>63</v>
      </c>
      <c r="AV1164" s="6" t="str">
        <f>HYPERLINK("http://mcgill.on.worldcat.org/oclc/187951489","Catalog Record")</f>
        <v>Catalog Record</v>
      </c>
      <c r="AW1164" s="6" t="str">
        <f>HYPERLINK("http://www.worldcat.org/oclc/187951489","WorldCat Record")</f>
        <v>WorldCat Record</v>
      </c>
      <c r="AX1164" s="3" t="s">
        <v>10815</v>
      </c>
      <c r="AY1164" s="3" t="s">
        <v>10816</v>
      </c>
      <c r="AZ1164" s="3" t="s">
        <v>10817</v>
      </c>
      <c r="BA1164" s="3" t="s">
        <v>10817</v>
      </c>
      <c r="BB1164" s="3" t="s">
        <v>10818</v>
      </c>
      <c r="BC1164" s="3" t="s">
        <v>82</v>
      </c>
      <c r="BD1164" s="3" t="s">
        <v>538</v>
      </c>
      <c r="BE1164" s="3" t="s">
        <v>10819</v>
      </c>
      <c r="BF1164" s="3" t="s">
        <v>10818</v>
      </c>
      <c r="BG1164" s="3" t="s">
        <v>10820</v>
      </c>
    </row>
    <row r="1165" spans="1:59" ht="60" x14ac:dyDescent="0.25">
      <c r="A1165" s="2" t="s">
        <v>59</v>
      </c>
      <c r="B1165" s="2" t="s">
        <v>60</v>
      </c>
      <c r="C1165" s="2" t="s">
        <v>10821</v>
      </c>
      <c r="D1165" s="2" t="s">
        <v>10822</v>
      </c>
      <c r="E1165" s="2" t="s">
        <v>10823</v>
      </c>
      <c r="G1165" s="3" t="s">
        <v>63</v>
      </c>
      <c r="I1165" s="3" t="s">
        <v>63</v>
      </c>
      <c r="J1165" s="3" t="s">
        <v>63</v>
      </c>
      <c r="K1165" s="3" t="s">
        <v>64</v>
      </c>
      <c r="L1165" s="2" t="s">
        <v>10454</v>
      </c>
      <c r="M1165" s="2" t="s">
        <v>10824</v>
      </c>
      <c r="N1165" s="3" t="s">
        <v>2535</v>
      </c>
      <c r="P1165" s="3" t="s">
        <v>90</v>
      </c>
      <c r="R1165" s="3" t="s">
        <v>67</v>
      </c>
      <c r="S1165" s="4">
        <v>2</v>
      </c>
      <c r="T1165" s="4">
        <v>2</v>
      </c>
      <c r="U1165" s="5" t="s">
        <v>1128</v>
      </c>
      <c r="V1165" s="5" t="s">
        <v>1128</v>
      </c>
      <c r="W1165" s="5" t="s">
        <v>69</v>
      </c>
      <c r="X1165" s="5" t="s">
        <v>69</v>
      </c>
      <c r="Y1165" s="4">
        <v>14</v>
      </c>
      <c r="Z1165" s="4">
        <v>2</v>
      </c>
      <c r="AA1165" s="4">
        <v>2</v>
      </c>
      <c r="AB1165" s="4">
        <v>1</v>
      </c>
      <c r="AC1165" s="4">
        <v>1</v>
      </c>
      <c r="AD1165" s="4">
        <v>9</v>
      </c>
      <c r="AE1165" s="4">
        <v>9</v>
      </c>
      <c r="AF1165" s="4">
        <v>0</v>
      </c>
      <c r="AG1165" s="4">
        <v>0</v>
      </c>
      <c r="AH1165" s="4">
        <v>8</v>
      </c>
      <c r="AI1165" s="4">
        <v>8</v>
      </c>
      <c r="AJ1165" s="4">
        <v>1</v>
      </c>
      <c r="AK1165" s="4">
        <v>1</v>
      </c>
      <c r="AL1165" s="4">
        <v>6</v>
      </c>
      <c r="AM1165" s="4">
        <v>6</v>
      </c>
      <c r="AN1165" s="4">
        <v>0</v>
      </c>
      <c r="AO1165" s="4">
        <v>0</v>
      </c>
      <c r="AP1165" s="4">
        <v>1</v>
      </c>
      <c r="AQ1165" s="4">
        <v>1</v>
      </c>
      <c r="AR1165" s="3" t="s">
        <v>63</v>
      </c>
      <c r="AS1165" s="3" t="s">
        <v>63</v>
      </c>
      <c r="AT1165" s="3" t="s">
        <v>63</v>
      </c>
      <c r="AV1165" s="6" t="str">
        <f>HYPERLINK("http://mcgill.on.worldcat.org/oclc/6168141","Catalog Record")</f>
        <v>Catalog Record</v>
      </c>
      <c r="AW1165" s="6" t="str">
        <f>HYPERLINK("http://www.worldcat.org/oclc/6168141","WorldCat Record")</f>
        <v>WorldCat Record</v>
      </c>
      <c r="AX1165" s="3" t="s">
        <v>10825</v>
      </c>
      <c r="AY1165" s="3" t="s">
        <v>10826</v>
      </c>
      <c r="AZ1165" s="3" t="s">
        <v>10827</v>
      </c>
      <c r="BA1165" s="3" t="s">
        <v>10827</v>
      </c>
      <c r="BB1165" s="3" t="s">
        <v>10828</v>
      </c>
      <c r="BC1165" s="3" t="s">
        <v>82</v>
      </c>
      <c r="BD1165" s="3" t="s">
        <v>70</v>
      </c>
      <c r="BF1165" s="3" t="s">
        <v>10828</v>
      </c>
      <c r="BG1165" s="3" t="s">
        <v>10829</v>
      </c>
    </row>
    <row r="1166" spans="1:59" ht="75" x14ac:dyDescent="0.25">
      <c r="A1166" s="2" t="s">
        <v>59</v>
      </c>
      <c r="B1166" s="2" t="s">
        <v>60</v>
      </c>
      <c r="C1166" s="2" t="s">
        <v>10830</v>
      </c>
      <c r="D1166" s="2" t="s">
        <v>10831</v>
      </c>
      <c r="E1166" s="2" t="s">
        <v>10832</v>
      </c>
      <c r="G1166" s="3" t="s">
        <v>63</v>
      </c>
      <c r="I1166" s="3" t="s">
        <v>63</v>
      </c>
      <c r="J1166" s="3" t="s">
        <v>62</v>
      </c>
      <c r="K1166" s="3" t="s">
        <v>64</v>
      </c>
      <c r="L1166" s="2" t="s">
        <v>10454</v>
      </c>
      <c r="M1166" s="2" t="s">
        <v>10833</v>
      </c>
      <c r="N1166" s="3" t="s">
        <v>2459</v>
      </c>
      <c r="P1166" s="3" t="s">
        <v>66</v>
      </c>
      <c r="Q1166" s="2" t="s">
        <v>9341</v>
      </c>
      <c r="R1166" s="3" t="s">
        <v>67</v>
      </c>
      <c r="S1166" s="4">
        <v>8</v>
      </c>
      <c r="T1166" s="4">
        <v>8</v>
      </c>
      <c r="U1166" s="5" t="s">
        <v>10834</v>
      </c>
      <c r="V1166" s="5" t="s">
        <v>10834</v>
      </c>
      <c r="W1166" s="5" t="s">
        <v>69</v>
      </c>
      <c r="X1166" s="5" t="s">
        <v>69</v>
      </c>
      <c r="Y1166" s="4">
        <v>256</v>
      </c>
      <c r="Z1166" s="4">
        <v>20</v>
      </c>
      <c r="AA1166" s="4">
        <v>136</v>
      </c>
      <c r="AB1166" s="4">
        <v>2</v>
      </c>
      <c r="AC1166" s="4">
        <v>18</v>
      </c>
      <c r="AD1166" s="4">
        <v>63</v>
      </c>
      <c r="AE1166" s="4">
        <v>161</v>
      </c>
      <c r="AF1166" s="4">
        <v>0</v>
      </c>
      <c r="AG1166" s="4">
        <v>5</v>
      </c>
      <c r="AH1166" s="4">
        <v>57</v>
      </c>
      <c r="AI1166" s="4">
        <v>115</v>
      </c>
      <c r="AJ1166" s="4">
        <v>10</v>
      </c>
      <c r="AK1166" s="4">
        <v>27</v>
      </c>
      <c r="AL1166" s="4">
        <v>37</v>
      </c>
      <c r="AM1166" s="4">
        <v>64</v>
      </c>
      <c r="AN1166" s="4">
        <v>0</v>
      </c>
      <c r="AO1166" s="4">
        <v>11</v>
      </c>
      <c r="AP1166" s="4">
        <v>11</v>
      </c>
      <c r="AQ1166" s="4">
        <v>51</v>
      </c>
      <c r="AR1166" s="3" t="s">
        <v>63</v>
      </c>
      <c r="AS1166" s="3" t="s">
        <v>63</v>
      </c>
      <c r="AT1166" s="3" t="s">
        <v>62</v>
      </c>
      <c r="AU1166" s="6" t="str">
        <f>HYPERLINK("http://catalog.hathitrust.org/Record/005810317","HathiTrust Record")</f>
        <v>HathiTrust Record</v>
      </c>
      <c r="AV1166" s="6" t="str">
        <f>HYPERLINK("http://mcgill.on.worldcat.org/oclc/181925974","Catalog Record")</f>
        <v>Catalog Record</v>
      </c>
      <c r="AW1166" s="6" t="str">
        <f>HYPERLINK("http://www.worldcat.org/oclc/181925974","WorldCat Record")</f>
        <v>WorldCat Record</v>
      </c>
      <c r="AX1166" s="3" t="s">
        <v>10835</v>
      </c>
      <c r="AY1166" s="3" t="s">
        <v>10836</v>
      </c>
      <c r="AZ1166" s="3" t="s">
        <v>10837</v>
      </c>
      <c r="BA1166" s="3" t="s">
        <v>10837</v>
      </c>
      <c r="BB1166" s="3" t="s">
        <v>10838</v>
      </c>
      <c r="BC1166" s="3" t="s">
        <v>82</v>
      </c>
      <c r="BD1166" s="3" t="s">
        <v>70</v>
      </c>
      <c r="BE1166" s="3" t="s">
        <v>10839</v>
      </c>
      <c r="BF1166" s="3" t="s">
        <v>10838</v>
      </c>
      <c r="BG1166" s="3" t="s">
        <v>10840</v>
      </c>
    </row>
    <row r="1167" spans="1:59" ht="75" x14ac:dyDescent="0.25">
      <c r="A1167" s="2" t="s">
        <v>59</v>
      </c>
      <c r="B1167" s="2" t="s">
        <v>60</v>
      </c>
      <c r="C1167" s="2" t="s">
        <v>10841</v>
      </c>
      <c r="D1167" s="2" t="s">
        <v>10842</v>
      </c>
      <c r="E1167" s="2" t="s">
        <v>10843</v>
      </c>
      <c r="G1167" s="3" t="s">
        <v>63</v>
      </c>
      <c r="I1167" s="3" t="s">
        <v>62</v>
      </c>
      <c r="J1167" s="3" t="s">
        <v>63</v>
      </c>
      <c r="K1167" s="3" t="s">
        <v>64</v>
      </c>
      <c r="M1167" s="2" t="s">
        <v>10844</v>
      </c>
      <c r="N1167" s="3" t="s">
        <v>274</v>
      </c>
      <c r="P1167" s="3" t="s">
        <v>66</v>
      </c>
      <c r="Q1167" s="2" t="s">
        <v>10845</v>
      </c>
      <c r="R1167" s="3" t="s">
        <v>67</v>
      </c>
      <c r="S1167" s="4">
        <v>1</v>
      </c>
      <c r="T1167" s="4">
        <v>5</v>
      </c>
      <c r="U1167" s="5" t="s">
        <v>10846</v>
      </c>
      <c r="V1167" s="5" t="s">
        <v>10834</v>
      </c>
      <c r="W1167" s="5" t="s">
        <v>69</v>
      </c>
      <c r="X1167" s="5" t="s">
        <v>69</v>
      </c>
      <c r="Y1167" s="4">
        <v>237</v>
      </c>
      <c r="Z1167" s="4">
        <v>17</v>
      </c>
      <c r="AA1167" s="4">
        <v>18</v>
      </c>
      <c r="AB1167" s="4">
        <v>1</v>
      </c>
      <c r="AC1167" s="4">
        <v>2</v>
      </c>
      <c r="AD1167" s="4">
        <v>91</v>
      </c>
      <c r="AE1167" s="4">
        <v>92</v>
      </c>
      <c r="AF1167" s="4">
        <v>0</v>
      </c>
      <c r="AG1167" s="4">
        <v>1</v>
      </c>
      <c r="AH1167" s="4">
        <v>84</v>
      </c>
      <c r="AI1167" s="4">
        <v>85</v>
      </c>
      <c r="AJ1167" s="4">
        <v>14</v>
      </c>
      <c r="AK1167" s="4">
        <v>15</v>
      </c>
      <c r="AL1167" s="4">
        <v>49</v>
      </c>
      <c r="AM1167" s="4">
        <v>49</v>
      </c>
      <c r="AN1167" s="4">
        <v>0</v>
      </c>
      <c r="AO1167" s="4">
        <v>0</v>
      </c>
      <c r="AP1167" s="4">
        <v>15</v>
      </c>
      <c r="AQ1167" s="4">
        <v>16</v>
      </c>
      <c r="AR1167" s="3" t="s">
        <v>63</v>
      </c>
      <c r="AS1167" s="3" t="s">
        <v>63</v>
      </c>
      <c r="AT1167" s="3" t="s">
        <v>62</v>
      </c>
      <c r="AU1167" s="6" t="str">
        <f>HYPERLINK("http://catalog.hathitrust.org/Record/004042987","HathiTrust Record")</f>
        <v>HathiTrust Record</v>
      </c>
      <c r="AV1167" s="6" t="str">
        <f>HYPERLINK("http://mcgill.on.worldcat.org/oclc/41143036","Catalog Record")</f>
        <v>Catalog Record</v>
      </c>
      <c r="AW1167" s="6" t="str">
        <f>HYPERLINK("http://www.worldcat.org/oclc/41143036","WorldCat Record")</f>
        <v>WorldCat Record</v>
      </c>
      <c r="AX1167" s="3" t="s">
        <v>10847</v>
      </c>
      <c r="AY1167" s="3" t="s">
        <v>10848</v>
      </c>
      <c r="AZ1167" s="3" t="s">
        <v>10849</v>
      </c>
      <c r="BA1167" s="3" t="s">
        <v>10849</v>
      </c>
      <c r="BB1167" s="3" t="s">
        <v>10850</v>
      </c>
      <c r="BC1167" s="3" t="s">
        <v>82</v>
      </c>
      <c r="BD1167" s="3" t="s">
        <v>70</v>
      </c>
      <c r="BE1167" s="3" t="s">
        <v>10851</v>
      </c>
      <c r="BF1167" s="3" t="s">
        <v>10850</v>
      </c>
      <c r="BG1167" s="3" t="s">
        <v>10852</v>
      </c>
    </row>
    <row r="1168" spans="1:59" ht="75" x14ac:dyDescent="0.25">
      <c r="A1168" s="2" t="s">
        <v>59</v>
      </c>
      <c r="B1168" s="2" t="s">
        <v>60</v>
      </c>
      <c r="C1168" s="2" t="s">
        <v>10841</v>
      </c>
      <c r="D1168" s="2" t="s">
        <v>10842</v>
      </c>
      <c r="E1168" s="2" t="s">
        <v>10843</v>
      </c>
      <c r="G1168" s="3" t="s">
        <v>63</v>
      </c>
      <c r="I1168" s="3" t="s">
        <v>62</v>
      </c>
      <c r="J1168" s="3" t="s">
        <v>63</v>
      </c>
      <c r="K1168" s="3" t="s">
        <v>64</v>
      </c>
      <c r="M1168" s="2" t="s">
        <v>10844</v>
      </c>
      <c r="N1168" s="3" t="s">
        <v>274</v>
      </c>
      <c r="P1168" s="3" t="s">
        <v>66</v>
      </c>
      <c r="Q1168" s="2" t="s">
        <v>10845</v>
      </c>
      <c r="R1168" s="3" t="s">
        <v>67</v>
      </c>
      <c r="S1168" s="4">
        <v>4</v>
      </c>
      <c r="T1168" s="4">
        <v>5</v>
      </c>
      <c r="U1168" s="5" t="s">
        <v>10834</v>
      </c>
      <c r="V1168" s="5" t="s">
        <v>10834</v>
      </c>
      <c r="W1168" s="5" t="s">
        <v>69</v>
      </c>
      <c r="X1168" s="5" t="s">
        <v>69</v>
      </c>
      <c r="Y1168" s="4">
        <v>237</v>
      </c>
      <c r="Z1168" s="4">
        <v>17</v>
      </c>
      <c r="AA1168" s="4">
        <v>18</v>
      </c>
      <c r="AB1168" s="4">
        <v>1</v>
      </c>
      <c r="AC1168" s="4">
        <v>2</v>
      </c>
      <c r="AD1168" s="4">
        <v>91</v>
      </c>
      <c r="AE1168" s="4">
        <v>92</v>
      </c>
      <c r="AF1168" s="4">
        <v>0</v>
      </c>
      <c r="AG1168" s="4">
        <v>1</v>
      </c>
      <c r="AH1168" s="4">
        <v>84</v>
      </c>
      <c r="AI1168" s="4">
        <v>85</v>
      </c>
      <c r="AJ1168" s="4">
        <v>14</v>
      </c>
      <c r="AK1168" s="4">
        <v>15</v>
      </c>
      <c r="AL1168" s="4">
        <v>49</v>
      </c>
      <c r="AM1168" s="4">
        <v>49</v>
      </c>
      <c r="AN1168" s="4">
        <v>0</v>
      </c>
      <c r="AO1168" s="4">
        <v>0</v>
      </c>
      <c r="AP1168" s="4">
        <v>15</v>
      </c>
      <c r="AQ1168" s="4">
        <v>16</v>
      </c>
      <c r="AR1168" s="3" t="s">
        <v>63</v>
      </c>
      <c r="AS1168" s="3" t="s">
        <v>63</v>
      </c>
      <c r="AT1168" s="3" t="s">
        <v>62</v>
      </c>
      <c r="AU1168" s="6" t="str">
        <f>HYPERLINK("http://catalog.hathitrust.org/Record/004042987","HathiTrust Record")</f>
        <v>HathiTrust Record</v>
      </c>
      <c r="AV1168" s="6" t="str">
        <f>HYPERLINK("http://mcgill.on.worldcat.org/oclc/41143036","Catalog Record")</f>
        <v>Catalog Record</v>
      </c>
      <c r="AW1168" s="6" t="str">
        <f>HYPERLINK("http://www.worldcat.org/oclc/41143036","WorldCat Record")</f>
        <v>WorldCat Record</v>
      </c>
      <c r="AX1168" s="3" t="s">
        <v>10847</v>
      </c>
      <c r="AY1168" s="3" t="s">
        <v>10848</v>
      </c>
      <c r="AZ1168" s="3" t="s">
        <v>10849</v>
      </c>
      <c r="BA1168" s="3" t="s">
        <v>10849</v>
      </c>
      <c r="BB1168" s="3" t="s">
        <v>10853</v>
      </c>
      <c r="BC1168" s="3" t="s">
        <v>82</v>
      </c>
      <c r="BD1168" s="3" t="s">
        <v>70</v>
      </c>
      <c r="BE1168" s="3" t="s">
        <v>10851</v>
      </c>
      <c r="BF1168" s="3" t="s">
        <v>10853</v>
      </c>
      <c r="BG1168" s="3" t="s">
        <v>10854</v>
      </c>
    </row>
    <row r="1169" spans="1:59" ht="60" x14ac:dyDescent="0.25">
      <c r="A1169" s="2" t="s">
        <v>59</v>
      </c>
      <c r="B1169" s="2" t="s">
        <v>60</v>
      </c>
      <c r="C1169" s="2" t="s">
        <v>10855</v>
      </c>
      <c r="D1169" s="2" t="s">
        <v>10856</v>
      </c>
      <c r="E1169" s="2" t="s">
        <v>10857</v>
      </c>
      <c r="G1169" s="3" t="s">
        <v>63</v>
      </c>
      <c r="I1169" s="3" t="s">
        <v>63</v>
      </c>
      <c r="J1169" s="3" t="s">
        <v>63</v>
      </c>
      <c r="K1169" s="3" t="s">
        <v>64</v>
      </c>
      <c r="L1169" s="2" t="s">
        <v>10858</v>
      </c>
      <c r="M1169" s="2" t="s">
        <v>10859</v>
      </c>
      <c r="N1169" s="3" t="s">
        <v>849</v>
      </c>
      <c r="P1169" s="3" t="s">
        <v>66</v>
      </c>
      <c r="Q1169" s="2" t="s">
        <v>10860</v>
      </c>
      <c r="R1169" s="3" t="s">
        <v>67</v>
      </c>
      <c r="S1169" s="4">
        <v>7</v>
      </c>
      <c r="T1169" s="4">
        <v>7</v>
      </c>
      <c r="U1169" s="5" t="s">
        <v>10861</v>
      </c>
      <c r="V1169" s="5" t="s">
        <v>10861</v>
      </c>
      <c r="W1169" s="5" t="s">
        <v>69</v>
      </c>
      <c r="X1169" s="5" t="s">
        <v>69</v>
      </c>
      <c r="Y1169" s="4">
        <v>129</v>
      </c>
      <c r="Z1169" s="4">
        <v>17</v>
      </c>
      <c r="AA1169" s="4">
        <v>17</v>
      </c>
      <c r="AB1169" s="4">
        <v>1</v>
      </c>
      <c r="AC1169" s="4">
        <v>1</v>
      </c>
      <c r="AD1169" s="4">
        <v>62</v>
      </c>
      <c r="AE1169" s="4">
        <v>62</v>
      </c>
      <c r="AF1169" s="4">
        <v>0</v>
      </c>
      <c r="AG1169" s="4">
        <v>0</v>
      </c>
      <c r="AH1169" s="4">
        <v>54</v>
      </c>
      <c r="AI1169" s="4">
        <v>54</v>
      </c>
      <c r="AJ1169" s="4">
        <v>14</v>
      </c>
      <c r="AK1169" s="4">
        <v>14</v>
      </c>
      <c r="AL1169" s="4">
        <v>35</v>
      </c>
      <c r="AM1169" s="4">
        <v>35</v>
      </c>
      <c r="AN1169" s="4">
        <v>0</v>
      </c>
      <c r="AO1169" s="4">
        <v>0</v>
      </c>
      <c r="AP1169" s="4">
        <v>14</v>
      </c>
      <c r="AQ1169" s="4">
        <v>14</v>
      </c>
      <c r="AR1169" s="3" t="s">
        <v>63</v>
      </c>
      <c r="AS1169" s="3" t="s">
        <v>63</v>
      </c>
      <c r="AT1169" s="3" t="s">
        <v>63</v>
      </c>
      <c r="AV1169" s="6" t="str">
        <f>HYPERLINK("http://mcgill.on.worldcat.org/oclc/6147142","Catalog Record")</f>
        <v>Catalog Record</v>
      </c>
      <c r="AW1169" s="6" t="str">
        <f>HYPERLINK("http://www.worldcat.org/oclc/6147142","WorldCat Record")</f>
        <v>WorldCat Record</v>
      </c>
      <c r="AX1169" s="3" t="s">
        <v>10862</v>
      </c>
      <c r="AY1169" s="3" t="s">
        <v>10863</v>
      </c>
      <c r="AZ1169" s="3" t="s">
        <v>10864</v>
      </c>
      <c r="BA1169" s="3" t="s">
        <v>10864</v>
      </c>
      <c r="BB1169" s="3" t="s">
        <v>10865</v>
      </c>
      <c r="BC1169" s="3" t="s">
        <v>82</v>
      </c>
      <c r="BD1169" s="3" t="s">
        <v>70</v>
      </c>
      <c r="BE1169" s="3" t="s">
        <v>10866</v>
      </c>
      <c r="BF1169" s="3" t="s">
        <v>10865</v>
      </c>
      <c r="BG1169" s="3" t="s">
        <v>10867</v>
      </c>
    </row>
    <row r="1170" spans="1:59" ht="60" x14ac:dyDescent="0.25">
      <c r="A1170" s="2" t="s">
        <v>59</v>
      </c>
      <c r="B1170" s="2" t="s">
        <v>60</v>
      </c>
      <c r="C1170" s="2" t="s">
        <v>10868</v>
      </c>
      <c r="D1170" s="2" t="s">
        <v>10869</v>
      </c>
      <c r="E1170" s="2" t="s">
        <v>10870</v>
      </c>
      <c r="F1170" s="3" t="s">
        <v>5684</v>
      </c>
      <c r="G1170" s="3" t="s">
        <v>62</v>
      </c>
      <c r="I1170" s="3" t="s">
        <v>63</v>
      </c>
      <c r="J1170" s="3" t="s">
        <v>62</v>
      </c>
      <c r="K1170" s="3" t="s">
        <v>64</v>
      </c>
      <c r="L1170" s="2" t="s">
        <v>10454</v>
      </c>
      <c r="M1170" s="2" t="s">
        <v>10871</v>
      </c>
      <c r="N1170" s="3" t="s">
        <v>2271</v>
      </c>
      <c r="P1170" s="3" t="s">
        <v>90</v>
      </c>
      <c r="Q1170" s="2" t="s">
        <v>10872</v>
      </c>
      <c r="R1170" s="3" t="s">
        <v>67</v>
      </c>
      <c r="S1170" s="4">
        <v>13</v>
      </c>
      <c r="T1170" s="4">
        <v>29</v>
      </c>
      <c r="U1170" s="5" t="s">
        <v>10873</v>
      </c>
      <c r="V1170" s="5" t="s">
        <v>429</v>
      </c>
      <c r="W1170" s="5" t="s">
        <v>69</v>
      </c>
      <c r="X1170" s="5" t="s">
        <v>69</v>
      </c>
      <c r="Y1170" s="4">
        <v>7</v>
      </c>
      <c r="Z1170" s="4">
        <v>3</v>
      </c>
      <c r="AA1170" s="4">
        <v>20</v>
      </c>
      <c r="AB1170" s="4">
        <v>1</v>
      </c>
      <c r="AC1170" s="4">
        <v>2</v>
      </c>
      <c r="AD1170" s="4">
        <v>2</v>
      </c>
      <c r="AE1170" s="4">
        <v>82</v>
      </c>
      <c r="AF1170" s="4">
        <v>0</v>
      </c>
      <c r="AG1170" s="4">
        <v>0</v>
      </c>
      <c r="AH1170" s="4">
        <v>1</v>
      </c>
      <c r="AI1170" s="4">
        <v>72</v>
      </c>
      <c r="AJ1170" s="4">
        <v>2</v>
      </c>
      <c r="AK1170" s="4">
        <v>10</v>
      </c>
      <c r="AL1170" s="4">
        <v>0</v>
      </c>
      <c r="AM1170" s="4">
        <v>42</v>
      </c>
      <c r="AN1170" s="4">
        <v>0</v>
      </c>
      <c r="AO1170" s="4">
        <v>0</v>
      </c>
      <c r="AP1170" s="4">
        <v>2</v>
      </c>
      <c r="AQ1170" s="4">
        <v>13</v>
      </c>
      <c r="AR1170" s="3" t="s">
        <v>63</v>
      </c>
      <c r="AS1170" s="3" t="s">
        <v>63</v>
      </c>
      <c r="AT1170" s="3" t="s">
        <v>63</v>
      </c>
      <c r="AV1170" s="6" t="str">
        <f>HYPERLINK("http://mcgill.on.worldcat.org/oclc/221201407","Catalog Record")</f>
        <v>Catalog Record</v>
      </c>
      <c r="AW1170" s="6" t="str">
        <f>HYPERLINK("http://www.worldcat.org/oclc/221201407","WorldCat Record")</f>
        <v>WorldCat Record</v>
      </c>
      <c r="AX1170" s="3" t="s">
        <v>10874</v>
      </c>
      <c r="AY1170" s="3" t="s">
        <v>10875</v>
      </c>
      <c r="AZ1170" s="3" t="s">
        <v>10876</v>
      </c>
      <c r="BA1170" s="3" t="s">
        <v>10876</v>
      </c>
      <c r="BB1170" s="3" t="s">
        <v>10877</v>
      </c>
      <c r="BC1170" s="3" t="s">
        <v>82</v>
      </c>
      <c r="BD1170" s="3" t="s">
        <v>70</v>
      </c>
      <c r="BE1170" s="3" t="s">
        <v>10878</v>
      </c>
      <c r="BF1170" s="3" t="s">
        <v>10877</v>
      </c>
      <c r="BG1170" s="3" t="s">
        <v>10879</v>
      </c>
    </row>
    <row r="1171" spans="1:59" ht="60" x14ac:dyDescent="0.25">
      <c r="A1171" s="2" t="s">
        <v>59</v>
      </c>
      <c r="B1171" s="2" t="s">
        <v>60</v>
      </c>
      <c r="C1171" s="2" t="s">
        <v>10868</v>
      </c>
      <c r="D1171" s="2" t="s">
        <v>10869</v>
      </c>
      <c r="E1171" s="2" t="s">
        <v>10870</v>
      </c>
      <c r="F1171" s="3" t="s">
        <v>5696</v>
      </c>
      <c r="G1171" s="3" t="s">
        <v>62</v>
      </c>
      <c r="I1171" s="3" t="s">
        <v>63</v>
      </c>
      <c r="J1171" s="3" t="s">
        <v>62</v>
      </c>
      <c r="K1171" s="3" t="s">
        <v>64</v>
      </c>
      <c r="L1171" s="2" t="s">
        <v>10454</v>
      </c>
      <c r="M1171" s="2" t="s">
        <v>10871</v>
      </c>
      <c r="N1171" s="3" t="s">
        <v>2271</v>
      </c>
      <c r="P1171" s="3" t="s">
        <v>90</v>
      </c>
      <c r="Q1171" s="2" t="s">
        <v>10872</v>
      </c>
      <c r="R1171" s="3" t="s">
        <v>67</v>
      </c>
      <c r="S1171" s="4">
        <v>16</v>
      </c>
      <c r="T1171" s="4">
        <v>29</v>
      </c>
      <c r="U1171" s="5" t="s">
        <v>429</v>
      </c>
      <c r="V1171" s="5" t="s">
        <v>429</v>
      </c>
      <c r="W1171" s="5" t="s">
        <v>69</v>
      </c>
      <c r="X1171" s="5" t="s">
        <v>69</v>
      </c>
      <c r="Y1171" s="4">
        <v>7</v>
      </c>
      <c r="Z1171" s="4">
        <v>3</v>
      </c>
      <c r="AA1171" s="4">
        <v>20</v>
      </c>
      <c r="AB1171" s="4">
        <v>1</v>
      </c>
      <c r="AC1171" s="4">
        <v>2</v>
      </c>
      <c r="AD1171" s="4">
        <v>2</v>
      </c>
      <c r="AE1171" s="4">
        <v>82</v>
      </c>
      <c r="AF1171" s="4">
        <v>0</v>
      </c>
      <c r="AG1171" s="4">
        <v>0</v>
      </c>
      <c r="AH1171" s="4">
        <v>1</v>
      </c>
      <c r="AI1171" s="4">
        <v>72</v>
      </c>
      <c r="AJ1171" s="4">
        <v>2</v>
      </c>
      <c r="AK1171" s="4">
        <v>10</v>
      </c>
      <c r="AL1171" s="4">
        <v>0</v>
      </c>
      <c r="AM1171" s="4">
        <v>42</v>
      </c>
      <c r="AN1171" s="4">
        <v>0</v>
      </c>
      <c r="AO1171" s="4">
        <v>0</v>
      </c>
      <c r="AP1171" s="4">
        <v>2</v>
      </c>
      <c r="AQ1171" s="4">
        <v>13</v>
      </c>
      <c r="AR1171" s="3" t="s">
        <v>63</v>
      </c>
      <c r="AS1171" s="3" t="s">
        <v>63</v>
      </c>
      <c r="AT1171" s="3" t="s">
        <v>63</v>
      </c>
      <c r="AV1171" s="6" t="str">
        <f>HYPERLINK("http://mcgill.on.worldcat.org/oclc/221201407","Catalog Record")</f>
        <v>Catalog Record</v>
      </c>
      <c r="AW1171" s="6" t="str">
        <f>HYPERLINK("http://www.worldcat.org/oclc/221201407","WorldCat Record")</f>
        <v>WorldCat Record</v>
      </c>
      <c r="AX1171" s="3" t="s">
        <v>10874</v>
      </c>
      <c r="AY1171" s="3" t="s">
        <v>10875</v>
      </c>
      <c r="AZ1171" s="3" t="s">
        <v>10876</v>
      </c>
      <c r="BA1171" s="3" t="s">
        <v>10876</v>
      </c>
      <c r="BB1171" s="3" t="s">
        <v>10880</v>
      </c>
      <c r="BC1171" s="3" t="s">
        <v>82</v>
      </c>
      <c r="BD1171" s="3" t="s">
        <v>70</v>
      </c>
      <c r="BE1171" s="3" t="s">
        <v>10878</v>
      </c>
      <c r="BF1171" s="3" t="s">
        <v>10880</v>
      </c>
      <c r="BG1171" s="3" t="s">
        <v>10881</v>
      </c>
    </row>
    <row r="1172" spans="1:59" ht="60" x14ac:dyDescent="0.25">
      <c r="A1172" s="2" t="s">
        <v>59</v>
      </c>
      <c r="B1172" s="2" t="s">
        <v>60</v>
      </c>
      <c r="C1172" s="2" t="s">
        <v>10882</v>
      </c>
      <c r="D1172" s="2" t="s">
        <v>10883</v>
      </c>
      <c r="E1172" s="2" t="s">
        <v>10884</v>
      </c>
      <c r="G1172" s="3" t="s">
        <v>63</v>
      </c>
      <c r="I1172" s="3" t="s">
        <v>63</v>
      </c>
      <c r="J1172" s="3" t="s">
        <v>62</v>
      </c>
      <c r="K1172" s="3" t="s">
        <v>64</v>
      </c>
      <c r="L1172" s="2" t="s">
        <v>10454</v>
      </c>
      <c r="M1172" s="2" t="s">
        <v>10885</v>
      </c>
      <c r="N1172" s="3" t="s">
        <v>2535</v>
      </c>
      <c r="P1172" s="3" t="s">
        <v>90</v>
      </c>
      <c r="Q1172" s="2" t="s">
        <v>10886</v>
      </c>
      <c r="R1172" s="3" t="s">
        <v>67</v>
      </c>
      <c r="S1172" s="4">
        <v>1</v>
      </c>
      <c r="T1172" s="4">
        <v>1</v>
      </c>
      <c r="U1172" s="5" t="s">
        <v>10887</v>
      </c>
      <c r="V1172" s="5" t="s">
        <v>10887</v>
      </c>
      <c r="W1172" s="5" t="s">
        <v>69</v>
      </c>
      <c r="X1172" s="5" t="s">
        <v>69</v>
      </c>
      <c r="Y1172" s="4">
        <v>17</v>
      </c>
      <c r="Z1172" s="4">
        <v>5</v>
      </c>
      <c r="AA1172" s="4">
        <v>20</v>
      </c>
      <c r="AB1172" s="4">
        <v>1</v>
      </c>
      <c r="AC1172" s="4">
        <v>2</v>
      </c>
      <c r="AD1172" s="4">
        <v>9</v>
      </c>
      <c r="AE1172" s="4">
        <v>82</v>
      </c>
      <c r="AF1172" s="4">
        <v>0</v>
      </c>
      <c r="AG1172" s="4">
        <v>0</v>
      </c>
      <c r="AH1172" s="4">
        <v>6</v>
      </c>
      <c r="AI1172" s="4">
        <v>72</v>
      </c>
      <c r="AJ1172" s="4">
        <v>2</v>
      </c>
      <c r="AK1172" s="4">
        <v>10</v>
      </c>
      <c r="AL1172" s="4">
        <v>7</v>
      </c>
      <c r="AM1172" s="4">
        <v>42</v>
      </c>
      <c r="AN1172" s="4">
        <v>0</v>
      </c>
      <c r="AO1172" s="4">
        <v>0</v>
      </c>
      <c r="AP1172" s="4">
        <v>2</v>
      </c>
      <c r="AQ1172" s="4">
        <v>13</v>
      </c>
      <c r="AR1172" s="3" t="s">
        <v>63</v>
      </c>
      <c r="AS1172" s="3" t="s">
        <v>63</v>
      </c>
      <c r="AT1172" s="3" t="s">
        <v>63</v>
      </c>
      <c r="AV1172" s="6" t="str">
        <f>HYPERLINK("http://mcgill.on.worldcat.org/oclc/16108472","Catalog Record")</f>
        <v>Catalog Record</v>
      </c>
      <c r="AW1172" s="6" t="str">
        <f>HYPERLINK("http://www.worldcat.org/oclc/16108472","WorldCat Record")</f>
        <v>WorldCat Record</v>
      </c>
      <c r="AX1172" s="3" t="s">
        <v>10874</v>
      </c>
      <c r="AY1172" s="3" t="s">
        <v>10888</v>
      </c>
      <c r="AZ1172" s="3" t="s">
        <v>10889</v>
      </c>
      <c r="BA1172" s="3" t="s">
        <v>10889</v>
      </c>
      <c r="BB1172" s="3" t="s">
        <v>10890</v>
      </c>
      <c r="BC1172" s="3" t="s">
        <v>82</v>
      </c>
      <c r="BD1172" s="3" t="s">
        <v>70</v>
      </c>
      <c r="BF1172" s="3" t="s">
        <v>10890</v>
      </c>
      <c r="BG1172" s="3" t="s">
        <v>10891</v>
      </c>
    </row>
    <row r="1173" spans="1:59" ht="60" x14ac:dyDescent="0.25">
      <c r="A1173" s="2" t="s">
        <v>59</v>
      </c>
      <c r="B1173" s="2" t="s">
        <v>60</v>
      </c>
      <c r="C1173" s="2" t="s">
        <v>10892</v>
      </c>
      <c r="D1173" s="2" t="s">
        <v>10893</v>
      </c>
      <c r="E1173" s="2" t="s">
        <v>10894</v>
      </c>
      <c r="G1173" s="3" t="s">
        <v>63</v>
      </c>
      <c r="I1173" s="3" t="s">
        <v>63</v>
      </c>
      <c r="J1173" s="3" t="s">
        <v>63</v>
      </c>
      <c r="K1173" s="3" t="s">
        <v>64</v>
      </c>
      <c r="L1173" s="2" t="s">
        <v>10895</v>
      </c>
      <c r="M1173" s="2" t="s">
        <v>10896</v>
      </c>
      <c r="N1173" s="3" t="s">
        <v>2459</v>
      </c>
      <c r="P1173" s="3" t="s">
        <v>90</v>
      </c>
      <c r="Q1173" s="2" t="s">
        <v>10897</v>
      </c>
      <c r="R1173" s="3" t="s">
        <v>67</v>
      </c>
      <c r="S1173" s="4">
        <v>9</v>
      </c>
      <c r="T1173" s="4">
        <v>9</v>
      </c>
      <c r="U1173" s="5" t="s">
        <v>3102</v>
      </c>
      <c r="V1173" s="5" t="s">
        <v>3102</v>
      </c>
      <c r="W1173" s="5" t="s">
        <v>69</v>
      </c>
      <c r="X1173" s="5" t="s">
        <v>69</v>
      </c>
      <c r="Y1173" s="4">
        <v>3</v>
      </c>
      <c r="Z1173" s="4">
        <v>2</v>
      </c>
      <c r="AA1173" s="4">
        <v>2</v>
      </c>
      <c r="AB1173" s="4">
        <v>1</v>
      </c>
      <c r="AC1173" s="4">
        <v>1</v>
      </c>
      <c r="AD1173" s="4">
        <v>1</v>
      </c>
      <c r="AE1173" s="4">
        <v>1</v>
      </c>
      <c r="AF1173" s="4">
        <v>0</v>
      </c>
      <c r="AG1173" s="4">
        <v>0</v>
      </c>
      <c r="AH1173" s="4">
        <v>0</v>
      </c>
      <c r="AI1173" s="4">
        <v>0</v>
      </c>
      <c r="AJ1173" s="4">
        <v>1</v>
      </c>
      <c r="AK1173" s="4">
        <v>1</v>
      </c>
      <c r="AL1173" s="4">
        <v>0</v>
      </c>
      <c r="AM1173" s="4">
        <v>0</v>
      </c>
      <c r="AN1173" s="4">
        <v>0</v>
      </c>
      <c r="AO1173" s="4">
        <v>0</v>
      </c>
      <c r="AP1173" s="4">
        <v>1</v>
      </c>
      <c r="AQ1173" s="4">
        <v>1</v>
      </c>
      <c r="AR1173" s="3" t="s">
        <v>63</v>
      </c>
      <c r="AS1173" s="3" t="s">
        <v>63</v>
      </c>
      <c r="AT1173" s="3" t="s">
        <v>63</v>
      </c>
      <c r="AV1173" s="6" t="str">
        <f>HYPERLINK("http://mcgill.on.worldcat.org/oclc/316428472","Catalog Record")</f>
        <v>Catalog Record</v>
      </c>
      <c r="AW1173" s="6" t="str">
        <f>HYPERLINK("http://www.worldcat.org/oclc/316428472","WorldCat Record")</f>
        <v>WorldCat Record</v>
      </c>
      <c r="AX1173" s="3" t="s">
        <v>10898</v>
      </c>
      <c r="AY1173" s="3" t="s">
        <v>10899</v>
      </c>
      <c r="AZ1173" s="3" t="s">
        <v>10900</v>
      </c>
      <c r="BA1173" s="3" t="s">
        <v>10900</v>
      </c>
      <c r="BB1173" s="3" t="s">
        <v>10901</v>
      </c>
      <c r="BC1173" s="3" t="s">
        <v>82</v>
      </c>
      <c r="BD1173" s="3" t="s">
        <v>70</v>
      </c>
      <c r="BE1173" s="3" t="s">
        <v>10902</v>
      </c>
      <c r="BF1173" s="3" t="s">
        <v>10901</v>
      </c>
      <c r="BG1173" s="3" t="s">
        <v>10903</v>
      </c>
    </row>
    <row r="1174" spans="1:59" ht="75" x14ac:dyDescent="0.25">
      <c r="A1174" s="2" t="s">
        <v>59</v>
      </c>
      <c r="B1174" s="2" t="s">
        <v>60</v>
      </c>
      <c r="C1174" s="2" t="s">
        <v>11104</v>
      </c>
      <c r="D1174" s="2" t="s">
        <v>11105</v>
      </c>
      <c r="E1174" s="2" t="s">
        <v>11106</v>
      </c>
      <c r="G1174" s="3" t="s">
        <v>63</v>
      </c>
      <c r="I1174" s="3" t="s">
        <v>63</v>
      </c>
      <c r="J1174" s="3" t="s">
        <v>63</v>
      </c>
      <c r="K1174" s="3" t="s">
        <v>64</v>
      </c>
      <c r="L1174" s="2" t="s">
        <v>10688</v>
      </c>
      <c r="M1174" s="2" t="s">
        <v>11107</v>
      </c>
      <c r="N1174" s="3" t="s">
        <v>468</v>
      </c>
      <c r="P1174" s="3" t="s">
        <v>66</v>
      </c>
      <c r="Q1174" s="2" t="s">
        <v>11108</v>
      </c>
      <c r="R1174" s="3" t="s">
        <v>67</v>
      </c>
      <c r="S1174" s="4">
        <v>89</v>
      </c>
      <c r="T1174" s="4">
        <v>89</v>
      </c>
      <c r="U1174" s="5" t="s">
        <v>11109</v>
      </c>
      <c r="V1174" s="5" t="s">
        <v>11109</v>
      </c>
      <c r="W1174" s="5" t="s">
        <v>69</v>
      </c>
      <c r="X1174" s="5" t="s">
        <v>69</v>
      </c>
      <c r="Y1174" s="4">
        <v>949</v>
      </c>
      <c r="Z1174" s="4">
        <v>25</v>
      </c>
      <c r="AA1174" s="4">
        <v>32</v>
      </c>
      <c r="AB1174" s="4">
        <v>2</v>
      </c>
      <c r="AC1174" s="4">
        <v>2</v>
      </c>
      <c r="AD1174" s="4">
        <v>101</v>
      </c>
      <c r="AE1174" s="4">
        <v>107</v>
      </c>
      <c r="AF1174" s="4">
        <v>1</v>
      </c>
      <c r="AG1174" s="4">
        <v>1</v>
      </c>
      <c r="AH1174" s="4">
        <v>87</v>
      </c>
      <c r="AI1174" s="4">
        <v>89</v>
      </c>
      <c r="AJ1174" s="4">
        <v>8</v>
      </c>
      <c r="AK1174" s="4">
        <v>11</v>
      </c>
      <c r="AL1174" s="4">
        <v>53</v>
      </c>
      <c r="AM1174" s="4">
        <v>54</v>
      </c>
      <c r="AN1174" s="4">
        <v>0</v>
      </c>
      <c r="AO1174" s="4">
        <v>0</v>
      </c>
      <c r="AP1174" s="4">
        <v>16</v>
      </c>
      <c r="AQ1174" s="4">
        <v>21</v>
      </c>
      <c r="AR1174" s="3" t="s">
        <v>63</v>
      </c>
      <c r="AS1174" s="3" t="s">
        <v>63</v>
      </c>
      <c r="AT1174" s="3" t="s">
        <v>63</v>
      </c>
      <c r="AV1174" s="6" t="str">
        <f>HYPERLINK("http://mcgill.on.worldcat.org/oclc/2281274","Catalog Record")</f>
        <v>Catalog Record</v>
      </c>
      <c r="AW1174" s="6" t="str">
        <f>HYPERLINK("http://www.worldcat.org/oclc/2281274","WorldCat Record")</f>
        <v>WorldCat Record</v>
      </c>
      <c r="AX1174" s="3" t="s">
        <v>11110</v>
      </c>
      <c r="AY1174" s="3" t="s">
        <v>11111</v>
      </c>
      <c r="AZ1174" s="3" t="s">
        <v>11112</v>
      </c>
      <c r="BA1174" s="3" t="s">
        <v>11112</v>
      </c>
      <c r="BB1174" s="3" t="s">
        <v>11113</v>
      </c>
      <c r="BC1174" s="3" t="s">
        <v>82</v>
      </c>
      <c r="BD1174" s="3" t="s">
        <v>70</v>
      </c>
      <c r="BE1174" s="3" t="s">
        <v>11114</v>
      </c>
      <c r="BF1174" s="3" t="s">
        <v>11113</v>
      </c>
      <c r="BG1174" s="3" t="s">
        <v>11115</v>
      </c>
    </row>
    <row r="1175" spans="1:59" ht="60" x14ac:dyDescent="0.25">
      <c r="A1175" s="2" t="s">
        <v>59</v>
      </c>
      <c r="B1175" s="2" t="s">
        <v>60</v>
      </c>
      <c r="C1175" s="2" t="s">
        <v>10904</v>
      </c>
      <c r="D1175" s="2" t="s">
        <v>10905</v>
      </c>
      <c r="E1175" s="2" t="s">
        <v>10906</v>
      </c>
      <c r="G1175" s="3" t="s">
        <v>63</v>
      </c>
      <c r="I1175" s="3" t="s">
        <v>63</v>
      </c>
      <c r="J1175" s="3" t="s">
        <v>63</v>
      </c>
      <c r="K1175" s="3" t="s">
        <v>64</v>
      </c>
      <c r="L1175" s="2" t="s">
        <v>10907</v>
      </c>
      <c r="M1175" s="2" t="s">
        <v>10908</v>
      </c>
      <c r="N1175" s="3" t="s">
        <v>234</v>
      </c>
      <c r="O1175" s="2" t="s">
        <v>590</v>
      </c>
      <c r="P1175" s="3" t="s">
        <v>66</v>
      </c>
      <c r="R1175" s="3" t="s">
        <v>67</v>
      </c>
      <c r="S1175" s="4">
        <v>9</v>
      </c>
      <c r="T1175" s="4">
        <v>9</v>
      </c>
      <c r="U1175" s="5" t="s">
        <v>10909</v>
      </c>
      <c r="V1175" s="5" t="s">
        <v>10909</v>
      </c>
      <c r="W1175" s="5" t="s">
        <v>69</v>
      </c>
      <c r="X1175" s="5" t="s">
        <v>69</v>
      </c>
      <c r="Y1175" s="4">
        <v>127</v>
      </c>
      <c r="Z1175" s="4">
        <v>13</v>
      </c>
      <c r="AA1175" s="4">
        <v>13</v>
      </c>
      <c r="AB1175" s="4">
        <v>1</v>
      </c>
      <c r="AC1175" s="4">
        <v>1</v>
      </c>
      <c r="AD1175" s="4">
        <v>58</v>
      </c>
      <c r="AE1175" s="4">
        <v>58</v>
      </c>
      <c r="AF1175" s="4">
        <v>0</v>
      </c>
      <c r="AG1175" s="4">
        <v>0</v>
      </c>
      <c r="AH1175" s="4">
        <v>55</v>
      </c>
      <c r="AI1175" s="4">
        <v>55</v>
      </c>
      <c r="AJ1175" s="4">
        <v>11</v>
      </c>
      <c r="AK1175" s="4">
        <v>11</v>
      </c>
      <c r="AL1175" s="4">
        <v>30</v>
      </c>
      <c r="AM1175" s="4">
        <v>30</v>
      </c>
      <c r="AN1175" s="4">
        <v>0</v>
      </c>
      <c r="AO1175" s="4">
        <v>0</v>
      </c>
      <c r="AP1175" s="4">
        <v>11</v>
      </c>
      <c r="AQ1175" s="4">
        <v>11</v>
      </c>
      <c r="AR1175" s="3" t="s">
        <v>63</v>
      </c>
      <c r="AS1175" s="3" t="s">
        <v>63</v>
      </c>
      <c r="AT1175" s="3" t="s">
        <v>63</v>
      </c>
      <c r="AV1175" s="6" t="str">
        <f>HYPERLINK("http://mcgill.on.worldcat.org/oclc/69013651","Catalog Record")</f>
        <v>Catalog Record</v>
      </c>
      <c r="AW1175" s="6" t="str">
        <f>HYPERLINK("http://www.worldcat.org/oclc/69013651","WorldCat Record")</f>
        <v>WorldCat Record</v>
      </c>
      <c r="AX1175" s="3" t="s">
        <v>10910</v>
      </c>
      <c r="AY1175" s="3" t="s">
        <v>10911</v>
      </c>
      <c r="AZ1175" s="3" t="s">
        <v>10912</v>
      </c>
      <c r="BA1175" s="3" t="s">
        <v>10912</v>
      </c>
      <c r="BB1175" s="3" t="s">
        <v>10913</v>
      </c>
      <c r="BC1175" s="3" t="s">
        <v>82</v>
      </c>
      <c r="BD1175" s="3" t="s">
        <v>70</v>
      </c>
      <c r="BE1175" s="3" t="s">
        <v>10914</v>
      </c>
      <c r="BF1175" s="3" t="s">
        <v>10913</v>
      </c>
      <c r="BG1175" s="3" t="s">
        <v>10915</v>
      </c>
    </row>
    <row r="1176" spans="1:59" ht="60" x14ac:dyDescent="0.25">
      <c r="A1176" s="2" t="s">
        <v>59</v>
      </c>
      <c r="B1176" s="2" t="s">
        <v>60</v>
      </c>
      <c r="C1176" s="2" t="s">
        <v>10916</v>
      </c>
      <c r="D1176" s="2" t="s">
        <v>10917</v>
      </c>
      <c r="E1176" s="2" t="s">
        <v>10918</v>
      </c>
      <c r="G1176" s="3" t="s">
        <v>63</v>
      </c>
      <c r="I1176" s="3" t="s">
        <v>63</v>
      </c>
      <c r="J1176" s="3" t="s">
        <v>63</v>
      </c>
      <c r="K1176" s="3" t="s">
        <v>64</v>
      </c>
      <c r="L1176" s="2" t="s">
        <v>10919</v>
      </c>
      <c r="M1176" s="2" t="s">
        <v>10920</v>
      </c>
      <c r="N1176" s="3" t="s">
        <v>668</v>
      </c>
      <c r="P1176" s="3" t="s">
        <v>66</v>
      </c>
      <c r="Q1176" s="2" t="s">
        <v>4253</v>
      </c>
      <c r="R1176" s="3" t="s">
        <v>67</v>
      </c>
      <c r="S1176" s="4">
        <v>18</v>
      </c>
      <c r="T1176" s="4">
        <v>18</v>
      </c>
      <c r="U1176" s="5" t="s">
        <v>10921</v>
      </c>
      <c r="V1176" s="5" t="s">
        <v>10921</v>
      </c>
      <c r="W1176" s="5" t="s">
        <v>69</v>
      </c>
      <c r="X1176" s="5" t="s">
        <v>69</v>
      </c>
      <c r="Y1176" s="4">
        <v>470</v>
      </c>
      <c r="Z1176" s="4">
        <v>25</v>
      </c>
      <c r="AA1176" s="4">
        <v>39</v>
      </c>
      <c r="AB1176" s="4">
        <v>1</v>
      </c>
      <c r="AC1176" s="4">
        <v>5</v>
      </c>
      <c r="AD1176" s="4">
        <v>111</v>
      </c>
      <c r="AE1176" s="4">
        <v>123</v>
      </c>
      <c r="AF1176" s="4">
        <v>0</v>
      </c>
      <c r="AG1176" s="4">
        <v>2</v>
      </c>
      <c r="AH1176" s="4">
        <v>99</v>
      </c>
      <c r="AI1176" s="4">
        <v>103</v>
      </c>
      <c r="AJ1176" s="4">
        <v>14</v>
      </c>
      <c r="AK1176" s="4">
        <v>21</v>
      </c>
      <c r="AL1176" s="4">
        <v>56</v>
      </c>
      <c r="AM1176" s="4">
        <v>57</v>
      </c>
      <c r="AN1176" s="4">
        <v>0</v>
      </c>
      <c r="AO1176" s="4">
        <v>0</v>
      </c>
      <c r="AP1176" s="4">
        <v>18</v>
      </c>
      <c r="AQ1176" s="4">
        <v>27</v>
      </c>
      <c r="AR1176" s="3" t="s">
        <v>63</v>
      </c>
      <c r="AS1176" s="3" t="s">
        <v>63</v>
      </c>
      <c r="AT1176" s="3" t="s">
        <v>62</v>
      </c>
      <c r="AU1176" s="6" t="str">
        <f>HYPERLINK("http://catalog.hathitrust.org/Record/002228522","HathiTrust Record")</f>
        <v>HathiTrust Record</v>
      </c>
      <c r="AV1176" s="6" t="str">
        <f>HYPERLINK("http://mcgill.on.worldcat.org/oclc/21444024","Catalog Record")</f>
        <v>Catalog Record</v>
      </c>
      <c r="AW1176" s="6" t="str">
        <f>HYPERLINK("http://www.worldcat.org/oclc/21444024","WorldCat Record")</f>
        <v>WorldCat Record</v>
      </c>
      <c r="AX1176" s="3" t="s">
        <v>10922</v>
      </c>
      <c r="AY1176" s="3" t="s">
        <v>10923</v>
      </c>
      <c r="AZ1176" s="3" t="s">
        <v>10924</v>
      </c>
      <c r="BA1176" s="3" t="s">
        <v>10924</v>
      </c>
      <c r="BB1176" s="3" t="s">
        <v>10925</v>
      </c>
      <c r="BC1176" s="3" t="s">
        <v>82</v>
      </c>
      <c r="BD1176" s="3" t="s">
        <v>70</v>
      </c>
      <c r="BE1176" s="3" t="s">
        <v>10926</v>
      </c>
      <c r="BF1176" s="3" t="s">
        <v>10925</v>
      </c>
      <c r="BG1176" s="3" t="s">
        <v>10927</v>
      </c>
    </row>
    <row r="1177" spans="1:59" ht="60" x14ac:dyDescent="0.25">
      <c r="A1177" s="2" t="s">
        <v>59</v>
      </c>
      <c r="B1177" s="2" t="s">
        <v>60</v>
      </c>
      <c r="C1177" s="2" t="s">
        <v>10928</v>
      </c>
      <c r="D1177" s="2" t="s">
        <v>10929</v>
      </c>
      <c r="E1177" s="2" t="s">
        <v>10930</v>
      </c>
      <c r="G1177" s="3" t="s">
        <v>63</v>
      </c>
      <c r="I1177" s="3" t="s">
        <v>62</v>
      </c>
      <c r="J1177" s="3" t="s">
        <v>63</v>
      </c>
      <c r="K1177" s="3" t="s">
        <v>64</v>
      </c>
      <c r="L1177" s="2" t="s">
        <v>10919</v>
      </c>
      <c r="M1177" s="2" t="s">
        <v>10931</v>
      </c>
      <c r="N1177" s="3" t="s">
        <v>918</v>
      </c>
      <c r="P1177" s="3" t="s">
        <v>66</v>
      </c>
      <c r="Q1177" s="2" t="s">
        <v>10932</v>
      </c>
      <c r="R1177" s="3" t="s">
        <v>67</v>
      </c>
      <c r="S1177" s="4">
        <v>22</v>
      </c>
      <c r="T1177" s="4">
        <v>37</v>
      </c>
      <c r="U1177" s="5" t="s">
        <v>10933</v>
      </c>
      <c r="V1177" s="5" t="s">
        <v>10934</v>
      </c>
      <c r="W1177" s="5" t="s">
        <v>69</v>
      </c>
      <c r="X1177" s="5" t="s">
        <v>69</v>
      </c>
      <c r="Y1177" s="4">
        <v>340</v>
      </c>
      <c r="Z1177" s="4">
        <v>13</v>
      </c>
      <c r="AA1177" s="4">
        <v>28</v>
      </c>
      <c r="AB1177" s="4">
        <v>1</v>
      </c>
      <c r="AC1177" s="4">
        <v>2</v>
      </c>
      <c r="AD1177" s="4">
        <v>92</v>
      </c>
      <c r="AE1177" s="4">
        <v>116</v>
      </c>
      <c r="AF1177" s="4">
        <v>0</v>
      </c>
      <c r="AG1177" s="4">
        <v>1</v>
      </c>
      <c r="AH1177" s="4">
        <v>85</v>
      </c>
      <c r="AI1177" s="4">
        <v>103</v>
      </c>
      <c r="AJ1177" s="4">
        <v>11</v>
      </c>
      <c r="AK1177" s="4">
        <v>22</v>
      </c>
      <c r="AL1177" s="4">
        <v>48</v>
      </c>
      <c r="AM1177" s="4">
        <v>55</v>
      </c>
      <c r="AN1177" s="4">
        <v>0</v>
      </c>
      <c r="AO1177" s="4">
        <v>0</v>
      </c>
      <c r="AP1177" s="4">
        <v>12</v>
      </c>
      <c r="AQ1177" s="4">
        <v>23</v>
      </c>
      <c r="AR1177" s="3" t="s">
        <v>63</v>
      </c>
      <c r="AS1177" s="3" t="s">
        <v>63</v>
      </c>
      <c r="AT1177" s="3" t="s">
        <v>62</v>
      </c>
      <c r="AU1177" s="6" t="str">
        <f>HYPERLINK("http://catalog.hathitrust.org/Record/001353347","HathiTrust Record")</f>
        <v>HathiTrust Record</v>
      </c>
      <c r="AV1177" s="6" t="str">
        <f>HYPERLINK("http://mcgill.on.worldcat.org/oclc/586507","Catalog Record")</f>
        <v>Catalog Record</v>
      </c>
      <c r="AW1177" s="6" t="str">
        <f>HYPERLINK("http://www.worldcat.org/oclc/586507","WorldCat Record")</f>
        <v>WorldCat Record</v>
      </c>
      <c r="AX1177" s="3" t="s">
        <v>10935</v>
      </c>
      <c r="AY1177" s="3" t="s">
        <v>10936</v>
      </c>
      <c r="AZ1177" s="3" t="s">
        <v>10937</v>
      </c>
      <c r="BA1177" s="3" t="s">
        <v>10937</v>
      </c>
      <c r="BB1177" s="3" t="s">
        <v>10938</v>
      </c>
      <c r="BC1177" s="3" t="s">
        <v>82</v>
      </c>
      <c r="BD1177" s="3" t="s">
        <v>70</v>
      </c>
      <c r="BF1177" s="3" t="s">
        <v>10938</v>
      </c>
      <c r="BG1177" s="3" t="s">
        <v>10939</v>
      </c>
    </row>
    <row r="1178" spans="1:59" ht="60" x14ac:dyDescent="0.25">
      <c r="A1178" s="2" t="s">
        <v>59</v>
      </c>
      <c r="B1178" s="2" t="s">
        <v>60</v>
      </c>
      <c r="C1178" s="2" t="s">
        <v>10928</v>
      </c>
      <c r="D1178" s="2" t="s">
        <v>10929</v>
      </c>
      <c r="E1178" s="2" t="s">
        <v>10930</v>
      </c>
      <c r="G1178" s="3" t="s">
        <v>63</v>
      </c>
      <c r="I1178" s="3" t="s">
        <v>62</v>
      </c>
      <c r="J1178" s="3" t="s">
        <v>63</v>
      </c>
      <c r="K1178" s="3" t="s">
        <v>64</v>
      </c>
      <c r="L1178" s="2" t="s">
        <v>10919</v>
      </c>
      <c r="M1178" s="2" t="s">
        <v>10931</v>
      </c>
      <c r="N1178" s="3" t="s">
        <v>918</v>
      </c>
      <c r="P1178" s="3" t="s">
        <v>66</v>
      </c>
      <c r="Q1178" s="2" t="s">
        <v>10932</v>
      </c>
      <c r="R1178" s="3" t="s">
        <v>67</v>
      </c>
      <c r="S1178" s="4">
        <v>15</v>
      </c>
      <c r="T1178" s="4">
        <v>37</v>
      </c>
      <c r="U1178" s="5" t="s">
        <v>10934</v>
      </c>
      <c r="V1178" s="5" t="s">
        <v>10934</v>
      </c>
      <c r="W1178" s="5" t="s">
        <v>69</v>
      </c>
      <c r="X1178" s="5" t="s">
        <v>69</v>
      </c>
      <c r="Y1178" s="4">
        <v>340</v>
      </c>
      <c r="Z1178" s="4">
        <v>13</v>
      </c>
      <c r="AA1178" s="4">
        <v>28</v>
      </c>
      <c r="AB1178" s="4">
        <v>1</v>
      </c>
      <c r="AC1178" s="4">
        <v>2</v>
      </c>
      <c r="AD1178" s="4">
        <v>92</v>
      </c>
      <c r="AE1178" s="4">
        <v>116</v>
      </c>
      <c r="AF1178" s="4">
        <v>0</v>
      </c>
      <c r="AG1178" s="4">
        <v>1</v>
      </c>
      <c r="AH1178" s="4">
        <v>85</v>
      </c>
      <c r="AI1178" s="4">
        <v>103</v>
      </c>
      <c r="AJ1178" s="4">
        <v>11</v>
      </c>
      <c r="AK1178" s="4">
        <v>22</v>
      </c>
      <c r="AL1178" s="4">
        <v>48</v>
      </c>
      <c r="AM1178" s="4">
        <v>55</v>
      </c>
      <c r="AN1178" s="4">
        <v>0</v>
      </c>
      <c r="AO1178" s="4">
        <v>0</v>
      </c>
      <c r="AP1178" s="4">
        <v>12</v>
      </c>
      <c r="AQ1178" s="4">
        <v>23</v>
      </c>
      <c r="AR1178" s="3" t="s">
        <v>63</v>
      </c>
      <c r="AS1178" s="3" t="s">
        <v>63</v>
      </c>
      <c r="AT1178" s="3" t="s">
        <v>62</v>
      </c>
      <c r="AU1178" s="6" t="str">
        <f>HYPERLINK("http://catalog.hathitrust.org/Record/001353347","HathiTrust Record")</f>
        <v>HathiTrust Record</v>
      </c>
      <c r="AV1178" s="6" t="str">
        <f>HYPERLINK("http://mcgill.on.worldcat.org/oclc/586507","Catalog Record")</f>
        <v>Catalog Record</v>
      </c>
      <c r="AW1178" s="6" t="str">
        <f>HYPERLINK("http://www.worldcat.org/oclc/586507","WorldCat Record")</f>
        <v>WorldCat Record</v>
      </c>
      <c r="AX1178" s="3" t="s">
        <v>10935</v>
      </c>
      <c r="AY1178" s="3" t="s">
        <v>10936</v>
      </c>
      <c r="AZ1178" s="3" t="s">
        <v>10937</v>
      </c>
      <c r="BA1178" s="3" t="s">
        <v>10937</v>
      </c>
      <c r="BB1178" s="3" t="s">
        <v>10940</v>
      </c>
      <c r="BC1178" s="3" t="s">
        <v>82</v>
      </c>
      <c r="BD1178" s="3" t="s">
        <v>70</v>
      </c>
      <c r="BF1178" s="3" t="s">
        <v>10940</v>
      </c>
      <c r="BG1178" s="3" t="s">
        <v>10941</v>
      </c>
    </row>
    <row r="1179" spans="1:59" ht="60" x14ac:dyDescent="0.25">
      <c r="A1179" s="2" t="s">
        <v>59</v>
      </c>
      <c r="B1179" s="2" t="s">
        <v>60</v>
      </c>
      <c r="C1179" s="2" t="s">
        <v>10942</v>
      </c>
      <c r="D1179" s="2" t="s">
        <v>10943</v>
      </c>
      <c r="E1179" s="2" t="s">
        <v>10944</v>
      </c>
      <c r="G1179" s="3" t="s">
        <v>63</v>
      </c>
      <c r="I1179" s="3" t="s">
        <v>63</v>
      </c>
      <c r="J1179" s="3" t="s">
        <v>63</v>
      </c>
      <c r="K1179" s="3" t="s">
        <v>64</v>
      </c>
      <c r="L1179" s="2" t="s">
        <v>10945</v>
      </c>
      <c r="M1179" s="2" t="s">
        <v>10946</v>
      </c>
      <c r="N1179" s="3" t="s">
        <v>130</v>
      </c>
      <c r="P1179" s="3" t="s">
        <v>66</v>
      </c>
      <c r="Q1179" s="2" t="s">
        <v>10947</v>
      </c>
      <c r="R1179" s="3" t="s">
        <v>67</v>
      </c>
      <c r="S1179" s="4">
        <v>7</v>
      </c>
      <c r="T1179" s="4">
        <v>7</v>
      </c>
      <c r="U1179" s="5" t="s">
        <v>5434</v>
      </c>
      <c r="V1179" s="5" t="s">
        <v>5434</v>
      </c>
      <c r="W1179" s="5" t="s">
        <v>69</v>
      </c>
      <c r="X1179" s="5" t="s">
        <v>69</v>
      </c>
      <c r="Y1179" s="4">
        <v>81</v>
      </c>
      <c r="Z1179" s="4">
        <v>9</v>
      </c>
      <c r="AA1179" s="4">
        <v>22</v>
      </c>
      <c r="AB1179" s="4">
        <v>1</v>
      </c>
      <c r="AC1179" s="4">
        <v>3</v>
      </c>
      <c r="AD1179" s="4">
        <v>24</v>
      </c>
      <c r="AE1179" s="4">
        <v>37</v>
      </c>
      <c r="AF1179" s="4">
        <v>0</v>
      </c>
      <c r="AG1179" s="4">
        <v>0</v>
      </c>
      <c r="AH1179" s="4">
        <v>22</v>
      </c>
      <c r="AI1179" s="4">
        <v>33</v>
      </c>
      <c r="AJ1179" s="4">
        <v>4</v>
      </c>
      <c r="AK1179" s="4">
        <v>4</v>
      </c>
      <c r="AL1179" s="4">
        <v>17</v>
      </c>
      <c r="AM1179" s="4">
        <v>23</v>
      </c>
      <c r="AN1179" s="4">
        <v>0</v>
      </c>
      <c r="AO1179" s="4">
        <v>0</v>
      </c>
      <c r="AP1179" s="4">
        <v>4</v>
      </c>
      <c r="AQ1179" s="4">
        <v>5</v>
      </c>
      <c r="AR1179" s="3" t="s">
        <v>63</v>
      </c>
      <c r="AS1179" s="3" t="s">
        <v>63</v>
      </c>
      <c r="AT1179" s="3" t="s">
        <v>63</v>
      </c>
      <c r="AV1179" s="6" t="str">
        <f>HYPERLINK("http://mcgill.on.worldcat.org/oclc/657603656","Catalog Record")</f>
        <v>Catalog Record</v>
      </c>
      <c r="AW1179" s="6" t="str">
        <f>HYPERLINK("http://www.worldcat.org/oclc/657603656","WorldCat Record")</f>
        <v>WorldCat Record</v>
      </c>
      <c r="AX1179" s="3" t="s">
        <v>10948</v>
      </c>
      <c r="AY1179" s="3" t="s">
        <v>10949</v>
      </c>
      <c r="AZ1179" s="3" t="s">
        <v>10950</v>
      </c>
      <c r="BA1179" s="3" t="s">
        <v>10950</v>
      </c>
      <c r="BB1179" s="3" t="s">
        <v>10951</v>
      </c>
      <c r="BC1179" s="3" t="s">
        <v>82</v>
      </c>
      <c r="BD1179" s="3" t="s">
        <v>538</v>
      </c>
      <c r="BE1179" s="3" t="s">
        <v>10952</v>
      </c>
      <c r="BF1179" s="3" t="s">
        <v>10951</v>
      </c>
      <c r="BG1179" s="3" t="s">
        <v>10953</v>
      </c>
    </row>
    <row r="1180" spans="1:59" ht="60" x14ac:dyDescent="0.25">
      <c r="A1180" s="2" t="s">
        <v>59</v>
      </c>
      <c r="B1180" s="2" t="s">
        <v>60</v>
      </c>
      <c r="C1180" s="2" t="s">
        <v>10954</v>
      </c>
      <c r="D1180" s="2" t="s">
        <v>10955</v>
      </c>
      <c r="E1180" s="2" t="s">
        <v>10956</v>
      </c>
      <c r="G1180" s="3" t="s">
        <v>63</v>
      </c>
      <c r="I1180" s="3" t="s">
        <v>62</v>
      </c>
      <c r="J1180" s="3" t="s">
        <v>63</v>
      </c>
      <c r="K1180" s="3" t="s">
        <v>64</v>
      </c>
      <c r="L1180" s="2" t="s">
        <v>10454</v>
      </c>
      <c r="M1180" s="2" t="s">
        <v>10957</v>
      </c>
      <c r="N1180" s="3" t="s">
        <v>681</v>
      </c>
      <c r="P1180" s="3" t="s">
        <v>66</v>
      </c>
      <c r="Q1180" s="2" t="s">
        <v>10958</v>
      </c>
      <c r="R1180" s="3" t="s">
        <v>67</v>
      </c>
      <c r="S1180" s="4">
        <v>52</v>
      </c>
      <c r="T1180" s="4">
        <v>87</v>
      </c>
      <c r="U1180" s="5" t="s">
        <v>10934</v>
      </c>
      <c r="V1180" s="5" t="s">
        <v>10959</v>
      </c>
      <c r="W1180" s="5" t="s">
        <v>69</v>
      </c>
      <c r="X1180" s="5" t="s">
        <v>69</v>
      </c>
      <c r="Y1180" s="4">
        <v>103</v>
      </c>
      <c r="Z1180" s="4">
        <v>10</v>
      </c>
      <c r="AA1180" s="4">
        <v>117</v>
      </c>
      <c r="AB1180" s="4">
        <v>1</v>
      </c>
      <c r="AC1180" s="4">
        <v>19</v>
      </c>
      <c r="AD1180" s="4">
        <v>36</v>
      </c>
      <c r="AE1180" s="4">
        <v>146</v>
      </c>
      <c r="AF1180" s="4">
        <v>0</v>
      </c>
      <c r="AG1180" s="4">
        <v>8</v>
      </c>
      <c r="AH1180" s="4">
        <v>32</v>
      </c>
      <c r="AI1180" s="4">
        <v>105</v>
      </c>
      <c r="AJ1180" s="4">
        <v>6</v>
      </c>
      <c r="AK1180" s="4">
        <v>24</v>
      </c>
      <c r="AL1180" s="4">
        <v>15</v>
      </c>
      <c r="AM1180" s="4">
        <v>56</v>
      </c>
      <c r="AN1180" s="4">
        <v>5</v>
      </c>
      <c r="AO1180" s="4">
        <v>5</v>
      </c>
      <c r="AP1180" s="4">
        <v>7</v>
      </c>
      <c r="AQ1180" s="4">
        <v>49</v>
      </c>
      <c r="AR1180" s="3" t="s">
        <v>63</v>
      </c>
      <c r="AS1180" s="3" t="s">
        <v>63</v>
      </c>
      <c r="AT1180" s="3" t="s">
        <v>62</v>
      </c>
      <c r="AU1180" s="6" t="str">
        <f>HYPERLINK("http://catalog.hathitrust.org/Record/101860212","HathiTrust Record")</f>
        <v>HathiTrust Record</v>
      </c>
      <c r="AV1180" s="6" t="str">
        <f>HYPERLINK("http://mcgill.on.worldcat.org/oclc/111557","Catalog Record")</f>
        <v>Catalog Record</v>
      </c>
      <c r="AW1180" s="6" t="str">
        <f>HYPERLINK("http://www.worldcat.org/oclc/111557","WorldCat Record")</f>
        <v>WorldCat Record</v>
      </c>
      <c r="AX1180" s="3" t="s">
        <v>10960</v>
      </c>
      <c r="AY1180" s="3" t="s">
        <v>10961</v>
      </c>
      <c r="AZ1180" s="3" t="s">
        <v>10962</v>
      </c>
      <c r="BA1180" s="3" t="s">
        <v>10962</v>
      </c>
      <c r="BB1180" s="3" t="s">
        <v>10963</v>
      </c>
      <c r="BC1180" s="3" t="s">
        <v>82</v>
      </c>
      <c r="BD1180" s="3" t="s">
        <v>70</v>
      </c>
      <c r="BE1180" s="3" t="s">
        <v>10964</v>
      </c>
      <c r="BF1180" s="3" t="s">
        <v>10963</v>
      </c>
      <c r="BG1180" s="3" t="s">
        <v>10965</v>
      </c>
    </row>
    <row r="1181" spans="1:59" ht="60" x14ac:dyDescent="0.25">
      <c r="A1181" s="2" t="s">
        <v>59</v>
      </c>
      <c r="B1181" s="2" t="s">
        <v>60</v>
      </c>
      <c r="C1181" s="2" t="s">
        <v>10954</v>
      </c>
      <c r="D1181" s="2" t="s">
        <v>10955</v>
      </c>
      <c r="E1181" s="2" t="s">
        <v>10956</v>
      </c>
      <c r="G1181" s="3" t="s">
        <v>63</v>
      </c>
      <c r="I1181" s="3" t="s">
        <v>62</v>
      </c>
      <c r="J1181" s="3" t="s">
        <v>63</v>
      </c>
      <c r="K1181" s="3" t="s">
        <v>64</v>
      </c>
      <c r="L1181" s="2" t="s">
        <v>10454</v>
      </c>
      <c r="M1181" s="2" t="s">
        <v>10957</v>
      </c>
      <c r="N1181" s="3" t="s">
        <v>681</v>
      </c>
      <c r="P1181" s="3" t="s">
        <v>66</v>
      </c>
      <c r="Q1181" s="2" t="s">
        <v>10958</v>
      </c>
      <c r="R1181" s="3" t="s">
        <v>67</v>
      </c>
      <c r="S1181" s="4">
        <v>35</v>
      </c>
      <c r="T1181" s="4">
        <v>87</v>
      </c>
      <c r="U1181" s="5" t="s">
        <v>10959</v>
      </c>
      <c r="V1181" s="5" t="s">
        <v>10959</v>
      </c>
      <c r="W1181" s="5" t="s">
        <v>69</v>
      </c>
      <c r="X1181" s="5" t="s">
        <v>69</v>
      </c>
      <c r="Y1181" s="4">
        <v>103</v>
      </c>
      <c r="Z1181" s="4">
        <v>10</v>
      </c>
      <c r="AA1181" s="4">
        <v>117</v>
      </c>
      <c r="AB1181" s="4">
        <v>1</v>
      </c>
      <c r="AC1181" s="4">
        <v>19</v>
      </c>
      <c r="AD1181" s="4">
        <v>36</v>
      </c>
      <c r="AE1181" s="4">
        <v>146</v>
      </c>
      <c r="AF1181" s="4">
        <v>0</v>
      </c>
      <c r="AG1181" s="4">
        <v>8</v>
      </c>
      <c r="AH1181" s="4">
        <v>32</v>
      </c>
      <c r="AI1181" s="4">
        <v>105</v>
      </c>
      <c r="AJ1181" s="4">
        <v>6</v>
      </c>
      <c r="AK1181" s="4">
        <v>24</v>
      </c>
      <c r="AL1181" s="4">
        <v>15</v>
      </c>
      <c r="AM1181" s="4">
        <v>56</v>
      </c>
      <c r="AN1181" s="4">
        <v>5</v>
      </c>
      <c r="AO1181" s="4">
        <v>5</v>
      </c>
      <c r="AP1181" s="4">
        <v>7</v>
      </c>
      <c r="AQ1181" s="4">
        <v>49</v>
      </c>
      <c r="AR1181" s="3" t="s">
        <v>63</v>
      </c>
      <c r="AS1181" s="3" t="s">
        <v>63</v>
      </c>
      <c r="AT1181" s="3" t="s">
        <v>62</v>
      </c>
      <c r="AU1181" s="6" t="str">
        <f>HYPERLINK("http://catalog.hathitrust.org/Record/101860212","HathiTrust Record")</f>
        <v>HathiTrust Record</v>
      </c>
      <c r="AV1181" s="6" t="str">
        <f>HYPERLINK("http://mcgill.on.worldcat.org/oclc/111557","Catalog Record")</f>
        <v>Catalog Record</v>
      </c>
      <c r="AW1181" s="6" t="str">
        <f>HYPERLINK("http://www.worldcat.org/oclc/111557","WorldCat Record")</f>
        <v>WorldCat Record</v>
      </c>
      <c r="AX1181" s="3" t="s">
        <v>10960</v>
      </c>
      <c r="AY1181" s="3" t="s">
        <v>10961</v>
      </c>
      <c r="AZ1181" s="3" t="s">
        <v>10962</v>
      </c>
      <c r="BA1181" s="3" t="s">
        <v>10962</v>
      </c>
      <c r="BB1181" s="3" t="s">
        <v>10966</v>
      </c>
      <c r="BC1181" s="3" t="s">
        <v>82</v>
      </c>
      <c r="BD1181" s="3" t="s">
        <v>70</v>
      </c>
      <c r="BE1181" s="3" t="s">
        <v>10964</v>
      </c>
      <c r="BF1181" s="3" t="s">
        <v>10966</v>
      </c>
      <c r="BG1181" s="3" t="s">
        <v>10967</v>
      </c>
    </row>
    <row r="1182" spans="1:59" ht="60" x14ac:dyDescent="0.25">
      <c r="A1182" s="2" t="s">
        <v>59</v>
      </c>
      <c r="B1182" s="2" t="s">
        <v>60</v>
      </c>
      <c r="C1182" s="2" t="s">
        <v>10968</v>
      </c>
      <c r="D1182" s="2" t="s">
        <v>10969</v>
      </c>
      <c r="E1182" s="2" t="s">
        <v>10970</v>
      </c>
      <c r="G1182" s="3" t="s">
        <v>63</v>
      </c>
      <c r="I1182" s="3" t="s">
        <v>63</v>
      </c>
      <c r="J1182" s="3" t="s">
        <v>63</v>
      </c>
      <c r="K1182" s="3" t="s">
        <v>64</v>
      </c>
      <c r="M1182" s="2" t="s">
        <v>10971</v>
      </c>
      <c r="N1182" s="3" t="s">
        <v>427</v>
      </c>
      <c r="P1182" s="3" t="s">
        <v>66</v>
      </c>
      <c r="Q1182" s="2" t="s">
        <v>10972</v>
      </c>
      <c r="R1182" s="3" t="s">
        <v>67</v>
      </c>
      <c r="S1182" s="4">
        <v>45</v>
      </c>
      <c r="T1182" s="4">
        <v>45</v>
      </c>
      <c r="U1182" s="5" t="s">
        <v>5434</v>
      </c>
      <c r="V1182" s="5" t="s">
        <v>5434</v>
      </c>
      <c r="W1182" s="5" t="s">
        <v>69</v>
      </c>
      <c r="X1182" s="5" t="s">
        <v>69</v>
      </c>
      <c r="Y1182" s="4">
        <v>477</v>
      </c>
      <c r="Z1182" s="4">
        <v>21</v>
      </c>
      <c r="AA1182" s="4">
        <v>21</v>
      </c>
      <c r="AB1182" s="4">
        <v>2</v>
      </c>
      <c r="AC1182" s="4">
        <v>2</v>
      </c>
      <c r="AD1182" s="4">
        <v>74</v>
      </c>
      <c r="AE1182" s="4">
        <v>74</v>
      </c>
      <c r="AF1182" s="4">
        <v>0</v>
      </c>
      <c r="AG1182" s="4">
        <v>0</v>
      </c>
      <c r="AH1182" s="4">
        <v>67</v>
      </c>
      <c r="AI1182" s="4">
        <v>67</v>
      </c>
      <c r="AJ1182" s="4">
        <v>12</v>
      </c>
      <c r="AK1182" s="4">
        <v>12</v>
      </c>
      <c r="AL1182" s="4">
        <v>37</v>
      </c>
      <c r="AM1182" s="4">
        <v>37</v>
      </c>
      <c r="AN1182" s="4">
        <v>0</v>
      </c>
      <c r="AO1182" s="4">
        <v>0</v>
      </c>
      <c r="AP1182" s="4">
        <v>13</v>
      </c>
      <c r="AQ1182" s="4">
        <v>13</v>
      </c>
      <c r="AR1182" s="3" t="s">
        <v>63</v>
      </c>
      <c r="AS1182" s="3" t="s">
        <v>63</v>
      </c>
      <c r="AT1182" s="3" t="s">
        <v>62</v>
      </c>
      <c r="AU1182" s="6" t="str">
        <f>HYPERLINK("http://catalog.hathitrust.org/Record/000930037","HathiTrust Record")</f>
        <v>HathiTrust Record</v>
      </c>
      <c r="AV1182" s="6" t="str">
        <f>HYPERLINK("http://mcgill.on.worldcat.org/oclc/16004626","Catalog Record")</f>
        <v>Catalog Record</v>
      </c>
      <c r="AW1182" s="6" t="str">
        <f>HYPERLINK("http://www.worldcat.org/oclc/16004626","WorldCat Record")</f>
        <v>WorldCat Record</v>
      </c>
      <c r="AX1182" s="3" t="s">
        <v>10973</v>
      </c>
      <c r="AY1182" s="3" t="s">
        <v>10974</v>
      </c>
      <c r="AZ1182" s="3" t="s">
        <v>10975</v>
      </c>
      <c r="BA1182" s="3" t="s">
        <v>10975</v>
      </c>
      <c r="BB1182" s="3" t="s">
        <v>10976</v>
      </c>
      <c r="BC1182" s="3" t="s">
        <v>82</v>
      </c>
      <c r="BD1182" s="3" t="s">
        <v>538</v>
      </c>
      <c r="BE1182" s="3" t="s">
        <v>10977</v>
      </c>
      <c r="BF1182" s="3" t="s">
        <v>10976</v>
      </c>
      <c r="BG1182" s="3" t="s">
        <v>10978</v>
      </c>
    </row>
    <row r="1183" spans="1:59" ht="60" x14ac:dyDescent="0.25">
      <c r="A1183" s="2" t="s">
        <v>59</v>
      </c>
      <c r="B1183" s="2" t="s">
        <v>60</v>
      </c>
      <c r="C1183" s="2" t="s">
        <v>10979</v>
      </c>
      <c r="D1183" s="2" t="s">
        <v>10980</v>
      </c>
      <c r="E1183" s="2" t="s">
        <v>10981</v>
      </c>
      <c r="G1183" s="3" t="s">
        <v>63</v>
      </c>
      <c r="I1183" s="3" t="s">
        <v>63</v>
      </c>
      <c r="J1183" s="3" t="s">
        <v>63</v>
      </c>
      <c r="K1183" s="3" t="s">
        <v>64</v>
      </c>
      <c r="L1183" s="2" t="s">
        <v>10982</v>
      </c>
      <c r="M1183" s="2" t="s">
        <v>10983</v>
      </c>
      <c r="N1183" s="3" t="s">
        <v>531</v>
      </c>
      <c r="P1183" s="3" t="s">
        <v>66</v>
      </c>
      <c r="Q1183" s="2" t="s">
        <v>10984</v>
      </c>
      <c r="R1183" s="3" t="s">
        <v>67</v>
      </c>
      <c r="S1183" s="4">
        <v>28</v>
      </c>
      <c r="T1183" s="4">
        <v>28</v>
      </c>
      <c r="U1183" s="5" t="s">
        <v>328</v>
      </c>
      <c r="V1183" s="5" t="s">
        <v>328</v>
      </c>
      <c r="W1183" s="5" t="s">
        <v>69</v>
      </c>
      <c r="X1183" s="5" t="s">
        <v>69</v>
      </c>
      <c r="Y1183" s="4">
        <v>625</v>
      </c>
      <c r="Z1183" s="4">
        <v>39</v>
      </c>
      <c r="AA1183" s="4">
        <v>39</v>
      </c>
      <c r="AB1183" s="4">
        <v>1</v>
      </c>
      <c r="AC1183" s="4">
        <v>1</v>
      </c>
      <c r="AD1183" s="4">
        <v>110</v>
      </c>
      <c r="AE1183" s="4">
        <v>110</v>
      </c>
      <c r="AF1183" s="4">
        <v>0</v>
      </c>
      <c r="AG1183" s="4">
        <v>0</v>
      </c>
      <c r="AH1183" s="4">
        <v>94</v>
      </c>
      <c r="AI1183" s="4">
        <v>94</v>
      </c>
      <c r="AJ1183" s="4">
        <v>15</v>
      </c>
      <c r="AK1183" s="4">
        <v>15</v>
      </c>
      <c r="AL1183" s="4">
        <v>52</v>
      </c>
      <c r="AM1183" s="4">
        <v>52</v>
      </c>
      <c r="AN1183" s="4">
        <v>0</v>
      </c>
      <c r="AO1183" s="4">
        <v>0</v>
      </c>
      <c r="AP1183" s="4">
        <v>25</v>
      </c>
      <c r="AQ1183" s="4">
        <v>25</v>
      </c>
      <c r="AR1183" s="3" t="s">
        <v>63</v>
      </c>
      <c r="AS1183" s="3" t="s">
        <v>63</v>
      </c>
      <c r="AT1183" s="3" t="s">
        <v>63</v>
      </c>
      <c r="AV1183" s="6" t="str">
        <f>HYPERLINK("http://mcgill.on.worldcat.org/oclc/24912935","Catalog Record")</f>
        <v>Catalog Record</v>
      </c>
      <c r="AW1183" s="6" t="str">
        <f>HYPERLINK("http://www.worldcat.org/oclc/24912935","WorldCat Record")</f>
        <v>WorldCat Record</v>
      </c>
      <c r="AX1183" s="3" t="s">
        <v>10985</v>
      </c>
      <c r="AY1183" s="3" t="s">
        <v>10986</v>
      </c>
      <c r="AZ1183" s="3" t="s">
        <v>10987</v>
      </c>
      <c r="BA1183" s="3" t="s">
        <v>10987</v>
      </c>
      <c r="BB1183" s="3" t="s">
        <v>10988</v>
      </c>
      <c r="BC1183" s="3" t="s">
        <v>82</v>
      </c>
      <c r="BD1183" s="3" t="s">
        <v>70</v>
      </c>
      <c r="BE1183" s="3" t="s">
        <v>10989</v>
      </c>
      <c r="BF1183" s="3" t="s">
        <v>10988</v>
      </c>
      <c r="BG1183" s="3" t="s">
        <v>10990</v>
      </c>
    </row>
    <row r="1184" spans="1:59" ht="60" x14ac:dyDescent="0.25">
      <c r="A1184" s="2" t="s">
        <v>59</v>
      </c>
      <c r="B1184" s="2" t="s">
        <v>60</v>
      </c>
      <c r="C1184" s="2" t="s">
        <v>10991</v>
      </c>
      <c r="D1184" s="2" t="s">
        <v>10992</v>
      </c>
      <c r="E1184" s="2" t="s">
        <v>10993</v>
      </c>
      <c r="G1184" s="3" t="s">
        <v>63</v>
      </c>
      <c r="I1184" s="3" t="s">
        <v>63</v>
      </c>
      <c r="J1184" s="3" t="s">
        <v>63</v>
      </c>
      <c r="K1184" s="3" t="s">
        <v>64</v>
      </c>
      <c r="L1184" s="2" t="s">
        <v>10994</v>
      </c>
      <c r="M1184" s="2" t="s">
        <v>10995</v>
      </c>
      <c r="N1184" s="3" t="s">
        <v>731</v>
      </c>
      <c r="P1184" s="3" t="s">
        <v>66</v>
      </c>
      <c r="Q1184" s="2" t="s">
        <v>10996</v>
      </c>
      <c r="R1184" s="3" t="s">
        <v>67</v>
      </c>
      <c r="S1184" s="4">
        <v>16</v>
      </c>
      <c r="T1184" s="4">
        <v>16</v>
      </c>
      <c r="U1184" s="5" t="s">
        <v>10997</v>
      </c>
      <c r="V1184" s="5" t="s">
        <v>10997</v>
      </c>
      <c r="W1184" s="5" t="s">
        <v>69</v>
      </c>
      <c r="X1184" s="5" t="s">
        <v>69</v>
      </c>
      <c r="Y1184" s="4">
        <v>168</v>
      </c>
      <c r="Z1184" s="4">
        <v>16</v>
      </c>
      <c r="AA1184" s="4">
        <v>17</v>
      </c>
      <c r="AB1184" s="4">
        <v>1</v>
      </c>
      <c r="AC1184" s="4">
        <v>1</v>
      </c>
      <c r="AD1184" s="4">
        <v>79</v>
      </c>
      <c r="AE1184" s="4">
        <v>86</v>
      </c>
      <c r="AF1184" s="4">
        <v>0</v>
      </c>
      <c r="AG1184" s="4">
        <v>0</v>
      </c>
      <c r="AH1184" s="4">
        <v>71</v>
      </c>
      <c r="AI1184" s="4">
        <v>77</v>
      </c>
      <c r="AJ1184" s="4">
        <v>14</v>
      </c>
      <c r="AK1184" s="4">
        <v>15</v>
      </c>
      <c r="AL1184" s="4">
        <v>46</v>
      </c>
      <c r="AM1184" s="4">
        <v>50</v>
      </c>
      <c r="AN1184" s="4">
        <v>0</v>
      </c>
      <c r="AO1184" s="4">
        <v>0</v>
      </c>
      <c r="AP1184" s="4">
        <v>14</v>
      </c>
      <c r="AQ1184" s="4">
        <v>15</v>
      </c>
      <c r="AR1184" s="3" t="s">
        <v>63</v>
      </c>
      <c r="AS1184" s="3" t="s">
        <v>63</v>
      </c>
      <c r="AT1184" s="3" t="s">
        <v>62</v>
      </c>
      <c r="AU1184" s="6" t="str">
        <f>HYPERLINK("http://catalog.hathitrust.org/Record/000082920","HathiTrust Record")</f>
        <v>HathiTrust Record</v>
      </c>
      <c r="AV1184" s="6" t="str">
        <f>HYPERLINK("http://mcgill.on.worldcat.org/oclc/2507849","Catalog Record")</f>
        <v>Catalog Record</v>
      </c>
      <c r="AW1184" s="6" t="str">
        <f>HYPERLINK("http://www.worldcat.org/oclc/2507849","WorldCat Record")</f>
        <v>WorldCat Record</v>
      </c>
      <c r="AX1184" s="3" t="s">
        <v>10998</v>
      </c>
      <c r="AY1184" s="3" t="s">
        <v>10999</v>
      </c>
      <c r="AZ1184" s="3" t="s">
        <v>11000</v>
      </c>
      <c r="BA1184" s="3" t="s">
        <v>11000</v>
      </c>
      <c r="BB1184" s="3" t="s">
        <v>11001</v>
      </c>
      <c r="BC1184" s="3" t="s">
        <v>82</v>
      </c>
      <c r="BD1184" s="3" t="s">
        <v>70</v>
      </c>
      <c r="BE1184" s="3" t="s">
        <v>11002</v>
      </c>
      <c r="BF1184" s="3" t="s">
        <v>11001</v>
      </c>
      <c r="BG1184" s="3" t="s">
        <v>11003</v>
      </c>
    </row>
    <row r="1185" spans="1:59" ht="75" x14ac:dyDescent="0.25">
      <c r="A1185" s="2" t="s">
        <v>59</v>
      </c>
      <c r="B1185" s="2" t="s">
        <v>60</v>
      </c>
      <c r="C1185" s="2" t="s">
        <v>11004</v>
      </c>
      <c r="D1185" s="2" t="s">
        <v>11005</v>
      </c>
      <c r="E1185" s="2" t="s">
        <v>11006</v>
      </c>
      <c r="G1185" s="3" t="s">
        <v>63</v>
      </c>
      <c r="I1185" s="3" t="s">
        <v>63</v>
      </c>
      <c r="J1185" s="3" t="s">
        <v>63</v>
      </c>
      <c r="K1185" s="3" t="s">
        <v>64</v>
      </c>
      <c r="L1185" s="2" t="s">
        <v>11007</v>
      </c>
      <c r="M1185" s="2" t="s">
        <v>11008</v>
      </c>
      <c r="N1185" s="3" t="s">
        <v>531</v>
      </c>
      <c r="P1185" s="3" t="s">
        <v>66</v>
      </c>
      <c r="Q1185" s="2" t="s">
        <v>11009</v>
      </c>
      <c r="R1185" s="3" t="s">
        <v>67</v>
      </c>
      <c r="S1185" s="4">
        <v>29</v>
      </c>
      <c r="T1185" s="4">
        <v>29</v>
      </c>
      <c r="U1185" s="5" t="s">
        <v>5434</v>
      </c>
      <c r="V1185" s="5" t="s">
        <v>5434</v>
      </c>
      <c r="W1185" s="5" t="s">
        <v>69</v>
      </c>
      <c r="X1185" s="5" t="s">
        <v>69</v>
      </c>
      <c r="Y1185" s="4">
        <v>525</v>
      </c>
      <c r="Z1185" s="4">
        <v>22</v>
      </c>
      <c r="AA1185" s="4">
        <v>109</v>
      </c>
      <c r="AB1185" s="4">
        <v>1</v>
      </c>
      <c r="AC1185" s="4">
        <v>18</v>
      </c>
      <c r="AD1185" s="4">
        <v>98</v>
      </c>
      <c r="AE1185" s="4">
        <v>147</v>
      </c>
      <c r="AF1185" s="4">
        <v>0</v>
      </c>
      <c r="AG1185" s="4">
        <v>8</v>
      </c>
      <c r="AH1185" s="4">
        <v>88</v>
      </c>
      <c r="AI1185" s="4">
        <v>107</v>
      </c>
      <c r="AJ1185" s="4">
        <v>13</v>
      </c>
      <c r="AK1185" s="4">
        <v>27</v>
      </c>
      <c r="AL1185" s="4">
        <v>50</v>
      </c>
      <c r="AM1185" s="4">
        <v>58</v>
      </c>
      <c r="AN1185" s="4">
        <v>0</v>
      </c>
      <c r="AO1185" s="4">
        <v>0</v>
      </c>
      <c r="AP1185" s="4">
        <v>17</v>
      </c>
      <c r="AQ1185" s="4">
        <v>50</v>
      </c>
      <c r="AR1185" s="3" t="s">
        <v>63</v>
      </c>
      <c r="AS1185" s="3" t="s">
        <v>63</v>
      </c>
      <c r="AT1185" s="3" t="s">
        <v>62</v>
      </c>
      <c r="AU1185" s="6" t="str">
        <f>HYPERLINK("http://catalog.hathitrust.org/Record/002602336","HathiTrust Record")</f>
        <v>HathiTrust Record</v>
      </c>
      <c r="AV1185" s="6" t="str">
        <f>HYPERLINK("http://mcgill.on.worldcat.org/oclc/24468362","Catalog Record")</f>
        <v>Catalog Record</v>
      </c>
      <c r="AW1185" s="6" t="str">
        <f>HYPERLINK("http://www.worldcat.org/oclc/24468362","WorldCat Record")</f>
        <v>WorldCat Record</v>
      </c>
      <c r="AX1185" s="3" t="s">
        <v>11010</v>
      </c>
      <c r="AY1185" s="3" t="s">
        <v>11011</v>
      </c>
      <c r="AZ1185" s="3" t="s">
        <v>11012</v>
      </c>
      <c r="BA1185" s="3" t="s">
        <v>11012</v>
      </c>
      <c r="BB1185" s="3" t="s">
        <v>11013</v>
      </c>
      <c r="BC1185" s="3" t="s">
        <v>82</v>
      </c>
      <c r="BD1185" s="3" t="s">
        <v>538</v>
      </c>
      <c r="BE1185" s="3" t="s">
        <v>11014</v>
      </c>
      <c r="BF1185" s="3" t="s">
        <v>11013</v>
      </c>
      <c r="BG1185" s="3" t="s">
        <v>11015</v>
      </c>
    </row>
    <row r="1186" spans="1:59" ht="75" x14ac:dyDescent="0.25">
      <c r="A1186" s="2" t="s">
        <v>59</v>
      </c>
      <c r="B1186" s="2" t="s">
        <v>60</v>
      </c>
      <c r="C1186" s="2" t="s">
        <v>11016</v>
      </c>
      <c r="D1186" s="2" t="s">
        <v>11017</v>
      </c>
      <c r="E1186" s="2" t="s">
        <v>11018</v>
      </c>
      <c r="G1186" s="3" t="s">
        <v>63</v>
      </c>
      <c r="I1186" s="3" t="s">
        <v>63</v>
      </c>
      <c r="J1186" s="3" t="s">
        <v>63</v>
      </c>
      <c r="K1186" s="3" t="s">
        <v>64</v>
      </c>
      <c r="M1186" s="2" t="s">
        <v>11019</v>
      </c>
      <c r="N1186" s="3" t="s">
        <v>693</v>
      </c>
      <c r="P1186" s="3" t="s">
        <v>66</v>
      </c>
      <c r="Q1186" s="2" t="s">
        <v>3902</v>
      </c>
      <c r="R1186" s="3" t="s">
        <v>67</v>
      </c>
      <c r="S1186" s="4">
        <v>15</v>
      </c>
      <c r="T1186" s="4">
        <v>15</v>
      </c>
      <c r="U1186" s="5" t="s">
        <v>9858</v>
      </c>
      <c r="V1186" s="5" t="s">
        <v>9858</v>
      </c>
      <c r="W1186" s="5" t="s">
        <v>69</v>
      </c>
      <c r="X1186" s="5" t="s">
        <v>69</v>
      </c>
      <c r="Y1186" s="4">
        <v>190</v>
      </c>
      <c r="Z1186" s="4">
        <v>13</v>
      </c>
      <c r="AA1186" s="4">
        <v>30</v>
      </c>
      <c r="AB1186" s="4">
        <v>1</v>
      </c>
      <c r="AC1186" s="4">
        <v>8</v>
      </c>
      <c r="AD1186" s="4">
        <v>89</v>
      </c>
      <c r="AE1186" s="4">
        <v>106</v>
      </c>
      <c r="AF1186" s="4">
        <v>0</v>
      </c>
      <c r="AG1186" s="4">
        <v>2</v>
      </c>
      <c r="AH1186" s="4">
        <v>83</v>
      </c>
      <c r="AI1186" s="4">
        <v>91</v>
      </c>
      <c r="AJ1186" s="4">
        <v>10</v>
      </c>
      <c r="AK1186" s="4">
        <v>15</v>
      </c>
      <c r="AL1186" s="4">
        <v>48</v>
      </c>
      <c r="AM1186" s="4">
        <v>53</v>
      </c>
      <c r="AN1186" s="4">
        <v>0</v>
      </c>
      <c r="AO1186" s="4">
        <v>0</v>
      </c>
      <c r="AP1186" s="4">
        <v>11</v>
      </c>
      <c r="AQ1186" s="4">
        <v>20</v>
      </c>
      <c r="AR1186" s="3" t="s">
        <v>63</v>
      </c>
      <c r="AS1186" s="3" t="s">
        <v>63</v>
      </c>
      <c r="AT1186" s="3" t="s">
        <v>62</v>
      </c>
      <c r="AU1186" s="6" t="str">
        <f>HYPERLINK("http://catalog.hathitrust.org/Record/004369886","HathiTrust Record")</f>
        <v>HathiTrust Record</v>
      </c>
      <c r="AV1186" s="6" t="str">
        <f>HYPERLINK("http://mcgill.on.worldcat.org/oclc/51905762","Catalog Record")</f>
        <v>Catalog Record</v>
      </c>
      <c r="AW1186" s="6" t="str">
        <f>HYPERLINK("http://www.worldcat.org/oclc/51905762","WorldCat Record")</f>
        <v>WorldCat Record</v>
      </c>
      <c r="AX1186" s="3" t="s">
        <v>11020</v>
      </c>
      <c r="AY1186" s="3" t="s">
        <v>11021</v>
      </c>
      <c r="AZ1186" s="3" t="s">
        <v>11022</v>
      </c>
      <c r="BA1186" s="3" t="s">
        <v>11022</v>
      </c>
      <c r="BB1186" s="3" t="s">
        <v>11023</v>
      </c>
      <c r="BC1186" s="3" t="s">
        <v>82</v>
      </c>
      <c r="BD1186" s="3" t="s">
        <v>70</v>
      </c>
      <c r="BE1186" s="3" t="s">
        <v>11024</v>
      </c>
      <c r="BF1186" s="3" t="s">
        <v>11023</v>
      </c>
      <c r="BG1186" s="3" t="s">
        <v>11025</v>
      </c>
    </row>
    <row r="1187" spans="1:59" ht="60" x14ac:dyDescent="0.25">
      <c r="A1187" s="2" t="s">
        <v>59</v>
      </c>
      <c r="B1187" s="2" t="s">
        <v>60</v>
      </c>
      <c r="C1187" s="2" t="s">
        <v>11026</v>
      </c>
      <c r="D1187" s="2" t="s">
        <v>11027</v>
      </c>
      <c r="E1187" s="2" t="s">
        <v>11028</v>
      </c>
      <c r="G1187" s="3" t="s">
        <v>63</v>
      </c>
      <c r="I1187" s="3" t="s">
        <v>63</v>
      </c>
      <c r="J1187" s="3" t="s">
        <v>63</v>
      </c>
      <c r="K1187" s="3" t="s">
        <v>64</v>
      </c>
      <c r="L1187" s="2" t="s">
        <v>11029</v>
      </c>
      <c r="M1187" s="2" t="s">
        <v>11030</v>
      </c>
      <c r="N1187" s="3" t="s">
        <v>1916</v>
      </c>
      <c r="P1187" s="3" t="s">
        <v>66</v>
      </c>
      <c r="R1187" s="3" t="s">
        <v>67</v>
      </c>
      <c r="S1187" s="4">
        <v>9</v>
      </c>
      <c r="T1187" s="4">
        <v>9</v>
      </c>
      <c r="U1187" s="5" t="s">
        <v>10997</v>
      </c>
      <c r="V1187" s="5" t="s">
        <v>10997</v>
      </c>
      <c r="W1187" s="5" t="s">
        <v>69</v>
      </c>
      <c r="X1187" s="5" t="s">
        <v>69</v>
      </c>
      <c r="Y1187" s="4">
        <v>197</v>
      </c>
      <c r="Z1187" s="4">
        <v>16</v>
      </c>
      <c r="AA1187" s="4">
        <v>16</v>
      </c>
      <c r="AB1187" s="4">
        <v>2</v>
      </c>
      <c r="AC1187" s="4">
        <v>2</v>
      </c>
      <c r="AD1187" s="4">
        <v>87</v>
      </c>
      <c r="AE1187" s="4">
        <v>87</v>
      </c>
      <c r="AF1187" s="4">
        <v>1</v>
      </c>
      <c r="AG1187" s="4">
        <v>1</v>
      </c>
      <c r="AH1187" s="4">
        <v>78</v>
      </c>
      <c r="AI1187" s="4">
        <v>78</v>
      </c>
      <c r="AJ1187" s="4">
        <v>14</v>
      </c>
      <c r="AK1187" s="4">
        <v>14</v>
      </c>
      <c r="AL1187" s="4">
        <v>45</v>
      </c>
      <c r="AM1187" s="4">
        <v>45</v>
      </c>
      <c r="AN1187" s="4">
        <v>0</v>
      </c>
      <c r="AO1187" s="4">
        <v>0</v>
      </c>
      <c r="AP1187" s="4">
        <v>14</v>
      </c>
      <c r="AQ1187" s="4">
        <v>14</v>
      </c>
      <c r="AR1187" s="3" t="s">
        <v>63</v>
      </c>
      <c r="AS1187" s="3" t="s">
        <v>63</v>
      </c>
      <c r="AT1187" s="3" t="s">
        <v>62</v>
      </c>
      <c r="AU1187" s="6" t="str">
        <f>HYPERLINK("http://catalog.hathitrust.org/Record/000605325","HathiTrust Record")</f>
        <v>HathiTrust Record</v>
      </c>
      <c r="AV1187" s="6" t="str">
        <f>HYPERLINK("http://mcgill.on.worldcat.org/oclc/11212087","Catalog Record")</f>
        <v>Catalog Record</v>
      </c>
      <c r="AW1187" s="6" t="str">
        <f>HYPERLINK("http://www.worldcat.org/oclc/11212087","WorldCat Record")</f>
        <v>WorldCat Record</v>
      </c>
      <c r="AX1187" s="3" t="s">
        <v>11031</v>
      </c>
      <c r="AY1187" s="3" t="s">
        <v>11032</v>
      </c>
      <c r="AZ1187" s="3" t="s">
        <v>11033</v>
      </c>
      <c r="BA1187" s="3" t="s">
        <v>11033</v>
      </c>
      <c r="BB1187" s="3" t="s">
        <v>11034</v>
      </c>
      <c r="BC1187" s="3" t="s">
        <v>82</v>
      </c>
      <c r="BD1187" s="3" t="s">
        <v>70</v>
      </c>
      <c r="BE1187" s="3" t="s">
        <v>11035</v>
      </c>
      <c r="BF1187" s="3" t="s">
        <v>11034</v>
      </c>
      <c r="BG1187" s="3" t="s">
        <v>11036</v>
      </c>
    </row>
    <row r="1188" spans="1:59" ht="60" x14ac:dyDescent="0.25">
      <c r="A1188" s="2" t="s">
        <v>59</v>
      </c>
      <c r="B1188" s="2" t="s">
        <v>60</v>
      </c>
      <c r="C1188" s="2" t="s">
        <v>11037</v>
      </c>
      <c r="D1188" s="2" t="s">
        <v>11038</v>
      </c>
      <c r="E1188" s="2" t="s">
        <v>11039</v>
      </c>
      <c r="G1188" s="3" t="s">
        <v>63</v>
      </c>
      <c r="I1188" s="3" t="s">
        <v>63</v>
      </c>
      <c r="J1188" s="3" t="s">
        <v>63</v>
      </c>
      <c r="K1188" s="3" t="s">
        <v>64</v>
      </c>
      <c r="M1188" s="2" t="s">
        <v>11040</v>
      </c>
      <c r="N1188" s="3" t="s">
        <v>261</v>
      </c>
      <c r="P1188" s="3" t="s">
        <v>90</v>
      </c>
      <c r="R1188" s="3" t="s">
        <v>67</v>
      </c>
      <c r="S1188" s="4">
        <v>4</v>
      </c>
      <c r="T1188" s="4">
        <v>4</v>
      </c>
      <c r="U1188" s="5" t="s">
        <v>5434</v>
      </c>
      <c r="V1188" s="5" t="s">
        <v>5434</v>
      </c>
      <c r="W1188" s="5" t="s">
        <v>69</v>
      </c>
      <c r="X1188" s="5" t="s">
        <v>69</v>
      </c>
      <c r="Y1188" s="4">
        <v>63</v>
      </c>
      <c r="Z1188" s="4">
        <v>6</v>
      </c>
      <c r="AA1188" s="4">
        <v>6</v>
      </c>
      <c r="AB1188" s="4">
        <v>1</v>
      </c>
      <c r="AC1188" s="4">
        <v>1</v>
      </c>
      <c r="AD1188" s="4">
        <v>44</v>
      </c>
      <c r="AE1188" s="4">
        <v>44</v>
      </c>
      <c r="AF1188" s="4">
        <v>0</v>
      </c>
      <c r="AG1188" s="4">
        <v>0</v>
      </c>
      <c r="AH1188" s="4">
        <v>43</v>
      </c>
      <c r="AI1188" s="4">
        <v>43</v>
      </c>
      <c r="AJ1188" s="4">
        <v>4</v>
      </c>
      <c r="AK1188" s="4">
        <v>4</v>
      </c>
      <c r="AL1188" s="4">
        <v>36</v>
      </c>
      <c r="AM1188" s="4">
        <v>36</v>
      </c>
      <c r="AN1188" s="4">
        <v>0</v>
      </c>
      <c r="AO1188" s="4">
        <v>0</v>
      </c>
      <c r="AP1188" s="4">
        <v>4</v>
      </c>
      <c r="AQ1188" s="4">
        <v>4</v>
      </c>
      <c r="AR1188" s="3" t="s">
        <v>63</v>
      </c>
      <c r="AS1188" s="3" t="s">
        <v>63</v>
      </c>
      <c r="AT1188" s="3" t="s">
        <v>63</v>
      </c>
      <c r="AV1188" s="6" t="str">
        <f>HYPERLINK("http://mcgill.on.worldcat.org/oclc/173398939","Catalog Record")</f>
        <v>Catalog Record</v>
      </c>
      <c r="AW1188" s="6" t="str">
        <f>HYPERLINK("http://www.worldcat.org/oclc/173398939","WorldCat Record")</f>
        <v>WorldCat Record</v>
      </c>
      <c r="AX1188" s="3" t="s">
        <v>11041</v>
      </c>
      <c r="AY1188" s="3" t="s">
        <v>11042</v>
      </c>
      <c r="AZ1188" s="3" t="s">
        <v>11043</v>
      </c>
      <c r="BA1188" s="3" t="s">
        <v>11043</v>
      </c>
      <c r="BB1188" s="3" t="s">
        <v>11044</v>
      </c>
      <c r="BC1188" s="3" t="s">
        <v>82</v>
      </c>
      <c r="BD1188" s="3" t="s">
        <v>538</v>
      </c>
      <c r="BE1188" s="3" t="s">
        <v>11045</v>
      </c>
      <c r="BF1188" s="3" t="s">
        <v>11044</v>
      </c>
      <c r="BG1188" s="3" t="s">
        <v>11046</v>
      </c>
    </row>
    <row r="1189" spans="1:59" ht="60" x14ac:dyDescent="0.25">
      <c r="A1189" s="2" t="s">
        <v>59</v>
      </c>
      <c r="B1189" s="2" t="s">
        <v>60</v>
      </c>
      <c r="C1189" s="2" t="s">
        <v>11047</v>
      </c>
      <c r="D1189" s="2" t="s">
        <v>11048</v>
      </c>
      <c r="E1189" s="2" t="s">
        <v>11049</v>
      </c>
      <c r="G1189" s="3" t="s">
        <v>63</v>
      </c>
      <c r="I1189" s="3" t="s">
        <v>62</v>
      </c>
      <c r="J1189" s="3" t="s">
        <v>62</v>
      </c>
      <c r="K1189" s="3" t="s">
        <v>64</v>
      </c>
      <c r="L1189" s="2" t="s">
        <v>11050</v>
      </c>
      <c r="M1189" s="2" t="s">
        <v>11051</v>
      </c>
      <c r="N1189" s="3" t="s">
        <v>1343</v>
      </c>
      <c r="O1189" s="2" t="s">
        <v>11052</v>
      </c>
      <c r="P1189" s="3" t="s">
        <v>66</v>
      </c>
      <c r="R1189" s="3" t="s">
        <v>67</v>
      </c>
      <c r="S1189" s="4">
        <v>1</v>
      </c>
      <c r="T1189" s="4">
        <v>3</v>
      </c>
      <c r="U1189" s="5" t="s">
        <v>11053</v>
      </c>
      <c r="V1189" s="5" t="s">
        <v>10959</v>
      </c>
      <c r="W1189" s="5" t="s">
        <v>69</v>
      </c>
      <c r="X1189" s="5" t="s">
        <v>69</v>
      </c>
      <c r="Y1189" s="4">
        <v>254</v>
      </c>
      <c r="Z1189" s="4">
        <v>20</v>
      </c>
      <c r="AA1189" s="4">
        <v>39</v>
      </c>
      <c r="AB1189" s="4">
        <v>1</v>
      </c>
      <c r="AC1189" s="4">
        <v>3</v>
      </c>
      <c r="AD1189" s="4">
        <v>74</v>
      </c>
      <c r="AE1189" s="4">
        <v>125</v>
      </c>
      <c r="AF1189" s="4">
        <v>0</v>
      </c>
      <c r="AG1189" s="4">
        <v>1</v>
      </c>
      <c r="AH1189" s="4">
        <v>67</v>
      </c>
      <c r="AI1189" s="4">
        <v>108</v>
      </c>
      <c r="AJ1189" s="4">
        <v>13</v>
      </c>
      <c r="AK1189" s="4">
        <v>20</v>
      </c>
      <c r="AL1189" s="4">
        <v>31</v>
      </c>
      <c r="AM1189" s="4">
        <v>56</v>
      </c>
      <c r="AN1189" s="4">
        <v>5</v>
      </c>
      <c r="AO1189" s="4">
        <v>5</v>
      </c>
      <c r="AP1189" s="4">
        <v>14</v>
      </c>
      <c r="AQ1189" s="4">
        <v>26</v>
      </c>
      <c r="AR1189" s="3" t="s">
        <v>63</v>
      </c>
      <c r="AS1189" s="3" t="s">
        <v>63</v>
      </c>
      <c r="AT1189" s="3" t="s">
        <v>62</v>
      </c>
      <c r="AU1189" s="6" t="str">
        <f>HYPERLINK("http://catalog.hathitrust.org/Record/102011484","HathiTrust Record")</f>
        <v>HathiTrust Record</v>
      </c>
      <c r="AV1189" s="6" t="str">
        <f>HYPERLINK("http://mcgill.on.worldcat.org/oclc/44775335","Catalog Record")</f>
        <v>Catalog Record</v>
      </c>
      <c r="AW1189" s="6" t="str">
        <f>HYPERLINK("http://www.worldcat.org/oclc/44775335","WorldCat Record")</f>
        <v>WorldCat Record</v>
      </c>
      <c r="AX1189" s="3" t="s">
        <v>11054</v>
      </c>
      <c r="AY1189" s="3" t="s">
        <v>11055</v>
      </c>
      <c r="AZ1189" s="3" t="s">
        <v>11056</v>
      </c>
      <c r="BA1189" s="3" t="s">
        <v>11056</v>
      </c>
      <c r="BB1189" s="3" t="s">
        <v>11057</v>
      </c>
      <c r="BC1189" s="3" t="s">
        <v>82</v>
      </c>
      <c r="BD1189" s="3" t="s">
        <v>70</v>
      </c>
      <c r="BE1189" s="3" t="s">
        <v>11058</v>
      </c>
      <c r="BF1189" s="3" t="s">
        <v>11057</v>
      </c>
      <c r="BG1189" s="3" t="s">
        <v>11059</v>
      </c>
    </row>
    <row r="1190" spans="1:59" ht="60" x14ac:dyDescent="0.25">
      <c r="A1190" s="2" t="s">
        <v>59</v>
      </c>
      <c r="B1190" s="2" t="s">
        <v>60</v>
      </c>
      <c r="C1190" s="2" t="s">
        <v>11047</v>
      </c>
      <c r="D1190" s="2" t="s">
        <v>11048</v>
      </c>
      <c r="E1190" s="2" t="s">
        <v>11049</v>
      </c>
      <c r="G1190" s="3" t="s">
        <v>63</v>
      </c>
      <c r="I1190" s="3" t="s">
        <v>62</v>
      </c>
      <c r="J1190" s="3" t="s">
        <v>62</v>
      </c>
      <c r="K1190" s="3" t="s">
        <v>64</v>
      </c>
      <c r="L1190" s="2" t="s">
        <v>11050</v>
      </c>
      <c r="M1190" s="2" t="s">
        <v>11051</v>
      </c>
      <c r="N1190" s="3" t="s">
        <v>1343</v>
      </c>
      <c r="O1190" s="2" t="s">
        <v>11052</v>
      </c>
      <c r="P1190" s="3" t="s">
        <v>66</v>
      </c>
      <c r="R1190" s="3" t="s">
        <v>67</v>
      </c>
      <c r="S1190" s="4">
        <v>2</v>
      </c>
      <c r="T1190" s="4">
        <v>3</v>
      </c>
      <c r="U1190" s="5" t="s">
        <v>10959</v>
      </c>
      <c r="V1190" s="5" t="s">
        <v>10959</v>
      </c>
      <c r="W1190" s="5" t="s">
        <v>69</v>
      </c>
      <c r="X1190" s="5" t="s">
        <v>69</v>
      </c>
      <c r="Y1190" s="4">
        <v>254</v>
      </c>
      <c r="Z1190" s="4">
        <v>20</v>
      </c>
      <c r="AA1190" s="4">
        <v>39</v>
      </c>
      <c r="AB1190" s="4">
        <v>1</v>
      </c>
      <c r="AC1190" s="4">
        <v>3</v>
      </c>
      <c r="AD1190" s="4">
        <v>74</v>
      </c>
      <c r="AE1190" s="4">
        <v>125</v>
      </c>
      <c r="AF1190" s="4">
        <v>0</v>
      </c>
      <c r="AG1190" s="4">
        <v>1</v>
      </c>
      <c r="AH1190" s="4">
        <v>67</v>
      </c>
      <c r="AI1190" s="4">
        <v>108</v>
      </c>
      <c r="AJ1190" s="4">
        <v>13</v>
      </c>
      <c r="AK1190" s="4">
        <v>20</v>
      </c>
      <c r="AL1190" s="4">
        <v>31</v>
      </c>
      <c r="AM1190" s="4">
        <v>56</v>
      </c>
      <c r="AN1190" s="4">
        <v>5</v>
      </c>
      <c r="AO1190" s="4">
        <v>5</v>
      </c>
      <c r="AP1190" s="4">
        <v>14</v>
      </c>
      <c r="AQ1190" s="4">
        <v>26</v>
      </c>
      <c r="AR1190" s="3" t="s">
        <v>63</v>
      </c>
      <c r="AS1190" s="3" t="s">
        <v>63</v>
      </c>
      <c r="AT1190" s="3" t="s">
        <v>62</v>
      </c>
      <c r="AU1190" s="6" t="str">
        <f>HYPERLINK("http://catalog.hathitrust.org/Record/102011484","HathiTrust Record")</f>
        <v>HathiTrust Record</v>
      </c>
      <c r="AV1190" s="6" t="str">
        <f>HYPERLINK("http://mcgill.on.worldcat.org/oclc/44775335","Catalog Record")</f>
        <v>Catalog Record</v>
      </c>
      <c r="AW1190" s="6" t="str">
        <f>HYPERLINK("http://www.worldcat.org/oclc/44775335","WorldCat Record")</f>
        <v>WorldCat Record</v>
      </c>
      <c r="AX1190" s="3" t="s">
        <v>11054</v>
      </c>
      <c r="AY1190" s="3" t="s">
        <v>11055</v>
      </c>
      <c r="AZ1190" s="3" t="s">
        <v>11056</v>
      </c>
      <c r="BA1190" s="3" t="s">
        <v>11056</v>
      </c>
      <c r="BB1190" s="3" t="s">
        <v>11060</v>
      </c>
      <c r="BC1190" s="3" t="s">
        <v>82</v>
      </c>
      <c r="BD1190" s="3" t="s">
        <v>70</v>
      </c>
      <c r="BE1190" s="3" t="s">
        <v>11058</v>
      </c>
      <c r="BF1190" s="3" t="s">
        <v>11060</v>
      </c>
      <c r="BG1190" s="3" t="s">
        <v>11061</v>
      </c>
    </row>
    <row r="1191" spans="1:59" ht="60" x14ac:dyDescent="0.25">
      <c r="A1191" s="2" t="s">
        <v>59</v>
      </c>
      <c r="B1191" s="2" t="s">
        <v>60</v>
      </c>
      <c r="C1191" s="2" t="s">
        <v>11062</v>
      </c>
      <c r="D1191" s="2" t="s">
        <v>11063</v>
      </c>
      <c r="E1191" s="2" t="s">
        <v>11064</v>
      </c>
      <c r="G1191" s="3" t="s">
        <v>63</v>
      </c>
      <c r="I1191" s="3" t="s">
        <v>63</v>
      </c>
      <c r="J1191" s="3" t="s">
        <v>62</v>
      </c>
      <c r="K1191" s="3" t="s">
        <v>64</v>
      </c>
      <c r="L1191" s="2" t="s">
        <v>4294</v>
      </c>
      <c r="M1191" s="2" t="s">
        <v>11065</v>
      </c>
      <c r="N1191" s="3" t="s">
        <v>2043</v>
      </c>
      <c r="P1191" s="3" t="s">
        <v>66</v>
      </c>
      <c r="R1191" s="3" t="s">
        <v>67</v>
      </c>
      <c r="S1191" s="4">
        <v>31</v>
      </c>
      <c r="T1191" s="4">
        <v>31</v>
      </c>
      <c r="U1191" s="5" t="s">
        <v>10997</v>
      </c>
      <c r="V1191" s="5" t="s">
        <v>10997</v>
      </c>
      <c r="W1191" s="5" t="s">
        <v>69</v>
      </c>
      <c r="X1191" s="5" t="s">
        <v>69</v>
      </c>
      <c r="Y1191" s="4">
        <v>763</v>
      </c>
      <c r="Z1191" s="4">
        <v>27</v>
      </c>
      <c r="AA1191" s="4">
        <v>35</v>
      </c>
      <c r="AB1191" s="4">
        <v>2</v>
      </c>
      <c r="AC1191" s="4">
        <v>3</v>
      </c>
      <c r="AD1191" s="4">
        <v>117</v>
      </c>
      <c r="AE1191" s="4">
        <v>127</v>
      </c>
      <c r="AF1191" s="4">
        <v>1</v>
      </c>
      <c r="AG1191" s="4">
        <v>2</v>
      </c>
      <c r="AH1191" s="4">
        <v>100</v>
      </c>
      <c r="AI1191" s="4">
        <v>108</v>
      </c>
      <c r="AJ1191" s="4">
        <v>15</v>
      </c>
      <c r="AK1191" s="4">
        <v>20</v>
      </c>
      <c r="AL1191" s="4">
        <v>58</v>
      </c>
      <c r="AM1191" s="4">
        <v>61</v>
      </c>
      <c r="AN1191" s="4">
        <v>0</v>
      </c>
      <c r="AO1191" s="4">
        <v>0</v>
      </c>
      <c r="AP1191" s="4">
        <v>18</v>
      </c>
      <c r="AQ1191" s="4">
        <v>24</v>
      </c>
      <c r="AR1191" s="3" t="s">
        <v>63</v>
      </c>
      <c r="AS1191" s="3" t="s">
        <v>63</v>
      </c>
      <c r="AT1191" s="3" t="s">
        <v>62</v>
      </c>
      <c r="AU1191" s="6" t="str">
        <f>HYPERLINK("http://catalog.hathitrust.org/Record/000127340","HathiTrust Record")</f>
        <v>HathiTrust Record</v>
      </c>
      <c r="AV1191" s="6" t="str">
        <f>HYPERLINK("http://mcgill.on.worldcat.org/oclc/6788071","Catalog Record")</f>
        <v>Catalog Record</v>
      </c>
      <c r="AW1191" s="6" t="str">
        <f>HYPERLINK("http://www.worldcat.org/oclc/6788071","WorldCat Record")</f>
        <v>WorldCat Record</v>
      </c>
      <c r="AX1191" s="3" t="s">
        <v>11066</v>
      </c>
      <c r="AY1191" s="3" t="s">
        <v>11067</v>
      </c>
      <c r="AZ1191" s="3" t="s">
        <v>11068</v>
      </c>
      <c r="BA1191" s="3" t="s">
        <v>11068</v>
      </c>
      <c r="BB1191" s="3" t="s">
        <v>11069</v>
      </c>
      <c r="BC1191" s="3" t="s">
        <v>82</v>
      </c>
      <c r="BD1191" s="3" t="s">
        <v>70</v>
      </c>
      <c r="BE1191" s="3" t="s">
        <v>11070</v>
      </c>
      <c r="BF1191" s="3" t="s">
        <v>11069</v>
      </c>
      <c r="BG1191" s="3" t="s">
        <v>11071</v>
      </c>
    </row>
    <row r="1192" spans="1:59" ht="60" x14ac:dyDescent="0.25">
      <c r="A1192" s="2" t="s">
        <v>59</v>
      </c>
      <c r="B1192" s="2" t="s">
        <v>60</v>
      </c>
      <c r="C1192" s="2" t="s">
        <v>11072</v>
      </c>
      <c r="D1192" s="2" t="s">
        <v>11073</v>
      </c>
      <c r="E1192" s="2" t="s">
        <v>11064</v>
      </c>
      <c r="G1192" s="3" t="s">
        <v>63</v>
      </c>
      <c r="I1192" s="3" t="s">
        <v>63</v>
      </c>
      <c r="J1192" s="3" t="s">
        <v>62</v>
      </c>
      <c r="K1192" s="3" t="s">
        <v>64</v>
      </c>
      <c r="L1192" s="2" t="s">
        <v>4294</v>
      </c>
      <c r="M1192" s="2" t="s">
        <v>11074</v>
      </c>
      <c r="N1192" s="3" t="s">
        <v>2103</v>
      </c>
      <c r="P1192" s="3" t="s">
        <v>66</v>
      </c>
      <c r="R1192" s="3" t="s">
        <v>67</v>
      </c>
      <c r="S1192" s="4">
        <v>17</v>
      </c>
      <c r="T1192" s="4">
        <v>17</v>
      </c>
      <c r="U1192" s="5" t="s">
        <v>10959</v>
      </c>
      <c r="V1192" s="5" t="s">
        <v>10959</v>
      </c>
      <c r="W1192" s="5" t="s">
        <v>69</v>
      </c>
      <c r="X1192" s="5" t="s">
        <v>69</v>
      </c>
      <c r="Y1192" s="4">
        <v>63</v>
      </c>
      <c r="Z1192" s="4">
        <v>6</v>
      </c>
      <c r="AA1192" s="4">
        <v>35</v>
      </c>
      <c r="AB1192" s="4">
        <v>1</v>
      </c>
      <c r="AC1192" s="4">
        <v>3</v>
      </c>
      <c r="AD1192" s="4">
        <v>22</v>
      </c>
      <c r="AE1192" s="4">
        <v>127</v>
      </c>
      <c r="AF1192" s="4">
        <v>0</v>
      </c>
      <c r="AG1192" s="4">
        <v>2</v>
      </c>
      <c r="AH1192" s="4">
        <v>21</v>
      </c>
      <c r="AI1192" s="4">
        <v>108</v>
      </c>
      <c r="AJ1192" s="4">
        <v>3</v>
      </c>
      <c r="AK1192" s="4">
        <v>20</v>
      </c>
      <c r="AL1192" s="4">
        <v>12</v>
      </c>
      <c r="AM1192" s="4">
        <v>61</v>
      </c>
      <c r="AN1192" s="4">
        <v>0</v>
      </c>
      <c r="AO1192" s="4">
        <v>0</v>
      </c>
      <c r="AP1192" s="4">
        <v>4</v>
      </c>
      <c r="AQ1192" s="4">
        <v>24</v>
      </c>
      <c r="AR1192" s="3" t="s">
        <v>63</v>
      </c>
      <c r="AS1192" s="3" t="s">
        <v>63</v>
      </c>
      <c r="AT1192" s="3" t="s">
        <v>62</v>
      </c>
      <c r="AU1192" s="6" t="str">
        <f>HYPERLINK("http://catalog.hathitrust.org/Record/000127340","HathiTrust Record")</f>
        <v>HathiTrust Record</v>
      </c>
      <c r="AV1192" s="6" t="str">
        <f>HYPERLINK("http://mcgill.on.worldcat.org/oclc/51051719","Catalog Record")</f>
        <v>Catalog Record</v>
      </c>
      <c r="AW1192" s="6" t="str">
        <f>HYPERLINK("http://www.worldcat.org/oclc/51051719","WorldCat Record")</f>
        <v>WorldCat Record</v>
      </c>
      <c r="AX1192" s="3" t="s">
        <v>11066</v>
      </c>
      <c r="AY1192" s="3" t="s">
        <v>11075</v>
      </c>
      <c r="AZ1192" s="3" t="s">
        <v>11076</v>
      </c>
      <c r="BA1192" s="3" t="s">
        <v>11076</v>
      </c>
      <c r="BB1192" s="3" t="s">
        <v>11077</v>
      </c>
      <c r="BC1192" s="3" t="s">
        <v>82</v>
      </c>
      <c r="BD1192" s="3" t="s">
        <v>70</v>
      </c>
      <c r="BE1192" s="3" t="s">
        <v>11078</v>
      </c>
      <c r="BF1192" s="3" t="s">
        <v>11077</v>
      </c>
      <c r="BG1192" s="3" t="s">
        <v>11079</v>
      </c>
    </row>
    <row r="1193" spans="1:59" ht="60" x14ac:dyDescent="0.25">
      <c r="A1193" s="2" t="s">
        <v>59</v>
      </c>
      <c r="B1193" s="2" t="s">
        <v>60</v>
      </c>
      <c r="C1193" s="2" t="s">
        <v>11080</v>
      </c>
      <c r="D1193" s="2" t="s">
        <v>11081</v>
      </c>
      <c r="E1193" s="2" t="s">
        <v>11082</v>
      </c>
      <c r="G1193" s="3" t="s">
        <v>63</v>
      </c>
      <c r="I1193" s="3" t="s">
        <v>63</v>
      </c>
      <c r="J1193" s="3" t="s">
        <v>63</v>
      </c>
      <c r="K1193" s="3" t="s">
        <v>64</v>
      </c>
      <c r="L1193" s="2" t="s">
        <v>11083</v>
      </c>
      <c r="M1193" s="2" t="s">
        <v>10282</v>
      </c>
      <c r="N1193" s="3" t="s">
        <v>480</v>
      </c>
      <c r="P1193" s="3" t="s">
        <v>66</v>
      </c>
      <c r="Q1193" s="2" t="s">
        <v>5294</v>
      </c>
      <c r="R1193" s="3" t="s">
        <v>67</v>
      </c>
      <c r="S1193" s="4">
        <v>18</v>
      </c>
      <c r="T1193" s="4">
        <v>18</v>
      </c>
      <c r="U1193" s="5" t="s">
        <v>10997</v>
      </c>
      <c r="V1193" s="5" t="s">
        <v>10997</v>
      </c>
      <c r="W1193" s="5" t="s">
        <v>69</v>
      </c>
      <c r="X1193" s="5" t="s">
        <v>69</v>
      </c>
      <c r="Y1193" s="4">
        <v>468</v>
      </c>
      <c r="Z1193" s="4">
        <v>28</v>
      </c>
      <c r="AA1193" s="4">
        <v>29</v>
      </c>
      <c r="AB1193" s="4">
        <v>1</v>
      </c>
      <c r="AC1193" s="4">
        <v>2</v>
      </c>
      <c r="AD1193" s="4">
        <v>111</v>
      </c>
      <c r="AE1193" s="4">
        <v>112</v>
      </c>
      <c r="AF1193" s="4">
        <v>0</v>
      </c>
      <c r="AG1193" s="4">
        <v>1</v>
      </c>
      <c r="AH1193" s="4">
        <v>99</v>
      </c>
      <c r="AI1193" s="4">
        <v>99</v>
      </c>
      <c r="AJ1193" s="4">
        <v>18</v>
      </c>
      <c r="AK1193" s="4">
        <v>19</v>
      </c>
      <c r="AL1193" s="4">
        <v>57</v>
      </c>
      <c r="AM1193" s="4">
        <v>57</v>
      </c>
      <c r="AN1193" s="4">
        <v>0</v>
      </c>
      <c r="AO1193" s="4">
        <v>0</v>
      </c>
      <c r="AP1193" s="4">
        <v>21</v>
      </c>
      <c r="AQ1193" s="4">
        <v>21</v>
      </c>
      <c r="AR1193" s="3" t="s">
        <v>63</v>
      </c>
      <c r="AS1193" s="3" t="s">
        <v>63</v>
      </c>
      <c r="AT1193" s="3" t="s">
        <v>62</v>
      </c>
      <c r="AU1193" s="6" t="str">
        <f>HYPERLINK("http://catalog.hathitrust.org/Record/002481820","HathiTrust Record")</f>
        <v>HathiTrust Record</v>
      </c>
      <c r="AV1193" s="6" t="str">
        <f>HYPERLINK("http://mcgill.on.worldcat.org/oclc/22544515","Catalog Record")</f>
        <v>Catalog Record</v>
      </c>
      <c r="AW1193" s="6" t="str">
        <f>HYPERLINK("http://www.worldcat.org/oclc/22544515","WorldCat Record")</f>
        <v>WorldCat Record</v>
      </c>
      <c r="AX1193" s="3" t="s">
        <v>11084</v>
      </c>
      <c r="AY1193" s="3" t="s">
        <v>11085</v>
      </c>
      <c r="AZ1193" s="3" t="s">
        <v>11086</v>
      </c>
      <c r="BA1193" s="3" t="s">
        <v>11086</v>
      </c>
      <c r="BB1193" s="3" t="s">
        <v>11087</v>
      </c>
      <c r="BC1193" s="3" t="s">
        <v>82</v>
      </c>
      <c r="BD1193" s="3" t="s">
        <v>70</v>
      </c>
      <c r="BE1193" s="3" t="s">
        <v>11088</v>
      </c>
      <c r="BF1193" s="3" t="s">
        <v>11087</v>
      </c>
      <c r="BG1193" s="3" t="s">
        <v>11089</v>
      </c>
    </row>
    <row r="1194" spans="1:59" ht="60" x14ac:dyDescent="0.25">
      <c r="A1194" s="2" t="s">
        <v>59</v>
      </c>
      <c r="B1194" s="2" t="s">
        <v>60</v>
      </c>
      <c r="C1194" s="2" t="s">
        <v>11090</v>
      </c>
      <c r="D1194" s="2" t="s">
        <v>11091</v>
      </c>
      <c r="E1194" s="2" t="s">
        <v>11092</v>
      </c>
      <c r="G1194" s="3" t="s">
        <v>63</v>
      </c>
      <c r="I1194" s="3" t="s">
        <v>62</v>
      </c>
      <c r="J1194" s="3" t="s">
        <v>63</v>
      </c>
      <c r="K1194" s="3" t="s">
        <v>64</v>
      </c>
      <c r="L1194" s="2" t="s">
        <v>10454</v>
      </c>
      <c r="M1194" s="2" t="s">
        <v>11093</v>
      </c>
      <c r="N1194" s="3" t="s">
        <v>826</v>
      </c>
      <c r="P1194" s="3" t="s">
        <v>66</v>
      </c>
      <c r="R1194" s="3" t="s">
        <v>67</v>
      </c>
      <c r="S1194" s="4">
        <v>9</v>
      </c>
      <c r="T1194" s="4">
        <v>18</v>
      </c>
      <c r="U1194" s="5" t="s">
        <v>5890</v>
      </c>
      <c r="V1194" s="5" t="s">
        <v>10745</v>
      </c>
      <c r="W1194" s="5" t="s">
        <v>69</v>
      </c>
      <c r="X1194" s="5" t="s">
        <v>69</v>
      </c>
      <c r="Y1194" s="4">
        <v>972</v>
      </c>
      <c r="Z1194" s="4">
        <v>40</v>
      </c>
      <c r="AA1194" s="4">
        <v>43</v>
      </c>
      <c r="AB1194" s="4">
        <v>3</v>
      </c>
      <c r="AC1194" s="4">
        <v>3</v>
      </c>
      <c r="AD1194" s="4">
        <v>130</v>
      </c>
      <c r="AE1194" s="4">
        <v>132</v>
      </c>
      <c r="AF1194" s="4">
        <v>2</v>
      </c>
      <c r="AG1194" s="4">
        <v>2</v>
      </c>
      <c r="AH1194" s="4">
        <v>106</v>
      </c>
      <c r="AI1194" s="4">
        <v>107</v>
      </c>
      <c r="AJ1194" s="4">
        <v>21</v>
      </c>
      <c r="AK1194" s="4">
        <v>22</v>
      </c>
      <c r="AL1194" s="4">
        <v>59</v>
      </c>
      <c r="AM1194" s="4">
        <v>59</v>
      </c>
      <c r="AN1194" s="4">
        <v>0</v>
      </c>
      <c r="AO1194" s="4">
        <v>0</v>
      </c>
      <c r="AP1194" s="4">
        <v>29</v>
      </c>
      <c r="AQ1194" s="4">
        <v>31</v>
      </c>
      <c r="AR1194" s="3" t="s">
        <v>63</v>
      </c>
      <c r="AS1194" s="3" t="s">
        <v>63</v>
      </c>
      <c r="AT1194" s="3" t="s">
        <v>62</v>
      </c>
      <c r="AU1194" s="6" t="str">
        <f>HYPERLINK("http://catalog.hathitrust.org/Record/000980797","HathiTrust Record")</f>
        <v>HathiTrust Record</v>
      </c>
      <c r="AV1194" s="6" t="str">
        <f>HYPERLINK("http://mcgill.on.worldcat.org/oclc/142617","Catalog Record")</f>
        <v>Catalog Record</v>
      </c>
      <c r="AW1194" s="6" t="str">
        <f>HYPERLINK("http://www.worldcat.org/oclc/142617","WorldCat Record")</f>
        <v>WorldCat Record</v>
      </c>
      <c r="AX1194" s="3" t="s">
        <v>11094</v>
      </c>
      <c r="AY1194" s="3" t="s">
        <v>11095</v>
      </c>
      <c r="AZ1194" s="3" t="s">
        <v>11096</v>
      </c>
      <c r="BA1194" s="3" t="s">
        <v>11096</v>
      </c>
      <c r="BB1194" s="3" t="s">
        <v>11097</v>
      </c>
      <c r="BC1194" s="3" t="s">
        <v>82</v>
      </c>
      <c r="BD1194" s="3" t="s">
        <v>70</v>
      </c>
      <c r="BE1194" s="3" t="s">
        <v>11098</v>
      </c>
      <c r="BF1194" s="3" t="s">
        <v>11097</v>
      </c>
      <c r="BG1194" s="3" t="s">
        <v>11099</v>
      </c>
    </row>
    <row r="1195" spans="1:59" ht="60" x14ac:dyDescent="0.25">
      <c r="A1195" s="2" t="s">
        <v>59</v>
      </c>
      <c r="B1195" s="2" t="s">
        <v>60</v>
      </c>
      <c r="C1195" s="2" t="s">
        <v>11090</v>
      </c>
      <c r="D1195" s="2" t="s">
        <v>11091</v>
      </c>
      <c r="E1195" s="2" t="s">
        <v>11092</v>
      </c>
      <c r="G1195" s="3" t="s">
        <v>63</v>
      </c>
      <c r="I1195" s="3" t="s">
        <v>62</v>
      </c>
      <c r="J1195" s="3" t="s">
        <v>63</v>
      </c>
      <c r="K1195" s="3" t="s">
        <v>64</v>
      </c>
      <c r="L1195" s="2" t="s">
        <v>10454</v>
      </c>
      <c r="M1195" s="2" t="s">
        <v>11093</v>
      </c>
      <c r="N1195" s="3" t="s">
        <v>826</v>
      </c>
      <c r="P1195" s="3" t="s">
        <v>66</v>
      </c>
      <c r="R1195" s="3" t="s">
        <v>67</v>
      </c>
      <c r="S1195" s="4">
        <v>0</v>
      </c>
      <c r="T1195" s="4">
        <v>18</v>
      </c>
      <c r="V1195" s="5" t="s">
        <v>10745</v>
      </c>
      <c r="W1195" s="5" t="s">
        <v>69</v>
      </c>
      <c r="X1195" s="5" t="s">
        <v>69</v>
      </c>
      <c r="Y1195" s="4">
        <v>972</v>
      </c>
      <c r="Z1195" s="4">
        <v>40</v>
      </c>
      <c r="AA1195" s="4">
        <v>43</v>
      </c>
      <c r="AB1195" s="4">
        <v>3</v>
      </c>
      <c r="AC1195" s="4">
        <v>3</v>
      </c>
      <c r="AD1195" s="4">
        <v>130</v>
      </c>
      <c r="AE1195" s="4">
        <v>132</v>
      </c>
      <c r="AF1195" s="4">
        <v>2</v>
      </c>
      <c r="AG1195" s="4">
        <v>2</v>
      </c>
      <c r="AH1195" s="4">
        <v>106</v>
      </c>
      <c r="AI1195" s="4">
        <v>107</v>
      </c>
      <c r="AJ1195" s="4">
        <v>21</v>
      </c>
      <c r="AK1195" s="4">
        <v>22</v>
      </c>
      <c r="AL1195" s="4">
        <v>59</v>
      </c>
      <c r="AM1195" s="4">
        <v>59</v>
      </c>
      <c r="AN1195" s="4">
        <v>0</v>
      </c>
      <c r="AO1195" s="4">
        <v>0</v>
      </c>
      <c r="AP1195" s="4">
        <v>29</v>
      </c>
      <c r="AQ1195" s="4">
        <v>31</v>
      </c>
      <c r="AR1195" s="3" t="s">
        <v>63</v>
      </c>
      <c r="AS1195" s="3" t="s">
        <v>63</v>
      </c>
      <c r="AT1195" s="3" t="s">
        <v>62</v>
      </c>
      <c r="AU1195" s="6" t="str">
        <f>HYPERLINK("http://catalog.hathitrust.org/Record/000980797","HathiTrust Record")</f>
        <v>HathiTrust Record</v>
      </c>
      <c r="AV1195" s="6" t="str">
        <f>HYPERLINK("http://mcgill.on.worldcat.org/oclc/142617","Catalog Record")</f>
        <v>Catalog Record</v>
      </c>
      <c r="AW1195" s="6" t="str">
        <f>HYPERLINK("http://www.worldcat.org/oclc/142617","WorldCat Record")</f>
        <v>WorldCat Record</v>
      </c>
      <c r="AX1195" s="3" t="s">
        <v>11094</v>
      </c>
      <c r="AY1195" s="3" t="s">
        <v>11095</v>
      </c>
      <c r="AZ1195" s="3" t="s">
        <v>11096</v>
      </c>
      <c r="BA1195" s="3" t="s">
        <v>11096</v>
      </c>
      <c r="BB1195" s="3" t="s">
        <v>11100</v>
      </c>
      <c r="BC1195" s="3" t="s">
        <v>82</v>
      </c>
      <c r="BD1195" s="3" t="s">
        <v>70</v>
      </c>
      <c r="BE1195" s="3" t="s">
        <v>11098</v>
      </c>
      <c r="BF1195" s="3" t="s">
        <v>11100</v>
      </c>
      <c r="BG1195" s="3" t="s">
        <v>11101</v>
      </c>
    </row>
    <row r="1196" spans="1:59" ht="60" x14ac:dyDescent="0.25">
      <c r="A1196" s="2" t="s">
        <v>59</v>
      </c>
      <c r="B1196" s="2" t="s">
        <v>60</v>
      </c>
      <c r="C1196" s="2" t="s">
        <v>11090</v>
      </c>
      <c r="D1196" s="2" t="s">
        <v>11091</v>
      </c>
      <c r="E1196" s="2" t="s">
        <v>11092</v>
      </c>
      <c r="G1196" s="3" t="s">
        <v>63</v>
      </c>
      <c r="I1196" s="3" t="s">
        <v>62</v>
      </c>
      <c r="J1196" s="3" t="s">
        <v>63</v>
      </c>
      <c r="K1196" s="3" t="s">
        <v>64</v>
      </c>
      <c r="L1196" s="2" t="s">
        <v>10454</v>
      </c>
      <c r="M1196" s="2" t="s">
        <v>11093</v>
      </c>
      <c r="N1196" s="3" t="s">
        <v>826</v>
      </c>
      <c r="P1196" s="3" t="s">
        <v>66</v>
      </c>
      <c r="R1196" s="3" t="s">
        <v>67</v>
      </c>
      <c r="S1196" s="4">
        <v>9</v>
      </c>
      <c r="T1196" s="4">
        <v>18</v>
      </c>
      <c r="U1196" s="5" t="s">
        <v>10745</v>
      </c>
      <c r="V1196" s="5" t="s">
        <v>10745</v>
      </c>
      <c r="W1196" s="5" t="s">
        <v>69</v>
      </c>
      <c r="X1196" s="5" t="s">
        <v>69</v>
      </c>
      <c r="Y1196" s="4">
        <v>972</v>
      </c>
      <c r="Z1196" s="4">
        <v>40</v>
      </c>
      <c r="AA1196" s="4">
        <v>43</v>
      </c>
      <c r="AB1196" s="4">
        <v>3</v>
      </c>
      <c r="AC1196" s="4">
        <v>3</v>
      </c>
      <c r="AD1196" s="4">
        <v>130</v>
      </c>
      <c r="AE1196" s="4">
        <v>132</v>
      </c>
      <c r="AF1196" s="4">
        <v>2</v>
      </c>
      <c r="AG1196" s="4">
        <v>2</v>
      </c>
      <c r="AH1196" s="4">
        <v>106</v>
      </c>
      <c r="AI1196" s="4">
        <v>107</v>
      </c>
      <c r="AJ1196" s="4">
        <v>21</v>
      </c>
      <c r="AK1196" s="4">
        <v>22</v>
      </c>
      <c r="AL1196" s="4">
        <v>59</v>
      </c>
      <c r="AM1196" s="4">
        <v>59</v>
      </c>
      <c r="AN1196" s="4">
        <v>0</v>
      </c>
      <c r="AO1196" s="4">
        <v>0</v>
      </c>
      <c r="AP1196" s="4">
        <v>29</v>
      </c>
      <c r="AQ1196" s="4">
        <v>31</v>
      </c>
      <c r="AR1196" s="3" t="s">
        <v>63</v>
      </c>
      <c r="AS1196" s="3" t="s">
        <v>63</v>
      </c>
      <c r="AT1196" s="3" t="s">
        <v>62</v>
      </c>
      <c r="AU1196" s="6" t="str">
        <f>HYPERLINK("http://catalog.hathitrust.org/Record/000980797","HathiTrust Record")</f>
        <v>HathiTrust Record</v>
      </c>
      <c r="AV1196" s="6" t="str">
        <f>HYPERLINK("http://mcgill.on.worldcat.org/oclc/142617","Catalog Record")</f>
        <v>Catalog Record</v>
      </c>
      <c r="AW1196" s="6" t="str">
        <f>HYPERLINK("http://www.worldcat.org/oclc/142617","WorldCat Record")</f>
        <v>WorldCat Record</v>
      </c>
      <c r="AX1196" s="3" t="s">
        <v>11094</v>
      </c>
      <c r="AY1196" s="3" t="s">
        <v>11095</v>
      </c>
      <c r="AZ1196" s="3" t="s">
        <v>11096</v>
      </c>
      <c r="BA1196" s="3" t="s">
        <v>11096</v>
      </c>
      <c r="BB1196" s="3" t="s">
        <v>11102</v>
      </c>
      <c r="BC1196" s="3" t="s">
        <v>82</v>
      </c>
      <c r="BD1196" s="3" t="s">
        <v>70</v>
      </c>
      <c r="BE1196" s="3" t="s">
        <v>11098</v>
      </c>
      <c r="BF1196" s="3" t="s">
        <v>11102</v>
      </c>
      <c r="BG1196" s="3" t="s">
        <v>11103</v>
      </c>
    </row>
    <row r="1197" spans="1:59" ht="60" x14ac:dyDescent="0.25">
      <c r="A1197" s="2" t="s">
        <v>59</v>
      </c>
      <c r="B1197" s="2" t="s">
        <v>60</v>
      </c>
      <c r="C1197" s="2" t="s">
        <v>11116</v>
      </c>
      <c r="D1197" s="2" t="s">
        <v>11117</v>
      </c>
      <c r="E1197" s="2" t="s">
        <v>11118</v>
      </c>
      <c r="G1197" s="3" t="s">
        <v>63</v>
      </c>
      <c r="I1197" s="3" t="s">
        <v>63</v>
      </c>
      <c r="J1197" s="3" t="s">
        <v>63</v>
      </c>
      <c r="K1197" s="3" t="s">
        <v>64</v>
      </c>
      <c r="M1197" s="2" t="s">
        <v>11119</v>
      </c>
      <c r="N1197" s="3" t="s">
        <v>176</v>
      </c>
      <c r="P1197" s="3" t="s">
        <v>66</v>
      </c>
      <c r="Q1197" s="2" t="s">
        <v>10845</v>
      </c>
      <c r="R1197" s="3" t="s">
        <v>67</v>
      </c>
      <c r="S1197" s="4">
        <v>22</v>
      </c>
      <c r="T1197" s="4">
        <v>22</v>
      </c>
      <c r="U1197" s="5" t="s">
        <v>11120</v>
      </c>
      <c r="V1197" s="5" t="s">
        <v>11120</v>
      </c>
      <c r="W1197" s="5" t="s">
        <v>69</v>
      </c>
      <c r="X1197" s="5" t="s">
        <v>69</v>
      </c>
      <c r="Y1197" s="4">
        <v>281</v>
      </c>
      <c r="Z1197" s="4">
        <v>16</v>
      </c>
      <c r="AA1197" s="4">
        <v>17</v>
      </c>
      <c r="AB1197" s="4">
        <v>1</v>
      </c>
      <c r="AC1197" s="4">
        <v>2</v>
      </c>
      <c r="AD1197" s="4">
        <v>96</v>
      </c>
      <c r="AE1197" s="4">
        <v>97</v>
      </c>
      <c r="AF1197" s="4">
        <v>0</v>
      </c>
      <c r="AG1197" s="4">
        <v>1</v>
      </c>
      <c r="AH1197" s="4">
        <v>88</v>
      </c>
      <c r="AI1197" s="4">
        <v>89</v>
      </c>
      <c r="AJ1197" s="4">
        <v>12</v>
      </c>
      <c r="AK1197" s="4">
        <v>13</v>
      </c>
      <c r="AL1197" s="4">
        <v>55</v>
      </c>
      <c r="AM1197" s="4">
        <v>55</v>
      </c>
      <c r="AN1197" s="4">
        <v>0</v>
      </c>
      <c r="AO1197" s="4">
        <v>0</v>
      </c>
      <c r="AP1197" s="4">
        <v>13</v>
      </c>
      <c r="AQ1197" s="4">
        <v>14</v>
      </c>
      <c r="AR1197" s="3" t="s">
        <v>63</v>
      </c>
      <c r="AS1197" s="3" t="s">
        <v>63</v>
      </c>
      <c r="AT1197" s="3" t="s">
        <v>62</v>
      </c>
      <c r="AU1197" s="6" t="str">
        <f>HYPERLINK("http://catalog.hathitrust.org/Record/003996542","HathiTrust Record")</f>
        <v>HathiTrust Record</v>
      </c>
      <c r="AV1197" s="6" t="str">
        <f>HYPERLINK("http://mcgill.on.worldcat.org/oclc/39261931","Catalog Record")</f>
        <v>Catalog Record</v>
      </c>
      <c r="AW1197" s="6" t="str">
        <f>HYPERLINK("http://www.worldcat.org/oclc/39261931","WorldCat Record")</f>
        <v>WorldCat Record</v>
      </c>
      <c r="AX1197" s="3" t="s">
        <v>11121</v>
      </c>
      <c r="AY1197" s="3" t="s">
        <v>11122</v>
      </c>
      <c r="AZ1197" s="3" t="s">
        <v>11123</v>
      </c>
      <c r="BA1197" s="3" t="s">
        <v>11123</v>
      </c>
      <c r="BB1197" s="3" t="s">
        <v>11124</v>
      </c>
      <c r="BC1197" s="3" t="s">
        <v>82</v>
      </c>
      <c r="BD1197" s="3" t="s">
        <v>70</v>
      </c>
      <c r="BE1197" s="3" t="s">
        <v>11125</v>
      </c>
      <c r="BF1197" s="3" t="s">
        <v>11124</v>
      </c>
      <c r="BG1197" s="3" t="s">
        <v>11126</v>
      </c>
    </row>
    <row r="1198" spans="1:59" ht="60" x14ac:dyDescent="0.25">
      <c r="A1198" s="2" t="s">
        <v>59</v>
      </c>
      <c r="B1198" s="2" t="s">
        <v>60</v>
      </c>
      <c r="C1198" s="2" t="s">
        <v>11127</v>
      </c>
      <c r="D1198" s="2" t="s">
        <v>11128</v>
      </c>
      <c r="E1198" s="2" t="s">
        <v>11129</v>
      </c>
      <c r="G1198" s="3" t="s">
        <v>63</v>
      </c>
      <c r="I1198" s="3" t="s">
        <v>63</v>
      </c>
      <c r="J1198" s="3" t="s">
        <v>63</v>
      </c>
      <c r="K1198" s="3" t="s">
        <v>64</v>
      </c>
      <c r="L1198" s="2" t="s">
        <v>10895</v>
      </c>
      <c r="M1198" s="2" t="s">
        <v>11130</v>
      </c>
      <c r="N1198" s="3" t="s">
        <v>2459</v>
      </c>
      <c r="P1198" s="3" t="s">
        <v>90</v>
      </c>
      <c r="Q1198" s="2" t="s">
        <v>2492</v>
      </c>
      <c r="R1198" s="3" t="s">
        <v>67</v>
      </c>
      <c r="S1198" s="4">
        <v>2</v>
      </c>
      <c r="T1198" s="4">
        <v>2</v>
      </c>
      <c r="U1198" s="5" t="s">
        <v>1203</v>
      </c>
      <c r="V1198" s="5" t="s">
        <v>1203</v>
      </c>
      <c r="W1198" s="5" t="s">
        <v>69</v>
      </c>
      <c r="X1198" s="5" t="s">
        <v>69</v>
      </c>
      <c r="Y1198" s="4">
        <v>8</v>
      </c>
      <c r="Z1198" s="4">
        <v>1</v>
      </c>
      <c r="AA1198" s="4">
        <v>3</v>
      </c>
      <c r="AB1198" s="4">
        <v>1</v>
      </c>
      <c r="AC1198" s="4">
        <v>1</v>
      </c>
      <c r="AD1198" s="4">
        <v>0</v>
      </c>
      <c r="AE1198" s="4">
        <v>14</v>
      </c>
      <c r="AF1198" s="4">
        <v>0</v>
      </c>
      <c r="AG1198" s="4">
        <v>0</v>
      </c>
      <c r="AH1198" s="4">
        <v>0</v>
      </c>
      <c r="AI1198" s="4">
        <v>14</v>
      </c>
      <c r="AJ1198" s="4">
        <v>0</v>
      </c>
      <c r="AK1198" s="4">
        <v>2</v>
      </c>
      <c r="AL1198" s="4">
        <v>0</v>
      </c>
      <c r="AM1198" s="4">
        <v>6</v>
      </c>
      <c r="AN1198" s="4">
        <v>0</v>
      </c>
      <c r="AO1198" s="4">
        <v>0</v>
      </c>
      <c r="AP1198" s="4">
        <v>0</v>
      </c>
      <c r="AQ1198" s="4">
        <v>2</v>
      </c>
      <c r="AR1198" s="3" t="s">
        <v>63</v>
      </c>
      <c r="AS1198" s="3" t="s">
        <v>63</v>
      </c>
      <c r="AT1198" s="3" t="s">
        <v>63</v>
      </c>
      <c r="AV1198" s="6" t="str">
        <f>HYPERLINK("http://mcgill.on.worldcat.org/oclc/467183468","Catalog Record")</f>
        <v>Catalog Record</v>
      </c>
      <c r="AW1198" s="6" t="str">
        <f>HYPERLINK("http://www.worldcat.org/oclc/467183468","WorldCat Record")</f>
        <v>WorldCat Record</v>
      </c>
      <c r="AX1198" s="3" t="s">
        <v>11131</v>
      </c>
      <c r="AY1198" s="3" t="s">
        <v>11132</v>
      </c>
      <c r="AZ1198" s="3" t="s">
        <v>11133</v>
      </c>
      <c r="BA1198" s="3" t="s">
        <v>11133</v>
      </c>
      <c r="BB1198" s="3" t="s">
        <v>11134</v>
      </c>
      <c r="BC1198" s="3" t="s">
        <v>82</v>
      </c>
      <c r="BD1198" s="3" t="s">
        <v>70</v>
      </c>
      <c r="BE1198" s="3" t="s">
        <v>11135</v>
      </c>
      <c r="BF1198" s="3" t="s">
        <v>11134</v>
      </c>
      <c r="BG1198" s="3" t="s">
        <v>11136</v>
      </c>
    </row>
    <row r="1199" spans="1:59" ht="60" x14ac:dyDescent="0.25">
      <c r="A1199" s="2" t="s">
        <v>59</v>
      </c>
      <c r="B1199" s="2" t="s">
        <v>60</v>
      </c>
      <c r="C1199" s="2" t="s">
        <v>11137</v>
      </c>
      <c r="D1199" s="2" t="s">
        <v>11138</v>
      </c>
      <c r="E1199" s="2" t="s">
        <v>11139</v>
      </c>
      <c r="G1199" s="3" t="s">
        <v>63</v>
      </c>
      <c r="I1199" s="3" t="s">
        <v>63</v>
      </c>
      <c r="J1199" s="3" t="s">
        <v>63</v>
      </c>
      <c r="K1199" s="3" t="s">
        <v>64</v>
      </c>
      <c r="L1199" s="2" t="s">
        <v>11140</v>
      </c>
      <c r="M1199" s="2" t="s">
        <v>11141</v>
      </c>
      <c r="N1199" s="3" t="s">
        <v>849</v>
      </c>
      <c r="P1199" s="3" t="s">
        <v>66</v>
      </c>
      <c r="R1199" s="3" t="s">
        <v>67</v>
      </c>
      <c r="S1199" s="4">
        <v>19</v>
      </c>
      <c r="T1199" s="4">
        <v>19</v>
      </c>
      <c r="U1199" s="5" t="s">
        <v>5094</v>
      </c>
      <c r="V1199" s="5" t="s">
        <v>5094</v>
      </c>
      <c r="W1199" s="5" t="s">
        <v>69</v>
      </c>
      <c r="X1199" s="5" t="s">
        <v>69</v>
      </c>
      <c r="Y1199" s="4">
        <v>563</v>
      </c>
      <c r="Z1199" s="4">
        <v>34</v>
      </c>
      <c r="AA1199" s="4">
        <v>93</v>
      </c>
      <c r="AB1199" s="4">
        <v>2</v>
      </c>
      <c r="AC1199" s="4">
        <v>15</v>
      </c>
      <c r="AD1199" s="4">
        <v>122</v>
      </c>
      <c r="AE1199" s="4">
        <v>149</v>
      </c>
      <c r="AF1199" s="4">
        <v>1</v>
      </c>
      <c r="AG1199" s="4">
        <v>8</v>
      </c>
      <c r="AH1199" s="4">
        <v>103</v>
      </c>
      <c r="AI1199" s="4">
        <v>110</v>
      </c>
      <c r="AJ1199" s="4">
        <v>22</v>
      </c>
      <c r="AK1199" s="4">
        <v>27</v>
      </c>
      <c r="AL1199" s="4">
        <v>52</v>
      </c>
      <c r="AM1199" s="4">
        <v>56</v>
      </c>
      <c r="AN1199" s="4">
        <v>0</v>
      </c>
      <c r="AO1199" s="4">
        <v>0</v>
      </c>
      <c r="AP1199" s="4">
        <v>28</v>
      </c>
      <c r="AQ1199" s="4">
        <v>49</v>
      </c>
      <c r="AR1199" s="3" t="s">
        <v>63</v>
      </c>
      <c r="AS1199" s="3" t="s">
        <v>63</v>
      </c>
      <c r="AT1199" s="3" t="s">
        <v>62</v>
      </c>
      <c r="AU1199" s="6" t="str">
        <f>HYPERLINK("http://catalog.hathitrust.org/Record/000255536","HathiTrust Record")</f>
        <v>HathiTrust Record</v>
      </c>
      <c r="AV1199" s="6" t="str">
        <f>HYPERLINK("http://mcgill.on.worldcat.org/oclc/4492397","Catalog Record")</f>
        <v>Catalog Record</v>
      </c>
      <c r="AW1199" s="6" t="str">
        <f>HYPERLINK("http://www.worldcat.org/oclc/4492397","WorldCat Record")</f>
        <v>WorldCat Record</v>
      </c>
      <c r="AX1199" s="3" t="s">
        <v>11142</v>
      </c>
      <c r="AY1199" s="3" t="s">
        <v>11143</v>
      </c>
      <c r="AZ1199" s="3" t="s">
        <v>11144</v>
      </c>
      <c r="BA1199" s="3" t="s">
        <v>11144</v>
      </c>
      <c r="BB1199" s="3" t="s">
        <v>11145</v>
      </c>
      <c r="BC1199" s="3" t="s">
        <v>82</v>
      </c>
      <c r="BD1199" s="3" t="s">
        <v>70</v>
      </c>
      <c r="BE1199" s="3" t="s">
        <v>11146</v>
      </c>
      <c r="BF1199" s="3" t="s">
        <v>11145</v>
      </c>
      <c r="BG1199" s="3" t="s">
        <v>11147</v>
      </c>
    </row>
    <row r="1200" spans="1:59" ht="60" x14ac:dyDescent="0.25">
      <c r="A1200" s="2" t="s">
        <v>59</v>
      </c>
      <c r="B1200" s="2" t="s">
        <v>60</v>
      </c>
      <c r="C1200" s="2" t="s">
        <v>11148</v>
      </c>
      <c r="D1200" s="2" t="s">
        <v>11149</v>
      </c>
      <c r="E1200" s="2" t="s">
        <v>11150</v>
      </c>
      <c r="G1200" s="3" t="s">
        <v>63</v>
      </c>
      <c r="I1200" s="3" t="s">
        <v>63</v>
      </c>
      <c r="J1200" s="3" t="s">
        <v>63</v>
      </c>
      <c r="K1200" s="3" t="s">
        <v>64</v>
      </c>
      <c r="L1200" s="2" t="s">
        <v>11151</v>
      </c>
      <c r="M1200" s="2" t="s">
        <v>10213</v>
      </c>
      <c r="N1200" s="3" t="s">
        <v>362</v>
      </c>
      <c r="P1200" s="3" t="s">
        <v>66</v>
      </c>
      <c r="Q1200" s="2" t="s">
        <v>3902</v>
      </c>
      <c r="R1200" s="3" t="s">
        <v>67</v>
      </c>
      <c r="S1200" s="4">
        <v>7</v>
      </c>
      <c r="T1200" s="4">
        <v>7</v>
      </c>
      <c r="U1200" s="5" t="s">
        <v>11152</v>
      </c>
      <c r="V1200" s="5" t="s">
        <v>11152</v>
      </c>
      <c r="W1200" s="5" t="s">
        <v>69</v>
      </c>
      <c r="X1200" s="5" t="s">
        <v>69</v>
      </c>
      <c r="Y1200" s="4">
        <v>153</v>
      </c>
      <c r="Z1200" s="4">
        <v>13</v>
      </c>
      <c r="AA1200" s="4">
        <v>14</v>
      </c>
      <c r="AB1200" s="4">
        <v>1</v>
      </c>
      <c r="AC1200" s="4">
        <v>2</v>
      </c>
      <c r="AD1200" s="4">
        <v>69</v>
      </c>
      <c r="AE1200" s="4">
        <v>70</v>
      </c>
      <c r="AF1200" s="4">
        <v>0</v>
      </c>
      <c r="AG1200" s="4">
        <v>1</v>
      </c>
      <c r="AH1200" s="4">
        <v>64</v>
      </c>
      <c r="AI1200" s="4">
        <v>65</v>
      </c>
      <c r="AJ1200" s="4">
        <v>11</v>
      </c>
      <c r="AK1200" s="4">
        <v>12</v>
      </c>
      <c r="AL1200" s="4">
        <v>35</v>
      </c>
      <c r="AM1200" s="4">
        <v>35</v>
      </c>
      <c r="AN1200" s="4">
        <v>0</v>
      </c>
      <c r="AO1200" s="4">
        <v>0</v>
      </c>
      <c r="AP1200" s="4">
        <v>11</v>
      </c>
      <c r="AQ1200" s="4">
        <v>12</v>
      </c>
      <c r="AR1200" s="3" t="s">
        <v>63</v>
      </c>
      <c r="AS1200" s="3" t="s">
        <v>63</v>
      </c>
      <c r="AT1200" s="3" t="s">
        <v>63</v>
      </c>
      <c r="AV1200" s="6" t="str">
        <f>HYPERLINK("http://mcgill.on.worldcat.org/oclc/45393739","Catalog Record")</f>
        <v>Catalog Record</v>
      </c>
      <c r="AW1200" s="6" t="str">
        <f>HYPERLINK("http://www.worldcat.org/oclc/45393739","WorldCat Record")</f>
        <v>WorldCat Record</v>
      </c>
      <c r="AX1200" s="3" t="s">
        <v>11153</v>
      </c>
      <c r="AY1200" s="3" t="s">
        <v>11154</v>
      </c>
      <c r="AZ1200" s="3" t="s">
        <v>11155</v>
      </c>
      <c r="BA1200" s="3" t="s">
        <v>11155</v>
      </c>
      <c r="BB1200" s="3" t="s">
        <v>11156</v>
      </c>
      <c r="BC1200" s="3" t="s">
        <v>82</v>
      </c>
      <c r="BD1200" s="3" t="s">
        <v>70</v>
      </c>
      <c r="BE1200" s="3" t="s">
        <v>11157</v>
      </c>
      <c r="BF1200" s="3" t="s">
        <v>11156</v>
      </c>
      <c r="BG1200" s="3" t="s">
        <v>11158</v>
      </c>
    </row>
    <row r="1201" spans="1:59" ht="60" x14ac:dyDescent="0.25">
      <c r="A1201" s="2" t="s">
        <v>59</v>
      </c>
      <c r="B1201" s="2" t="s">
        <v>60</v>
      </c>
      <c r="C1201" s="2" t="s">
        <v>11159</v>
      </c>
      <c r="D1201" s="2" t="s">
        <v>11160</v>
      </c>
      <c r="E1201" s="2" t="s">
        <v>11161</v>
      </c>
      <c r="G1201" s="3" t="s">
        <v>63</v>
      </c>
      <c r="I1201" s="3" t="s">
        <v>63</v>
      </c>
      <c r="J1201" s="3" t="s">
        <v>63</v>
      </c>
      <c r="K1201" s="3" t="s">
        <v>64</v>
      </c>
      <c r="L1201" s="2" t="s">
        <v>11007</v>
      </c>
      <c r="M1201" s="2" t="s">
        <v>11162</v>
      </c>
      <c r="N1201" s="3" t="s">
        <v>2043</v>
      </c>
      <c r="P1201" s="3" t="s">
        <v>66</v>
      </c>
      <c r="R1201" s="3" t="s">
        <v>67</v>
      </c>
      <c r="S1201" s="4">
        <v>25</v>
      </c>
      <c r="T1201" s="4">
        <v>25</v>
      </c>
      <c r="U1201" s="5" t="s">
        <v>3641</v>
      </c>
      <c r="V1201" s="5" t="s">
        <v>3641</v>
      </c>
      <c r="W1201" s="5" t="s">
        <v>69</v>
      </c>
      <c r="X1201" s="5" t="s">
        <v>69</v>
      </c>
      <c r="Y1201" s="4">
        <v>534</v>
      </c>
      <c r="Z1201" s="4">
        <v>25</v>
      </c>
      <c r="AA1201" s="4">
        <v>27</v>
      </c>
      <c r="AB1201" s="4">
        <v>1</v>
      </c>
      <c r="AC1201" s="4">
        <v>3</v>
      </c>
      <c r="AD1201" s="4">
        <v>113</v>
      </c>
      <c r="AE1201" s="4">
        <v>114</v>
      </c>
      <c r="AF1201" s="4">
        <v>0</v>
      </c>
      <c r="AG1201" s="4">
        <v>1</v>
      </c>
      <c r="AH1201" s="4">
        <v>103</v>
      </c>
      <c r="AI1201" s="4">
        <v>104</v>
      </c>
      <c r="AJ1201" s="4">
        <v>14</v>
      </c>
      <c r="AK1201" s="4">
        <v>15</v>
      </c>
      <c r="AL1201" s="4">
        <v>55</v>
      </c>
      <c r="AM1201" s="4">
        <v>55</v>
      </c>
      <c r="AN1201" s="4">
        <v>0</v>
      </c>
      <c r="AO1201" s="4">
        <v>0</v>
      </c>
      <c r="AP1201" s="4">
        <v>17</v>
      </c>
      <c r="AQ1201" s="4">
        <v>18</v>
      </c>
      <c r="AR1201" s="3" t="s">
        <v>63</v>
      </c>
      <c r="AS1201" s="3" t="s">
        <v>63</v>
      </c>
      <c r="AT1201" s="3" t="s">
        <v>62</v>
      </c>
      <c r="AU1201" s="6" t="str">
        <f>HYPERLINK("http://catalog.hathitrust.org/Record/000099868","HathiTrust Record")</f>
        <v>HathiTrust Record</v>
      </c>
      <c r="AV1201" s="6" t="str">
        <f>HYPERLINK("http://mcgill.on.worldcat.org/oclc/7197805","Catalog Record")</f>
        <v>Catalog Record</v>
      </c>
      <c r="AW1201" s="6" t="str">
        <f>HYPERLINK("http://www.worldcat.org/oclc/7197805","WorldCat Record")</f>
        <v>WorldCat Record</v>
      </c>
      <c r="AX1201" s="3" t="s">
        <v>11163</v>
      </c>
      <c r="AY1201" s="3" t="s">
        <v>11164</v>
      </c>
      <c r="AZ1201" s="3" t="s">
        <v>11165</v>
      </c>
      <c r="BA1201" s="3" t="s">
        <v>11165</v>
      </c>
      <c r="BB1201" s="3" t="s">
        <v>11166</v>
      </c>
      <c r="BC1201" s="3" t="s">
        <v>82</v>
      </c>
      <c r="BD1201" s="3" t="s">
        <v>70</v>
      </c>
      <c r="BE1201" s="3" t="s">
        <v>11167</v>
      </c>
      <c r="BF1201" s="3" t="s">
        <v>11166</v>
      </c>
      <c r="BG1201" s="3" t="s">
        <v>11168</v>
      </c>
    </row>
    <row r="1202" spans="1:59" ht="75" x14ac:dyDescent="0.25">
      <c r="A1202" s="2" t="s">
        <v>59</v>
      </c>
      <c r="B1202" s="2" t="s">
        <v>60</v>
      </c>
      <c r="C1202" s="2" t="s">
        <v>11169</v>
      </c>
      <c r="D1202" s="2" t="s">
        <v>11170</v>
      </c>
      <c r="E1202" s="2" t="s">
        <v>11171</v>
      </c>
      <c r="G1202" s="3" t="s">
        <v>63</v>
      </c>
      <c r="I1202" s="3" t="s">
        <v>63</v>
      </c>
      <c r="J1202" s="3" t="s">
        <v>63</v>
      </c>
      <c r="K1202" s="3" t="s">
        <v>64</v>
      </c>
      <c r="M1202" s="2" t="s">
        <v>11172</v>
      </c>
      <c r="N1202" s="3" t="s">
        <v>362</v>
      </c>
      <c r="P1202" s="3" t="s">
        <v>90</v>
      </c>
      <c r="R1202" s="3" t="s">
        <v>67</v>
      </c>
      <c r="S1202" s="4">
        <v>1</v>
      </c>
      <c r="T1202" s="4">
        <v>1</v>
      </c>
      <c r="U1202" s="5" t="s">
        <v>11173</v>
      </c>
      <c r="V1202" s="5" t="s">
        <v>11173</v>
      </c>
      <c r="W1202" s="5" t="s">
        <v>69</v>
      </c>
      <c r="X1202" s="5" t="s">
        <v>69</v>
      </c>
      <c r="Y1202" s="4">
        <v>77</v>
      </c>
      <c r="Z1202" s="4">
        <v>9</v>
      </c>
      <c r="AA1202" s="4">
        <v>9</v>
      </c>
      <c r="AB1202" s="4">
        <v>2</v>
      </c>
      <c r="AC1202" s="4">
        <v>2</v>
      </c>
      <c r="AD1202" s="4">
        <v>53</v>
      </c>
      <c r="AE1202" s="4">
        <v>53</v>
      </c>
      <c r="AF1202" s="4">
        <v>0</v>
      </c>
      <c r="AG1202" s="4">
        <v>0</v>
      </c>
      <c r="AH1202" s="4">
        <v>52</v>
      </c>
      <c r="AI1202" s="4">
        <v>52</v>
      </c>
      <c r="AJ1202" s="4">
        <v>6</v>
      </c>
      <c r="AK1202" s="4">
        <v>6</v>
      </c>
      <c r="AL1202" s="4">
        <v>39</v>
      </c>
      <c r="AM1202" s="4">
        <v>39</v>
      </c>
      <c r="AN1202" s="4">
        <v>0</v>
      </c>
      <c r="AO1202" s="4">
        <v>0</v>
      </c>
      <c r="AP1202" s="4">
        <v>6</v>
      </c>
      <c r="AQ1202" s="4">
        <v>6</v>
      </c>
      <c r="AR1202" s="3" t="s">
        <v>63</v>
      </c>
      <c r="AS1202" s="3" t="s">
        <v>63</v>
      </c>
      <c r="AT1202" s="3" t="s">
        <v>63</v>
      </c>
      <c r="AV1202" s="6" t="str">
        <f>HYPERLINK("http://mcgill.on.worldcat.org/oclc/48467324","Catalog Record")</f>
        <v>Catalog Record</v>
      </c>
      <c r="AW1202" s="6" t="str">
        <f>HYPERLINK("http://www.worldcat.org/oclc/48467324","WorldCat Record")</f>
        <v>WorldCat Record</v>
      </c>
      <c r="AX1202" s="3" t="s">
        <v>11174</v>
      </c>
      <c r="AY1202" s="3" t="s">
        <v>11175</v>
      </c>
      <c r="AZ1202" s="3" t="s">
        <v>11176</v>
      </c>
      <c r="BA1202" s="3" t="s">
        <v>11176</v>
      </c>
      <c r="BB1202" s="3" t="s">
        <v>11177</v>
      </c>
      <c r="BC1202" s="3" t="s">
        <v>82</v>
      </c>
      <c r="BD1202" s="3" t="s">
        <v>70</v>
      </c>
      <c r="BE1202" s="3" t="s">
        <v>11178</v>
      </c>
      <c r="BF1202" s="3" t="s">
        <v>11177</v>
      </c>
      <c r="BG1202" s="3" t="s">
        <v>11179</v>
      </c>
    </row>
    <row r="1203" spans="1:59" ht="60" x14ac:dyDescent="0.25">
      <c r="A1203" s="2" t="s">
        <v>59</v>
      </c>
      <c r="B1203" s="2" t="s">
        <v>60</v>
      </c>
      <c r="C1203" s="2" t="s">
        <v>11180</v>
      </c>
      <c r="D1203" s="2" t="s">
        <v>11181</v>
      </c>
      <c r="E1203" s="2" t="s">
        <v>11182</v>
      </c>
      <c r="G1203" s="3" t="s">
        <v>63</v>
      </c>
      <c r="I1203" s="3" t="s">
        <v>63</v>
      </c>
      <c r="J1203" s="3" t="s">
        <v>63</v>
      </c>
      <c r="K1203" s="3" t="s">
        <v>64</v>
      </c>
      <c r="L1203" s="2" t="s">
        <v>11183</v>
      </c>
      <c r="M1203" s="2" t="s">
        <v>8584</v>
      </c>
      <c r="N1203" s="3" t="s">
        <v>693</v>
      </c>
      <c r="P1203" s="3" t="s">
        <v>66</v>
      </c>
      <c r="Q1203" s="2" t="s">
        <v>11184</v>
      </c>
      <c r="R1203" s="3" t="s">
        <v>67</v>
      </c>
      <c r="S1203" s="4">
        <v>12</v>
      </c>
      <c r="T1203" s="4">
        <v>12</v>
      </c>
      <c r="U1203" s="5" t="s">
        <v>6931</v>
      </c>
      <c r="V1203" s="5" t="s">
        <v>6931</v>
      </c>
      <c r="W1203" s="5" t="s">
        <v>69</v>
      </c>
      <c r="X1203" s="5" t="s">
        <v>69</v>
      </c>
      <c r="Y1203" s="4">
        <v>121</v>
      </c>
      <c r="Z1203" s="4">
        <v>12</v>
      </c>
      <c r="AA1203" s="4">
        <v>62</v>
      </c>
      <c r="AB1203" s="4">
        <v>1</v>
      </c>
      <c r="AC1203" s="4">
        <v>8</v>
      </c>
      <c r="AD1203" s="4">
        <v>58</v>
      </c>
      <c r="AE1203" s="4">
        <v>94</v>
      </c>
      <c r="AF1203" s="4">
        <v>0</v>
      </c>
      <c r="AG1203" s="4">
        <v>1</v>
      </c>
      <c r="AH1203" s="4">
        <v>53</v>
      </c>
      <c r="AI1203" s="4">
        <v>74</v>
      </c>
      <c r="AJ1203" s="4">
        <v>9</v>
      </c>
      <c r="AK1203" s="4">
        <v>15</v>
      </c>
      <c r="AL1203" s="4">
        <v>35</v>
      </c>
      <c r="AM1203" s="4">
        <v>41</v>
      </c>
      <c r="AN1203" s="4">
        <v>0</v>
      </c>
      <c r="AO1203" s="4">
        <v>0</v>
      </c>
      <c r="AP1203" s="4">
        <v>9</v>
      </c>
      <c r="AQ1203" s="4">
        <v>25</v>
      </c>
      <c r="AR1203" s="3" t="s">
        <v>63</v>
      </c>
      <c r="AS1203" s="3" t="s">
        <v>63</v>
      </c>
      <c r="AT1203" s="3" t="s">
        <v>62</v>
      </c>
      <c r="AU1203" s="6" t="str">
        <f>HYPERLINK("http://catalog.hathitrust.org/Record/005024807","HathiTrust Record")</f>
        <v>HathiTrust Record</v>
      </c>
      <c r="AV1203" s="6" t="str">
        <f>HYPERLINK("http://mcgill.on.worldcat.org/oclc/56540766","Catalog Record")</f>
        <v>Catalog Record</v>
      </c>
      <c r="AW1203" s="6" t="str">
        <f>HYPERLINK("http://www.worldcat.org/oclc/56540766","WorldCat Record")</f>
        <v>WorldCat Record</v>
      </c>
      <c r="AX1203" s="3" t="s">
        <v>11185</v>
      </c>
      <c r="AY1203" s="3" t="s">
        <v>11186</v>
      </c>
      <c r="AZ1203" s="3" t="s">
        <v>11187</v>
      </c>
      <c r="BA1203" s="3" t="s">
        <v>11187</v>
      </c>
      <c r="BB1203" s="3" t="s">
        <v>11188</v>
      </c>
      <c r="BC1203" s="3" t="s">
        <v>82</v>
      </c>
      <c r="BD1203" s="3" t="s">
        <v>70</v>
      </c>
      <c r="BE1203" s="3" t="s">
        <v>11189</v>
      </c>
      <c r="BF1203" s="3" t="s">
        <v>11188</v>
      </c>
      <c r="BG1203" s="3" t="s">
        <v>11190</v>
      </c>
    </row>
    <row r="1204" spans="1:59" ht="75" x14ac:dyDescent="0.25">
      <c r="A1204" s="2" t="s">
        <v>59</v>
      </c>
      <c r="B1204" s="2" t="s">
        <v>60</v>
      </c>
      <c r="C1204" s="2" t="s">
        <v>11191</v>
      </c>
      <c r="D1204" s="2" t="s">
        <v>11192</v>
      </c>
      <c r="E1204" s="2" t="s">
        <v>11193</v>
      </c>
      <c r="G1204" s="3" t="s">
        <v>63</v>
      </c>
      <c r="I1204" s="3" t="s">
        <v>63</v>
      </c>
      <c r="J1204" s="3" t="s">
        <v>63</v>
      </c>
      <c r="K1204" s="3" t="s">
        <v>64</v>
      </c>
      <c r="L1204" s="2" t="s">
        <v>10454</v>
      </c>
      <c r="M1204" s="2" t="s">
        <v>11194</v>
      </c>
      <c r="N1204" s="3" t="s">
        <v>629</v>
      </c>
      <c r="P1204" s="3" t="s">
        <v>66</v>
      </c>
      <c r="R1204" s="3" t="s">
        <v>67</v>
      </c>
      <c r="S1204" s="4">
        <v>0</v>
      </c>
      <c r="T1204" s="4">
        <v>0</v>
      </c>
      <c r="W1204" s="5" t="s">
        <v>69</v>
      </c>
      <c r="X1204" s="5" t="s">
        <v>69</v>
      </c>
      <c r="Y1204" s="4">
        <v>65</v>
      </c>
      <c r="Z1204" s="4">
        <v>8</v>
      </c>
      <c r="AA1204" s="4">
        <v>8</v>
      </c>
      <c r="AB1204" s="4">
        <v>1</v>
      </c>
      <c r="AC1204" s="4">
        <v>1</v>
      </c>
      <c r="AD1204" s="4">
        <v>28</v>
      </c>
      <c r="AE1204" s="4">
        <v>28</v>
      </c>
      <c r="AF1204" s="4">
        <v>0</v>
      </c>
      <c r="AG1204" s="4">
        <v>0</v>
      </c>
      <c r="AH1204" s="4">
        <v>25</v>
      </c>
      <c r="AI1204" s="4">
        <v>25</v>
      </c>
      <c r="AJ1204" s="4">
        <v>6</v>
      </c>
      <c r="AK1204" s="4">
        <v>6</v>
      </c>
      <c r="AL1204" s="4">
        <v>17</v>
      </c>
      <c r="AM1204" s="4">
        <v>17</v>
      </c>
      <c r="AN1204" s="4">
        <v>0</v>
      </c>
      <c r="AO1204" s="4">
        <v>0</v>
      </c>
      <c r="AP1204" s="4">
        <v>6</v>
      </c>
      <c r="AQ1204" s="4">
        <v>6</v>
      </c>
      <c r="AR1204" s="3" t="s">
        <v>63</v>
      </c>
      <c r="AS1204" s="3" t="s">
        <v>63</v>
      </c>
      <c r="AT1204" s="3" t="s">
        <v>63</v>
      </c>
      <c r="AV1204" s="6" t="str">
        <f>HYPERLINK("http://mcgill.on.worldcat.org/oclc/757149076","Catalog Record")</f>
        <v>Catalog Record</v>
      </c>
      <c r="AW1204" s="6" t="str">
        <f>HYPERLINK("http://www.worldcat.org/oclc/757149076","WorldCat Record")</f>
        <v>WorldCat Record</v>
      </c>
      <c r="AX1204" s="3" t="s">
        <v>11195</v>
      </c>
      <c r="AY1204" s="3" t="s">
        <v>11196</v>
      </c>
      <c r="AZ1204" s="3" t="s">
        <v>11197</v>
      </c>
      <c r="BA1204" s="3" t="s">
        <v>11197</v>
      </c>
      <c r="BB1204" s="3" t="s">
        <v>11198</v>
      </c>
      <c r="BC1204" s="3" t="s">
        <v>82</v>
      </c>
      <c r="BD1204" s="3" t="s">
        <v>70</v>
      </c>
      <c r="BE1204" s="3" t="s">
        <v>11199</v>
      </c>
      <c r="BF1204" s="3" t="s">
        <v>11198</v>
      </c>
      <c r="BG1204" s="3" t="s">
        <v>11200</v>
      </c>
    </row>
    <row r="1205" spans="1:59" ht="60" x14ac:dyDescent="0.25">
      <c r="A1205" s="2" t="s">
        <v>59</v>
      </c>
      <c r="B1205" s="2" t="s">
        <v>60</v>
      </c>
      <c r="C1205" s="2" t="s">
        <v>11201</v>
      </c>
      <c r="D1205" s="2" t="s">
        <v>11202</v>
      </c>
      <c r="E1205" s="2" t="s">
        <v>11203</v>
      </c>
      <c r="G1205" s="3" t="s">
        <v>63</v>
      </c>
      <c r="I1205" s="3" t="s">
        <v>63</v>
      </c>
      <c r="J1205" s="3" t="s">
        <v>63</v>
      </c>
      <c r="K1205" s="3" t="s">
        <v>64</v>
      </c>
      <c r="L1205" s="2" t="s">
        <v>10454</v>
      </c>
      <c r="M1205" s="2" t="s">
        <v>11204</v>
      </c>
      <c r="N1205" s="3" t="s">
        <v>743</v>
      </c>
      <c r="P1205" s="3" t="s">
        <v>90</v>
      </c>
      <c r="R1205" s="3" t="s">
        <v>67</v>
      </c>
      <c r="S1205" s="4">
        <v>8</v>
      </c>
      <c r="T1205" s="4">
        <v>8</v>
      </c>
      <c r="U1205" s="5" t="s">
        <v>10814</v>
      </c>
      <c r="V1205" s="5" t="s">
        <v>10814</v>
      </c>
      <c r="W1205" s="5" t="s">
        <v>69</v>
      </c>
      <c r="X1205" s="5" t="s">
        <v>69</v>
      </c>
      <c r="Y1205" s="4">
        <v>2</v>
      </c>
      <c r="Z1205" s="4">
        <v>2</v>
      </c>
      <c r="AA1205" s="4">
        <v>2</v>
      </c>
      <c r="AB1205" s="4">
        <v>2</v>
      </c>
      <c r="AC1205" s="4">
        <v>2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3" t="s">
        <v>63</v>
      </c>
      <c r="AS1205" s="3" t="s">
        <v>63</v>
      </c>
      <c r="AT1205" s="3" t="s">
        <v>63</v>
      </c>
      <c r="AV1205" s="6" t="str">
        <f>HYPERLINK("http://mcgill.on.worldcat.org/oclc/43012545","Catalog Record")</f>
        <v>Catalog Record</v>
      </c>
      <c r="AW1205" s="6" t="str">
        <f>HYPERLINK("http://www.worldcat.org/oclc/43012545","WorldCat Record")</f>
        <v>WorldCat Record</v>
      </c>
      <c r="AX1205" s="3" t="s">
        <v>11205</v>
      </c>
      <c r="AY1205" s="3" t="s">
        <v>11206</v>
      </c>
      <c r="AZ1205" s="3" t="s">
        <v>11207</v>
      </c>
      <c r="BA1205" s="3" t="s">
        <v>11207</v>
      </c>
      <c r="BB1205" s="3" t="s">
        <v>11208</v>
      </c>
      <c r="BC1205" s="3" t="s">
        <v>82</v>
      </c>
      <c r="BD1205" s="3" t="s">
        <v>70</v>
      </c>
      <c r="BF1205" s="3" t="s">
        <v>11208</v>
      </c>
      <c r="BG1205" s="3" t="s">
        <v>11209</v>
      </c>
    </row>
    <row r="1206" spans="1:59" ht="60" x14ac:dyDescent="0.25">
      <c r="A1206" s="2" t="s">
        <v>59</v>
      </c>
      <c r="B1206" s="2" t="s">
        <v>60</v>
      </c>
      <c r="C1206" s="2" t="s">
        <v>11210</v>
      </c>
      <c r="D1206" s="2" t="s">
        <v>11211</v>
      </c>
      <c r="E1206" s="2" t="s">
        <v>11212</v>
      </c>
      <c r="G1206" s="3" t="s">
        <v>63</v>
      </c>
      <c r="I1206" s="3" t="s">
        <v>62</v>
      </c>
      <c r="J1206" s="3" t="s">
        <v>63</v>
      </c>
      <c r="K1206" s="3" t="s">
        <v>64</v>
      </c>
      <c r="L1206" s="2" t="s">
        <v>10454</v>
      </c>
      <c r="M1206" s="2" t="s">
        <v>11213</v>
      </c>
      <c r="N1206" s="3" t="s">
        <v>401</v>
      </c>
      <c r="P1206" s="3" t="s">
        <v>90</v>
      </c>
      <c r="R1206" s="3" t="s">
        <v>67</v>
      </c>
      <c r="S1206" s="4">
        <v>26</v>
      </c>
      <c r="T1206" s="4">
        <v>36</v>
      </c>
      <c r="U1206" s="5" t="s">
        <v>10783</v>
      </c>
      <c r="V1206" s="5" t="s">
        <v>10783</v>
      </c>
      <c r="W1206" s="5" t="s">
        <v>69</v>
      </c>
      <c r="X1206" s="5" t="s">
        <v>69</v>
      </c>
      <c r="Y1206" s="4">
        <v>2</v>
      </c>
      <c r="Z1206" s="4">
        <v>2</v>
      </c>
      <c r="AA1206" s="4">
        <v>2</v>
      </c>
      <c r="AB1206" s="4">
        <v>1</v>
      </c>
      <c r="AC1206" s="4">
        <v>1</v>
      </c>
      <c r="AD1206" s="4">
        <v>1</v>
      </c>
      <c r="AE1206" s="4">
        <v>1</v>
      </c>
      <c r="AF1206" s="4">
        <v>0</v>
      </c>
      <c r="AG1206" s="4">
        <v>0</v>
      </c>
      <c r="AH1206" s="4">
        <v>0</v>
      </c>
      <c r="AI1206" s="4">
        <v>0</v>
      </c>
      <c r="AJ1206" s="4">
        <v>1</v>
      </c>
      <c r="AK1206" s="4">
        <v>1</v>
      </c>
      <c r="AL1206" s="4">
        <v>0</v>
      </c>
      <c r="AM1206" s="4">
        <v>0</v>
      </c>
      <c r="AN1206" s="4">
        <v>0</v>
      </c>
      <c r="AO1206" s="4">
        <v>0</v>
      </c>
      <c r="AP1206" s="4">
        <v>1</v>
      </c>
      <c r="AQ1206" s="4">
        <v>1</v>
      </c>
      <c r="AR1206" s="3" t="s">
        <v>63</v>
      </c>
      <c r="AS1206" s="3" t="s">
        <v>63</v>
      </c>
      <c r="AT1206" s="3" t="s">
        <v>63</v>
      </c>
      <c r="AV1206" s="6" t="str">
        <f>HYPERLINK("http://mcgill.on.worldcat.org/oclc/56227519","Catalog Record")</f>
        <v>Catalog Record</v>
      </c>
      <c r="AW1206" s="6" t="str">
        <f>HYPERLINK("http://www.worldcat.org/oclc/56227519","WorldCat Record")</f>
        <v>WorldCat Record</v>
      </c>
      <c r="AX1206" s="3" t="s">
        <v>11214</v>
      </c>
      <c r="AY1206" s="3" t="s">
        <v>11215</v>
      </c>
      <c r="AZ1206" s="3" t="s">
        <v>11216</v>
      </c>
      <c r="BA1206" s="3" t="s">
        <v>11216</v>
      </c>
      <c r="BB1206" s="3" t="s">
        <v>11217</v>
      </c>
      <c r="BC1206" s="3" t="s">
        <v>82</v>
      </c>
      <c r="BD1206" s="3" t="s">
        <v>70</v>
      </c>
      <c r="BF1206" s="3" t="s">
        <v>11217</v>
      </c>
      <c r="BG1206" s="3" t="s">
        <v>11218</v>
      </c>
    </row>
    <row r="1207" spans="1:59" ht="60" x14ac:dyDescent="0.25">
      <c r="A1207" s="2" t="s">
        <v>59</v>
      </c>
      <c r="B1207" s="2" t="s">
        <v>60</v>
      </c>
      <c r="C1207" s="2" t="s">
        <v>11210</v>
      </c>
      <c r="D1207" s="2" t="s">
        <v>11211</v>
      </c>
      <c r="E1207" s="2" t="s">
        <v>11212</v>
      </c>
      <c r="G1207" s="3" t="s">
        <v>63</v>
      </c>
      <c r="I1207" s="3" t="s">
        <v>62</v>
      </c>
      <c r="J1207" s="3" t="s">
        <v>63</v>
      </c>
      <c r="K1207" s="3" t="s">
        <v>64</v>
      </c>
      <c r="L1207" s="2" t="s">
        <v>10454</v>
      </c>
      <c r="M1207" s="2" t="s">
        <v>11213</v>
      </c>
      <c r="N1207" s="3" t="s">
        <v>401</v>
      </c>
      <c r="P1207" s="3" t="s">
        <v>90</v>
      </c>
      <c r="R1207" s="3" t="s">
        <v>67</v>
      </c>
      <c r="S1207" s="4">
        <v>10</v>
      </c>
      <c r="T1207" s="4">
        <v>36</v>
      </c>
      <c r="U1207" s="5" t="s">
        <v>11219</v>
      </c>
      <c r="V1207" s="5" t="s">
        <v>10783</v>
      </c>
      <c r="W1207" s="5" t="s">
        <v>69</v>
      </c>
      <c r="X1207" s="5" t="s">
        <v>69</v>
      </c>
      <c r="Y1207" s="4">
        <v>2</v>
      </c>
      <c r="Z1207" s="4">
        <v>2</v>
      </c>
      <c r="AA1207" s="4">
        <v>2</v>
      </c>
      <c r="AB1207" s="4">
        <v>1</v>
      </c>
      <c r="AC1207" s="4">
        <v>1</v>
      </c>
      <c r="AD1207" s="4">
        <v>1</v>
      </c>
      <c r="AE1207" s="4">
        <v>1</v>
      </c>
      <c r="AF1207" s="4">
        <v>0</v>
      </c>
      <c r="AG1207" s="4">
        <v>0</v>
      </c>
      <c r="AH1207" s="4">
        <v>0</v>
      </c>
      <c r="AI1207" s="4">
        <v>0</v>
      </c>
      <c r="AJ1207" s="4">
        <v>1</v>
      </c>
      <c r="AK1207" s="4">
        <v>1</v>
      </c>
      <c r="AL1207" s="4">
        <v>0</v>
      </c>
      <c r="AM1207" s="4">
        <v>0</v>
      </c>
      <c r="AN1207" s="4">
        <v>0</v>
      </c>
      <c r="AO1207" s="4">
        <v>0</v>
      </c>
      <c r="AP1207" s="4">
        <v>1</v>
      </c>
      <c r="AQ1207" s="4">
        <v>1</v>
      </c>
      <c r="AR1207" s="3" t="s">
        <v>63</v>
      </c>
      <c r="AS1207" s="3" t="s">
        <v>63</v>
      </c>
      <c r="AT1207" s="3" t="s">
        <v>63</v>
      </c>
      <c r="AV1207" s="6" t="str">
        <f>HYPERLINK("http://mcgill.on.worldcat.org/oclc/56227519","Catalog Record")</f>
        <v>Catalog Record</v>
      </c>
      <c r="AW1207" s="6" t="str">
        <f>HYPERLINK("http://www.worldcat.org/oclc/56227519","WorldCat Record")</f>
        <v>WorldCat Record</v>
      </c>
      <c r="AX1207" s="3" t="s">
        <v>11214</v>
      </c>
      <c r="AY1207" s="3" t="s">
        <v>11215</v>
      </c>
      <c r="AZ1207" s="3" t="s">
        <v>11216</v>
      </c>
      <c r="BA1207" s="3" t="s">
        <v>11216</v>
      </c>
      <c r="BB1207" s="3" t="s">
        <v>11220</v>
      </c>
      <c r="BC1207" s="3" t="s">
        <v>82</v>
      </c>
      <c r="BD1207" s="3" t="s">
        <v>70</v>
      </c>
      <c r="BF1207" s="3" t="s">
        <v>11220</v>
      </c>
      <c r="BG1207" s="3" t="s">
        <v>11221</v>
      </c>
    </row>
    <row r="1208" spans="1:59" ht="60" x14ac:dyDescent="0.25">
      <c r="A1208" s="2" t="s">
        <v>59</v>
      </c>
      <c r="B1208" s="2" t="s">
        <v>60</v>
      </c>
      <c r="C1208" s="2" t="s">
        <v>11222</v>
      </c>
      <c r="D1208" s="2" t="s">
        <v>11223</v>
      </c>
      <c r="E1208" s="2" t="s">
        <v>11224</v>
      </c>
      <c r="G1208" s="3" t="s">
        <v>63</v>
      </c>
      <c r="I1208" s="3" t="s">
        <v>62</v>
      </c>
      <c r="J1208" s="3" t="s">
        <v>63</v>
      </c>
      <c r="K1208" s="3" t="s">
        <v>64</v>
      </c>
      <c r="L1208" s="2" t="s">
        <v>10454</v>
      </c>
      <c r="M1208" s="2" t="s">
        <v>11225</v>
      </c>
      <c r="N1208" s="3" t="s">
        <v>918</v>
      </c>
      <c r="P1208" s="3" t="s">
        <v>66</v>
      </c>
      <c r="R1208" s="3" t="s">
        <v>67</v>
      </c>
      <c r="S1208" s="4">
        <v>11</v>
      </c>
      <c r="T1208" s="4">
        <v>24</v>
      </c>
      <c r="U1208" s="5" t="s">
        <v>3885</v>
      </c>
      <c r="V1208" s="5" t="s">
        <v>3885</v>
      </c>
      <c r="W1208" s="5" t="s">
        <v>415</v>
      </c>
      <c r="X1208" s="5" t="s">
        <v>415</v>
      </c>
      <c r="Y1208" s="4">
        <v>1250</v>
      </c>
      <c r="Z1208" s="4">
        <v>50</v>
      </c>
      <c r="AA1208" s="4">
        <v>63</v>
      </c>
      <c r="AB1208" s="4">
        <v>2</v>
      </c>
      <c r="AC1208" s="4">
        <v>4</v>
      </c>
      <c r="AD1208" s="4">
        <v>135</v>
      </c>
      <c r="AE1208" s="4">
        <v>146</v>
      </c>
      <c r="AF1208" s="4">
        <v>1</v>
      </c>
      <c r="AG1208" s="4">
        <v>1</v>
      </c>
      <c r="AH1208" s="4">
        <v>106</v>
      </c>
      <c r="AI1208" s="4">
        <v>111</v>
      </c>
      <c r="AJ1208" s="4">
        <v>22</v>
      </c>
      <c r="AK1208" s="4">
        <v>24</v>
      </c>
      <c r="AL1208" s="4">
        <v>59</v>
      </c>
      <c r="AM1208" s="4">
        <v>61</v>
      </c>
      <c r="AN1208" s="4">
        <v>0</v>
      </c>
      <c r="AO1208" s="4">
        <v>0</v>
      </c>
      <c r="AP1208" s="4">
        <v>34</v>
      </c>
      <c r="AQ1208" s="4">
        <v>41</v>
      </c>
      <c r="AR1208" s="3" t="s">
        <v>63</v>
      </c>
      <c r="AS1208" s="3" t="s">
        <v>63</v>
      </c>
      <c r="AT1208" s="3" t="s">
        <v>62</v>
      </c>
      <c r="AU1208" s="6" t="str">
        <f>HYPERLINK("http://catalog.hathitrust.org/Record/000980797","HathiTrust Record")</f>
        <v>HathiTrust Record</v>
      </c>
      <c r="AV1208" s="6" t="str">
        <f>HYPERLINK("http://mcgill.on.worldcat.org/oclc/757374","Catalog Record")</f>
        <v>Catalog Record</v>
      </c>
      <c r="AW1208" s="6" t="str">
        <f>HYPERLINK("http://www.worldcat.org/oclc/757374","WorldCat Record")</f>
        <v>WorldCat Record</v>
      </c>
      <c r="AX1208" s="3" t="s">
        <v>11226</v>
      </c>
      <c r="AY1208" s="3" t="s">
        <v>11227</v>
      </c>
      <c r="AZ1208" s="3" t="s">
        <v>11228</v>
      </c>
      <c r="BA1208" s="3" t="s">
        <v>11228</v>
      </c>
      <c r="BB1208" s="3" t="s">
        <v>11229</v>
      </c>
      <c r="BC1208" s="3" t="s">
        <v>82</v>
      </c>
      <c r="BD1208" s="3" t="s">
        <v>70</v>
      </c>
      <c r="BE1208" s="3" t="s">
        <v>11098</v>
      </c>
      <c r="BF1208" s="3" t="s">
        <v>11229</v>
      </c>
      <c r="BG1208" s="3" t="s">
        <v>11230</v>
      </c>
    </row>
    <row r="1209" spans="1:59" ht="60" x14ac:dyDescent="0.25">
      <c r="A1209" s="2" t="s">
        <v>59</v>
      </c>
      <c r="B1209" s="2" t="s">
        <v>60</v>
      </c>
      <c r="C1209" s="2" t="s">
        <v>11222</v>
      </c>
      <c r="D1209" s="2" t="s">
        <v>11223</v>
      </c>
      <c r="E1209" s="2" t="s">
        <v>11224</v>
      </c>
      <c r="G1209" s="3" t="s">
        <v>63</v>
      </c>
      <c r="I1209" s="3" t="s">
        <v>62</v>
      </c>
      <c r="J1209" s="3" t="s">
        <v>63</v>
      </c>
      <c r="K1209" s="3" t="s">
        <v>64</v>
      </c>
      <c r="L1209" s="2" t="s">
        <v>10454</v>
      </c>
      <c r="M1209" s="2" t="s">
        <v>11225</v>
      </c>
      <c r="N1209" s="3" t="s">
        <v>918</v>
      </c>
      <c r="P1209" s="3" t="s">
        <v>66</v>
      </c>
      <c r="R1209" s="3" t="s">
        <v>67</v>
      </c>
      <c r="S1209" s="4">
        <v>7</v>
      </c>
      <c r="T1209" s="4">
        <v>24</v>
      </c>
      <c r="U1209" s="5" t="s">
        <v>10663</v>
      </c>
      <c r="V1209" s="5" t="s">
        <v>3885</v>
      </c>
      <c r="W1209" s="5" t="s">
        <v>415</v>
      </c>
      <c r="X1209" s="5" t="s">
        <v>415</v>
      </c>
      <c r="Y1209" s="4">
        <v>1250</v>
      </c>
      <c r="Z1209" s="4">
        <v>50</v>
      </c>
      <c r="AA1209" s="4">
        <v>63</v>
      </c>
      <c r="AB1209" s="4">
        <v>2</v>
      </c>
      <c r="AC1209" s="4">
        <v>4</v>
      </c>
      <c r="AD1209" s="4">
        <v>135</v>
      </c>
      <c r="AE1209" s="4">
        <v>146</v>
      </c>
      <c r="AF1209" s="4">
        <v>1</v>
      </c>
      <c r="AG1209" s="4">
        <v>1</v>
      </c>
      <c r="AH1209" s="4">
        <v>106</v>
      </c>
      <c r="AI1209" s="4">
        <v>111</v>
      </c>
      <c r="AJ1209" s="4">
        <v>22</v>
      </c>
      <c r="AK1209" s="4">
        <v>24</v>
      </c>
      <c r="AL1209" s="4">
        <v>59</v>
      </c>
      <c r="AM1209" s="4">
        <v>61</v>
      </c>
      <c r="AN1209" s="4">
        <v>0</v>
      </c>
      <c r="AO1209" s="4">
        <v>0</v>
      </c>
      <c r="AP1209" s="4">
        <v>34</v>
      </c>
      <c r="AQ1209" s="4">
        <v>41</v>
      </c>
      <c r="AR1209" s="3" t="s">
        <v>63</v>
      </c>
      <c r="AS1209" s="3" t="s">
        <v>63</v>
      </c>
      <c r="AT1209" s="3" t="s">
        <v>62</v>
      </c>
      <c r="AU1209" s="6" t="str">
        <f>HYPERLINK("http://catalog.hathitrust.org/Record/000980797","HathiTrust Record")</f>
        <v>HathiTrust Record</v>
      </c>
      <c r="AV1209" s="6" t="str">
        <f>HYPERLINK("http://mcgill.on.worldcat.org/oclc/757374","Catalog Record")</f>
        <v>Catalog Record</v>
      </c>
      <c r="AW1209" s="6" t="str">
        <f>HYPERLINK("http://www.worldcat.org/oclc/757374","WorldCat Record")</f>
        <v>WorldCat Record</v>
      </c>
      <c r="AX1209" s="3" t="s">
        <v>11226</v>
      </c>
      <c r="AY1209" s="3" t="s">
        <v>11227</v>
      </c>
      <c r="AZ1209" s="3" t="s">
        <v>11228</v>
      </c>
      <c r="BA1209" s="3" t="s">
        <v>11228</v>
      </c>
      <c r="BB1209" s="3" t="s">
        <v>11231</v>
      </c>
      <c r="BC1209" s="3" t="s">
        <v>82</v>
      </c>
      <c r="BD1209" s="3" t="s">
        <v>70</v>
      </c>
      <c r="BE1209" s="3" t="s">
        <v>11098</v>
      </c>
      <c r="BF1209" s="3" t="s">
        <v>11231</v>
      </c>
      <c r="BG1209" s="3" t="s">
        <v>11232</v>
      </c>
    </row>
    <row r="1210" spans="1:59" ht="60" x14ac:dyDescent="0.25">
      <c r="A1210" s="2" t="s">
        <v>59</v>
      </c>
      <c r="B1210" s="2" t="s">
        <v>60</v>
      </c>
      <c r="C1210" s="2" t="s">
        <v>11233</v>
      </c>
      <c r="D1210" s="2" t="s">
        <v>11234</v>
      </c>
      <c r="E1210" s="2" t="s">
        <v>11224</v>
      </c>
      <c r="G1210" s="3" t="s">
        <v>63</v>
      </c>
      <c r="I1210" s="3" t="s">
        <v>62</v>
      </c>
      <c r="J1210" s="3" t="s">
        <v>63</v>
      </c>
      <c r="K1210" s="3" t="s">
        <v>64</v>
      </c>
      <c r="L1210" s="2" t="s">
        <v>10454</v>
      </c>
      <c r="M1210" s="2" t="s">
        <v>11225</v>
      </c>
      <c r="N1210" s="3" t="s">
        <v>918</v>
      </c>
      <c r="P1210" s="3" t="s">
        <v>66</v>
      </c>
      <c r="R1210" s="3" t="s">
        <v>67</v>
      </c>
      <c r="S1210" s="4">
        <v>6</v>
      </c>
      <c r="T1210" s="4">
        <v>24</v>
      </c>
      <c r="U1210" s="5" t="s">
        <v>10745</v>
      </c>
      <c r="V1210" s="5" t="s">
        <v>3885</v>
      </c>
      <c r="W1210" s="5" t="s">
        <v>69</v>
      </c>
      <c r="X1210" s="5" t="s">
        <v>415</v>
      </c>
      <c r="Y1210" s="4">
        <v>1250</v>
      </c>
      <c r="Z1210" s="4">
        <v>50</v>
      </c>
      <c r="AA1210" s="4">
        <v>63</v>
      </c>
      <c r="AB1210" s="4">
        <v>2</v>
      </c>
      <c r="AC1210" s="4">
        <v>4</v>
      </c>
      <c r="AD1210" s="4">
        <v>135</v>
      </c>
      <c r="AE1210" s="4">
        <v>146</v>
      </c>
      <c r="AF1210" s="4">
        <v>1</v>
      </c>
      <c r="AG1210" s="4">
        <v>1</v>
      </c>
      <c r="AH1210" s="4">
        <v>106</v>
      </c>
      <c r="AI1210" s="4">
        <v>111</v>
      </c>
      <c r="AJ1210" s="4">
        <v>22</v>
      </c>
      <c r="AK1210" s="4">
        <v>24</v>
      </c>
      <c r="AL1210" s="4">
        <v>59</v>
      </c>
      <c r="AM1210" s="4">
        <v>61</v>
      </c>
      <c r="AN1210" s="4">
        <v>0</v>
      </c>
      <c r="AO1210" s="4">
        <v>0</v>
      </c>
      <c r="AP1210" s="4">
        <v>34</v>
      </c>
      <c r="AQ1210" s="4">
        <v>41</v>
      </c>
      <c r="AR1210" s="3" t="s">
        <v>63</v>
      </c>
      <c r="AS1210" s="3" t="s">
        <v>63</v>
      </c>
      <c r="AT1210" s="3" t="s">
        <v>62</v>
      </c>
      <c r="AU1210" s="6" t="str">
        <f>HYPERLINK("http://catalog.hathitrust.org/Record/000980797","HathiTrust Record")</f>
        <v>HathiTrust Record</v>
      </c>
      <c r="AV1210" s="6" t="str">
        <f>HYPERLINK("http://mcgill.on.worldcat.org/oclc/757374","Catalog Record")</f>
        <v>Catalog Record</v>
      </c>
      <c r="AW1210" s="6" t="str">
        <f>HYPERLINK("http://www.worldcat.org/oclc/757374","WorldCat Record")</f>
        <v>WorldCat Record</v>
      </c>
      <c r="AX1210" s="3" t="s">
        <v>11226</v>
      </c>
      <c r="AY1210" s="3" t="s">
        <v>11227</v>
      </c>
      <c r="AZ1210" s="3" t="s">
        <v>11228</v>
      </c>
      <c r="BA1210" s="3" t="s">
        <v>11228</v>
      </c>
      <c r="BB1210" s="3" t="s">
        <v>11235</v>
      </c>
      <c r="BC1210" s="3" t="s">
        <v>82</v>
      </c>
      <c r="BD1210" s="3" t="s">
        <v>70</v>
      </c>
      <c r="BE1210" s="3" t="s">
        <v>11098</v>
      </c>
      <c r="BF1210" s="3" t="s">
        <v>11235</v>
      </c>
      <c r="BG1210" s="3" t="s">
        <v>11236</v>
      </c>
    </row>
    <row r="1211" spans="1:59" ht="60" x14ac:dyDescent="0.25">
      <c r="A1211" s="2" t="s">
        <v>59</v>
      </c>
      <c r="B1211" s="2" t="s">
        <v>60</v>
      </c>
      <c r="C1211" s="2" t="s">
        <v>11237</v>
      </c>
      <c r="D1211" s="2" t="s">
        <v>11238</v>
      </c>
      <c r="E1211" s="2" t="s">
        <v>11239</v>
      </c>
      <c r="G1211" s="3" t="s">
        <v>63</v>
      </c>
      <c r="I1211" s="3" t="s">
        <v>63</v>
      </c>
      <c r="J1211" s="3" t="s">
        <v>63</v>
      </c>
      <c r="K1211" s="3" t="s">
        <v>64</v>
      </c>
      <c r="L1211" s="2" t="s">
        <v>11240</v>
      </c>
      <c r="M1211" s="2" t="s">
        <v>11241</v>
      </c>
      <c r="N1211" s="3" t="s">
        <v>1916</v>
      </c>
      <c r="O1211" s="2" t="s">
        <v>11242</v>
      </c>
      <c r="P1211" s="3" t="s">
        <v>90</v>
      </c>
      <c r="R1211" s="3" t="s">
        <v>67</v>
      </c>
      <c r="S1211" s="4">
        <v>2</v>
      </c>
      <c r="T1211" s="4">
        <v>2</v>
      </c>
      <c r="U1211" s="5" t="s">
        <v>2284</v>
      </c>
      <c r="V1211" s="5" t="s">
        <v>2284</v>
      </c>
      <c r="W1211" s="5" t="s">
        <v>69</v>
      </c>
      <c r="X1211" s="5" t="s">
        <v>69</v>
      </c>
      <c r="Y1211" s="4">
        <v>2</v>
      </c>
      <c r="Z1211" s="4">
        <v>2</v>
      </c>
      <c r="AA1211" s="4">
        <v>3</v>
      </c>
      <c r="AB1211" s="4">
        <v>1</v>
      </c>
      <c r="AC1211" s="4">
        <v>1</v>
      </c>
      <c r="AD1211" s="4">
        <v>1</v>
      </c>
      <c r="AE1211" s="4">
        <v>34</v>
      </c>
      <c r="AF1211" s="4">
        <v>0</v>
      </c>
      <c r="AG1211" s="4">
        <v>0</v>
      </c>
      <c r="AH1211" s="4">
        <v>1</v>
      </c>
      <c r="AI1211" s="4">
        <v>34</v>
      </c>
      <c r="AJ1211" s="4">
        <v>1</v>
      </c>
      <c r="AK1211" s="4">
        <v>2</v>
      </c>
      <c r="AL1211" s="4">
        <v>0</v>
      </c>
      <c r="AM1211" s="4">
        <v>26</v>
      </c>
      <c r="AN1211" s="4">
        <v>0</v>
      </c>
      <c r="AO1211" s="4">
        <v>0</v>
      </c>
      <c r="AP1211" s="4">
        <v>1</v>
      </c>
      <c r="AQ1211" s="4">
        <v>2</v>
      </c>
      <c r="AR1211" s="3" t="s">
        <v>63</v>
      </c>
      <c r="AS1211" s="3" t="s">
        <v>63</v>
      </c>
      <c r="AT1211" s="3" t="s">
        <v>63</v>
      </c>
      <c r="AV1211" s="6" t="str">
        <f>HYPERLINK("http://mcgill.on.worldcat.org/oclc/427121782","Catalog Record")</f>
        <v>Catalog Record</v>
      </c>
      <c r="AW1211" s="6" t="str">
        <f>HYPERLINK("http://www.worldcat.org/oclc/427121782","WorldCat Record")</f>
        <v>WorldCat Record</v>
      </c>
      <c r="AX1211" s="3" t="s">
        <v>11243</v>
      </c>
      <c r="AY1211" s="3" t="s">
        <v>11244</v>
      </c>
      <c r="AZ1211" s="3" t="s">
        <v>11245</v>
      </c>
      <c r="BA1211" s="3" t="s">
        <v>11245</v>
      </c>
      <c r="BB1211" s="3" t="s">
        <v>11246</v>
      </c>
      <c r="BC1211" s="3" t="s">
        <v>82</v>
      </c>
      <c r="BD1211" s="3" t="s">
        <v>70</v>
      </c>
      <c r="BF1211" s="3" t="s">
        <v>11246</v>
      </c>
      <c r="BG1211" s="3" t="s">
        <v>11247</v>
      </c>
    </row>
    <row r="1212" spans="1:59" ht="60" x14ac:dyDescent="0.25">
      <c r="A1212" s="2" t="s">
        <v>59</v>
      </c>
      <c r="B1212" s="2" t="s">
        <v>60</v>
      </c>
      <c r="C1212" s="2" t="s">
        <v>11248</v>
      </c>
      <c r="D1212" s="2" t="s">
        <v>11249</v>
      </c>
      <c r="E1212" s="2" t="s">
        <v>11250</v>
      </c>
      <c r="G1212" s="3" t="s">
        <v>63</v>
      </c>
      <c r="I1212" s="3" t="s">
        <v>63</v>
      </c>
      <c r="J1212" s="3" t="s">
        <v>63</v>
      </c>
      <c r="K1212" s="3" t="s">
        <v>64</v>
      </c>
      <c r="L1212" s="2" t="s">
        <v>11251</v>
      </c>
      <c r="M1212" s="2" t="s">
        <v>10202</v>
      </c>
      <c r="N1212" s="3" t="s">
        <v>313</v>
      </c>
      <c r="O1212" s="2" t="s">
        <v>11252</v>
      </c>
      <c r="P1212" s="3" t="s">
        <v>90</v>
      </c>
      <c r="R1212" s="3" t="s">
        <v>67</v>
      </c>
      <c r="S1212" s="4">
        <v>2</v>
      </c>
      <c r="T1212" s="4">
        <v>2</v>
      </c>
      <c r="U1212" s="5" t="s">
        <v>11253</v>
      </c>
      <c r="V1212" s="5" t="s">
        <v>11253</v>
      </c>
      <c r="W1212" s="5" t="s">
        <v>69</v>
      </c>
      <c r="X1212" s="5" t="s">
        <v>69</v>
      </c>
      <c r="Y1212" s="4">
        <v>16</v>
      </c>
      <c r="Z1212" s="4">
        <v>1</v>
      </c>
      <c r="AA1212" s="4">
        <v>1</v>
      </c>
      <c r="AB1212" s="4">
        <v>1</v>
      </c>
      <c r="AC1212" s="4">
        <v>1</v>
      </c>
      <c r="AD1212" s="4">
        <v>10</v>
      </c>
      <c r="AE1212" s="4">
        <v>11</v>
      </c>
      <c r="AF1212" s="4">
        <v>0</v>
      </c>
      <c r="AG1212" s="4">
        <v>0</v>
      </c>
      <c r="AH1212" s="4">
        <v>10</v>
      </c>
      <c r="AI1212" s="4">
        <v>11</v>
      </c>
      <c r="AJ1212" s="4">
        <v>0</v>
      </c>
      <c r="AK1212" s="4">
        <v>0</v>
      </c>
      <c r="AL1212" s="4">
        <v>8</v>
      </c>
      <c r="AM1212" s="4">
        <v>9</v>
      </c>
      <c r="AN1212" s="4">
        <v>0</v>
      </c>
      <c r="AO1212" s="4">
        <v>0</v>
      </c>
      <c r="AP1212" s="4">
        <v>0</v>
      </c>
      <c r="AQ1212" s="4">
        <v>0</v>
      </c>
      <c r="AR1212" s="3" t="s">
        <v>63</v>
      </c>
      <c r="AS1212" s="3" t="s">
        <v>63</v>
      </c>
      <c r="AT1212" s="3" t="s">
        <v>62</v>
      </c>
      <c r="AU1212" s="6" t="str">
        <f>HYPERLINK("http://catalog.hathitrust.org/Record/011810580","HathiTrust Record")</f>
        <v>HathiTrust Record</v>
      </c>
      <c r="AV1212" s="6" t="str">
        <f>HYPERLINK("http://mcgill.on.worldcat.org/oclc/608631765","Catalog Record")</f>
        <v>Catalog Record</v>
      </c>
      <c r="AW1212" s="6" t="str">
        <f>HYPERLINK("http://www.worldcat.org/oclc/608631765","WorldCat Record")</f>
        <v>WorldCat Record</v>
      </c>
      <c r="AX1212" s="3" t="s">
        <v>11254</v>
      </c>
      <c r="AY1212" s="3" t="s">
        <v>11255</v>
      </c>
      <c r="AZ1212" s="3" t="s">
        <v>11256</v>
      </c>
      <c r="BA1212" s="3" t="s">
        <v>11256</v>
      </c>
      <c r="BB1212" s="3" t="s">
        <v>11257</v>
      </c>
      <c r="BC1212" s="3" t="s">
        <v>82</v>
      </c>
      <c r="BD1212" s="3" t="s">
        <v>70</v>
      </c>
      <c r="BE1212" s="3" t="s">
        <v>11258</v>
      </c>
      <c r="BF1212" s="3" t="s">
        <v>11257</v>
      </c>
      <c r="BG1212" s="3" t="s">
        <v>11259</v>
      </c>
    </row>
    <row r="1213" spans="1:59" ht="60" x14ac:dyDescent="0.25">
      <c r="A1213" s="2" t="s">
        <v>59</v>
      </c>
      <c r="B1213" s="2" t="s">
        <v>60</v>
      </c>
      <c r="C1213" s="2" t="s">
        <v>11260</v>
      </c>
      <c r="D1213" s="2" t="s">
        <v>11261</v>
      </c>
      <c r="E1213" s="2" t="s">
        <v>11262</v>
      </c>
      <c r="G1213" s="3" t="s">
        <v>63</v>
      </c>
      <c r="I1213" s="3" t="s">
        <v>63</v>
      </c>
      <c r="J1213" s="3" t="s">
        <v>63</v>
      </c>
      <c r="K1213" s="3" t="s">
        <v>64</v>
      </c>
      <c r="L1213" s="2" t="s">
        <v>11263</v>
      </c>
      <c r="M1213" s="2" t="s">
        <v>11264</v>
      </c>
      <c r="N1213" s="3" t="s">
        <v>668</v>
      </c>
      <c r="P1213" s="3" t="s">
        <v>66</v>
      </c>
      <c r="Q1213" s="2" t="s">
        <v>11265</v>
      </c>
      <c r="R1213" s="3" t="s">
        <v>67</v>
      </c>
      <c r="S1213" s="4">
        <v>51</v>
      </c>
      <c r="T1213" s="4">
        <v>51</v>
      </c>
      <c r="U1213" s="5" t="s">
        <v>11266</v>
      </c>
      <c r="V1213" s="5" t="s">
        <v>11266</v>
      </c>
      <c r="W1213" s="5" t="s">
        <v>69</v>
      </c>
      <c r="X1213" s="5" t="s">
        <v>69</v>
      </c>
      <c r="Y1213" s="4">
        <v>756</v>
      </c>
      <c r="Z1213" s="4">
        <v>24</v>
      </c>
      <c r="AA1213" s="4">
        <v>24</v>
      </c>
      <c r="AB1213" s="4">
        <v>1</v>
      </c>
      <c r="AC1213" s="4">
        <v>1</v>
      </c>
      <c r="AD1213" s="4">
        <v>96</v>
      </c>
      <c r="AE1213" s="4">
        <v>96</v>
      </c>
      <c r="AF1213" s="4">
        <v>0</v>
      </c>
      <c r="AG1213" s="4">
        <v>0</v>
      </c>
      <c r="AH1213" s="4">
        <v>88</v>
      </c>
      <c r="AI1213" s="4">
        <v>88</v>
      </c>
      <c r="AJ1213" s="4">
        <v>11</v>
      </c>
      <c r="AK1213" s="4">
        <v>11</v>
      </c>
      <c r="AL1213" s="4">
        <v>47</v>
      </c>
      <c r="AM1213" s="4">
        <v>47</v>
      </c>
      <c r="AN1213" s="4">
        <v>0</v>
      </c>
      <c r="AO1213" s="4">
        <v>0</v>
      </c>
      <c r="AP1213" s="4">
        <v>15</v>
      </c>
      <c r="AQ1213" s="4">
        <v>15</v>
      </c>
      <c r="AR1213" s="3" t="s">
        <v>63</v>
      </c>
      <c r="AS1213" s="3" t="s">
        <v>63</v>
      </c>
      <c r="AT1213" s="3" t="s">
        <v>62</v>
      </c>
      <c r="AU1213" s="6" t="str">
        <f>HYPERLINK("http://catalog.hathitrust.org/Record/002591298","HathiTrust Record")</f>
        <v>HathiTrust Record</v>
      </c>
      <c r="AV1213" s="6" t="str">
        <f>HYPERLINK("http://mcgill.on.worldcat.org/oclc/20263204","Catalog Record")</f>
        <v>Catalog Record</v>
      </c>
      <c r="AW1213" s="6" t="str">
        <f>HYPERLINK("http://www.worldcat.org/oclc/20263204","WorldCat Record")</f>
        <v>WorldCat Record</v>
      </c>
      <c r="AX1213" s="3" t="s">
        <v>11267</v>
      </c>
      <c r="AY1213" s="3" t="s">
        <v>11268</v>
      </c>
      <c r="AZ1213" s="3" t="s">
        <v>11269</v>
      </c>
      <c r="BA1213" s="3" t="s">
        <v>11269</v>
      </c>
      <c r="BB1213" s="3" t="s">
        <v>11270</v>
      </c>
      <c r="BC1213" s="3" t="s">
        <v>82</v>
      </c>
      <c r="BD1213" s="3" t="s">
        <v>70</v>
      </c>
      <c r="BE1213" s="3" t="s">
        <v>11271</v>
      </c>
      <c r="BF1213" s="3" t="s">
        <v>11270</v>
      </c>
      <c r="BG1213" s="3" t="s">
        <v>11272</v>
      </c>
    </row>
    <row r="1214" spans="1:59" ht="60" x14ac:dyDescent="0.25">
      <c r="A1214" s="2" t="s">
        <v>59</v>
      </c>
      <c r="B1214" s="2" t="s">
        <v>60</v>
      </c>
      <c r="C1214" s="2" t="s">
        <v>11273</v>
      </c>
      <c r="D1214" s="2" t="s">
        <v>11274</v>
      </c>
      <c r="E1214" s="2" t="s">
        <v>11275</v>
      </c>
      <c r="G1214" s="3" t="s">
        <v>63</v>
      </c>
      <c r="I1214" s="3" t="s">
        <v>62</v>
      </c>
      <c r="J1214" s="3" t="s">
        <v>63</v>
      </c>
      <c r="K1214" s="3" t="s">
        <v>64</v>
      </c>
      <c r="M1214" s="2" t="s">
        <v>11276</v>
      </c>
      <c r="N1214" s="3" t="s">
        <v>204</v>
      </c>
      <c r="P1214" s="3" t="s">
        <v>66</v>
      </c>
      <c r="Q1214" s="2" t="s">
        <v>11277</v>
      </c>
      <c r="R1214" s="3" t="s">
        <v>67</v>
      </c>
      <c r="S1214" s="4">
        <v>6</v>
      </c>
      <c r="T1214" s="4">
        <v>6</v>
      </c>
      <c r="U1214" s="5" t="s">
        <v>5904</v>
      </c>
      <c r="V1214" s="5" t="s">
        <v>5904</v>
      </c>
      <c r="W1214" s="5" t="s">
        <v>69</v>
      </c>
      <c r="X1214" s="5" t="s">
        <v>69</v>
      </c>
      <c r="Y1214" s="4">
        <v>386</v>
      </c>
      <c r="Z1214" s="4">
        <v>14</v>
      </c>
      <c r="AA1214" s="4">
        <v>70</v>
      </c>
      <c r="AB1214" s="4">
        <v>2</v>
      </c>
      <c r="AC1214" s="4">
        <v>3</v>
      </c>
      <c r="AD1214" s="4">
        <v>12</v>
      </c>
      <c r="AE1214" s="4">
        <v>113</v>
      </c>
      <c r="AF1214" s="4">
        <v>0</v>
      </c>
      <c r="AG1214" s="4">
        <v>0</v>
      </c>
      <c r="AH1214" s="4">
        <v>11</v>
      </c>
      <c r="AI1214" s="4">
        <v>98</v>
      </c>
      <c r="AJ1214" s="4">
        <v>1</v>
      </c>
      <c r="AK1214" s="4">
        <v>16</v>
      </c>
      <c r="AL1214" s="4">
        <v>3</v>
      </c>
      <c r="AM1214" s="4">
        <v>53</v>
      </c>
      <c r="AN1214" s="4">
        <v>0</v>
      </c>
      <c r="AO1214" s="4">
        <v>0</v>
      </c>
      <c r="AP1214" s="4">
        <v>2</v>
      </c>
      <c r="AQ1214" s="4">
        <v>23</v>
      </c>
      <c r="AR1214" s="3" t="s">
        <v>63</v>
      </c>
      <c r="AS1214" s="3" t="s">
        <v>63</v>
      </c>
      <c r="AT1214" s="3" t="s">
        <v>63</v>
      </c>
      <c r="AV1214" s="6" t="str">
        <f>HYPERLINK("http://mcgill.on.worldcat.org/oclc/33357167","Catalog Record")</f>
        <v>Catalog Record</v>
      </c>
      <c r="AW1214" s="6" t="str">
        <f>HYPERLINK("http://www.worldcat.org/oclc/33357167","WorldCat Record")</f>
        <v>WorldCat Record</v>
      </c>
      <c r="AX1214" s="3" t="s">
        <v>11278</v>
      </c>
      <c r="AY1214" s="3" t="s">
        <v>11279</v>
      </c>
      <c r="AZ1214" s="3" t="s">
        <v>11280</v>
      </c>
      <c r="BA1214" s="3" t="s">
        <v>11280</v>
      </c>
      <c r="BB1214" s="3" t="s">
        <v>11281</v>
      </c>
      <c r="BC1214" s="3" t="s">
        <v>82</v>
      </c>
      <c r="BD1214" s="3" t="s">
        <v>538</v>
      </c>
      <c r="BE1214" s="3" t="s">
        <v>11282</v>
      </c>
      <c r="BF1214" s="3" t="s">
        <v>11281</v>
      </c>
      <c r="BG1214" s="3" t="s">
        <v>11283</v>
      </c>
    </row>
    <row r="1215" spans="1:59" ht="60" x14ac:dyDescent="0.25">
      <c r="A1215" s="2" t="s">
        <v>59</v>
      </c>
      <c r="B1215" s="2" t="s">
        <v>60</v>
      </c>
      <c r="C1215" s="2" t="s">
        <v>11273</v>
      </c>
      <c r="D1215" s="2" t="s">
        <v>11274</v>
      </c>
      <c r="E1215" s="2" t="s">
        <v>11275</v>
      </c>
      <c r="G1215" s="3" t="s">
        <v>63</v>
      </c>
      <c r="I1215" s="3" t="s">
        <v>62</v>
      </c>
      <c r="J1215" s="3" t="s">
        <v>63</v>
      </c>
      <c r="K1215" s="3" t="s">
        <v>64</v>
      </c>
      <c r="M1215" s="2" t="s">
        <v>11276</v>
      </c>
      <c r="N1215" s="3" t="s">
        <v>204</v>
      </c>
      <c r="P1215" s="3" t="s">
        <v>66</v>
      </c>
      <c r="Q1215" s="2" t="s">
        <v>11277</v>
      </c>
      <c r="R1215" s="3" t="s">
        <v>67</v>
      </c>
      <c r="S1215" s="4">
        <v>0</v>
      </c>
      <c r="T1215" s="4">
        <v>6</v>
      </c>
      <c r="V1215" s="5" t="s">
        <v>5904</v>
      </c>
      <c r="W1215" s="5" t="s">
        <v>69</v>
      </c>
      <c r="X1215" s="5" t="s">
        <v>69</v>
      </c>
      <c r="Y1215" s="4">
        <v>386</v>
      </c>
      <c r="Z1215" s="4">
        <v>14</v>
      </c>
      <c r="AA1215" s="4">
        <v>70</v>
      </c>
      <c r="AB1215" s="4">
        <v>2</v>
      </c>
      <c r="AC1215" s="4">
        <v>3</v>
      </c>
      <c r="AD1215" s="4">
        <v>12</v>
      </c>
      <c r="AE1215" s="4">
        <v>113</v>
      </c>
      <c r="AF1215" s="4">
        <v>0</v>
      </c>
      <c r="AG1215" s="4">
        <v>0</v>
      </c>
      <c r="AH1215" s="4">
        <v>11</v>
      </c>
      <c r="AI1215" s="4">
        <v>98</v>
      </c>
      <c r="AJ1215" s="4">
        <v>1</v>
      </c>
      <c r="AK1215" s="4">
        <v>16</v>
      </c>
      <c r="AL1215" s="4">
        <v>3</v>
      </c>
      <c r="AM1215" s="4">
        <v>53</v>
      </c>
      <c r="AN1215" s="4">
        <v>0</v>
      </c>
      <c r="AO1215" s="4">
        <v>0</v>
      </c>
      <c r="AP1215" s="4">
        <v>2</v>
      </c>
      <c r="AQ1215" s="4">
        <v>23</v>
      </c>
      <c r="AR1215" s="3" t="s">
        <v>63</v>
      </c>
      <c r="AS1215" s="3" t="s">
        <v>63</v>
      </c>
      <c r="AT1215" s="3" t="s">
        <v>63</v>
      </c>
      <c r="AV1215" s="6" t="str">
        <f>HYPERLINK("http://mcgill.on.worldcat.org/oclc/33357167","Catalog Record")</f>
        <v>Catalog Record</v>
      </c>
      <c r="AW1215" s="6" t="str">
        <f>HYPERLINK("http://www.worldcat.org/oclc/33357167","WorldCat Record")</f>
        <v>WorldCat Record</v>
      </c>
      <c r="AX1215" s="3" t="s">
        <v>11278</v>
      </c>
      <c r="AY1215" s="3" t="s">
        <v>11279</v>
      </c>
      <c r="AZ1215" s="3" t="s">
        <v>11280</v>
      </c>
      <c r="BA1215" s="3" t="s">
        <v>11280</v>
      </c>
      <c r="BB1215" s="3" t="s">
        <v>11284</v>
      </c>
      <c r="BC1215" s="3" t="s">
        <v>82</v>
      </c>
      <c r="BD1215" s="3" t="s">
        <v>70</v>
      </c>
      <c r="BE1215" s="3" t="s">
        <v>11282</v>
      </c>
      <c r="BF1215" s="3" t="s">
        <v>11284</v>
      </c>
      <c r="BG1215" s="3" t="s">
        <v>11285</v>
      </c>
    </row>
    <row r="1216" spans="1:59" ht="60" x14ac:dyDescent="0.25">
      <c r="A1216" s="2" t="s">
        <v>59</v>
      </c>
      <c r="B1216" s="2" t="s">
        <v>60</v>
      </c>
      <c r="C1216" s="2" t="s">
        <v>11286</v>
      </c>
      <c r="D1216" s="2" t="s">
        <v>11287</v>
      </c>
      <c r="E1216" s="2" t="s">
        <v>11288</v>
      </c>
      <c r="G1216" s="3" t="s">
        <v>63</v>
      </c>
      <c r="I1216" s="3" t="s">
        <v>63</v>
      </c>
      <c r="J1216" s="3" t="s">
        <v>63</v>
      </c>
      <c r="K1216" s="3" t="s">
        <v>64</v>
      </c>
      <c r="M1216" s="2" t="s">
        <v>11289</v>
      </c>
      <c r="N1216" s="3" t="s">
        <v>234</v>
      </c>
      <c r="P1216" s="3" t="s">
        <v>66</v>
      </c>
      <c r="Q1216" s="2" t="s">
        <v>11290</v>
      </c>
      <c r="R1216" s="3" t="s">
        <v>67</v>
      </c>
      <c r="S1216" s="4">
        <v>12</v>
      </c>
      <c r="T1216" s="4">
        <v>12</v>
      </c>
      <c r="U1216" s="5" t="s">
        <v>11291</v>
      </c>
      <c r="V1216" s="5" t="s">
        <v>11291</v>
      </c>
      <c r="W1216" s="5" t="s">
        <v>69</v>
      </c>
      <c r="X1216" s="5" t="s">
        <v>69</v>
      </c>
      <c r="Y1216" s="4">
        <v>243</v>
      </c>
      <c r="Z1216" s="4">
        <v>18</v>
      </c>
      <c r="AA1216" s="4">
        <v>27</v>
      </c>
      <c r="AB1216" s="4">
        <v>1</v>
      </c>
      <c r="AC1216" s="4">
        <v>3</v>
      </c>
      <c r="AD1216" s="4">
        <v>77</v>
      </c>
      <c r="AE1216" s="4">
        <v>95</v>
      </c>
      <c r="AF1216" s="4">
        <v>0</v>
      </c>
      <c r="AG1216" s="4">
        <v>0</v>
      </c>
      <c r="AH1216" s="4">
        <v>69</v>
      </c>
      <c r="AI1216" s="4">
        <v>82</v>
      </c>
      <c r="AJ1216" s="4">
        <v>11</v>
      </c>
      <c r="AK1216" s="4">
        <v>13</v>
      </c>
      <c r="AL1216" s="4">
        <v>41</v>
      </c>
      <c r="AM1216" s="4">
        <v>48</v>
      </c>
      <c r="AN1216" s="4">
        <v>0</v>
      </c>
      <c r="AO1216" s="4">
        <v>0</v>
      </c>
      <c r="AP1216" s="4">
        <v>12</v>
      </c>
      <c r="AQ1216" s="4">
        <v>18</v>
      </c>
      <c r="AR1216" s="3" t="s">
        <v>63</v>
      </c>
      <c r="AS1216" s="3" t="s">
        <v>63</v>
      </c>
      <c r="AT1216" s="3" t="s">
        <v>62</v>
      </c>
      <c r="AU1216" s="6" t="str">
        <f>HYPERLINK("http://catalog.hathitrust.org/Record/005089540","HathiTrust Record")</f>
        <v>HathiTrust Record</v>
      </c>
      <c r="AV1216" s="6" t="str">
        <f>HYPERLINK("http://mcgill.on.worldcat.org/oclc/57613437","Catalog Record")</f>
        <v>Catalog Record</v>
      </c>
      <c r="AW1216" s="6" t="str">
        <f>HYPERLINK("http://www.worldcat.org/oclc/57613437","WorldCat Record")</f>
        <v>WorldCat Record</v>
      </c>
      <c r="AX1216" s="3" t="s">
        <v>11292</v>
      </c>
      <c r="AY1216" s="3" t="s">
        <v>11293</v>
      </c>
      <c r="AZ1216" s="3" t="s">
        <v>11294</v>
      </c>
      <c r="BA1216" s="3" t="s">
        <v>11294</v>
      </c>
      <c r="BB1216" s="3" t="s">
        <v>11295</v>
      </c>
      <c r="BC1216" s="3" t="s">
        <v>82</v>
      </c>
      <c r="BD1216" s="3" t="s">
        <v>70</v>
      </c>
      <c r="BE1216" s="3" t="s">
        <v>11296</v>
      </c>
      <c r="BF1216" s="3" t="s">
        <v>11295</v>
      </c>
      <c r="BG1216" s="3" t="s">
        <v>11297</v>
      </c>
    </row>
    <row r="1217" spans="1:59" ht="60" x14ac:dyDescent="0.25">
      <c r="A1217" s="2" t="s">
        <v>59</v>
      </c>
      <c r="B1217" s="2" t="s">
        <v>60</v>
      </c>
      <c r="C1217" s="2" t="s">
        <v>11298</v>
      </c>
      <c r="D1217" s="2" t="s">
        <v>11299</v>
      </c>
      <c r="E1217" s="2" t="s">
        <v>11300</v>
      </c>
      <c r="G1217" s="3" t="s">
        <v>63</v>
      </c>
      <c r="I1217" s="3" t="s">
        <v>63</v>
      </c>
      <c r="J1217" s="3" t="s">
        <v>63</v>
      </c>
      <c r="K1217" s="3" t="s">
        <v>64</v>
      </c>
      <c r="L1217" s="2" t="s">
        <v>11301</v>
      </c>
      <c r="M1217" s="2" t="s">
        <v>11302</v>
      </c>
      <c r="N1217" s="3" t="s">
        <v>2535</v>
      </c>
      <c r="P1217" s="3" t="s">
        <v>66</v>
      </c>
      <c r="Q1217" s="2" t="s">
        <v>11303</v>
      </c>
      <c r="R1217" s="3" t="s">
        <v>67</v>
      </c>
      <c r="S1217" s="4">
        <v>46</v>
      </c>
      <c r="T1217" s="4">
        <v>46</v>
      </c>
      <c r="U1217" s="5" t="s">
        <v>11304</v>
      </c>
      <c r="V1217" s="5" t="s">
        <v>11304</v>
      </c>
      <c r="W1217" s="5" t="s">
        <v>69</v>
      </c>
      <c r="X1217" s="5" t="s">
        <v>69</v>
      </c>
      <c r="Y1217" s="4">
        <v>1294</v>
      </c>
      <c r="Z1217" s="4">
        <v>24</v>
      </c>
      <c r="AA1217" s="4">
        <v>39</v>
      </c>
      <c r="AB1217" s="4">
        <v>3</v>
      </c>
      <c r="AC1217" s="4">
        <v>5</v>
      </c>
      <c r="AD1217" s="4">
        <v>101</v>
      </c>
      <c r="AE1217" s="4">
        <v>115</v>
      </c>
      <c r="AF1217" s="4">
        <v>1</v>
      </c>
      <c r="AG1217" s="4">
        <v>2</v>
      </c>
      <c r="AH1217" s="4">
        <v>85</v>
      </c>
      <c r="AI1217" s="4">
        <v>95</v>
      </c>
      <c r="AJ1217" s="4">
        <v>12</v>
      </c>
      <c r="AK1217" s="4">
        <v>19</v>
      </c>
      <c r="AL1217" s="4">
        <v>51</v>
      </c>
      <c r="AM1217" s="4">
        <v>54</v>
      </c>
      <c r="AN1217" s="4">
        <v>0</v>
      </c>
      <c r="AO1217" s="4">
        <v>0</v>
      </c>
      <c r="AP1217" s="4">
        <v>18</v>
      </c>
      <c r="AQ1217" s="4">
        <v>25</v>
      </c>
      <c r="AR1217" s="3" t="s">
        <v>63</v>
      </c>
      <c r="AS1217" s="3" t="s">
        <v>63</v>
      </c>
      <c r="AT1217" s="3" t="s">
        <v>62</v>
      </c>
      <c r="AU1217" s="6" t="str">
        <f>HYPERLINK("http://catalog.hathitrust.org/Record/012256364","HathiTrust Record")</f>
        <v>HathiTrust Record</v>
      </c>
      <c r="AV1217" s="6" t="str">
        <f>HYPERLINK("http://mcgill.on.worldcat.org/oclc/703283","Catalog Record")</f>
        <v>Catalog Record</v>
      </c>
      <c r="AW1217" s="6" t="str">
        <f>HYPERLINK("http://www.worldcat.org/oclc/703283","WorldCat Record")</f>
        <v>WorldCat Record</v>
      </c>
      <c r="AX1217" s="3" t="s">
        <v>11305</v>
      </c>
      <c r="AY1217" s="3" t="s">
        <v>11306</v>
      </c>
      <c r="AZ1217" s="3" t="s">
        <v>11307</v>
      </c>
      <c r="BA1217" s="3" t="s">
        <v>11307</v>
      </c>
      <c r="BB1217" s="3" t="s">
        <v>11308</v>
      </c>
      <c r="BC1217" s="3" t="s">
        <v>82</v>
      </c>
      <c r="BD1217" s="3" t="s">
        <v>70</v>
      </c>
      <c r="BE1217" s="3" t="s">
        <v>11309</v>
      </c>
      <c r="BF1217" s="3" t="s">
        <v>11308</v>
      </c>
      <c r="BG1217" s="3" t="s">
        <v>11310</v>
      </c>
    </row>
    <row r="1218" spans="1:59" ht="60" x14ac:dyDescent="0.25">
      <c r="A1218" s="2" t="s">
        <v>59</v>
      </c>
      <c r="B1218" s="2" t="s">
        <v>60</v>
      </c>
      <c r="C1218" s="2" t="s">
        <v>11311</v>
      </c>
      <c r="D1218" s="2" t="s">
        <v>11312</v>
      </c>
      <c r="E1218" s="2" t="s">
        <v>11313</v>
      </c>
      <c r="G1218" s="3" t="s">
        <v>63</v>
      </c>
      <c r="I1218" s="3" t="s">
        <v>63</v>
      </c>
      <c r="J1218" s="3" t="s">
        <v>63</v>
      </c>
      <c r="K1218" s="3" t="s">
        <v>64</v>
      </c>
      <c r="L1218" s="2" t="s">
        <v>11314</v>
      </c>
      <c r="M1218" s="2" t="s">
        <v>11315</v>
      </c>
      <c r="N1218" s="3" t="s">
        <v>1916</v>
      </c>
      <c r="P1218" s="3" t="s">
        <v>66</v>
      </c>
      <c r="R1218" s="3" t="s">
        <v>67</v>
      </c>
      <c r="S1218" s="4">
        <v>18</v>
      </c>
      <c r="T1218" s="4">
        <v>18</v>
      </c>
      <c r="U1218" s="5" t="s">
        <v>11316</v>
      </c>
      <c r="V1218" s="5" t="s">
        <v>11316</v>
      </c>
      <c r="W1218" s="5" t="s">
        <v>69</v>
      </c>
      <c r="X1218" s="5" t="s">
        <v>69</v>
      </c>
      <c r="Y1218" s="4">
        <v>264</v>
      </c>
      <c r="Z1218" s="4">
        <v>19</v>
      </c>
      <c r="AA1218" s="4">
        <v>24</v>
      </c>
      <c r="AB1218" s="4">
        <v>1</v>
      </c>
      <c r="AC1218" s="4">
        <v>2</v>
      </c>
      <c r="AD1218" s="4">
        <v>105</v>
      </c>
      <c r="AE1218" s="4">
        <v>108</v>
      </c>
      <c r="AF1218" s="4">
        <v>0</v>
      </c>
      <c r="AG1218" s="4">
        <v>1</v>
      </c>
      <c r="AH1218" s="4">
        <v>96</v>
      </c>
      <c r="AI1218" s="4">
        <v>97</v>
      </c>
      <c r="AJ1218" s="4">
        <v>17</v>
      </c>
      <c r="AK1218" s="4">
        <v>20</v>
      </c>
      <c r="AL1218" s="4">
        <v>54</v>
      </c>
      <c r="AM1218" s="4">
        <v>55</v>
      </c>
      <c r="AN1218" s="4">
        <v>0</v>
      </c>
      <c r="AO1218" s="4">
        <v>0</v>
      </c>
      <c r="AP1218" s="4">
        <v>17</v>
      </c>
      <c r="AQ1218" s="4">
        <v>19</v>
      </c>
      <c r="AR1218" s="3" t="s">
        <v>63</v>
      </c>
      <c r="AS1218" s="3" t="s">
        <v>63</v>
      </c>
      <c r="AT1218" s="3" t="s">
        <v>62</v>
      </c>
      <c r="AU1218" s="6" t="str">
        <f>HYPERLINK("http://catalog.hathitrust.org/Record/000631620","HathiTrust Record")</f>
        <v>HathiTrust Record</v>
      </c>
      <c r="AV1218" s="6" t="str">
        <f>HYPERLINK("http://mcgill.on.worldcat.org/oclc/13675283","Catalog Record")</f>
        <v>Catalog Record</v>
      </c>
      <c r="AW1218" s="6" t="str">
        <f>HYPERLINK("http://www.worldcat.org/oclc/13675283","WorldCat Record")</f>
        <v>WorldCat Record</v>
      </c>
      <c r="AX1218" s="3" t="s">
        <v>11317</v>
      </c>
      <c r="AY1218" s="3" t="s">
        <v>11318</v>
      </c>
      <c r="AZ1218" s="3" t="s">
        <v>11319</v>
      </c>
      <c r="BA1218" s="3" t="s">
        <v>11319</v>
      </c>
      <c r="BB1218" s="3" t="s">
        <v>11320</v>
      </c>
      <c r="BC1218" s="3" t="s">
        <v>82</v>
      </c>
      <c r="BD1218" s="3" t="s">
        <v>70</v>
      </c>
      <c r="BE1218" s="3" t="s">
        <v>11321</v>
      </c>
      <c r="BF1218" s="3" t="s">
        <v>11320</v>
      </c>
      <c r="BG1218" s="3" t="s">
        <v>11322</v>
      </c>
    </row>
    <row r="1219" spans="1:59" ht="60" x14ac:dyDescent="0.25">
      <c r="A1219" s="2" t="s">
        <v>59</v>
      </c>
      <c r="B1219" s="2" t="s">
        <v>60</v>
      </c>
      <c r="C1219" s="2" t="s">
        <v>11323</v>
      </c>
      <c r="D1219" s="2" t="s">
        <v>11324</v>
      </c>
      <c r="E1219" s="2" t="s">
        <v>11325</v>
      </c>
      <c r="G1219" s="3" t="s">
        <v>63</v>
      </c>
      <c r="I1219" s="3" t="s">
        <v>63</v>
      </c>
      <c r="J1219" s="3" t="s">
        <v>63</v>
      </c>
      <c r="K1219" s="3" t="s">
        <v>64</v>
      </c>
      <c r="M1219" s="2" t="s">
        <v>11326</v>
      </c>
      <c r="N1219" s="3" t="s">
        <v>693</v>
      </c>
      <c r="P1219" s="3" t="s">
        <v>66</v>
      </c>
      <c r="Q1219" s="2" t="s">
        <v>11327</v>
      </c>
      <c r="R1219" s="3" t="s">
        <v>67</v>
      </c>
      <c r="S1219" s="4">
        <v>11</v>
      </c>
      <c r="T1219" s="4">
        <v>11</v>
      </c>
      <c r="U1219" s="5" t="s">
        <v>11328</v>
      </c>
      <c r="V1219" s="5" t="s">
        <v>11328</v>
      </c>
      <c r="W1219" s="5" t="s">
        <v>69</v>
      </c>
      <c r="X1219" s="5" t="s">
        <v>69</v>
      </c>
      <c r="Y1219" s="4">
        <v>233</v>
      </c>
      <c r="Z1219" s="4">
        <v>4</v>
      </c>
      <c r="AA1219" s="4">
        <v>6</v>
      </c>
      <c r="AB1219" s="4">
        <v>1</v>
      </c>
      <c r="AC1219" s="4">
        <v>1</v>
      </c>
      <c r="AD1219" s="4">
        <v>37</v>
      </c>
      <c r="AE1219" s="4">
        <v>37</v>
      </c>
      <c r="AF1219" s="4">
        <v>0</v>
      </c>
      <c r="AG1219" s="4">
        <v>0</v>
      </c>
      <c r="AH1219" s="4">
        <v>35</v>
      </c>
      <c r="AI1219" s="4">
        <v>35</v>
      </c>
      <c r="AJ1219" s="4">
        <v>1</v>
      </c>
      <c r="AK1219" s="4">
        <v>1</v>
      </c>
      <c r="AL1219" s="4">
        <v>19</v>
      </c>
      <c r="AM1219" s="4">
        <v>19</v>
      </c>
      <c r="AN1219" s="4">
        <v>0</v>
      </c>
      <c r="AO1219" s="4">
        <v>0</v>
      </c>
      <c r="AP1219" s="4">
        <v>1</v>
      </c>
      <c r="AQ1219" s="4">
        <v>1</v>
      </c>
      <c r="AR1219" s="3" t="s">
        <v>63</v>
      </c>
      <c r="AS1219" s="3" t="s">
        <v>63</v>
      </c>
      <c r="AT1219" s="3" t="s">
        <v>63</v>
      </c>
      <c r="AV1219" s="6" t="str">
        <f>HYPERLINK("http://mcgill.on.worldcat.org/oclc/52134786","Catalog Record")</f>
        <v>Catalog Record</v>
      </c>
      <c r="AW1219" s="6" t="str">
        <f>HYPERLINK("http://www.worldcat.org/oclc/52134786","WorldCat Record")</f>
        <v>WorldCat Record</v>
      </c>
      <c r="AX1219" s="3" t="s">
        <v>11329</v>
      </c>
      <c r="AY1219" s="3" t="s">
        <v>11330</v>
      </c>
      <c r="AZ1219" s="3" t="s">
        <v>11331</v>
      </c>
      <c r="BA1219" s="3" t="s">
        <v>11331</v>
      </c>
      <c r="BB1219" s="3" t="s">
        <v>11332</v>
      </c>
      <c r="BC1219" s="3" t="s">
        <v>82</v>
      </c>
      <c r="BD1219" s="3" t="s">
        <v>70</v>
      </c>
      <c r="BE1219" s="3" t="s">
        <v>11333</v>
      </c>
      <c r="BF1219" s="3" t="s">
        <v>11332</v>
      </c>
      <c r="BG1219" s="3" t="s">
        <v>11334</v>
      </c>
    </row>
    <row r="1220" spans="1:59" ht="60" x14ac:dyDescent="0.25">
      <c r="A1220" s="2" t="s">
        <v>59</v>
      </c>
      <c r="B1220" s="2" t="s">
        <v>60</v>
      </c>
      <c r="C1220" s="2" t="s">
        <v>11335</v>
      </c>
      <c r="D1220" s="2" t="s">
        <v>11336</v>
      </c>
      <c r="E1220" s="2" t="s">
        <v>11337</v>
      </c>
      <c r="G1220" s="3" t="s">
        <v>63</v>
      </c>
      <c r="I1220" s="3" t="s">
        <v>63</v>
      </c>
      <c r="J1220" s="3" t="s">
        <v>63</v>
      </c>
      <c r="K1220" s="3" t="s">
        <v>64</v>
      </c>
      <c r="L1220" s="2" t="s">
        <v>11338</v>
      </c>
      <c r="M1220" s="2" t="s">
        <v>11339</v>
      </c>
      <c r="N1220" s="3" t="s">
        <v>814</v>
      </c>
      <c r="P1220" s="3" t="s">
        <v>66</v>
      </c>
      <c r="R1220" s="3" t="s">
        <v>67</v>
      </c>
      <c r="S1220" s="4">
        <v>19</v>
      </c>
      <c r="T1220" s="4">
        <v>19</v>
      </c>
      <c r="U1220" s="5" t="s">
        <v>11340</v>
      </c>
      <c r="V1220" s="5" t="s">
        <v>11340</v>
      </c>
      <c r="W1220" s="5" t="s">
        <v>69</v>
      </c>
      <c r="X1220" s="5" t="s">
        <v>69</v>
      </c>
      <c r="Y1220" s="4">
        <v>300</v>
      </c>
      <c r="Z1220" s="4">
        <v>22</v>
      </c>
      <c r="AA1220" s="4">
        <v>24</v>
      </c>
      <c r="AB1220" s="4">
        <v>1</v>
      </c>
      <c r="AC1220" s="4">
        <v>2</v>
      </c>
      <c r="AD1220" s="4">
        <v>85</v>
      </c>
      <c r="AE1220" s="4">
        <v>87</v>
      </c>
      <c r="AF1220" s="4">
        <v>0</v>
      </c>
      <c r="AG1220" s="4">
        <v>1</v>
      </c>
      <c r="AH1220" s="4">
        <v>75</v>
      </c>
      <c r="AI1220" s="4">
        <v>76</v>
      </c>
      <c r="AJ1220" s="4">
        <v>15</v>
      </c>
      <c r="AK1220" s="4">
        <v>16</v>
      </c>
      <c r="AL1220" s="4">
        <v>42</v>
      </c>
      <c r="AM1220" s="4">
        <v>42</v>
      </c>
      <c r="AN1220" s="4">
        <v>0</v>
      </c>
      <c r="AO1220" s="4">
        <v>0</v>
      </c>
      <c r="AP1220" s="4">
        <v>17</v>
      </c>
      <c r="AQ1220" s="4">
        <v>19</v>
      </c>
      <c r="AR1220" s="3" t="s">
        <v>63</v>
      </c>
      <c r="AS1220" s="3" t="s">
        <v>63</v>
      </c>
      <c r="AT1220" s="3" t="s">
        <v>63</v>
      </c>
      <c r="AV1220" s="6" t="str">
        <f>HYPERLINK("http://mcgill.on.worldcat.org/oclc/4641157","Catalog Record")</f>
        <v>Catalog Record</v>
      </c>
      <c r="AW1220" s="6" t="str">
        <f>HYPERLINK("http://www.worldcat.org/oclc/4641157","WorldCat Record")</f>
        <v>WorldCat Record</v>
      </c>
      <c r="AX1220" s="3" t="s">
        <v>11341</v>
      </c>
      <c r="AY1220" s="3" t="s">
        <v>11342</v>
      </c>
      <c r="AZ1220" s="3" t="s">
        <v>11343</v>
      </c>
      <c r="BA1220" s="3" t="s">
        <v>11343</v>
      </c>
      <c r="BB1220" s="3" t="s">
        <v>11344</v>
      </c>
      <c r="BC1220" s="3" t="s">
        <v>82</v>
      </c>
      <c r="BD1220" s="3" t="s">
        <v>70</v>
      </c>
      <c r="BE1220" s="3" t="s">
        <v>11345</v>
      </c>
      <c r="BF1220" s="3" t="s">
        <v>11344</v>
      </c>
      <c r="BG1220" s="3" t="s">
        <v>11346</v>
      </c>
    </row>
    <row r="1221" spans="1:59" ht="60" x14ac:dyDescent="0.25">
      <c r="A1221" s="2" t="s">
        <v>59</v>
      </c>
      <c r="B1221" s="2" t="s">
        <v>60</v>
      </c>
      <c r="C1221" s="2" t="s">
        <v>11347</v>
      </c>
      <c r="D1221" s="2" t="s">
        <v>11348</v>
      </c>
      <c r="E1221" s="2" t="s">
        <v>11349</v>
      </c>
      <c r="G1221" s="3" t="s">
        <v>63</v>
      </c>
      <c r="I1221" s="3" t="s">
        <v>63</v>
      </c>
      <c r="J1221" s="3" t="s">
        <v>63</v>
      </c>
      <c r="K1221" s="3" t="s">
        <v>64</v>
      </c>
      <c r="L1221" s="2" t="s">
        <v>11350</v>
      </c>
      <c r="M1221" s="2" t="s">
        <v>11351</v>
      </c>
      <c r="N1221" s="3" t="s">
        <v>1343</v>
      </c>
      <c r="P1221" s="3" t="s">
        <v>66</v>
      </c>
      <c r="R1221" s="3" t="s">
        <v>67</v>
      </c>
      <c r="S1221" s="4">
        <v>11</v>
      </c>
      <c r="T1221" s="4">
        <v>11</v>
      </c>
      <c r="U1221" s="5" t="s">
        <v>11316</v>
      </c>
      <c r="V1221" s="5" t="s">
        <v>11316</v>
      </c>
      <c r="W1221" s="5" t="s">
        <v>69</v>
      </c>
      <c r="X1221" s="5" t="s">
        <v>69</v>
      </c>
      <c r="Y1221" s="4">
        <v>191</v>
      </c>
      <c r="Z1221" s="4">
        <v>13</v>
      </c>
      <c r="AA1221" s="4">
        <v>13</v>
      </c>
      <c r="AB1221" s="4">
        <v>1</v>
      </c>
      <c r="AC1221" s="4">
        <v>1</v>
      </c>
      <c r="AD1221" s="4">
        <v>92</v>
      </c>
      <c r="AE1221" s="4">
        <v>92</v>
      </c>
      <c r="AF1221" s="4">
        <v>0</v>
      </c>
      <c r="AG1221" s="4">
        <v>0</v>
      </c>
      <c r="AH1221" s="4">
        <v>87</v>
      </c>
      <c r="AI1221" s="4">
        <v>87</v>
      </c>
      <c r="AJ1221" s="4">
        <v>11</v>
      </c>
      <c r="AK1221" s="4">
        <v>11</v>
      </c>
      <c r="AL1221" s="4">
        <v>50</v>
      </c>
      <c r="AM1221" s="4">
        <v>50</v>
      </c>
      <c r="AN1221" s="4">
        <v>0</v>
      </c>
      <c r="AO1221" s="4">
        <v>0</v>
      </c>
      <c r="AP1221" s="4">
        <v>11</v>
      </c>
      <c r="AQ1221" s="4">
        <v>11</v>
      </c>
      <c r="AR1221" s="3" t="s">
        <v>63</v>
      </c>
      <c r="AS1221" s="3" t="s">
        <v>63</v>
      </c>
      <c r="AT1221" s="3" t="s">
        <v>62</v>
      </c>
      <c r="AU1221" s="6" t="str">
        <f>HYPERLINK("http://catalog.hathitrust.org/Record/004092439","HathiTrust Record")</f>
        <v>HathiTrust Record</v>
      </c>
      <c r="AV1221" s="6" t="str">
        <f>HYPERLINK("http://mcgill.on.worldcat.org/oclc/42690229","Catalog Record")</f>
        <v>Catalog Record</v>
      </c>
      <c r="AW1221" s="6" t="str">
        <f>HYPERLINK("http://www.worldcat.org/oclc/42690229","WorldCat Record")</f>
        <v>WorldCat Record</v>
      </c>
      <c r="AX1221" s="3" t="s">
        <v>11352</v>
      </c>
      <c r="AY1221" s="3" t="s">
        <v>11353</v>
      </c>
      <c r="AZ1221" s="3" t="s">
        <v>11354</v>
      </c>
      <c r="BA1221" s="3" t="s">
        <v>11354</v>
      </c>
      <c r="BB1221" s="3" t="s">
        <v>11355</v>
      </c>
      <c r="BC1221" s="3" t="s">
        <v>82</v>
      </c>
      <c r="BD1221" s="3" t="s">
        <v>70</v>
      </c>
      <c r="BE1221" s="3" t="s">
        <v>11356</v>
      </c>
      <c r="BF1221" s="3" t="s">
        <v>11355</v>
      </c>
      <c r="BG1221" s="3" t="s">
        <v>11357</v>
      </c>
    </row>
    <row r="1222" spans="1:59" ht="60" x14ac:dyDescent="0.25">
      <c r="A1222" s="2" t="s">
        <v>59</v>
      </c>
      <c r="B1222" s="2" t="s">
        <v>60</v>
      </c>
      <c r="C1222" s="2" t="s">
        <v>11358</v>
      </c>
      <c r="D1222" s="2" t="s">
        <v>11359</v>
      </c>
      <c r="E1222" s="2" t="s">
        <v>11360</v>
      </c>
      <c r="G1222" s="3" t="s">
        <v>63</v>
      </c>
      <c r="I1222" s="3" t="s">
        <v>63</v>
      </c>
      <c r="J1222" s="3" t="s">
        <v>63</v>
      </c>
      <c r="K1222" s="3" t="s">
        <v>64</v>
      </c>
      <c r="L1222" s="2" t="s">
        <v>11361</v>
      </c>
      <c r="M1222" s="2" t="s">
        <v>11362</v>
      </c>
      <c r="N1222" s="3" t="s">
        <v>2459</v>
      </c>
      <c r="P1222" s="3" t="s">
        <v>66</v>
      </c>
      <c r="Q1222" s="2" t="s">
        <v>11363</v>
      </c>
      <c r="R1222" s="3" t="s">
        <v>67</v>
      </c>
      <c r="S1222" s="4">
        <v>6</v>
      </c>
      <c r="T1222" s="4">
        <v>6</v>
      </c>
      <c r="U1222" s="5" t="s">
        <v>5904</v>
      </c>
      <c r="V1222" s="5" t="s">
        <v>5904</v>
      </c>
      <c r="W1222" s="5" t="s">
        <v>69</v>
      </c>
      <c r="X1222" s="5" t="s">
        <v>69</v>
      </c>
      <c r="Y1222" s="4">
        <v>100</v>
      </c>
      <c r="Z1222" s="4">
        <v>8</v>
      </c>
      <c r="AA1222" s="4">
        <v>94</v>
      </c>
      <c r="AB1222" s="4">
        <v>2</v>
      </c>
      <c r="AC1222" s="4">
        <v>18</v>
      </c>
      <c r="AD1222" s="4">
        <v>48</v>
      </c>
      <c r="AE1222" s="4">
        <v>115</v>
      </c>
      <c r="AF1222" s="4">
        <v>0</v>
      </c>
      <c r="AG1222" s="4">
        <v>8</v>
      </c>
      <c r="AH1222" s="4">
        <v>46</v>
      </c>
      <c r="AI1222" s="4">
        <v>81</v>
      </c>
      <c r="AJ1222" s="4">
        <v>6</v>
      </c>
      <c r="AK1222" s="4">
        <v>20</v>
      </c>
      <c r="AL1222" s="4">
        <v>37</v>
      </c>
      <c r="AM1222" s="4">
        <v>47</v>
      </c>
      <c r="AN1222" s="4">
        <v>0</v>
      </c>
      <c r="AO1222" s="4">
        <v>0</v>
      </c>
      <c r="AP1222" s="4">
        <v>6</v>
      </c>
      <c r="AQ1222" s="4">
        <v>41</v>
      </c>
      <c r="AR1222" s="3" t="s">
        <v>63</v>
      </c>
      <c r="AS1222" s="3" t="s">
        <v>63</v>
      </c>
      <c r="AT1222" s="3" t="s">
        <v>63</v>
      </c>
      <c r="AV1222" s="6" t="str">
        <f>HYPERLINK("http://mcgill.on.worldcat.org/oclc/288990467","Catalog Record")</f>
        <v>Catalog Record</v>
      </c>
      <c r="AW1222" s="6" t="str">
        <f>HYPERLINK("http://www.worldcat.org/oclc/288990467","WorldCat Record")</f>
        <v>WorldCat Record</v>
      </c>
      <c r="AX1222" s="3" t="s">
        <v>11364</v>
      </c>
      <c r="AY1222" s="3" t="s">
        <v>11365</v>
      </c>
      <c r="AZ1222" s="3" t="s">
        <v>11366</v>
      </c>
      <c r="BA1222" s="3" t="s">
        <v>11366</v>
      </c>
      <c r="BB1222" s="3" t="s">
        <v>11367</v>
      </c>
      <c r="BC1222" s="3" t="s">
        <v>82</v>
      </c>
      <c r="BD1222" s="3" t="s">
        <v>538</v>
      </c>
      <c r="BE1222" s="3" t="s">
        <v>11368</v>
      </c>
      <c r="BF1222" s="3" t="s">
        <v>11367</v>
      </c>
      <c r="BG1222" s="3" t="s">
        <v>11369</v>
      </c>
    </row>
    <row r="1223" spans="1:59" ht="60" x14ac:dyDescent="0.25">
      <c r="A1223" s="2" t="s">
        <v>59</v>
      </c>
      <c r="B1223" s="2" t="s">
        <v>60</v>
      </c>
      <c r="C1223" s="2" t="s">
        <v>11370</v>
      </c>
      <c r="D1223" s="2" t="s">
        <v>11371</v>
      </c>
      <c r="E1223" s="2" t="s">
        <v>11372</v>
      </c>
      <c r="G1223" s="3" t="s">
        <v>63</v>
      </c>
      <c r="I1223" s="3" t="s">
        <v>63</v>
      </c>
      <c r="J1223" s="3" t="s">
        <v>63</v>
      </c>
      <c r="K1223" s="3" t="s">
        <v>64</v>
      </c>
      <c r="L1223" s="2" t="s">
        <v>11373</v>
      </c>
      <c r="M1223" s="2" t="s">
        <v>11374</v>
      </c>
      <c r="N1223" s="3" t="s">
        <v>362</v>
      </c>
      <c r="P1223" s="3" t="s">
        <v>90</v>
      </c>
      <c r="R1223" s="3" t="s">
        <v>67</v>
      </c>
      <c r="S1223" s="4">
        <v>2</v>
      </c>
      <c r="T1223" s="4">
        <v>2</v>
      </c>
      <c r="U1223" s="5" t="s">
        <v>1882</v>
      </c>
      <c r="V1223" s="5" t="s">
        <v>1882</v>
      </c>
      <c r="W1223" s="5" t="s">
        <v>69</v>
      </c>
      <c r="X1223" s="5" t="s">
        <v>69</v>
      </c>
      <c r="Y1223" s="4">
        <v>45</v>
      </c>
      <c r="Z1223" s="4">
        <v>5</v>
      </c>
      <c r="AA1223" s="4">
        <v>5</v>
      </c>
      <c r="AB1223" s="4">
        <v>1</v>
      </c>
      <c r="AC1223" s="4">
        <v>1</v>
      </c>
      <c r="AD1223" s="4">
        <v>32</v>
      </c>
      <c r="AE1223" s="4">
        <v>32</v>
      </c>
      <c r="AF1223" s="4">
        <v>0</v>
      </c>
      <c r="AG1223" s="4">
        <v>0</v>
      </c>
      <c r="AH1223" s="4">
        <v>31</v>
      </c>
      <c r="AI1223" s="4">
        <v>31</v>
      </c>
      <c r="AJ1223" s="4">
        <v>3</v>
      </c>
      <c r="AK1223" s="4">
        <v>3</v>
      </c>
      <c r="AL1223" s="4">
        <v>26</v>
      </c>
      <c r="AM1223" s="4">
        <v>26</v>
      </c>
      <c r="AN1223" s="4">
        <v>0</v>
      </c>
      <c r="AO1223" s="4">
        <v>0</v>
      </c>
      <c r="AP1223" s="4">
        <v>3</v>
      </c>
      <c r="AQ1223" s="4">
        <v>3</v>
      </c>
      <c r="AR1223" s="3" t="s">
        <v>63</v>
      </c>
      <c r="AS1223" s="3" t="s">
        <v>63</v>
      </c>
      <c r="AT1223" s="3" t="s">
        <v>63</v>
      </c>
      <c r="AV1223" s="6" t="str">
        <f>HYPERLINK("http://mcgill.on.worldcat.org/oclc/48616352","Catalog Record")</f>
        <v>Catalog Record</v>
      </c>
      <c r="AW1223" s="6" t="str">
        <f>HYPERLINK("http://www.worldcat.org/oclc/48616352","WorldCat Record")</f>
        <v>WorldCat Record</v>
      </c>
      <c r="AX1223" s="3" t="s">
        <v>11375</v>
      </c>
      <c r="AY1223" s="3" t="s">
        <v>11376</v>
      </c>
      <c r="AZ1223" s="3" t="s">
        <v>11377</v>
      </c>
      <c r="BA1223" s="3" t="s">
        <v>11377</v>
      </c>
      <c r="BB1223" s="3" t="s">
        <v>11378</v>
      </c>
      <c r="BC1223" s="3" t="s">
        <v>82</v>
      </c>
      <c r="BD1223" s="3" t="s">
        <v>70</v>
      </c>
      <c r="BE1223" s="3" t="s">
        <v>11379</v>
      </c>
      <c r="BF1223" s="3" t="s">
        <v>11378</v>
      </c>
      <c r="BG1223" s="3" t="s">
        <v>11380</v>
      </c>
    </row>
    <row r="1224" spans="1:59" ht="60" x14ac:dyDescent="0.25">
      <c r="A1224" s="2" t="s">
        <v>59</v>
      </c>
      <c r="B1224" s="2" t="s">
        <v>60</v>
      </c>
      <c r="C1224" s="2" t="s">
        <v>11381</v>
      </c>
      <c r="D1224" s="2" t="s">
        <v>11382</v>
      </c>
      <c r="E1224" s="2" t="s">
        <v>11383</v>
      </c>
      <c r="G1224" s="3" t="s">
        <v>63</v>
      </c>
      <c r="I1224" s="3" t="s">
        <v>62</v>
      </c>
      <c r="J1224" s="3" t="s">
        <v>63</v>
      </c>
      <c r="K1224" s="3" t="s">
        <v>64</v>
      </c>
      <c r="L1224" s="2" t="s">
        <v>11384</v>
      </c>
      <c r="M1224" s="2" t="s">
        <v>11385</v>
      </c>
      <c r="N1224" s="3" t="s">
        <v>2144</v>
      </c>
      <c r="P1224" s="3" t="s">
        <v>66</v>
      </c>
      <c r="Q1224" s="2" t="s">
        <v>11386</v>
      </c>
      <c r="R1224" s="3" t="s">
        <v>67</v>
      </c>
      <c r="S1224" s="4">
        <v>17</v>
      </c>
      <c r="T1224" s="4">
        <v>51</v>
      </c>
      <c r="U1224" s="5" t="s">
        <v>11387</v>
      </c>
      <c r="V1224" s="5" t="s">
        <v>2272</v>
      </c>
      <c r="W1224" s="5" t="s">
        <v>69</v>
      </c>
      <c r="X1224" s="5" t="s">
        <v>69</v>
      </c>
      <c r="Y1224" s="4">
        <v>553</v>
      </c>
      <c r="Z1224" s="4">
        <v>20</v>
      </c>
      <c r="AA1224" s="4">
        <v>22</v>
      </c>
      <c r="AB1224" s="4">
        <v>2</v>
      </c>
      <c r="AC1224" s="4">
        <v>2</v>
      </c>
      <c r="AD1224" s="4">
        <v>77</v>
      </c>
      <c r="AE1224" s="4">
        <v>87</v>
      </c>
      <c r="AF1224" s="4">
        <v>1</v>
      </c>
      <c r="AG1224" s="4">
        <v>1</v>
      </c>
      <c r="AH1224" s="4">
        <v>67</v>
      </c>
      <c r="AI1224" s="4">
        <v>75</v>
      </c>
      <c r="AJ1224" s="4">
        <v>10</v>
      </c>
      <c r="AK1224" s="4">
        <v>11</v>
      </c>
      <c r="AL1224" s="4">
        <v>38</v>
      </c>
      <c r="AM1224" s="4">
        <v>43</v>
      </c>
      <c r="AN1224" s="4">
        <v>0</v>
      </c>
      <c r="AO1224" s="4">
        <v>0</v>
      </c>
      <c r="AP1224" s="4">
        <v>14</v>
      </c>
      <c r="AQ1224" s="4">
        <v>16</v>
      </c>
      <c r="AR1224" s="3" t="s">
        <v>63</v>
      </c>
      <c r="AS1224" s="3" t="s">
        <v>63</v>
      </c>
      <c r="AT1224" s="3" t="s">
        <v>63</v>
      </c>
      <c r="AU1224" s="6" t="str">
        <f>HYPERLINK("http://catalog.hathitrust.org/Record/001224402","HathiTrust Record")</f>
        <v>HathiTrust Record</v>
      </c>
      <c r="AV1224" s="6" t="str">
        <f>HYPERLINK("http://mcgill.on.worldcat.org/oclc/326849","Catalog Record")</f>
        <v>Catalog Record</v>
      </c>
      <c r="AW1224" s="6" t="str">
        <f>HYPERLINK("http://www.worldcat.org/oclc/326849","WorldCat Record")</f>
        <v>WorldCat Record</v>
      </c>
      <c r="AX1224" s="3" t="s">
        <v>11388</v>
      </c>
      <c r="AY1224" s="3" t="s">
        <v>11389</v>
      </c>
      <c r="AZ1224" s="3" t="s">
        <v>11390</v>
      </c>
      <c r="BA1224" s="3" t="s">
        <v>11390</v>
      </c>
      <c r="BB1224" s="3" t="s">
        <v>11391</v>
      </c>
      <c r="BC1224" s="3" t="s">
        <v>82</v>
      </c>
      <c r="BD1224" s="3" t="s">
        <v>70</v>
      </c>
      <c r="BF1224" s="3" t="s">
        <v>11391</v>
      </c>
      <c r="BG1224" s="3" t="s">
        <v>11392</v>
      </c>
    </row>
    <row r="1225" spans="1:59" ht="60" x14ac:dyDescent="0.25">
      <c r="A1225" s="2" t="s">
        <v>59</v>
      </c>
      <c r="B1225" s="2" t="s">
        <v>60</v>
      </c>
      <c r="C1225" s="2" t="s">
        <v>11381</v>
      </c>
      <c r="D1225" s="2" t="s">
        <v>11382</v>
      </c>
      <c r="E1225" s="2" t="s">
        <v>11383</v>
      </c>
      <c r="G1225" s="3" t="s">
        <v>63</v>
      </c>
      <c r="I1225" s="3" t="s">
        <v>62</v>
      </c>
      <c r="J1225" s="3" t="s">
        <v>63</v>
      </c>
      <c r="K1225" s="3" t="s">
        <v>64</v>
      </c>
      <c r="L1225" s="2" t="s">
        <v>11384</v>
      </c>
      <c r="M1225" s="2" t="s">
        <v>11385</v>
      </c>
      <c r="N1225" s="3" t="s">
        <v>2144</v>
      </c>
      <c r="P1225" s="3" t="s">
        <v>66</v>
      </c>
      <c r="Q1225" s="2" t="s">
        <v>11386</v>
      </c>
      <c r="R1225" s="3" t="s">
        <v>67</v>
      </c>
      <c r="S1225" s="4">
        <v>13</v>
      </c>
      <c r="T1225" s="4">
        <v>51</v>
      </c>
      <c r="U1225" s="5" t="s">
        <v>2272</v>
      </c>
      <c r="V1225" s="5" t="s">
        <v>2272</v>
      </c>
      <c r="W1225" s="5" t="s">
        <v>69</v>
      </c>
      <c r="X1225" s="5" t="s">
        <v>69</v>
      </c>
      <c r="Y1225" s="4">
        <v>553</v>
      </c>
      <c r="Z1225" s="4">
        <v>20</v>
      </c>
      <c r="AA1225" s="4">
        <v>22</v>
      </c>
      <c r="AB1225" s="4">
        <v>2</v>
      </c>
      <c r="AC1225" s="4">
        <v>2</v>
      </c>
      <c r="AD1225" s="4">
        <v>77</v>
      </c>
      <c r="AE1225" s="4">
        <v>87</v>
      </c>
      <c r="AF1225" s="4">
        <v>1</v>
      </c>
      <c r="AG1225" s="4">
        <v>1</v>
      </c>
      <c r="AH1225" s="4">
        <v>67</v>
      </c>
      <c r="AI1225" s="4">
        <v>75</v>
      </c>
      <c r="AJ1225" s="4">
        <v>10</v>
      </c>
      <c r="AK1225" s="4">
        <v>11</v>
      </c>
      <c r="AL1225" s="4">
        <v>38</v>
      </c>
      <c r="AM1225" s="4">
        <v>43</v>
      </c>
      <c r="AN1225" s="4">
        <v>0</v>
      </c>
      <c r="AO1225" s="4">
        <v>0</v>
      </c>
      <c r="AP1225" s="4">
        <v>14</v>
      </c>
      <c r="AQ1225" s="4">
        <v>16</v>
      </c>
      <c r="AR1225" s="3" t="s">
        <v>63</v>
      </c>
      <c r="AS1225" s="3" t="s">
        <v>63</v>
      </c>
      <c r="AT1225" s="3" t="s">
        <v>63</v>
      </c>
      <c r="AU1225" s="6" t="str">
        <f>HYPERLINK("http://catalog.hathitrust.org/Record/001224402","HathiTrust Record")</f>
        <v>HathiTrust Record</v>
      </c>
      <c r="AV1225" s="6" t="str">
        <f>HYPERLINK("http://mcgill.on.worldcat.org/oclc/326849","Catalog Record")</f>
        <v>Catalog Record</v>
      </c>
      <c r="AW1225" s="6" t="str">
        <f>HYPERLINK("http://www.worldcat.org/oclc/326849","WorldCat Record")</f>
        <v>WorldCat Record</v>
      </c>
      <c r="AX1225" s="3" t="s">
        <v>11388</v>
      </c>
      <c r="AY1225" s="3" t="s">
        <v>11389</v>
      </c>
      <c r="AZ1225" s="3" t="s">
        <v>11390</v>
      </c>
      <c r="BA1225" s="3" t="s">
        <v>11390</v>
      </c>
      <c r="BB1225" s="3" t="s">
        <v>11393</v>
      </c>
      <c r="BC1225" s="3" t="s">
        <v>82</v>
      </c>
      <c r="BD1225" s="3" t="s">
        <v>70</v>
      </c>
      <c r="BF1225" s="3" t="s">
        <v>11393</v>
      </c>
      <c r="BG1225" s="3" t="s">
        <v>11394</v>
      </c>
    </row>
    <row r="1226" spans="1:59" ht="60" x14ac:dyDescent="0.25">
      <c r="A1226" s="2" t="s">
        <v>59</v>
      </c>
      <c r="B1226" s="2" t="s">
        <v>60</v>
      </c>
      <c r="C1226" s="2" t="s">
        <v>11381</v>
      </c>
      <c r="D1226" s="2" t="s">
        <v>11382</v>
      </c>
      <c r="E1226" s="2" t="s">
        <v>11383</v>
      </c>
      <c r="G1226" s="3" t="s">
        <v>63</v>
      </c>
      <c r="I1226" s="3" t="s">
        <v>62</v>
      </c>
      <c r="J1226" s="3" t="s">
        <v>63</v>
      </c>
      <c r="K1226" s="3" t="s">
        <v>64</v>
      </c>
      <c r="L1226" s="2" t="s">
        <v>11384</v>
      </c>
      <c r="M1226" s="2" t="s">
        <v>11385</v>
      </c>
      <c r="N1226" s="3" t="s">
        <v>2144</v>
      </c>
      <c r="P1226" s="3" t="s">
        <v>66</v>
      </c>
      <c r="Q1226" s="2" t="s">
        <v>11386</v>
      </c>
      <c r="R1226" s="3" t="s">
        <v>67</v>
      </c>
      <c r="S1226" s="4">
        <v>9</v>
      </c>
      <c r="T1226" s="4">
        <v>51</v>
      </c>
      <c r="U1226" s="5" t="s">
        <v>3904</v>
      </c>
      <c r="V1226" s="5" t="s">
        <v>2272</v>
      </c>
      <c r="W1226" s="5" t="s">
        <v>69</v>
      </c>
      <c r="X1226" s="5" t="s">
        <v>69</v>
      </c>
      <c r="Y1226" s="4">
        <v>553</v>
      </c>
      <c r="Z1226" s="4">
        <v>20</v>
      </c>
      <c r="AA1226" s="4">
        <v>22</v>
      </c>
      <c r="AB1226" s="4">
        <v>2</v>
      </c>
      <c r="AC1226" s="4">
        <v>2</v>
      </c>
      <c r="AD1226" s="4">
        <v>77</v>
      </c>
      <c r="AE1226" s="4">
        <v>87</v>
      </c>
      <c r="AF1226" s="4">
        <v>1</v>
      </c>
      <c r="AG1226" s="4">
        <v>1</v>
      </c>
      <c r="AH1226" s="4">
        <v>67</v>
      </c>
      <c r="AI1226" s="4">
        <v>75</v>
      </c>
      <c r="AJ1226" s="4">
        <v>10</v>
      </c>
      <c r="AK1226" s="4">
        <v>11</v>
      </c>
      <c r="AL1226" s="4">
        <v>38</v>
      </c>
      <c r="AM1226" s="4">
        <v>43</v>
      </c>
      <c r="AN1226" s="4">
        <v>0</v>
      </c>
      <c r="AO1226" s="4">
        <v>0</v>
      </c>
      <c r="AP1226" s="4">
        <v>14</v>
      </c>
      <c r="AQ1226" s="4">
        <v>16</v>
      </c>
      <c r="AR1226" s="3" t="s">
        <v>63</v>
      </c>
      <c r="AS1226" s="3" t="s">
        <v>63</v>
      </c>
      <c r="AT1226" s="3" t="s">
        <v>63</v>
      </c>
      <c r="AU1226" s="6" t="str">
        <f>HYPERLINK("http://catalog.hathitrust.org/Record/001224402","HathiTrust Record")</f>
        <v>HathiTrust Record</v>
      </c>
      <c r="AV1226" s="6" t="str">
        <f>HYPERLINK("http://mcgill.on.worldcat.org/oclc/326849","Catalog Record")</f>
        <v>Catalog Record</v>
      </c>
      <c r="AW1226" s="6" t="str">
        <f>HYPERLINK("http://www.worldcat.org/oclc/326849","WorldCat Record")</f>
        <v>WorldCat Record</v>
      </c>
      <c r="AX1226" s="3" t="s">
        <v>11388</v>
      </c>
      <c r="AY1226" s="3" t="s">
        <v>11389</v>
      </c>
      <c r="AZ1226" s="3" t="s">
        <v>11390</v>
      </c>
      <c r="BA1226" s="3" t="s">
        <v>11390</v>
      </c>
      <c r="BB1226" s="3" t="s">
        <v>11395</v>
      </c>
      <c r="BC1226" s="3" t="s">
        <v>82</v>
      </c>
      <c r="BD1226" s="3" t="s">
        <v>70</v>
      </c>
      <c r="BF1226" s="3" t="s">
        <v>11395</v>
      </c>
      <c r="BG1226" s="3" t="s">
        <v>11396</v>
      </c>
    </row>
    <row r="1227" spans="1:59" ht="60" x14ac:dyDescent="0.25">
      <c r="A1227" s="2" t="s">
        <v>59</v>
      </c>
      <c r="B1227" s="2" t="s">
        <v>60</v>
      </c>
      <c r="C1227" s="2" t="s">
        <v>11381</v>
      </c>
      <c r="D1227" s="2" t="s">
        <v>11382</v>
      </c>
      <c r="E1227" s="2" t="s">
        <v>11383</v>
      </c>
      <c r="G1227" s="3" t="s">
        <v>63</v>
      </c>
      <c r="I1227" s="3" t="s">
        <v>62</v>
      </c>
      <c r="J1227" s="3" t="s">
        <v>63</v>
      </c>
      <c r="K1227" s="3" t="s">
        <v>64</v>
      </c>
      <c r="L1227" s="2" t="s">
        <v>11384</v>
      </c>
      <c r="M1227" s="2" t="s">
        <v>11385</v>
      </c>
      <c r="N1227" s="3" t="s">
        <v>2144</v>
      </c>
      <c r="P1227" s="3" t="s">
        <v>66</v>
      </c>
      <c r="Q1227" s="2" t="s">
        <v>11386</v>
      </c>
      <c r="R1227" s="3" t="s">
        <v>67</v>
      </c>
      <c r="S1227" s="4">
        <v>5</v>
      </c>
      <c r="T1227" s="4">
        <v>51</v>
      </c>
      <c r="U1227" s="5" t="s">
        <v>11397</v>
      </c>
      <c r="V1227" s="5" t="s">
        <v>2272</v>
      </c>
      <c r="W1227" s="5" t="s">
        <v>69</v>
      </c>
      <c r="X1227" s="5" t="s">
        <v>69</v>
      </c>
      <c r="Y1227" s="4">
        <v>553</v>
      </c>
      <c r="Z1227" s="4">
        <v>20</v>
      </c>
      <c r="AA1227" s="4">
        <v>22</v>
      </c>
      <c r="AB1227" s="4">
        <v>2</v>
      </c>
      <c r="AC1227" s="4">
        <v>2</v>
      </c>
      <c r="AD1227" s="4">
        <v>77</v>
      </c>
      <c r="AE1227" s="4">
        <v>87</v>
      </c>
      <c r="AF1227" s="4">
        <v>1</v>
      </c>
      <c r="AG1227" s="4">
        <v>1</v>
      </c>
      <c r="AH1227" s="4">
        <v>67</v>
      </c>
      <c r="AI1227" s="4">
        <v>75</v>
      </c>
      <c r="AJ1227" s="4">
        <v>10</v>
      </c>
      <c r="AK1227" s="4">
        <v>11</v>
      </c>
      <c r="AL1227" s="4">
        <v>38</v>
      </c>
      <c r="AM1227" s="4">
        <v>43</v>
      </c>
      <c r="AN1227" s="4">
        <v>0</v>
      </c>
      <c r="AO1227" s="4">
        <v>0</v>
      </c>
      <c r="AP1227" s="4">
        <v>14</v>
      </c>
      <c r="AQ1227" s="4">
        <v>16</v>
      </c>
      <c r="AR1227" s="3" t="s">
        <v>63</v>
      </c>
      <c r="AS1227" s="3" t="s">
        <v>63</v>
      </c>
      <c r="AT1227" s="3" t="s">
        <v>63</v>
      </c>
      <c r="AU1227" s="6" t="str">
        <f>HYPERLINK("http://catalog.hathitrust.org/Record/001224402","HathiTrust Record")</f>
        <v>HathiTrust Record</v>
      </c>
      <c r="AV1227" s="6" t="str">
        <f>HYPERLINK("http://mcgill.on.worldcat.org/oclc/326849","Catalog Record")</f>
        <v>Catalog Record</v>
      </c>
      <c r="AW1227" s="6" t="str">
        <f>HYPERLINK("http://www.worldcat.org/oclc/326849","WorldCat Record")</f>
        <v>WorldCat Record</v>
      </c>
      <c r="AX1227" s="3" t="s">
        <v>11388</v>
      </c>
      <c r="AY1227" s="3" t="s">
        <v>11389</v>
      </c>
      <c r="AZ1227" s="3" t="s">
        <v>11390</v>
      </c>
      <c r="BA1227" s="3" t="s">
        <v>11390</v>
      </c>
      <c r="BB1227" s="3" t="s">
        <v>11398</v>
      </c>
      <c r="BC1227" s="3" t="s">
        <v>82</v>
      </c>
      <c r="BD1227" s="3" t="s">
        <v>70</v>
      </c>
      <c r="BF1227" s="3" t="s">
        <v>11398</v>
      </c>
      <c r="BG1227" s="3" t="s">
        <v>11399</v>
      </c>
    </row>
    <row r="1228" spans="1:59" ht="60" x14ac:dyDescent="0.25">
      <c r="A1228" s="2" t="s">
        <v>59</v>
      </c>
      <c r="B1228" s="2" t="s">
        <v>60</v>
      </c>
      <c r="C1228" s="2" t="s">
        <v>11381</v>
      </c>
      <c r="D1228" s="2" t="s">
        <v>11382</v>
      </c>
      <c r="E1228" s="2" t="s">
        <v>11383</v>
      </c>
      <c r="G1228" s="3" t="s">
        <v>63</v>
      </c>
      <c r="I1228" s="3" t="s">
        <v>62</v>
      </c>
      <c r="J1228" s="3" t="s">
        <v>63</v>
      </c>
      <c r="K1228" s="3" t="s">
        <v>64</v>
      </c>
      <c r="L1228" s="2" t="s">
        <v>11384</v>
      </c>
      <c r="M1228" s="2" t="s">
        <v>11385</v>
      </c>
      <c r="N1228" s="3" t="s">
        <v>2144</v>
      </c>
      <c r="P1228" s="3" t="s">
        <v>66</v>
      </c>
      <c r="Q1228" s="2" t="s">
        <v>11386</v>
      </c>
      <c r="R1228" s="3" t="s">
        <v>67</v>
      </c>
      <c r="S1228" s="4">
        <v>7</v>
      </c>
      <c r="T1228" s="4">
        <v>51</v>
      </c>
      <c r="U1228" s="5" t="s">
        <v>11400</v>
      </c>
      <c r="V1228" s="5" t="s">
        <v>2272</v>
      </c>
      <c r="W1228" s="5" t="s">
        <v>69</v>
      </c>
      <c r="X1228" s="5" t="s">
        <v>69</v>
      </c>
      <c r="Y1228" s="4">
        <v>553</v>
      </c>
      <c r="Z1228" s="4">
        <v>20</v>
      </c>
      <c r="AA1228" s="4">
        <v>22</v>
      </c>
      <c r="AB1228" s="4">
        <v>2</v>
      </c>
      <c r="AC1228" s="4">
        <v>2</v>
      </c>
      <c r="AD1228" s="4">
        <v>77</v>
      </c>
      <c r="AE1228" s="4">
        <v>87</v>
      </c>
      <c r="AF1228" s="4">
        <v>1</v>
      </c>
      <c r="AG1228" s="4">
        <v>1</v>
      </c>
      <c r="AH1228" s="4">
        <v>67</v>
      </c>
      <c r="AI1228" s="4">
        <v>75</v>
      </c>
      <c r="AJ1228" s="4">
        <v>10</v>
      </c>
      <c r="AK1228" s="4">
        <v>11</v>
      </c>
      <c r="AL1228" s="4">
        <v>38</v>
      </c>
      <c r="AM1228" s="4">
        <v>43</v>
      </c>
      <c r="AN1228" s="4">
        <v>0</v>
      </c>
      <c r="AO1228" s="4">
        <v>0</v>
      </c>
      <c r="AP1228" s="4">
        <v>14</v>
      </c>
      <c r="AQ1228" s="4">
        <v>16</v>
      </c>
      <c r="AR1228" s="3" t="s">
        <v>63</v>
      </c>
      <c r="AS1228" s="3" t="s">
        <v>63</v>
      </c>
      <c r="AT1228" s="3" t="s">
        <v>63</v>
      </c>
      <c r="AU1228" s="6" t="str">
        <f>HYPERLINK("http://catalog.hathitrust.org/Record/001224402","HathiTrust Record")</f>
        <v>HathiTrust Record</v>
      </c>
      <c r="AV1228" s="6" t="str">
        <f>HYPERLINK("http://mcgill.on.worldcat.org/oclc/326849","Catalog Record")</f>
        <v>Catalog Record</v>
      </c>
      <c r="AW1228" s="6" t="str">
        <f>HYPERLINK("http://www.worldcat.org/oclc/326849","WorldCat Record")</f>
        <v>WorldCat Record</v>
      </c>
      <c r="AX1228" s="3" t="s">
        <v>11388</v>
      </c>
      <c r="AY1228" s="3" t="s">
        <v>11389</v>
      </c>
      <c r="AZ1228" s="3" t="s">
        <v>11390</v>
      </c>
      <c r="BA1228" s="3" t="s">
        <v>11390</v>
      </c>
      <c r="BB1228" s="3" t="s">
        <v>11401</v>
      </c>
      <c r="BC1228" s="3" t="s">
        <v>82</v>
      </c>
      <c r="BD1228" s="3" t="s">
        <v>70</v>
      </c>
      <c r="BF1228" s="3" t="s">
        <v>11401</v>
      </c>
      <c r="BG1228" s="3" t="s">
        <v>11402</v>
      </c>
    </row>
    <row r="1229" spans="1:59" ht="60" x14ac:dyDescent="0.25">
      <c r="A1229" s="2" t="s">
        <v>59</v>
      </c>
      <c r="B1229" s="2" t="s">
        <v>60</v>
      </c>
      <c r="C1229" s="2" t="s">
        <v>11403</v>
      </c>
      <c r="D1229" s="2" t="s">
        <v>11404</v>
      </c>
      <c r="E1229" s="2" t="s">
        <v>11405</v>
      </c>
      <c r="G1229" s="3" t="s">
        <v>63</v>
      </c>
      <c r="I1229" s="3" t="s">
        <v>63</v>
      </c>
      <c r="J1229" s="3" t="s">
        <v>63</v>
      </c>
      <c r="K1229" s="3" t="s">
        <v>64</v>
      </c>
      <c r="L1229" s="2" t="s">
        <v>10454</v>
      </c>
      <c r="M1229" s="2" t="s">
        <v>11406</v>
      </c>
      <c r="N1229" s="3" t="s">
        <v>1046</v>
      </c>
      <c r="P1229" s="3" t="s">
        <v>90</v>
      </c>
      <c r="R1229" s="3" t="s">
        <v>67</v>
      </c>
      <c r="S1229" s="4">
        <v>3</v>
      </c>
      <c r="T1229" s="4">
        <v>3</v>
      </c>
      <c r="U1229" s="5" t="s">
        <v>11407</v>
      </c>
      <c r="V1229" s="5" t="s">
        <v>11407</v>
      </c>
      <c r="W1229" s="5" t="s">
        <v>69</v>
      </c>
      <c r="X1229" s="5" t="s">
        <v>69</v>
      </c>
      <c r="Y1229" s="4">
        <v>3</v>
      </c>
      <c r="Z1229" s="4">
        <v>1</v>
      </c>
      <c r="AA1229" s="4">
        <v>1</v>
      </c>
      <c r="AB1229" s="4">
        <v>1</v>
      </c>
      <c r="AC1229" s="4">
        <v>1</v>
      </c>
      <c r="AD1229" s="4">
        <v>0</v>
      </c>
      <c r="AE1229" s="4">
        <v>6</v>
      </c>
      <c r="AF1229" s="4">
        <v>0</v>
      </c>
      <c r="AG1229" s="4">
        <v>0</v>
      </c>
      <c r="AH1229" s="4">
        <v>0</v>
      </c>
      <c r="AI1229" s="4">
        <v>5</v>
      </c>
      <c r="AJ1229" s="4">
        <v>0</v>
      </c>
      <c r="AK1229" s="4">
        <v>0</v>
      </c>
      <c r="AL1229" s="4">
        <v>0</v>
      </c>
      <c r="AM1229" s="4">
        <v>3</v>
      </c>
      <c r="AN1229" s="4">
        <v>0</v>
      </c>
      <c r="AO1229" s="4">
        <v>0</v>
      </c>
      <c r="AP1229" s="4">
        <v>0</v>
      </c>
      <c r="AQ1229" s="4">
        <v>0</v>
      </c>
      <c r="AR1229" s="3" t="s">
        <v>63</v>
      </c>
      <c r="AS1229" s="3" t="s">
        <v>63</v>
      </c>
      <c r="AT1229" s="3" t="s">
        <v>63</v>
      </c>
      <c r="AV1229" s="6" t="str">
        <f>HYPERLINK("http://mcgill.on.worldcat.org/oclc/8869399","Catalog Record")</f>
        <v>Catalog Record</v>
      </c>
      <c r="AW1229" s="6" t="str">
        <f>HYPERLINK("http://www.worldcat.org/oclc/8869399","WorldCat Record")</f>
        <v>WorldCat Record</v>
      </c>
      <c r="AX1229" s="3" t="s">
        <v>11408</v>
      </c>
      <c r="AY1229" s="3" t="s">
        <v>11409</v>
      </c>
      <c r="AZ1229" s="3" t="s">
        <v>11410</v>
      </c>
      <c r="BA1229" s="3" t="s">
        <v>11410</v>
      </c>
      <c r="BB1229" s="3" t="s">
        <v>11411</v>
      </c>
      <c r="BC1229" s="3" t="s">
        <v>82</v>
      </c>
      <c r="BD1229" s="3" t="s">
        <v>70</v>
      </c>
      <c r="BF1229" s="3" t="s">
        <v>11411</v>
      </c>
      <c r="BG1229" s="3" t="s">
        <v>11412</v>
      </c>
    </row>
    <row r="1230" spans="1:59" ht="60" x14ac:dyDescent="0.25">
      <c r="A1230" s="2" t="s">
        <v>59</v>
      </c>
      <c r="B1230" s="2" t="s">
        <v>60</v>
      </c>
      <c r="C1230" s="2" t="s">
        <v>11413</v>
      </c>
      <c r="D1230" s="2" t="s">
        <v>11414</v>
      </c>
      <c r="E1230" s="2" t="s">
        <v>11415</v>
      </c>
      <c r="G1230" s="3" t="s">
        <v>63</v>
      </c>
      <c r="I1230" s="3" t="s">
        <v>63</v>
      </c>
      <c r="J1230" s="3" t="s">
        <v>63</v>
      </c>
      <c r="K1230" s="3" t="s">
        <v>64</v>
      </c>
      <c r="L1230" s="2" t="s">
        <v>10454</v>
      </c>
      <c r="M1230" s="2" t="s">
        <v>11416</v>
      </c>
      <c r="N1230" s="3" t="s">
        <v>11417</v>
      </c>
      <c r="P1230" s="3" t="s">
        <v>90</v>
      </c>
      <c r="Q1230" s="2" t="s">
        <v>11418</v>
      </c>
      <c r="R1230" s="3" t="s">
        <v>67</v>
      </c>
      <c r="S1230" s="4">
        <v>6</v>
      </c>
      <c r="T1230" s="4">
        <v>6</v>
      </c>
      <c r="U1230" s="5" t="s">
        <v>6621</v>
      </c>
      <c r="V1230" s="5" t="s">
        <v>6621</v>
      </c>
      <c r="W1230" s="5" t="s">
        <v>69</v>
      </c>
      <c r="X1230" s="5" t="s">
        <v>69</v>
      </c>
      <c r="Y1230" s="4">
        <v>27</v>
      </c>
      <c r="Z1230" s="4">
        <v>4</v>
      </c>
      <c r="AA1230" s="4">
        <v>6</v>
      </c>
      <c r="AB1230" s="4">
        <v>1</v>
      </c>
      <c r="AC1230" s="4">
        <v>1</v>
      </c>
      <c r="AD1230" s="4">
        <v>10</v>
      </c>
      <c r="AE1230" s="4">
        <v>14</v>
      </c>
      <c r="AF1230" s="4">
        <v>0</v>
      </c>
      <c r="AG1230" s="4">
        <v>0</v>
      </c>
      <c r="AH1230" s="4">
        <v>8</v>
      </c>
      <c r="AI1230" s="4">
        <v>10</v>
      </c>
      <c r="AJ1230" s="4">
        <v>2</v>
      </c>
      <c r="AK1230" s="4">
        <v>3</v>
      </c>
      <c r="AL1230" s="4">
        <v>9</v>
      </c>
      <c r="AM1230" s="4">
        <v>10</v>
      </c>
      <c r="AN1230" s="4">
        <v>0</v>
      </c>
      <c r="AO1230" s="4">
        <v>0</v>
      </c>
      <c r="AP1230" s="4">
        <v>2</v>
      </c>
      <c r="AQ1230" s="4">
        <v>4</v>
      </c>
      <c r="AR1230" s="3" t="s">
        <v>63</v>
      </c>
      <c r="AS1230" s="3" t="s">
        <v>63</v>
      </c>
      <c r="AT1230" s="3" t="s">
        <v>63</v>
      </c>
      <c r="AU1230" s="6" t="str">
        <f>HYPERLINK("http://catalog.hathitrust.org/Record/100590486","HathiTrust Record")</f>
        <v>HathiTrust Record</v>
      </c>
      <c r="AV1230" s="6" t="str">
        <f>HYPERLINK("http://mcgill.on.worldcat.org/oclc/15747644","Catalog Record")</f>
        <v>Catalog Record</v>
      </c>
      <c r="AW1230" s="6" t="str">
        <f>HYPERLINK("http://www.worldcat.org/oclc/15747644","WorldCat Record")</f>
        <v>WorldCat Record</v>
      </c>
      <c r="AX1230" s="3" t="s">
        <v>11419</v>
      </c>
      <c r="AY1230" s="3" t="s">
        <v>11420</v>
      </c>
      <c r="AZ1230" s="3" t="s">
        <v>11421</v>
      </c>
      <c r="BA1230" s="3" t="s">
        <v>11421</v>
      </c>
      <c r="BB1230" s="3" t="s">
        <v>11422</v>
      </c>
      <c r="BC1230" s="3" t="s">
        <v>82</v>
      </c>
      <c r="BD1230" s="3" t="s">
        <v>70</v>
      </c>
      <c r="BF1230" s="3" t="s">
        <v>11422</v>
      </c>
      <c r="BG1230" s="3" t="s">
        <v>11423</v>
      </c>
    </row>
    <row r="1231" spans="1:59" ht="60" x14ac:dyDescent="0.25">
      <c r="A1231" s="2" t="s">
        <v>59</v>
      </c>
      <c r="B1231" s="2" t="s">
        <v>60</v>
      </c>
      <c r="C1231" s="2" t="s">
        <v>11424</v>
      </c>
      <c r="D1231" s="2" t="s">
        <v>11425</v>
      </c>
      <c r="E1231" s="2" t="s">
        <v>11426</v>
      </c>
      <c r="G1231" s="3" t="s">
        <v>63</v>
      </c>
      <c r="I1231" s="3" t="s">
        <v>63</v>
      </c>
      <c r="J1231" s="3" t="s">
        <v>63</v>
      </c>
      <c r="K1231" s="3" t="s">
        <v>64</v>
      </c>
      <c r="L1231" s="2" t="s">
        <v>10454</v>
      </c>
      <c r="M1231" s="2" t="s">
        <v>11427</v>
      </c>
      <c r="N1231" s="3" t="s">
        <v>2225</v>
      </c>
      <c r="P1231" s="3" t="s">
        <v>66</v>
      </c>
      <c r="R1231" s="3" t="s">
        <v>67</v>
      </c>
      <c r="S1231" s="4">
        <v>26</v>
      </c>
      <c r="T1231" s="4">
        <v>26</v>
      </c>
      <c r="U1231" s="5" t="s">
        <v>8586</v>
      </c>
      <c r="V1231" s="5" t="s">
        <v>8586</v>
      </c>
      <c r="W1231" s="5" t="s">
        <v>69</v>
      </c>
      <c r="X1231" s="5" t="s">
        <v>69</v>
      </c>
      <c r="Y1231" s="4">
        <v>5</v>
      </c>
      <c r="Z1231" s="4">
        <v>1</v>
      </c>
      <c r="AA1231" s="4">
        <v>1</v>
      </c>
      <c r="AB1231" s="4">
        <v>1</v>
      </c>
      <c r="AC1231" s="4">
        <v>1</v>
      </c>
      <c r="AD1231" s="4">
        <v>1</v>
      </c>
      <c r="AE1231" s="4">
        <v>1</v>
      </c>
      <c r="AF1231" s="4">
        <v>0</v>
      </c>
      <c r="AG1231" s="4">
        <v>0</v>
      </c>
      <c r="AH1231" s="4">
        <v>1</v>
      </c>
      <c r="AI1231" s="4">
        <v>1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3" t="s">
        <v>63</v>
      </c>
      <c r="AS1231" s="3" t="s">
        <v>63</v>
      </c>
      <c r="AT1231" s="3" t="s">
        <v>63</v>
      </c>
      <c r="AV1231" s="6" t="str">
        <f>HYPERLINK("http://mcgill.on.worldcat.org/oclc/222164615","Catalog Record")</f>
        <v>Catalog Record</v>
      </c>
      <c r="AW1231" s="6" t="str">
        <f>HYPERLINK("http://www.worldcat.org/oclc/222164615","WorldCat Record")</f>
        <v>WorldCat Record</v>
      </c>
      <c r="AX1231" s="3" t="s">
        <v>11428</v>
      </c>
      <c r="AY1231" s="3" t="s">
        <v>11429</v>
      </c>
      <c r="AZ1231" s="3" t="s">
        <v>11430</v>
      </c>
      <c r="BA1231" s="3" t="s">
        <v>11430</v>
      </c>
      <c r="BB1231" s="3" t="s">
        <v>11431</v>
      </c>
      <c r="BC1231" s="3" t="s">
        <v>82</v>
      </c>
      <c r="BD1231" s="3" t="s">
        <v>70</v>
      </c>
      <c r="BF1231" s="3" t="s">
        <v>11431</v>
      </c>
      <c r="BG1231" s="3" t="s">
        <v>11432</v>
      </c>
    </row>
    <row r="1232" spans="1:59" ht="75" x14ac:dyDescent="0.25">
      <c r="A1232" s="2" t="s">
        <v>59</v>
      </c>
      <c r="B1232" s="2" t="s">
        <v>60</v>
      </c>
      <c r="C1232" s="2" t="s">
        <v>11433</v>
      </c>
      <c r="D1232" s="2" t="s">
        <v>11434</v>
      </c>
      <c r="E1232" s="2" t="s">
        <v>11435</v>
      </c>
      <c r="G1232" s="3" t="s">
        <v>63</v>
      </c>
      <c r="I1232" s="3" t="s">
        <v>63</v>
      </c>
      <c r="J1232" s="3" t="s">
        <v>63</v>
      </c>
      <c r="K1232" s="3" t="s">
        <v>64</v>
      </c>
      <c r="L1232" s="2" t="s">
        <v>11436</v>
      </c>
      <c r="M1232" s="2" t="s">
        <v>11437</v>
      </c>
      <c r="N1232" s="3" t="s">
        <v>2765</v>
      </c>
      <c r="P1232" s="3" t="s">
        <v>90</v>
      </c>
      <c r="R1232" s="3" t="s">
        <v>67</v>
      </c>
      <c r="S1232" s="4">
        <v>0</v>
      </c>
      <c r="T1232" s="4">
        <v>0</v>
      </c>
      <c r="W1232" s="5" t="s">
        <v>69</v>
      </c>
      <c r="X1232" s="5" t="s">
        <v>69</v>
      </c>
      <c r="Y1232" s="4">
        <v>46</v>
      </c>
      <c r="Z1232" s="4">
        <v>2</v>
      </c>
      <c r="AA1232" s="4">
        <v>2</v>
      </c>
      <c r="AB1232" s="4">
        <v>1</v>
      </c>
      <c r="AC1232" s="4">
        <v>1</v>
      </c>
      <c r="AD1232" s="4">
        <v>23</v>
      </c>
      <c r="AE1232" s="4">
        <v>23</v>
      </c>
      <c r="AF1232" s="4">
        <v>0</v>
      </c>
      <c r="AG1232" s="4">
        <v>0</v>
      </c>
      <c r="AH1232" s="4">
        <v>23</v>
      </c>
      <c r="AI1232" s="4">
        <v>23</v>
      </c>
      <c r="AJ1232" s="4">
        <v>1</v>
      </c>
      <c r="AK1232" s="4">
        <v>1</v>
      </c>
      <c r="AL1232" s="4">
        <v>16</v>
      </c>
      <c r="AM1232" s="4">
        <v>16</v>
      </c>
      <c r="AN1232" s="4">
        <v>0</v>
      </c>
      <c r="AO1232" s="4">
        <v>0</v>
      </c>
      <c r="AP1232" s="4">
        <v>1</v>
      </c>
      <c r="AQ1232" s="4">
        <v>1</v>
      </c>
      <c r="AR1232" s="3" t="s">
        <v>63</v>
      </c>
      <c r="AS1232" s="3" t="s">
        <v>63</v>
      </c>
      <c r="AT1232" s="3" t="s">
        <v>63</v>
      </c>
      <c r="AV1232" s="6" t="str">
        <f>HYPERLINK("http://mcgill.on.worldcat.org/oclc/915635925","Catalog Record")</f>
        <v>Catalog Record</v>
      </c>
      <c r="AW1232" s="6" t="str">
        <f>HYPERLINK("http://www.worldcat.org/oclc/915635925","WorldCat Record")</f>
        <v>WorldCat Record</v>
      </c>
      <c r="AX1232" s="3" t="s">
        <v>11438</v>
      </c>
      <c r="AY1232" s="3" t="s">
        <v>11439</v>
      </c>
      <c r="AZ1232" s="3" t="s">
        <v>11440</v>
      </c>
      <c r="BA1232" s="3" t="s">
        <v>11440</v>
      </c>
      <c r="BB1232" s="3" t="s">
        <v>11441</v>
      </c>
      <c r="BC1232" s="3" t="s">
        <v>82</v>
      </c>
      <c r="BD1232" s="3" t="s">
        <v>70</v>
      </c>
      <c r="BE1232" s="3" t="s">
        <v>11442</v>
      </c>
      <c r="BF1232" s="3" t="s">
        <v>11441</v>
      </c>
      <c r="BG1232" s="3" t="s">
        <v>11443</v>
      </c>
    </row>
    <row r="1233" spans="1:59" ht="60" x14ac:dyDescent="0.25">
      <c r="A1233" s="2" t="s">
        <v>59</v>
      </c>
      <c r="B1233" s="2" t="s">
        <v>60</v>
      </c>
      <c r="C1233" s="2" t="s">
        <v>11467</v>
      </c>
      <c r="D1233" s="2" t="s">
        <v>11468</v>
      </c>
      <c r="E1233" s="2" t="s">
        <v>11469</v>
      </c>
      <c r="G1233" s="3" t="s">
        <v>63</v>
      </c>
      <c r="I1233" s="3" t="s">
        <v>63</v>
      </c>
      <c r="J1233" s="3" t="s">
        <v>63</v>
      </c>
      <c r="K1233" s="3" t="s">
        <v>64</v>
      </c>
      <c r="L1233" s="2" t="s">
        <v>10454</v>
      </c>
      <c r="M1233" s="2" t="s">
        <v>11470</v>
      </c>
      <c r="N1233" s="3" t="s">
        <v>11471</v>
      </c>
      <c r="P1233" s="3" t="s">
        <v>66</v>
      </c>
      <c r="Q1233" s="2" t="s">
        <v>11472</v>
      </c>
      <c r="R1233" s="3" t="s">
        <v>67</v>
      </c>
      <c r="S1233" s="4">
        <v>18</v>
      </c>
      <c r="T1233" s="4">
        <v>18</v>
      </c>
      <c r="U1233" s="5" t="s">
        <v>11473</v>
      </c>
      <c r="V1233" s="5" t="s">
        <v>11473</v>
      </c>
      <c r="W1233" s="5" t="s">
        <v>69</v>
      </c>
      <c r="X1233" s="5" t="s">
        <v>69</v>
      </c>
      <c r="Y1233" s="4">
        <v>85</v>
      </c>
      <c r="Z1233" s="4">
        <v>2</v>
      </c>
      <c r="AA1233" s="4">
        <v>17</v>
      </c>
      <c r="AB1233" s="4">
        <v>1</v>
      </c>
      <c r="AC1233" s="4">
        <v>4</v>
      </c>
      <c r="AD1233" s="4">
        <v>25</v>
      </c>
      <c r="AE1233" s="4">
        <v>69</v>
      </c>
      <c r="AF1233" s="4">
        <v>0</v>
      </c>
      <c r="AG1233" s="4">
        <v>0</v>
      </c>
      <c r="AH1233" s="4">
        <v>24</v>
      </c>
      <c r="AI1233" s="4">
        <v>63</v>
      </c>
      <c r="AJ1233" s="4">
        <v>0</v>
      </c>
      <c r="AK1233" s="4">
        <v>4</v>
      </c>
      <c r="AL1233" s="4">
        <v>15</v>
      </c>
      <c r="AM1233" s="4">
        <v>36</v>
      </c>
      <c r="AN1233" s="4">
        <v>0</v>
      </c>
      <c r="AO1233" s="4">
        <v>0</v>
      </c>
      <c r="AP1233" s="4">
        <v>1</v>
      </c>
      <c r="AQ1233" s="4">
        <v>6</v>
      </c>
      <c r="AR1233" s="3" t="s">
        <v>63</v>
      </c>
      <c r="AS1233" s="3" t="s">
        <v>62</v>
      </c>
      <c r="AT1233" s="3" t="s">
        <v>63</v>
      </c>
      <c r="AU1233" s="6" t="str">
        <f>HYPERLINK("http://catalog.hathitrust.org/Record/008965541","HathiTrust Record")</f>
        <v>HathiTrust Record</v>
      </c>
      <c r="AV1233" s="6" t="str">
        <f>HYPERLINK("http://mcgill.on.worldcat.org/oclc/19938063","Catalog Record")</f>
        <v>Catalog Record</v>
      </c>
      <c r="AW1233" s="6" t="str">
        <f>HYPERLINK("http://www.worldcat.org/oclc/19938063","WorldCat Record")</f>
        <v>WorldCat Record</v>
      </c>
      <c r="AX1233" s="3" t="s">
        <v>11474</v>
      </c>
      <c r="AY1233" s="3" t="s">
        <v>11475</v>
      </c>
      <c r="AZ1233" s="3" t="s">
        <v>11476</v>
      </c>
      <c r="BA1233" s="3" t="s">
        <v>11476</v>
      </c>
      <c r="BB1233" s="3" t="s">
        <v>11477</v>
      </c>
      <c r="BC1233" s="3" t="s">
        <v>82</v>
      </c>
      <c r="BD1233" s="3" t="s">
        <v>70</v>
      </c>
      <c r="BF1233" s="3" t="s">
        <v>11477</v>
      </c>
      <c r="BG1233" s="3" t="s">
        <v>11478</v>
      </c>
    </row>
    <row r="1234" spans="1:59" ht="75" x14ac:dyDescent="0.25">
      <c r="A1234" s="2" t="s">
        <v>59</v>
      </c>
      <c r="B1234" s="2" t="s">
        <v>60</v>
      </c>
      <c r="C1234" s="2" t="s">
        <v>11479</v>
      </c>
      <c r="D1234" s="2" t="s">
        <v>11480</v>
      </c>
      <c r="E1234" s="2" t="s">
        <v>11481</v>
      </c>
      <c r="G1234" s="3" t="s">
        <v>63</v>
      </c>
      <c r="I1234" s="3" t="s">
        <v>63</v>
      </c>
      <c r="J1234" s="3" t="s">
        <v>63</v>
      </c>
      <c r="K1234" s="3" t="s">
        <v>64</v>
      </c>
      <c r="L1234" s="2" t="s">
        <v>10454</v>
      </c>
      <c r="M1234" s="2" t="s">
        <v>11482</v>
      </c>
      <c r="N1234" s="3" t="s">
        <v>9447</v>
      </c>
      <c r="P1234" s="3" t="s">
        <v>66</v>
      </c>
      <c r="R1234" s="3" t="s">
        <v>67</v>
      </c>
      <c r="S1234" s="4">
        <v>30</v>
      </c>
      <c r="T1234" s="4">
        <v>30</v>
      </c>
      <c r="U1234" s="5" t="s">
        <v>3861</v>
      </c>
      <c r="V1234" s="5" t="s">
        <v>3861</v>
      </c>
      <c r="W1234" s="5" t="s">
        <v>69</v>
      </c>
      <c r="X1234" s="5" t="s">
        <v>69</v>
      </c>
      <c r="Y1234" s="4">
        <v>965</v>
      </c>
      <c r="Z1234" s="4">
        <v>39</v>
      </c>
      <c r="AA1234" s="4">
        <v>57</v>
      </c>
      <c r="AB1234" s="4">
        <v>2</v>
      </c>
      <c r="AC1234" s="4">
        <v>6</v>
      </c>
      <c r="AD1234" s="4">
        <v>106</v>
      </c>
      <c r="AE1234" s="4">
        <v>126</v>
      </c>
      <c r="AF1234" s="4">
        <v>1</v>
      </c>
      <c r="AG1234" s="4">
        <v>4</v>
      </c>
      <c r="AH1234" s="4">
        <v>89</v>
      </c>
      <c r="AI1234" s="4">
        <v>99</v>
      </c>
      <c r="AJ1234" s="4">
        <v>11</v>
      </c>
      <c r="AK1234" s="4">
        <v>20</v>
      </c>
      <c r="AL1234" s="4">
        <v>53</v>
      </c>
      <c r="AM1234" s="4">
        <v>55</v>
      </c>
      <c r="AN1234" s="4">
        <v>0</v>
      </c>
      <c r="AO1234" s="4">
        <v>0</v>
      </c>
      <c r="AP1234" s="4">
        <v>21</v>
      </c>
      <c r="AQ1234" s="4">
        <v>32</v>
      </c>
      <c r="AR1234" s="3" t="s">
        <v>63</v>
      </c>
      <c r="AS1234" s="3" t="s">
        <v>63</v>
      </c>
      <c r="AT1234" s="3" t="s">
        <v>62</v>
      </c>
      <c r="AU1234" s="6" t="str">
        <f>HYPERLINK("http://catalog.hathitrust.org/Record/000980784","HathiTrust Record")</f>
        <v>HathiTrust Record</v>
      </c>
      <c r="AV1234" s="6" t="str">
        <f>HYPERLINK("http://mcgill.on.worldcat.org/oclc/312363","Catalog Record")</f>
        <v>Catalog Record</v>
      </c>
      <c r="AW1234" s="6" t="str">
        <f>HYPERLINK("http://www.worldcat.org/oclc/312363","WorldCat Record")</f>
        <v>WorldCat Record</v>
      </c>
      <c r="AX1234" s="3" t="s">
        <v>11483</v>
      </c>
      <c r="AY1234" s="3" t="s">
        <v>11484</v>
      </c>
      <c r="AZ1234" s="3" t="s">
        <v>11485</v>
      </c>
      <c r="BA1234" s="3" t="s">
        <v>11485</v>
      </c>
      <c r="BB1234" s="3" t="s">
        <v>11486</v>
      </c>
      <c r="BC1234" s="3" t="s">
        <v>82</v>
      </c>
      <c r="BD1234" s="3" t="s">
        <v>70</v>
      </c>
      <c r="BF1234" s="3" t="s">
        <v>11486</v>
      </c>
      <c r="BG1234" s="3" t="s">
        <v>11487</v>
      </c>
    </row>
    <row r="1235" spans="1:59" ht="60" x14ac:dyDescent="0.25">
      <c r="A1235" s="2" t="s">
        <v>59</v>
      </c>
      <c r="B1235" s="2" t="s">
        <v>60</v>
      </c>
      <c r="C1235" s="2" t="s">
        <v>11488</v>
      </c>
      <c r="D1235" s="2" t="s">
        <v>11489</v>
      </c>
      <c r="E1235" s="2" t="s">
        <v>11490</v>
      </c>
      <c r="G1235" s="3" t="s">
        <v>63</v>
      </c>
      <c r="I1235" s="3" t="s">
        <v>63</v>
      </c>
      <c r="J1235" s="3" t="s">
        <v>63</v>
      </c>
      <c r="K1235" s="3" t="s">
        <v>64</v>
      </c>
      <c r="L1235" s="2" t="s">
        <v>10454</v>
      </c>
      <c r="M1235" s="2" t="s">
        <v>11491</v>
      </c>
      <c r="N1235" s="3" t="s">
        <v>154</v>
      </c>
      <c r="P1235" s="3" t="s">
        <v>66</v>
      </c>
      <c r="Q1235" s="2" t="s">
        <v>11492</v>
      </c>
      <c r="R1235" s="3" t="s">
        <v>67</v>
      </c>
      <c r="S1235" s="4">
        <v>58</v>
      </c>
      <c r="T1235" s="4">
        <v>58</v>
      </c>
      <c r="U1235" s="5" t="s">
        <v>5434</v>
      </c>
      <c r="V1235" s="5" t="s">
        <v>5434</v>
      </c>
      <c r="W1235" s="5" t="s">
        <v>69</v>
      </c>
      <c r="X1235" s="5" t="s">
        <v>69</v>
      </c>
      <c r="Y1235" s="4">
        <v>1098</v>
      </c>
      <c r="Z1235" s="4">
        <v>22</v>
      </c>
      <c r="AA1235" s="4">
        <v>22</v>
      </c>
      <c r="AB1235" s="4">
        <v>1</v>
      </c>
      <c r="AC1235" s="4">
        <v>1</v>
      </c>
      <c r="AD1235" s="4">
        <v>81</v>
      </c>
      <c r="AE1235" s="4">
        <v>82</v>
      </c>
      <c r="AF1235" s="4">
        <v>0</v>
      </c>
      <c r="AG1235" s="4">
        <v>0</v>
      </c>
      <c r="AH1235" s="4">
        <v>73</v>
      </c>
      <c r="AI1235" s="4">
        <v>74</v>
      </c>
      <c r="AJ1235" s="4">
        <v>7</v>
      </c>
      <c r="AK1235" s="4">
        <v>7</v>
      </c>
      <c r="AL1235" s="4">
        <v>46</v>
      </c>
      <c r="AM1235" s="4">
        <v>47</v>
      </c>
      <c r="AN1235" s="4">
        <v>0</v>
      </c>
      <c r="AO1235" s="4">
        <v>0</v>
      </c>
      <c r="AP1235" s="4">
        <v>11</v>
      </c>
      <c r="AQ1235" s="4">
        <v>11</v>
      </c>
      <c r="AR1235" s="3" t="s">
        <v>63</v>
      </c>
      <c r="AS1235" s="3" t="s">
        <v>63</v>
      </c>
      <c r="AT1235" s="3" t="s">
        <v>63</v>
      </c>
      <c r="AV1235" s="6" t="str">
        <f>HYPERLINK("http://mcgill.on.worldcat.org/oclc/319732","Catalog Record")</f>
        <v>Catalog Record</v>
      </c>
      <c r="AW1235" s="6" t="str">
        <f>HYPERLINK("http://www.worldcat.org/oclc/319732","WorldCat Record")</f>
        <v>WorldCat Record</v>
      </c>
      <c r="AX1235" s="3" t="s">
        <v>11493</v>
      </c>
      <c r="AY1235" s="3" t="s">
        <v>11494</v>
      </c>
      <c r="AZ1235" s="3" t="s">
        <v>11495</v>
      </c>
      <c r="BA1235" s="3" t="s">
        <v>11495</v>
      </c>
      <c r="BB1235" s="3" t="s">
        <v>11496</v>
      </c>
      <c r="BC1235" s="3" t="s">
        <v>82</v>
      </c>
      <c r="BD1235" s="3" t="s">
        <v>70</v>
      </c>
      <c r="BE1235" s="3" t="s">
        <v>11497</v>
      </c>
      <c r="BF1235" s="3" t="s">
        <v>11496</v>
      </c>
      <c r="BG1235" s="3" t="s">
        <v>11498</v>
      </c>
    </row>
    <row r="1236" spans="1:59" ht="75" x14ac:dyDescent="0.25">
      <c r="A1236" s="2" t="s">
        <v>59</v>
      </c>
      <c r="B1236" s="2" t="s">
        <v>60</v>
      </c>
      <c r="C1236" s="2" t="s">
        <v>11444</v>
      </c>
      <c r="D1236" s="2" t="s">
        <v>11445</v>
      </c>
      <c r="E1236" s="2" t="s">
        <v>11446</v>
      </c>
      <c r="G1236" s="3" t="s">
        <v>63</v>
      </c>
      <c r="I1236" s="3" t="s">
        <v>62</v>
      </c>
      <c r="J1236" s="3" t="s">
        <v>63</v>
      </c>
      <c r="K1236" s="3" t="s">
        <v>64</v>
      </c>
      <c r="L1236" s="2" t="s">
        <v>10454</v>
      </c>
      <c r="M1236" s="2" t="s">
        <v>11447</v>
      </c>
      <c r="N1236" s="3" t="s">
        <v>2144</v>
      </c>
      <c r="P1236" s="3" t="s">
        <v>66</v>
      </c>
      <c r="Q1236" s="2" t="s">
        <v>1036</v>
      </c>
      <c r="R1236" s="3" t="s">
        <v>67</v>
      </c>
      <c r="S1236" s="4">
        <v>52</v>
      </c>
      <c r="T1236" s="4">
        <v>89</v>
      </c>
      <c r="U1236" s="5" t="s">
        <v>8586</v>
      </c>
      <c r="V1236" s="5" t="s">
        <v>8586</v>
      </c>
      <c r="W1236" s="5" t="s">
        <v>69</v>
      </c>
      <c r="X1236" s="5" t="s">
        <v>69</v>
      </c>
      <c r="Y1236" s="4">
        <v>426</v>
      </c>
      <c r="Z1236" s="4">
        <v>21</v>
      </c>
      <c r="AA1236" s="4">
        <v>39</v>
      </c>
      <c r="AB1236" s="4">
        <v>1</v>
      </c>
      <c r="AC1236" s="4">
        <v>2</v>
      </c>
      <c r="AD1236" s="4">
        <v>45</v>
      </c>
      <c r="AE1236" s="4">
        <v>65</v>
      </c>
      <c r="AF1236" s="4">
        <v>0</v>
      </c>
      <c r="AG1236" s="4">
        <v>1</v>
      </c>
      <c r="AH1236" s="4">
        <v>34</v>
      </c>
      <c r="AI1236" s="4">
        <v>50</v>
      </c>
      <c r="AJ1236" s="4">
        <v>7</v>
      </c>
      <c r="AK1236" s="4">
        <v>10</v>
      </c>
      <c r="AL1236" s="4">
        <v>24</v>
      </c>
      <c r="AM1236" s="4">
        <v>33</v>
      </c>
      <c r="AN1236" s="4">
        <v>0</v>
      </c>
      <c r="AO1236" s="4">
        <v>0</v>
      </c>
      <c r="AP1236" s="4">
        <v>12</v>
      </c>
      <c r="AQ1236" s="4">
        <v>18</v>
      </c>
      <c r="AR1236" s="3" t="s">
        <v>63</v>
      </c>
      <c r="AS1236" s="3" t="s">
        <v>63</v>
      </c>
      <c r="AT1236" s="3" t="s">
        <v>62</v>
      </c>
      <c r="AU1236" s="6" t="str">
        <f>HYPERLINK("http://catalog.hathitrust.org/Record/003569660","HathiTrust Record")</f>
        <v>HathiTrust Record</v>
      </c>
      <c r="AV1236" s="6" t="str">
        <f>HYPERLINK("http://mcgill.on.worldcat.org/oclc/502924","Catalog Record")</f>
        <v>Catalog Record</v>
      </c>
      <c r="AW1236" s="6" t="str">
        <f>HYPERLINK("http://www.worldcat.org/oclc/502924","WorldCat Record")</f>
        <v>WorldCat Record</v>
      </c>
      <c r="AX1236" s="3" t="s">
        <v>11448</v>
      </c>
      <c r="AY1236" s="3" t="s">
        <v>11449</v>
      </c>
      <c r="AZ1236" s="3" t="s">
        <v>11450</v>
      </c>
      <c r="BA1236" s="3" t="s">
        <v>11450</v>
      </c>
      <c r="BB1236" s="3" t="s">
        <v>11451</v>
      </c>
      <c r="BC1236" s="3" t="s">
        <v>82</v>
      </c>
      <c r="BD1236" s="3" t="s">
        <v>70</v>
      </c>
      <c r="BE1236" s="3" t="s">
        <v>11452</v>
      </c>
      <c r="BF1236" s="3" t="s">
        <v>11451</v>
      </c>
      <c r="BG1236" s="3" t="s">
        <v>11453</v>
      </c>
    </row>
    <row r="1237" spans="1:59" ht="75" x14ac:dyDescent="0.25">
      <c r="A1237" s="2" t="s">
        <v>59</v>
      </c>
      <c r="B1237" s="2" t="s">
        <v>60</v>
      </c>
      <c r="C1237" s="2" t="s">
        <v>11444</v>
      </c>
      <c r="D1237" s="2" t="s">
        <v>11445</v>
      </c>
      <c r="E1237" s="2" t="s">
        <v>11446</v>
      </c>
      <c r="G1237" s="3" t="s">
        <v>63</v>
      </c>
      <c r="I1237" s="3" t="s">
        <v>62</v>
      </c>
      <c r="J1237" s="3" t="s">
        <v>63</v>
      </c>
      <c r="K1237" s="3" t="s">
        <v>64</v>
      </c>
      <c r="L1237" s="2" t="s">
        <v>10454</v>
      </c>
      <c r="M1237" s="2" t="s">
        <v>11447</v>
      </c>
      <c r="N1237" s="3" t="s">
        <v>2144</v>
      </c>
      <c r="P1237" s="3" t="s">
        <v>66</v>
      </c>
      <c r="Q1237" s="2" t="s">
        <v>1036</v>
      </c>
      <c r="R1237" s="3" t="s">
        <v>67</v>
      </c>
      <c r="S1237" s="4">
        <v>37</v>
      </c>
      <c r="T1237" s="4">
        <v>89</v>
      </c>
      <c r="U1237" s="5" t="s">
        <v>11454</v>
      </c>
      <c r="V1237" s="5" t="s">
        <v>8586</v>
      </c>
      <c r="W1237" s="5" t="s">
        <v>69</v>
      </c>
      <c r="X1237" s="5" t="s">
        <v>69</v>
      </c>
      <c r="Y1237" s="4">
        <v>426</v>
      </c>
      <c r="Z1237" s="4">
        <v>21</v>
      </c>
      <c r="AA1237" s="4">
        <v>39</v>
      </c>
      <c r="AB1237" s="4">
        <v>1</v>
      </c>
      <c r="AC1237" s="4">
        <v>2</v>
      </c>
      <c r="AD1237" s="4">
        <v>45</v>
      </c>
      <c r="AE1237" s="4">
        <v>65</v>
      </c>
      <c r="AF1237" s="4">
        <v>0</v>
      </c>
      <c r="AG1237" s="4">
        <v>1</v>
      </c>
      <c r="AH1237" s="4">
        <v>34</v>
      </c>
      <c r="AI1237" s="4">
        <v>50</v>
      </c>
      <c r="AJ1237" s="4">
        <v>7</v>
      </c>
      <c r="AK1237" s="4">
        <v>10</v>
      </c>
      <c r="AL1237" s="4">
        <v>24</v>
      </c>
      <c r="AM1237" s="4">
        <v>33</v>
      </c>
      <c r="AN1237" s="4">
        <v>0</v>
      </c>
      <c r="AO1237" s="4">
        <v>0</v>
      </c>
      <c r="AP1237" s="4">
        <v>12</v>
      </c>
      <c r="AQ1237" s="4">
        <v>18</v>
      </c>
      <c r="AR1237" s="3" t="s">
        <v>63</v>
      </c>
      <c r="AS1237" s="3" t="s">
        <v>63</v>
      </c>
      <c r="AT1237" s="3" t="s">
        <v>62</v>
      </c>
      <c r="AU1237" s="6" t="str">
        <f>HYPERLINK("http://catalog.hathitrust.org/Record/003569660","HathiTrust Record")</f>
        <v>HathiTrust Record</v>
      </c>
      <c r="AV1237" s="6" t="str">
        <f>HYPERLINK("http://mcgill.on.worldcat.org/oclc/502924","Catalog Record")</f>
        <v>Catalog Record</v>
      </c>
      <c r="AW1237" s="6" t="str">
        <f>HYPERLINK("http://www.worldcat.org/oclc/502924","WorldCat Record")</f>
        <v>WorldCat Record</v>
      </c>
      <c r="AX1237" s="3" t="s">
        <v>11448</v>
      </c>
      <c r="AY1237" s="3" t="s">
        <v>11449</v>
      </c>
      <c r="AZ1237" s="3" t="s">
        <v>11450</v>
      </c>
      <c r="BA1237" s="3" t="s">
        <v>11450</v>
      </c>
      <c r="BB1237" s="3" t="s">
        <v>11455</v>
      </c>
      <c r="BC1237" s="3" t="s">
        <v>82</v>
      </c>
      <c r="BD1237" s="3" t="s">
        <v>70</v>
      </c>
      <c r="BE1237" s="3" t="s">
        <v>11452</v>
      </c>
      <c r="BF1237" s="3" t="s">
        <v>11455</v>
      </c>
      <c r="BG1237" s="3" t="s">
        <v>11456</v>
      </c>
    </row>
    <row r="1238" spans="1:59" ht="75" x14ac:dyDescent="0.25">
      <c r="A1238" s="2" t="s">
        <v>59</v>
      </c>
      <c r="B1238" s="2" t="s">
        <v>60</v>
      </c>
      <c r="C1238" s="2" t="s">
        <v>11457</v>
      </c>
      <c r="D1238" s="2" t="s">
        <v>11458</v>
      </c>
      <c r="E1238" s="2" t="s">
        <v>11459</v>
      </c>
      <c r="G1238" s="3" t="s">
        <v>63</v>
      </c>
      <c r="I1238" s="3" t="s">
        <v>63</v>
      </c>
      <c r="J1238" s="3" t="s">
        <v>63</v>
      </c>
      <c r="K1238" s="3" t="s">
        <v>64</v>
      </c>
      <c r="L1238" s="2" t="s">
        <v>10454</v>
      </c>
      <c r="M1238" s="2" t="s">
        <v>11460</v>
      </c>
      <c r="N1238" s="3" t="s">
        <v>161</v>
      </c>
      <c r="P1238" s="3" t="s">
        <v>66</v>
      </c>
      <c r="Q1238" s="2" t="s">
        <v>9341</v>
      </c>
      <c r="R1238" s="3" t="s">
        <v>67</v>
      </c>
      <c r="S1238" s="4">
        <v>55</v>
      </c>
      <c r="T1238" s="4">
        <v>55</v>
      </c>
      <c r="U1238" s="5" t="s">
        <v>4564</v>
      </c>
      <c r="V1238" s="5" t="s">
        <v>4564</v>
      </c>
      <c r="W1238" s="5" t="s">
        <v>69</v>
      </c>
      <c r="X1238" s="5" t="s">
        <v>69</v>
      </c>
      <c r="Y1238" s="4">
        <v>197</v>
      </c>
      <c r="Z1238" s="4">
        <v>9</v>
      </c>
      <c r="AA1238" s="4">
        <v>9</v>
      </c>
      <c r="AB1238" s="4">
        <v>1</v>
      </c>
      <c r="AC1238" s="4">
        <v>1</v>
      </c>
      <c r="AD1238" s="4">
        <v>44</v>
      </c>
      <c r="AE1238" s="4">
        <v>44</v>
      </c>
      <c r="AF1238" s="4">
        <v>0</v>
      </c>
      <c r="AG1238" s="4">
        <v>0</v>
      </c>
      <c r="AH1238" s="4">
        <v>40</v>
      </c>
      <c r="AI1238" s="4">
        <v>40</v>
      </c>
      <c r="AJ1238" s="4">
        <v>6</v>
      </c>
      <c r="AK1238" s="4">
        <v>6</v>
      </c>
      <c r="AL1238" s="4">
        <v>27</v>
      </c>
      <c r="AM1238" s="4">
        <v>27</v>
      </c>
      <c r="AN1238" s="4">
        <v>0</v>
      </c>
      <c r="AO1238" s="4">
        <v>0</v>
      </c>
      <c r="AP1238" s="4">
        <v>6</v>
      </c>
      <c r="AQ1238" s="4">
        <v>6</v>
      </c>
      <c r="AR1238" s="3" t="s">
        <v>63</v>
      </c>
      <c r="AS1238" s="3" t="s">
        <v>63</v>
      </c>
      <c r="AT1238" s="3" t="s">
        <v>62</v>
      </c>
      <c r="AU1238" s="6" t="str">
        <f>HYPERLINK("http://catalog.hathitrust.org/Record/001823286","HathiTrust Record")</f>
        <v>HathiTrust Record</v>
      </c>
      <c r="AV1238" s="6" t="str">
        <f>HYPERLINK("http://mcgill.on.worldcat.org/oclc/21227681","Catalog Record")</f>
        <v>Catalog Record</v>
      </c>
      <c r="AW1238" s="6" t="str">
        <f>HYPERLINK("http://www.worldcat.org/oclc/21227681","WorldCat Record")</f>
        <v>WorldCat Record</v>
      </c>
      <c r="AX1238" s="3" t="s">
        <v>11461</v>
      </c>
      <c r="AY1238" s="3" t="s">
        <v>11462</v>
      </c>
      <c r="AZ1238" s="3" t="s">
        <v>11463</v>
      </c>
      <c r="BA1238" s="3" t="s">
        <v>11463</v>
      </c>
      <c r="BB1238" s="3" t="s">
        <v>11464</v>
      </c>
      <c r="BC1238" s="3" t="s">
        <v>82</v>
      </c>
      <c r="BD1238" s="3" t="s">
        <v>538</v>
      </c>
      <c r="BE1238" s="3" t="s">
        <v>11465</v>
      </c>
      <c r="BF1238" s="3" t="s">
        <v>11464</v>
      </c>
      <c r="BG1238" s="3" t="s">
        <v>11466</v>
      </c>
    </row>
    <row r="1239" spans="1:59" ht="60" x14ac:dyDescent="0.25">
      <c r="A1239" s="2" t="s">
        <v>59</v>
      </c>
      <c r="B1239" s="2" t="s">
        <v>60</v>
      </c>
      <c r="C1239" s="2" t="s">
        <v>11499</v>
      </c>
      <c r="D1239" s="2" t="s">
        <v>11500</v>
      </c>
      <c r="E1239" s="2" t="s">
        <v>11501</v>
      </c>
      <c r="G1239" s="3" t="s">
        <v>63</v>
      </c>
      <c r="I1239" s="3" t="s">
        <v>63</v>
      </c>
      <c r="J1239" s="3" t="s">
        <v>62</v>
      </c>
      <c r="K1239" s="3" t="s">
        <v>64</v>
      </c>
      <c r="L1239" s="2" t="s">
        <v>10454</v>
      </c>
      <c r="M1239" s="2" t="s">
        <v>11502</v>
      </c>
      <c r="N1239" s="3" t="s">
        <v>849</v>
      </c>
      <c r="P1239" s="3" t="s">
        <v>66</v>
      </c>
      <c r="R1239" s="3" t="s">
        <v>67</v>
      </c>
      <c r="S1239" s="4">
        <v>37</v>
      </c>
      <c r="T1239" s="4">
        <v>37</v>
      </c>
      <c r="U1239" s="5" t="s">
        <v>11503</v>
      </c>
      <c r="V1239" s="5" t="s">
        <v>11503</v>
      </c>
      <c r="W1239" s="5" t="s">
        <v>69</v>
      </c>
      <c r="X1239" s="5" t="s">
        <v>69</v>
      </c>
      <c r="Y1239" s="4">
        <v>64</v>
      </c>
      <c r="Z1239" s="4">
        <v>2</v>
      </c>
      <c r="AA1239" s="4">
        <v>51</v>
      </c>
      <c r="AB1239" s="4">
        <v>1</v>
      </c>
      <c r="AC1239" s="4">
        <v>5</v>
      </c>
      <c r="AD1239" s="4">
        <v>10</v>
      </c>
      <c r="AE1239" s="4">
        <v>141</v>
      </c>
      <c r="AF1239" s="4">
        <v>0</v>
      </c>
      <c r="AG1239" s="4">
        <v>4</v>
      </c>
      <c r="AH1239" s="4">
        <v>9</v>
      </c>
      <c r="AI1239" s="4">
        <v>114</v>
      </c>
      <c r="AJ1239" s="4">
        <v>0</v>
      </c>
      <c r="AK1239" s="4">
        <v>25</v>
      </c>
      <c r="AL1239" s="4">
        <v>7</v>
      </c>
      <c r="AM1239" s="4">
        <v>60</v>
      </c>
      <c r="AN1239" s="4">
        <v>0</v>
      </c>
      <c r="AO1239" s="4">
        <v>5</v>
      </c>
      <c r="AP1239" s="4">
        <v>0</v>
      </c>
      <c r="AQ1239" s="4">
        <v>33</v>
      </c>
      <c r="AR1239" s="3" t="s">
        <v>63</v>
      </c>
      <c r="AS1239" s="3" t="s">
        <v>63</v>
      </c>
      <c r="AT1239" s="3" t="s">
        <v>63</v>
      </c>
      <c r="AV1239" s="6" t="str">
        <f>HYPERLINK("http://mcgill.on.worldcat.org/oclc/4569851","Catalog Record")</f>
        <v>Catalog Record</v>
      </c>
      <c r="AW1239" s="6" t="str">
        <f>HYPERLINK("http://www.worldcat.org/oclc/4569851","WorldCat Record")</f>
        <v>WorldCat Record</v>
      </c>
      <c r="AX1239" s="3" t="s">
        <v>10756</v>
      </c>
      <c r="AY1239" s="3" t="s">
        <v>11504</v>
      </c>
      <c r="AZ1239" s="3" t="s">
        <v>11505</v>
      </c>
      <c r="BA1239" s="3" t="s">
        <v>11505</v>
      </c>
      <c r="BB1239" s="3" t="s">
        <v>11506</v>
      </c>
      <c r="BC1239" s="3" t="s">
        <v>82</v>
      </c>
      <c r="BD1239" s="3" t="s">
        <v>70</v>
      </c>
      <c r="BE1239" s="3" t="s">
        <v>11507</v>
      </c>
      <c r="BF1239" s="3" t="s">
        <v>11506</v>
      </c>
      <c r="BG1239" s="3" t="s">
        <v>11508</v>
      </c>
    </row>
    <row r="1240" spans="1:59" ht="60" x14ac:dyDescent="0.25">
      <c r="A1240" s="2" t="s">
        <v>59</v>
      </c>
      <c r="B1240" s="2" t="s">
        <v>60</v>
      </c>
      <c r="C1240" s="2" t="s">
        <v>11509</v>
      </c>
      <c r="D1240" s="2" t="s">
        <v>11510</v>
      </c>
      <c r="E1240" s="2" t="s">
        <v>11511</v>
      </c>
      <c r="G1240" s="3" t="s">
        <v>63</v>
      </c>
      <c r="I1240" s="3" t="s">
        <v>63</v>
      </c>
      <c r="J1240" s="3" t="s">
        <v>63</v>
      </c>
      <c r="K1240" s="3" t="s">
        <v>64</v>
      </c>
      <c r="L1240" s="2" t="s">
        <v>10454</v>
      </c>
      <c r="M1240" s="2" t="s">
        <v>11512</v>
      </c>
      <c r="N1240" s="3" t="s">
        <v>1113</v>
      </c>
      <c r="P1240" s="3" t="s">
        <v>66</v>
      </c>
      <c r="R1240" s="3" t="s">
        <v>67</v>
      </c>
      <c r="S1240" s="4">
        <v>40</v>
      </c>
      <c r="T1240" s="4">
        <v>40</v>
      </c>
      <c r="U1240" s="5" t="s">
        <v>68</v>
      </c>
      <c r="V1240" s="5" t="s">
        <v>68</v>
      </c>
      <c r="W1240" s="5" t="s">
        <v>69</v>
      </c>
      <c r="X1240" s="5" t="s">
        <v>69</v>
      </c>
      <c r="Y1240" s="4">
        <v>399</v>
      </c>
      <c r="Z1240" s="4">
        <v>11</v>
      </c>
      <c r="AA1240" s="4">
        <v>27</v>
      </c>
      <c r="AB1240" s="4">
        <v>1</v>
      </c>
      <c r="AC1240" s="4">
        <v>3</v>
      </c>
      <c r="AD1240" s="4">
        <v>52</v>
      </c>
      <c r="AE1240" s="4">
        <v>94</v>
      </c>
      <c r="AF1240" s="4">
        <v>0</v>
      </c>
      <c r="AG1240" s="4">
        <v>0</v>
      </c>
      <c r="AH1240" s="4">
        <v>51</v>
      </c>
      <c r="AI1240" s="4">
        <v>90</v>
      </c>
      <c r="AJ1240" s="4">
        <v>2</v>
      </c>
      <c r="AK1240" s="4">
        <v>8</v>
      </c>
      <c r="AL1240" s="4">
        <v>28</v>
      </c>
      <c r="AM1240" s="4">
        <v>47</v>
      </c>
      <c r="AN1240" s="4">
        <v>0</v>
      </c>
      <c r="AO1240" s="4">
        <v>0</v>
      </c>
      <c r="AP1240" s="4">
        <v>2</v>
      </c>
      <c r="AQ1240" s="4">
        <v>10</v>
      </c>
      <c r="AR1240" s="3" t="s">
        <v>63</v>
      </c>
      <c r="AS1240" s="3" t="s">
        <v>63</v>
      </c>
      <c r="AT1240" s="3" t="s">
        <v>62</v>
      </c>
      <c r="AU1240" s="6" t="str">
        <f>HYPERLINK("http://catalog.hathitrust.org/Record/007134319","HathiTrust Record")</f>
        <v>HathiTrust Record</v>
      </c>
      <c r="AV1240" s="6" t="str">
        <f>HYPERLINK("http://mcgill.on.worldcat.org/oclc/36430594","Catalog Record")</f>
        <v>Catalog Record</v>
      </c>
      <c r="AW1240" s="6" t="str">
        <f>HYPERLINK("http://www.worldcat.org/oclc/36430594","WorldCat Record")</f>
        <v>WorldCat Record</v>
      </c>
      <c r="AX1240" s="3" t="s">
        <v>11513</v>
      </c>
      <c r="AY1240" s="3" t="s">
        <v>11514</v>
      </c>
      <c r="AZ1240" s="3" t="s">
        <v>11515</v>
      </c>
      <c r="BA1240" s="3" t="s">
        <v>11515</v>
      </c>
      <c r="BB1240" s="3" t="s">
        <v>11516</v>
      </c>
      <c r="BC1240" s="3" t="s">
        <v>82</v>
      </c>
      <c r="BD1240" s="3" t="s">
        <v>70</v>
      </c>
      <c r="BE1240" s="3" t="s">
        <v>11517</v>
      </c>
      <c r="BF1240" s="3" t="s">
        <v>11516</v>
      </c>
      <c r="BG1240" s="3" t="s">
        <v>11518</v>
      </c>
    </row>
    <row r="1241" spans="1:59" ht="60" x14ac:dyDescent="0.25">
      <c r="A1241" s="2" t="s">
        <v>59</v>
      </c>
      <c r="B1241" s="2" t="s">
        <v>60</v>
      </c>
      <c r="C1241" s="2" t="s">
        <v>11519</v>
      </c>
      <c r="D1241" s="2" t="s">
        <v>11520</v>
      </c>
      <c r="E1241" s="2" t="s">
        <v>11521</v>
      </c>
      <c r="G1241" s="3" t="s">
        <v>63</v>
      </c>
      <c r="I1241" s="3" t="s">
        <v>63</v>
      </c>
      <c r="J1241" s="3" t="s">
        <v>63</v>
      </c>
      <c r="K1241" s="3" t="s">
        <v>64</v>
      </c>
      <c r="L1241" s="2" t="s">
        <v>10454</v>
      </c>
      <c r="M1241" s="2" t="s">
        <v>11522</v>
      </c>
      <c r="N1241" s="3" t="s">
        <v>362</v>
      </c>
      <c r="O1241" s="2" t="s">
        <v>11523</v>
      </c>
      <c r="P1241" s="3" t="s">
        <v>66</v>
      </c>
      <c r="Q1241" s="2" t="s">
        <v>11524</v>
      </c>
      <c r="R1241" s="3" t="s">
        <v>67</v>
      </c>
      <c r="S1241" s="4">
        <v>14</v>
      </c>
      <c r="T1241" s="4">
        <v>14</v>
      </c>
      <c r="U1241" s="5" t="s">
        <v>9925</v>
      </c>
      <c r="V1241" s="5" t="s">
        <v>9925</v>
      </c>
      <c r="W1241" s="5" t="s">
        <v>69</v>
      </c>
      <c r="X1241" s="5" t="s">
        <v>69</v>
      </c>
      <c r="Y1241" s="4">
        <v>426</v>
      </c>
      <c r="Z1241" s="4">
        <v>13</v>
      </c>
      <c r="AA1241" s="4">
        <v>18</v>
      </c>
      <c r="AB1241" s="4">
        <v>1</v>
      </c>
      <c r="AC1241" s="4">
        <v>3</v>
      </c>
      <c r="AD1241" s="4">
        <v>48</v>
      </c>
      <c r="AE1241" s="4">
        <v>48</v>
      </c>
      <c r="AF1241" s="4">
        <v>0</v>
      </c>
      <c r="AG1241" s="4">
        <v>0</v>
      </c>
      <c r="AH1241" s="4">
        <v>46</v>
      </c>
      <c r="AI1241" s="4">
        <v>46</v>
      </c>
      <c r="AJ1241" s="4">
        <v>1</v>
      </c>
      <c r="AK1241" s="4">
        <v>1</v>
      </c>
      <c r="AL1241" s="4">
        <v>28</v>
      </c>
      <c r="AM1241" s="4">
        <v>28</v>
      </c>
      <c r="AN1241" s="4">
        <v>0</v>
      </c>
      <c r="AO1241" s="4">
        <v>0</v>
      </c>
      <c r="AP1241" s="4">
        <v>1</v>
      </c>
      <c r="AQ1241" s="4">
        <v>1</v>
      </c>
      <c r="AR1241" s="3" t="s">
        <v>63</v>
      </c>
      <c r="AS1241" s="3" t="s">
        <v>63</v>
      </c>
      <c r="AT1241" s="3" t="s">
        <v>63</v>
      </c>
      <c r="AV1241" s="6" t="str">
        <f>HYPERLINK("http://mcgill.on.worldcat.org/oclc/45064650","Catalog Record")</f>
        <v>Catalog Record</v>
      </c>
      <c r="AW1241" s="6" t="str">
        <f>HYPERLINK("http://www.worldcat.org/oclc/45064650","WorldCat Record")</f>
        <v>WorldCat Record</v>
      </c>
      <c r="AX1241" s="3" t="s">
        <v>11525</v>
      </c>
      <c r="AY1241" s="3" t="s">
        <v>11526</v>
      </c>
      <c r="AZ1241" s="3" t="s">
        <v>11527</v>
      </c>
      <c r="BA1241" s="3" t="s">
        <v>11527</v>
      </c>
      <c r="BB1241" s="3" t="s">
        <v>11528</v>
      </c>
      <c r="BC1241" s="3" t="s">
        <v>82</v>
      </c>
      <c r="BD1241" s="3" t="s">
        <v>70</v>
      </c>
      <c r="BE1241" s="3" t="s">
        <v>11529</v>
      </c>
      <c r="BF1241" s="3" t="s">
        <v>11528</v>
      </c>
      <c r="BG1241" s="3" t="s">
        <v>11530</v>
      </c>
    </row>
    <row r="1242" spans="1:59" ht="60" x14ac:dyDescent="0.25">
      <c r="A1242" s="2" t="s">
        <v>59</v>
      </c>
      <c r="B1242" s="2" t="s">
        <v>60</v>
      </c>
      <c r="C1242" s="2" t="s">
        <v>11531</v>
      </c>
      <c r="D1242" s="2" t="s">
        <v>11532</v>
      </c>
      <c r="E1242" s="2" t="s">
        <v>11533</v>
      </c>
      <c r="G1242" s="3" t="s">
        <v>63</v>
      </c>
      <c r="I1242" s="3" t="s">
        <v>63</v>
      </c>
      <c r="J1242" s="3" t="s">
        <v>62</v>
      </c>
      <c r="K1242" s="3" t="s">
        <v>64</v>
      </c>
      <c r="L1242" s="2" t="s">
        <v>10454</v>
      </c>
      <c r="M1242" s="2" t="s">
        <v>11534</v>
      </c>
      <c r="N1242" s="3" t="s">
        <v>313</v>
      </c>
      <c r="P1242" s="3" t="s">
        <v>66</v>
      </c>
      <c r="Q1242" s="2" t="s">
        <v>9341</v>
      </c>
      <c r="R1242" s="3" t="s">
        <v>67</v>
      </c>
      <c r="S1242" s="4">
        <v>11</v>
      </c>
      <c r="T1242" s="4">
        <v>11</v>
      </c>
      <c r="U1242" s="5" t="s">
        <v>11535</v>
      </c>
      <c r="V1242" s="5" t="s">
        <v>11535</v>
      </c>
      <c r="W1242" s="5" t="s">
        <v>69</v>
      </c>
      <c r="X1242" s="5" t="s">
        <v>69</v>
      </c>
      <c r="Y1242" s="4">
        <v>205</v>
      </c>
      <c r="Z1242" s="4">
        <v>14</v>
      </c>
      <c r="AA1242" s="4">
        <v>138</v>
      </c>
      <c r="AB1242" s="4">
        <v>1</v>
      </c>
      <c r="AC1242" s="4">
        <v>21</v>
      </c>
      <c r="AD1242" s="4">
        <v>47</v>
      </c>
      <c r="AE1242" s="4">
        <v>160</v>
      </c>
      <c r="AF1242" s="4">
        <v>0</v>
      </c>
      <c r="AG1242" s="4">
        <v>8</v>
      </c>
      <c r="AH1242" s="4">
        <v>45</v>
      </c>
      <c r="AI1242" s="4">
        <v>114</v>
      </c>
      <c r="AJ1242" s="4">
        <v>8</v>
      </c>
      <c r="AK1242" s="4">
        <v>27</v>
      </c>
      <c r="AL1242" s="4">
        <v>31</v>
      </c>
      <c r="AM1242" s="4">
        <v>63</v>
      </c>
      <c r="AN1242" s="4">
        <v>0</v>
      </c>
      <c r="AO1242" s="4">
        <v>3</v>
      </c>
      <c r="AP1242" s="4">
        <v>8</v>
      </c>
      <c r="AQ1242" s="4">
        <v>51</v>
      </c>
      <c r="AR1242" s="3" t="s">
        <v>63</v>
      </c>
      <c r="AS1242" s="3" t="s">
        <v>63</v>
      </c>
      <c r="AT1242" s="3" t="s">
        <v>63</v>
      </c>
      <c r="AV1242" s="6" t="str">
        <f>HYPERLINK("http://mcgill.on.worldcat.org/oclc/540108945","Catalog Record")</f>
        <v>Catalog Record</v>
      </c>
      <c r="AW1242" s="6" t="str">
        <f>HYPERLINK("http://www.worldcat.org/oclc/540108945","WorldCat Record")</f>
        <v>WorldCat Record</v>
      </c>
      <c r="AX1242" s="3" t="s">
        <v>11536</v>
      </c>
      <c r="AY1242" s="3" t="s">
        <v>11537</v>
      </c>
      <c r="AZ1242" s="3" t="s">
        <v>11538</v>
      </c>
      <c r="BA1242" s="3" t="s">
        <v>11538</v>
      </c>
      <c r="BB1242" s="3" t="s">
        <v>11539</v>
      </c>
      <c r="BC1242" s="3" t="s">
        <v>82</v>
      </c>
      <c r="BD1242" s="3" t="s">
        <v>70</v>
      </c>
      <c r="BE1242" s="3" t="s">
        <v>11540</v>
      </c>
      <c r="BF1242" s="3" t="s">
        <v>11539</v>
      </c>
      <c r="BG1242" s="3" t="s">
        <v>11541</v>
      </c>
    </row>
    <row r="1243" spans="1:59" ht="60" x14ac:dyDescent="0.25">
      <c r="A1243" s="2" t="s">
        <v>59</v>
      </c>
      <c r="B1243" s="2" t="s">
        <v>60</v>
      </c>
      <c r="C1243" s="2" t="s">
        <v>11542</v>
      </c>
      <c r="D1243" s="2" t="s">
        <v>11543</v>
      </c>
      <c r="E1243" s="2" t="s">
        <v>11544</v>
      </c>
      <c r="G1243" s="3" t="s">
        <v>63</v>
      </c>
      <c r="I1243" s="3" t="s">
        <v>63</v>
      </c>
      <c r="J1243" s="3" t="s">
        <v>63</v>
      </c>
      <c r="K1243" s="3" t="s">
        <v>64</v>
      </c>
      <c r="L1243" s="2" t="s">
        <v>10454</v>
      </c>
      <c r="M1243" s="2" t="s">
        <v>11545</v>
      </c>
      <c r="N1243" s="3" t="s">
        <v>9447</v>
      </c>
      <c r="P1243" s="3" t="s">
        <v>66</v>
      </c>
      <c r="Q1243" s="2" t="s">
        <v>11546</v>
      </c>
      <c r="R1243" s="3" t="s">
        <v>67</v>
      </c>
      <c r="S1243" s="4">
        <v>64</v>
      </c>
      <c r="T1243" s="4">
        <v>64</v>
      </c>
      <c r="U1243" s="5" t="s">
        <v>11547</v>
      </c>
      <c r="V1243" s="5" t="s">
        <v>11547</v>
      </c>
      <c r="W1243" s="5" t="s">
        <v>69</v>
      </c>
      <c r="X1243" s="5" t="s">
        <v>69</v>
      </c>
      <c r="Y1243" s="4">
        <v>657</v>
      </c>
      <c r="Z1243" s="4">
        <v>18</v>
      </c>
      <c r="AA1243" s="4">
        <v>19</v>
      </c>
      <c r="AB1243" s="4">
        <v>2</v>
      </c>
      <c r="AC1243" s="4">
        <v>2</v>
      </c>
      <c r="AD1243" s="4">
        <v>83</v>
      </c>
      <c r="AE1243" s="4">
        <v>87</v>
      </c>
      <c r="AF1243" s="4">
        <v>1</v>
      </c>
      <c r="AG1243" s="4">
        <v>1</v>
      </c>
      <c r="AH1243" s="4">
        <v>71</v>
      </c>
      <c r="AI1243" s="4">
        <v>74</v>
      </c>
      <c r="AJ1243" s="4">
        <v>8</v>
      </c>
      <c r="AK1243" s="4">
        <v>8</v>
      </c>
      <c r="AL1243" s="4">
        <v>42</v>
      </c>
      <c r="AM1243" s="4">
        <v>46</v>
      </c>
      <c r="AN1243" s="4">
        <v>0</v>
      </c>
      <c r="AO1243" s="4">
        <v>0</v>
      </c>
      <c r="AP1243" s="4">
        <v>13</v>
      </c>
      <c r="AQ1243" s="4">
        <v>13</v>
      </c>
      <c r="AR1243" s="3" t="s">
        <v>63</v>
      </c>
      <c r="AS1243" s="3" t="s">
        <v>63</v>
      </c>
      <c r="AT1243" s="3" t="s">
        <v>62</v>
      </c>
      <c r="AU1243" s="6" t="str">
        <f>HYPERLINK("http://catalog.hathitrust.org/Record/001224377","HathiTrust Record")</f>
        <v>HathiTrust Record</v>
      </c>
      <c r="AV1243" s="6" t="str">
        <f>HYPERLINK("http://mcgill.on.worldcat.org/oclc/682369","Catalog Record")</f>
        <v>Catalog Record</v>
      </c>
      <c r="AW1243" s="6" t="str">
        <f>HYPERLINK("http://www.worldcat.org/oclc/682369","WorldCat Record")</f>
        <v>WorldCat Record</v>
      </c>
      <c r="AX1243" s="3" t="s">
        <v>11548</v>
      </c>
      <c r="AY1243" s="3" t="s">
        <v>11549</v>
      </c>
      <c r="AZ1243" s="3" t="s">
        <v>11550</v>
      </c>
      <c r="BA1243" s="3" t="s">
        <v>11550</v>
      </c>
      <c r="BB1243" s="3" t="s">
        <v>11551</v>
      </c>
      <c r="BC1243" s="3" t="s">
        <v>82</v>
      </c>
      <c r="BD1243" s="3" t="s">
        <v>70</v>
      </c>
      <c r="BF1243" s="3" t="s">
        <v>11551</v>
      </c>
      <c r="BG1243" s="3" t="s">
        <v>11552</v>
      </c>
    </row>
    <row r="1244" spans="1:59" ht="60" x14ac:dyDescent="0.25">
      <c r="A1244" s="2" t="s">
        <v>59</v>
      </c>
      <c r="B1244" s="2" t="s">
        <v>60</v>
      </c>
      <c r="C1244" s="2" t="s">
        <v>11553</v>
      </c>
      <c r="D1244" s="2" t="s">
        <v>11554</v>
      </c>
      <c r="E1244" s="2" t="s">
        <v>11555</v>
      </c>
      <c r="G1244" s="3" t="s">
        <v>63</v>
      </c>
      <c r="I1244" s="3" t="s">
        <v>63</v>
      </c>
      <c r="J1244" s="3" t="s">
        <v>63</v>
      </c>
      <c r="K1244" s="3" t="s">
        <v>64</v>
      </c>
      <c r="L1244" s="2" t="s">
        <v>10454</v>
      </c>
      <c r="M1244" s="2" t="s">
        <v>11556</v>
      </c>
      <c r="N1244" s="3" t="s">
        <v>10455</v>
      </c>
      <c r="P1244" s="3" t="s">
        <v>66</v>
      </c>
      <c r="Q1244" s="2" t="s">
        <v>11557</v>
      </c>
      <c r="R1244" s="3" t="s">
        <v>67</v>
      </c>
      <c r="S1244" s="4">
        <v>12</v>
      </c>
      <c r="T1244" s="4">
        <v>12</v>
      </c>
      <c r="U1244" s="5" t="s">
        <v>11558</v>
      </c>
      <c r="V1244" s="5" t="s">
        <v>11558</v>
      </c>
      <c r="W1244" s="5" t="s">
        <v>69</v>
      </c>
      <c r="X1244" s="5" t="s">
        <v>69</v>
      </c>
      <c r="Y1244" s="4">
        <v>4</v>
      </c>
      <c r="Z1244" s="4">
        <v>2</v>
      </c>
      <c r="AA1244" s="4">
        <v>2</v>
      </c>
      <c r="AB1244" s="4">
        <v>1</v>
      </c>
      <c r="AC1244" s="4">
        <v>1</v>
      </c>
      <c r="AD1244" s="4">
        <v>1</v>
      </c>
      <c r="AE1244" s="4">
        <v>1</v>
      </c>
      <c r="AF1244" s="4">
        <v>0</v>
      </c>
      <c r="AG1244" s="4">
        <v>0</v>
      </c>
      <c r="AH1244" s="4">
        <v>1</v>
      </c>
      <c r="AI1244" s="4">
        <v>1</v>
      </c>
      <c r="AJ1244" s="4">
        <v>1</v>
      </c>
      <c r="AK1244" s="4">
        <v>1</v>
      </c>
      <c r="AL1244" s="4">
        <v>0</v>
      </c>
      <c r="AM1244" s="4">
        <v>0</v>
      </c>
      <c r="AN1244" s="4">
        <v>0</v>
      </c>
      <c r="AO1244" s="4">
        <v>0</v>
      </c>
      <c r="AP1244" s="4">
        <v>1</v>
      </c>
      <c r="AQ1244" s="4">
        <v>1</v>
      </c>
      <c r="AR1244" s="3" t="s">
        <v>63</v>
      </c>
      <c r="AS1244" s="3" t="s">
        <v>63</v>
      </c>
      <c r="AT1244" s="3" t="s">
        <v>63</v>
      </c>
      <c r="AV1244" s="6" t="str">
        <f>HYPERLINK("http://mcgill.on.worldcat.org/oclc/61547305","Catalog Record")</f>
        <v>Catalog Record</v>
      </c>
      <c r="AW1244" s="6" t="str">
        <f>HYPERLINK("http://www.worldcat.org/oclc/61547305","WorldCat Record")</f>
        <v>WorldCat Record</v>
      </c>
      <c r="AX1244" s="3" t="s">
        <v>11559</v>
      </c>
      <c r="AY1244" s="3" t="s">
        <v>11560</v>
      </c>
      <c r="AZ1244" s="3" t="s">
        <v>11561</v>
      </c>
      <c r="BA1244" s="3" t="s">
        <v>11561</v>
      </c>
      <c r="BB1244" s="3" t="s">
        <v>11562</v>
      </c>
      <c r="BC1244" s="3" t="s">
        <v>82</v>
      </c>
      <c r="BD1244" s="3" t="s">
        <v>70</v>
      </c>
      <c r="BF1244" s="3" t="s">
        <v>11562</v>
      </c>
      <c r="BG1244" s="3" t="s">
        <v>11563</v>
      </c>
    </row>
    <row r="1245" spans="1:59" ht="60" x14ac:dyDescent="0.25">
      <c r="A1245" s="2" t="s">
        <v>59</v>
      </c>
      <c r="B1245" s="2" t="s">
        <v>60</v>
      </c>
      <c r="C1245" s="2" t="s">
        <v>11564</v>
      </c>
      <c r="D1245" s="2" t="s">
        <v>11565</v>
      </c>
      <c r="E1245" s="2" t="s">
        <v>11566</v>
      </c>
      <c r="G1245" s="3" t="s">
        <v>63</v>
      </c>
      <c r="I1245" s="3" t="s">
        <v>62</v>
      </c>
      <c r="J1245" s="3" t="s">
        <v>63</v>
      </c>
      <c r="K1245" s="3" t="s">
        <v>64</v>
      </c>
      <c r="L1245" s="2" t="s">
        <v>10454</v>
      </c>
      <c r="M1245" s="2" t="s">
        <v>11567</v>
      </c>
      <c r="N1245" s="3" t="s">
        <v>247</v>
      </c>
      <c r="P1245" s="3" t="s">
        <v>66</v>
      </c>
      <c r="R1245" s="3" t="s">
        <v>67</v>
      </c>
      <c r="S1245" s="4">
        <v>21</v>
      </c>
      <c r="T1245" s="4">
        <v>47</v>
      </c>
      <c r="U1245" s="5" t="s">
        <v>1961</v>
      </c>
      <c r="V1245" s="5" t="s">
        <v>11568</v>
      </c>
      <c r="W1245" s="5" t="s">
        <v>69</v>
      </c>
      <c r="X1245" s="5" t="s">
        <v>69</v>
      </c>
      <c r="Y1245" s="4">
        <v>349</v>
      </c>
      <c r="Z1245" s="4">
        <v>22</v>
      </c>
      <c r="AA1245" s="4">
        <v>120</v>
      </c>
      <c r="AB1245" s="4">
        <v>2</v>
      </c>
      <c r="AC1245" s="4">
        <v>20</v>
      </c>
      <c r="AD1245" s="4">
        <v>91</v>
      </c>
      <c r="AE1245" s="4">
        <v>152</v>
      </c>
      <c r="AF1245" s="4">
        <v>0</v>
      </c>
      <c r="AG1245" s="4">
        <v>8</v>
      </c>
      <c r="AH1245" s="4">
        <v>84</v>
      </c>
      <c r="AI1245" s="4">
        <v>109</v>
      </c>
      <c r="AJ1245" s="4">
        <v>15</v>
      </c>
      <c r="AK1245" s="4">
        <v>27</v>
      </c>
      <c r="AL1245" s="4">
        <v>44</v>
      </c>
      <c r="AM1245" s="4">
        <v>58</v>
      </c>
      <c r="AN1245" s="4">
        <v>0</v>
      </c>
      <c r="AO1245" s="4">
        <v>1</v>
      </c>
      <c r="AP1245" s="4">
        <v>17</v>
      </c>
      <c r="AQ1245" s="4">
        <v>51</v>
      </c>
      <c r="AR1245" s="3" t="s">
        <v>63</v>
      </c>
      <c r="AS1245" s="3" t="s">
        <v>63</v>
      </c>
      <c r="AT1245" s="3" t="s">
        <v>62</v>
      </c>
      <c r="AU1245" s="6" t="str">
        <f>HYPERLINK("http://catalog.hathitrust.org/Record/000231835","HathiTrust Record")</f>
        <v>HathiTrust Record</v>
      </c>
      <c r="AV1245" s="6" t="str">
        <f>HYPERLINK("http://mcgill.on.worldcat.org/oclc/8729232","Catalog Record")</f>
        <v>Catalog Record</v>
      </c>
      <c r="AW1245" s="6" t="str">
        <f>HYPERLINK("http://www.worldcat.org/oclc/8729232","WorldCat Record")</f>
        <v>WorldCat Record</v>
      </c>
      <c r="AX1245" s="3" t="s">
        <v>11569</v>
      </c>
      <c r="AY1245" s="3" t="s">
        <v>11570</v>
      </c>
      <c r="AZ1245" s="3" t="s">
        <v>11571</v>
      </c>
      <c r="BA1245" s="3" t="s">
        <v>11571</v>
      </c>
      <c r="BB1245" s="3" t="s">
        <v>11572</v>
      </c>
      <c r="BC1245" s="3" t="s">
        <v>82</v>
      </c>
      <c r="BD1245" s="3" t="s">
        <v>70</v>
      </c>
      <c r="BE1245" s="3" t="s">
        <v>11573</v>
      </c>
      <c r="BF1245" s="3" t="s">
        <v>11572</v>
      </c>
      <c r="BG1245" s="3" t="s">
        <v>11574</v>
      </c>
    </row>
    <row r="1246" spans="1:59" ht="60" x14ac:dyDescent="0.25">
      <c r="A1246" s="2" t="s">
        <v>59</v>
      </c>
      <c r="B1246" s="2" t="s">
        <v>60</v>
      </c>
      <c r="C1246" s="2" t="s">
        <v>11564</v>
      </c>
      <c r="D1246" s="2" t="s">
        <v>11565</v>
      </c>
      <c r="E1246" s="2" t="s">
        <v>11566</v>
      </c>
      <c r="G1246" s="3" t="s">
        <v>63</v>
      </c>
      <c r="I1246" s="3" t="s">
        <v>62</v>
      </c>
      <c r="J1246" s="3" t="s">
        <v>63</v>
      </c>
      <c r="K1246" s="3" t="s">
        <v>64</v>
      </c>
      <c r="L1246" s="2" t="s">
        <v>10454</v>
      </c>
      <c r="M1246" s="2" t="s">
        <v>11567</v>
      </c>
      <c r="N1246" s="3" t="s">
        <v>247</v>
      </c>
      <c r="P1246" s="3" t="s">
        <v>66</v>
      </c>
      <c r="R1246" s="3" t="s">
        <v>67</v>
      </c>
      <c r="S1246" s="4">
        <v>26</v>
      </c>
      <c r="T1246" s="4">
        <v>47</v>
      </c>
      <c r="U1246" s="5" t="s">
        <v>11568</v>
      </c>
      <c r="V1246" s="5" t="s">
        <v>11568</v>
      </c>
      <c r="W1246" s="5" t="s">
        <v>69</v>
      </c>
      <c r="X1246" s="5" t="s">
        <v>69</v>
      </c>
      <c r="Y1246" s="4">
        <v>349</v>
      </c>
      <c r="Z1246" s="4">
        <v>22</v>
      </c>
      <c r="AA1246" s="4">
        <v>120</v>
      </c>
      <c r="AB1246" s="4">
        <v>2</v>
      </c>
      <c r="AC1246" s="4">
        <v>20</v>
      </c>
      <c r="AD1246" s="4">
        <v>91</v>
      </c>
      <c r="AE1246" s="4">
        <v>152</v>
      </c>
      <c r="AF1246" s="4">
        <v>0</v>
      </c>
      <c r="AG1246" s="4">
        <v>8</v>
      </c>
      <c r="AH1246" s="4">
        <v>84</v>
      </c>
      <c r="AI1246" s="4">
        <v>109</v>
      </c>
      <c r="AJ1246" s="4">
        <v>15</v>
      </c>
      <c r="AK1246" s="4">
        <v>27</v>
      </c>
      <c r="AL1246" s="4">
        <v>44</v>
      </c>
      <c r="AM1246" s="4">
        <v>58</v>
      </c>
      <c r="AN1246" s="4">
        <v>0</v>
      </c>
      <c r="AO1246" s="4">
        <v>1</v>
      </c>
      <c r="AP1246" s="4">
        <v>17</v>
      </c>
      <c r="AQ1246" s="4">
        <v>51</v>
      </c>
      <c r="AR1246" s="3" t="s">
        <v>63</v>
      </c>
      <c r="AS1246" s="3" t="s">
        <v>63</v>
      </c>
      <c r="AT1246" s="3" t="s">
        <v>62</v>
      </c>
      <c r="AU1246" s="6" t="str">
        <f>HYPERLINK("http://catalog.hathitrust.org/Record/000231835","HathiTrust Record")</f>
        <v>HathiTrust Record</v>
      </c>
      <c r="AV1246" s="6" t="str">
        <f>HYPERLINK("http://mcgill.on.worldcat.org/oclc/8729232","Catalog Record")</f>
        <v>Catalog Record</v>
      </c>
      <c r="AW1246" s="6" t="str">
        <f>HYPERLINK("http://www.worldcat.org/oclc/8729232","WorldCat Record")</f>
        <v>WorldCat Record</v>
      </c>
      <c r="AX1246" s="3" t="s">
        <v>11569</v>
      </c>
      <c r="AY1246" s="3" t="s">
        <v>11570</v>
      </c>
      <c r="AZ1246" s="3" t="s">
        <v>11571</v>
      </c>
      <c r="BA1246" s="3" t="s">
        <v>11571</v>
      </c>
      <c r="BB1246" s="3" t="s">
        <v>11575</v>
      </c>
      <c r="BC1246" s="3" t="s">
        <v>82</v>
      </c>
      <c r="BD1246" s="3" t="s">
        <v>70</v>
      </c>
      <c r="BE1246" s="3" t="s">
        <v>11573</v>
      </c>
      <c r="BF1246" s="3" t="s">
        <v>11575</v>
      </c>
      <c r="BG1246" s="3" t="s">
        <v>11576</v>
      </c>
    </row>
    <row r="1247" spans="1:59" ht="60" x14ac:dyDescent="0.25">
      <c r="A1247" s="2" t="s">
        <v>59</v>
      </c>
      <c r="B1247" s="2" t="s">
        <v>60</v>
      </c>
      <c r="C1247" s="2" t="s">
        <v>11577</v>
      </c>
      <c r="D1247" s="2" t="s">
        <v>11578</v>
      </c>
      <c r="E1247" s="2" t="s">
        <v>11579</v>
      </c>
      <c r="G1247" s="3" t="s">
        <v>63</v>
      </c>
      <c r="H1247" s="3" t="s">
        <v>11580</v>
      </c>
      <c r="I1247" s="3" t="s">
        <v>62</v>
      </c>
      <c r="J1247" s="3" t="s">
        <v>63</v>
      </c>
      <c r="K1247" s="3" t="s">
        <v>64</v>
      </c>
      <c r="L1247" s="2" t="s">
        <v>10454</v>
      </c>
      <c r="M1247" s="2" t="s">
        <v>11581</v>
      </c>
      <c r="N1247" s="3" t="s">
        <v>427</v>
      </c>
      <c r="P1247" s="3" t="s">
        <v>66</v>
      </c>
      <c r="Q1247" s="2" t="s">
        <v>9341</v>
      </c>
      <c r="R1247" s="3" t="s">
        <v>67</v>
      </c>
      <c r="S1247" s="4">
        <v>1</v>
      </c>
      <c r="T1247" s="4">
        <v>101</v>
      </c>
      <c r="U1247" s="5" t="s">
        <v>11582</v>
      </c>
      <c r="V1247" s="5" t="s">
        <v>11583</v>
      </c>
      <c r="W1247" s="5" t="s">
        <v>2867</v>
      </c>
      <c r="X1247" s="5" t="s">
        <v>2867</v>
      </c>
      <c r="Y1247" s="4">
        <v>301</v>
      </c>
      <c r="Z1247" s="4">
        <v>16</v>
      </c>
      <c r="AA1247" s="4">
        <v>18</v>
      </c>
      <c r="AB1247" s="4">
        <v>2</v>
      </c>
      <c r="AC1247" s="4">
        <v>2</v>
      </c>
      <c r="AD1247" s="4">
        <v>50</v>
      </c>
      <c r="AE1247" s="4">
        <v>52</v>
      </c>
      <c r="AF1247" s="4">
        <v>0</v>
      </c>
      <c r="AG1247" s="4">
        <v>0</v>
      </c>
      <c r="AH1247" s="4">
        <v>45</v>
      </c>
      <c r="AI1247" s="4">
        <v>45</v>
      </c>
      <c r="AJ1247" s="4">
        <v>6</v>
      </c>
      <c r="AK1247" s="4">
        <v>8</v>
      </c>
      <c r="AL1247" s="4">
        <v>32</v>
      </c>
      <c r="AM1247" s="4">
        <v>32</v>
      </c>
      <c r="AN1247" s="4">
        <v>0</v>
      </c>
      <c r="AO1247" s="4">
        <v>0</v>
      </c>
      <c r="AP1247" s="4">
        <v>6</v>
      </c>
      <c r="AQ1247" s="4">
        <v>8</v>
      </c>
      <c r="AR1247" s="3" t="s">
        <v>63</v>
      </c>
      <c r="AS1247" s="3" t="s">
        <v>63</v>
      </c>
      <c r="AT1247" s="3" t="s">
        <v>62</v>
      </c>
      <c r="AU1247" s="6" t="str">
        <f>HYPERLINK("http://catalog.hathitrust.org/Record/002885733","HathiTrust Record")</f>
        <v>HathiTrust Record</v>
      </c>
      <c r="AV1247" s="6" t="str">
        <f>HYPERLINK("http://mcgill.on.worldcat.org/oclc/21079707","Catalog Record")</f>
        <v>Catalog Record</v>
      </c>
      <c r="AW1247" s="6" t="str">
        <f>HYPERLINK("http://www.worldcat.org/oclc/21079707","WorldCat Record")</f>
        <v>WorldCat Record</v>
      </c>
      <c r="AX1247" s="3" t="s">
        <v>11584</v>
      </c>
      <c r="AY1247" s="3" t="s">
        <v>11585</v>
      </c>
      <c r="AZ1247" s="3" t="s">
        <v>11586</v>
      </c>
      <c r="BA1247" s="3" t="s">
        <v>11586</v>
      </c>
      <c r="BB1247" s="3" t="s">
        <v>11587</v>
      </c>
      <c r="BC1247" s="3" t="s">
        <v>82</v>
      </c>
      <c r="BD1247" s="3" t="s">
        <v>70</v>
      </c>
      <c r="BE1247" s="3" t="s">
        <v>11588</v>
      </c>
      <c r="BF1247" s="3" t="s">
        <v>11587</v>
      </c>
      <c r="BG1247" s="3" t="s">
        <v>11589</v>
      </c>
    </row>
    <row r="1248" spans="1:59" ht="60" x14ac:dyDescent="0.25">
      <c r="A1248" s="2" t="s">
        <v>59</v>
      </c>
      <c r="B1248" s="2" t="s">
        <v>60</v>
      </c>
      <c r="C1248" s="2" t="s">
        <v>11577</v>
      </c>
      <c r="D1248" s="2" t="s">
        <v>11578</v>
      </c>
      <c r="E1248" s="2" t="s">
        <v>11579</v>
      </c>
      <c r="G1248" s="3" t="s">
        <v>63</v>
      </c>
      <c r="I1248" s="3" t="s">
        <v>62</v>
      </c>
      <c r="J1248" s="3" t="s">
        <v>63</v>
      </c>
      <c r="K1248" s="3" t="s">
        <v>64</v>
      </c>
      <c r="L1248" s="2" t="s">
        <v>10454</v>
      </c>
      <c r="M1248" s="2" t="s">
        <v>11581</v>
      </c>
      <c r="N1248" s="3" t="s">
        <v>427</v>
      </c>
      <c r="P1248" s="3" t="s">
        <v>66</v>
      </c>
      <c r="Q1248" s="2" t="s">
        <v>9341</v>
      </c>
      <c r="R1248" s="3" t="s">
        <v>67</v>
      </c>
      <c r="S1248" s="4">
        <v>50</v>
      </c>
      <c r="T1248" s="4">
        <v>101</v>
      </c>
      <c r="U1248" s="5" t="s">
        <v>8979</v>
      </c>
      <c r="V1248" s="5" t="s">
        <v>11583</v>
      </c>
      <c r="W1248" s="5" t="s">
        <v>69</v>
      </c>
      <c r="X1248" s="5" t="s">
        <v>2867</v>
      </c>
      <c r="Y1248" s="4">
        <v>301</v>
      </c>
      <c r="Z1248" s="4">
        <v>16</v>
      </c>
      <c r="AA1248" s="4">
        <v>18</v>
      </c>
      <c r="AB1248" s="4">
        <v>2</v>
      </c>
      <c r="AC1248" s="4">
        <v>2</v>
      </c>
      <c r="AD1248" s="4">
        <v>50</v>
      </c>
      <c r="AE1248" s="4">
        <v>52</v>
      </c>
      <c r="AF1248" s="4">
        <v>0</v>
      </c>
      <c r="AG1248" s="4">
        <v>0</v>
      </c>
      <c r="AH1248" s="4">
        <v>45</v>
      </c>
      <c r="AI1248" s="4">
        <v>45</v>
      </c>
      <c r="AJ1248" s="4">
        <v>6</v>
      </c>
      <c r="AK1248" s="4">
        <v>8</v>
      </c>
      <c r="AL1248" s="4">
        <v>32</v>
      </c>
      <c r="AM1248" s="4">
        <v>32</v>
      </c>
      <c r="AN1248" s="4">
        <v>0</v>
      </c>
      <c r="AO1248" s="4">
        <v>0</v>
      </c>
      <c r="AP1248" s="4">
        <v>6</v>
      </c>
      <c r="AQ1248" s="4">
        <v>8</v>
      </c>
      <c r="AR1248" s="3" t="s">
        <v>63</v>
      </c>
      <c r="AS1248" s="3" t="s">
        <v>63</v>
      </c>
      <c r="AT1248" s="3" t="s">
        <v>62</v>
      </c>
      <c r="AU1248" s="6" t="str">
        <f>HYPERLINK("http://catalog.hathitrust.org/Record/002885733","HathiTrust Record")</f>
        <v>HathiTrust Record</v>
      </c>
      <c r="AV1248" s="6" t="str">
        <f>HYPERLINK("http://mcgill.on.worldcat.org/oclc/21079707","Catalog Record")</f>
        <v>Catalog Record</v>
      </c>
      <c r="AW1248" s="6" t="str">
        <f>HYPERLINK("http://www.worldcat.org/oclc/21079707","WorldCat Record")</f>
        <v>WorldCat Record</v>
      </c>
      <c r="AX1248" s="3" t="s">
        <v>11584</v>
      </c>
      <c r="AY1248" s="3" t="s">
        <v>11585</v>
      </c>
      <c r="AZ1248" s="3" t="s">
        <v>11586</v>
      </c>
      <c r="BA1248" s="3" t="s">
        <v>11586</v>
      </c>
      <c r="BB1248" s="3" t="s">
        <v>11590</v>
      </c>
      <c r="BC1248" s="3" t="s">
        <v>82</v>
      </c>
      <c r="BD1248" s="3" t="s">
        <v>70</v>
      </c>
      <c r="BE1248" s="3" t="s">
        <v>11588</v>
      </c>
      <c r="BF1248" s="3" t="s">
        <v>11590</v>
      </c>
      <c r="BG1248" s="3" t="s">
        <v>11591</v>
      </c>
    </row>
    <row r="1249" spans="1:59" ht="60" x14ac:dyDescent="0.25">
      <c r="A1249" s="2" t="s">
        <v>59</v>
      </c>
      <c r="B1249" s="2" t="s">
        <v>60</v>
      </c>
      <c r="C1249" s="2" t="s">
        <v>11577</v>
      </c>
      <c r="D1249" s="2" t="s">
        <v>11578</v>
      </c>
      <c r="E1249" s="2" t="s">
        <v>11579</v>
      </c>
      <c r="G1249" s="3" t="s">
        <v>63</v>
      </c>
      <c r="I1249" s="3" t="s">
        <v>62</v>
      </c>
      <c r="J1249" s="3" t="s">
        <v>63</v>
      </c>
      <c r="K1249" s="3" t="s">
        <v>64</v>
      </c>
      <c r="L1249" s="2" t="s">
        <v>10454</v>
      </c>
      <c r="M1249" s="2" t="s">
        <v>11581</v>
      </c>
      <c r="N1249" s="3" t="s">
        <v>427</v>
      </c>
      <c r="P1249" s="3" t="s">
        <v>66</v>
      </c>
      <c r="Q1249" s="2" t="s">
        <v>9341</v>
      </c>
      <c r="R1249" s="3" t="s">
        <v>67</v>
      </c>
      <c r="S1249" s="4">
        <v>49</v>
      </c>
      <c r="T1249" s="4">
        <v>101</v>
      </c>
      <c r="U1249" s="5" t="s">
        <v>11568</v>
      </c>
      <c r="V1249" s="5" t="s">
        <v>11583</v>
      </c>
      <c r="W1249" s="5" t="s">
        <v>69</v>
      </c>
      <c r="X1249" s="5" t="s">
        <v>2867</v>
      </c>
      <c r="Y1249" s="4">
        <v>301</v>
      </c>
      <c r="Z1249" s="4">
        <v>16</v>
      </c>
      <c r="AA1249" s="4">
        <v>18</v>
      </c>
      <c r="AB1249" s="4">
        <v>2</v>
      </c>
      <c r="AC1249" s="4">
        <v>2</v>
      </c>
      <c r="AD1249" s="4">
        <v>50</v>
      </c>
      <c r="AE1249" s="4">
        <v>52</v>
      </c>
      <c r="AF1249" s="4">
        <v>0</v>
      </c>
      <c r="AG1249" s="4">
        <v>0</v>
      </c>
      <c r="AH1249" s="4">
        <v>45</v>
      </c>
      <c r="AI1249" s="4">
        <v>45</v>
      </c>
      <c r="AJ1249" s="4">
        <v>6</v>
      </c>
      <c r="AK1249" s="4">
        <v>8</v>
      </c>
      <c r="AL1249" s="4">
        <v>32</v>
      </c>
      <c r="AM1249" s="4">
        <v>32</v>
      </c>
      <c r="AN1249" s="4">
        <v>0</v>
      </c>
      <c r="AO1249" s="4">
        <v>0</v>
      </c>
      <c r="AP1249" s="4">
        <v>6</v>
      </c>
      <c r="AQ1249" s="4">
        <v>8</v>
      </c>
      <c r="AR1249" s="3" t="s">
        <v>63</v>
      </c>
      <c r="AS1249" s="3" t="s">
        <v>63</v>
      </c>
      <c r="AT1249" s="3" t="s">
        <v>62</v>
      </c>
      <c r="AU1249" s="6" t="str">
        <f>HYPERLINK("http://catalog.hathitrust.org/Record/002885733","HathiTrust Record")</f>
        <v>HathiTrust Record</v>
      </c>
      <c r="AV1249" s="6" t="str">
        <f>HYPERLINK("http://mcgill.on.worldcat.org/oclc/21079707","Catalog Record")</f>
        <v>Catalog Record</v>
      </c>
      <c r="AW1249" s="6" t="str">
        <f>HYPERLINK("http://www.worldcat.org/oclc/21079707","WorldCat Record")</f>
        <v>WorldCat Record</v>
      </c>
      <c r="AX1249" s="3" t="s">
        <v>11584</v>
      </c>
      <c r="AY1249" s="3" t="s">
        <v>11585</v>
      </c>
      <c r="AZ1249" s="3" t="s">
        <v>11586</v>
      </c>
      <c r="BA1249" s="3" t="s">
        <v>11586</v>
      </c>
      <c r="BB1249" s="3" t="s">
        <v>11592</v>
      </c>
      <c r="BC1249" s="3" t="s">
        <v>82</v>
      </c>
      <c r="BD1249" s="3" t="s">
        <v>70</v>
      </c>
      <c r="BE1249" s="3" t="s">
        <v>11588</v>
      </c>
      <c r="BF1249" s="3" t="s">
        <v>11592</v>
      </c>
      <c r="BG1249" s="3" t="s">
        <v>11593</v>
      </c>
    </row>
    <row r="1250" spans="1:59" ht="60" x14ac:dyDescent="0.25">
      <c r="A1250" s="2" t="s">
        <v>59</v>
      </c>
      <c r="B1250" s="2" t="s">
        <v>60</v>
      </c>
      <c r="C1250" s="2" t="s">
        <v>11577</v>
      </c>
      <c r="D1250" s="2" t="s">
        <v>11578</v>
      </c>
      <c r="E1250" s="2" t="s">
        <v>11579</v>
      </c>
      <c r="G1250" s="3" t="s">
        <v>63</v>
      </c>
      <c r="H1250" s="3" t="s">
        <v>215</v>
      </c>
      <c r="I1250" s="3" t="s">
        <v>62</v>
      </c>
      <c r="J1250" s="3" t="s">
        <v>63</v>
      </c>
      <c r="K1250" s="3" t="s">
        <v>64</v>
      </c>
      <c r="L1250" s="2" t="s">
        <v>10454</v>
      </c>
      <c r="M1250" s="2" t="s">
        <v>11581</v>
      </c>
      <c r="N1250" s="3" t="s">
        <v>427</v>
      </c>
      <c r="P1250" s="3" t="s">
        <v>66</v>
      </c>
      <c r="Q1250" s="2" t="s">
        <v>9341</v>
      </c>
      <c r="R1250" s="3" t="s">
        <v>67</v>
      </c>
      <c r="S1250" s="4">
        <v>1</v>
      </c>
      <c r="T1250" s="4">
        <v>101</v>
      </c>
      <c r="U1250" s="5" t="s">
        <v>11583</v>
      </c>
      <c r="V1250" s="5" t="s">
        <v>11583</v>
      </c>
      <c r="W1250" s="5" t="s">
        <v>2867</v>
      </c>
      <c r="X1250" s="5" t="s">
        <v>2867</v>
      </c>
      <c r="Y1250" s="4">
        <v>301</v>
      </c>
      <c r="Z1250" s="4">
        <v>16</v>
      </c>
      <c r="AA1250" s="4">
        <v>18</v>
      </c>
      <c r="AB1250" s="4">
        <v>2</v>
      </c>
      <c r="AC1250" s="4">
        <v>2</v>
      </c>
      <c r="AD1250" s="4">
        <v>50</v>
      </c>
      <c r="AE1250" s="4">
        <v>52</v>
      </c>
      <c r="AF1250" s="4">
        <v>0</v>
      </c>
      <c r="AG1250" s="4">
        <v>0</v>
      </c>
      <c r="AH1250" s="4">
        <v>45</v>
      </c>
      <c r="AI1250" s="4">
        <v>45</v>
      </c>
      <c r="AJ1250" s="4">
        <v>6</v>
      </c>
      <c r="AK1250" s="4">
        <v>8</v>
      </c>
      <c r="AL1250" s="4">
        <v>32</v>
      </c>
      <c r="AM1250" s="4">
        <v>32</v>
      </c>
      <c r="AN1250" s="4">
        <v>0</v>
      </c>
      <c r="AO1250" s="4">
        <v>0</v>
      </c>
      <c r="AP1250" s="4">
        <v>6</v>
      </c>
      <c r="AQ1250" s="4">
        <v>8</v>
      </c>
      <c r="AR1250" s="3" t="s">
        <v>63</v>
      </c>
      <c r="AS1250" s="3" t="s">
        <v>63</v>
      </c>
      <c r="AT1250" s="3" t="s">
        <v>62</v>
      </c>
      <c r="AU1250" s="6" t="str">
        <f>HYPERLINK("http://catalog.hathitrust.org/Record/002885733","HathiTrust Record")</f>
        <v>HathiTrust Record</v>
      </c>
      <c r="AV1250" s="6" t="str">
        <f>HYPERLINK("http://mcgill.on.worldcat.org/oclc/21079707","Catalog Record")</f>
        <v>Catalog Record</v>
      </c>
      <c r="AW1250" s="6" t="str">
        <f>HYPERLINK("http://www.worldcat.org/oclc/21079707","WorldCat Record")</f>
        <v>WorldCat Record</v>
      </c>
      <c r="AX1250" s="3" t="s">
        <v>11584</v>
      </c>
      <c r="AY1250" s="3" t="s">
        <v>11585</v>
      </c>
      <c r="AZ1250" s="3" t="s">
        <v>11586</v>
      </c>
      <c r="BA1250" s="3" t="s">
        <v>11586</v>
      </c>
      <c r="BB1250" s="3" t="s">
        <v>11594</v>
      </c>
      <c r="BC1250" s="3" t="s">
        <v>82</v>
      </c>
      <c r="BD1250" s="3" t="s">
        <v>70</v>
      </c>
      <c r="BE1250" s="3" t="s">
        <v>11588</v>
      </c>
      <c r="BF1250" s="3" t="s">
        <v>11594</v>
      </c>
      <c r="BG1250" s="3" t="s">
        <v>11595</v>
      </c>
    </row>
    <row r="1251" spans="1:59" ht="60" x14ac:dyDescent="0.25">
      <c r="A1251" s="2" t="s">
        <v>59</v>
      </c>
      <c r="B1251" s="2" t="s">
        <v>60</v>
      </c>
      <c r="C1251" s="2" t="s">
        <v>11596</v>
      </c>
      <c r="D1251" s="2" t="s">
        <v>11597</v>
      </c>
      <c r="E1251" s="2" t="s">
        <v>11598</v>
      </c>
      <c r="G1251" s="3" t="s">
        <v>63</v>
      </c>
      <c r="I1251" s="3" t="s">
        <v>63</v>
      </c>
      <c r="J1251" s="3" t="s">
        <v>63</v>
      </c>
      <c r="K1251" s="3" t="s">
        <v>64</v>
      </c>
      <c r="L1251" s="2" t="s">
        <v>10454</v>
      </c>
      <c r="M1251" s="2" t="s">
        <v>11599</v>
      </c>
      <c r="N1251" s="3" t="s">
        <v>629</v>
      </c>
      <c r="P1251" s="3" t="s">
        <v>66</v>
      </c>
      <c r="R1251" s="3" t="s">
        <v>67</v>
      </c>
      <c r="S1251" s="4">
        <v>8</v>
      </c>
      <c r="T1251" s="4">
        <v>8</v>
      </c>
      <c r="U1251" s="5" t="s">
        <v>11600</v>
      </c>
      <c r="V1251" s="5" t="s">
        <v>11600</v>
      </c>
      <c r="W1251" s="5" t="s">
        <v>69</v>
      </c>
      <c r="X1251" s="5" t="s">
        <v>69</v>
      </c>
      <c r="Y1251" s="4">
        <v>61</v>
      </c>
      <c r="Z1251" s="4">
        <v>2</v>
      </c>
      <c r="AA1251" s="4">
        <v>25</v>
      </c>
      <c r="AB1251" s="4">
        <v>1</v>
      </c>
      <c r="AC1251" s="4">
        <v>2</v>
      </c>
      <c r="AD1251" s="4">
        <v>12</v>
      </c>
      <c r="AE1251" s="4">
        <v>82</v>
      </c>
      <c r="AF1251" s="4">
        <v>0</v>
      </c>
      <c r="AG1251" s="4">
        <v>0</v>
      </c>
      <c r="AH1251" s="4">
        <v>12</v>
      </c>
      <c r="AI1251" s="4">
        <v>70</v>
      </c>
      <c r="AJ1251" s="4">
        <v>1</v>
      </c>
      <c r="AK1251" s="4">
        <v>9</v>
      </c>
      <c r="AL1251" s="4">
        <v>8</v>
      </c>
      <c r="AM1251" s="4">
        <v>44</v>
      </c>
      <c r="AN1251" s="4">
        <v>0</v>
      </c>
      <c r="AO1251" s="4">
        <v>0</v>
      </c>
      <c r="AP1251" s="4">
        <v>1</v>
      </c>
      <c r="AQ1251" s="4">
        <v>13</v>
      </c>
      <c r="AR1251" s="3" t="s">
        <v>63</v>
      </c>
      <c r="AS1251" s="3" t="s">
        <v>63</v>
      </c>
      <c r="AT1251" s="3" t="s">
        <v>63</v>
      </c>
      <c r="AV1251" s="6" t="str">
        <f>HYPERLINK("http://mcgill.on.worldcat.org/oclc/751806580","Catalog Record")</f>
        <v>Catalog Record</v>
      </c>
      <c r="AW1251" s="6" t="str">
        <f>HYPERLINK("http://www.worldcat.org/oclc/751806580","WorldCat Record")</f>
        <v>WorldCat Record</v>
      </c>
      <c r="AX1251" s="3" t="s">
        <v>11601</v>
      </c>
      <c r="AY1251" s="3" t="s">
        <v>11602</v>
      </c>
      <c r="AZ1251" s="3" t="s">
        <v>11603</v>
      </c>
      <c r="BA1251" s="3" t="s">
        <v>11603</v>
      </c>
      <c r="BB1251" s="3" t="s">
        <v>11604</v>
      </c>
      <c r="BC1251" s="3" t="s">
        <v>82</v>
      </c>
      <c r="BD1251" s="3" t="s">
        <v>70</v>
      </c>
      <c r="BE1251" s="3" t="s">
        <v>11605</v>
      </c>
      <c r="BF1251" s="3" t="s">
        <v>11604</v>
      </c>
      <c r="BG1251" s="3" t="s">
        <v>11606</v>
      </c>
    </row>
    <row r="1252" spans="1:59" ht="60" x14ac:dyDescent="0.25">
      <c r="A1252" s="2" t="s">
        <v>59</v>
      </c>
      <c r="B1252" s="2" t="s">
        <v>60</v>
      </c>
      <c r="C1252" s="2" t="s">
        <v>11607</v>
      </c>
      <c r="D1252" s="2" t="s">
        <v>11608</v>
      </c>
      <c r="E1252" s="2" t="s">
        <v>11609</v>
      </c>
      <c r="G1252" s="3" t="s">
        <v>63</v>
      </c>
      <c r="I1252" s="3" t="s">
        <v>62</v>
      </c>
      <c r="J1252" s="3" t="s">
        <v>62</v>
      </c>
      <c r="K1252" s="3" t="s">
        <v>64</v>
      </c>
      <c r="L1252" s="2" t="s">
        <v>10454</v>
      </c>
      <c r="M1252" s="2" t="s">
        <v>11610</v>
      </c>
      <c r="N1252" s="3" t="s">
        <v>11611</v>
      </c>
      <c r="P1252" s="3" t="s">
        <v>66</v>
      </c>
      <c r="R1252" s="3" t="s">
        <v>67</v>
      </c>
      <c r="S1252" s="4">
        <v>5</v>
      </c>
      <c r="T1252" s="4">
        <v>30</v>
      </c>
      <c r="U1252" s="5" t="s">
        <v>8311</v>
      </c>
      <c r="V1252" s="5" t="s">
        <v>8311</v>
      </c>
      <c r="W1252" s="5" t="s">
        <v>69</v>
      </c>
      <c r="X1252" s="5" t="s">
        <v>69</v>
      </c>
      <c r="Y1252" s="4">
        <v>82</v>
      </c>
      <c r="Z1252" s="4">
        <v>6</v>
      </c>
      <c r="AA1252" s="4">
        <v>136</v>
      </c>
      <c r="AB1252" s="4">
        <v>2</v>
      </c>
      <c r="AC1252" s="4">
        <v>18</v>
      </c>
      <c r="AD1252" s="4">
        <v>10</v>
      </c>
      <c r="AE1252" s="4">
        <v>161</v>
      </c>
      <c r="AF1252" s="4">
        <v>0</v>
      </c>
      <c r="AG1252" s="4">
        <v>5</v>
      </c>
      <c r="AH1252" s="4">
        <v>9</v>
      </c>
      <c r="AI1252" s="4">
        <v>115</v>
      </c>
      <c r="AJ1252" s="4">
        <v>0</v>
      </c>
      <c r="AK1252" s="4">
        <v>27</v>
      </c>
      <c r="AL1252" s="4">
        <v>3</v>
      </c>
      <c r="AM1252" s="4">
        <v>64</v>
      </c>
      <c r="AN1252" s="4">
        <v>0</v>
      </c>
      <c r="AO1252" s="4">
        <v>11</v>
      </c>
      <c r="AP1252" s="4">
        <v>1</v>
      </c>
      <c r="AQ1252" s="4">
        <v>51</v>
      </c>
      <c r="AR1252" s="3" t="s">
        <v>63</v>
      </c>
      <c r="AS1252" s="3" t="s">
        <v>63</v>
      </c>
      <c r="AT1252" s="3" t="s">
        <v>63</v>
      </c>
      <c r="AV1252" s="6" t="str">
        <f>HYPERLINK("http://mcgill.on.worldcat.org/oclc/2128132","Catalog Record")</f>
        <v>Catalog Record</v>
      </c>
      <c r="AW1252" s="6" t="str">
        <f>HYPERLINK("http://www.worldcat.org/oclc/2128132","WorldCat Record")</f>
        <v>WorldCat Record</v>
      </c>
      <c r="AX1252" s="3" t="s">
        <v>10835</v>
      </c>
      <c r="AY1252" s="3" t="s">
        <v>11612</v>
      </c>
      <c r="AZ1252" s="3" t="s">
        <v>11613</v>
      </c>
      <c r="BA1252" s="3" t="s">
        <v>11613</v>
      </c>
      <c r="BB1252" s="3" t="s">
        <v>11614</v>
      </c>
      <c r="BC1252" s="3" t="s">
        <v>82</v>
      </c>
      <c r="BD1252" s="3" t="s">
        <v>70</v>
      </c>
      <c r="BF1252" s="3" t="s">
        <v>11614</v>
      </c>
      <c r="BG1252" s="3" t="s">
        <v>11615</v>
      </c>
    </row>
    <row r="1253" spans="1:59" ht="60" x14ac:dyDescent="0.25">
      <c r="A1253" s="2" t="s">
        <v>59</v>
      </c>
      <c r="B1253" s="2" t="s">
        <v>60</v>
      </c>
      <c r="C1253" s="2" t="s">
        <v>11607</v>
      </c>
      <c r="D1253" s="2" t="s">
        <v>11608</v>
      </c>
      <c r="E1253" s="2" t="s">
        <v>11609</v>
      </c>
      <c r="G1253" s="3" t="s">
        <v>63</v>
      </c>
      <c r="I1253" s="3" t="s">
        <v>62</v>
      </c>
      <c r="J1253" s="3" t="s">
        <v>62</v>
      </c>
      <c r="K1253" s="3" t="s">
        <v>64</v>
      </c>
      <c r="L1253" s="2" t="s">
        <v>10454</v>
      </c>
      <c r="M1253" s="2" t="s">
        <v>11610</v>
      </c>
      <c r="N1253" s="3" t="s">
        <v>11611</v>
      </c>
      <c r="P1253" s="3" t="s">
        <v>66</v>
      </c>
      <c r="R1253" s="3" t="s">
        <v>67</v>
      </c>
      <c r="S1253" s="4">
        <v>11</v>
      </c>
      <c r="T1253" s="4">
        <v>30</v>
      </c>
      <c r="U1253" s="5" t="s">
        <v>11616</v>
      </c>
      <c r="V1253" s="5" t="s">
        <v>8311</v>
      </c>
      <c r="W1253" s="5" t="s">
        <v>69</v>
      </c>
      <c r="X1253" s="5" t="s">
        <v>69</v>
      </c>
      <c r="Y1253" s="4">
        <v>82</v>
      </c>
      <c r="Z1253" s="4">
        <v>6</v>
      </c>
      <c r="AA1253" s="4">
        <v>136</v>
      </c>
      <c r="AB1253" s="4">
        <v>2</v>
      </c>
      <c r="AC1253" s="4">
        <v>18</v>
      </c>
      <c r="AD1253" s="4">
        <v>10</v>
      </c>
      <c r="AE1253" s="4">
        <v>161</v>
      </c>
      <c r="AF1253" s="4">
        <v>0</v>
      </c>
      <c r="AG1253" s="4">
        <v>5</v>
      </c>
      <c r="AH1253" s="4">
        <v>9</v>
      </c>
      <c r="AI1253" s="4">
        <v>115</v>
      </c>
      <c r="AJ1253" s="4">
        <v>0</v>
      </c>
      <c r="AK1253" s="4">
        <v>27</v>
      </c>
      <c r="AL1253" s="4">
        <v>3</v>
      </c>
      <c r="AM1253" s="4">
        <v>64</v>
      </c>
      <c r="AN1253" s="4">
        <v>0</v>
      </c>
      <c r="AO1253" s="4">
        <v>11</v>
      </c>
      <c r="AP1253" s="4">
        <v>1</v>
      </c>
      <c r="AQ1253" s="4">
        <v>51</v>
      </c>
      <c r="AR1253" s="3" t="s">
        <v>63</v>
      </c>
      <c r="AS1253" s="3" t="s">
        <v>63</v>
      </c>
      <c r="AT1253" s="3" t="s">
        <v>63</v>
      </c>
      <c r="AV1253" s="6" t="str">
        <f>HYPERLINK("http://mcgill.on.worldcat.org/oclc/2128132","Catalog Record")</f>
        <v>Catalog Record</v>
      </c>
      <c r="AW1253" s="6" t="str">
        <f>HYPERLINK("http://www.worldcat.org/oclc/2128132","WorldCat Record")</f>
        <v>WorldCat Record</v>
      </c>
      <c r="AX1253" s="3" t="s">
        <v>10835</v>
      </c>
      <c r="AY1253" s="3" t="s">
        <v>11612</v>
      </c>
      <c r="AZ1253" s="3" t="s">
        <v>11613</v>
      </c>
      <c r="BA1253" s="3" t="s">
        <v>11613</v>
      </c>
      <c r="BB1253" s="3" t="s">
        <v>11617</v>
      </c>
      <c r="BC1253" s="3" t="s">
        <v>82</v>
      </c>
      <c r="BD1253" s="3" t="s">
        <v>70</v>
      </c>
      <c r="BF1253" s="3" t="s">
        <v>11617</v>
      </c>
      <c r="BG1253" s="3" t="s">
        <v>11618</v>
      </c>
    </row>
    <row r="1254" spans="1:59" ht="60" x14ac:dyDescent="0.25">
      <c r="A1254" s="2" t="s">
        <v>59</v>
      </c>
      <c r="B1254" s="2" t="s">
        <v>60</v>
      </c>
      <c r="C1254" s="2" t="s">
        <v>11607</v>
      </c>
      <c r="D1254" s="2" t="s">
        <v>11608</v>
      </c>
      <c r="E1254" s="2" t="s">
        <v>11609</v>
      </c>
      <c r="G1254" s="3" t="s">
        <v>63</v>
      </c>
      <c r="I1254" s="3" t="s">
        <v>62</v>
      </c>
      <c r="J1254" s="3" t="s">
        <v>62</v>
      </c>
      <c r="K1254" s="3" t="s">
        <v>64</v>
      </c>
      <c r="L1254" s="2" t="s">
        <v>10454</v>
      </c>
      <c r="M1254" s="2" t="s">
        <v>11610</v>
      </c>
      <c r="N1254" s="3" t="s">
        <v>11611</v>
      </c>
      <c r="P1254" s="3" t="s">
        <v>66</v>
      </c>
      <c r="R1254" s="3" t="s">
        <v>67</v>
      </c>
      <c r="S1254" s="4">
        <v>14</v>
      </c>
      <c r="T1254" s="4">
        <v>30</v>
      </c>
      <c r="U1254" s="5" t="s">
        <v>11619</v>
      </c>
      <c r="V1254" s="5" t="s">
        <v>8311</v>
      </c>
      <c r="W1254" s="5" t="s">
        <v>69</v>
      </c>
      <c r="X1254" s="5" t="s">
        <v>69</v>
      </c>
      <c r="Y1254" s="4">
        <v>82</v>
      </c>
      <c r="Z1254" s="4">
        <v>6</v>
      </c>
      <c r="AA1254" s="4">
        <v>136</v>
      </c>
      <c r="AB1254" s="4">
        <v>2</v>
      </c>
      <c r="AC1254" s="4">
        <v>18</v>
      </c>
      <c r="AD1254" s="4">
        <v>10</v>
      </c>
      <c r="AE1254" s="4">
        <v>161</v>
      </c>
      <c r="AF1254" s="4">
        <v>0</v>
      </c>
      <c r="AG1254" s="4">
        <v>5</v>
      </c>
      <c r="AH1254" s="4">
        <v>9</v>
      </c>
      <c r="AI1254" s="4">
        <v>115</v>
      </c>
      <c r="AJ1254" s="4">
        <v>0</v>
      </c>
      <c r="AK1254" s="4">
        <v>27</v>
      </c>
      <c r="AL1254" s="4">
        <v>3</v>
      </c>
      <c r="AM1254" s="4">
        <v>64</v>
      </c>
      <c r="AN1254" s="4">
        <v>0</v>
      </c>
      <c r="AO1254" s="4">
        <v>11</v>
      </c>
      <c r="AP1254" s="4">
        <v>1</v>
      </c>
      <c r="AQ1254" s="4">
        <v>51</v>
      </c>
      <c r="AR1254" s="3" t="s">
        <v>63</v>
      </c>
      <c r="AS1254" s="3" t="s">
        <v>63</v>
      </c>
      <c r="AT1254" s="3" t="s">
        <v>63</v>
      </c>
      <c r="AV1254" s="6" t="str">
        <f>HYPERLINK("http://mcgill.on.worldcat.org/oclc/2128132","Catalog Record")</f>
        <v>Catalog Record</v>
      </c>
      <c r="AW1254" s="6" t="str">
        <f>HYPERLINK("http://www.worldcat.org/oclc/2128132","WorldCat Record")</f>
        <v>WorldCat Record</v>
      </c>
      <c r="AX1254" s="3" t="s">
        <v>10835</v>
      </c>
      <c r="AY1254" s="3" t="s">
        <v>11612</v>
      </c>
      <c r="AZ1254" s="3" t="s">
        <v>11613</v>
      </c>
      <c r="BA1254" s="3" t="s">
        <v>11613</v>
      </c>
      <c r="BB1254" s="3" t="s">
        <v>11620</v>
      </c>
      <c r="BC1254" s="3" t="s">
        <v>82</v>
      </c>
      <c r="BD1254" s="3" t="s">
        <v>70</v>
      </c>
      <c r="BF1254" s="3" t="s">
        <v>11620</v>
      </c>
      <c r="BG1254" s="3" t="s">
        <v>11621</v>
      </c>
    </row>
    <row r="1255" spans="1:59" ht="105" x14ac:dyDescent="0.25">
      <c r="A1255" s="2" t="s">
        <v>59</v>
      </c>
      <c r="B1255" s="2" t="s">
        <v>60</v>
      </c>
      <c r="C1255" s="2" t="s">
        <v>11622</v>
      </c>
      <c r="D1255" s="2" t="s">
        <v>11623</v>
      </c>
      <c r="E1255" s="2" t="s">
        <v>11624</v>
      </c>
      <c r="G1255" s="3" t="s">
        <v>63</v>
      </c>
      <c r="I1255" s="3" t="s">
        <v>62</v>
      </c>
      <c r="J1255" s="3" t="s">
        <v>62</v>
      </c>
      <c r="K1255" s="3" t="s">
        <v>64</v>
      </c>
      <c r="L1255" s="2" t="s">
        <v>10454</v>
      </c>
      <c r="M1255" s="2" t="s">
        <v>11625</v>
      </c>
      <c r="N1255" s="3" t="s">
        <v>11626</v>
      </c>
      <c r="P1255" s="3" t="s">
        <v>66</v>
      </c>
      <c r="Q1255" s="2" t="s">
        <v>11492</v>
      </c>
      <c r="R1255" s="3" t="s">
        <v>67</v>
      </c>
      <c r="S1255" s="4">
        <v>6</v>
      </c>
      <c r="T1255" s="4">
        <v>67</v>
      </c>
      <c r="U1255" s="5" t="s">
        <v>9761</v>
      </c>
      <c r="V1255" s="5" t="s">
        <v>11627</v>
      </c>
      <c r="W1255" s="5" t="s">
        <v>69</v>
      </c>
      <c r="X1255" s="5" t="s">
        <v>69</v>
      </c>
      <c r="Y1255" s="4">
        <v>1108</v>
      </c>
      <c r="Z1255" s="4">
        <v>38</v>
      </c>
      <c r="AA1255" s="4">
        <v>136</v>
      </c>
      <c r="AB1255" s="4">
        <v>1</v>
      </c>
      <c r="AC1255" s="4">
        <v>18</v>
      </c>
      <c r="AD1255" s="4">
        <v>97</v>
      </c>
      <c r="AE1255" s="4">
        <v>161</v>
      </c>
      <c r="AF1255" s="4">
        <v>0</v>
      </c>
      <c r="AG1255" s="4">
        <v>5</v>
      </c>
      <c r="AH1255" s="4">
        <v>79</v>
      </c>
      <c r="AI1255" s="4">
        <v>115</v>
      </c>
      <c r="AJ1255" s="4">
        <v>15</v>
      </c>
      <c r="AK1255" s="4">
        <v>27</v>
      </c>
      <c r="AL1255" s="4">
        <v>43</v>
      </c>
      <c r="AM1255" s="4">
        <v>64</v>
      </c>
      <c r="AN1255" s="4">
        <v>0</v>
      </c>
      <c r="AO1255" s="4">
        <v>11</v>
      </c>
      <c r="AP1255" s="4">
        <v>25</v>
      </c>
      <c r="AQ1255" s="4">
        <v>51</v>
      </c>
      <c r="AR1255" s="3" t="s">
        <v>63</v>
      </c>
      <c r="AS1255" s="3" t="s">
        <v>63</v>
      </c>
      <c r="AT1255" s="3" t="s">
        <v>62</v>
      </c>
      <c r="AU1255" s="6" t="str">
        <f>HYPERLINK("http://catalog.hathitrust.org/Record/004514014","HathiTrust Record")</f>
        <v>HathiTrust Record</v>
      </c>
      <c r="AV1255" s="6" t="str">
        <f>HYPERLINK("http://mcgill.on.worldcat.org/oclc/581631","Catalog Record")</f>
        <v>Catalog Record</v>
      </c>
      <c r="AW1255" s="6" t="str">
        <f>HYPERLINK("http://www.worldcat.org/oclc/581631","WorldCat Record")</f>
        <v>WorldCat Record</v>
      </c>
      <c r="AX1255" s="3" t="s">
        <v>10835</v>
      </c>
      <c r="AY1255" s="3" t="s">
        <v>11628</v>
      </c>
      <c r="AZ1255" s="3" t="s">
        <v>11629</v>
      </c>
      <c r="BA1255" s="3" t="s">
        <v>11629</v>
      </c>
      <c r="BB1255" s="3" t="s">
        <v>11630</v>
      </c>
      <c r="BC1255" s="3" t="s">
        <v>82</v>
      </c>
      <c r="BD1255" s="3" t="s">
        <v>70</v>
      </c>
      <c r="BE1255" s="3" t="s">
        <v>11631</v>
      </c>
      <c r="BF1255" s="3" t="s">
        <v>11630</v>
      </c>
      <c r="BG1255" s="3" t="s">
        <v>11632</v>
      </c>
    </row>
    <row r="1256" spans="1:59" ht="105" x14ac:dyDescent="0.25">
      <c r="A1256" s="2" t="s">
        <v>59</v>
      </c>
      <c r="B1256" s="2" t="s">
        <v>60</v>
      </c>
      <c r="C1256" s="2" t="s">
        <v>11622</v>
      </c>
      <c r="D1256" s="2" t="s">
        <v>11623</v>
      </c>
      <c r="E1256" s="2" t="s">
        <v>11624</v>
      </c>
      <c r="G1256" s="3" t="s">
        <v>63</v>
      </c>
      <c r="I1256" s="3" t="s">
        <v>62</v>
      </c>
      <c r="J1256" s="3" t="s">
        <v>62</v>
      </c>
      <c r="K1256" s="3" t="s">
        <v>64</v>
      </c>
      <c r="L1256" s="2" t="s">
        <v>10454</v>
      </c>
      <c r="M1256" s="2" t="s">
        <v>11625</v>
      </c>
      <c r="N1256" s="3" t="s">
        <v>11626</v>
      </c>
      <c r="P1256" s="3" t="s">
        <v>66</v>
      </c>
      <c r="Q1256" s="2" t="s">
        <v>11492</v>
      </c>
      <c r="R1256" s="3" t="s">
        <v>67</v>
      </c>
      <c r="S1256" s="4">
        <v>10</v>
      </c>
      <c r="T1256" s="4">
        <v>67</v>
      </c>
      <c r="U1256" s="5" t="s">
        <v>11633</v>
      </c>
      <c r="V1256" s="5" t="s">
        <v>11627</v>
      </c>
      <c r="W1256" s="5" t="s">
        <v>69</v>
      </c>
      <c r="X1256" s="5" t="s">
        <v>69</v>
      </c>
      <c r="Y1256" s="4">
        <v>1108</v>
      </c>
      <c r="Z1256" s="4">
        <v>38</v>
      </c>
      <c r="AA1256" s="4">
        <v>136</v>
      </c>
      <c r="AB1256" s="4">
        <v>1</v>
      </c>
      <c r="AC1256" s="4">
        <v>18</v>
      </c>
      <c r="AD1256" s="4">
        <v>97</v>
      </c>
      <c r="AE1256" s="4">
        <v>161</v>
      </c>
      <c r="AF1256" s="4">
        <v>0</v>
      </c>
      <c r="AG1256" s="4">
        <v>5</v>
      </c>
      <c r="AH1256" s="4">
        <v>79</v>
      </c>
      <c r="AI1256" s="4">
        <v>115</v>
      </c>
      <c r="AJ1256" s="4">
        <v>15</v>
      </c>
      <c r="AK1256" s="4">
        <v>27</v>
      </c>
      <c r="AL1256" s="4">
        <v>43</v>
      </c>
      <c r="AM1256" s="4">
        <v>64</v>
      </c>
      <c r="AN1256" s="4">
        <v>0</v>
      </c>
      <c r="AO1256" s="4">
        <v>11</v>
      </c>
      <c r="AP1256" s="4">
        <v>25</v>
      </c>
      <c r="AQ1256" s="4">
        <v>51</v>
      </c>
      <c r="AR1256" s="3" t="s">
        <v>63</v>
      </c>
      <c r="AS1256" s="3" t="s">
        <v>63</v>
      </c>
      <c r="AT1256" s="3" t="s">
        <v>62</v>
      </c>
      <c r="AU1256" s="6" t="str">
        <f>HYPERLINK("http://catalog.hathitrust.org/Record/004514014","HathiTrust Record")</f>
        <v>HathiTrust Record</v>
      </c>
      <c r="AV1256" s="6" t="str">
        <f>HYPERLINK("http://mcgill.on.worldcat.org/oclc/581631","Catalog Record")</f>
        <v>Catalog Record</v>
      </c>
      <c r="AW1256" s="6" t="str">
        <f>HYPERLINK("http://www.worldcat.org/oclc/581631","WorldCat Record")</f>
        <v>WorldCat Record</v>
      </c>
      <c r="AX1256" s="3" t="s">
        <v>10835</v>
      </c>
      <c r="AY1256" s="3" t="s">
        <v>11628</v>
      </c>
      <c r="AZ1256" s="3" t="s">
        <v>11629</v>
      </c>
      <c r="BA1256" s="3" t="s">
        <v>11629</v>
      </c>
      <c r="BB1256" s="3" t="s">
        <v>11634</v>
      </c>
      <c r="BC1256" s="3" t="s">
        <v>82</v>
      </c>
      <c r="BD1256" s="3" t="s">
        <v>70</v>
      </c>
      <c r="BE1256" s="3" t="s">
        <v>11631</v>
      </c>
      <c r="BF1256" s="3" t="s">
        <v>11634</v>
      </c>
      <c r="BG1256" s="3" t="s">
        <v>11635</v>
      </c>
    </row>
    <row r="1257" spans="1:59" ht="105" x14ac:dyDescent="0.25">
      <c r="A1257" s="2" t="s">
        <v>59</v>
      </c>
      <c r="B1257" s="2" t="s">
        <v>60</v>
      </c>
      <c r="C1257" s="2" t="s">
        <v>11622</v>
      </c>
      <c r="D1257" s="2" t="s">
        <v>11623</v>
      </c>
      <c r="E1257" s="2" t="s">
        <v>11624</v>
      </c>
      <c r="G1257" s="3" t="s">
        <v>63</v>
      </c>
      <c r="I1257" s="3" t="s">
        <v>62</v>
      </c>
      <c r="J1257" s="3" t="s">
        <v>62</v>
      </c>
      <c r="K1257" s="3" t="s">
        <v>64</v>
      </c>
      <c r="L1257" s="2" t="s">
        <v>10454</v>
      </c>
      <c r="M1257" s="2" t="s">
        <v>11625</v>
      </c>
      <c r="N1257" s="3" t="s">
        <v>11626</v>
      </c>
      <c r="P1257" s="3" t="s">
        <v>66</v>
      </c>
      <c r="Q1257" s="2" t="s">
        <v>11492</v>
      </c>
      <c r="R1257" s="3" t="s">
        <v>67</v>
      </c>
      <c r="S1257" s="4">
        <v>8</v>
      </c>
      <c r="T1257" s="4">
        <v>67</v>
      </c>
      <c r="U1257" s="5" t="s">
        <v>11636</v>
      </c>
      <c r="V1257" s="5" t="s">
        <v>11627</v>
      </c>
      <c r="W1257" s="5" t="s">
        <v>69</v>
      </c>
      <c r="X1257" s="5" t="s">
        <v>69</v>
      </c>
      <c r="Y1257" s="4">
        <v>1108</v>
      </c>
      <c r="Z1257" s="4">
        <v>38</v>
      </c>
      <c r="AA1257" s="4">
        <v>136</v>
      </c>
      <c r="AB1257" s="4">
        <v>1</v>
      </c>
      <c r="AC1257" s="4">
        <v>18</v>
      </c>
      <c r="AD1257" s="4">
        <v>97</v>
      </c>
      <c r="AE1257" s="4">
        <v>161</v>
      </c>
      <c r="AF1257" s="4">
        <v>0</v>
      </c>
      <c r="AG1257" s="4">
        <v>5</v>
      </c>
      <c r="AH1257" s="4">
        <v>79</v>
      </c>
      <c r="AI1257" s="4">
        <v>115</v>
      </c>
      <c r="AJ1257" s="4">
        <v>15</v>
      </c>
      <c r="AK1257" s="4">
        <v>27</v>
      </c>
      <c r="AL1257" s="4">
        <v>43</v>
      </c>
      <c r="AM1257" s="4">
        <v>64</v>
      </c>
      <c r="AN1257" s="4">
        <v>0</v>
      </c>
      <c r="AO1257" s="4">
        <v>11</v>
      </c>
      <c r="AP1257" s="4">
        <v>25</v>
      </c>
      <c r="AQ1257" s="4">
        <v>51</v>
      </c>
      <c r="AR1257" s="3" t="s">
        <v>63</v>
      </c>
      <c r="AS1257" s="3" t="s">
        <v>63</v>
      </c>
      <c r="AT1257" s="3" t="s">
        <v>62</v>
      </c>
      <c r="AU1257" s="6" t="str">
        <f>HYPERLINK("http://catalog.hathitrust.org/Record/004514014","HathiTrust Record")</f>
        <v>HathiTrust Record</v>
      </c>
      <c r="AV1257" s="6" t="str">
        <f>HYPERLINK("http://mcgill.on.worldcat.org/oclc/581631","Catalog Record")</f>
        <v>Catalog Record</v>
      </c>
      <c r="AW1257" s="6" t="str">
        <f>HYPERLINK("http://www.worldcat.org/oclc/581631","WorldCat Record")</f>
        <v>WorldCat Record</v>
      </c>
      <c r="AX1257" s="3" t="s">
        <v>10835</v>
      </c>
      <c r="AY1257" s="3" t="s">
        <v>11628</v>
      </c>
      <c r="AZ1257" s="3" t="s">
        <v>11629</v>
      </c>
      <c r="BA1257" s="3" t="s">
        <v>11629</v>
      </c>
      <c r="BB1257" s="3" t="s">
        <v>11637</v>
      </c>
      <c r="BC1257" s="3" t="s">
        <v>82</v>
      </c>
      <c r="BD1257" s="3" t="s">
        <v>70</v>
      </c>
      <c r="BE1257" s="3" t="s">
        <v>11631</v>
      </c>
      <c r="BF1257" s="3" t="s">
        <v>11637</v>
      </c>
      <c r="BG1257" s="3" t="s">
        <v>11638</v>
      </c>
    </row>
    <row r="1258" spans="1:59" ht="105" x14ac:dyDescent="0.25">
      <c r="A1258" s="2" t="s">
        <v>59</v>
      </c>
      <c r="B1258" s="2" t="s">
        <v>60</v>
      </c>
      <c r="C1258" s="2" t="s">
        <v>11622</v>
      </c>
      <c r="D1258" s="2" t="s">
        <v>11623</v>
      </c>
      <c r="E1258" s="2" t="s">
        <v>11624</v>
      </c>
      <c r="G1258" s="3" t="s">
        <v>63</v>
      </c>
      <c r="I1258" s="3" t="s">
        <v>62</v>
      </c>
      <c r="J1258" s="3" t="s">
        <v>62</v>
      </c>
      <c r="K1258" s="3" t="s">
        <v>64</v>
      </c>
      <c r="L1258" s="2" t="s">
        <v>10454</v>
      </c>
      <c r="M1258" s="2" t="s">
        <v>11625</v>
      </c>
      <c r="N1258" s="3" t="s">
        <v>11626</v>
      </c>
      <c r="P1258" s="3" t="s">
        <v>66</v>
      </c>
      <c r="Q1258" s="2" t="s">
        <v>11492</v>
      </c>
      <c r="R1258" s="3" t="s">
        <v>67</v>
      </c>
      <c r="S1258" s="4">
        <v>10</v>
      </c>
      <c r="T1258" s="4">
        <v>67</v>
      </c>
      <c r="U1258" s="5" t="s">
        <v>11639</v>
      </c>
      <c r="V1258" s="5" t="s">
        <v>11627</v>
      </c>
      <c r="W1258" s="5" t="s">
        <v>69</v>
      </c>
      <c r="X1258" s="5" t="s">
        <v>69</v>
      </c>
      <c r="Y1258" s="4">
        <v>1108</v>
      </c>
      <c r="Z1258" s="4">
        <v>38</v>
      </c>
      <c r="AA1258" s="4">
        <v>136</v>
      </c>
      <c r="AB1258" s="4">
        <v>1</v>
      </c>
      <c r="AC1258" s="4">
        <v>18</v>
      </c>
      <c r="AD1258" s="4">
        <v>97</v>
      </c>
      <c r="AE1258" s="4">
        <v>161</v>
      </c>
      <c r="AF1258" s="4">
        <v>0</v>
      </c>
      <c r="AG1258" s="4">
        <v>5</v>
      </c>
      <c r="AH1258" s="4">
        <v>79</v>
      </c>
      <c r="AI1258" s="4">
        <v>115</v>
      </c>
      <c r="AJ1258" s="4">
        <v>15</v>
      </c>
      <c r="AK1258" s="4">
        <v>27</v>
      </c>
      <c r="AL1258" s="4">
        <v>43</v>
      </c>
      <c r="AM1258" s="4">
        <v>64</v>
      </c>
      <c r="AN1258" s="4">
        <v>0</v>
      </c>
      <c r="AO1258" s="4">
        <v>11</v>
      </c>
      <c r="AP1258" s="4">
        <v>25</v>
      </c>
      <c r="AQ1258" s="4">
        <v>51</v>
      </c>
      <c r="AR1258" s="3" t="s">
        <v>63</v>
      </c>
      <c r="AS1258" s="3" t="s">
        <v>63</v>
      </c>
      <c r="AT1258" s="3" t="s">
        <v>62</v>
      </c>
      <c r="AU1258" s="6" t="str">
        <f>HYPERLINK("http://catalog.hathitrust.org/Record/004514014","HathiTrust Record")</f>
        <v>HathiTrust Record</v>
      </c>
      <c r="AV1258" s="6" t="str">
        <f>HYPERLINK("http://mcgill.on.worldcat.org/oclc/581631","Catalog Record")</f>
        <v>Catalog Record</v>
      </c>
      <c r="AW1258" s="6" t="str">
        <f>HYPERLINK("http://www.worldcat.org/oclc/581631","WorldCat Record")</f>
        <v>WorldCat Record</v>
      </c>
      <c r="AX1258" s="3" t="s">
        <v>10835</v>
      </c>
      <c r="AY1258" s="3" t="s">
        <v>11628</v>
      </c>
      <c r="AZ1258" s="3" t="s">
        <v>11629</v>
      </c>
      <c r="BA1258" s="3" t="s">
        <v>11629</v>
      </c>
      <c r="BB1258" s="3" t="s">
        <v>11640</v>
      </c>
      <c r="BC1258" s="3" t="s">
        <v>82</v>
      </c>
      <c r="BD1258" s="3" t="s">
        <v>70</v>
      </c>
      <c r="BE1258" s="3" t="s">
        <v>11631</v>
      </c>
      <c r="BF1258" s="3" t="s">
        <v>11640</v>
      </c>
      <c r="BG1258" s="3" t="s">
        <v>11641</v>
      </c>
    </row>
    <row r="1259" spans="1:59" ht="105" x14ac:dyDescent="0.25">
      <c r="A1259" s="2" t="s">
        <v>59</v>
      </c>
      <c r="B1259" s="2" t="s">
        <v>60</v>
      </c>
      <c r="C1259" s="2" t="s">
        <v>11622</v>
      </c>
      <c r="D1259" s="2" t="s">
        <v>11623</v>
      </c>
      <c r="E1259" s="2" t="s">
        <v>11624</v>
      </c>
      <c r="G1259" s="3" t="s">
        <v>63</v>
      </c>
      <c r="I1259" s="3" t="s">
        <v>62</v>
      </c>
      <c r="J1259" s="3" t="s">
        <v>62</v>
      </c>
      <c r="K1259" s="3" t="s">
        <v>64</v>
      </c>
      <c r="L1259" s="2" t="s">
        <v>10454</v>
      </c>
      <c r="M1259" s="2" t="s">
        <v>11625</v>
      </c>
      <c r="N1259" s="3" t="s">
        <v>11626</v>
      </c>
      <c r="P1259" s="3" t="s">
        <v>66</v>
      </c>
      <c r="Q1259" s="2" t="s">
        <v>11492</v>
      </c>
      <c r="R1259" s="3" t="s">
        <v>67</v>
      </c>
      <c r="S1259" s="4">
        <v>25</v>
      </c>
      <c r="T1259" s="4">
        <v>67</v>
      </c>
      <c r="U1259" s="5" t="s">
        <v>11627</v>
      </c>
      <c r="V1259" s="5" t="s">
        <v>11627</v>
      </c>
      <c r="W1259" s="5" t="s">
        <v>69</v>
      </c>
      <c r="X1259" s="5" t="s">
        <v>69</v>
      </c>
      <c r="Y1259" s="4">
        <v>1108</v>
      </c>
      <c r="Z1259" s="4">
        <v>38</v>
      </c>
      <c r="AA1259" s="4">
        <v>136</v>
      </c>
      <c r="AB1259" s="4">
        <v>1</v>
      </c>
      <c r="AC1259" s="4">
        <v>18</v>
      </c>
      <c r="AD1259" s="4">
        <v>97</v>
      </c>
      <c r="AE1259" s="4">
        <v>161</v>
      </c>
      <c r="AF1259" s="4">
        <v>0</v>
      </c>
      <c r="AG1259" s="4">
        <v>5</v>
      </c>
      <c r="AH1259" s="4">
        <v>79</v>
      </c>
      <c r="AI1259" s="4">
        <v>115</v>
      </c>
      <c r="AJ1259" s="4">
        <v>15</v>
      </c>
      <c r="AK1259" s="4">
        <v>27</v>
      </c>
      <c r="AL1259" s="4">
        <v>43</v>
      </c>
      <c r="AM1259" s="4">
        <v>64</v>
      </c>
      <c r="AN1259" s="4">
        <v>0</v>
      </c>
      <c r="AO1259" s="4">
        <v>11</v>
      </c>
      <c r="AP1259" s="4">
        <v>25</v>
      </c>
      <c r="AQ1259" s="4">
        <v>51</v>
      </c>
      <c r="AR1259" s="3" t="s">
        <v>63</v>
      </c>
      <c r="AS1259" s="3" t="s">
        <v>63</v>
      </c>
      <c r="AT1259" s="3" t="s">
        <v>62</v>
      </c>
      <c r="AU1259" s="6" t="str">
        <f>HYPERLINK("http://catalog.hathitrust.org/Record/004514014","HathiTrust Record")</f>
        <v>HathiTrust Record</v>
      </c>
      <c r="AV1259" s="6" t="str">
        <f>HYPERLINK("http://mcgill.on.worldcat.org/oclc/581631","Catalog Record")</f>
        <v>Catalog Record</v>
      </c>
      <c r="AW1259" s="6" t="str">
        <f>HYPERLINK("http://www.worldcat.org/oclc/581631","WorldCat Record")</f>
        <v>WorldCat Record</v>
      </c>
      <c r="AX1259" s="3" t="s">
        <v>10835</v>
      </c>
      <c r="AY1259" s="3" t="s">
        <v>11628</v>
      </c>
      <c r="AZ1259" s="3" t="s">
        <v>11629</v>
      </c>
      <c r="BA1259" s="3" t="s">
        <v>11629</v>
      </c>
      <c r="BB1259" s="3" t="s">
        <v>11642</v>
      </c>
      <c r="BC1259" s="3" t="s">
        <v>82</v>
      </c>
      <c r="BD1259" s="3" t="s">
        <v>70</v>
      </c>
      <c r="BE1259" s="3" t="s">
        <v>11631</v>
      </c>
      <c r="BF1259" s="3" t="s">
        <v>11642</v>
      </c>
      <c r="BG1259" s="3" t="s">
        <v>11643</v>
      </c>
    </row>
    <row r="1260" spans="1:59" ht="105" x14ac:dyDescent="0.25">
      <c r="A1260" s="2" t="s">
        <v>59</v>
      </c>
      <c r="B1260" s="2" t="s">
        <v>60</v>
      </c>
      <c r="C1260" s="2" t="s">
        <v>11622</v>
      </c>
      <c r="D1260" s="2" t="s">
        <v>11623</v>
      </c>
      <c r="E1260" s="2" t="s">
        <v>11624</v>
      </c>
      <c r="G1260" s="3" t="s">
        <v>63</v>
      </c>
      <c r="I1260" s="3" t="s">
        <v>62</v>
      </c>
      <c r="J1260" s="3" t="s">
        <v>62</v>
      </c>
      <c r="K1260" s="3" t="s">
        <v>64</v>
      </c>
      <c r="L1260" s="2" t="s">
        <v>10454</v>
      </c>
      <c r="M1260" s="2" t="s">
        <v>11625</v>
      </c>
      <c r="N1260" s="3" t="s">
        <v>11626</v>
      </c>
      <c r="P1260" s="3" t="s">
        <v>66</v>
      </c>
      <c r="Q1260" s="2" t="s">
        <v>11492</v>
      </c>
      <c r="R1260" s="3" t="s">
        <v>67</v>
      </c>
      <c r="S1260" s="4">
        <v>3</v>
      </c>
      <c r="T1260" s="4">
        <v>67</v>
      </c>
      <c r="U1260" s="5" t="s">
        <v>11644</v>
      </c>
      <c r="V1260" s="5" t="s">
        <v>11627</v>
      </c>
      <c r="W1260" s="5" t="s">
        <v>69</v>
      </c>
      <c r="X1260" s="5" t="s">
        <v>69</v>
      </c>
      <c r="Y1260" s="4">
        <v>1108</v>
      </c>
      <c r="Z1260" s="4">
        <v>38</v>
      </c>
      <c r="AA1260" s="4">
        <v>136</v>
      </c>
      <c r="AB1260" s="4">
        <v>1</v>
      </c>
      <c r="AC1260" s="4">
        <v>18</v>
      </c>
      <c r="AD1260" s="4">
        <v>97</v>
      </c>
      <c r="AE1260" s="4">
        <v>161</v>
      </c>
      <c r="AF1260" s="4">
        <v>0</v>
      </c>
      <c r="AG1260" s="4">
        <v>5</v>
      </c>
      <c r="AH1260" s="4">
        <v>79</v>
      </c>
      <c r="AI1260" s="4">
        <v>115</v>
      </c>
      <c r="AJ1260" s="4">
        <v>15</v>
      </c>
      <c r="AK1260" s="4">
        <v>27</v>
      </c>
      <c r="AL1260" s="4">
        <v>43</v>
      </c>
      <c r="AM1260" s="4">
        <v>64</v>
      </c>
      <c r="AN1260" s="4">
        <v>0</v>
      </c>
      <c r="AO1260" s="4">
        <v>11</v>
      </c>
      <c r="AP1260" s="4">
        <v>25</v>
      </c>
      <c r="AQ1260" s="4">
        <v>51</v>
      </c>
      <c r="AR1260" s="3" t="s">
        <v>63</v>
      </c>
      <c r="AS1260" s="3" t="s">
        <v>63</v>
      </c>
      <c r="AT1260" s="3" t="s">
        <v>62</v>
      </c>
      <c r="AU1260" s="6" t="str">
        <f>HYPERLINK("http://catalog.hathitrust.org/Record/004514014","HathiTrust Record")</f>
        <v>HathiTrust Record</v>
      </c>
      <c r="AV1260" s="6" t="str">
        <f>HYPERLINK("http://mcgill.on.worldcat.org/oclc/581631","Catalog Record")</f>
        <v>Catalog Record</v>
      </c>
      <c r="AW1260" s="6" t="str">
        <f>HYPERLINK("http://www.worldcat.org/oclc/581631","WorldCat Record")</f>
        <v>WorldCat Record</v>
      </c>
      <c r="AX1260" s="3" t="s">
        <v>10835</v>
      </c>
      <c r="AY1260" s="3" t="s">
        <v>11628</v>
      </c>
      <c r="AZ1260" s="3" t="s">
        <v>11629</v>
      </c>
      <c r="BA1260" s="3" t="s">
        <v>11629</v>
      </c>
      <c r="BB1260" s="3" t="s">
        <v>11645</v>
      </c>
      <c r="BC1260" s="3" t="s">
        <v>82</v>
      </c>
      <c r="BD1260" s="3" t="s">
        <v>70</v>
      </c>
      <c r="BE1260" s="3" t="s">
        <v>11631</v>
      </c>
      <c r="BF1260" s="3" t="s">
        <v>11645</v>
      </c>
      <c r="BG1260" s="3" t="s">
        <v>11646</v>
      </c>
    </row>
    <row r="1261" spans="1:59" ht="105" x14ac:dyDescent="0.25">
      <c r="A1261" s="2" t="s">
        <v>59</v>
      </c>
      <c r="B1261" s="2" t="s">
        <v>60</v>
      </c>
      <c r="C1261" s="2" t="s">
        <v>11622</v>
      </c>
      <c r="D1261" s="2" t="s">
        <v>11623</v>
      </c>
      <c r="E1261" s="2" t="s">
        <v>11624</v>
      </c>
      <c r="G1261" s="3" t="s">
        <v>63</v>
      </c>
      <c r="I1261" s="3" t="s">
        <v>62</v>
      </c>
      <c r="J1261" s="3" t="s">
        <v>62</v>
      </c>
      <c r="K1261" s="3" t="s">
        <v>64</v>
      </c>
      <c r="L1261" s="2" t="s">
        <v>10454</v>
      </c>
      <c r="M1261" s="2" t="s">
        <v>11625</v>
      </c>
      <c r="N1261" s="3" t="s">
        <v>11626</v>
      </c>
      <c r="P1261" s="3" t="s">
        <v>66</v>
      </c>
      <c r="Q1261" s="2" t="s">
        <v>11492</v>
      </c>
      <c r="R1261" s="3" t="s">
        <v>67</v>
      </c>
      <c r="S1261" s="4">
        <v>5</v>
      </c>
      <c r="T1261" s="4">
        <v>67</v>
      </c>
      <c r="U1261" s="5" t="s">
        <v>11647</v>
      </c>
      <c r="V1261" s="5" t="s">
        <v>11627</v>
      </c>
      <c r="W1261" s="5" t="s">
        <v>69</v>
      </c>
      <c r="X1261" s="5" t="s">
        <v>69</v>
      </c>
      <c r="Y1261" s="4">
        <v>1108</v>
      </c>
      <c r="Z1261" s="4">
        <v>38</v>
      </c>
      <c r="AA1261" s="4">
        <v>136</v>
      </c>
      <c r="AB1261" s="4">
        <v>1</v>
      </c>
      <c r="AC1261" s="4">
        <v>18</v>
      </c>
      <c r="AD1261" s="4">
        <v>97</v>
      </c>
      <c r="AE1261" s="4">
        <v>161</v>
      </c>
      <c r="AF1261" s="4">
        <v>0</v>
      </c>
      <c r="AG1261" s="4">
        <v>5</v>
      </c>
      <c r="AH1261" s="4">
        <v>79</v>
      </c>
      <c r="AI1261" s="4">
        <v>115</v>
      </c>
      <c r="AJ1261" s="4">
        <v>15</v>
      </c>
      <c r="AK1261" s="4">
        <v>27</v>
      </c>
      <c r="AL1261" s="4">
        <v>43</v>
      </c>
      <c r="AM1261" s="4">
        <v>64</v>
      </c>
      <c r="AN1261" s="4">
        <v>0</v>
      </c>
      <c r="AO1261" s="4">
        <v>11</v>
      </c>
      <c r="AP1261" s="4">
        <v>25</v>
      </c>
      <c r="AQ1261" s="4">
        <v>51</v>
      </c>
      <c r="AR1261" s="3" t="s">
        <v>63</v>
      </c>
      <c r="AS1261" s="3" t="s">
        <v>63</v>
      </c>
      <c r="AT1261" s="3" t="s">
        <v>62</v>
      </c>
      <c r="AU1261" s="6" t="str">
        <f>HYPERLINK("http://catalog.hathitrust.org/Record/004514014","HathiTrust Record")</f>
        <v>HathiTrust Record</v>
      </c>
      <c r="AV1261" s="6" t="str">
        <f>HYPERLINK("http://mcgill.on.worldcat.org/oclc/581631","Catalog Record")</f>
        <v>Catalog Record</v>
      </c>
      <c r="AW1261" s="6" t="str">
        <f>HYPERLINK("http://www.worldcat.org/oclc/581631","WorldCat Record")</f>
        <v>WorldCat Record</v>
      </c>
      <c r="AX1261" s="3" t="s">
        <v>10835</v>
      </c>
      <c r="AY1261" s="3" t="s">
        <v>11628</v>
      </c>
      <c r="AZ1261" s="3" t="s">
        <v>11629</v>
      </c>
      <c r="BA1261" s="3" t="s">
        <v>11629</v>
      </c>
      <c r="BB1261" s="3" t="s">
        <v>11648</v>
      </c>
      <c r="BC1261" s="3" t="s">
        <v>82</v>
      </c>
      <c r="BD1261" s="3" t="s">
        <v>70</v>
      </c>
      <c r="BE1261" s="3" t="s">
        <v>11631</v>
      </c>
      <c r="BF1261" s="3" t="s">
        <v>11648</v>
      </c>
      <c r="BG1261" s="3" t="s">
        <v>11649</v>
      </c>
    </row>
    <row r="1262" spans="1:59" ht="60" x14ac:dyDescent="0.25">
      <c r="A1262" s="2" t="s">
        <v>59</v>
      </c>
      <c r="B1262" s="2" t="s">
        <v>60</v>
      </c>
      <c r="C1262" s="2" t="s">
        <v>11650</v>
      </c>
      <c r="D1262" s="2" t="s">
        <v>11651</v>
      </c>
      <c r="E1262" s="2" t="s">
        <v>11652</v>
      </c>
      <c r="G1262" s="3" t="s">
        <v>63</v>
      </c>
      <c r="I1262" s="3" t="s">
        <v>63</v>
      </c>
      <c r="J1262" s="3" t="s">
        <v>62</v>
      </c>
      <c r="K1262" s="3" t="s">
        <v>64</v>
      </c>
      <c r="L1262" s="2" t="s">
        <v>10454</v>
      </c>
      <c r="M1262" s="2" t="s">
        <v>11653</v>
      </c>
      <c r="N1262" s="3" t="s">
        <v>1023</v>
      </c>
      <c r="O1262" s="2" t="s">
        <v>590</v>
      </c>
      <c r="P1262" s="3" t="s">
        <v>66</v>
      </c>
      <c r="Q1262" s="2" t="s">
        <v>11654</v>
      </c>
      <c r="R1262" s="3" t="s">
        <v>67</v>
      </c>
      <c r="S1262" s="4">
        <v>31</v>
      </c>
      <c r="T1262" s="4">
        <v>31</v>
      </c>
      <c r="U1262" s="5" t="s">
        <v>11655</v>
      </c>
      <c r="V1262" s="5" t="s">
        <v>11655</v>
      </c>
      <c r="W1262" s="5" t="s">
        <v>69</v>
      </c>
      <c r="X1262" s="5" t="s">
        <v>69</v>
      </c>
      <c r="Y1262" s="4">
        <v>653</v>
      </c>
      <c r="Z1262" s="4">
        <v>25</v>
      </c>
      <c r="AA1262" s="4">
        <v>136</v>
      </c>
      <c r="AB1262" s="4">
        <v>1</v>
      </c>
      <c r="AC1262" s="4">
        <v>18</v>
      </c>
      <c r="AD1262" s="4">
        <v>88</v>
      </c>
      <c r="AE1262" s="4">
        <v>161</v>
      </c>
      <c r="AF1262" s="4">
        <v>0</v>
      </c>
      <c r="AG1262" s="4">
        <v>5</v>
      </c>
      <c r="AH1262" s="4">
        <v>79</v>
      </c>
      <c r="AI1262" s="4">
        <v>115</v>
      </c>
      <c r="AJ1262" s="4">
        <v>12</v>
      </c>
      <c r="AK1262" s="4">
        <v>27</v>
      </c>
      <c r="AL1262" s="4">
        <v>48</v>
      </c>
      <c r="AM1262" s="4">
        <v>64</v>
      </c>
      <c r="AN1262" s="4">
        <v>0</v>
      </c>
      <c r="AO1262" s="4">
        <v>11</v>
      </c>
      <c r="AP1262" s="4">
        <v>13</v>
      </c>
      <c r="AQ1262" s="4">
        <v>51</v>
      </c>
      <c r="AR1262" s="3" t="s">
        <v>63</v>
      </c>
      <c r="AS1262" s="3" t="s">
        <v>63</v>
      </c>
      <c r="AT1262" s="3" t="s">
        <v>62</v>
      </c>
      <c r="AU1262" s="6" t="str">
        <f>HYPERLINK("http://catalog.hathitrust.org/Record/002915812","HathiTrust Record")</f>
        <v>HathiTrust Record</v>
      </c>
      <c r="AV1262" s="6" t="str">
        <f>HYPERLINK("http://mcgill.on.worldcat.org/oclc/28887913","Catalog Record")</f>
        <v>Catalog Record</v>
      </c>
      <c r="AW1262" s="6" t="str">
        <f>HYPERLINK("http://www.worldcat.org/oclc/28887913","WorldCat Record")</f>
        <v>WorldCat Record</v>
      </c>
      <c r="AX1262" s="3" t="s">
        <v>10835</v>
      </c>
      <c r="AY1262" s="3" t="s">
        <v>11656</v>
      </c>
      <c r="AZ1262" s="3" t="s">
        <v>11657</v>
      </c>
      <c r="BA1262" s="3" t="s">
        <v>11657</v>
      </c>
      <c r="BB1262" s="3" t="s">
        <v>11658</v>
      </c>
      <c r="BC1262" s="3" t="s">
        <v>82</v>
      </c>
      <c r="BD1262" s="3" t="s">
        <v>538</v>
      </c>
      <c r="BE1262" s="3" t="s">
        <v>11659</v>
      </c>
      <c r="BF1262" s="3" t="s">
        <v>11658</v>
      </c>
      <c r="BG1262" s="3" t="s">
        <v>11660</v>
      </c>
    </row>
    <row r="1263" spans="1:59" ht="60" x14ac:dyDescent="0.25">
      <c r="A1263" s="2" t="s">
        <v>59</v>
      </c>
      <c r="B1263" s="2" t="s">
        <v>60</v>
      </c>
      <c r="C1263" s="2" t="s">
        <v>11696</v>
      </c>
      <c r="D1263" s="2" t="s">
        <v>11697</v>
      </c>
      <c r="E1263" s="2" t="s">
        <v>11698</v>
      </c>
      <c r="G1263" s="3" t="s">
        <v>63</v>
      </c>
      <c r="I1263" s="3" t="s">
        <v>63</v>
      </c>
      <c r="J1263" s="3" t="s">
        <v>62</v>
      </c>
      <c r="K1263" s="3" t="s">
        <v>64</v>
      </c>
      <c r="L1263" s="2" t="s">
        <v>10454</v>
      </c>
      <c r="M1263" s="2" t="s">
        <v>11699</v>
      </c>
      <c r="P1263" s="3" t="s">
        <v>66</v>
      </c>
      <c r="R1263" s="3" t="s">
        <v>67</v>
      </c>
      <c r="S1263" s="4">
        <v>43</v>
      </c>
      <c r="T1263" s="4">
        <v>43</v>
      </c>
      <c r="U1263" s="5" t="s">
        <v>11700</v>
      </c>
      <c r="V1263" s="5" t="s">
        <v>11700</v>
      </c>
      <c r="W1263" s="5" t="s">
        <v>69</v>
      </c>
      <c r="X1263" s="5" t="s">
        <v>69</v>
      </c>
      <c r="Y1263" s="4">
        <v>48</v>
      </c>
      <c r="Z1263" s="4">
        <v>3</v>
      </c>
      <c r="AA1263" s="4">
        <v>235</v>
      </c>
      <c r="AB1263" s="4">
        <v>1</v>
      </c>
      <c r="AC1263" s="4">
        <v>27</v>
      </c>
      <c r="AD1263" s="4">
        <v>8</v>
      </c>
      <c r="AE1263" s="4">
        <v>175</v>
      </c>
      <c r="AF1263" s="4">
        <v>0</v>
      </c>
      <c r="AG1263" s="4">
        <v>9</v>
      </c>
      <c r="AH1263" s="4">
        <v>5</v>
      </c>
      <c r="AI1263" s="4">
        <v>115</v>
      </c>
      <c r="AJ1263" s="4">
        <v>0</v>
      </c>
      <c r="AK1263" s="4">
        <v>29</v>
      </c>
      <c r="AL1263" s="4">
        <v>2</v>
      </c>
      <c r="AM1263" s="4">
        <v>65</v>
      </c>
      <c r="AN1263" s="4">
        <v>0</v>
      </c>
      <c r="AO1263" s="4">
        <v>18</v>
      </c>
      <c r="AP1263" s="4">
        <v>2</v>
      </c>
      <c r="AQ1263" s="4">
        <v>63</v>
      </c>
      <c r="AR1263" s="3" t="s">
        <v>63</v>
      </c>
      <c r="AS1263" s="3" t="s">
        <v>63</v>
      </c>
      <c r="AT1263" s="3" t="s">
        <v>63</v>
      </c>
      <c r="AV1263" s="6" t="str">
        <f>HYPERLINK("http://mcgill.on.worldcat.org/oclc/7541649","Catalog Record")</f>
        <v>Catalog Record</v>
      </c>
      <c r="AW1263" s="6" t="str">
        <f>HYPERLINK("http://www.worldcat.org/oclc/7541649","WorldCat Record")</f>
        <v>WorldCat Record</v>
      </c>
      <c r="AX1263" s="3" t="s">
        <v>11667</v>
      </c>
      <c r="AY1263" s="3" t="s">
        <v>11701</v>
      </c>
      <c r="AZ1263" s="3" t="s">
        <v>11702</v>
      </c>
      <c r="BA1263" s="3" t="s">
        <v>11702</v>
      </c>
      <c r="BB1263" s="3" t="s">
        <v>11703</v>
      </c>
      <c r="BC1263" s="3" t="s">
        <v>82</v>
      </c>
      <c r="BD1263" s="3" t="s">
        <v>70</v>
      </c>
      <c r="BF1263" s="3" t="s">
        <v>11703</v>
      </c>
      <c r="BG1263" s="3" t="s">
        <v>11704</v>
      </c>
    </row>
    <row r="1264" spans="1:59" ht="60" x14ac:dyDescent="0.25">
      <c r="A1264" s="2" t="s">
        <v>59</v>
      </c>
      <c r="B1264" s="2" t="s">
        <v>60</v>
      </c>
      <c r="C1264" s="2" t="s">
        <v>11705</v>
      </c>
      <c r="D1264" s="2" t="s">
        <v>11706</v>
      </c>
      <c r="E1264" s="2" t="s">
        <v>11707</v>
      </c>
      <c r="F1264" s="3" t="s">
        <v>2601</v>
      </c>
      <c r="G1264" s="3" t="s">
        <v>62</v>
      </c>
      <c r="I1264" s="3" t="s">
        <v>63</v>
      </c>
      <c r="J1264" s="3" t="s">
        <v>62</v>
      </c>
      <c r="K1264" s="3" t="s">
        <v>64</v>
      </c>
      <c r="L1264" s="2" t="s">
        <v>10454</v>
      </c>
      <c r="M1264" s="2" t="s">
        <v>11708</v>
      </c>
      <c r="N1264" s="3" t="s">
        <v>2182</v>
      </c>
      <c r="P1264" s="3" t="s">
        <v>66</v>
      </c>
      <c r="Q1264" s="2" t="s">
        <v>11709</v>
      </c>
      <c r="R1264" s="3" t="s">
        <v>67</v>
      </c>
      <c r="S1264" s="4">
        <v>69</v>
      </c>
      <c r="T1264" s="4">
        <v>126</v>
      </c>
      <c r="U1264" s="5" t="s">
        <v>11547</v>
      </c>
      <c r="V1264" s="5" t="s">
        <v>11547</v>
      </c>
      <c r="W1264" s="5" t="s">
        <v>69</v>
      </c>
      <c r="X1264" s="5" t="s">
        <v>69</v>
      </c>
      <c r="Y1264" s="4">
        <v>259</v>
      </c>
      <c r="Z1264" s="4">
        <v>26</v>
      </c>
      <c r="AA1264" s="4">
        <v>235</v>
      </c>
      <c r="AB1264" s="4">
        <v>1</v>
      </c>
      <c r="AC1264" s="4">
        <v>27</v>
      </c>
      <c r="AD1264" s="4">
        <v>52</v>
      </c>
      <c r="AE1264" s="4">
        <v>175</v>
      </c>
      <c r="AF1264" s="4">
        <v>0</v>
      </c>
      <c r="AG1264" s="4">
        <v>9</v>
      </c>
      <c r="AH1264" s="4">
        <v>37</v>
      </c>
      <c r="AI1264" s="4">
        <v>115</v>
      </c>
      <c r="AJ1264" s="4">
        <v>9</v>
      </c>
      <c r="AK1264" s="4">
        <v>29</v>
      </c>
      <c r="AL1264" s="4">
        <v>22</v>
      </c>
      <c r="AM1264" s="4">
        <v>65</v>
      </c>
      <c r="AN1264" s="4">
        <v>5</v>
      </c>
      <c r="AO1264" s="4">
        <v>18</v>
      </c>
      <c r="AP1264" s="4">
        <v>18</v>
      </c>
      <c r="AQ1264" s="4">
        <v>63</v>
      </c>
      <c r="AR1264" s="3" t="s">
        <v>63</v>
      </c>
      <c r="AS1264" s="3" t="s">
        <v>63</v>
      </c>
      <c r="AT1264" s="3" t="s">
        <v>62</v>
      </c>
      <c r="AU1264" s="6" t="str">
        <f>HYPERLINK("http://catalog.hathitrust.org/Record/001847624","HathiTrust Record")</f>
        <v>HathiTrust Record</v>
      </c>
      <c r="AV1264" s="6" t="str">
        <f>HYPERLINK("http://mcgill.on.worldcat.org/oclc/1136425","Catalog Record")</f>
        <v>Catalog Record</v>
      </c>
      <c r="AW1264" s="6" t="str">
        <f>HYPERLINK("http://www.worldcat.org/oclc/1136425","WorldCat Record")</f>
        <v>WorldCat Record</v>
      </c>
      <c r="AX1264" s="3" t="s">
        <v>11667</v>
      </c>
      <c r="AY1264" s="3" t="s">
        <v>11710</v>
      </c>
      <c r="AZ1264" s="3" t="s">
        <v>11711</v>
      </c>
      <c r="BA1264" s="3" t="s">
        <v>11711</v>
      </c>
      <c r="BB1264" s="3" t="s">
        <v>11712</v>
      </c>
      <c r="BC1264" s="3" t="s">
        <v>82</v>
      </c>
      <c r="BD1264" s="3" t="s">
        <v>70</v>
      </c>
      <c r="BE1264" s="3" t="s">
        <v>11713</v>
      </c>
      <c r="BF1264" s="3" t="s">
        <v>11712</v>
      </c>
      <c r="BG1264" s="3" t="s">
        <v>11714</v>
      </c>
    </row>
    <row r="1265" spans="1:59" ht="60" x14ac:dyDescent="0.25">
      <c r="A1265" s="2" t="s">
        <v>59</v>
      </c>
      <c r="B1265" s="2" t="s">
        <v>60</v>
      </c>
      <c r="C1265" s="2" t="s">
        <v>11705</v>
      </c>
      <c r="D1265" s="2" t="s">
        <v>11706</v>
      </c>
      <c r="E1265" s="2" t="s">
        <v>11707</v>
      </c>
      <c r="F1265" s="3" t="s">
        <v>4181</v>
      </c>
      <c r="G1265" s="3" t="s">
        <v>62</v>
      </c>
      <c r="I1265" s="3" t="s">
        <v>63</v>
      </c>
      <c r="J1265" s="3" t="s">
        <v>62</v>
      </c>
      <c r="K1265" s="3" t="s">
        <v>64</v>
      </c>
      <c r="L1265" s="2" t="s">
        <v>10454</v>
      </c>
      <c r="M1265" s="2" t="s">
        <v>11708</v>
      </c>
      <c r="N1265" s="3" t="s">
        <v>2182</v>
      </c>
      <c r="P1265" s="3" t="s">
        <v>66</v>
      </c>
      <c r="Q1265" s="2" t="s">
        <v>11709</v>
      </c>
      <c r="R1265" s="3" t="s">
        <v>67</v>
      </c>
      <c r="S1265" s="4">
        <v>57</v>
      </c>
      <c r="T1265" s="4">
        <v>126</v>
      </c>
      <c r="U1265" s="5" t="s">
        <v>11547</v>
      </c>
      <c r="V1265" s="5" t="s">
        <v>11547</v>
      </c>
      <c r="W1265" s="5" t="s">
        <v>69</v>
      </c>
      <c r="X1265" s="5" t="s">
        <v>69</v>
      </c>
      <c r="Y1265" s="4">
        <v>259</v>
      </c>
      <c r="Z1265" s="4">
        <v>26</v>
      </c>
      <c r="AA1265" s="4">
        <v>235</v>
      </c>
      <c r="AB1265" s="4">
        <v>1</v>
      </c>
      <c r="AC1265" s="4">
        <v>27</v>
      </c>
      <c r="AD1265" s="4">
        <v>52</v>
      </c>
      <c r="AE1265" s="4">
        <v>175</v>
      </c>
      <c r="AF1265" s="4">
        <v>0</v>
      </c>
      <c r="AG1265" s="4">
        <v>9</v>
      </c>
      <c r="AH1265" s="4">
        <v>37</v>
      </c>
      <c r="AI1265" s="4">
        <v>115</v>
      </c>
      <c r="AJ1265" s="4">
        <v>9</v>
      </c>
      <c r="AK1265" s="4">
        <v>29</v>
      </c>
      <c r="AL1265" s="4">
        <v>22</v>
      </c>
      <c r="AM1265" s="4">
        <v>65</v>
      </c>
      <c r="AN1265" s="4">
        <v>5</v>
      </c>
      <c r="AO1265" s="4">
        <v>18</v>
      </c>
      <c r="AP1265" s="4">
        <v>18</v>
      </c>
      <c r="AQ1265" s="4">
        <v>63</v>
      </c>
      <c r="AR1265" s="3" t="s">
        <v>63</v>
      </c>
      <c r="AS1265" s="3" t="s">
        <v>63</v>
      </c>
      <c r="AT1265" s="3" t="s">
        <v>62</v>
      </c>
      <c r="AU1265" s="6" t="str">
        <f>HYPERLINK("http://catalog.hathitrust.org/Record/001847624","HathiTrust Record")</f>
        <v>HathiTrust Record</v>
      </c>
      <c r="AV1265" s="6" t="str">
        <f>HYPERLINK("http://mcgill.on.worldcat.org/oclc/1136425","Catalog Record")</f>
        <v>Catalog Record</v>
      </c>
      <c r="AW1265" s="6" t="str">
        <f>HYPERLINK("http://www.worldcat.org/oclc/1136425","WorldCat Record")</f>
        <v>WorldCat Record</v>
      </c>
      <c r="AX1265" s="3" t="s">
        <v>11667</v>
      </c>
      <c r="AY1265" s="3" t="s">
        <v>11710</v>
      </c>
      <c r="AZ1265" s="3" t="s">
        <v>11711</v>
      </c>
      <c r="BA1265" s="3" t="s">
        <v>11711</v>
      </c>
      <c r="BB1265" s="3" t="s">
        <v>11715</v>
      </c>
      <c r="BC1265" s="3" t="s">
        <v>82</v>
      </c>
      <c r="BD1265" s="3" t="s">
        <v>70</v>
      </c>
      <c r="BE1265" s="3" t="s">
        <v>11713</v>
      </c>
      <c r="BF1265" s="3" t="s">
        <v>11715</v>
      </c>
      <c r="BG1265" s="3" t="s">
        <v>11716</v>
      </c>
    </row>
    <row r="1266" spans="1:59" ht="60" x14ac:dyDescent="0.25">
      <c r="A1266" s="2" t="s">
        <v>59</v>
      </c>
      <c r="B1266" s="2" t="s">
        <v>60</v>
      </c>
      <c r="C1266" s="2" t="s">
        <v>11717</v>
      </c>
      <c r="D1266" s="2" t="s">
        <v>11718</v>
      </c>
      <c r="E1266" s="2" t="s">
        <v>11719</v>
      </c>
      <c r="G1266" s="3" t="s">
        <v>63</v>
      </c>
      <c r="I1266" s="3" t="s">
        <v>63</v>
      </c>
      <c r="J1266" s="3" t="s">
        <v>63</v>
      </c>
      <c r="K1266" s="3" t="s">
        <v>64</v>
      </c>
      <c r="L1266" s="2" t="s">
        <v>10688</v>
      </c>
      <c r="M1266" s="2" t="s">
        <v>11720</v>
      </c>
      <c r="N1266" s="3" t="s">
        <v>1023</v>
      </c>
      <c r="P1266" s="3" t="s">
        <v>66</v>
      </c>
      <c r="Q1266" s="2" t="s">
        <v>11721</v>
      </c>
      <c r="R1266" s="3" t="s">
        <v>67</v>
      </c>
      <c r="S1266" s="4">
        <v>93</v>
      </c>
      <c r="T1266" s="4">
        <v>93</v>
      </c>
      <c r="U1266" s="5" t="s">
        <v>11722</v>
      </c>
      <c r="V1266" s="5" t="s">
        <v>11722</v>
      </c>
      <c r="W1266" s="5" t="s">
        <v>69</v>
      </c>
      <c r="X1266" s="5" t="s">
        <v>69</v>
      </c>
      <c r="Y1266" s="4">
        <v>143</v>
      </c>
      <c r="Z1266" s="4">
        <v>8</v>
      </c>
      <c r="AA1266" s="4">
        <v>96</v>
      </c>
      <c r="AB1266" s="4">
        <v>1</v>
      </c>
      <c r="AC1266" s="4">
        <v>17</v>
      </c>
      <c r="AD1266" s="4">
        <v>38</v>
      </c>
      <c r="AE1266" s="4">
        <v>114</v>
      </c>
      <c r="AF1266" s="4">
        <v>0</v>
      </c>
      <c r="AG1266" s="4">
        <v>8</v>
      </c>
      <c r="AH1266" s="4">
        <v>37</v>
      </c>
      <c r="AI1266" s="4">
        <v>79</v>
      </c>
      <c r="AJ1266" s="4">
        <v>3</v>
      </c>
      <c r="AK1266" s="4">
        <v>19</v>
      </c>
      <c r="AL1266" s="4">
        <v>27</v>
      </c>
      <c r="AM1266" s="4">
        <v>45</v>
      </c>
      <c r="AN1266" s="4">
        <v>0</v>
      </c>
      <c r="AO1266" s="4">
        <v>0</v>
      </c>
      <c r="AP1266" s="4">
        <v>3</v>
      </c>
      <c r="AQ1266" s="4">
        <v>41</v>
      </c>
      <c r="AR1266" s="3" t="s">
        <v>63</v>
      </c>
      <c r="AS1266" s="3" t="s">
        <v>63</v>
      </c>
      <c r="AT1266" s="3" t="s">
        <v>63</v>
      </c>
      <c r="AV1266" s="6" t="str">
        <f>HYPERLINK("http://mcgill.on.worldcat.org/oclc/29844927","Catalog Record")</f>
        <v>Catalog Record</v>
      </c>
      <c r="AW1266" s="6" t="str">
        <f>HYPERLINK("http://www.worldcat.org/oclc/29844927","WorldCat Record")</f>
        <v>WorldCat Record</v>
      </c>
      <c r="AX1266" s="3" t="s">
        <v>11723</v>
      </c>
      <c r="AY1266" s="3" t="s">
        <v>11724</v>
      </c>
      <c r="AZ1266" s="3" t="s">
        <v>11725</v>
      </c>
      <c r="BA1266" s="3" t="s">
        <v>11725</v>
      </c>
      <c r="BB1266" s="3" t="s">
        <v>11726</v>
      </c>
      <c r="BC1266" s="3" t="s">
        <v>82</v>
      </c>
      <c r="BD1266" s="3" t="s">
        <v>70</v>
      </c>
      <c r="BE1266" s="3" t="s">
        <v>11727</v>
      </c>
      <c r="BF1266" s="3" t="s">
        <v>11726</v>
      </c>
      <c r="BG1266" s="3" t="s">
        <v>11728</v>
      </c>
    </row>
    <row r="1267" spans="1:59" ht="75" x14ac:dyDescent="0.25">
      <c r="A1267" s="2" t="s">
        <v>59</v>
      </c>
      <c r="B1267" s="2" t="s">
        <v>60</v>
      </c>
      <c r="C1267" s="2" t="s">
        <v>11729</v>
      </c>
      <c r="D1267" s="2" t="s">
        <v>11730</v>
      </c>
      <c r="E1267" s="2" t="s">
        <v>11731</v>
      </c>
      <c r="G1267" s="3" t="s">
        <v>63</v>
      </c>
      <c r="I1267" s="3" t="s">
        <v>62</v>
      </c>
      <c r="J1267" s="3" t="s">
        <v>62</v>
      </c>
      <c r="K1267" s="3" t="s">
        <v>64</v>
      </c>
      <c r="L1267" s="2" t="s">
        <v>10454</v>
      </c>
      <c r="M1267" s="2" t="s">
        <v>11732</v>
      </c>
      <c r="N1267" s="3" t="s">
        <v>1226</v>
      </c>
      <c r="P1267" s="3" t="s">
        <v>66</v>
      </c>
      <c r="Q1267" s="2" t="s">
        <v>9341</v>
      </c>
      <c r="R1267" s="3" t="s">
        <v>67</v>
      </c>
      <c r="S1267" s="4">
        <v>63</v>
      </c>
      <c r="T1267" s="4">
        <v>112</v>
      </c>
      <c r="U1267" s="5" t="s">
        <v>11733</v>
      </c>
      <c r="V1267" s="5" t="s">
        <v>11733</v>
      </c>
      <c r="W1267" s="5" t="s">
        <v>69</v>
      </c>
      <c r="X1267" s="5" t="s">
        <v>69</v>
      </c>
      <c r="Y1267" s="4">
        <v>486</v>
      </c>
      <c r="Z1267" s="4">
        <v>21</v>
      </c>
      <c r="AA1267" s="4">
        <v>74</v>
      </c>
      <c r="AB1267" s="4">
        <v>1</v>
      </c>
      <c r="AC1267" s="4">
        <v>4</v>
      </c>
      <c r="AD1267" s="4">
        <v>32</v>
      </c>
      <c r="AE1267" s="4">
        <v>131</v>
      </c>
      <c r="AF1267" s="4">
        <v>0</v>
      </c>
      <c r="AG1267" s="4">
        <v>0</v>
      </c>
      <c r="AH1267" s="4">
        <v>30</v>
      </c>
      <c r="AI1267" s="4">
        <v>106</v>
      </c>
      <c r="AJ1267" s="4">
        <v>5</v>
      </c>
      <c r="AK1267" s="4">
        <v>16</v>
      </c>
      <c r="AL1267" s="4">
        <v>17</v>
      </c>
      <c r="AM1267" s="4">
        <v>62</v>
      </c>
      <c r="AN1267" s="4">
        <v>0</v>
      </c>
      <c r="AO1267" s="4">
        <v>5</v>
      </c>
      <c r="AP1267" s="4">
        <v>5</v>
      </c>
      <c r="AQ1267" s="4">
        <v>29</v>
      </c>
      <c r="AR1267" s="3" t="s">
        <v>63</v>
      </c>
      <c r="AS1267" s="3" t="s">
        <v>63</v>
      </c>
      <c r="AT1267" s="3" t="s">
        <v>63</v>
      </c>
      <c r="AV1267" s="6" t="str">
        <f>HYPERLINK("http://mcgill.on.worldcat.org/oclc/51108975","Catalog Record")</f>
        <v>Catalog Record</v>
      </c>
      <c r="AW1267" s="6" t="str">
        <f>HYPERLINK("http://www.worldcat.org/oclc/51108975","WorldCat Record")</f>
        <v>WorldCat Record</v>
      </c>
      <c r="AX1267" s="3" t="s">
        <v>11688</v>
      </c>
      <c r="AY1267" s="3" t="s">
        <v>11734</v>
      </c>
      <c r="AZ1267" s="3" t="s">
        <v>11735</v>
      </c>
      <c r="BA1267" s="3" t="s">
        <v>11735</v>
      </c>
      <c r="BB1267" s="3" t="s">
        <v>11736</v>
      </c>
      <c r="BC1267" s="3" t="s">
        <v>82</v>
      </c>
      <c r="BD1267" s="3" t="s">
        <v>70</v>
      </c>
      <c r="BE1267" s="3" t="s">
        <v>11737</v>
      </c>
      <c r="BF1267" s="3" t="s">
        <v>11736</v>
      </c>
      <c r="BG1267" s="3" t="s">
        <v>11738</v>
      </c>
    </row>
    <row r="1268" spans="1:59" ht="75" x14ac:dyDescent="0.25">
      <c r="A1268" s="2" t="s">
        <v>59</v>
      </c>
      <c r="B1268" s="2" t="s">
        <v>60</v>
      </c>
      <c r="C1268" s="2" t="s">
        <v>11729</v>
      </c>
      <c r="D1268" s="2" t="s">
        <v>11730</v>
      </c>
      <c r="E1268" s="2" t="s">
        <v>11731</v>
      </c>
      <c r="G1268" s="3" t="s">
        <v>63</v>
      </c>
      <c r="I1268" s="3" t="s">
        <v>62</v>
      </c>
      <c r="J1268" s="3" t="s">
        <v>62</v>
      </c>
      <c r="K1268" s="3" t="s">
        <v>64</v>
      </c>
      <c r="L1268" s="2" t="s">
        <v>10454</v>
      </c>
      <c r="M1268" s="2" t="s">
        <v>11732</v>
      </c>
      <c r="N1268" s="3" t="s">
        <v>1226</v>
      </c>
      <c r="P1268" s="3" t="s">
        <v>66</v>
      </c>
      <c r="Q1268" s="2" t="s">
        <v>9341</v>
      </c>
      <c r="R1268" s="3" t="s">
        <v>67</v>
      </c>
      <c r="S1268" s="4">
        <v>49</v>
      </c>
      <c r="T1268" s="4">
        <v>112</v>
      </c>
      <c r="U1268" s="5" t="s">
        <v>11739</v>
      </c>
      <c r="V1268" s="5" t="s">
        <v>11733</v>
      </c>
      <c r="W1268" s="5" t="s">
        <v>69</v>
      </c>
      <c r="X1268" s="5" t="s">
        <v>69</v>
      </c>
      <c r="Y1268" s="4">
        <v>486</v>
      </c>
      <c r="Z1268" s="4">
        <v>21</v>
      </c>
      <c r="AA1268" s="4">
        <v>74</v>
      </c>
      <c r="AB1268" s="4">
        <v>1</v>
      </c>
      <c r="AC1268" s="4">
        <v>4</v>
      </c>
      <c r="AD1268" s="4">
        <v>32</v>
      </c>
      <c r="AE1268" s="4">
        <v>131</v>
      </c>
      <c r="AF1268" s="4">
        <v>0</v>
      </c>
      <c r="AG1268" s="4">
        <v>0</v>
      </c>
      <c r="AH1268" s="4">
        <v>30</v>
      </c>
      <c r="AI1268" s="4">
        <v>106</v>
      </c>
      <c r="AJ1268" s="4">
        <v>5</v>
      </c>
      <c r="AK1268" s="4">
        <v>16</v>
      </c>
      <c r="AL1268" s="4">
        <v>17</v>
      </c>
      <c r="AM1268" s="4">
        <v>62</v>
      </c>
      <c r="AN1268" s="4">
        <v>0</v>
      </c>
      <c r="AO1268" s="4">
        <v>5</v>
      </c>
      <c r="AP1268" s="4">
        <v>5</v>
      </c>
      <c r="AQ1268" s="4">
        <v>29</v>
      </c>
      <c r="AR1268" s="3" t="s">
        <v>63</v>
      </c>
      <c r="AS1268" s="3" t="s">
        <v>63</v>
      </c>
      <c r="AT1268" s="3" t="s">
        <v>63</v>
      </c>
      <c r="AV1268" s="6" t="str">
        <f>HYPERLINK("http://mcgill.on.worldcat.org/oclc/51108975","Catalog Record")</f>
        <v>Catalog Record</v>
      </c>
      <c r="AW1268" s="6" t="str">
        <f>HYPERLINK("http://www.worldcat.org/oclc/51108975","WorldCat Record")</f>
        <v>WorldCat Record</v>
      </c>
      <c r="AX1268" s="3" t="s">
        <v>11688</v>
      </c>
      <c r="AY1268" s="3" t="s">
        <v>11734</v>
      </c>
      <c r="AZ1268" s="3" t="s">
        <v>11735</v>
      </c>
      <c r="BA1268" s="3" t="s">
        <v>11735</v>
      </c>
      <c r="BB1268" s="3" t="s">
        <v>11740</v>
      </c>
      <c r="BC1268" s="3" t="s">
        <v>82</v>
      </c>
      <c r="BD1268" s="3" t="s">
        <v>538</v>
      </c>
      <c r="BE1268" s="3" t="s">
        <v>11737</v>
      </c>
      <c r="BF1268" s="3" t="s">
        <v>11740</v>
      </c>
      <c r="BG1268" s="3" t="s">
        <v>11741</v>
      </c>
    </row>
    <row r="1269" spans="1:59" ht="60" x14ac:dyDescent="0.25">
      <c r="A1269" s="2" t="s">
        <v>59</v>
      </c>
      <c r="B1269" s="2" t="s">
        <v>60</v>
      </c>
      <c r="C1269" s="2" t="s">
        <v>11661</v>
      </c>
      <c r="D1269" s="2" t="s">
        <v>11662</v>
      </c>
      <c r="E1269" s="2" t="s">
        <v>11663</v>
      </c>
      <c r="G1269" s="3" t="s">
        <v>63</v>
      </c>
      <c r="I1269" s="3" t="s">
        <v>63</v>
      </c>
      <c r="J1269" s="3" t="s">
        <v>62</v>
      </c>
      <c r="K1269" s="3" t="s">
        <v>64</v>
      </c>
      <c r="L1269" s="2" t="s">
        <v>10454</v>
      </c>
      <c r="M1269" s="2" t="s">
        <v>11664</v>
      </c>
      <c r="N1269" s="3" t="s">
        <v>546</v>
      </c>
      <c r="P1269" s="3" t="s">
        <v>66</v>
      </c>
      <c r="Q1269" s="2" t="s">
        <v>11665</v>
      </c>
      <c r="R1269" s="3" t="s">
        <v>67</v>
      </c>
      <c r="S1269" s="4">
        <v>27</v>
      </c>
      <c r="T1269" s="4">
        <v>27</v>
      </c>
      <c r="U1269" s="5" t="s">
        <v>11666</v>
      </c>
      <c r="V1269" s="5" t="s">
        <v>11666</v>
      </c>
      <c r="W1269" s="5" t="s">
        <v>69</v>
      </c>
      <c r="X1269" s="5" t="s">
        <v>69</v>
      </c>
      <c r="Y1269" s="4">
        <v>679</v>
      </c>
      <c r="Z1269" s="4">
        <v>13</v>
      </c>
      <c r="AA1269" s="4">
        <v>235</v>
      </c>
      <c r="AB1269" s="4">
        <v>1</v>
      </c>
      <c r="AC1269" s="4">
        <v>27</v>
      </c>
      <c r="AD1269" s="4">
        <v>62</v>
      </c>
      <c r="AE1269" s="4">
        <v>175</v>
      </c>
      <c r="AF1269" s="4">
        <v>0</v>
      </c>
      <c r="AG1269" s="4">
        <v>9</v>
      </c>
      <c r="AH1269" s="4">
        <v>57</v>
      </c>
      <c r="AI1269" s="4">
        <v>115</v>
      </c>
      <c r="AJ1269" s="4">
        <v>4</v>
      </c>
      <c r="AK1269" s="4">
        <v>29</v>
      </c>
      <c r="AL1269" s="4">
        <v>34</v>
      </c>
      <c r="AM1269" s="4">
        <v>65</v>
      </c>
      <c r="AN1269" s="4">
        <v>0</v>
      </c>
      <c r="AO1269" s="4">
        <v>18</v>
      </c>
      <c r="AP1269" s="4">
        <v>8</v>
      </c>
      <c r="AQ1269" s="4">
        <v>63</v>
      </c>
      <c r="AR1269" s="3" t="s">
        <v>63</v>
      </c>
      <c r="AS1269" s="3" t="s">
        <v>63</v>
      </c>
      <c r="AT1269" s="3" t="s">
        <v>62</v>
      </c>
      <c r="AU1269" s="6" t="str">
        <f>HYPERLINK("http://catalog.hathitrust.org/Record/001108474","HathiTrust Record")</f>
        <v>HathiTrust Record</v>
      </c>
      <c r="AV1269" s="6" t="str">
        <f>HYPERLINK("http://mcgill.on.worldcat.org/oclc/319669","Catalog Record")</f>
        <v>Catalog Record</v>
      </c>
      <c r="AW1269" s="6" t="str">
        <f>HYPERLINK("http://www.worldcat.org/oclc/319669","WorldCat Record")</f>
        <v>WorldCat Record</v>
      </c>
      <c r="AX1269" s="3" t="s">
        <v>11667</v>
      </c>
      <c r="AY1269" s="3" t="s">
        <v>11668</v>
      </c>
      <c r="AZ1269" s="3" t="s">
        <v>11669</v>
      </c>
      <c r="BA1269" s="3" t="s">
        <v>11669</v>
      </c>
      <c r="BB1269" s="3" t="s">
        <v>11670</v>
      </c>
      <c r="BC1269" s="3" t="s">
        <v>82</v>
      </c>
      <c r="BD1269" s="3" t="s">
        <v>70</v>
      </c>
      <c r="BE1269" s="3" t="s">
        <v>11671</v>
      </c>
      <c r="BF1269" s="3" t="s">
        <v>11670</v>
      </c>
      <c r="BG1269" s="3" t="s">
        <v>11672</v>
      </c>
    </row>
    <row r="1270" spans="1:59" ht="60" x14ac:dyDescent="0.25">
      <c r="A1270" s="2" t="s">
        <v>59</v>
      </c>
      <c r="B1270" s="2" t="s">
        <v>60</v>
      </c>
      <c r="C1270" s="2" t="s">
        <v>11673</v>
      </c>
      <c r="D1270" s="2" t="s">
        <v>11674</v>
      </c>
      <c r="E1270" s="2" t="s">
        <v>11675</v>
      </c>
      <c r="G1270" s="3" t="s">
        <v>63</v>
      </c>
      <c r="I1270" s="3" t="s">
        <v>63</v>
      </c>
      <c r="J1270" s="3" t="s">
        <v>62</v>
      </c>
      <c r="K1270" s="3" t="s">
        <v>64</v>
      </c>
      <c r="L1270" s="2" t="s">
        <v>10454</v>
      </c>
      <c r="M1270" s="2" t="s">
        <v>11676</v>
      </c>
      <c r="N1270" s="3" t="s">
        <v>213</v>
      </c>
      <c r="P1270" s="3" t="s">
        <v>66</v>
      </c>
      <c r="Q1270" s="2" t="s">
        <v>11677</v>
      </c>
      <c r="R1270" s="3" t="s">
        <v>67</v>
      </c>
      <c r="S1270" s="4">
        <v>41</v>
      </c>
      <c r="T1270" s="4">
        <v>41</v>
      </c>
      <c r="U1270" s="5" t="s">
        <v>8393</v>
      </c>
      <c r="V1270" s="5" t="s">
        <v>8393</v>
      </c>
      <c r="W1270" s="5" t="s">
        <v>69</v>
      </c>
      <c r="X1270" s="5" t="s">
        <v>69</v>
      </c>
      <c r="Y1270" s="4">
        <v>263</v>
      </c>
      <c r="Z1270" s="4">
        <v>5</v>
      </c>
      <c r="AA1270" s="4">
        <v>235</v>
      </c>
      <c r="AB1270" s="4">
        <v>1</v>
      </c>
      <c r="AC1270" s="4">
        <v>27</v>
      </c>
      <c r="AD1270" s="4">
        <v>26</v>
      </c>
      <c r="AE1270" s="4">
        <v>175</v>
      </c>
      <c r="AF1270" s="4">
        <v>0</v>
      </c>
      <c r="AG1270" s="4">
        <v>9</v>
      </c>
      <c r="AH1270" s="4">
        <v>24</v>
      </c>
      <c r="AI1270" s="4">
        <v>115</v>
      </c>
      <c r="AJ1270" s="4">
        <v>1</v>
      </c>
      <c r="AK1270" s="4">
        <v>29</v>
      </c>
      <c r="AL1270" s="4">
        <v>11</v>
      </c>
      <c r="AM1270" s="4">
        <v>65</v>
      </c>
      <c r="AN1270" s="4">
        <v>0</v>
      </c>
      <c r="AO1270" s="4">
        <v>18</v>
      </c>
      <c r="AP1270" s="4">
        <v>2</v>
      </c>
      <c r="AQ1270" s="4">
        <v>63</v>
      </c>
      <c r="AR1270" s="3" t="s">
        <v>63</v>
      </c>
      <c r="AS1270" s="3" t="s">
        <v>63</v>
      </c>
      <c r="AT1270" s="3" t="s">
        <v>62</v>
      </c>
      <c r="AU1270" s="6" t="str">
        <f>HYPERLINK("http://catalog.hathitrust.org/Record/009370473","HathiTrust Record")</f>
        <v>HathiTrust Record</v>
      </c>
      <c r="AV1270" s="6" t="str">
        <f>HYPERLINK("http://mcgill.on.worldcat.org/oclc/1259396","Catalog Record")</f>
        <v>Catalog Record</v>
      </c>
      <c r="AW1270" s="6" t="str">
        <f>HYPERLINK("http://www.worldcat.org/oclc/1259396","WorldCat Record")</f>
        <v>WorldCat Record</v>
      </c>
      <c r="AX1270" s="3" t="s">
        <v>11667</v>
      </c>
      <c r="AY1270" s="3" t="s">
        <v>11678</v>
      </c>
      <c r="AZ1270" s="3" t="s">
        <v>11679</v>
      </c>
      <c r="BA1270" s="3" t="s">
        <v>11679</v>
      </c>
      <c r="BB1270" s="3" t="s">
        <v>11680</v>
      </c>
      <c r="BC1270" s="3" t="s">
        <v>82</v>
      </c>
      <c r="BD1270" s="3" t="s">
        <v>70</v>
      </c>
      <c r="BF1270" s="3" t="s">
        <v>11680</v>
      </c>
      <c r="BG1270" s="3" t="s">
        <v>11681</v>
      </c>
    </row>
    <row r="1271" spans="1:59" ht="75" x14ac:dyDescent="0.25">
      <c r="A1271" s="2" t="s">
        <v>59</v>
      </c>
      <c r="B1271" s="2" t="s">
        <v>60</v>
      </c>
      <c r="C1271" s="2" t="s">
        <v>11682</v>
      </c>
      <c r="D1271" s="2" t="s">
        <v>11683</v>
      </c>
      <c r="E1271" s="2" t="s">
        <v>11684</v>
      </c>
      <c r="G1271" s="3" t="s">
        <v>63</v>
      </c>
      <c r="I1271" s="3" t="s">
        <v>62</v>
      </c>
      <c r="J1271" s="3" t="s">
        <v>62</v>
      </c>
      <c r="K1271" s="3" t="s">
        <v>64</v>
      </c>
      <c r="L1271" s="2" t="s">
        <v>10688</v>
      </c>
      <c r="M1271" s="2" t="s">
        <v>11685</v>
      </c>
      <c r="N1271" s="3" t="s">
        <v>668</v>
      </c>
      <c r="P1271" s="3" t="s">
        <v>66</v>
      </c>
      <c r="R1271" s="3" t="s">
        <v>67</v>
      </c>
      <c r="S1271" s="4">
        <v>14</v>
      </c>
      <c r="T1271" s="4">
        <v>95</v>
      </c>
      <c r="U1271" s="5" t="s">
        <v>11686</v>
      </c>
      <c r="V1271" s="5" t="s">
        <v>11687</v>
      </c>
      <c r="W1271" s="5" t="s">
        <v>69</v>
      </c>
      <c r="X1271" s="5" t="s">
        <v>69</v>
      </c>
      <c r="Y1271" s="4">
        <v>666</v>
      </c>
      <c r="Z1271" s="4">
        <v>23</v>
      </c>
      <c r="AA1271" s="4">
        <v>74</v>
      </c>
      <c r="AB1271" s="4">
        <v>1</v>
      </c>
      <c r="AC1271" s="4">
        <v>4</v>
      </c>
      <c r="AD1271" s="4">
        <v>84</v>
      </c>
      <c r="AE1271" s="4">
        <v>131</v>
      </c>
      <c r="AF1271" s="4">
        <v>0</v>
      </c>
      <c r="AG1271" s="4">
        <v>0</v>
      </c>
      <c r="AH1271" s="4">
        <v>75</v>
      </c>
      <c r="AI1271" s="4">
        <v>106</v>
      </c>
      <c r="AJ1271" s="4">
        <v>10</v>
      </c>
      <c r="AK1271" s="4">
        <v>16</v>
      </c>
      <c r="AL1271" s="4">
        <v>48</v>
      </c>
      <c r="AM1271" s="4">
        <v>62</v>
      </c>
      <c r="AN1271" s="4">
        <v>0</v>
      </c>
      <c r="AO1271" s="4">
        <v>5</v>
      </c>
      <c r="AP1271" s="4">
        <v>14</v>
      </c>
      <c r="AQ1271" s="4">
        <v>29</v>
      </c>
      <c r="AR1271" s="3" t="s">
        <v>63</v>
      </c>
      <c r="AS1271" s="3" t="s">
        <v>63</v>
      </c>
      <c r="AT1271" s="3" t="s">
        <v>63</v>
      </c>
      <c r="AV1271" s="6" t="str">
        <f>HYPERLINK("http://mcgill.on.worldcat.org/oclc/20690469","Catalog Record")</f>
        <v>Catalog Record</v>
      </c>
      <c r="AW1271" s="6" t="str">
        <f>HYPERLINK("http://www.worldcat.org/oclc/20690469","WorldCat Record")</f>
        <v>WorldCat Record</v>
      </c>
      <c r="AX1271" s="3" t="s">
        <v>11688</v>
      </c>
      <c r="AY1271" s="3" t="s">
        <v>11689</v>
      </c>
      <c r="AZ1271" s="3" t="s">
        <v>11690</v>
      </c>
      <c r="BA1271" s="3" t="s">
        <v>11690</v>
      </c>
      <c r="BB1271" s="3" t="s">
        <v>11691</v>
      </c>
      <c r="BC1271" s="3" t="s">
        <v>82</v>
      </c>
      <c r="BD1271" s="3" t="s">
        <v>70</v>
      </c>
      <c r="BE1271" s="3" t="s">
        <v>11692</v>
      </c>
      <c r="BF1271" s="3" t="s">
        <v>11691</v>
      </c>
      <c r="BG1271" s="3" t="s">
        <v>11693</v>
      </c>
    </row>
    <row r="1272" spans="1:59" ht="75" x14ac:dyDescent="0.25">
      <c r="A1272" s="2" t="s">
        <v>59</v>
      </c>
      <c r="B1272" s="2" t="s">
        <v>60</v>
      </c>
      <c r="C1272" s="2" t="s">
        <v>11682</v>
      </c>
      <c r="D1272" s="2" t="s">
        <v>11683</v>
      </c>
      <c r="E1272" s="2" t="s">
        <v>11684</v>
      </c>
      <c r="G1272" s="3" t="s">
        <v>63</v>
      </c>
      <c r="I1272" s="3" t="s">
        <v>62</v>
      </c>
      <c r="J1272" s="3" t="s">
        <v>62</v>
      </c>
      <c r="K1272" s="3" t="s">
        <v>64</v>
      </c>
      <c r="L1272" s="2" t="s">
        <v>10688</v>
      </c>
      <c r="M1272" s="2" t="s">
        <v>11685</v>
      </c>
      <c r="N1272" s="3" t="s">
        <v>668</v>
      </c>
      <c r="P1272" s="3" t="s">
        <v>66</v>
      </c>
      <c r="R1272" s="3" t="s">
        <v>67</v>
      </c>
      <c r="S1272" s="4">
        <v>81</v>
      </c>
      <c r="T1272" s="4">
        <v>95</v>
      </c>
      <c r="U1272" s="5" t="s">
        <v>11687</v>
      </c>
      <c r="V1272" s="5" t="s">
        <v>11687</v>
      </c>
      <c r="W1272" s="5" t="s">
        <v>69</v>
      </c>
      <c r="X1272" s="5" t="s">
        <v>69</v>
      </c>
      <c r="Y1272" s="4">
        <v>666</v>
      </c>
      <c r="Z1272" s="4">
        <v>23</v>
      </c>
      <c r="AA1272" s="4">
        <v>74</v>
      </c>
      <c r="AB1272" s="4">
        <v>1</v>
      </c>
      <c r="AC1272" s="4">
        <v>4</v>
      </c>
      <c r="AD1272" s="4">
        <v>84</v>
      </c>
      <c r="AE1272" s="4">
        <v>131</v>
      </c>
      <c r="AF1272" s="4">
        <v>0</v>
      </c>
      <c r="AG1272" s="4">
        <v>0</v>
      </c>
      <c r="AH1272" s="4">
        <v>75</v>
      </c>
      <c r="AI1272" s="4">
        <v>106</v>
      </c>
      <c r="AJ1272" s="4">
        <v>10</v>
      </c>
      <c r="AK1272" s="4">
        <v>16</v>
      </c>
      <c r="AL1272" s="4">
        <v>48</v>
      </c>
      <c r="AM1272" s="4">
        <v>62</v>
      </c>
      <c r="AN1272" s="4">
        <v>0</v>
      </c>
      <c r="AO1272" s="4">
        <v>5</v>
      </c>
      <c r="AP1272" s="4">
        <v>14</v>
      </c>
      <c r="AQ1272" s="4">
        <v>29</v>
      </c>
      <c r="AR1272" s="3" t="s">
        <v>63</v>
      </c>
      <c r="AS1272" s="3" t="s">
        <v>63</v>
      </c>
      <c r="AT1272" s="3" t="s">
        <v>63</v>
      </c>
      <c r="AV1272" s="6" t="str">
        <f>HYPERLINK("http://mcgill.on.worldcat.org/oclc/20690469","Catalog Record")</f>
        <v>Catalog Record</v>
      </c>
      <c r="AW1272" s="6" t="str">
        <f>HYPERLINK("http://www.worldcat.org/oclc/20690469","WorldCat Record")</f>
        <v>WorldCat Record</v>
      </c>
      <c r="AX1272" s="3" t="s">
        <v>11688</v>
      </c>
      <c r="AY1272" s="3" t="s">
        <v>11689</v>
      </c>
      <c r="AZ1272" s="3" t="s">
        <v>11690</v>
      </c>
      <c r="BA1272" s="3" t="s">
        <v>11690</v>
      </c>
      <c r="BB1272" s="3" t="s">
        <v>11694</v>
      </c>
      <c r="BC1272" s="3" t="s">
        <v>82</v>
      </c>
      <c r="BD1272" s="3" t="s">
        <v>538</v>
      </c>
      <c r="BE1272" s="3" t="s">
        <v>11692</v>
      </c>
      <c r="BF1272" s="3" t="s">
        <v>11694</v>
      </c>
      <c r="BG1272" s="3" t="s">
        <v>11695</v>
      </c>
    </row>
    <row r="1273" spans="1:59" ht="60" x14ac:dyDescent="0.25">
      <c r="A1273" s="2" t="s">
        <v>59</v>
      </c>
      <c r="B1273" s="2" t="s">
        <v>60</v>
      </c>
      <c r="C1273" s="2" t="s">
        <v>11742</v>
      </c>
      <c r="D1273" s="2" t="s">
        <v>11743</v>
      </c>
      <c r="E1273" s="2" t="s">
        <v>11744</v>
      </c>
      <c r="G1273" s="3" t="s">
        <v>63</v>
      </c>
      <c r="I1273" s="3" t="s">
        <v>63</v>
      </c>
      <c r="J1273" s="3" t="s">
        <v>63</v>
      </c>
      <c r="K1273" s="3" t="s">
        <v>64</v>
      </c>
      <c r="L1273" s="2" t="s">
        <v>10454</v>
      </c>
      <c r="M1273" s="2" t="s">
        <v>11745</v>
      </c>
      <c r="N1273" s="3" t="s">
        <v>11746</v>
      </c>
      <c r="P1273" s="3" t="s">
        <v>66</v>
      </c>
      <c r="Q1273" s="2" t="s">
        <v>11747</v>
      </c>
      <c r="R1273" s="3" t="s">
        <v>67</v>
      </c>
      <c r="S1273" s="4">
        <v>2</v>
      </c>
      <c r="T1273" s="4">
        <v>2</v>
      </c>
      <c r="U1273" s="5" t="s">
        <v>11748</v>
      </c>
      <c r="V1273" s="5" t="s">
        <v>11748</v>
      </c>
      <c r="W1273" s="5" t="s">
        <v>69</v>
      </c>
      <c r="X1273" s="5" t="s">
        <v>69</v>
      </c>
      <c r="Y1273" s="4">
        <v>77</v>
      </c>
      <c r="Z1273" s="4">
        <v>4</v>
      </c>
      <c r="AA1273" s="4">
        <v>34</v>
      </c>
      <c r="AB1273" s="4">
        <v>2</v>
      </c>
      <c r="AC1273" s="4">
        <v>4</v>
      </c>
      <c r="AD1273" s="4">
        <v>11</v>
      </c>
      <c r="AE1273" s="4">
        <v>105</v>
      </c>
      <c r="AF1273" s="4">
        <v>0</v>
      </c>
      <c r="AG1273" s="4">
        <v>1</v>
      </c>
      <c r="AH1273" s="4">
        <v>9</v>
      </c>
      <c r="AI1273" s="4">
        <v>89</v>
      </c>
      <c r="AJ1273" s="4">
        <v>2</v>
      </c>
      <c r="AK1273" s="4">
        <v>15</v>
      </c>
      <c r="AL1273" s="4">
        <v>4</v>
      </c>
      <c r="AM1273" s="4">
        <v>52</v>
      </c>
      <c r="AN1273" s="4">
        <v>5</v>
      </c>
      <c r="AO1273" s="4">
        <v>9</v>
      </c>
      <c r="AP1273" s="4">
        <v>2</v>
      </c>
      <c r="AQ1273" s="4">
        <v>21</v>
      </c>
      <c r="AR1273" s="3" t="s">
        <v>63</v>
      </c>
      <c r="AS1273" s="3" t="s">
        <v>63</v>
      </c>
      <c r="AT1273" s="3" t="s">
        <v>63</v>
      </c>
      <c r="AU1273" s="6" t="str">
        <f>HYPERLINK("http://catalog.hathitrust.org/Record/102366148","HathiTrust Record")</f>
        <v>HathiTrust Record</v>
      </c>
      <c r="AV1273" s="6" t="str">
        <f>HYPERLINK("http://mcgill.on.worldcat.org/oclc/5773674","Catalog Record")</f>
        <v>Catalog Record</v>
      </c>
      <c r="AW1273" s="6" t="str">
        <f>HYPERLINK("http://www.worldcat.org/oclc/5773674","WorldCat Record")</f>
        <v>WorldCat Record</v>
      </c>
      <c r="AX1273" s="3" t="s">
        <v>11749</v>
      </c>
      <c r="AY1273" s="3" t="s">
        <v>11750</v>
      </c>
      <c r="AZ1273" s="3" t="s">
        <v>11751</v>
      </c>
      <c r="BA1273" s="3" t="s">
        <v>11751</v>
      </c>
      <c r="BB1273" s="3" t="s">
        <v>11752</v>
      </c>
      <c r="BC1273" s="3" t="s">
        <v>82</v>
      </c>
      <c r="BD1273" s="3" t="s">
        <v>70</v>
      </c>
      <c r="BE1273" s="3" t="s">
        <v>11753</v>
      </c>
      <c r="BF1273" s="3" t="s">
        <v>11752</v>
      </c>
      <c r="BG1273" s="3" t="s">
        <v>11754</v>
      </c>
    </row>
    <row r="1274" spans="1:59" ht="60" x14ac:dyDescent="0.25">
      <c r="A1274" s="2" t="s">
        <v>59</v>
      </c>
      <c r="B1274" s="2" t="s">
        <v>60</v>
      </c>
      <c r="C1274" s="2" t="s">
        <v>11755</v>
      </c>
      <c r="D1274" s="2" t="s">
        <v>11756</v>
      </c>
      <c r="E1274" s="2" t="s">
        <v>11757</v>
      </c>
      <c r="G1274" s="3" t="s">
        <v>63</v>
      </c>
      <c r="I1274" s="3" t="s">
        <v>63</v>
      </c>
      <c r="J1274" s="3" t="s">
        <v>63</v>
      </c>
      <c r="K1274" s="3" t="s">
        <v>64</v>
      </c>
      <c r="L1274" s="2" t="s">
        <v>10454</v>
      </c>
      <c r="M1274" s="2" t="s">
        <v>11758</v>
      </c>
      <c r="N1274" s="3" t="s">
        <v>629</v>
      </c>
      <c r="P1274" s="3" t="s">
        <v>66</v>
      </c>
      <c r="Q1274" s="2" t="s">
        <v>11759</v>
      </c>
      <c r="R1274" s="3" t="s">
        <v>67</v>
      </c>
      <c r="S1274" s="4">
        <v>7</v>
      </c>
      <c r="T1274" s="4">
        <v>7</v>
      </c>
      <c r="U1274" s="5" t="s">
        <v>3534</v>
      </c>
      <c r="V1274" s="5" t="s">
        <v>3534</v>
      </c>
      <c r="W1274" s="5" t="s">
        <v>69</v>
      </c>
      <c r="X1274" s="5" t="s">
        <v>69</v>
      </c>
      <c r="Y1274" s="4">
        <v>118</v>
      </c>
      <c r="Z1274" s="4">
        <v>14</v>
      </c>
      <c r="AA1274" s="4">
        <v>17</v>
      </c>
      <c r="AB1274" s="4">
        <v>2</v>
      </c>
      <c r="AC1274" s="4">
        <v>4</v>
      </c>
      <c r="AD1274" s="4">
        <v>46</v>
      </c>
      <c r="AE1274" s="4">
        <v>49</v>
      </c>
      <c r="AF1274" s="4">
        <v>0</v>
      </c>
      <c r="AG1274" s="4">
        <v>0</v>
      </c>
      <c r="AH1274" s="4">
        <v>42</v>
      </c>
      <c r="AI1274" s="4">
        <v>44</v>
      </c>
      <c r="AJ1274" s="4">
        <v>9</v>
      </c>
      <c r="AK1274" s="4">
        <v>10</v>
      </c>
      <c r="AL1274" s="4">
        <v>27</v>
      </c>
      <c r="AM1274" s="4">
        <v>27</v>
      </c>
      <c r="AN1274" s="4">
        <v>0</v>
      </c>
      <c r="AO1274" s="4">
        <v>0</v>
      </c>
      <c r="AP1274" s="4">
        <v>9</v>
      </c>
      <c r="AQ1274" s="4">
        <v>10</v>
      </c>
      <c r="AR1274" s="3" t="s">
        <v>63</v>
      </c>
      <c r="AS1274" s="3" t="s">
        <v>63</v>
      </c>
      <c r="AT1274" s="3" t="s">
        <v>63</v>
      </c>
      <c r="AV1274" s="6" t="str">
        <f>HYPERLINK("http://mcgill.on.worldcat.org/oclc/768496499","Catalog Record")</f>
        <v>Catalog Record</v>
      </c>
      <c r="AW1274" s="6" t="str">
        <f>HYPERLINK("http://www.worldcat.org/oclc/768496499","WorldCat Record")</f>
        <v>WorldCat Record</v>
      </c>
      <c r="AX1274" s="3" t="s">
        <v>11760</v>
      </c>
      <c r="AY1274" s="3" t="s">
        <v>11761</v>
      </c>
      <c r="AZ1274" s="3" t="s">
        <v>11762</v>
      </c>
      <c r="BA1274" s="3" t="s">
        <v>11762</v>
      </c>
      <c r="BB1274" s="3" t="s">
        <v>11763</v>
      </c>
      <c r="BC1274" s="3" t="s">
        <v>82</v>
      </c>
      <c r="BD1274" s="3" t="s">
        <v>70</v>
      </c>
      <c r="BE1274" s="3" t="s">
        <v>11764</v>
      </c>
      <c r="BF1274" s="3" t="s">
        <v>11763</v>
      </c>
      <c r="BG1274" s="3" t="s">
        <v>11765</v>
      </c>
    </row>
    <row r="1275" spans="1:59" ht="60" x14ac:dyDescent="0.25">
      <c r="A1275" s="2" t="s">
        <v>59</v>
      </c>
      <c r="B1275" s="2" t="s">
        <v>60</v>
      </c>
      <c r="C1275" s="2" t="s">
        <v>11766</v>
      </c>
      <c r="D1275" s="2" t="s">
        <v>11767</v>
      </c>
      <c r="E1275" s="2" t="s">
        <v>11768</v>
      </c>
      <c r="G1275" s="3" t="s">
        <v>63</v>
      </c>
      <c r="I1275" s="3" t="s">
        <v>62</v>
      </c>
      <c r="J1275" s="3" t="s">
        <v>62</v>
      </c>
      <c r="K1275" s="3" t="s">
        <v>64</v>
      </c>
      <c r="L1275" s="2" t="s">
        <v>10454</v>
      </c>
      <c r="M1275" s="2" t="s">
        <v>11769</v>
      </c>
      <c r="N1275" s="3" t="s">
        <v>161</v>
      </c>
      <c r="P1275" s="3" t="s">
        <v>66</v>
      </c>
      <c r="R1275" s="3" t="s">
        <v>67</v>
      </c>
      <c r="S1275" s="4">
        <v>22</v>
      </c>
      <c r="T1275" s="4">
        <v>68</v>
      </c>
      <c r="U1275" s="5" t="s">
        <v>11535</v>
      </c>
      <c r="V1275" s="5" t="s">
        <v>11535</v>
      </c>
      <c r="W1275" s="5" t="s">
        <v>69</v>
      </c>
      <c r="X1275" s="5" t="s">
        <v>69</v>
      </c>
      <c r="Y1275" s="4">
        <v>10</v>
      </c>
      <c r="Z1275" s="4">
        <v>1</v>
      </c>
      <c r="AA1275" s="4">
        <v>25</v>
      </c>
      <c r="AB1275" s="4">
        <v>1</v>
      </c>
      <c r="AC1275" s="4">
        <v>2</v>
      </c>
      <c r="AD1275" s="4">
        <v>2</v>
      </c>
      <c r="AE1275" s="4">
        <v>105</v>
      </c>
      <c r="AF1275" s="4">
        <v>0</v>
      </c>
      <c r="AG1275" s="4">
        <v>0</v>
      </c>
      <c r="AH1275" s="4">
        <v>2</v>
      </c>
      <c r="AI1275" s="4">
        <v>91</v>
      </c>
      <c r="AJ1275" s="4">
        <v>0</v>
      </c>
      <c r="AK1275" s="4">
        <v>13</v>
      </c>
      <c r="AL1275" s="4">
        <v>1</v>
      </c>
      <c r="AM1275" s="4">
        <v>55</v>
      </c>
      <c r="AN1275" s="4">
        <v>0</v>
      </c>
      <c r="AO1275" s="4">
        <v>0</v>
      </c>
      <c r="AP1275" s="4">
        <v>0</v>
      </c>
      <c r="AQ1275" s="4">
        <v>17</v>
      </c>
      <c r="AR1275" s="3" t="s">
        <v>63</v>
      </c>
      <c r="AS1275" s="3" t="s">
        <v>63</v>
      </c>
      <c r="AT1275" s="3" t="s">
        <v>63</v>
      </c>
      <c r="AV1275" s="6" t="str">
        <f>HYPERLINK("http://mcgill.on.worldcat.org/oclc/19929707","Catalog Record")</f>
        <v>Catalog Record</v>
      </c>
      <c r="AW1275" s="6" t="str">
        <f>HYPERLINK("http://www.worldcat.org/oclc/19929707","WorldCat Record")</f>
        <v>WorldCat Record</v>
      </c>
      <c r="AX1275" s="3" t="s">
        <v>11770</v>
      </c>
      <c r="AY1275" s="3" t="s">
        <v>11771</v>
      </c>
      <c r="AZ1275" s="3" t="s">
        <v>11772</v>
      </c>
      <c r="BA1275" s="3" t="s">
        <v>11772</v>
      </c>
      <c r="BB1275" s="3" t="s">
        <v>11773</v>
      </c>
      <c r="BC1275" s="3" t="s">
        <v>82</v>
      </c>
      <c r="BD1275" s="3" t="s">
        <v>70</v>
      </c>
      <c r="BE1275" s="3" t="s">
        <v>11774</v>
      </c>
      <c r="BF1275" s="3" t="s">
        <v>11773</v>
      </c>
      <c r="BG1275" s="3" t="s">
        <v>11775</v>
      </c>
    </row>
    <row r="1276" spans="1:59" ht="60" x14ac:dyDescent="0.25">
      <c r="A1276" s="2" t="s">
        <v>59</v>
      </c>
      <c r="B1276" s="2" t="s">
        <v>60</v>
      </c>
      <c r="C1276" s="2" t="s">
        <v>11766</v>
      </c>
      <c r="D1276" s="2" t="s">
        <v>11767</v>
      </c>
      <c r="E1276" s="2" t="s">
        <v>11768</v>
      </c>
      <c r="G1276" s="3" t="s">
        <v>63</v>
      </c>
      <c r="I1276" s="3" t="s">
        <v>62</v>
      </c>
      <c r="J1276" s="3" t="s">
        <v>62</v>
      </c>
      <c r="K1276" s="3" t="s">
        <v>64</v>
      </c>
      <c r="L1276" s="2" t="s">
        <v>10454</v>
      </c>
      <c r="M1276" s="2" t="s">
        <v>11769</v>
      </c>
      <c r="N1276" s="3" t="s">
        <v>161</v>
      </c>
      <c r="P1276" s="3" t="s">
        <v>66</v>
      </c>
      <c r="R1276" s="3" t="s">
        <v>67</v>
      </c>
      <c r="S1276" s="4">
        <v>46</v>
      </c>
      <c r="T1276" s="4">
        <v>68</v>
      </c>
      <c r="U1276" s="5" t="s">
        <v>4564</v>
      </c>
      <c r="V1276" s="5" t="s">
        <v>11535</v>
      </c>
      <c r="W1276" s="5" t="s">
        <v>69</v>
      </c>
      <c r="X1276" s="5" t="s">
        <v>69</v>
      </c>
      <c r="Y1276" s="4">
        <v>10</v>
      </c>
      <c r="Z1276" s="4">
        <v>1</v>
      </c>
      <c r="AA1276" s="4">
        <v>25</v>
      </c>
      <c r="AB1276" s="4">
        <v>1</v>
      </c>
      <c r="AC1276" s="4">
        <v>2</v>
      </c>
      <c r="AD1276" s="4">
        <v>2</v>
      </c>
      <c r="AE1276" s="4">
        <v>105</v>
      </c>
      <c r="AF1276" s="4">
        <v>0</v>
      </c>
      <c r="AG1276" s="4">
        <v>0</v>
      </c>
      <c r="AH1276" s="4">
        <v>2</v>
      </c>
      <c r="AI1276" s="4">
        <v>91</v>
      </c>
      <c r="AJ1276" s="4">
        <v>0</v>
      </c>
      <c r="AK1276" s="4">
        <v>13</v>
      </c>
      <c r="AL1276" s="4">
        <v>1</v>
      </c>
      <c r="AM1276" s="4">
        <v>55</v>
      </c>
      <c r="AN1276" s="4">
        <v>0</v>
      </c>
      <c r="AO1276" s="4">
        <v>0</v>
      </c>
      <c r="AP1276" s="4">
        <v>0</v>
      </c>
      <c r="AQ1276" s="4">
        <v>17</v>
      </c>
      <c r="AR1276" s="3" t="s">
        <v>63</v>
      </c>
      <c r="AS1276" s="3" t="s">
        <v>63</v>
      </c>
      <c r="AT1276" s="3" t="s">
        <v>63</v>
      </c>
      <c r="AV1276" s="6" t="str">
        <f>HYPERLINK("http://mcgill.on.worldcat.org/oclc/19929707","Catalog Record")</f>
        <v>Catalog Record</v>
      </c>
      <c r="AW1276" s="6" t="str">
        <f>HYPERLINK("http://www.worldcat.org/oclc/19929707","WorldCat Record")</f>
        <v>WorldCat Record</v>
      </c>
      <c r="AX1276" s="3" t="s">
        <v>11770</v>
      </c>
      <c r="AY1276" s="3" t="s">
        <v>11771</v>
      </c>
      <c r="AZ1276" s="3" t="s">
        <v>11772</v>
      </c>
      <c r="BA1276" s="3" t="s">
        <v>11772</v>
      </c>
      <c r="BB1276" s="3" t="s">
        <v>11776</v>
      </c>
      <c r="BC1276" s="3" t="s">
        <v>82</v>
      </c>
      <c r="BD1276" s="3" t="s">
        <v>538</v>
      </c>
      <c r="BE1276" s="3" t="s">
        <v>11774</v>
      </c>
      <c r="BF1276" s="3" t="s">
        <v>11776</v>
      </c>
      <c r="BG1276" s="3" t="s">
        <v>11777</v>
      </c>
    </row>
    <row r="1277" spans="1:59" ht="60" x14ac:dyDescent="0.25">
      <c r="A1277" s="2" t="s">
        <v>59</v>
      </c>
      <c r="B1277" s="2" t="s">
        <v>60</v>
      </c>
      <c r="C1277" s="2" t="s">
        <v>11778</v>
      </c>
      <c r="D1277" s="2" t="s">
        <v>11779</v>
      </c>
      <c r="E1277" s="2" t="s">
        <v>11780</v>
      </c>
      <c r="G1277" s="3" t="s">
        <v>63</v>
      </c>
      <c r="I1277" s="3" t="s">
        <v>63</v>
      </c>
      <c r="J1277" s="3" t="s">
        <v>63</v>
      </c>
      <c r="K1277" s="3" t="s">
        <v>64</v>
      </c>
      <c r="L1277" s="2" t="s">
        <v>10454</v>
      </c>
      <c r="M1277" s="2" t="s">
        <v>11781</v>
      </c>
      <c r="N1277" s="3" t="s">
        <v>693</v>
      </c>
      <c r="P1277" s="3" t="s">
        <v>66</v>
      </c>
      <c r="Q1277" s="2" t="s">
        <v>11759</v>
      </c>
      <c r="R1277" s="3" t="s">
        <v>67</v>
      </c>
      <c r="S1277" s="4">
        <v>18</v>
      </c>
      <c r="T1277" s="4">
        <v>18</v>
      </c>
      <c r="U1277" s="5" t="s">
        <v>302</v>
      </c>
      <c r="V1277" s="5" t="s">
        <v>302</v>
      </c>
      <c r="W1277" s="5" t="s">
        <v>69</v>
      </c>
      <c r="X1277" s="5" t="s">
        <v>69</v>
      </c>
      <c r="Y1277" s="4">
        <v>135</v>
      </c>
      <c r="Z1277" s="4">
        <v>9</v>
      </c>
      <c r="AA1277" s="4">
        <v>9</v>
      </c>
      <c r="AB1277" s="4">
        <v>1</v>
      </c>
      <c r="AC1277" s="4">
        <v>1</v>
      </c>
      <c r="AD1277" s="4">
        <v>47</v>
      </c>
      <c r="AE1277" s="4">
        <v>47</v>
      </c>
      <c r="AF1277" s="4">
        <v>0</v>
      </c>
      <c r="AG1277" s="4">
        <v>0</v>
      </c>
      <c r="AH1277" s="4">
        <v>42</v>
      </c>
      <c r="AI1277" s="4">
        <v>42</v>
      </c>
      <c r="AJ1277" s="4">
        <v>4</v>
      </c>
      <c r="AK1277" s="4">
        <v>4</v>
      </c>
      <c r="AL1277" s="4">
        <v>31</v>
      </c>
      <c r="AM1277" s="4">
        <v>31</v>
      </c>
      <c r="AN1277" s="4">
        <v>0</v>
      </c>
      <c r="AO1277" s="4">
        <v>0</v>
      </c>
      <c r="AP1277" s="4">
        <v>6</v>
      </c>
      <c r="AQ1277" s="4">
        <v>6</v>
      </c>
      <c r="AR1277" s="3" t="s">
        <v>63</v>
      </c>
      <c r="AS1277" s="3" t="s">
        <v>63</v>
      </c>
      <c r="AT1277" s="3" t="s">
        <v>63</v>
      </c>
      <c r="AV1277" s="6" t="str">
        <f>HYPERLINK("http://mcgill.on.worldcat.org/oclc/55656851","Catalog Record")</f>
        <v>Catalog Record</v>
      </c>
      <c r="AW1277" s="6" t="str">
        <f>HYPERLINK("http://www.worldcat.org/oclc/55656851","WorldCat Record")</f>
        <v>WorldCat Record</v>
      </c>
      <c r="AX1277" s="3" t="s">
        <v>11782</v>
      </c>
      <c r="AY1277" s="3" t="s">
        <v>11783</v>
      </c>
      <c r="AZ1277" s="3" t="s">
        <v>11784</v>
      </c>
      <c r="BA1277" s="3" t="s">
        <v>11784</v>
      </c>
      <c r="BB1277" s="3" t="s">
        <v>11785</v>
      </c>
      <c r="BC1277" s="3" t="s">
        <v>82</v>
      </c>
      <c r="BD1277" s="3" t="s">
        <v>70</v>
      </c>
      <c r="BE1277" s="3" t="s">
        <v>11786</v>
      </c>
      <c r="BF1277" s="3" t="s">
        <v>11785</v>
      </c>
      <c r="BG1277" s="3" t="s">
        <v>11787</v>
      </c>
    </row>
    <row r="1278" spans="1:59" ht="75" x14ac:dyDescent="0.25">
      <c r="A1278" s="2" t="s">
        <v>59</v>
      </c>
      <c r="B1278" s="2" t="s">
        <v>60</v>
      </c>
      <c r="C1278" s="2" t="s">
        <v>11788</v>
      </c>
      <c r="D1278" s="2" t="s">
        <v>11789</v>
      </c>
      <c r="E1278" s="2" t="s">
        <v>11790</v>
      </c>
      <c r="G1278" s="3" t="s">
        <v>63</v>
      </c>
      <c r="I1278" s="3" t="s">
        <v>63</v>
      </c>
      <c r="J1278" s="3" t="s">
        <v>63</v>
      </c>
      <c r="K1278" s="3" t="s">
        <v>64</v>
      </c>
      <c r="L1278" s="2" t="s">
        <v>10454</v>
      </c>
      <c r="M1278" s="2" t="s">
        <v>11791</v>
      </c>
      <c r="N1278" s="3" t="s">
        <v>190</v>
      </c>
      <c r="P1278" s="3" t="s">
        <v>66</v>
      </c>
      <c r="Q1278" s="2" t="s">
        <v>11792</v>
      </c>
      <c r="R1278" s="3" t="s">
        <v>67</v>
      </c>
      <c r="S1278" s="4">
        <v>13</v>
      </c>
      <c r="T1278" s="4">
        <v>13</v>
      </c>
      <c r="U1278" s="5" t="s">
        <v>11793</v>
      </c>
      <c r="V1278" s="5" t="s">
        <v>11793</v>
      </c>
      <c r="W1278" s="5" t="s">
        <v>69</v>
      </c>
      <c r="X1278" s="5" t="s">
        <v>69</v>
      </c>
      <c r="Y1278" s="4">
        <v>449</v>
      </c>
      <c r="Z1278" s="4">
        <v>12</v>
      </c>
      <c r="AA1278" s="4">
        <v>23</v>
      </c>
      <c r="AB1278" s="4">
        <v>1</v>
      </c>
      <c r="AC1278" s="4">
        <v>4</v>
      </c>
      <c r="AD1278" s="4">
        <v>73</v>
      </c>
      <c r="AE1278" s="4">
        <v>77</v>
      </c>
      <c r="AF1278" s="4">
        <v>0</v>
      </c>
      <c r="AG1278" s="4">
        <v>0</v>
      </c>
      <c r="AH1278" s="4">
        <v>72</v>
      </c>
      <c r="AI1278" s="4">
        <v>75</v>
      </c>
      <c r="AJ1278" s="4">
        <v>4</v>
      </c>
      <c r="AK1278" s="4">
        <v>7</v>
      </c>
      <c r="AL1278" s="4">
        <v>42</v>
      </c>
      <c r="AM1278" s="4">
        <v>43</v>
      </c>
      <c r="AN1278" s="4">
        <v>0</v>
      </c>
      <c r="AO1278" s="4">
        <v>0</v>
      </c>
      <c r="AP1278" s="4">
        <v>4</v>
      </c>
      <c r="AQ1278" s="4">
        <v>7</v>
      </c>
      <c r="AR1278" s="3" t="s">
        <v>63</v>
      </c>
      <c r="AS1278" s="3" t="s">
        <v>63</v>
      </c>
      <c r="AT1278" s="3" t="s">
        <v>62</v>
      </c>
      <c r="AU1278" s="6" t="str">
        <f>HYPERLINK("http://catalog.hathitrust.org/Record/005097947","HathiTrust Record")</f>
        <v>HathiTrust Record</v>
      </c>
      <c r="AV1278" s="6" t="str">
        <f>HYPERLINK("http://mcgill.on.worldcat.org/oclc/58043220","Catalog Record")</f>
        <v>Catalog Record</v>
      </c>
      <c r="AW1278" s="6" t="str">
        <f>HYPERLINK("http://www.worldcat.org/oclc/58043220","WorldCat Record")</f>
        <v>WorldCat Record</v>
      </c>
      <c r="AX1278" s="3" t="s">
        <v>11794</v>
      </c>
      <c r="AY1278" s="3" t="s">
        <v>11795</v>
      </c>
      <c r="AZ1278" s="3" t="s">
        <v>11796</v>
      </c>
      <c r="BA1278" s="3" t="s">
        <v>11796</v>
      </c>
      <c r="BB1278" s="3" t="s">
        <v>11797</v>
      </c>
      <c r="BC1278" s="3" t="s">
        <v>82</v>
      </c>
      <c r="BD1278" s="3" t="s">
        <v>70</v>
      </c>
      <c r="BE1278" s="3" t="s">
        <v>11798</v>
      </c>
      <c r="BF1278" s="3" t="s">
        <v>11797</v>
      </c>
      <c r="BG1278" s="3" t="s">
        <v>11799</v>
      </c>
    </row>
    <row r="1279" spans="1:59" ht="60" x14ac:dyDescent="0.25">
      <c r="A1279" s="2" t="s">
        <v>59</v>
      </c>
      <c r="B1279" s="2" t="s">
        <v>60</v>
      </c>
      <c r="C1279" s="2" t="s">
        <v>11811</v>
      </c>
      <c r="D1279" s="2" t="s">
        <v>11812</v>
      </c>
      <c r="E1279" s="2" t="s">
        <v>11813</v>
      </c>
      <c r="G1279" s="3" t="s">
        <v>63</v>
      </c>
      <c r="I1279" s="3" t="s">
        <v>63</v>
      </c>
      <c r="J1279" s="3" t="s">
        <v>62</v>
      </c>
      <c r="K1279" s="3" t="s">
        <v>64</v>
      </c>
      <c r="L1279" s="2" t="s">
        <v>10454</v>
      </c>
      <c r="M1279" s="2" t="s">
        <v>11814</v>
      </c>
      <c r="N1279" s="3" t="s">
        <v>1432</v>
      </c>
      <c r="P1279" s="3" t="s">
        <v>66</v>
      </c>
      <c r="Q1279" s="2" t="s">
        <v>11815</v>
      </c>
      <c r="R1279" s="3" t="s">
        <v>67</v>
      </c>
      <c r="S1279" s="4">
        <v>47</v>
      </c>
      <c r="T1279" s="4">
        <v>47</v>
      </c>
      <c r="U1279" s="5" t="s">
        <v>11816</v>
      </c>
      <c r="V1279" s="5" t="s">
        <v>11816</v>
      </c>
      <c r="W1279" s="5" t="s">
        <v>69</v>
      </c>
      <c r="X1279" s="5" t="s">
        <v>69</v>
      </c>
      <c r="Y1279" s="4">
        <v>3</v>
      </c>
      <c r="Z1279" s="4">
        <v>1</v>
      </c>
      <c r="AA1279" s="4">
        <v>202</v>
      </c>
      <c r="AB1279" s="4">
        <v>1</v>
      </c>
      <c r="AC1279" s="4">
        <v>24</v>
      </c>
      <c r="AD1279" s="4">
        <v>0</v>
      </c>
      <c r="AE1279" s="4">
        <v>167</v>
      </c>
      <c r="AF1279" s="4">
        <v>0</v>
      </c>
      <c r="AG1279" s="4">
        <v>8</v>
      </c>
      <c r="AH1279" s="4">
        <v>0</v>
      </c>
      <c r="AI1279" s="4">
        <v>114</v>
      </c>
      <c r="AJ1279" s="4">
        <v>0</v>
      </c>
      <c r="AK1279" s="4">
        <v>29</v>
      </c>
      <c r="AL1279" s="4">
        <v>0</v>
      </c>
      <c r="AM1279" s="4">
        <v>64</v>
      </c>
      <c r="AN1279" s="4">
        <v>0</v>
      </c>
      <c r="AO1279" s="4">
        <v>16</v>
      </c>
      <c r="AP1279" s="4">
        <v>0</v>
      </c>
      <c r="AQ1279" s="4">
        <v>57</v>
      </c>
      <c r="AR1279" s="3" t="s">
        <v>63</v>
      </c>
      <c r="AS1279" s="3" t="s">
        <v>63</v>
      </c>
      <c r="AT1279" s="3" t="s">
        <v>63</v>
      </c>
      <c r="AV1279" s="6" t="str">
        <f>HYPERLINK("http://mcgill.on.worldcat.org/oclc/61577974","Catalog Record")</f>
        <v>Catalog Record</v>
      </c>
      <c r="AW1279" s="6" t="str">
        <f>HYPERLINK("http://www.worldcat.org/oclc/61577974","WorldCat Record")</f>
        <v>WorldCat Record</v>
      </c>
      <c r="AX1279" s="3" t="s">
        <v>11806</v>
      </c>
      <c r="AY1279" s="3" t="s">
        <v>11817</v>
      </c>
      <c r="AZ1279" s="3" t="s">
        <v>11818</v>
      </c>
      <c r="BA1279" s="3" t="s">
        <v>11818</v>
      </c>
      <c r="BB1279" s="3" t="s">
        <v>11819</v>
      </c>
      <c r="BC1279" s="3" t="s">
        <v>82</v>
      </c>
      <c r="BD1279" s="3" t="s">
        <v>70</v>
      </c>
      <c r="BF1279" s="3" t="s">
        <v>11819</v>
      </c>
      <c r="BG1279" s="3" t="s">
        <v>11820</v>
      </c>
    </row>
    <row r="1280" spans="1:59" ht="60" x14ac:dyDescent="0.25">
      <c r="A1280" s="2" t="s">
        <v>59</v>
      </c>
      <c r="B1280" s="2" t="s">
        <v>60</v>
      </c>
      <c r="C1280" s="2" t="s">
        <v>11821</v>
      </c>
      <c r="D1280" s="2" t="s">
        <v>11822</v>
      </c>
      <c r="E1280" s="2" t="s">
        <v>11823</v>
      </c>
      <c r="G1280" s="3" t="s">
        <v>63</v>
      </c>
      <c r="I1280" s="3" t="s">
        <v>63</v>
      </c>
      <c r="J1280" s="3" t="s">
        <v>62</v>
      </c>
      <c r="K1280" s="3" t="s">
        <v>64</v>
      </c>
      <c r="L1280" s="2" t="s">
        <v>10454</v>
      </c>
      <c r="M1280" s="2" t="s">
        <v>11824</v>
      </c>
      <c r="N1280" s="3" t="s">
        <v>531</v>
      </c>
      <c r="P1280" s="3" t="s">
        <v>66</v>
      </c>
      <c r="Q1280" s="2" t="s">
        <v>11721</v>
      </c>
      <c r="R1280" s="3" t="s">
        <v>67</v>
      </c>
      <c r="S1280" s="4">
        <v>77</v>
      </c>
      <c r="T1280" s="4">
        <v>77</v>
      </c>
      <c r="U1280" s="5" t="s">
        <v>2807</v>
      </c>
      <c r="V1280" s="5" t="s">
        <v>2807</v>
      </c>
      <c r="W1280" s="5" t="s">
        <v>69</v>
      </c>
      <c r="X1280" s="5" t="s">
        <v>69</v>
      </c>
      <c r="Y1280" s="4">
        <v>201</v>
      </c>
      <c r="Z1280" s="4">
        <v>15</v>
      </c>
      <c r="AA1280" s="4">
        <v>202</v>
      </c>
      <c r="AB1280" s="4">
        <v>1</v>
      </c>
      <c r="AC1280" s="4">
        <v>24</v>
      </c>
      <c r="AD1280" s="4">
        <v>46</v>
      </c>
      <c r="AE1280" s="4">
        <v>167</v>
      </c>
      <c r="AF1280" s="4">
        <v>0</v>
      </c>
      <c r="AG1280" s="4">
        <v>8</v>
      </c>
      <c r="AH1280" s="4">
        <v>41</v>
      </c>
      <c r="AI1280" s="4">
        <v>114</v>
      </c>
      <c r="AJ1280" s="4">
        <v>6</v>
      </c>
      <c r="AK1280" s="4">
        <v>29</v>
      </c>
      <c r="AL1280" s="4">
        <v>24</v>
      </c>
      <c r="AM1280" s="4">
        <v>64</v>
      </c>
      <c r="AN1280" s="4">
        <v>0</v>
      </c>
      <c r="AO1280" s="4">
        <v>16</v>
      </c>
      <c r="AP1280" s="4">
        <v>9</v>
      </c>
      <c r="AQ1280" s="4">
        <v>57</v>
      </c>
      <c r="AR1280" s="3" t="s">
        <v>63</v>
      </c>
      <c r="AS1280" s="3" t="s">
        <v>63</v>
      </c>
      <c r="AT1280" s="3" t="s">
        <v>63</v>
      </c>
      <c r="AV1280" s="6" t="str">
        <f>HYPERLINK("http://mcgill.on.worldcat.org/oclc/24320575","Catalog Record")</f>
        <v>Catalog Record</v>
      </c>
      <c r="AW1280" s="6" t="str">
        <f>HYPERLINK("http://www.worldcat.org/oclc/24320575","WorldCat Record")</f>
        <v>WorldCat Record</v>
      </c>
      <c r="AX1280" s="3" t="s">
        <v>11806</v>
      </c>
      <c r="AY1280" s="3" t="s">
        <v>11825</v>
      </c>
      <c r="AZ1280" s="3" t="s">
        <v>11826</v>
      </c>
      <c r="BA1280" s="3" t="s">
        <v>11826</v>
      </c>
      <c r="BB1280" s="3" t="s">
        <v>11827</v>
      </c>
      <c r="BC1280" s="3" t="s">
        <v>82</v>
      </c>
      <c r="BD1280" s="3" t="s">
        <v>538</v>
      </c>
      <c r="BE1280" s="3" t="s">
        <v>11828</v>
      </c>
      <c r="BF1280" s="3" t="s">
        <v>11827</v>
      </c>
      <c r="BG1280" s="3" t="s">
        <v>11829</v>
      </c>
    </row>
    <row r="1281" spans="1:59" ht="60" x14ac:dyDescent="0.25">
      <c r="A1281" s="2" t="s">
        <v>59</v>
      </c>
      <c r="B1281" s="2" t="s">
        <v>60</v>
      </c>
      <c r="C1281" s="2" t="s">
        <v>11830</v>
      </c>
      <c r="D1281" s="2" t="s">
        <v>11831</v>
      </c>
      <c r="E1281" s="2" t="s">
        <v>11832</v>
      </c>
      <c r="G1281" s="3" t="s">
        <v>63</v>
      </c>
      <c r="I1281" s="3" t="s">
        <v>63</v>
      </c>
      <c r="J1281" s="3" t="s">
        <v>62</v>
      </c>
      <c r="K1281" s="3" t="s">
        <v>64</v>
      </c>
      <c r="L1281" s="2" t="s">
        <v>10454</v>
      </c>
      <c r="M1281" s="2" t="s">
        <v>11833</v>
      </c>
      <c r="N1281" s="3" t="s">
        <v>2103</v>
      </c>
      <c r="P1281" s="3" t="s">
        <v>66</v>
      </c>
      <c r="Q1281" s="2" t="s">
        <v>11834</v>
      </c>
      <c r="R1281" s="3" t="s">
        <v>67</v>
      </c>
      <c r="S1281" s="4">
        <v>48</v>
      </c>
      <c r="T1281" s="4">
        <v>48</v>
      </c>
      <c r="U1281" s="5" t="s">
        <v>11835</v>
      </c>
      <c r="V1281" s="5" t="s">
        <v>11835</v>
      </c>
      <c r="W1281" s="5" t="s">
        <v>69</v>
      </c>
      <c r="X1281" s="5" t="s">
        <v>69</v>
      </c>
      <c r="Y1281" s="4">
        <v>715</v>
      </c>
      <c r="Z1281" s="4">
        <v>24</v>
      </c>
      <c r="AA1281" s="4">
        <v>202</v>
      </c>
      <c r="AB1281" s="4">
        <v>2</v>
      </c>
      <c r="AC1281" s="4">
        <v>24</v>
      </c>
      <c r="AD1281" s="4">
        <v>77</v>
      </c>
      <c r="AE1281" s="4">
        <v>167</v>
      </c>
      <c r="AF1281" s="4">
        <v>0</v>
      </c>
      <c r="AG1281" s="4">
        <v>8</v>
      </c>
      <c r="AH1281" s="4">
        <v>73</v>
      </c>
      <c r="AI1281" s="4">
        <v>114</v>
      </c>
      <c r="AJ1281" s="4">
        <v>5</v>
      </c>
      <c r="AK1281" s="4">
        <v>29</v>
      </c>
      <c r="AL1281" s="4">
        <v>43</v>
      </c>
      <c r="AM1281" s="4">
        <v>64</v>
      </c>
      <c r="AN1281" s="4">
        <v>0</v>
      </c>
      <c r="AO1281" s="4">
        <v>16</v>
      </c>
      <c r="AP1281" s="4">
        <v>7</v>
      </c>
      <c r="AQ1281" s="4">
        <v>57</v>
      </c>
      <c r="AR1281" s="3" t="s">
        <v>63</v>
      </c>
      <c r="AS1281" s="3" t="s">
        <v>63</v>
      </c>
      <c r="AT1281" s="3" t="s">
        <v>63</v>
      </c>
      <c r="AV1281" s="6" t="str">
        <f>HYPERLINK("http://mcgill.on.worldcat.org/oclc/46872396","Catalog Record")</f>
        <v>Catalog Record</v>
      </c>
      <c r="AW1281" s="6" t="str">
        <f>HYPERLINK("http://www.worldcat.org/oclc/46872396","WorldCat Record")</f>
        <v>WorldCat Record</v>
      </c>
      <c r="AX1281" s="3" t="s">
        <v>11806</v>
      </c>
      <c r="AY1281" s="3" t="s">
        <v>11836</v>
      </c>
      <c r="AZ1281" s="3" t="s">
        <v>11837</v>
      </c>
      <c r="BA1281" s="3" t="s">
        <v>11837</v>
      </c>
      <c r="BB1281" s="3" t="s">
        <v>11838</v>
      </c>
      <c r="BC1281" s="3" t="s">
        <v>82</v>
      </c>
      <c r="BD1281" s="3" t="s">
        <v>70</v>
      </c>
      <c r="BE1281" s="3" t="s">
        <v>11839</v>
      </c>
      <c r="BF1281" s="3" t="s">
        <v>11838</v>
      </c>
      <c r="BG1281" s="3" t="s">
        <v>11840</v>
      </c>
    </row>
    <row r="1282" spans="1:59" ht="60" x14ac:dyDescent="0.25">
      <c r="A1282" s="2" t="s">
        <v>59</v>
      </c>
      <c r="B1282" s="2" t="s">
        <v>60</v>
      </c>
      <c r="C1282" s="2" t="s">
        <v>11841</v>
      </c>
      <c r="D1282" s="2" t="s">
        <v>11842</v>
      </c>
      <c r="E1282" s="2" t="s">
        <v>11843</v>
      </c>
      <c r="G1282" s="3" t="s">
        <v>63</v>
      </c>
      <c r="I1282" s="3" t="s">
        <v>63</v>
      </c>
      <c r="J1282" s="3" t="s">
        <v>62</v>
      </c>
      <c r="K1282" s="3" t="s">
        <v>64</v>
      </c>
      <c r="L1282" s="2" t="s">
        <v>10454</v>
      </c>
      <c r="M1282" s="2" t="s">
        <v>11844</v>
      </c>
      <c r="N1282" s="3" t="s">
        <v>1226</v>
      </c>
      <c r="O1282" s="2" t="s">
        <v>11845</v>
      </c>
      <c r="P1282" s="3" t="s">
        <v>66</v>
      </c>
      <c r="Q1282" s="2" t="s">
        <v>11524</v>
      </c>
      <c r="R1282" s="3" t="s">
        <v>67</v>
      </c>
      <c r="S1282" s="4">
        <v>41</v>
      </c>
      <c r="T1282" s="4">
        <v>41</v>
      </c>
      <c r="U1282" s="5" t="s">
        <v>11846</v>
      </c>
      <c r="V1282" s="5" t="s">
        <v>11846</v>
      </c>
      <c r="W1282" s="5" t="s">
        <v>69</v>
      </c>
      <c r="X1282" s="5" t="s">
        <v>69</v>
      </c>
      <c r="Y1282" s="4">
        <v>227</v>
      </c>
      <c r="Z1282" s="4">
        <v>9</v>
      </c>
      <c r="AA1282" s="4">
        <v>202</v>
      </c>
      <c r="AB1282" s="4">
        <v>1</v>
      </c>
      <c r="AC1282" s="4">
        <v>24</v>
      </c>
      <c r="AD1282" s="4">
        <v>54</v>
      </c>
      <c r="AE1282" s="4">
        <v>167</v>
      </c>
      <c r="AF1282" s="4">
        <v>0</v>
      </c>
      <c r="AG1282" s="4">
        <v>8</v>
      </c>
      <c r="AH1282" s="4">
        <v>50</v>
      </c>
      <c r="AI1282" s="4">
        <v>114</v>
      </c>
      <c r="AJ1282" s="4">
        <v>5</v>
      </c>
      <c r="AK1282" s="4">
        <v>29</v>
      </c>
      <c r="AL1282" s="4">
        <v>32</v>
      </c>
      <c r="AM1282" s="4">
        <v>64</v>
      </c>
      <c r="AN1282" s="4">
        <v>0</v>
      </c>
      <c r="AO1282" s="4">
        <v>16</v>
      </c>
      <c r="AP1282" s="4">
        <v>5</v>
      </c>
      <c r="AQ1282" s="4">
        <v>57</v>
      </c>
      <c r="AR1282" s="3" t="s">
        <v>63</v>
      </c>
      <c r="AS1282" s="3" t="s">
        <v>63</v>
      </c>
      <c r="AT1282" s="3" t="s">
        <v>63</v>
      </c>
      <c r="AV1282" s="6" t="str">
        <f>HYPERLINK("http://mcgill.on.worldcat.org/oclc/50669994","Catalog Record")</f>
        <v>Catalog Record</v>
      </c>
      <c r="AW1282" s="6" t="str">
        <f>HYPERLINK("http://www.worldcat.org/oclc/50669994","WorldCat Record")</f>
        <v>WorldCat Record</v>
      </c>
      <c r="AX1282" s="3" t="s">
        <v>11806</v>
      </c>
      <c r="AY1282" s="3" t="s">
        <v>11847</v>
      </c>
      <c r="AZ1282" s="3" t="s">
        <v>11848</v>
      </c>
      <c r="BA1282" s="3" t="s">
        <v>11848</v>
      </c>
      <c r="BB1282" s="3" t="s">
        <v>11849</v>
      </c>
      <c r="BC1282" s="3" t="s">
        <v>82</v>
      </c>
      <c r="BD1282" s="3" t="s">
        <v>538</v>
      </c>
      <c r="BE1282" s="3" t="s">
        <v>11850</v>
      </c>
      <c r="BF1282" s="3" t="s">
        <v>11849</v>
      </c>
      <c r="BG1282" s="3" t="s">
        <v>11851</v>
      </c>
    </row>
    <row r="1283" spans="1:59" ht="60" x14ac:dyDescent="0.25">
      <c r="A1283" s="2" t="s">
        <v>59</v>
      </c>
      <c r="B1283" s="2" t="s">
        <v>60</v>
      </c>
      <c r="C1283" s="2" t="s">
        <v>11852</v>
      </c>
      <c r="D1283" s="2" t="s">
        <v>11853</v>
      </c>
      <c r="E1283" s="2" t="s">
        <v>11854</v>
      </c>
      <c r="G1283" s="3" t="s">
        <v>63</v>
      </c>
      <c r="I1283" s="3" t="s">
        <v>62</v>
      </c>
      <c r="J1283" s="3" t="s">
        <v>62</v>
      </c>
      <c r="K1283" s="3" t="s">
        <v>64</v>
      </c>
      <c r="L1283" s="2" t="s">
        <v>10454</v>
      </c>
      <c r="M1283" s="2" t="s">
        <v>11855</v>
      </c>
      <c r="N1283" s="3" t="s">
        <v>2459</v>
      </c>
      <c r="P1283" s="3" t="s">
        <v>66</v>
      </c>
      <c r="Q1283" s="2" t="s">
        <v>327</v>
      </c>
      <c r="R1283" s="3" t="s">
        <v>67</v>
      </c>
      <c r="S1283" s="4">
        <v>6</v>
      </c>
      <c r="T1283" s="4">
        <v>10</v>
      </c>
      <c r="U1283" s="5" t="s">
        <v>11856</v>
      </c>
      <c r="V1283" s="5" t="s">
        <v>11856</v>
      </c>
      <c r="W1283" s="5" t="s">
        <v>69</v>
      </c>
      <c r="X1283" s="5" t="s">
        <v>69</v>
      </c>
      <c r="Y1283" s="4">
        <v>116</v>
      </c>
      <c r="Z1283" s="4">
        <v>1</v>
      </c>
      <c r="AA1283" s="4">
        <v>202</v>
      </c>
      <c r="AB1283" s="4">
        <v>1</v>
      </c>
      <c r="AC1283" s="4">
        <v>24</v>
      </c>
      <c r="AD1283" s="4">
        <v>14</v>
      </c>
      <c r="AE1283" s="4">
        <v>167</v>
      </c>
      <c r="AF1283" s="4">
        <v>0</v>
      </c>
      <c r="AG1283" s="4">
        <v>8</v>
      </c>
      <c r="AH1283" s="4">
        <v>13</v>
      </c>
      <c r="AI1283" s="4">
        <v>114</v>
      </c>
      <c r="AJ1283" s="4">
        <v>0</v>
      </c>
      <c r="AK1283" s="4">
        <v>29</v>
      </c>
      <c r="AL1283" s="4">
        <v>8</v>
      </c>
      <c r="AM1283" s="4">
        <v>64</v>
      </c>
      <c r="AN1283" s="4">
        <v>0</v>
      </c>
      <c r="AO1283" s="4">
        <v>16</v>
      </c>
      <c r="AP1283" s="4">
        <v>0</v>
      </c>
      <c r="AQ1283" s="4">
        <v>57</v>
      </c>
      <c r="AR1283" s="3" t="s">
        <v>63</v>
      </c>
      <c r="AS1283" s="3" t="s">
        <v>63</v>
      </c>
      <c r="AT1283" s="3" t="s">
        <v>63</v>
      </c>
      <c r="AV1283" s="6" t="str">
        <f>HYPERLINK("http://mcgill.on.worldcat.org/oclc/223948604","Catalog Record")</f>
        <v>Catalog Record</v>
      </c>
      <c r="AW1283" s="6" t="str">
        <f>HYPERLINK("http://www.worldcat.org/oclc/223948604","WorldCat Record")</f>
        <v>WorldCat Record</v>
      </c>
      <c r="AX1283" s="3" t="s">
        <v>11806</v>
      </c>
      <c r="AY1283" s="3" t="s">
        <v>11857</v>
      </c>
      <c r="AZ1283" s="3" t="s">
        <v>11858</v>
      </c>
      <c r="BA1283" s="3" t="s">
        <v>11858</v>
      </c>
      <c r="BB1283" s="3" t="s">
        <v>11859</v>
      </c>
      <c r="BC1283" s="3" t="s">
        <v>82</v>
      </c>
      <c r="BD1283" s="3" t="s">
        <v>70</v>
      </c>
      <c r="BE1283" s="3" t="s">
        <v>11860</v>
      </c>
      <c r="BF1283" s="3" t="s">
        <v>11859</v>
      </c>
      <c r="BG1283" s="3" t="s">
        <v>11861</v>
      </c>
    </row>
    <row r="1284" spans="1:59" ht="60" x14ac:dyDescent="0.25">
      <c r="A1284" s="2" t="s">
        <v>59</v>
      </c>
      <c r="B1284" s="2" t="s">
        <v>60</v>
      </c>
      <c r="C1284" s="2" t="s">
        <v>11852</v>
      </c>
      <c r="D1284" s="2" t="s">
        <v>11853</v>
      </c>
      <c r="E1284" s="2" t="s">
        <v>11854</v>
      </c>
      <c r="G1284" s="3" t="s">
        <v>63</v>
      </c>
      <c r="I1284" s="3" t="s">
        <v>62</v>
      </c>
      <c r="J1284" s="3" t="s">
        <v>62</v>
      </c>
      <c r="K1284" s="3" t="s">
        <v>64</v>
      </c>
      <c r="L1284" s="2" t="s">
        <v>10454</v>
      </c>
      <c r="M1284" s="2" t="s">
        <v>11855</v>
      </c>
      <c r="N1284" s="3" t="s">
        <v>2459</v>
      </c>
      <c r="P1284" s="3" t="s">
        <v>66</v>
      </c>
      <c r="Q1284" s="2" t="s">
        <v>327</v>
      </c>
      <c r="R1284" s="3" t="s">
        <v>67</v>
      </c>
      <c r="S1284" s="4">
        <v>4</v>
      </c>
      <c r="T1284" s="4">
        <v>10</v>
      </c>
      <c r="U1284" s="5" t="s">
        <v>3861</v>
      </c>
      <c r="V1284" s="5" t="s">
        <v>11856</v>
      </c>
      <c r="W1284" s="5" t="s">
        <v>69</v>
      </c>
      <c r="X1284" s="5" t="s">
        <v>69</v>
      </c>
      <c r="Y1284" s="4">
        <v>116</v>
      </c>
      <c r="Z1284" s="4">
        <v>1</v>
      </c>
      <c r="AA1284" s="4">
        <v>202</v>
      </c>
      <c r="AB1284" s="4">
        <v>1</v>
      </c>
      <c r="AC1284" s="4">
        <v>24</v>
      </c>
      <c r="AD1284" s="4">
        <v>14</v>
      </c>
      <c r="AE1284" s="4">
        <v>167</v>
      </c>
      <c r="AF1284" s="4">
        <v>0</v>
      </c>
      <c r="AG1284" s="4">
        <v>8</v>
      </c>
      <c r="AH1284" s="4">
        <v>13</v>
      </c>
      <c r="AI1284" s="4">
        <v>114</v>
      </c>
      <c r="AJ1284" s="4">
        <v>0</v>
      </c>
      <c r="AK1284" s="4">
        <v>29</v>
      </c>
      <c r="AL1284" s="4">
        <v>8</v>
      </c>
      <c r="AM1284" s="4">
        <v>64</v>
      </c>
      <c r="AN1284" s="4">
        <v>0</v>
      </c>
      <c r="AO1284" s="4">
        <v>16</v>
      </c>
      <c r="AP1284" s="4">
        <v>0</v>
      </c>
      <c r="AQ1284" s="4">
        <v>57</v>
      </c>
      <c r="AR1284" s="3" t="s">
        <v>63</v>
      </c>
      <c r="AS1284" s="3" t="s">
        <v>63</v>
      </c>
      <c r="AT1284" s="3" t="s">
        <v>63</v>
      </c>
      <c r="AV1284" s="6" t="str">
        <f>HYPERLINK("http://mcgill.on.worldcat.org/oclc/223948604","Catalog Record")</f>
        <v>Catalog Record</v>
      </c>
      <c r="AW1284" s="6" t="str">
        <f>HYPERLINK("http://www.worldcat.org/oclc/223948604","WorldCat Record")</f>
        <v>WorldCat Record</v>
      </c>
      <c r="AX1284" s="3" t="s">
        <v>11806</v>
      </c>
      <c r="AY1284" s="3" t="s">
        <v>11857</v>
      </c>
      <c r="AZ1284" s="3" t="s">
        <v>11858</v>
      </c>
      <c r="BA1284" s="3" t="s">
        <v>11858</v>
      </c>
      <c r="BB1284" s="3" t="s">
        <v>11862</v>
      </c>
      <c r="BC1284" s="3" t="s">
        <v>82</v>
      </c>
      <c r="BD1284" s="3" t="s">
        <v>70</v>
      </c>
      <c r="BE1284" s="3" t="s">
        <v>11860</v>
      </c>
      <c r="BF1284" s="3" t="s">
        <v>11862</v>
      </c>
      <c r="BG1284" s="3" t="s">
        <v>11863</v>
      </c>
    </row>
    <row r="1285" spans="1:59" ht="60" x14ac:dyDescent="0.25">
      <c r="A1285" s="2" t="s">
        <v>59</v>
      </c>
      <c r="B1285" s="2" t="s">
        <v>60</v>
      </c>
      <c r="C1285" s="2" t="s">
        <v>11864</v>
      </c>
      <c r="D1285" s="2" t="s">
        <v>11865</v>
      </c>
      <c r="E1285" s="2" t="s">
        <v>11866</v>
      </c>
      <c r="G1285" s="3" t="s">
        <v>63</v>
      </c>
      <c r="I1285" s="3" t="s">
        <v>63</v>
      </c>
      <c r="J1285" s="3" t="s">
        <v>62</v>
      </c>
      <c r="K1285" s="3" t="s">
        <v>64</v>
      </c>
      <c r="L1285" s="2" t="s">
        <v>10454</v>
      </c>
      <c r="M1285" s="2" t="s">
        <v>11867</v>
      </c>
      <c r="N1285" s="3" t="s">
        <v>313</v>
      </c>
      <c r="P1285" s="3" t="s">
        <v>66</v>
      </c>
      <c r="R1285" s="3" t="s">
        <v>67</v>
      </c>
      <c r="S1285" s="4">
        <v>13</v>
      </c>
      <c r="T1285" s="4">
        <v>13</v>
      </c>
      <c r="U1285" s="5" t="s">
        <v>11856</v>
      </c>
      <c r="V1285" s="5" t="s">
        <v>11856</v>
      </c>
      <c r="W1285" s="5" t="s">
        <v>69</v>
      </c>
      <c r="X1285" s="5" t="s">
        <v>69</v>
      </c>
      <c r="Y1285" s="4">
        <v>110</v>
      </c>
      <c r="Z1285" s="4">
        <v>7</v>
      </c>
      <c r="AA1285" s="4">
        <v>202</v>
      </c>
      <c r="AB1285" s="4">
        <v>1</v>
      </c>
      <c r="AC1285" s="4">
        <v>24</v>
      </c>
      <c r="AD1285" s="4">
        <v>36</v>
      </c>
      <c r="AE1285" s="4">
        <v>167</v>
      </c>
      <c r="AF1285" s="4">
        <v>0</v>
      </c>
      <c r="AG1285" s="4">
        <v>8</v>
      </c>
      <c r="AH1285" s="4">
        <v>34</v>
      </c>
      <c r="AI1285" s="4">
        <v>114</v>
      </c>
      <c r="AJ1285" s="4">
        <v>5</v>
      </c>
      <c r="AK1285" s="4">
        <v>29</v>
      </c>
      <c r="AL1285" s="4">
        <v>23</v>
      </c>
      <c r="AM1285" s="4">
        <v>64</v>
      </c>
      <c r="AN1285" s="4">
        <v>0</v>
      </c>
      <c r="AO1285" s="4">
        <v>16</v>
      </c>
      <c r="AP1285" s="4">
        <v>5</v>
      </c>
      <c r="AQ1285" s="4">
        <v>57</v>
      </c>
      <c r="AR1285" s="3" t="s">
        <v>63</v>
      </c>
      <c r="AS1285" s="3" t="s">
        <v>63</v>
      </c>
      <c r="AT1285" s="3" t="s">
        <v>63</v>
      </c>
      <c r="AV1285" s="6" t="str">
        <f>HYPERLINK("http://mcgill.on.worldcat.org/oclc/528411287","Catalog Record")</f>
        <v>Catalog Record</v>
      </c>
      <c r="AW1285" s="6" t="str">
        <f>HYPERLINK("http://www.worldcat.org/oclc/528411287","WorldCat Record")</f>
        <v>WorldCat Record</v>
      </c>
      <c r="AX1285" s="3" t="s">
        <v>11806</v>
      </c>
      <c r="AY1285" s="3" t="s">
        <v>11868</v>
      </c>
      <c r="AZ1285" s="3" t="s">
        <v>11869</v>
      </c>
      <c r="BA1285" s="3" t="s">
        <v>11869</v>
      </c>
      <c r="BB1285" s="3" t="s">
        <v>11870</v>
      </c>
      <c r="BC1285" s="3" t="s">
        <v>82</v>
      </c>
      <c r="BD1285" s="3" t="s">
        <v>538</v>
      </c>
      <c r="BE1285" s="3" t="s">
        <v>11871</v>
      </c>
      <c r="BF1285" s="3" t="s">
        <v>11870</v>
      </c>
      <c r="BG1285" s="3" t="s">
        <v>11872</v>
      </c>
    </row>
    <row r="1286" spans="1:59" ht="60" x14ac:dyDescent="0.25">
      <c r="A1286" s="2" t="s">
        <v>59</v>
      </c>
      <c r="B1286" s="2" t="s">
        <v>60</v>
      </c>
      <c r="C1286" s="2" t="s">
        <v>11800</v>
      </c>
      <c r="D1286" s="2" t="s">
        <v>11801</v>
      </c>
      <c r="E1286" s="2" t="s">
        <v>11802</v>
      </c>
      <c r="G1286" s="3" t="s">
        <v>63</v>
      </c>
      <c r="I1286" s="3" t="s">
        <v>63</v>
      </c>
      <c r="J1286" s="3" t="s">
        <v>62</v>
      </c>
      <c r="K1286" s="3" t="s">
        <v>64</v>
      </c>
      <c r="L1286" s="2" t="s">
        <v>10454</v>
      </c>
      <c r="M1286" s="2" t="s">
        <v>11803</v>
      </c>
      <c r="N1286" s="3" t="s">
        <v>4426</v>
      </c>
      <c r="P1286" s="3" t="s">
        <v>66</v>
      </c>
      <c r="Q1286" s="2" t="s">
        <v>11804</v>
      </c>
      <c r="R1286" s="3" t="s">
        <v>67</v>
      </c>
      <c r="S1286" s="4">
        <v>21</v>
      </c>
      <c r="T1286" s="4">
        <v>21</v>
      </c>
      <c r="U1286" s="5" t="s">
        <v>11805</v>
      </c>
      <c r="V1286" s="5" t="s">
        <v>11805</v>
      </c>
      <c r="W1286" s="5" t="s">
        <v>69</v>
      </c>
      <c r="X1286" s="5" t="s">
        <v>69</v>
      </c>
      <c r="Y1286" s="4">
        <v>32</v>
      </c>
      <c r="Z1286" s="4">
        <v>2</v>
      </c>
      <c r="AA1286" s="4">
        <v>202</v>
      </c>
      <c r="AB1286" s="4">
        <v>1</v>
      </c>
      <c r="AC1286" s="4">
        <v>24</v>
      </c>
      <c r="AD1286" s="4">
        <v>8</v>
      </c>
      <c r="AE1286" s="4">
        <v>167</v>
      </c>
      <c r="AF1286" s="4">
        <v>0</v>
      </c>
      <c r="AG1286" s="4">
        <v>8</v>
      </c>
      <c r="AH1286" s="4">
        <v>6</v>
      </c>
      <c r="AI1286" s="4">
        <v>114</v>
      </c>
      <c r="AJ1286" s="4">
        <v>0</v>
      </c>
      <c r="AK1286" s="4">
        <v>29</v>
      </c>
      <c r="AL1286" s="4">
        <v>5</v>
      </c>
      <c r="AM1286" s="4">
        <v>64</v>
      </c>
      <c r="AN1286" s="4">
        <v>0</v>
      </c>
      <c r="AO1286" s="4">
        <v>16</v>
      </c>
      <c r="AP1286" s="4">
        <v>1</v>
      </c>
      <c r="AQ1286" s="4">
        <v>57</v>
      </c>
      <c r="AR1286" s="3" t="s">
        <v>63</v>
      </c>
      <c r="AS1286" s="3" t="s">
        <v>63</v>
      </c>
      <c r="AT1286" s="3" t="s">
        <v>62</v>
      </c>
      <c r="AU1286" s="6" t="str">
        <f>HYPERLINK("http://catalog.hathitrust.org/Record/001847634","HathiTrust Record")</f>
        <v>HathiTrust Record</v>
      </c>
      <c r="AV1286" s="6" t="str">
        <f>HYPERLINK("http://mcgill.on.worldcat.org/oclc/10556686","Catalog Record")</f>
        <v>Catalog Record</v>
      </c>
      <c r="AW1286" s="6" t="str">
        <f>HYPERLINK("http://www.worldcat.org/oclc/10556686","WorldCat Record")</f>
        <v>WorldCat Record</v>
      </c>
      <c r="AX1286" s="3" t="s">
        <v>11806</v>
      </c>
      <c r="AY1286" s="3" t="s">
        <v>11807</v>
      </c>
      <c r="AZ1286" s="3" t="s">
        <v>11808</v>
      </c>
      <c r="BA1286" s="3" t="s">
        <v>11808</v>
      </c>
      <c r="BB1286" s="3" t="s">
        <v>11809</v>
      </c>
      <c r="BC1286" s="3" t="s">
        <v>82</v>
      </c>
      <c r="BD1286" s="3" t="s">
        <v>70</v>
      </c>
      <c r="BF1286" s="3" t="s">
        <v>11809</v>
      </c>
      <c r="BG1286" s="3" t="s">
        <v>11810</v>
      </c>
    </row>
    <row r="1287" spans="1:59" ht="60" x14ac:dyDescent="0.25">
      <c r="A1287" s="2" t="s">
        <v>59</v>
      </c>
      <c r="B1287" s="2" t="s">
        <v>60</v>
      </c>
      <c r="C1287" s="2" t="s">
        <v>11898</v>
      </c>
      <c r="D1287" s="2" t="s">
        <v>11899</v>
      </c>
      <c r="E1287" s="2" t="s">
        <v>11900</v>
      </c>
      <c r="G1287" s="3" t="s">
        <v>63</v>
      </c>
      <c r="I1287" s="3" t="s">
        <v>62</v>
      </c>
      <c r="J1287" s="3" t="s">
        <v>63</v>
      </c>
      <c r="K1287" s="3" t="s">
        <v>64</v>
      </c>
      <c r="L1287" s="2" t="s">
        <v>10454</v>
      </c>
      <c r="M1287" s="2" t="s">
        <v>11901</v>
      </c>
      <c r="N1287" s="3" t="s">
        <v>743</v>
      </c>
      <c r="P1287" s="3" t="s">
        <v>66</v>
      </c>
      <c r="R1287" s="3" t="s">
        <v>67</v>
      </c>
      <c r="S1287" s="4">
        <v>25</v>
      </c>
      <c r="T1287" s="4">
        <v>46</v>
      </c>
      <c r="U1287" s="5" t="s">
        <v>2347</v>
      </c>
      <c r="V1287" s="5" t="s">
        <v>2347</v>
      </c>
      <c r="W1287" s="5" t="s">
        <v>69</v>
      </c>
      <c r="X1287" s="5" t="s">
        <v>69</v>
      </c>
      <c r="Y1287" s="4">
        <v>806</v>
      </c>
      <c r="Z1287" s="4">
        <v>30</v>
      </c>
      <c r="AA1287" s="4">
        <v>31</v>
      </c>
      <c r="AB1287" s="4">
        <v>2</v>
      </c>
      <c r="AC1287" s="4">
        <v>3</v>
      </c>
      <c r="AD1287" s="4">
        <v>97</v>
      </c>
      <c r="AE1287" s="4">
        <v>100</v>
      </c>
      <c r="AF1287" s="4">
        <v>1</v>
      </c>
      <c r="AG1287" s="4">
        <v>1</v>
      </c>
      <c r="AH1287" s="4">
        <v>81</v>
      </c>
      <c r="AI1287" s="4">
        <v>84</v>
      </c>
      <c r="AJ1287" s="4">
        <v>13</v>
      </c>
      <c r="AK1287" s="4">
        <v>13</v>
      </c>
      <c r="AL1287" s="4">
        <v>46</v>
      </c>
      <c r="AM1287" s="4">
        <v>48</v>
      </c>
      <c r="AN1287" s="4">
        <v>0</v>
      </c>
      <c r="AO1287" s="4">
        <v>0</v>
      </c>
      <c r="AP1287" s="4">
        <v>18</v>
      </c>
      <c r="AQ1287" s="4">
        <v>18</v>
      </c>
      <c r="AR1287" s="3" t="s">
        <v>63</v>
      </c>
      <c r="AS1287" s="3" t="s">
        <v>63</v>
      </c>
      <c r="AT1287" s="3" t="s">
        <v>63</v>
      </c>
      <c r="AV1287" s="6" t="str">
        <f>HYPERLINK("http://mcgill.on.worldcat.org/oclc/1621874","Catalog Record")</f>
        <v>Catalog Record</v>
      </c>
      <c r="AW1287" s="6" t="str">
        <f>HYPERLINK("http://www.worldcat.org/oclc/1621874","WorldCat Record")</f>
        <v>WorldCat Record</v>
      </c>
      <c r="AX1287" s="3" t="s">
        <v>11902</v>
      </c>
      <c r="AY1287" s="3" t="s">
        <v>11903</v>
      </c>
      <c r="AZ1287" s="3" t="s">
        <v>11904</v>
      </c>
      <c r="BA1287" s="3" t="s">
        <v>11904</v>
      </c>
      <c r="BB1287" s="3" t="s">
        <v>11905</v>
      </c>
      <c r="BC1287" s="3" t="s">
        <v>82</v>
      </c>
      <c r="BD1287" s="3" t="s">
        <v>70</v>
      </c>
      <c r="BE1287" s="3" t="s">
        <v>11906</v>
      </c>
      <c r="BF1287" s="3" t="s">
        <v>11905</v>
      </c>
      <c r="BG1287" s="3" t="s">
        <v>11907</v>
      </c>
    </row>
    <row r="1288" spans="1:59" ht="60" x14ac:dyDescent="0.25">
      <c r="A1288" s="2" t="s">
        <v>59</v>
      </c>
      <c r="B1288" s="2" t="s">
        <v>60</v>
      </c>
      <c r="C1288" s="2" t="s">
        <v>11898</v>
      </c>
      <c r="D1288" s="2" t="s">
        <v>11899</v>
      </c>
      <c r="E1288" s="2" t="s">
        <v>11900</v>
      </c>
      <c r="G1288" s="3" t="s">
        <v>63</v>
      </c>
      <c r="I1288" s="3" t="s">
        <v>62</v>
      </c>
      <c r="J1288" s="3" t="s">
        <v>63</v>
      </c>
      <c r="K1288" s="3" t="s">
        <v>64</v>
      </c>
      <c r="L1288" s="2" t="s">
        <v>10454</v>
      </c>
      <c r="M1288" s="2" t="s">
        <v>11901</v>
      </c>
      <c r="N1288" s="3" t="s">
        <v>743</v>
      </c>
      <c r="P1288" s="3" t="s">
        <v>66</v>
      </c>
      <c r="R1288" s="3" t="s">
        <v>67</v>
      </c>
      <c r="S1288" s="4">
        <v>21</v>
      </c>
      <c r="T1288" s="4">
        <v>46</v>
      </c>
      <c r="U1288" s="5" t="s">
        <v>11908</v>
      </c>
      <c r="V1288" s="5" t="s">
        <v>2347</v>
      </c>
      <c r="W1288" s="5" t="s">
        <v>69</v>
      </c>
      <c r="X1288" s="5" t="s">
        <v>69</v>
      </c>
      <c r="Y1288" s="4">
        <v>806</v>
      </c>
      <c r="Z1288" s="4">
        <v>30</v>
      </c>
      <c r="AA1288" s="4">
        <v>31</v>
      </c>
      <c r="AB1288" s="4">
        <v>2</v>
      </c>
      <c r="AC1288" s="4">
        <v>3</v>
      </c>
      <c r="AD1288" s="4">
        <v>97</v>
      </c>
      <c r="AE1288" s="4">
        <v>100</v>
      </c>
      <c r="AF1288" s="4">
        <v>1</v>
      </c>
      <c r="AG1288" s="4">
        <v>1</v>
      </c>
      <c r="AH1288" s="4">
        <v>81</v>
      </c>
      <c r="AI1288" s="4">
        <v>84</v>
      </c>
      <c r="AJ1288" s="4">
        <v>13</v>
      </c>
      <c r="AK1288" s="4">
        <v>13</v>
      </c>
      <c r="AL1288" s="4">
        <v>46</v>
      </c>
      <c r="AM1288" s="4">
        <v>48</v>
      </c>
      <c r="AN1288" s="4">
        <v>0</v>
      </c>
      <c r="AO1288" s="4">
        <v>0</v>
      </c>
      <c r="AP1288" s="4">
        <v>18</v>
      </c>
      <c r="AQ1288" s="4">
        <v>18</v>
      </c>
      <c r="AR1288" s="3" t="s">
        <v>63</v>
      </c>
      <c r="AS1288" s="3" t="s">
        <v>63</v>
      </c>
      <c r="AT1288" s="3" t="s">
        <v>63</v>
      </c>
      <c r="AV1288" s="6" t="str">
        <f>HYPERLINK("http://mcgill.on.worldcat.org/oclc/1621874","Catalog Record")</f>
        <v>Catalog Record</v>
      </c>
      <c r="AW1288" s="6" t="str">
        <f>HYPERLINK("http://www.worldcat.org/oclc/1621874","WorldCat Record")</f>
        <v>WorldCat Record</v>
      </c>
      <c r="AX1288" s="3" t="s">
        <v>11902</v>
      </c>
      <c r="AY1288" s="3" t="s">
        <v>11903</v>
      </c>
      <c r="AZ1288" s="3" t="s">
        <v>11904</v>
      </c>
      <c r="BA1288" s="3" t="s">
        <v>11904</v>
      </c>
      <c r="BB1288" s="3" t="s">
        <v>11909</v>
      </c>
      <c r="BC1288" s="3" t="s">
        <v>82</v>
      </c>
      <c r="BD1288" s="3" t="s">
        <v>70</v>
      </c>
      <c r="BE1288" s="3" t="s">
        <v>11906</v>
      </c>
      <c r="BF1288" s="3" t="s">
        <v>11909</v>
      </c>
      <c r="BG1288" s="3" t="s">
        <v>11910</v>
      </c>
    </row>
    <row r="1289" spans="1:59" ht="60" x14ac:dyDescent="0.25">
      <c r="A1289" s="2" t="s">
        <v>59</v>
      </c>
      <c r="B1289" s="2" t="s">
        <v>60</v>
      </c>
      <c r="C1289" s="2" t="s">
        <v>11911</v>
      </c>
      <c r="D1289" s="2" t="s">
        <v>11912</v>
      </c>
      <c r="E1289" s="2" t="s">
        <v>11913</v>
      </c>
      <c r="G1289" s="3" t="s">
        <v>63</v>
      </c>
      <c r="I1289" s="3" t="s">
        <v>62</v>
      </c>
      <c r="J1289" s="3" t="s">
        <v>62</v>
      </c>
      <c r="K1289" s="3" t="s">
        <v>64</v>
      </c>
      <c r="L1289" s="2" t="s">
        <v>10454</v>
      </c>
      <c r="M1289" s="2" t="s">
        <v>11914</v>
      </c>
      <c r="N1289" s="3" t="s">
        <v>1226</v>
      </c>
      <c r="P1289" s="3" t="s">
        <v>66</v>
      </c>
      <c r="Q1289" s="2" t="s">
        <v>11524</v>
      </c>
      <c r="R1289" s="3" t="s">
        <v>67</v>
      </c>
      <c r="S1289" s="4">
        <v>15</v>
      </c>
      <c r="T1289" s="4">
        <v>37</v>
      </c>
      <c r="U1289" s="5" t="s">
        <v>11915</v>
      </c>
      <c r="V1289" s="5" t="s">
        <v>68</v>
      </c>
      <c r="W1289" s="5" t="s">
        <v>69</v>
      </c>
      <c r="X1289" s="5" t="s">
        <v>69</v>
      </c>
      <c r="Y1289" s="4">
        <v>180</v>
      </c>
      <c r="Z1289" s="4">
        <v>8</v>
      </c>
      <c r="AA1289" s="4">
        <v>139</v>
      </c>
      <c r="AB1289" s="4">
        <v>1</v>
      </c>
      <c r="AC1289" s="4">
        <v>21</v>
      </c>
      <c r="AD1289" s="4">
        <v>48</v>
      </c>
      <c r="AE1289" s="4">
        <v>161</v>
      </c>
      <c r="AF1289" s="4">
        <v>0</v>
      </c>
      <c r="AG1289" s="4">
        <v>8</v>
      </c>
      <c r="AH1289" s="4">
        <v>44</v>
      </c>
      <c r="AI1289" s="4">
        <v>114</v>
      </c>
      <c r="AJ1289" s="4">
        <v>2</v>
      </c>
      <c r="AK1289" s="4">
        <v>27</v>
      </c>
      <c r="AL1289" s="4">
        <v>27</v>
      </c>
      <c r="AM1289" s="4">
        <v>63</v>
      </c>
      <c r="AN1289" s="4">
        <v>0</v>
      </c>
      <c r="AO1289" s="4">
        <v>3</v>
      </c>
      <c r="AP1289" s="4">
        <v>3</v>
      </c>
      <c r="AQ1289" s="4">
        <v>52</v>
      </c>
      <c r="AR1289" s="3" t="s">
        <v>63</v>
      </c>
      <c r="AS1289" s="3" t="s">
        <v>63</v>
      </c>
      <c r="AT1289" s="3" t="s">
        <v>62</v>
      </c>
      <c r="AU1289" s="6" t="str">
        <f>HYPERLINK("http://catalog.hathitrust.org/Record/007142748","HathiTrust Record")</f>
        <v>HathiTrust Record</v>
      </c>
      <c r="AV1289" s="6" t="str">
        <f>HYPERLINK("http://mcgill.on.worldcat.org/oclc/50322893","Catalog Record")</f>
        <v>Catalog Record</v>
      </c>
      <c r="AW1289" s="6" t="str">
        <f>HYPERLINK("http://www.worldcat.org/oclc/50322893","WorldCat Record")</f>
        <v>WorldCat Record</v>
      </c>
      <c r="AX1289" s="3" t="s">
        <v>11536</v>
      </c>
      <c r="AY1289" s="3" t="s">
        <v>11916</v>
      </c>
      <c r="AZ1289" s="3" t="s">
        <v>11917</v>
      </c>
      <c r="BA1289" s="3" t="s">
        <v>11917</v>
      </c>
      <c r="BB1289" s="3" t="s">
        <v>11918</v>
      </c>
      <c r="BC1289" s="3" t="s">
        <v>82</v>
      </c>
      <c r="BD1289" s="3" t="s">
        <v>70</v>
      </c>
      <c r="BE1289" s="3" t="s">
        <v>11919</v>
      </c>
      <c r="BF1289" s="3" t="s">
        <v>11918</v>
      </c>
      <c r="BG1289" s="3" t="s">
        <v>11920</v>
      </c>
    </row>
    <row r="1290" spans="1:59" ht="60" x14ac:dyDescent="0.25">
      <c r="A1290" s="2" t="s">
        <v>59</v>
      </c>
      <c r="B1290" s="2" t="s">
        <v>60</v>
      </c>
      <c r="C1290" s="2" t="s">
        <v>11911</v>
      </c>
      <c r="D1290" s="2" t="s">
        <v>11912</v>
      </c>
      <c r="E1290" s="2" t="s">
        <v>11913</v>
      </c>
      <c r="G1290" s="3" t="s">
        <v>63</v>
      </c>
      <c r="I1290" s="3" t="s">
        <v>62</v>
      </c>
      <c r="J1290" s="3" t="s">
        <v>62</v>
      </c>
      <c r="K1290" s="3" t="s">
        <v>64</v>
      </c>
      <c r="L1290" s="2" t="s">
        <v>10454</v>
      </c>
      <c r="M1290" s="2" t="s">
        <v>11914</v>
      </c>
      <c r="N1290" s="3" t="s">
        <v>1226</v>
      </c>
      <c r="P1290" s="3" t="s">
        <v>66</v>
      </c>
      <c r="Q1290" s="2" t="s">
        <v>11524</v>
      </c>
      <c r="R1290" s="3" t="s">
        <v>67</v>
      </c>
      <c r="S1290" s="4">
        <v>22</v>
      </c>
      <c r="T1290" s="4">
        <v>37</v>
      </c>
      <c r="U1290" s="5" t="s">
        <v>68</v>
      </c>
      <c r="V1290" s="5" t="s">
        <v>68</v>
      </c>
      <c r="W1290" s="5" t="s">
        <v>69</v>
      </c>
      <c r="X1290" s="5" t="s">
        <v>69</v>
      </c>
      <c r="Y1290" s="4">
        <v>180</v>
      </c>
      <c r="Z1290" s="4">
        <v>8</v>
      </c>
      <c r="AA1290" s="4">
        <v>139</v>
      </c>
      <c r="AB1290" s="4">
        <v>1</v>
      </c>
      <c r="AC1290" s="4">
        <v>21</v>
      </c>
      <c r="AD1290" s="4">
        <v>48</v>
      </c>
      <c r="AE1290" s="4">
        <v>161</v>
      </c>
      <c r="AF1290" s="4">
        <v>0</v>
      </c>
      <c r="AG1290" s="4">
        <v>8</v>
      </c>
      <c r="AH1290" s="4">
        <v>44</v>
      </c>
      <c r="AI1290" s="4">
        <v>114</v>
      </c>
      <c r="AJ1290" s="4">
        <v>2</v>
      </c>
      <c r="AK1290" s="4">
        <v>27</v>
      </c>
      <c r="AL1290" s="4">
        <v>27</v>
      </c>
      <c r="AM1290" s="4">
        <v>63</v>
      </c>
      <c r="AN1290" s="4">
        <v>0</v>
      </c>
      <c r="AO1290" s="4">
        <v>3</v>
      </c>
      <c r="AP1290" s="4">
        <v>3</v>
      </c>
      <c r="AQ1290" s="4">
        <v>52</v>
      </c>
      <c r="AR1290" s="3" t="s">
        <v>63</v>
      </c>
      <c r="AS1290" s="3" t="s">
        <v>63</v>
      </c>
      <c r="AT1290" s="3" t="s">
        <v>62</v>
      </c>
      <c r="AU1290" s="6" t="str">
        <f>HYPERLINK("http://catalog.hathitrust.org/Record/007142748","HathiTrust Record")</f>
        <v>HathiTrust Record</v>
      </c>
      <c r="AV1290" s="6" t="str">
        <f>HYPERLINK("http://mcgill.on.worldcat.org/oclc/50322893","Catalog Record")</f>
        <v>Catalog Record</v>
      </c>
      <c r="AW1290" s="6" t="str">
        <f>HYPERLINK("http://www.worldcat.org/oclc/50322893","WorldCat Record")</f>
        <v>WorldCat Record</v>
      </c>
      <c r="AX1290" s="3" t="s">
        <v>11536</v>
      </c>
      <c r="AY1290" s="3" t="s">
        <v>11916</v>
      </c>
      <c r="AZ1290" s="3" t="s">
        <v>11917</v>
      </c>
      <c r="BA1290" s="3" t="s">
        <v>11917</v>
      </c>
      <c r="BB1290" s="3" t="s">
        <v>11921</v>
      </c>
      <c r="BC1290" s="3" t="s">
        <v>82</v>
      </c>
      <c r="BD1290" s="3" t="s">
        <v>70</v>
      </c>
      <c r="BE1290" s="3" t="s">
        <v>11919</v>
      </c>
      <c r="BF1290" s="3" t="s">
        <v>11921</v>
      </c>
      <c r="BG1290" s="3" t="s">
        <v>11922</v>
      </c>
    </row>
    <row r="1291" spans="1:59" ht="60" x14ac:dyDescent="0.25">
      <c r="A1291" s="2" t="s">
        <v>59</v>
      </c>
      <c r="B1291" s="2" t="s">
        <v>60</v>
      </c>
      <c r="C1291" s="2" t="s">
        <v>11873</v>
      </c>
      <c r="D1291" s="2" t="s">
        <v>11874</v>
      </c>
      <c r="E1291" s="2" t="s">
        <v>11875</v>
      </c>
      <c r="G1291" s="3" t="s">
        <v>63</v>
      </c>
      <c r="I1291" s="3" t="s">
        <v>63</v>
      </c>
      <c r="J1291" s="3" t="s">
        <v>62</v>
      </c>
      <c r="K1291" s="3" t="s">
        <v>64</v>
      </c>
      <c r="L1291" s="2" t="s">
        <v>10454</v>
      </c>
      <c r="M1291" s="2" t="s">
        <v>11876</v>
      </c>
      <c r="N1291" s="3" t="s">
        <v>234</v>
      </c>
      <c r="P1291" s="3" t="s">
        <v>66</v>
      </c>
      <c r="Q1291" s="2" t="s">
        <v>11759</v>
      </c>
      <c r="R1291" s="3" t="s">
        <v>67</v>
      </c>
      <c r="S1291" s="4">
        <v>18</v>
      </c>
      <c r="T1291" s="4">
        <v>18</v>
      </c>
      <c r="U1291" s="5" t="s">
        <v>11877</v>
      </c>
      <c r="V1291" s="5" t="s">
        <v>11877</v>
      </c>
      <c r="W1291" s="5" t="s">
        <v>69</v>
      </c>
      <c r="X1291" s="5" t="s">
        <v>69</v>
      </c>
      <c r="Y1291" s="4">
        <v>133</v>
      </c>
      <c r="Z1291" s="4">
        <v>9</v>
      </c>
      <c r="AA1291" s="4">
        <v>138</v>
      </c>
      <c r="AB1291" s="4">
        <v>2</v>
      </c>
      <c r="AC1291" s="4">
        <v>21</v>
      </c>
      <c r="AD1291" s="4">
        <v>45</v>
      </c>
      <c r="AE1291" s="4">
        <v>160</v>
      </c>
      <c r="AF1291" s="4">
        <v>0</v>
      </c>
      <c r="AG1291" s="4">
        <v>8</v>
      </c>
      <c r="AH1291" s="4">
        <v>43</v>
      </c>
      <c r="AI1291" s="4">
        <v>114</v>
      </c>
      <c r="AJ1291" s="4">
        <v>2</v>
      </c>
      <c r="AK1291" s="4">
        <v>27</v>
      </c>
      <c r="AL1291" s="4">
        <v>36</v>
      </c>
      <c r="AM1291" s="4">
        <v>63</v>
      </c>
      <c r="AN1291" s="4">
        <v>0</v>
      </c>
      <c r="AO1291" s="4">
        <v>3</v>
      </c>
      <c r="AP1291" s="4">
        <v>3</v>
      </c>
      <c r="AQ1291" s="4">
        <v>51</v>
      </c>
      <c r="AR1291" s="3" t="s">
        <v>63</v>
      </c>
      <c r="AS1291" s="3" t="s">
        <v>63</v>
      </c>
      <c r="AT1291" s="3" t="s">
        <v>62</v>
      </c>
      <c r="AU1291" s="6" t="str">
        <f>HYPERLINK("http://catalog.hathitrust.org/Record/005148850","HathiTrust Record")</f>
        <v>HathiTrust Record</v>
      </c>
      <c r="AV1291" s="6" t="str">
        <f>HYPERLINK("http://mcgill.on.worldcat.org/oclc/60794879","Catalog Record")</f>
        <v>Catalog Record</v>
      </c>
      <c r="AW1291" s="6" t="str">
        <f>HYPERLINK("http://www.worldcat.org/oclc/60794879","WorldCat Record")</f>
        <v>WorldCat Record</v>
      </c>
      <c r="AX1291" s="3" t="s">
        <v>11536</v>
      </c>
      <c r="AY1291" s="3" t="s">
        <v>11878</v>
      </c>
      <c r="AZ1291" s="3" t="s">
        <v>11879</v>
      </c>
      <c r="BA1291" s="3" t="s">
        <v>11879</v>
      </c>
      <c r="BB1291" s="3" t="s">
        <v>11880</v>
      </c>
      <c r="BC1291" s="3" t="s">
        <v>82</v>
      </c>
      <c r="BD1291" s="3" t="s">
        <v>70</v>
      </c>
      <c r="BE1291" s="3" t="s">
        <v>11881</v>
      </c>
      <c r="BF1291" s="3" t="s">
        <v>11880</v>
      </c>
      <c r="BG1291" s="3" t="s">
        <v>11882</v>
      </c>
    </row>
    <row r="1292" spans="1:59" ht="60" x14ac:dyDescent="0.25">
      <c r="A1292" s="2" t="s">
        <v>59</v>
      </c>
      <c r="B1292" s="2" t="s">
        <v>60</v>
      </c>
      <c r="C1292" s="2" t="s">
        <v>11883</v>
      </c>
      <c r="D1292" s="2" t="s">
        <v>11884</v>
      </c>
      <c r="E1292" s="2" t="s">
        <v>11885</v>
      </c>
      <c r="G1292" s="3" t="s">
        <v>63</v>
      </c>
      <c r="I1292" s="3" t="s">
        <v>62</v>
      </c>
      <c r="J1292" s="3" t="s">
        <v>63</v>
      </c>
      <c r="K1292" s="3" t="s">
        <v>64</v>
      </c>
      <c r="L1292" s="2" t="s">
        <v>10454</v>
      </c>
      <c r="M1292" s="2" t="s">
        <v>11886</v>
      </c>
      <c r="N1292" s="3" t="s">
        <v>11887</v>
      </c>
      <c r="P1292" s="3" t="s">
        <v>66</v>
      </c>
      <c r="Q1292" s="2" t="s">
        <v>11888</v>
      </c>
      <c r="R1292" s="3" t="s">
        <v>67</v>
      </c>
      <c r="S1292" s="4">
        <v>2</v>
      </c>
      <c r="T1292" s="4">
        <v>19</v>
      </c>
      <c r="U1292" s="5" t="s">
        <v>11889</v>
      </c>
      <c r="V1292" s="5" t="s">
        <v>11890</v>
      </c>
      <c r="W1292" s="5" t="s">
        <v>69</v>
      </c>
      <c r="X1292" s="5" t="s">
        <v>69</v>
      </c>
      <c r="Y1292" s="4">
        <v>42</v>
      </c>
      <c r="Z1292" s="4">
        <v>2</v>
      </c>
      <c r="AA1292" s="4">
        <v>25</v>
      </c>
      <c r="AB1292" s="4">
        <v>1</v>
      </c>
      <c r="AC1292" s="4">
        <v>1</v>
      </c>
      <c r="AD1292" s="4">
        <v>11</v>
      </c>
      <c r="AE1292" s="4">
        <v>54</v>
      </c>
      <c r="AF1292" s="4">
        <v>0</v>
      </c>
      <c r="AG1292" s="4">
        <v>0</v>
      </c>
      <c r="AH1292" s="4">
        <v>9</v>
      </c>
      <c r="AI1292" s="4">
        <v>45</v>
      </c>
      <c r="AJ1292" s="4">
        <v>1</v>
      </c>
      <c r="AK1292" s="4">
        <v>10</v>
      </c>
      <c r="AL1292" s="4">
        <v>8</v>
      </c>
      <c r="AM1292" s="4">
        <v>28</v>
      </c>
      <c r="AN1292" s="4">
        <v>0</v>
      </c>
      <c r="AO1292" s="4">
        <v>0</v>
      </c>
      <c r="AP1292" s="4">
        <v>1</v>
      </c>
      <c r="AQ1292" s="4">
        <v>13</v>
      </c>
      <c r="AR1292" s="3" t="s">
        <v>63</v>
      </c>
      <c r="AS1292" s="3" t="s">
        <v>62</v>
      </c>
      <c r="AT1292" s="3" t="s">
        <v>63</v>
      </c>
      <c r="AU1292" s="6" t="str">
        <f>HYPERLINK("http://catalog.hathitrust.org/Record/006758792","HathiTrust Record")</f>
        <v>HathiTrust Record</v>
      </c>
      <c r="AV1292" s="6" t="str">
        <f>HYPERLINK("http://mcgill.on.worldcat.org/oclc/12795849","Catalog Record")</f>
        <v>Catalog Record</v>
      </c>
      <c r="AW1292" s="6" t="str">
        <f>HYPERLINK("http://www.worldcat.org/oclc/12795849","WorldCat Record")</f>
        <v>WorldCat Record</v>
      </c>
      <c r="AX1292" s="3" t="s">
        <v>11891</v>
      </c>
      <c r="AY1292" s="3" t="s">
        <v>11892</v>
      </c>
      <c r="AZ1292" s="3" t="s">
        <v>11893</v>
      </c>
      <c r="BA1292" s="3" t="s">
        <v>11893</v>
      </c>
      <c r="BB1292" s="3" t="s">
        <v>11894</v>
      </c>
      <c r="BC1292" s="3" t="s">
        <v>82</v>
      </c>
      <c r="BD1292" s="3" t="s">
        <v>70</v>
      </c>
      <c r="BF1292" s="3" t="s">
        <v>11894</v>
      </c>
      <c r="BG1292" s="3" t="s">
        <v>11895</v>
      </c>
    </row>
    <row r="1293" spans="1:59" ht="60" x14ac:dyDescent="0.25">
      <c r="A1293" s="2" t="s">
        <v>59</v>
      </c>
      <c r="B1293" s="2" t="s">
        <v>60</v>
      </c>
      <c r="C1293" s="2" t="s">
        <v>11883</v>
      </c>
      <c r="D1293" s="2" t="s">
        <v>11884</v>
      </c>
      <c r="E1293" s="2" t="s">
        <v>11885</v>
      </c>
      <c r="G1293" s="3" t="s">
        <v>63</v>
      </c>
      <c r="I1293" s="3" t="s">
        <v>62</v>
      </c>
      <c r="J1293" s="3" t="s">
        <v>63</v>
      </c>
      <c r="K1293" s="3" t="s">
        <v>64</v>
      </c>
      <c r="L1293" s="2" t="s">
        <v>10454</v>
      </c>
      <c r="M1293" s="2" t="s">
        <v>11886</v>
      </c>
      <c r="N1293" s="3" t="s">
        <v>11887</v>
      </c>
      <c r="P1293" s="3" t="s">
        <v>66</v>
      </c>
      <c r="Q1293" s="2" t="s">
        <v>11888</v>
      </c>
      <c r="R1293" s="3" t="s">
        <v>67</v>
      </c>
      <c r="S1293" s="4">
        <v>17</v>
      </c>
      <c r="T1293" s="4">
        <v>19</v>
      </c>
      <c r="U1293" s="5" t="s">
        <v>11890</v>
      </c>
      <c r="V1293" s="5" t="s">
        <v>11890</v>
      </c>
      <c r="W1293" s="5" t="s">
        <v>69</v>
      </c>
      <c r="X1293" s="5" t="s">
        <v>69</v>
      </c>
      <c r="Y1293" s="4">
        <v>42</v>
      </c>
      <c r="Z1293" s="4">
        <v>2</v>
      </c>
      <c r="AA1293" s="4">
        <v>25</v>
      </c>
      <c r="AB1293" s="4">
        <v>1</v>
      </c>
      <c r="AC1293" s="4">
        <v>1</v>
      </c>
      <c r="AD1293" s="4">
        <v>11</v>
      </c>
      <c r="AE1293" s="4">
        <v>54</v>
      </c>
      <c r="AF1293" s="4">
        <v>0</v>
      </c>
      <c r="AG1293" s="4">
        <v>0</v>
      </c>
      <c r="AH1293" s="4">
        <v>9</v>
      </c>
      <c r="AI1293" s="4">
        <v>45</v>
      </c>
      <c r="AJ1293" s="4">
        <v>1</v>
      </c>
      <c r="AK1293" s="4">
        <v>10</v>
      </c>
      <c r="AL1293" s="4">
        <v>8</v>
      </c>
      <c r="AM1293" s="4">
        <v>28</v>
      </c>
      <c r="AN1293" s="4">
        <v>0</v>
      </c>
      <c r="AO1293" s="4">
        <v>0</v>
      </c>
      <c r="AP1293" s="4">
        <v>1</v>
      </c>
      <c r="AQ1293" s="4">
        <v>13</v>
      </c>
      <c r="AR1293" s="3" t="s">
        <v>63</v>
      </c>
      <c r="AS1293" s="3" t="s">
        <v>62</v>
      </c>
      <c r="AT1293" s="3" t="s">
        <v>63</v>
      </c>
      <c r="AU1293" s="6" t="str">
        <f>HYPERLINK("http://catalog.hathitrust.org/Record/006758792","HathiTrust Record")</f>
        <v>HathiTrust Record</v>
      </c>
      <c r="AV1293" s="6" t="str">
        <f>HYPERLINK("http://mcgill.on.worldcat.org/oclc/12795849","Catalog Record")</f>
        <v>Catalog Record</v>
      </c>
      <c r="AW1293" s="6" t="str">
        <f>HYPERLINK("http://www.worldcat.org/oclc/12795849","WorldCat Record")</f>
        <v>WorldCat Record</v>
      </c>
      <c r="AX1293" s="3" t="s">
        <v>11891</v>
      </c>
      <c r="AY1293" s="3" t="s">
        <v>11892</v>
      </c>
      <c r="AZ1293" s="3" t="s">
        <v>11893</v>
      </c>
      <c r="BA1293" s="3" t="s">
        <v>11893</v>
      </c>
      <c r="BB1293" s="3" t="s">
        <v>11896</v>
      </c>
      <c r="BC1293" s="3" t="s">
        <v>82</v>
      </c>
      <c r="BD1293" s="3" t="s">
        <v>70</v>
      </c>
      <c r="BF1293" s="3" t="s">
        <v>11896</v>
      </c>
      <c r="BG1293" s="3" t="s">
        <v>11897</v>
      </c>
    </row>
    <row r="1294" spans="1:59" ht="60" x14ac:dyDescent="0.25">
      <c r="A1294" s="2" t="s">
        <v>59</v>
      </c>
      <c r="B1294" s="2" t="s">
        <v>60</v>
      </c>
      <c r="C1294" s="2" t="s">
        <v>11923</v>
      </c>
      <c r="D1294" s="2" t="s">
        <v>11924</v>
      </c>
      <c r="E1294" s="2" t="s">
        <v>11925</v>
      </c>
      <c r="G1294" s="3" t="s">
        <v>63</v>
      </c>
      <c r="I1294" s="3" t="s">
        <v>62</v>
      </c>
      <c r="J1294" s="3" t="s">
        <v>62</v>
      </c>
      <c r="K1294" s="3" t="s">
        <v>64</v>
      </c>
      <c r="L1294" s="2" t="s">
        <v>10454</v>
      </c>
      <c r="M1294" s="2" t="s">
        <v>11926</v>
      </c>
      <c r="N1294" s="3" t="s">
        <v>1916</v>
      </c>
      <c r="P1294" s="3" t="s">
        <v>66</v>
      </c>
      <c r="Q1294" s="2" t="s">
        <v>9341</v>
      </c>
      <c r="R1294" s="3" t="s">
        <v>67</v>
      </c>
      <c r="S1294" s="4">
        <v>3</v>
      </c>
      <c r="T1294" s="4">
        <v>25</v>
      </c>
      <c r="V1294" s="5" t="s">
        <v>11927</v>
      </c>
      <c r="W1294" s="5" t="s">
        <v>69</v>
      </c>
      <c r="X1294" s="5" t="s">
        <v>69</v>
      </c>
      <c r="Y1294" s="4">
        <v>270</v>
      </c>
      <c r="Z1294" s="4">
        <v>16</v>
      </c>
      <c r="AA1294" s="4">
        <v>40</v>
      </c>
      <c r="AB1294" s="4">
        <v>2</v>
      </c>
      <c r="AC1294" s="4">
        <v>3</v>
      </c>
      <c r="AD1294" s="4">
        <v>58</v>
      </c>
      <c r="AE1294" s="4">
        <v>127</v>
      </c>
      <c r="AF1294" s="4">
        <v>0</v>
      </c>
      <c r="AG1294" s="4">
        <v>0</v>
      </c>
      <c r="AH1294" s="4">
        <v>50</v>
      </c>
      <c r="AI1294" s="4">
        <v>104</v>
      </c>
      <c r="AJ1294" s="4">
        <v>7</v>
      </c>
      <c r="AK1294" s="4">
        <v>19</v>
      </c>
      <c r="AL1294" s="4">
        <v>34</v>
      </c>
      <c r="AM1294" s="4">
        <v>58</v>
      </c>
      <c r="AN1294" s="4">
        <v>0</v>
      </c>
      <c r="AO1294" s="4">
        <v>3</v>
      </c>
      <c r="AP1294" s="4">
        <v>10</v>
      </c>
      <c r="AQ1294" s="4">
        <v>27</v>
      </c>
      <c r="AR1294" s="3" t="s">
        <v>63</v>
      </c>
      <c r="AS1294" s="3" t="s">
        <v>63</v>
      </c>
      <c r="AT1294" s="3" t="s">
        <v>62</v>
      </c>
      <c r="AU1294" s="6" t="str">
        <f>HYPERLINK("http://catalog.hathitrust.org/Record/002794143","HathiTrust Record")</f>
        <v>HathiTrust Record</v>
      </c>
      <c r="AV1294" s="6" t="str">
        <f>HYPERLINK("http://mcgill.on.worldcat.org/oclc/12981187","Catalog Record")</f>
        <v>Catalog Record</v>
      </c>
      <c r="AW1294" s="6" t="str">
        <f>HYPERLINK("http://www.worldcat.org/oclc/12981187","WorldCat Record")</f>
        <v>WorldCat Record</v>
      </c>
      <c r="AX1294" s="3" t="s">
        <v>11928</v>
      </c>
      <c r="AY1294" s="3" t="s">
        <v>11929</v>
      </c>
      <c r="AZ1294" s="3" t="s">
        <v>11930</v>
      </c>
      <c r="BA1294" s="3" t="s">
        <v>11930</v>
      </c>
      <c r="BB1294" s="3" t="s">
        <v>11931</v>
      </c>
      <c r="BC1294" s="3" t="s">
        <v>82</v>
      </c>
      <c r="BD1294" s="3" t="s">
        <v>538</v>
      </c>
      <c r="BE1294" s="3" t="s">
        <v>11932</v>
      </c>
      <c r="BF1294" s="3" t="s">
        <v>11931</v>
      </c>
      <c r="BG1294" s="3" t="s">
        <v>11933</v>
      </c>
    </row>
    <row r="1295" spans="1:59" ht="60" x14ac:dyDescent="0.25">
      <c r="A1295" s="2" t="s">
        <v>59</v>
      </c>
      <c r="B1295" s="2" t="s">
        <v>60</v>
      </c>
      <c r="C1295" s="2" t="s">
        <v>11923</v>
      </c>
      <c r="D1295" s="2" t="s">
        <v>11924</v>
      </c>
      <c r="E1295" s="2" t="s">
        <v>11925</v>
      </c>
      <c r="G1295" s="3" t="s">
        <v>63</v>
      </c>
      <c r="I1295" s="3" t="s">
        <v>62</v>
      </c>
      <c r="J1295" s="3" t="s">
        <v>62</v>
      </c>
      <c r="K1295" s="3" t="s">
        <v>64</v>
      </c>
      <c r="L1295" s="2" t="s">
        <v>10454</v>
      </c>
      <c r="M1295" s="2" t="s">
        <v>11926</v>
      </c>
      <c r="N1295" s="3" t="s">
        <v>1916</v>
      </c>
      <c r="P1295" s="3" t="s">
        <v>66</v>
      </c>
      <c r="Q1295" s="2" t="s">
        <v>9341</v>
      </c>
      <c r="R1295" s="3" t="s">
        <v>67</v>
      </c>
      <c r="S1295" s="4">
        <v>22</v>
      </c>
      <c r="T1295" s="4">
        <v>25</v>
      </c>
      <c r="U1295" s="5" t="s">
        <v>11927</v>
      </c>
      <c r="V1295" s="5" t="s">
        <v>11927</v>
      </c>
      <c r="W1295" s="5" t="s">
        <v>69</v>
      </c>
      <c r="X1295" s="5" t="s">
        <v>69</v>
      </c>
      <c r="Y1295" s="4">
        <v>270</v>
      </c>
      <c r="Z1295" s="4">
        <v>16</v>
      </c>
      <c r="AA1295" s="4">
        <v>40</v>
      </c>
      <c r="AB1295" s="4">
        <v>2</v>
      </c>
      <c r="AC1295" s="4">
        <v>3</v>
      </c>
      <c r="AD1295" s="4">
        <v>58</v>
      </c>
      <c r="AE1295" s="4">
        <v>127</v>
      </c>
      <c r="AF1295" s="4">
        <v>0</v>
      </c>
      <c r="AG1295" s="4">
        <v>0</v>
      </c>
      <c r="AH1295" s="4">
        <v>50</v>
      </c>
      <c r="AI1295" s="4">
        <v>104</v>
      </c>
      <c r="AJ1295" s="4">
        <v>7</v>
      </c>
      <c r="AK1295" s="4">
        <v>19</v>
      </c>
      <c r="AL1295" s="4">
        <v>34</v>
      </c>
      <c r="AM1295" s="4">
        <v>58</v>
      </c>
      <c r="AN1295" s="4">
        <v>0</v>
      </c>
      <c r="AO1295" s="4">
        <v>3</v>
      </c>
      <c r="AP1295" s="4">
        <v>10</v>
      </c>
      <c r="AQ1295" s="4">
        <v>27</v>
      </c>
      <c r="AR1295" s="3" t="s">
        <v>63</v>
      </c>
      <c r="AS1295" s="3" t="s">
        <v>63</v>
      </c>
      <c r="AT1295" s="3" t="s">
        <v>62</v>
      </c>
      <c r="AU1295" s="6" t="str">
        <f>HYPERLINK("http://catalog.hathitrust.org/Record/002794143","HathiTrust Record")</f>
        <v>HathiTrust Record</v>
      </c>
      <c r="AV1295" s="6" t="str">
        <f>HYPERLINK("http://mcgill.on.worldcat.org/oclc/12981187","Catalog Record")</f>
        <v>Catalog Record</v>
      </c>
      <c r="AW1295" s="6" t="str">
        <f>HYPERLINK("http://www.worldcat.org/oclc/12981187","WorldCat Record")</f>
        <v>WorldCat Record</v>
      </c>
      <c r="AX1295" s="3" t="s">
        <v>11928</v>
      </c>
      <c r="AY1295" s="3" t="s">
        <v>11929</v>
      </c>
      <c r="AZ1295" s="3" t="s">
        <v>11930</v>
      </c>
      <c r="BA1295" s="3" t="s">
        <v>11930</v>
      </c>
      <c r="BB1295" s="3" t="s">
        <v>11934</v>
      </c>
      <c r="BC1295" s="3" t="s">
        <v>82</v>
      </c>
      <c r="BD1295" s="3" t="s">
        <v>70</v>
      </c>
      <c r="BE1295" s="3" t="s">
        <v>11932</v>
      </c>
      <c r="BF1295" s="3" t="s">
        <v>11934</v>
      </c>
      <c r="BG1295" s="3" t="s">
        <v>11935</v>
      </c>
    </row>
    <row r="1296" spans="1:59" ht="60" x14ac:dyDescent="0.25">
      <c r="A1296" s="2" t="s">
        <v>59</v>
      </c>
      <c r="B1296" s="2" t="s">
        <v>60</v>
      </c>
      <c r="C1296" s="2" t="s">
        <v>11936</v>
      </c>
      <c r="D1296" s="2" t="s">
        <v>11937</v>
      </c>
      <c r="E1296" s="2" t="s">
        <v>11938</v>
      </c>
      <c r="G1296" s="3" t="s">
        <v>63</v>
      </c>
      <c r="I1296" s="3" t="s">
        <v>63</v>
      </c>
      <c r="J1296" s="3" t="s">
        <v>62</v>
      </c>
      <c r="K1296" s="3" t="s">
        <v>64</v>
      </c>
      <c r="L1296" s="2" t="s">
        <v>10454</v>
      </c>
      <c r="M1296" s="2" t="s">
        <v>11939</v>
      </c>
      <c r="N1296" s="3" t="s">
        <v>2249</v>
      </c>
      <c r="P1296" s="3" t="s">
        <v>66</v>
      </c>
      <c r="Q1296" s="2" t="s">
        <v>11940</v>
      </c>
      <c r="R1296" s="3" t="s">
        <v>67</v>
      </c>
      <c r="S1296" s="4">
        <v>6</v>
      </c>
      <c r="T1296" s="4">
        <v>6</v>
      </c>
      <c r="U1296" s="5" t="s">
        <v>11941</v>
      </c>
      <c r="V1296" s="5" t="s">
        <v>11941</v>
      </c>
      <c r="W1296" s="5" t="s">
        <v>69</v>
      </c>
      <c r="X1296" s="5" t="s">
        <v>69</v>
      </c>
      <c r="Y1296" s="4">
        <v>5</v>
      </c>
      <c r="Z1296" s="4">
        <v>2</v>
      </c>
      <c r="AA1296" s="4">
        <v>48</v>
      </c>
      <c r="AB1296" s="4">
        <v>1</v>
      </c>
      <c r="AC1296" s="4">
        <v>1</v>
      </c>
      <c r="AD1296" s="4">
        <v>0</v>
      </c>
      <c r="AE1296" s="4">
        <v>105</v>
      </c>
      <c r="AF1296" s="4">
        <v>0</v>
      </c>
      <c r="AG1296" s="4">
        <v>0</v>
      </c>
      <c r="AH1296" s="4">
        <v>0</v>
      </c>
      <c r="AI1296" s="4">
        <v>86</v>
      </c>
      <c r="AJ1296" s="4">
        <v>0</v>
      </c>
      <c r="AK1296" s="4">
        <v>15</v>
      </c>
      <c r="AL1296" s="4">
        <v>0</v>
      </c>
      <c r="AM1296" s="4">
        <v>49</v>
      </c>
      <c r="AN1296" s="4">
        <v>0</v>
      </c>
      <c r="AO1296" s="4">
        <v>10</v>
      </c>
      <c r="AP1296" s="4">
        <v>0</v>
      </c>
      <c r="AQ1296" s="4">
        <v>21</v>
      </c>
      <c r="AR1296" s="3" t="s">
        <v>63</v>
      </c>
      <c r="AS1296" s="3" t="s">
        <v>63</v>
      </c>
      <c r="AT1296" s="3" t="s">
        <v>63</v>
      </c>
      <c r="AV1296" s="6" t="str">
        <f>HYPERLINK("http://mcgill.on.worldcat.org/oclc/427269466","Catalog Record")</f>
        <v>Catalog Record</v>
      </c>
      <c r="AW1296" s="6" t="str">
        <f>HYPERLINK("http://www.worldcat.org/oclc/427269466","WorldCat Record")</f>
        <v>WorldCat Record</v>
      </c>
      <c r="AX1296" s="3" t="s">
        <v>11942</v>
      </c>
      <c r="AY1296" s="3" t="s">
        <v>11943</v>
      </c>
      <c r="AZ1296" s="3" t="s">
        <v>11944</v>
      </c>
      <c r="BA1296" s="3" t="s">
        <v>11944</v>
      </c>
      <c r="BB1296" s="3" t="s">
        <v>11945</v>
      </c>
      <c r="BC1296" s="3" t="s">
        <v>82</v>
      </c>
      <c r="BD1296" s="3" t="s">
        <v>70</v>
      </c>
      <c r="BF1296" s="3" t="s">
        <v>11945</v>
      </c>
      <c r="BG1296" s="3" t="s">
        <v>11946</v>
      </c>
    </row>
    <row r="1297" spans="1:59" ht="60" x14ac:dyDescent="0.25">
      <c r="A1297" s="2" t="s">
        <v>59</v>
      </c>
      <c r="B1297" s="2" t="s">
        <v>60</v>
      </c>
      <c r="C1297" s="2" t="s">
        <v>11947</v>
      </c>
      <c r="D1297" s="2" t="s">
        <v>11948</v>
      </c>
      <c r="E1297" s="2" t="s">
        <v>11938</v>
      </c>
      <c r="G1297" s="3" t="s">
        <v>63</v>
      </c>
      <c r="I1297" s="3" t="s">
        <v>63</v>
      </c>
      <c r="J1297" s="3" t="s">
        <v>62</v>
      </c>
      <c r="K1297" s="3" t="s">
        <v>64</v>
      </c>
      <c r="L1297" s="2" t="s">
        <v>10454</v>
      </c>
      <c r="M1297" s="2" t="s">
        <v>11949</v>
      </c>
      <c r="N1297" s="3" t="s">
        <v>546</v>
      </c>
      <c r="P1297" s="3" t="s">
        <v>66</v>
      </c>
      <c r="Q1297" s="2" t="s">
        <v>11950</v>
      </c>
      <c r="R1297" s="3" t="s">
        <v>67</v>
      </c>
      <c r="S1297" s="4">
        <v>9</v>
      </c>
      <c r="T1297" s="4">
        <v>9</v>
      </c>
      <c r="U1297" s="5" t="s">
        <v>11558</v>
      </c>
      <c r="V1297" s="5" t="s">
        <v>11558</v>
      </c>
      <c r="W1297" s="5" t="s">
        <v>69</v>
      </c>
      <c r="X1297" s="5" t="s">
        <v>69</v>
      </c>
      <c r="Y1297" s="4">
        <v>109</v>
      </c>
      <c r="Z1297" s="4">
        <v>3</v>
      </c>
      <c r="AA1297" s="4">
        <v>48</v>
      </c>
      <c r="AB1297" s="4">
        <v>1</v>
      </c>
      <c r="AC1297" s="4">
        <v>1</v>
      </c>
      <c r="AD1297" s="4">
        <v>17</v>
      </c>
      <c r="AE1297" s="4">
        <v>105</v>
      </c>
      <c r="AF1297" s="4">
        <v>0</v>
      </c>
      <c r="AG1297" s="4">
        <v>0</v>
      </c>
      <c r="AH1297" s="4">
        <v>16</v>
      </c>
      <c r="AI1297" s="4">
        <v>86</v>
      </c>
      <c r="AJ1297" s="4">
        <v>1</v>
      </c>
      <c r="AK1297" s="4">
        <v>15</v>
      </c>
      <c r="AL1297" s="4">
        <v>8</v>
      </c>
      <c r="AM1297" s="4">
        <v>49</v>
      </c>
      <c r="AN1297" s="4">
        <v>0</v>
      </c>
      <c r="AO1297" s="4">
        <v>10</v>
      </c>
      <c r="AP1297" s="4">
        <v>1</v>
      </c>
      <c r="AQ1297" s="4">
        <v>21</v>
      </c>
      <c r="AR1297" s="3" t="s">
        <v>63</v>
      </c>
      <c r="AS1297" s="3" t="s">
        <v>63</v>
      </c>
      <c r="AT1297" s="3" t="s">
        <v>63</v>
      </c>
      <c r="AV1297" s="6" t="str">
        <f>HYPERLINK("http://mcgill.on.worldcat.org/oclc/1001737","Catalog Record")</f>
        <v>Catalog Record</v>
      </c>
      <c r="AW1297" s="6" t="str">
        <f>HYPERLINK("http://www.worldcat.org/oclc/1001737","WorldCat Record")</f>
        <v>WorldCat Record</v>
      </c>
      <c r="AX1297" s="3" t="s">
        <v>11942</v>
      </c>
      <c r="AY1297" s="3" t="s">
        <v>11951</v>
      </c>
      <c r="AZ1297" s="3" t="s">
        <v>11952</v>
      </c>
      <c r="BA1297" s="3" t="s">
        <v>11952</v>
      </c>
      <c r="BB1297" s="3" t="s">
        <v>11953</v>
      </c>
      <c r="BC1297" s="3" t="s">
        <v>82</v>
      </c>
      <c r="BD1297" s="3" t="s">
        <v>70</v>
      </c>
      <c r="BF1297" s="3" t="s">
        <v>11953</v>
      </c>
      <c r="BG1297" s="3" t="s">
        <v>11954</v>
      </c>
    </row>
    <row r="1298" spans="1:59" ht="60" x14ac:dyDescent="0.25">
      <c r="A1298" s="2" t="s">
        <v>59</v>
      </c>
      <c r="B1298" s="2" t="s">
        <v>60</v>
      </c>
      <c r="C1298" s="2" t="s">
        <v>11955</v>
      </c>
      <c r="D1298" s="2" t="s">
        <v>11956</v>
      </c>
      <c r="E1298" s="2" t="s">
        <v>11957</v>
      </c>
      <c r="G1298" s="3" t="s">
        <v>63</v>
      </c>
      <c r="I1298" s="3" t="s">
        <v>63</v>
      </c>
      <c r="J1298" s="3" t="s">
        <v>63</v>
      </c>
      <c r="K1298" s="3" t="s">
        <v>64</v>
      </c>
      <c r="L1298" s="2" t="s">
        <v>10454</v>
      </c>
      <c r="M1298" s="2" t="s">
        <v>11958</v>
      </c>
      <c r="N1298" s="3" t="s">
        <v>826</v>
      </c>
      <c r="P1298" s="3" t="s">
        <v>66</v>
      </c>
      <c r="R1298" s="3" t="s">
        <v>67</v>
      </c>
      <c r="S1298" s="4">
        <v>11</v>
      </c>
      <c r="T1298" s="4">
        <v>11</v>
      </c>
      <c r="U1298" s="5" t="s">
        <v>11959</v>
      </c>
      <c r="V1298" s="5" t="s">
        <v>11959</v>
      </c>
      <c r="W1298" s="5" t="s">
        <v>69</v>
      </c>
      <c r="X1298" s="5" t="s">
        <v>69</v>
      </c>
      <c r="Y1298" s="4">
        <v>813</v>
      </c>
      <c r="Z1298" s="4">
        <v>27</v>
      </c>
      <c r="AA1298" s="4">
        <v>44</v>
      </c>
      <c r="AB1298" s="4">
        <v>1</v>
      </c>
      <c r="AC1298" s="4">
        <v>5</v>
      </c>
      <c r="AD1298" s="4">
        <v>95</v>
      </c>
      <c r="AE1298" s="4">
        <v>114</v>
      </c>
      <c r="AF1298" s="4">
        <v>0</v>
      </c>
      <c r="AG1298" s="4">
        <v>0</v>
      </c>
      <c r="AH1298" s="4">
        <v>76</v>
      </c>
      <c r="AI1298" s="4">
        <v>92</v>
      </c>
      <c r="AJ1298" s="4">
        <v>11</v>
      </c>
      <c r="AK1298" s="4">
        <v>15</v>
      </c>
      <c r="AL1298" s="4">
        <v>45</v>
      </c>
      <c r="AM1298" s="4">
        <v>52</v>
      </c>
      <c r="AN1298" s="4">
        <v>0</v>
      </c>
      <c r="AO1298" s="4">
        <v>6</v>
      </c>
      <c r="AP1298" s="4">
        <v>20</v>
      </c>
      <c r="AQ1298" s="4">
        <v>24</v>
      </c>
      <c r="AR1298" s="3" t="s">
        <v>63</v>
      </c>
      <c r="AS1298" s="3" t="s">
        <v>63</v>
      </c>
      <c r="AT1298" s="3" t="s">
        <v>62</v>
      </c>
      <c r="AU1298" s="6" t="str">
        <f>HYPERLINK("http://catalog.hathitrust.org/Record/001224405","HathiTrust Record")</f>
        <v>HathiTrust Record</v>
      </c>
      <c r="AV1298" s="6" t="str">
        <f>HYPERLINK("http://mcgill.on.worldcat.org/oclc/153097","Catalog Record")</f>
        <v>Catalog Record</v>
      </c>
      <c r="AW1298" s="6" t="str">
        <f>HYPERLINK("http://www.worldcat.org/oclc/153097","WorldCat Record")</f>
        <v>WorldCat Record</v>
      </c>
      <c r="AX1298" s="3" t="s">
        <v>11960</v>
      </c>
      <c r="AY1298" s="3" t="s">
        <v>11961</v>
      </c>
      <c r="AZ1298" s="3" t="s">
        <v>11962</v>
      </c>
      <c r="BA1298" s="3" t="s">
        <v>11962</v>
      </c>
      <c r="BB1298" s="3" t="s">
        <v>11963</v>
      </c>
      <c r="BC1298" s="3" t="s">
        <v>82</v>
      </c>
      <c r="BD1298" s="3" t="s">
        <v>70</v>
      </c>
      <c r="BF1298" s="3" t="s">
        <v>11963</v>
      </c>
      <c r="BG1298" s="3" t="s">
        <v>11964</v>
      </c>
    </row>
    <row r="1299" spans="1:59" ht="60" x14ac:dyDescent="0.25">
      <c r="A1299" s="2" t="s">
        <v>59</v>
      </c>
      <c r="B1299" s="2" t="s">
        <v>60</v>
      </c>
      <c r="C1299" s="2" t="s">
        <v>11965</v>
      </c>
      <c r="D1299" s="2" t="s">
        <v>11966</v>
      </c>
      <c r="E1299" s="2" t="s">
        <v>11967</v>
      </c>
      <c r="G1299" s="3" t="s">
        <v>63</v>
      </c>
      <c r="I1299" s="3" t="s">
        <v>63</v>
      </c>
      <c r="J1299" s="3" t="s">
        <v>63</v>
      </c>
      <c r="K1299" s="3" t="s">
        <v>64</v>
      </c>
      <c r="L1299" s="2" t="s">
        <v>10454</v>
      </c>
      <c r="M1299" s="2" t="s">
        <v>8784</v>
      </c>
      <c r="N1299" s="3" t="s">
        <v>1023</v>
      </c>
      <c r="P1299" s="3" t="s">
        <v>66</v>
      </c>
      <c r="Q1299" s="2" t="s">
        <v>11968</v>
      </c>
      <c r="R1299" s="3" t="s">
        <v>67</v>
      </c>
      <c r="S1299" s="4">
        <v>20</v>
      </c>
      <c r="T1299" s="4">
        <v>20</v>
      </c>
      <c r="U1299" s="5" t="s">
        <v>11969</v>
      </c>
      <c r="V1299" s="5" t="s">
        <v>11969</v>
      </c>
      <c r="W1299" s="5" t="s">
        <v>69</v>
      </c>
      <c r="X1299" s="5" t="s">
        <v>69</v>
      </c>
      <c r="Y1299" s="4">
        <v>168</v>
      </c>
      <c r="Z1299" s="4">
        <v>10</v>
      </c>
      <c r="AA1299" s="4">
        <v>12</v>
      </c>
      <c r="AB1299" s="4">
        <v>1</v>
      </c>
      <c r="AC1299" s="4">
        <v>1</v>
      </c>
      <c r="AD1299" s="4">
        <v>58</v>
      </c>
      <c r="AE1299" s="4">
        <v>59</v>
      </c>
      <c r="AF1299" s="4">
        <v>0</v>
      </c>
      <c r="AG1299" s="4">
        <v>0</v>
      </c>
      <c r="AH1299" s="4">
        <v>53</v>
      </c>
      <c r="AI1299" s="4">
        <v>54</v>
      </c>
      <c r="AJ1299" s="4">
        <v>7</v>
      </c>
      <c r="AK1299" s="4">
        <v>8</v>
      </c>
      <c r="AL1299" s="4">
        <v>34</v>
      </c>
      <c r="AM1299" s="4">
        <v>35</v>
      </c>
      <c r="AN1299" s="4">
        <v>0</v>
      </c>
      <c r="AO1299" s="4">
        <v>0</v>
      </c>
      <c r="AP1299" s="4">
        <v>7</v>
      </c>
      <c r="AQ1299" s="4">
        <v>8</v>
      </c>
      <c r="AR1299" s="3" t="s">
        <v>63</v>
      </c>
      <c r="AS1299" s="3" t="s">
        <v>63</v>
      </c>
      <c r="AT1299" s="3" t="s">
        <v>63</v>
      </c>
      <c r="AV1299" s="6" t="str">
        <f>HYPERLINK("http://mcgill.on.worldcat.org/oclc/27976421","Catalog Record")</f>
        <v>Catalog Record</v>
      </c>
      <c r="AW1299" s="6" t="str">
        <f>HYPERLINK("http://www.worldcat.org/oclc/27976421","WorldCat Record")</f>
        <v>WorldCat Record</v>
      </c>
      <c r="AX1299" s="3" t="s">
        <v>11970</v>
      </c>
      <c r="AY1299" s="3" t="s">
        <v>11971</v>
      </c>
      <c r="AZ1299" s="3" t="s">
        <v>11972</v>
      </c>
      <c r="BA1299" s="3" t="s">
        <v>11972</v>
      </c>
      <c r="BB1299" s="3" t="s">
        <v>11973</v>
      </c>
      <c r="BC1299" s="3" t="s">
        <v>82</v>
      </c>
      <c r="BD1299" s="3" t="s">
        <v>70</v>
      </c>
      <c r="BE1299" s="3" t="s">
        <v>11974</v>
      </c>
      <c r="BF1299" s="3" t="s">
        <v>11973</v>
      </c>
      <c r="BG1299" s="3" t="s">
        <v>11975</v>
      </c>
    </row>
    <row r="1300" spans="1:59" ht="60" x14ac:dyDescent="0.25">
      <c r="A1300" s="2" t="s">
        <v>59</v>
      </c>
      <c r="B1300" s="2" t="s">
        <v>60</v>
      </c>
      <c r="C1300" s="2" t="s">
        <v>11976</v>
      </c>
      <c r="D1300" s="2" t="s">
        <v>11977</v>
      </c>
      <c r="E1300" s="2" t="s">
        <v>11978</v>
      </c>
      <c r="G1300" s="3" t="s">
        <v>63</v>
      </c>
      <c r="I1300" s="3" t="s">
        <v>63</v>
      </c>
      <c r="J1300" s="3" t="s">
        <v>63</v>
      </c>
      <c r="K1300" s="3" t="s">
        <v>64</v>
      </c>
      <c r="L1300" s="2" t="s">
        <v>10688</v>
      </c>
      <c r="M1300" s="2" t="s">
        <v>11979</v>
      </c>
      <c r="N1300" s="3" t="s">
        <v>1226</v>
      </c>
      <c r="P1300" s="3" t="s">
        <v>66</v>
      </c>
      <c r="Q1300" s="2" t="s">
        <v>11980</v>
      </c>
      <c r="R1300" s="3" t="s">
        <v>67</v>
      </c>
      <c r="S1300" s="4">
        <v>13</v>
      </c>
      <c r="T1300" s="4">
        <v>13</v>
      </c>
      <c r="U1300" s="5" t="s">
        <v>11633</v>
      </c>
      <c r="V1300" s="5" t="s">
        <v>11633</v>
      </c>
      <c r="W1300" s="5" t="s">
        <v>69</v>
      </c>
      <c r="X1300" s="5" t="s">
        <v>69</v>
      </c>
      <c r="Y1300" s="4">
        <v>395</v>
      </c>
      <c r="Z1300" s="4">
        <v>19</v>
      </c>
      <c r="AA1300" s="4">
        <v>24</v>
      </c>
      <c r="AB1300" s="4">
        <v>2</v>
      </c>
      <c r="AC1300" s="4">
        <v>3</v>
      </c>
      <c r="AD1300" s="4">
        <v>83</v>
      </c>
      <c r="AE1300" s="4">
        <v>83</v>
      </c>
      <c r="AF1300" s="4">
        <v>0</v>
      </c>
      <c r="AG1300" s="4">
        <v>0</v>
      </c>
      <c r="AH1300" s="4">
        <v>78</v>
      </c>
      <c r="AI1300" s="4">
        <v>78</v>
      </c>
      <c r="AJ1300" s="4">
        <v>8</v>
      </c>
      <c r="AK1300" s="4">
        <v>8</v>
      </c>
      <c r="AL1300" s="4">
        <v>46</v>
      </c>
      <c r="AM1300" s="4">
        <v>46</v>
      </c>
      <c r="AN1300" s="4">
        <v>0</v>
      </c>
      <c r="AO1300" s="4">
        <v>0</v>
      </c>
      <c r="AP1300" s="4">
        <v>9</v>
      </c>
      <c r="AQ1300" s="4">
        <v>9</v>
      </c>
      <c r="AR1300" s="3" t="s">
        <v>63</v>
      </c>
      <c r="AS1300" s="3" t="s">
        <v>63</v>
      </c>
      <c r="AT1300" s="3" t="s">
        <v>63</v>
      </c>
      <c r="AV1300" s="6" t="str">
        <f>HYPERLINK("http://mcgill.on.worldcat.org/oclc/51892883","Catalog Record")</f>
        <v>Catalog Record</v>
      </c>
      <c r="AW1300" s="6" t="str">
        <f>HYPERLINK("http://www.worldcat.org/oclc/51892883","WorldCat Record")</f>
        <v>WorldCat Record</v>
      </c>
      <c r="AX1300" s="3" t="s">
        <v>11981</v>
      </c>
      <c r="AY1300" s="3" t="s">
        <v>11982</v>
      </c>
      <c r="AZ1300" s="3" t="s">
        <v>11983</v>
      </c>
      <c r="BA1300" s="3" t="s">
        <v>11983</v>
      </c>
      <c r="BB1300" s="3" t="s">
        <v>11984</v>
      </c>
      <c r="BC1300" s="3" t="s">
        <v>82</v>
      </c>
      <c r="BD1300" s="3" t="s">
        <v>70</v>
      </c>
      <c r="BE1300" s="3" t="s">
        <v>11985</v>
      </c>
      <c r="BF1300" s="3" t="s">
        <v>11984</v>
      </c>
      <c r="BG1300" s="3" t="s">
        <v>11986</v>
      </c>
    </row>
    <row r="1301" spans="1:59" ht="60" x14ac:dyDescent="0.25">
      <c r="A1301" s="2" t="s">
        <v>59</v>
      </c>
      <c r="B1301" s="2" t="s">
        <v>60</v>
      </c>
      <c r="C1301" s="2" t="s">
        <v>11987</v>
      </c>
      <c r="D1301" s="2" t="s">
        <v>11988</v>
      </c>
      <c r="E1301" s="2" t="s">
        <v>11989</v>
      </c>
      <c r="G1301" s="3" t="s">
        <v>63</v>
      </c>
      <c r="I1301" s="3" t="s">
        <v>63</v>
      </c>
      <c r="J1301" s="3" t="s">
        <v>62</v>
      </c>
      <c r="K1301" s="3" t="s">
        <v>64</v>
      </c>
      <c r="L1301" s="2" t="s">
        <v>10454</v>
      </c>
      <c r="M1301" s="2" t="s">
        <v>11990</v>
      </c>
      <c r="N1301" s="3" t="s">
        <v>11887</v>
      </c>
      <c r="P1301" s="3" t="s">
        <v>66</v>
      </c>
      <c r="R1301" s="3" t="s">
        <v>67</v>
      </c>
      <c r="S1301" s="4">
        <v>12</v>
      </c>
      <c r="T1301" s="4">
        <v>12</v>
      </c>
      <c r="U1301" s="5" t="s">
        <v>1264</v>
      </c>
      <c r="V1301" s="5" t="s">
        <v>1264</v>
      </c>
      <c r="W1301" s="5" t="s">
        <v>69</v>
      </c>
      <c r="X1301" s="5" t="s">
        <v>69</v>
      </c>
      <c r="Y1301" s="4">
        <v>1</v>
      </c>
      <c r="Z1301" s="4">
        <v>1</v>
      </c>
      <c r="AA1301" s="4">
        <v>262</v>
      </c>
      <c r="AB1301" s="4">
        <v>1</v>
      </c>
      <c r="AC1301" s="4">
        <v>30</v>
      </c>
      <c r="AD1301" s="4">
        <v>0</v>
      </c>
      <c r="AE1301" s="4">
        <v>175</v>
      </c>
      <c r="AF1301" s="4">
        <v>0</v>
      </c>
      <c r="AG1301" s="4">
        <v>9</v>
      </c>
      <c r="AH1301" s="4">
        <v>0</v>
      </c>
      <c r="AI1301" s="4">
        <v>116</v>
      </c>
      <c r="AJ1301" s="4">
        <v>0</v>
      </c>
      <c r="AK1301" s="4">
        <v>29</v>
      </c>
      <c r="AL1301" s="4">
        <v>0</v>
      </c>
      <c r="AM1301" s="4">
        <v>66</v>
      </c>
      <c r="AN1301" s="4">
        <v>0</v>
      </c>
      <c r="AO1301" s="4">
        <v>14</v>
      </c>
      <c r="AP1301" s="4">
        <v>0</v>
      </c>
      <c r="AQ1301" s="4">
        <v>61</v>
      </c>
      <c r="AR1301" s="3" t="s">
        <v>63</v>
      </c>
      <c r="AS1301" s="3" t="s">
        <v>63</v>
      </c>
      <c r="AT1301" s="3" t="s">
        <v>63</v>
      </c>
      <c r="AV1301" s="6" t="str">
        <f>HYPERLINK("http://mcgill.on.worldcat.org/oclc/427905506","Catalog Record")</f>
        <v>Catalog Record</v>
      </c>
      <c r="AW1301" s="6" t="str">
        <f>HYPERLINK("http://www.worldcat.org/oclc/427905506","WorldCat Record")</f>
        <v>WorldCat Record</v>
      </c>
      <c r="AX1301" s="3" t="s">
        <v>11991</v>
      </c>
      <c r="AY1301" s="3" t="s">
        <v>11992</v>
      </c>
      <c r="AZ1301" s="3" t="s">
        <v>11993</v>
      </c>
      <c r="BA1301" s="3" t="s">
        <v>11993</v>
      </c>
      <c r="BB1301" s="3" t="s">
        <v>11994</v>
      </c>
      <c r="BC1301" s="3" t="s">
        <v>82</v>
      </c>
      <c r="BD1301" s="3" t="s">
        <v>70</v>
      </c>
      <c r="BF1301" s="3" t="s">
        <v>11994</v>
      </c>
      <c r="BG1301" s="3" t="s">
        <v>11995</v>
      </c>
    </row>
    <row r="1302" spans="1:59" ht="60" x14ac:dyDescent="0.25">
      <c r="A1302" s="2" t="s">
        <v>59</v>
      </c>
      <c r="B1302" s="2" t="s">
        <v>60</v>
      </c>
      <c r="C1302" s="2" t="s">
        <v>11996</v>
      </c>
      <c r="D1302" s="2" t="s">
        <v>11997</v>
      </c>
      <c r="E1302" s="2" t="s">
        <v>11998</v>
      </c>
      <c r="G1302" s="3" t="s">
        <v>63</v>
      </c>
      <c r="I1302" s="3" t="s">
        <v>63</v>
      </c>
      <c r="J1302" s="3" t="s">
        <v>63</v>
      </c>
      <c r="K1302" s="3" t="s">
        <v>64</v>
      </c>
      <c r="L1302" s="2" t="s">
        <v>10454</v>
      </c>
      <c r="M1302" s="2" t="s">
        <v>11664</v>
      </c>
      <c r="N1302" s="3" t="s">
        <v>546</v>
      </c>
      <c r="P1302" s="3" t="s">
        <v>66</v>
      </c>
      <c r="Q1302" s="2" t="s">
        <v>11999</v>
      </c>
      <c r="R1302" s="3" t="s">
        <v>67</v>
      </c>
      <c r="S1302" s="4">
        <v>52</v>
      </c>
      <c r="T1302" s="4">
        <v>52</v>
      </c>
      <c r="U1302" s="5" t="s">
        <v>616</v>
      </c>
      <c r="V1302" s="5" t="s">
        <v>616</v>
      </c>
      <c r="W1302" s="5" t="s">
        <v>69</v>
      </c>
      <c r="X1302" s="5" t="s">
        <v>69</v>
      </c>
      <c r="Y1302" s="4">
        <v>925</v>
      </c>
      <c r="Z1302" s="4">
        <v>6</v>
      </c>
      <c r="AA1302" s="4">
        <v>6</v>
      </c>
      <c r="AB1302" s="4">
        <v>1</v>
      </c>
      <c r="AC1302" s="4">
        <v>1</v>
      </c>
      <c r="AD1302" s="4">
        <v>63</v>
      </c>
      <c r="AE1302" s="4">
        <v>63</v>
      </c>
      <c r="AF1302" s="4">
        <v>0</v>
      </c>
      <c r="AG1302" s="4">
        <v>0</v>
      </c>
      <c r="AH1302" s="4">
        <v>58</v>
      </c>
      <c r="AI1302" s="4">
        <v>58</v>
      </c>
      <c r="AJ1302" s="4">
        <v>2</v>
      </c>
      <c r="AK1302" s="4">
        <v>2</v>
      </c>
      <c r="AL1302" s="4">
        <v>30</v>
      </c>
      <c r="AM1302" s="4">
        <v>30</v>
      </c>
      <c r="AN1302" s="4">
        <v>0</v>
      </c>
      <c r="AO1302" s="4">
        <v>0</v>
      </c>
      <c r="AP1302" s="4">
        <v>4</v>
      </c>
      <c r="AQ1302" s="4">
        <v>4</v>
      </c>
      <c r="AR1302" s="3" t="s">
        <v>63</v>
      </c>
      <c r="AS1302" s="3" t="s">
        <v>63</v>
      </c>
      <c r="AT1302" s="3" t="s">
        <v>62</v>
      </c>
      <c r="AU1302" s="6" t="str">
        <f>HYPERLINK("http://catalog.hathitrust.org/Record/007145608","HathiTrust Record")</f>
        <v>HathiTrust Record</v>
      </c>
      <c r="AV1302" s="6" t="str">
        <f>HYPERLINK("http://mcgill.on.worldcat.org/oclc/373996","Catalog Record")</f>
        <v>Catalog Record</v>
      </c>
      <c r="AW1302" s="6" t="str">
        <f>HYPERLINK("http://www.worldcat.org/oclc/373996","WorldCat Record")</f>
        <v>WorldCat Record</v>
      </c>
      <c r="AX1302" s="3" t="s">
        <v>12000</v>
      </c>
      <c r="AY1302" s="3" t="s">
        <v>12001</v>
      </c>
      <c r="AZ1302" s="3" t="s">
        <v>12002</v>
      </c>
      <c r="BA1302" s="3" t="s">
        <v>12002</v>
      </c>
      <c r="BB1302" s="3" t="s">
        <v>12003</v>
      </c>
      <c r="BC1302" s="3" t="s">
        <v>82</v>
      </c>
      <c r="BD1302" s="3" t="s">
        <v>1611</v>
      </c>
      <c r="BE1302" s="3" t="s">
        <v>12004</v>
      </c>
      <c r="BF1302" s="3" t="s">
        <v>12003</v>
      </c>
      <c r="BG1302" s="3" t="s">
        <v>12005</v>
      </c>
    </row>
    <row r="1303" spans="1:59" ht="60" x14ac:dyDescent="0.25">
      <c r="A1303" s="2" t="s">
        <v>59</v>
      </c>
      <c r="B1303" s="2" t="s">
        <v>60</v>
      </c>
      <c r="C1303" s="2" t="s">
        <v>12006</v>
      </c>
      <c r="D1303" s="2" t="s">
        <v>12007</v>
      </c>
      <c r="E1303" s="2" t="s">
        <v>12008</v>
      </c>
      <c r="G1303" s="3" t="s">
        <v>63</v>
      </c>
      <c r="I1303" s="3" t="s">
        <v>63</v>
      </c>
      <c r="J1303" s="3" t="s">
        <v>62</v>
      </c>
      <c r="K1303" s="3" t="s">
        <v>64</v>
      </c>
      <c r="L1303" s="2" t="s">
        <v>10454</v>
      </c>
      <c r="M1303" s="2" t="s">
        <v>12009</v>
      </c>
      <c r="N1303" s="3" t="s">
        <v>2144</v>
      </c>
      <c r="P1303" s="3" t="s">
        <v>66</v>
      </c>
      <c r="R1303" s="3" t="s">
        <v>67</v>
      </c>
      <c r="S1303" s="4">
        <v>5</v>
      </c>
      <c r="T1303" s="4">
        <v>5</v>
      </c>
      <c r="U1303" s="5" t="s">
        <v>12010</v>
      </c>
      <c r="V1303" s="5" t="s">
        <v>12010</v>
      </c>
      <c r="W1303" s="5" t="s">
        <v>69</v>
      </c>
      <c r="X1303" s="5" t="s">
        <v>69</v>
      </c>
      <c r="Y1303" s="4">
        <v>2</v>
      </c>
      <c r="Z1303" s="4">
        <v>1</v>
      </c>
      <c r="AA1303" s="4">
        <v>262</v>
      </c>
      <c r="AB1303" s="4">
        <v>1</v>
      </c>
      <c r="AC1303" s="4">
        <v>30</v>
      </c>
      <c r="AD1303" s="4">
        <v>0</v>
      </c>
      <c r="AE1303" s="4">
        <v>175</v>
      </c>
      <c r="AF1303" s="4">
        <v>0</v>
      </c>
      <c r="AG1303" s="4">
        <v>9</v>
      </c>
      <c r="AH1303" s="4">
        <v>0</v>
      </c>
      <c r="AI1303" s="4">
        <v>116</v>
      </c>
      <c r="AJ1303" s="4">
        <v>0</v>
      </c>
      <c r="AK1303" s="4">
        <v>29</v>
      </c>
      <c r="AL1303" s="4">
        <v>0</v>
      </c>
      <c r="AM1303" s="4">
        <v>66</v>
      </c>
      <c r="AN1303" s="4">
        <v>0</v>
      </c>
      <c r="AO1303" s="4">
        <v>14</v>
      </c>
      <c r="AP1303" s="4">
        <v>0</v>
      </c>
      <c r="AQ1303" s="4">
        <v>61</v>
      </c>
      <c r="AR1303" s="3" t="s">
        <v>63</v>
      </c>
      <c r="AS1303" s="3" t="s">
        <v>63</v>
      </c>
      <c r="AT1303" s="3" t="s">
        <v>63</v>
      </c>
      <c r="AV1303" s="6" t="str">
        <f>HYPERLINK("http://mcgill.on.worldcat.org/oclc/427205865","Catalog Record")</f>
        <v>Catalog Record</v>
      </c>
      <c r="AW1303" s="6" t="str">
        <f>HYPERLINK("http://www.worldcat.org/oclc/427205865","WorldCat Record")</f>
        <v>WorldCat Record</v>
      </c>
      <c r="AX1303" s="3" t="s">
        <v>11991</v>
      </c>
      <c r="AY1303" s="3" t="s">
        <v>12011</v>
      </c>
      <c r="AZ1303" s="3" t="s">
        <v>12012</v>
      </c>
      <c r="BA1303" s="3" t="s">
        <v>12012</v>
      </c>
      <c r="BB1303" s="3" t="s">
        <v>12013</v>
      </c>
      <c r="BC1303" s="3" t="s">
        <v>82</v>
      </c>
      <c r="BD1303" s="3" t="s">
        <v>538</v>
      </c>
      <c r="BF1303" s="3" t="s">
        <v>12013</v>
      </c>
      <c r="BG1303" s="3" t="s">
        <v>12014</v>
      </c>
    </row>
    <row r="1304" spans="1:59" ht="60" x14ac:dyDescent="0.25">
      <c r="A1304" s="2" t="s">
        <v>59</v>
      </c>
      <c r="B1304" s="2" t="s">
        <v>60</v>
      </c>
      <c r="C1304" s="2" t="s">
        <v>12015</v>
      </c>
      <c r="D1304" s="2" t="s">
        <v>12016</v>
      </c>
      <c r="E1304" s="2" t="s">
        <v>12017</v>
      </c>
      <c r="G1304" s="3" t="s">
        <v>63</v>
      </c>
      <c r="I1304" s="3" t="s">
        <v>63</v>
      </c>
      <c r="J1304" s="3" t="s">
        <v>62</v>
      </c>
      <c r="K1304" s="3" t="s">
        <v>64</v>
      </c>
      <c r="L1304" s="2" t="s">
        <v>10454</v>
      </c>
      <c r="M1304" s="2" t="s">
        <v>12018</v>
      </c>
      <c r="N1304" s="3" t="s">
        <v>2225</v>
      </c>
      <c r="P1304" s="3" t="s">
        <v>66</v>
      </c>
      <c r="Q1304" s="2" t="s">
        <v>12019</v>
      </c>
      <c r="R1304" s="3" t="s">
        <v>67</v>
      </c>
      <c r="S1304" s="4">
        <v>28</v>
      </c>
      <c r="T1304" s="4">
        <v>28</v>
      </c>
      <c r="U1304" s="5" t="s">
        <v>12020</v>
      </c>
      <c r="V1304" s="5" t="s">
        <v>12020</v>
      </c>
      <c r="W1304" s="5" t="s">
        <v>69</v>
      </c>
      <c r="X1304" s="5" t="s">
        <v>69</v>
      </c>
      <c r="Y1304" s="4">
        <v>47</v>
      </c>
      <c r="Z1304" s="4">
        <v>2</v>
      </c>
      <c r="AA1304" s="4">
        <v>262</v>
      </c>
      <c r="AB1304" s="4">
        <v>1</v>
      </c>
      <c r="AC1304" s="4">
        <v>30</v>
      </c>
      <c r="AD1304" s="4">
        <v>5</v>
      </c>
      <c r="AE1304" s="4">
        <v>175</v>
      </c>
      <c r="AF1304" s="4">
        <v>0</v>
      </c>
      <c r="AG1304" s="4">
        <v>9</v>
      </c>
      <c r="AH1304" s="4">
        <v>5</v>
      </c>
      <c r="AI1304" s="4">
        <v>116</v>
      </c>
      <c r="AJ1304" s="4">
        <v>1</v>
      </c>
      <c r="AK1304" s="4">
        <v>29</v>
      </c>
      <c r="AL1304" s="4">
        <v>2</v>
      </c>
      <c r="AM1304" s="4">
        <v>66</v>
      </c>
      <c r="AN1304" s="4">
        <v>0</v>
      </c>
      <c r="AO1304" s="4">
        <v>14</v>
      </c>
      <c r="AP1304" s="4">
        <v>1</v>
      </c>
      <c r="AQ1304" s="4">
        <v>61</v>
      </c>
      <c r="AR1304" s="3" t="s">
        <v>63</v>
      </c>
      <c r="AS1304" s="3" t="s">
        <v>63</v>
      </c>
      <c r="AT1304" s="3" t="s">
        <v>63</v>
      </c>
      <c r="AV1304" s="6" t="str">
        <f>HYPERLINK("http://mcgill.on.worldcat.org/oclc/1286237","Catalog Record")</f>
        <v>Catalog Record</v>
      </c>
      <c r="AW1304" s="6" t="str">
        <f>HYPERLINK("http://www.worldcat.org/oclc/1286237","WorldCat Record")</f>
        <v>WorldCat Record</v>
      </c>
      <c r="AX1304" s="3" t="s">
        <v>11991</v>
      </c>
      <c r="AY1304" s="3" t="s">
        <v>12021</v>
      </c>
      <c r="AZ1304" s="3" t="s">
        <v>12022</v>
      </c>
      <c r="BA1304" s="3" t="s">
        <v>12022</v>
      </c>
      <c r="BB1304" s="3" t="s">
        <v>12023</v>
      </c>
      <c r="BC1304" s="3" t="s">
        <v>82</v>
      </c>
      <c r="BD1304" s="3" t="s">
        <v>538</v>
      </c>
      <c r="BF1304" s="3" t="s">
        <v>12023</v>
      </c>
      <c r="BG1304" s="3" t="s">
        <v>12024</v>
      </c>
    </row>
    <row r="1305" spans="1:59" ht="60" x14ac:dyDescent="0.25">
      <c r="A1305" s="2" t="s">
        <v>59</v>
      </c>
      <c r="B1305" s="2" t="s">
        <v>60</v>
      </c>
      <c r="C1305" s="2" t="s">
        <v>12025</v>
      </c>
      <c r="D1305" s="2" t="s">
        <v>12026</v>
      </c>
      <c r="E1305" s="2" t="s">
        <v>12027</v>
      </c>
      <c r="G1305" s="3" t="s">
        <v>63</v>
      </c>
      <c r="I1305" s="3" t="s">
        <v>63</v>
      </c>
      <c r="J1305" s="3" t="s">
        <v>62</v>
      </c>
      <c r="K1305" s="3" t="s">
        <v>64</v>
      </c>
      <c r="L1305" s="2" t="s">
        <v>10454</v>
      </c>
      <c r="M1305" s="2" t="s">
        <v>12028</v>
      </c>
      <c r="N1305" s="3" t="s">
        <v>731</v>
      </c>
      <c r="O1305" s="2" t="s">
        <v>1856</v>
      </c>
      <c r="P1305" s="3" t="s">
        <v>66</v>
      </c>
      <c r="Q1305" s="2" t="s">
        <v>11108</v>
      </c>
      <c r="R1305" s="3" t="s">
        <v>67</v>
      </c>
      <c r="S1305" s="4">
        <v>42</v>
      </c>
      <c r="T1305" s="4">
        <v>42</v>
      </c>
      <c r="U1305" s="5" t="s">
        <v>12029</v>
      </c>
      <c r="V1305" s="5" t="s">
        <v>12029</v>
      </c>
      <c r="W1305" s="5" t="s">
        <v>69</v>
      </c>
      <c r="X1305" s="5" t="s">
        <v>69</v>
      </c>
      <c r="Y1305" s="4">
        <v>464</v>
      </c>
      <c r="Z1305" s="4">
        <v>15</v>
      </c>
      <c r="AA1305" s="4">
        <v>262</v>
      </c>
      <c r="AB1305" s="4">
        <v>1</v>
      </c>
      <c r="AC1305" s="4">
        <v>30</v>
      </c>
      <c r="AD1305" s="4">
        <v>68</v>
      </c>
      <c r="AE1305" s="4">
        <v>175</v>
      </c>
      <c r="AF1305" s="4">
        <v>0</v>
      </c>
      <c r="AG1305" s="4">
        <v>9</v>
      </c>
      <c r="AH1305" s="4">
        <v>61</v>
      </c>
      <c r="AI1305" s="4">
        <v>116</v>
      </c>
      <c r="AJ1305" s="4">
        <v>6</v>
      </c>
      <c r="AK1305" s="4">
        <v>29</v>
      </c>
      <c r="AL1305" s="4">
        <v>37</v>
      </c>
      <c r="AM1305" s="4">
        <v>66</v>
      </c>
      <c r="AN1305" s="4">
        <v>0</v>
      </c>
      <c r="AO1305" s="4">
        <v>14</v>
      </c>
      <c r="AP1305" s="4">
        <v>10</v>
      </c>
      <c r="AQ1305" s="4">
        <v>61</v>
      </c>
      <c r="AR1305" s="3" t="s">
        <v>63</v>
      </c>
      <c r="AS1305" s="3" t="s">
        <v>63</v>
      </c>
      <c r="AT1305" s="3" t="s">
        <v>62</v>
      </c>
      <c r="AU1305" s="6" t="str">
        <f>HYPERLINK("http://catalog.hathitrust.org/Record/004424048","HathiTrust Record")</f>
        <v>HathiTrust Record</v>
      </c>
      <c r="AV1305" s="6" t="str">
        <f>HYPERLINK("http://mcgill.on.worldcat.org/oclc/1337440","Catalog Record")</f>
        <v>Catalog Record</v>
      </c>
      <c r="AW1305" s="6" t="str">
        <f>HYPERLINK("http://www.worldcat.org/oclc/1337440","WorldCat Record")</f>
        <v>WorldCat Record</v>
      </c>
      <c r="AX1305" s="3" t="s">
        <v>11991</v>
      </c>
      <c r="AY1305" s="3" t="s">
        <v>12030</v>
      </c>
      <c r="AZ1305" s="3" t="s">
        <v>12031</v>
      </c>
      <c r="BA1305" s="3" t="s">
        <v>12031</v>
      </c>
      <c r="BB1305" s="3" t="s">
        <v>12032</v>
      </c>
      <c r="BC1305" s="3" t="s">
        <v>82</v>
      </c>
      <c r="BD1305" s="3" t="s">
        <v>70</v>
      </c>
      <c r="BE1305" s="3" t="s">
        <v>12033</v>
      </c>
      <c r="BF1305" s="3" t="s">
        <v>12032</v>
      </c>
      <c r="BG1305" s="3" t="s">
        <v>12034</v>
      </c>
    </row>
    <row r="1306" spans="1:59" ht="60" x14ac:dyDescent="0.25">
      <c r="A1306" s="2" t="s">
        <v>59</v>
      </c>
      <c r="B1306" s="2" t="s">
        <v>60</v>
      </c>
      <c r="C1306" s="2" t="s">
        <v>12035</v>
      </c>
      <c r="D1306" s="2" t="s">
        <v>12036</v>
      </c>
      <c r="E1306" s="2" t="s">
        <v>12037</v>
      </c>
      <c r="G1306" s="3" t="s">
        <v>63</v>
      </c>
      <c r="I1306" s="3" t="s">
        <v>62</v>
      </c>
      <c r="J1306" s="3" t="s">
        <v>63</v>
      </c>
      <c r="K1306" s="3" t="s">
        <v>64</v>
      </c>
      <c r="L1306" s="2" t="s">
        <v>10454</v>
      </c>
      <c r="M1306" s="2" t="s">
        <v>12038</v>
      </c>
      <c r="N1306" s="3" t="s">
        <v>161</v>
      </c>
      <c r="O1306" s="2" t="s">
        <v>3134</v>
      </c>
      <c r="P1306" s="3" t="s">
        <v>66</v>
      </c>
      <c r="Q1306" s="2" t="s">
        <v>11108</v>
      </c>
      <c r="R1306" s="3" t="s">
        <v>67</v>
      </c>
      <c r="S1306" s="4">
        <v>92</v>
      </c>
      <c r="T1306" s="4">
        <v>314</v>
      </c>
      <c r="U1306" s="5" t="s">
        <v>6296</v>
      </c>
      <c r="V1306" s="5" t="s">
        <v>2925</v>
      </c>
      <c r="W1306" s="5" t="s">
        <v>69</v>
      </c>
      <c r="X1306" s="5" t="s">
        <v>69</v>
      </c>
      <c r="Y1306" s="4">
        <v>638</v>
      </c>
      <c r="Z1306" s="4">
        <v>24</v>
      </c>
      <c r="AA1306" s="4">
        <v>33</v>
      </c>
      <c r="AB1306" s="4">
        <v>2</v>
      </c>
      <c r="AC1306" s="4">
        <v>4</v>
      </c>
      <c r="AD1306" s="4">
        <v>73</v>
      </c>
      <c r="AE1306" s="4">
        <v>97</v>
      </c>
      <c r="AF1306" s="4">
        <v>1</v>
      </c>
      <c r="AG1306" s="4">
        <v>3</v>
      </c>
      <c r="AH1306" s="4">
        <v>63</v>
      </c>
      <c r="AI1306" s="4">
        <v>84</v>
      </c>
      <c r="AJ1306" s="4">
        <v>13</v>
      </c>
      <c r="AK1306" s="4">
        <v>16</v>
      </c>
      <c r="AL1306" s="4">
        <v>37</v>
      </c>
      <c r="AM1306" s="4">
        <v>49</v>
      </c>
      <c r="AN1306" s="4">
        <v>0</v>
      </c>
      <c r="AO1306" s="4">
        <v>0</v>
      </c>
      <c r="AP1306" s="4">
        <v>16</v>
      </c>
      <c r="AQ1306" s="4">
        <v>20</v>
      </c>
      <c r="AR1306" s="3" t="s">
        <v>63</v>
      </c>
      <c r="AS1306" s="3" t="s">
        <v>63</v>
      </c>
      <c r="AT1306" s="3" t="s">
        <v>63</v>
      </c>
      <c r="AV1306" s="6" t="str">
        <f>HYPERLINK("http://mcgill.on.worldcat.org/oclc/18441698","Catalog Record")</f>
        <v>Catalog Record</v>
      </c>
      <c r="AW1306" s="6" t="str">
        <f>HYPERLINK("http://www.worldcat.org/oclc/18441698","WorldCat Record")</f>
        <v>WorldCat Record</v>
      </c>
      <c r="AX1306" s="3" t="s">
        <v>12039</v>
      </c>
      <c r="AY1306" s="3" t="s">
        <v>12040</v>
      </c>
      <c r="AZ1306" s="3" t="s">
        <v>12041</v>
      </c>
      <c r="BA1306" s="3" t="s">
        <v>12041</v>
      </c>
      <c r="BB1306" s="3" t="s">
        <v>12042</v>
      </c>
      <c r="BC1306" s="3" t="s">
        <v>82</v>
      </c>
      <c r="BD1306" s="3" t="s">
        <v>538</v>
      </c>
      <c r="BE1306" s="3" t="s">
        <v>12043</v>
      </c>
      <c r="BF1306" s="3" t="s">
        <v>12042</v>
      </c>
      <c r="BG1306" s="3" t="s">
        <v>12044</v>
      </c>
    </row>
    <row r="1307" spans="1:59" ht="60" x14ac:dyDescent="0.25">
      <c r="A1307" s="2" t="s">
        <v>59</v>
      </c>
      <c r="B1307" s="2" t="s">
        <v>60</v>
      </c>
      <c r="C1307" s="2" t="s">
        <v>12035</v>
      </c>
      <c r="D1307" s="2" t="s">
        <v>12036</v>
      </c>
      <c r="E1307" s="2" t="s">
        <v>12037</v>
      </c>
      <c r="G1307" s="3" t="s">
        <v>63</v>
      </c>
      <c r="I1307" s="3" t="s">
        <v>62</v>
      </c>
      <c r="J1307" s="3" t="s">
        <v>63</v>
      </c>
      <c r="K1307" s="3" t="s">
        <v>64</v>
      </c>
      <c r="L1307" s="2" t="s">
        <v>10454</v>
      </c>
      <c r="M1307" s="2" t="s">
        <v>12038</v>
      </c>
      <c r="N1307" s="3" t="s">
        <v>161</v>
      </c>
      <c r="O1307" s="2" t="s">
        <v>3134</v>
      </c>
      <c r="P1307" s="3" t="s">
        <v>66</v>
      </c>
      <c r="Q1307" s="2" t="s">
        <v>11108</v>
      </c>
      <c r="R1307" s="3" t="s">
        <v>67</v>
      </c>
      <c r="S1307" s="4">
        <v>45</v>
      </c>
      <c r="T1307" s="4">
        <v>314</v>
      </c>
      <c r="U1307" s="5" t="s">
        <v>12045</v>
      </c>
      <c r="V1307" s="5" t="s">
        <v>2925</v>
      </c>
      <c r="W1307" s="5" t="s">
        <v>69</v>
      </c>
      <c r="X1307" s="5" t="s">
        <v>69</v>
      </c>
      <c r="Y1307" s="4">
        <v>638</v>
      </c>
      <c r="Z1307" s="4">
        <v>24</v>
      </c>
      <c r="AA1307" s="4">
        <v>33</v>
      </c>
      <c r="AB1307" s="4">
        <v>2</v>
      </c>
      <c r="AC1307" s="4">
        <v>4</v>
      </c>
      <c r="AD1307" s="4">
        <v>73</v>
      </c>
      <c r="AE1307" s="4">
        <v>97</v>
      </c>
      <c r="AF1307" s="4">
        <v>1</v>
      </c>
      <c r="AG1307" s="4">
        <v>3</v>
      </c>
      <c r="AH1307" s="4">
        <v>63</v>
      </c>
      <c r="AI1307" s="4">
        <v>84</v>
      </c>
      <c r="AJ1307" s="4">
        <v>13</v>
      </c>
      <c r="AK1307" s="4">
        <v>16</v>
      </c>
      <c r="AL1307" s="4">
        <v>37</v>
      </c>
      <c r="AM1307" s="4">
        <v>49</v>
      </c>
      <c r="AN1307" s="4">
        <v>0</v>
      </c>
      <c r="AO1307" s="4">
        <v>0</v>
      </c>
      <c r="AP1307" s="4">
        <v>16</v>
      </c>
      <c r="AQ1307" s="4">
        <v>20</v>
      </c>
      <c r="AR1307" s="3" t="s">
        <v>63</v>
      </c>
      <c r="AS1307" s="3" t="s">
        <v>63</v>
      </c>
      <c r="AT1307" s="3" t="s">
        <v>63</v>
      </c>
      <c r="AV1307" s="6" t="str">
        <f>HYPERLINK("http://mcgill.on.worldcat.org/oclc/18441698","Catalog Record")</f>
        <v>Catalog Record</v>
      </c>
      <c r="AW1307" s="6" t="str">
        <f>HYPERLINK("http://www.worldcat.org/oclc/18441698","WorldCat Record")</f>
        <v>WorldCat Record</v>
      </c>
      <c r="AX1307" s="3" t="s">
        <v>12039</v>
      </c>
      <c r="AY1307" s="3" t="s">
        <v>12040</v>
      </c>
      <c r="AZ1307" s="3" t="s">
        <v>12041</v>
      </c>
      <c r="BA1307" s="3" t="s">
        <v>12041</v>
      </c>
      <c r="BB1307" s="3" t="s">
        <v>12046</v>
      </c>
      <c r="BC1307" s="3" t="s">
        <v>82</v>
      </c>
      <c r="BD1307" s="3" t="s">
        <v>70</v>
      </c>
      <c r="BE1307" s="3" t="s">
        <v>12043</v>
      </c>
      <c r="BF1307" s="3" t="s">
        <v>12046</v>
      </c>
      <c r="BG1307" s="3" t="s">
        <v>12047</v>
      </c>
    </row>
    <row r="1308" spans="1:59" ht="60" x14ac:dyDescent="0.25">
      <c r="A1308" s="2" t="s">
        <v>59</v>
      </c>
      <c r="B1308" s="2" t="s">
        <v>60</v>
      </c>
      <c r="C1308" s="2" t="s">
        <v>12035</v>
      </c>
      <c r="D1308" s="2" t="s">
        <v>12036</v>
      </c>
      <c r="E1308" s="2" t="s">
        <v>12037</v>
      </c>
      <c r="G1308" s="3" t="s">
        <v>63</v>
      </c>
      <c r="I1308" s="3" t="s">
        <v>62</v>
      </c>
      <c r="J1308" s="3" t="s">
        <v>63</v>
      </c>
      <c r="K1308" s="3" t="s">
        <v>64</v>
      </c>
      <c r="L1308" s="2" t="s">
        <v>10454</v>
      </c>
      <c r="M1308" s="2" t="s">
        <v>12038</v>
      </c>
      <c r="N1308" s="3" t="s">
        <v>161</v>
      </c>
      <c r="O1308" s="2" t="s">
        <v>3134</v>
      </c>
      <c r="P1308" s="3" t="s">
        <v>66</v>
      </c>
      <c r="Q1308" s="2" t="s">
        <v>11108</v>
      </c>
      <c r="R1308" s="3" t="s">
        <v>67</v>
      </c>
      <c r="S1308" s="4">
        <v>91</v>
      </c>
      <c r="T1308" s="4">
        <v>314</v>
      </c>
      <c r="U1308" s="5" t="s">
        <v>2925</v>
      </c>
      <c r="V1308" s="5" t="s">
        <v>2925</v>
      </c>
      <c r="W1308" s="5" t="s">
        <v>69</v>
      </c>
      <c r="X1308" s="5" t="s">
        <v>69</v>
      </c>
      <c r="Y1308" s="4">
        <v>638</v>
      </c>
      <c r="Z1308" s="4">
        <v>24</v>
      </c>
      <c r="AA1308" s="4">
        <v>33</v>
      </c>
      <c r="AB1308" s="4">
        <v>2</v>
      </c>
      <c r="AC1308" s="4">
        <v>4</v>
      </c>
      <c r="AD1308" s="4">
        <v>73</v>
      </c>
      <c r="AE1308" s="4">
        <v>97</v>
      </c>
      <c r="AF1308" s="4">
        <v>1</v>
      </c>
      <c r="AG1308" s="4">
        <v>3</v>
      </c>
      <c r="AH1308" s="4">
        <v>63</v>
      </c>
      <c r="AI1308" s="4">
        <v>84</v>
      </c>
      <c r="AJ1308" s="4">
        <v>13</v>
      </c>
      <c r="AK1308" s="4">
        <v>16</v>
      </c>
      <c r="AL1308" s="4">
        <v>37</v>
      </c>
      <c r="AM1308" s="4">
        <v>49</v>
      </c>
      <c r="AN1308" s="4">
        <v>0</v>
      </c>
      <c r="AO1308" s="4">
        <v>0</v>
      </c>
      <c r="AP1308" s="4">
        <v>16</v>
      </c>
      <c r="AQ1308" s="4">
        <v>20</v>
      </c>
      <c r="AR1308" s="3" t="s">
        <v>63</v>
      </c>
      <c r="AS1308" s="3" t="s">
        <v>63</v>
      </c>
      <c r="AT1308" s="3" t="s">
        <v>63</v>
      </c>
      <c r="AV1308" s="6" t="str">
        <f>HYPERLINK("http://mcgill.on.worldcat.org/oclc/18441698","Catalog Record")</f>
        <v>Catalog Record</v>
      </c>
      <c r="AW1308" s="6" t="str">
        <f>HYPERLINK("http://www.worldcat.org/oclc/18441698","WorldCat Record")</f>
        <v>WorldCat Record</v>
      </c>
      <c r="AX1308" s="3" t="s">
        <v>12039</v>
      </c>
      <c r="AY1308" s="3" t="s">
        <v>12040</v>
      </c>
      <c r="AZ1308" s="3" t="s">
        <v>12041</v>
      </c>
      <c r="BA1308" s="3" t="s">
        <v>12041</v>
      </c>
      <c r="BB1308" s="3" t="s">
        <v>12048</v>
      </c>
      <c r="BC1308" s="3" t="s">
        <v>82</v>
      </c>
      <c r="BD1308" s="3" t="s">
        <v>70</v>
      </c>
      <c r="BE1308" s="3" t="s">
        <v>12043</v>
      </c>
      <c r="BF1308" s="3" t="s">
        <v>12048</v>
      </c>
      <c r="BG1308" s="3" t="s">
        <v>12049</v>
      </c>
    </row>
    <row r="1309" spans="1:59" ht="60" x14ac:dyDescent="0.25">
      <c r="A1309" s="2" t="s">
        <v>59</v>
      </c>
      <c r="B1309" s="2" t="s">
        <v>60</v>
      </c>
      <c r="C1309" s="2" t="s">
        <v>12035</v>
      </c>
      <c r="D1309" s="2" t="s">
        <v>12036</v>
      </c>
      <c r="E1309" s="2" t="s">
        <v>12037</v>
      </c>
      <c r="G1309" s="3" t="s">
        <v>63</v>
      </c>
      <c r="I1309" s="3" t="s">
        <v>62</v>
      </c>
      <c r="J1309" s="3" t="s">
        <v>63</v>
      </c>
      <c r="K1309" s="3" t="s">
        <v>64</v>
      </c>
      <c r="L1309" s="2" t="s">
        <v>10454</v>
      </c>
      <c r="M1309" s="2" t="s">
        <v>12038</v>
      </c>
      <c r="N1309" s="3" t="s">
        <v>161</v>
      </c>
      <c r="O1309" s="2" t="s">
        <v>3134</v>
      </c>
      <c r="P1309" s="3" t="s">
        <v>66</v>
      </c>
      <c r="Q1309" s="2" t="s">
        <v>11108</v>
      </c>
      <c r="R1309" s="3" t="s">
        <v>67</v>
      </c>
      <c r="S1309" s="4">
        <v>86</v>
      </c>
      <c r="T1309" s="4">
        <v>314</v>
      </c>
      <c r="U1309" s="5" t="s">
        <v>12050</v>
      </c>
      <c r="V1309" s="5" t="s">
        <v>2925</v>
      </c>
      <c r="W1309" s="5" t="s">
        <v>69</v>
      </c>
      <c r="X1309" s="5" t="s">
        <v>69</v>
      </c>
      <c r="Y1309" s="4">
        <v>638</v>
      </c>
      <c r="Z1309" s="4">
        <v>24</v>
      </c>
      <c r="AA1309" s="4">
        <v>33</v>
      </c>
      <c r="AB1309" s="4">
        <v>2</v>
      </c>
      <c r="AC1309" s="4">
        <v>4</v>
      </c>
      <c r="AD1309" s="4">
        <v>73</v>
      </c>
      <c r="AE1309" s="4">
        <v>97</v>
      </c>
      <c r="AF1309" s="4">
        <v>1</v>
      </c>
      <c r="AG1309" s="4">
        <v>3</v>
      </c>
      <c r="AH1309" s="4">
        <v>63</v>
      </c>
      <c r="AI1309" s="4">
        <v>84</v>
      </c>
      <c r="AJ1309" s="4">
        <v>13</v>
      </c>
      <c r="AK1309" s="4">
        <v>16</v>
      </c>
      <c r="AL1309" s="4">
        <v>37</v>
      </c>
      <c r="AM1309" s="4">
        <v>49</v>
      </c>
      <c r="AN1309" s="4">
        <v>0</v>
      </c>
      <c r="AO1309" s="4">
        <v>0</v>
      </c>
      <c r="AP1309" s="4">
        <v>16</v>
      </c>
      <c r="AQ1309" s="4">
        <v>20</v>
      </c>
      <c r="AR1309" s="3" t="s">
        <v>63</v>
      </c>
      <c r="AS1309" s="3" t="s">
        <v>63</v>
      </c>
      <c r="AT1309" s="3" t="s">
        <v>63</v>
      </c>
      <c r="AV1309" s="6" t="str">
        <f>HYPERLINK("http://mcgill.on.worldcat.org/oclc/18441698","Catalog Record")</f>
        <v>Catalog Record</v>
      </c>
      <c r="AW1309" s="6" t="str">
        <f>HYPERLINK("http://www.worldcat.org/oclc/18441698","WorldCat Record")</f>
        <v>WorldCat Record</v>
      </c>
      <c r="AX1309" s="3" t="s">
        <v>12039</v>
      </c>
      <c r="AY1309" s="3" t="s">
        <v>12040</v>
      </c>
      <c r="AZ1309" s="3" t="s">
        <v>12041</v>
      </c>
      <c r="BA1309" s="3" t="s">
        <v>12041</v>
      </c>
      <c r="BB1309" s="3" t="s">
        <v>12051</v>
      </c>
      <c r="BC1309" s="3" t="s">
        <v>82</v>
      </c>
      <c r="BD1309" s="3" t="s">
        <v>538</v>
      </c>
      <c r="BE1309" s="3" t="s">
        <v>12043</v>
      </c>
      <c r="BF1309" s="3" t="s">
        <v>12051</v>
      </c>
      <c r="BG1309" s="3" t="s">
        <v>12052</v>
      </c>
    </row>
    <row r="1310" spans="1:59" ht="60" x14ac:dyDescent="0.25">
      <c r="A1310" s="2" t="s">
        <v>59</v>
      </c>
      <c r="B1310" s="2" t="s">
        <v>60</v>
      </c>
      <c r="C1310" s="2" t="s">
        <v>12053</v>
      </c>
      <c r="D1310" s="2" t="s">
        <v>12054</v>
      </c>
      <c r="E1310" s="2" t="s">
        <v>12055</v>
      </c>
      <c r="G1310" s="3" t="s">
        <v>63</v>
      </c>
      <c r="I1310" s="3" t="s">
        <v>63</v>
      </c>
      <c r="J1310" s="3" t="s">
        <v>62</v>
      </c>
      <c r="K1310" s="3" t="s">
        <v>64</v>
      </c>
      <c r="L1310" s="2" t="s">
        <v>10454</v>
      </c>
      <c r="M1310" s="2" t="s">
        <v>12056</v>
      </c>
      <c r="N1310" s="3" t="s">
        <v>480</v>
      </c>
      <c r="P1310" s="3" t="s">
        <v>66</v>
      </c>
      <c r="R1310" s="3" t="s">
        <v>67</v>
      </c>
      <c r="S1310" s="4">
        <v>67</v>
      </c>
      <c r="T1310" s="4">
        <v>67</v>
      </c>
      <c r="U1310" s="5" t="s">
        <v>12057</v>
      </c>
      <c r="V1310" s="5" t="s">
        <v>12057</v>
      </c>
      <c r="W1310" s="5" t="s">
        <v>69</v>
      </c>
      <c r="X1310" s="5" t="s">
        <v>69</v>
      </c>
      <c r="Y1310" s="4">
        <v>449</v>
      </c>
      <c r="Z1310" s="4">
        <v>21</v>
      </c>
      <c r="AA1310" s="4">
        <v>262</v>
      </c>
      <c r="AB1310" s="4">
        <v>2</v>
      </c>
      <c r="AC1310" s="4">
        <v>30</v>
      </c>
      <c r="AD1310" s="4">
        <v>68</v>
      </c>
      <c r="AE1310" s="4">
        <v>175</v>
      </c>
      <c r="AF1310" s="4">
        <v>0</v>
      </c>
      <c r="AG1310" s="4">
        <v>9</v>
      </c>
      <c r="AH1310" s="4">
        <v>63</v>
      </c>
      <c r="AI1310" s="4">
        <v>116</v>
      </c>
      <c r="AJ1310" s="4">
        <v>8</v>
      </c>
      <c r="AK1310" s="4">
        <v>29</v>
      </c>
      <c r="AL1310" s="4">
        <v>39</v>
      </c>
      <c r="AM1310" s="4">
        <v>66</v>
      </c>
      <c r="AN1310" s="4">
        <v>0</v>
      </c>
      <c r="AO1310" s="4">
        <v>14</v>
      </c>
      <c r="AP1310" s="4">
        <v>10</v>
      </c>
      <c r="AQ1310" s="4">
        <v>61</v>
      </c>
      <c r="AR1310" s="3" t="s">
        <v>63</v>
      </c>
      <c r="AS1310" s="3" t="s">
        <v>63</v>
      </c>
      <c r="AT1310" s="3" t="s">
        <v>62</v>
      </c>
      <c r="AU1310" s="6" t="str">
        <f>HYPERLINK("http://catalog.hathitrust.org/Record/004513525","HathiTrust Record")</f>
        <v>HathiTrust Record</v>
      </c>
      <c r="AV1310" s="6" t="str">
        <f>HYPERLINK("http://mcgill.on.worldcat.org/oclc/22664192","Catalog Record")</f>
        <v>Catalog Record</v>
      </c>
      <c r="AW1310" s="6" t="str">
        <f>HYPERLINK("http://www.worldcat.org/oclc/22664192","WorldCat Record")</f>
        <v>WorldCat Record</v>
      </c>
      <c r="AX1310" s="3" t="s">
        <v>11991</v>
      </c>
      <c r="AY1310" s="3" t="s">
        <v>12058</v>
      </c>
      <c r="AZ1310" s="3" t="s">
        <v>12059</v>
      </c>
      <c r="BA1310" s="3" t="s">
        <v>12059</v>
      </c>
      <c r="BB1310" s="3" t="s">
        <v>12060</v>
      </c>
      <c r="BC1310" s="3" t="s">
        <v>82</v>
      </c>
      <c r="BD1310" s="3" t="s">
        <v>538</v>
      </c>
      <c r="BE1310" s="3" t="s">
        <v>12061</v>
      </c>
      <c r="BF1310" s="3" t="s">
        <v>12060</v>
      </c>
      <c r="BG1310" s="3" t="s">
        <v>12062</v>
      </c>
    </row>
    <row r="1311" spans="1:59" ht="75" x14ac:dyDescent="0.25">
      <c r="A1311" s="2" t="s">
        <v>59</v>
      </c>
      <c r="B1311" s="2" t="s">
        <v>60</v>
      </c>
      <c r="C1311" s="2" t="s">
        <v>12063</v>
      </c>
      <c r="D1311" s="2" t="s">
        <v>12064</v>
      </c>
      <c r="E1311" s="2" t="s">
        <v>12065</v>
      </c>
      <c r="G1311" s="3" t="s">
        <v>63</v>
      </c>
      <c r="I1311" s="3" t="s">
        <v>62</v>
      </c>
      <c r="J1311" s="3" t="s">
        <v>62</v>
      </c>
      <c r="K1311" s="3" t="s">
        <v>64</v>
      </c>
      <c r="L1311" s="2" t="s">
        <v>10688</v>
      </c>
      <c r="M1311" s="2" t="s">
        <v>12066</v>
      </c>
      <c r="N1311" s="3" t="s">
        <v>220</v>
      </c>
      <c r="O1311" s="2" t="s">
        <v>12067</v>
      </c>
      <c r="P1311" s="3" t="s">
        <v>66</v>
      </c>
      <c r="Q1311" s="2" t="s">
        <v>11654</v>
      </c>
      <c r="R1311" s="3" t="s">
        <v>67</v>
      </c>
      <c r="S1311" s="4">
        <v>4</v>
      </c>
      <c r="T1311" s="4">
        <v>33</v>
      </c>
      <c r="U1311" s="5" t="s">
        <v>11328</v>
      </c>
      <c r="V1311" s="5" t="s">
        <v>11328</v>
      </c>
      <c r="W1311" s="5" t="s">
        <v>69</v>
      </c>
      <c r="X1311" s="5" t="s">
        <v>69</v>
      </c>
      <c r="Y1311" s="4">
        <v>480</v>
      </c>
      <c r="Z1311" s="4">
        <v>14</v>
      </c>
      <c r="AA1311" s="4">
        <v>33</v>
      </c>
      <c r="AB1311" s="4">
        <v>2</v>
      </c>
      <c r="AC1311" s="4">
        <v>5</v>
      </c>
      <c r="AD1311" s="4">
        <v>43</v>
      </c>
      <c r="AE1311" s="4">
        <v>90</v>
      </c>
      <c r="AF1311" s="4">
        <v>1</v>
      </c>
      <c r="AG1311" s="4">
        <v>1</v>
      </c>
      <c r="AH1311" s="4">
        <v>38</v>
      </c>
      <c r="AI1311" s="4">
        <v>77</v>
      </c>
      <c r="AJ1311" s="4">
        <v>5</v>
      </c>
      <c r="AK1311" s="4">
        <v>16</v>
      </c>
      <c r="AL1311" s="4">
        <v>26</v>
      </c>
      <c r="AM1311" s="4">
        <v>50</v>
      </c>
      <c r="AN1311" s="4">
        <v>0</v>
      </c>
      <c r="AO1311" s="4">
        <v>0</v>
      </c>
      <c r="AP1311" s="4">
        <v>6</v>
      </c>
      <c r="AQ1311" s="4">
        <v>16</v>
      </c>
      <c r="AR1311" s="3" t="s">
        <v>63</v>
      </c>
      <c r="AS1311" s="3" t="s">
        <v>63</v>
      </c>
      <c r="AT1311" s="3" t="s">
        <v>63</v>
      </c>
      <c r="AV1311" s="6" t="str">
        <f>HYPERLINK("http://mcgill.on.worldcat.org/oclc/26399697","Catalog Record")</f>
        <v>Catalog Record</v>
      </c>
      <c r="AW1311" s="6" t="str">
        <f>HYPERLINK("http://www.worldcat.org/oclc/26399697","WorldCat Record")</f>
        <v>WorldCat Record</v>
      </c>
      <c r="AX1311" s="3" t="s">
        <v>12068</v>
      </c>
      <c r="AY1311" s="3" t="s">
        <v>12069</v>
      </c>
      <c r="AZ1311" s="3" t="s">
        <v>12070</v>
      </c>
      <c r="BA1311" s="3" t="s">
        <v>12070</v>
      </c>
      <c r="BB1311" s="3" t="s">
        <v>12071</v>
      </c>
      <c r="BC1311" s="3" t="s">
        <v>82</v>
      </c>
      <c r="BD1311" s="3" t="s">
        <v>70</v>
      </c>
      <c r="BE1311" s="3" t="s">
        <v>12072</v>
      </c>
      <c r="BF1311" s="3" t="s">
        <v>12071</v>
      </c>
      <c r="BG1311" s="3" t="s">
        <v>12073</v>
      </c>
    </row>
    <row r="1312" spans="1:59" ht="75" x14ac:dyDescent="0.25">
      <c r="A1312" s="2" t="s">
        <v>59</v>
      </c>
      <c r="B1312" s="2" t="s">
        <v>60</v>
      </c>
      <c r="C1312" s="2" t="s">
        <v>12063</v>
      </c>
      <c r="D1312" s="2" t="s">
        <v>12064</v>
      </c>
      <c r="E1312" s="2" t="s">
        <v>12065</v>
      </c>
      <c r="G1312" s="3" t="s">
        <v>63</v>
      </c>
      <c r="I1312" s="3" t="s">
        <v>62</v>
      </c>
      <c r="J1312" s="3" t="s">
        <v>62</v>
      </c>
      <c r="K1312" s="3" t="s">
        <v>64</v>
      </c>
      <c r="L1312" s="2" t="s">
        <v>10688</v>
      </c>
      <c r="M1312" s="2" t="s">
        <v>12066</v>
      </c>
      <c r="N1312" s="3" t="s">
        <v>220</v>
      </c>
      <c r="O1312" s="2" t="s">
        <v>12067</v>
      </c>
      <c r="P1312" s="3" t="s">
        <v>66</v>
      </c>
      <c r="Q1312" s="2" t="s">
        <v>11654</v>
      </c>
      <c r="R1312" s="3" t="s">
        <v>67</v>
      </c>
      <c r="S1312" s="4">
        <v>7</v>
      </c>
      <c r="T1312" s="4">
        <v>33</v>
      </c>
      <c r="U1312" s="5" t="s">
        <v>6023</v>
      </c>
      <c r="V1312" s="5" t="s">
        <v>11328</v>
      </c>
      <c r="W1312" s="5" t="s">
        <v>69</v>
      </c>
      <c r="X1312" s="5" t="s">
        <v>69</v>
      </c>
      <c r="Y1312" s="4">
        <v>480</v>
      </c>
      <c r="Z1312" s="4">
        <v>14</v>
      </c>
      <c r="AA1312" s="4">
        <v>33</v>
      </c>
      <c r="AB1312" s="4">
        <v>2</v>
      </c>
      <c r="AC1312" s="4">
        <v>5</v>
      </c>
      <c r="AD1312" s="4">
        <v>43</v>
      </c>
      <c r="AE1312" s="4">
        <v>90</v>
      </c>
      <c r="AF1312" s="4">
        <v>1</v>
      </c>
      <c r="AG1312" s="4">
        <v>1</v>
      </c>
      <c r="AH1312" s="4">
        <v>38</v>
      </c>
      <c r="AI1312" s="4">
        <v>77</v>
      </c>
      <c r="AJ1312" s="4">
        <v>5</v>
      </c>
      <c r="AK1312" s="4">
        <v>16</v>
      </c>
      <c r="AL1312" s="4">
        <v>26</v>
      </c>
      <c r="AM1312" s="4">
        <v>50</v>
      </c>
      <c r="AN1312" s="4">
        <v>0</v>
      </c>
      <c r="AO1312" s="4">
        <v>0</v>
      </c>
      <c r="AP1312" s="4">
        <v>6</v>
      </c>
      <c r="AQ1312" s="4">
        <v>16</v>
      </c>
      <c r="AR1312" s="3" t="s">
        <v>63</v>
      </c>
      <c r="AS1312" s="3" t="s">
        <v>63</v>
      </c>
      <c r="AT1312" s="3" t="s">
        <v>63</v>
      </c>
      <c r="AV1312" s="6" t="str">
        <f>HYPERLINK("http://mcgill.on.worldcat.org/oclc/26399697","Catalog Record")</f>
        <v>Catalog Record</v>
      </c>
      <c r="AW1312" s="6" t="str">
        <f>HYPERLINK("http://www.worldcat.org/oclc/26399697","WorldCat Record")</f>
        <v>WorldCat Record</v>
      </c>
      <c r="AX1312" s="3" t="s">
        <v>12068</v>
      </c>
      <c r="AY1312" s="3" t="s">
        <v>12069</v>
      </c>
      <c r="AZ1312" s="3" t="s">
        <v>12070</v>
      </c>
      <c r="BA1312" s="3" t="s">
        <v>12070</v>
      </c>
      <c r="BB1312" s="3" t="s">
        <v>12074</v>
      </c>
      <c r="BC1312" s="3" t="s">
        <v>82</v>
      </c>
      <c r="BD1312" s="3" t="s">
        <v>538</v>
      </c>
      <c r="BE1312" s="3" t="s">
        <v>12072</v>
      </c>
      <c r="BF1312" s="3" t="s">
        <v>12074</v>
      </c>
      <c r="BG1312" s="3" t="s">
        <v>12075</v>
      </c>
    </row>
    <row r="1313" spans="1:59" ht="75" x14ac:dyDescent="0.25">
      <c r="A1313" s="2" t="s">
        <v>59</v>
      </c>
      <c r="B1313" s="2" t="s">
        <v>60</v>
      </c>
      <c r="C1313" s="2" t="s">
        <v>12063</v>
      </c>
      <c r="D1313" s="2" t="s">
        <v>12064</v>
      </c>
      <c r="E1313" s="2" t="s">
        <v>12065</v>
      </c>
      <c r="G1313" s="3" t="s">
        <v>63</v>
      </c>
      <c r="I1313" s="3" t="s">
        <v>62</v>
      </c>
      <c r="J1313" s="3" t="s">
        <v>62</v>
      </c>
      <c r="K1313" s="3" t="s">
        <v>64</v>
      </c>
      <c r="L1313" s="2" t="s">
        <v>10688</v>
      </c>
      <c r="M1313" s="2" t="s">
        <v>12066</v>
      </c>
      <c r="N1313" s="3" t="s">
        <v>220</v>
      </c>
      <c r="O1313" s="2" t="s">
        <v>12067</v>
      </c>
      <c r="P1313" s="3" t="s">
        <v>66</v>
      </c>
      <c r="Q1313" s="2" t="s">
        <v>11654</v>
      </c>
      <c r="R1313" s="3" t="s">
        <v>67</v>
      </c>
      <c r="S1313" s="4">
        <v>22</v>
      </c>
      <c r="T1313" s="4">
        <v>33</v>
      </c>
      <c r="U1313" s="5" t="s">
        <v>12076</v>
      </c>
      <c r="V1313" s="5" t="s">
        <v>11328</v>
      </c>
      <c r="W1313" s="5" t="s">
        <v>69</v>
      </c>
      <c r="X1313" s="5" t="s">
        <v>69</v>
      </c>
      <c r="Y1313" s="4">
        <v>480</v>
      </c>
      <c r="Z1313" s="4">
        <v>14</v>
      </c>
      <c r="AA1313" s="4">
        <v>33</v>
      </c>
      <c r="AB1313" s="4">
        <v>2</v>
      </c>
      <c r="AC1313" s="4">
        <v>5</v>
      </c>
      <c r="AD1313" s="4">
        <v>43</v>
      </c>
      <c r="AE1313" s="4">
        <v>90</v>
      </c>
      <c r="AF1313" s="4">
        <v>1</v>
      </c>
      <c r="AG1313" s="4">
        <v>1</v>
      </c>
      <c r="AH1313" s="4">
        <v>38</v>
      </c>
      <c r="AI1313" s="4">
        <v>77</v>
      </c>
      <c r="AJ1313" s="4">
        <v>5</v>
      </c>
      <c r="AK1313" s="4">
        <v>16</v>
      </c>
      <c r="AL1313" s="4">
        <v>26</v>
      </c>
      <c r="AM1313" s="4">
        <v>50</v>
      </c>
      <c r="AN1313" s="4">
        <v>0</v>
      </c>
      <c r="AO1313" s="4">
        <v>0</v>
      </c>
      <c r="AP1313" s="4">
        <v>6</v>
      </c>
      <c r="AQ1313" s="4">
        <v>16</v>
      </c>
      <c r="AR1313" s="3" t="s">
        <v>63</v>
      </c>
      <c r="AS1313" s="3" t="s">
        <v>63</v>
      </c>
      <c r="AT1313" s="3" t="s">
        <v>63</v>
      </c>
      <c r="AV1313" s="6" t="str">
        <f>HYPERLINK("http://mcgill.on.worldcat.org/oclc/26399697","Catalog Record")</f>
        <v>Catalog Record</v>
      </c>
      <c r="AW1313" s="6" t="str">
        <f>HYPERLINK("http://www.worldcat.org/oclc/26399697","WorldCat Record")</f>
        <v>WorldCat Record</v>
      </c>
      <c r="AX1313" s="3" t="s">
        <v>12068</v>
      </c>
      <c r="AY1313" s="3" t="s">
        <v>12069</v>
      </c>
      <c r="AZ1313" s="3" t="s">
        <v>12070</v>
      </c>
      <c r="BA1313" s="3" t="s">
        <v>12070</v>
      </c>
      <c r="BB1313" s="3" t="s">
        <v>12077</v>
      </c>
      <c r="BC1313" s="3" t="s">
        <v>82</v>
      </c>
      <c r="BD1313" s="3" t="s">
        <v>538</v>
      </c>
      <c r="BE1313" s="3" t="s">
        <v>12072</v>
      </c>
      <c r="BF1313" s="3" t="s">
        <v>12077</v>
      </c>
      <c r="BG1313" s="3" t="s">
        <v>12078</v>
      </c>
    </row>
    <row r="1314" spans="1:59" ht="60" x14ac:dyDescent="0.25">
      <c r="A1314" s="2" t="s">
        <v>59</v>
      </c>
      <c r="B1314" s="2" t="s">
        <v>60</v>
      </c>
      <c r="C1314" s="2" t="s">
        <v>12079</v>
      </c>
      <c r="D1314" s="2" t="s">
        <v>12080</v>
      </c>
      <c r="E1314" s="2" t="s">
        <v>12081</v>
      </c>
      <c r="G1314" s="3" t="s">
        <v>63</v>
      </c>
      <c r="I1314" s="3" t="s">
        <v>63</v>
      </c>
      <c r="J1314" s="3" t="s">
        <v>62</v>
      </c>
      <c r="K1314" s="3" t="s">
        <v>64</v>
      </c>
      <c r="L1314" s="2" t="s">
        <v>10454</v>
      </c>
      <c r="M1314" s="2" t="s">
        <v>12082</v>
      </c>
      <c r="N1314" s="3" t="s">
        <v>176</v>
      </c>
      <c r="P1314" s="3" t="s">
        <v>66</v>
      </c>
      <c r="Q1314" s="2" t="s">
        <v>327</v>
      </c>
      <c r="R1314" s="3" t="s">
        <v>67</v>
      </c>
      <c r="S1314" s="4">
        <v>63</v>
      </c>
      <c r="T1314" s="4">
        <v>63</v>
      </c>
      <c r="U1314" s="5" t="s">
        <v>12083</v>
      </c>
      <c r="V1314" s="5" t="s">
        <v>12083</v>
      </c>
      <c r="W1314" s="5" t="s">
        <v>69</v>
      </c>
      <c r="X1314" s="5" t="s">
        <v>69</v>
      </c>
      <c r="Y1314" s="4">
        <v>225</v>
      </c>
      <c r="Z1314" s="4">
        <v>9</v>
      </c>
      <c r="AA1314" s="4">
        <v>262</v>
      </c>
      <c r="AB1314" s="4">
        <v>1</v>
      </c>
      <c r="AC1314" s="4">
        <v>30</v>
      </c>
      <c r="AD1314" s="4">
        <v>24</v>
      </c>
      <c r="AE1314" s="4">
        <v>175</v>
      </c>
      <c r="AF1314" s="4">
        <v>0</v>
      </c>
      <c r="AG1314" s="4">
        <v>9</v>
      </c>
      <c r="AH1314" s="4">
        <v>24</v>
      </c>
      <c r="AI1314" s="4">
        <v>116</v>
      </c>
      <c r="AJ1314" s="4">
        <v>3</v>
      </c>
      <c r="AK1314" s="4">
        <v>29</v>
      </c>
      <c r="AL1314" s="4">
        <v>13</v>
      </c>
      <c r="AM1314" s="4">
        <v>66</v>
      </c>
      <c r="AN1314" s="4">
        <v>0</v>
      </c>
      <c r="AO1314" s="4">
        <v>14</v>
      </c>
      <c r="AP1314" s="4">
        <v>3</v>
      </c>
      <c r="AQ1314" s="4">
        <v>61</v>
      </c>
      <c r="AR1314" s="3" t="s">
        <v>63</v>
      </c>
      <c r="AS1314" s="3" t="s">
        <v>63</v>
      </c>
      <c r="AT1314" s="3" t="s">
        <v>63</v>
      </c>
      <c r="AV1314" s="6" t="str">
        <f>HYPERLINK("http://mcgill.on.worldcat.org/oclc/40117086","Catalog Record")</f>
        <v>Catalog Record</v>
      </c>
      <c r="AW1314" s="6" t="str">
        <f>HYPERLINK("http://www.worldcat.org/oclc/40117086","WorldCat Record")</f>
        <v>WorldCat Record</v>
      </c>
      <c r="AX1314" s="3" t="s">
        <v>11991</v>
      </c>
      <c r="AY1314" s="3" t="s">
        <v>12084</v>
      </c>
      <c r="AZ1314" s="3" t="s">
        <v>12085</v>
      </c>
      <c r="BA1314" s="3" t="s">
        <v>12085</v>
      </c>
      <c r="BB1314" s="3" t="s">
        <v>12086</v>
      </c>
      <c r="BC1314" s="3" t="s">
        <v>82</v>
      </c>
      <c r="BD1314" s="3" t="s">
        <v>538</v>
      </c>
      <c r="BE1314" s="3" t="s">
        <v>12087</v>
      </c>
      <c r="BF1314" s="3" t="s">
        <v>12086</v>
      </c>
      <c r="BG1314" s="3" t="s">
        <v>12088</v>
      </c>
    </row>
    <row r="1315" spans="1:59" ht="75" x14ac:dyDescent="0.25">
      <c r="A1315" s="2" t="s">
        <v>59</v>
      </c>
      <c r="B1315" s="2" t="s">
        <v>60</v>
      </c>
      <c r="C1315" s="2" t="s">
        <v>12089</v>
      </c>
      <c r="D1315" s="2" t="s">
        <v>12090</v>
      </c>
      <c r="E1315" s="2" t="s">
        <v>12065</v>
      </c>
      <c r="G1315" s="3" t="s">
        <v>63</v>
      </c>
      <c r="I1315" s="3" t="s">
        <v>63</v>
      </c>
      <c r="J1315" s="3" t="s">
        <v>62</v>
      </c>
      <c r="K1315" s="3" t="s">
        <v>64</v>
      </c>
      <c r="L1315" s="2" t="s">
        <v>10454</v>
      </c>
      <c r="M1315" s="2" t="s">
        <v>12091</v>
      </c>
      <c r="N1315" s="3" t="s">
        <v>531</v>
      </c>
      <c r="O1315" s="2" t="s">
        <v>590</v>
      </c>
      <c r="P1315" s="3" t="s">
        <v>66</v>
      </c>
      <c r="R1315" s="3" t="s">
        <v>67</v>
      </c>
      <c r="S1315" s="4">
        <v>69</v>
      </c>
      <c r="T1315" s="4">
        <v>69</v>
      </c>
      <c r="U1315" s="5" t="s">
        <v>12092</v>
      </c>
      <c r="V1315" s="5" t="s">
        <v>12092</v>
      </c>
      <c r="W1315" s="5" t="s">
        <v>69</v>
      </c>
      <c r="X1315" s="5" t="s">
        <v>69</v>
      </c>
      <c r="Y1315" s="4">
        <v>379</v>
      </c>
      <c r="Z1315" s="4">
        <v>20</v>
      </c>
      <c r="AA1315" s="4">
        <v>33</v>
      </c>
      <c r="AB1315" s="4">
        <v>1</v>
      </c>
      <c r="AC1315" s="4">
        <v>5</v>
      </c>
      <c r="AD1315" s="4">
        <v>63</v>
      </c>
      <c r="AE1315" s="4">
        <v>90</v>
      </c>
      <c r="AF1315" s="4">
        <v>0</v>
      </c>
      <c r="AG1315" s="4">
        <v>1</v>
      </c>
      <c r="AH1315" s="4">
        <v>55</v>
      </c>
      <c r="AI1315" s="4">
        <v>77</v>
      </c>
      <c r="AJ1315" s="4">
        <v>11</v>
      </c>
      <c r="AK1315" s="4">
        <v>16</v>
      </c>
      <c r="AL1315" s="4">
        <v>38</v>
      </c>
      <c r="AM1315" s="4">
        <v>50</v>
      </c>
      <c r="AN1315" s="4">
        <v>0</v>
      </c>
      <c r="AO1315" s="4">
        <v>0</v>
      </c>
      <c r="AP1315" s="4">
        <v>11</v>
      </c>
      <c r="AQ1315" s="4">
        <v>16</v>
      </c>
      <c r="AR1315" s="3" t="s">
        <v>63</v>
      </c>
      <c r="AS1315" s="3" t="s">
        <v>63</v>
      </c>
      <c r="AT1315" s="3" t="s">
        <v>63</v>
      </c>
      <c r="AV1315" s="6" t="str">
        <f>HYPERLINK("http://mcgill.on.worldcat.org/oclc/24694325","Catalog Record")</f>
        <v>Catalog Record</v>
      </c>
      <c r="AW1315" s="6" t="str">
        <f>HYPERLINK("http://www.worldcat.org/oclc/24694325","WorldCat Record")</f>
        <v>WorldCat Record</v>
      </c>
      <c r="AX1315" s="3" t="s">
        <v>12068</v>
      </c>
      <c r="AY1315" s="3" t="s">
        <v>12093</v>
      </c>
      <c r="AZ1315" s="3" t="s">
        <v>12094</v>
      </c>
      <c r="BA1315" s="3" t="s">
        <v>12094</v>
      </c>
      <c r="BB1315" s="3" t="s">
        <v>12095</v>
      </c>
      <c r="BC1315" s="3" t="s">
        <v>82</v>
      </c>
      <c r="BD1315" s="3" t="s">
        <v>70</v>
      </c>
      <c r="BE1315" s="3" t="s">
        <v>12096</v>
      </c>
      <c r="BF1315" s="3" t="s">
        <v>12095</v>
      </c>
      <c r="BG1315" s="3" t="s">
        <v>12097</v>
      </c>
    </row>
    <row r="1316" spans="1:59" ht="60" x14ac:dyDescent="0.25">
      <c r="A1316" s="2" t="s">
        <v>59</v>
      </c>
      <c r="B1316" s="2" t="s">
        <v>60</v>
      </c>
      <c r="C1316" s="2" t="s">
        <v>12098</v>
      </c>
      <c r="D1316" s="2" t="s">
        <v>12099</v>
      </c>
      <c r="E1316" s="2" t="s">
        <v>12100</v>
      </c>
      <c r="F1316" s="3" t="s">
        <v>4181</v>
      </c>
      <c r="G1316" s="3" t="s">
        <v>62</v>
      </c>
      <c r="I1316" s="3" t="s">
        <v>63</v>
      </c>
      <c r="J1316" s="3" t="s">
        <v>63</v>
      </c>
      <c r="K1316" s="3" t="s">
        <v>64</v>
      </c>
      <c r="L1316" s="2" t="s">
        <v>10454</v>
      </c>
      <c r="M1316" s="2" t="s">
        <v>12101</v>
      </c>
      <c r="N1316" s="3" t="s">
        <v>204</v>
      </c>
      <c r="P1316" s="3" t="s">
        <v>548</v>
      </c>
      <c r="Q1316" s="2" t="s">
        <v>12102</v>
      </c>
      <c r="R1316" s="3" t="s">
        <v>67</v>
      </c>
      <c r="S1316" s="4">
        <v>21</v>
      </c>
      <c r="T1316" s="4">
        <v>50</v>
      </c>
      <c r="U1316" s="5" t="s">
        <v>7019</v>
      </c>
      <c r="V1316" s="5" t="s">
        <v>7019</v>
      </c>
      <c r="W1316" s="5" t="s">
        <v>69</v>
      </c>
      <c r="X1316" s="5" t="s">
        <v>69</v>
      </c>
      <c r="Y1316" s="4">
        <v>5</v>
      </c>
      <c r="Z1316" s="4">
        <v>2</v>
      </c>
      <c r="AA1316" s="4">
        <v>41</v>
      </c>
      <c r="AB1316" s="4">
        <v>2</v>
      </c>
      <c r="AC1316" s="4">
        <v>14</v>
      </c>
      <c r="AD1316" s="4">
        <v>1</v>
      </c>
      <c r="AE1316" s="4">
        <v>36</v>
      </c>
      <c r="AF1316" s="4">
        <v>1</v>
      </c>
      <c r="AG1316" s="4">
        <v>7</v>
      </c>
      <c r="AH1316" s="4">
        <v>0</v>
      </c>
      <c r="AI1316" s="4">
        <v>21</v>
      </c>
      <c r="AJ1316" s="4">
        <v>1</v>
      </c>
      <c r="AK1316" s="4">
        <v>16</v>
      </c>
      <c r="AL1316" s="4">
        <v>0</v>
      </c>
      <c r="AM1316" s="4">
        <v>13</v>
      </c>
      <c r="AN1316" s="4">
        <v>0</v>
      </c>
      <c r="AO1316" s="4">
        <v>0</v>
      </c>
      <c r="AP1316" s="4">
        <v>1</v>
      </c>
      <c r="AQ1316" s="4">
        <v>18</v>
      </c>
      <c r="AR1316" s="3" t="s">
        <v>63</v>
      </c>
      <c r="AS1316" s="3" t="s">
        <v>63</v>
      </c>
      <c r="AT1316" s="3" t="s">
        <v>63</v>
      </c>
      <c r="AV1316" s="6" t="str">
        <f>HYPERLINK("http://mcgill.on.worldcat.org/oclc/61735739","Catalog Record")</f>
        <v>Catalog Record</v>
      </c>
      <c r="AW1316" s="6" t="str">
        <f>HYPERLINK("http://www.worldcat.org/oclc/61735739","WorldCat Record")</f>
        <v>WorldCat Record</v>
      </c>
      <c r="AX1316" s="3" t="s">
        <v>12103</v>
      </c>
      <c r="AY1316" s="3" t="s">
        <v>12104</v>
      </c>
      <c r="AZ1316" s="3" t="s">
        <v>12105</v>
      </c>
      <c r="BA1316" s="3" t="s">
        <v>12105</v>
      </c>
      <c r="BB1316" s="3" t="s">
        <v>12106</v>
      </c>
      <c r="BC1316" s="3" t="s">
        <v>82</v>
      </c>
      <c r="BD1316" s="3" t="s">
        <v>70</v>
      </c>
      <c r="BE1316" s="3" t="s">
        <v>12107</v>
      </c>
      <c r="BF1316" s="3" t="s">
        <v>12106</v>
      </c>
      <c r="BG1316" s="3" t="s">
        <v>12108</v>
      </c>
    </row>
    <row r="1317" spans="1:59" ht="60" x14ac:dyDescent="0.25">
      <c r="A1317" s="2" t="s">
        <v>59</v>
      </c>
      <c r="B1317" s="2" t="s">
        <v>60</v>
      </c>
      <c r="C1317" s="2" t="s">
        <v>12098</v>
      </c>
      <c r="D1317" s="2" t="s">
        <v>12099</v>
      </c>
      <c r="E1317" s="2" t="s">
        <v>12100</v>
      </c>
      <c r="F1317" s="3" t="s">
        <v>2601</v>
      </c>
      <c r="G1317" s="3" t="s">
        <v>62</v>
      </c>
      <c r="I1317" s="3" t="s">
        <v>63</v>
      </c>
      <c r="J1317" s="3" t="s">
        <v>63</v>
      </c>
      <c r="K1317" s="3" t="s">
        <v>64</v>
      </c>
      <c r="L1317" s="2" t="s">
        <v>10454</v>
      </c>
      <c r="M1317" s="2" t="s">
        <v>12101</v>
      </c>
      <c r="N1317" s="3" t="s">
        <v>204</v>
      </c>
      <c r="P1317" s="3" t="s">
        <v>548</v>
      </c>
      <c r="Q1317" s="2" t="s">
        <v>12102</v>
      </c>
      <c r="R1317" s="3" t="s">
        <v>67</v>
      </c>
      <c r="S1317" s="4">
        <v>29</v>
      </c>
      <c r="T1317" s="4">
        <v>50</v>
      </c>
      <c r="U1317" s="5" t="s">
        <v>12109</v>
      </c>
      <c r="V1317" s="5" t="s">
        <v>7019</v>
      </c>
      <c r="W1317" s="5" t="s">
        <v>69</v>
      </c>
      <c r="X1317" s="5" t="s">
        <v>69</v>
      </c>
      <c r="Y1317" s="4">
        <v>5</v>
      </c>
      <c r="Z1317" s="4">
        <v>2</v>
      </c>
      <c r="AA1317" s="4">
        <v>41</v>
      </c>
      <c r="AB1317" s="4">
        <v>2</v>
      </c>
      <c r="AC1317" s="4">
        <v>14</v>
      </c>
      <c r="AD1317" s="4">
        <v>1</v>
      </c>
      <c r="AE1317" s="4">
        <v>36</v>
      </c>
      <c r="AF1317" s="4">
        <v>1</v>
      </c>
      <c r="AG1317" s="4">
        <v>7</v>
      </c>
      <c r="AH1317" s="4">
        <v>0</v>
      </c>
      <c r="AI1317" s="4">
        <v>21</v>
      </c>
      <c r="AJ1317" s="4">
        <v>1</v>
      </c>
      <c r="AK1317" s="4">
        <v>16</v>
      </c>
      <c r="AL1317" s="4">
        <v>0</v>
      </c>
      <c r="AM1317" s="4">
        <v>13</v>
      </c>
      <c r="AN1317" s="4">
        <v>0</v>
      </c>
      <c r="AO1317" s="4">
        <v>0</v>
      </c>
      <c r="AP1317" s="4">
        <v>1</v>
      </c>
      <c r="AQ1317" s="4">
        <v>18</v>
      </c>
      <c r="AR1317" s="3" t="s">
        <v>63</v>
      </c>
      <c r="AS1317" s="3" t="s">
        <v>63</v>
      </c>
      <c r="AT1317" s="3" t="s">
        <v>63</v>
      </c>
      <c r="AV1317" s="6" t="str">
        <f>HYPERLINK("http://mcgill.on.worldcat.org/oclc/61735739","Catalog Record")</f>
        <v>Catalog Record</v>
      </c>
      <c r="AW1317" s="6" t="str">
        <f>HYPERLINK("http://www.worldcat.org/oclc/61735739","WorldCat Record")</f>
        <v>WorldCat Record</v>
      </c>
      <c r="AX1317" s="3" t="s">
        <v>12103</v>
      </c>
      <c r="AY1317" s="3" t="s">
        <v>12104</v>
      </c>
      <c r="AZ1317" s="3" t="s">
        <v>12105</v>
      </c>
      <c r="BA1317" s="3" t="s">
        <v>12105</v>
      </c>
      <c r="BB1317" s="3" t="s">
        <v>12110</v>
      </c>
      <c r="BC1317" s="3" t="s">
        <v>82</v>
      </c>
      <c r="BD1317" s="3" t="s">
        <v>70</v>
      </c>
      <c r="BE1317" s="3" t="s">
        <v>12107</v>
      </c>
      <c r="BF1317" s="3" t="s">
        <v>12110</v>
      </c>
      <c r="BG1317" s="3" t="s">
        <v>12111</v>
      </c>
    </row>
    <row r="1318" spans="1:59" ht="75" x14ac:dyDescent="0.25">
      <c r="A1318" s="2" t="s">
        <v>59</v>
      </c>
      <c r="B1318" s="2" t="s">
        <v>60</v>
      </c>
      <c r="C1318" s="2" t="s">
        <v>12112</v>
      </c>
      <c r="D1318" s="2" t="s">
        <v>12113</v>
      </c>
      <c r="E1318" s="2" t="s">
        <v>12114</v>
      </c>
      <c r="G1318" s="3" t="s">
        <v>63</v>
      </c>
      <c r="I1318" s="3" t="s">
        <v>63</v>
      </c>
      <c r="J1318" s="3" t="s">
        <v>63</v>
      </c>
      <c r="K1318" s="3" t="s">
        <v>64</v>
      </c>
      <c r="L1318" s="2" t="s">
        <v>10454</v>
      </c>
      <c r="M1318" s="2" t="s">
        <v>12115</v>
      </c>
      <c r="N1318" s="3" t="s">
        <v>1418</v>
      </c>
      <c r="P1318" s="3" t="s">
        <v>66</v>
      </c>
      <c r="R1318" s="3" t="s">
        <v>67</v>
      </c>
      <c r="S1318" s="4">
        <v>11</v>
      </c>
      <c r="T1318" s="4">
        <v>11</v>
      </c>
      <c r="U1318" s="5" t="s">
        <v>1420</v>
      </c>
      <c r="V1318" s="5" t="s">
        <v>1420</v>
      </c>
      <c r="W1318" s="5" t="s">
        <v>69</v>
      </c>
      <c r="X1318" s="5" t="s">
        <v>69</v>
      </c>
      <c r="Y1318" s="4">
        <v>369</v>
      </c>
      <c r="Z1318" s="4">
        <v>11</v>
      </c>
      <c r="AA1318" s="4">
        <v>31</v>
      </c>
      <c r="AB1318" s="4">
        <v>1</v>
      </c>
      <c r="AC1318" s="4">
        <v>1</v>
      </c>
      <c r="AD1318" s="4">
        <v>90</v>
      </c>
      <c r="AE1318" s="4">
        <v>121</v>
      </c>
      <c r="AF1318" s="4">
        <v>0</v>
      </c>
      <c r="AG1318" s="4">
        <v>0</v>
      </c>
      <c r="AH1318" s="4">
        <v>82</v>
      </c>
      <c r="AI1318" s="4">
        <v>107</v>
      </c>
      <c r="AJ1318" s="4">
        <v>7</v>
      </c>
      <c r="AK1318" s="4">
        <v>20</v>
      </c>
      <c r="AL1318" s="4">
        <v>46</v>
      </c>
      <c r="AM1318" s="4">
        <v>58</v>
      </c>
      <c r="AN1318" s="4">
        <v>0</v>
      </c>
      <c r="AO1318" s="4">
        <v>0</v>
      </c>
      <c r="AP1318" s="4">
        <v>7</v>
      </c>
      <c r="AQ1318" s="4">
        <v>21</v>
      </c>
      <c r="AR1318" s="3" t="s">
        <v>63</v>
      </c>
      <c r="AS1318" s="3" t="s">
        <v>63</v>
      </c>
      <c r="AT1318" s="3" t="s">
        <v>62</v>
      </c>
      <c r="AU1318" s="6" t="str">
        <f>HYPERLINK("http://catalog.hathitrust.org/Record/000826049","HathiTrust Record")</f>
        <v>HathiTrust Record</v>
      </c>
      <c r="AV1318" s="6" t="str">
        <f>HYPERLINK("http://mcgill.on.worldcat.org/oclc/15084697","Catalog Record")</f>
        <v>Catalog Record</v>
      </c>
      <c r="AW1318" s="6" t="str">
        <f>HYPERLINK("http://www.worldcat.org/oclc/15084697","WorldCat Record")</f>
        <v>WorldCat Record</v>
      </c>
      <c r="AX1318" s="3" t="s">
        <v>12116</v>
      </c>
      <c r="AY1318" s="3" t="s">
        <v>12117</v>
      </c>
      <c r="AZ1318" s="3" t="s">
        <v>12118</v>
      </c>
      <c r="BA1318" s="3" t="s">
        <v>12118</v>
      </c>
      <c r="BB1318" s="3" t="s">
        <v>12119</v>
      </c>
      <c r="BC1318" s="3" t="s">
        <v>82</v>
      </c>
      <c r="BD1318" s="3" t="s">
        <v>70</v>
      </c>
      <c r="BE1318" s="3" t="s">
        <v>12120</v>
      </c>
      <c r="BF1318" s="3" t="s">
        <v>12119</v>
      </c>
      <c r="BG1318" s="3" t="s">
        <v>12121</v>
      </c>
    </row>
    <row r="1319" spans="1:59" ht="60" x14ac:dyDescent="0.25">
      <c r="A1319" s="2" t="s">
        <v>59</v>
      </c>
      <c r="B1319" s="2" t="s">
        <v>60</v>
      </c>
      <c r="C1319" s="2" t="s">
        <v>12122</v>
      </c>
      <c r="D1319" s="2" t="s">
        <v>12123</v>
      </c>
      <c r="E1319" s="2" t="s">
        <v>12124</v>
      </c>
      <c r="G1319" s="3" t="s">
        <v>63</v>
      </c>
      <c r="I1319" s="3" t="s">
        <v>63</v>
      </c>
      <c r="J1319" s="3" t="s">
        <v>62</v>
      </c>
      <c r="K1319" s="3" t="s">
        <v>64</v>
      </c>
      <c r="L1319" s="2" t="s">
        <v>10454</v>
      </c>
      <c r="M1319" s="2" t="s">
        <v>12125</v>
      </c>
      <c r="N1319" s="3" t="s">
        <v>2459</v>
      </c>
      <c r="P1319" s="3" t="s">
        <v>66</v>
      </c>
      <c r="Q1319" s="2" t="s">
        <v>12126</v>
      </c>
      <c r="R1319" s="3" t="s">
        <v>67</v>
      </c>
      <c r="S1319" s="4">
        <v>6</v>
      </c>
      <c r="T1319" s="4">
        <v>6</v>
      </c>
      <c r="U1319" s="5" t="s">
        <v>12127</v>
      </c>
      <c r="V1319" s="5" t="s">
        <v>12127</v>
      </c>
      <c r="W1319" s="5" t="s">
        <v>69</v>
      </c>
      <c r="X1319" s="5" t="s">
        <v>69</v>
      </c>
      <c r="Y1319" s="4">
        <v>140</v>
      </c>
      <c r="Z1319" s="4">
        <v>11</v>
      </c>
      <c r="AA1319" s="4">
        <v>59</v>
      </c>
      <c r="AB1319" s="4">
        <v>1</v>
      </c>
      <c r="AC1319" s="4">
        <v>4</v>
      </c>
      <c r="AD1319" s="4">
        <v>41</v>
      </c>
      <c r="AE1319" s="4">
        <v>142</v>
      </c>
      <c r="AF1319" s="4">
        <v>0</v>
      </c>
      <c r="AG1319" s="4">
        <v>2</v>
      </c>
      <c r="AH1319" s="4">
        <v>39</v>
      </c>
      <c r="AI1319" s="4">
        <v>110</v>
      </c>
      <c r="AJ1319" s="4">
        <v>7</v>
      </c>
      <c r="AK1319" s="4">
        <v>21</v>
      </c>
      <c r="AL1319" s="4">
        <v>27</v>
      </c>
      <c r="AM1319" s="4">
        <v>62</v>
      </c>
      <c r="AN1319" s="4">
        <v>0</v>
      </c>
      <c r="AO1319" s="4">
        <v>0</v>
      </c>
      <c r="AP1319" s="4">
        <v>7</v>
      </c>
      <c r="AQ1319" s="4">
        <v>35</v>
      </c>
      <c r="AR1319" s="3" t="s">
        <v>63</v>
      </c>
      <c r="AS1319" s="3" t="s">
        <v>63</v>
      </c>
      <c r="AT1319" s="3" t="s">
        <v>63</v>
      </c>
      <c r="AV1319" s="6" t="str">
        <f>HYPERLINK("http://mcgill.on.worldcat.org/oclc/181069446","Catalog Record")</f>
        <v>Catalog Record</v>
      </c>
      <c r="AW1319" s="6" t="str">
        <f>HYPERLINK("http://www.worldcat.org/oclc/181069446","WorldCat Record")</f>
        <v>WorldCat Record</v>
      </c>
      <c r="AX1319" s="3" t="s">
        <v>12128</v>
      </c>
      <c r="AY1319" s="3" t="s">
        <v>12129</v>
      </c>
      <c r="AZ1319" s="3" t="s">
        <v>12130</v>
      </c>
      <c r="BA1319" s="3" t="s">
        <v>12130</v>
      </c>
      <c r="BB1319" s="3" t="s">
        <v>12131</v>
      </c>
      <c r="BC1319" s="3" t="s">
        <v>82</v>
      </c>
      <c r="BD1319" s="3" t="s">
        <v>70</v>
      </c>
      <c r="BE1319" s="3" t="s">
        <v>12132</v>
      </c>
      <c r="BF1319" s="3" t="s">
        <v>12131</v>
      </c>
      <c r="BG1319" s="3" t="s">
        <v>12133</v>
      </c>
    </row>
    <row r="1320" spans="1:59" ht="60" x14ac:dyDescent="0.25">
      <c r="A1320" s="2" t="s">
        <v>59</v>
      </c>
      <c r="B1320" s="2" t="s">
        <v>60</v>
      </c>
      <c r="C1320" s="2" t="s">
        <v>12134</v>
      </c>
      <c r="D1320" s="2" t="s">
        <v>12135</v>
      </c>
      <c r="E1320" s="2" t="s">
        <v>12136</v>
      </c>
      <c r="G1320" s="3" t="s">
        <v>63</v>
      </c>
      <c r="I1320" s="3" t="s">
        <v>63</v>
      </c>
      <c r="J1320" s="3" t="s">
        <v>62</v>
      </c>
      <c r="K1320" s="3" t="s">
        <v>64</v>
      </c>
      <c r="L1320" s="2" t="s">
        <v>10688</v>
      </c>
      <c r="M1320" s="2" t="s">
        <v>12137</v>
      </c>
      <c r="N1320" s="3" t="s">
        <v>629</v>
      </c>
      <c r="P1320" s="3" t="s">
        <v>66</v>
      </c>
      <c r="R1320" s="3" t="s">
        <v>67</v>
      </c>
      <c r="S1320" s="4">
        <v>6</v>
      </c>
      <c r="T1320" s="4">
        <v>6</v>
      </c>
      <c r="U1320" s="5" t="s">
        <v>11748</v>
      </c>
      <c r="V1320" s="5" t="s">
        <v>11748</v>
      </c>
      <c r="W1320" s="5" t="s">
        <v>69</v>
      </c>
      <c r="X1320" s="5" t="s">
        <v>69</v>
      </c>
      <c r="Y1320" s="4">
        <v>176</v>
      </c>
      <c r="Z1320" s="4">
        <v>17</v>
      </c>
      <c r="AA1320" s="4">
        <v>59</v>
      </c>
      <c r="AB1320" s="4">
        <v>1</v>
      </c>
      <c r="AC1320" s="4">
        <v>4</v>
      </c>
      <c r="AD1320" s="4">
        <v>54</v>
      </c>
      <c r="AE1320" s="4">
        <v>142</v>
      </c>
      <c r="AF1320" s="4">
        <v>0</v>
      </c>
      <c r="AG1320" s="4">
        <v>2</v>
      </c>
      <c r="AH1320" s="4">
        <v>47</v>
      </c>
      <c r="AI1320" s="4">
        <v>110</v>
      </c>
      <c r="AJ1320" s="4">
        <v>7</v>
      </c>
      <c r="AK1320" s="4">
        <v>21</v>
      </c>
      <c r="AL1320" s="4">
        <v>32</v>
      </c>
      <c r="AM1320" s="4">
        <v>62</v>
      </c>
      <c r="AN1320" s="4">
        <v>0</v>
      </c>
      <c r="AO1320" s="4">
        <v>0</v>
      </c>
      <c r="AP1320" s="4">
        <v>9</v>
      </c>
      <c r="AQ1320" s="4">
        <v>35</v>
      </c>
      <c r="AR1320" s="3" t="s">
        <v>63</v>
      </c>
      <c r="AS1320" s="3" t="s">
        <v>63</v>
      </c>
      <c r="AT1320" s="3" t="s">
        <v>63</v>
      </c>
      <c r="AV1320" s="6" t="str">
        <f>HYPERLINK("http://mcgill.on.worldcat.org/oclc/701328644","Catalog Record")</f>
        <v>Catalog Record</v>
      </c>
      <c r="AW1320" s="6" t="str">
        <f>HYPERLINK("http://www.worldcat.org/oclc/701328644","WorldCat Record")</f>
        <v>WorldCat Record</v>
      </c>
      <c r="AX1320" s="3" t="s">
        <v>12128</v>
      </c>
      <c r="AY1320" s="3" t="s">
        <v>12138</v>
      </c>
      <c r="AZ1320" s="3" t="s">
        <v>12139</v>
      </c>
      <c r="BA1320" s="3" t="s">
        <v>12139</v>
      </c>
      <c r="BB1320" s="3" t="s">
        <v>12140</v>
      </c>
      <c r="BC1320" s="3" t="s">
        <v>82</v>
      </c>
      <c r="BD1320" s="3" t="s">
        <v>70</v>
      </c>
      <c r="BE1320" s="3" t="s">
        <v>12141</v>
      </c>
      <c r="BF1320" s="3" t="s">
        <v>12140</v>
      </c>
      <c r="BG1320" s="3" t="s">
        <v>12142</v>
      </c>
    </row>
    <row r="1321" spans="1:59" ht="60" x14ac:dyDescent="0.25">
      <c r="A1321" s="2" t="s">
        <v>59</v>
      </c>
      <c r="B1321" s="2" t="s">
        <v>60</v>
      </c>
      <c r="C1321" s="2" t="s">
        <v>12143</v>
      </c>
      <c r="D1321" s="2" t="s">
        <v>12144</v>
      </c>
      <c r="E1321" s="2" t="s">
        <v>12145</v>
      </c>
      <c r="G1321" s="3" t="s">
        <v>63</v>
      </c>
      <c r="I1321" s="3" t="s">
        <v>63</v>
      </c>
      <c r="J1321" s="3" t="s">
        <v>63</v>
      </c>
      <c r="K1321" s="3" t="s">
        <v>64</v>
      </c>
      <c r="L1321" s="2" t="s">
        <v>10454</v>
      </c>
      <c r="M1321" s="2" t="s">
        <v>12146</v>
      </c>
      <c r="N1321" s="3" t="s">
        <v>261</v>
      </c>
      <c r="P1321" s="3" t="s">
        <v>66</v>
      </c>
      <c r="Q1321" s="2" t="s">
        <v>11759</v>
      </c>
      <c r="R1321" s="3" t="s">
        <v>67</v>
      </c>
      <c r="S1321" s="4">
        <v>15</v>
      </c>
      <c r="T1321" s="4">
        <v>15</v>
      </c>
      <c r="U1321" s="5" t="s">
        <v>8324</v>
      </c>
      <c r="V1321" s="5" t="s">
        <v>8324</v>
      </c>
      <c r="W1321" s="5" t="s">
        <v>69</v>
      </c>
      <c r="X1321" s="5" t="s">
        <v>69</v>
      </c>
      <c r="Y1321" s="4">
        <v>124</v>
      </c>
      <c r="Z1321" s="4">
        <v>12</v>
      </c>
      <c r="AA1321" s="4">
        <v>16</v>
      </c>
      <c r="AB1321" s="4">
        <v>2</v>
      </c>
      <c r="AC1321" s="4">
        <v>4</v>
      </c>
      <c r="AD1321" s="4">
        <v>39</v>
      </c>
      <c r="AE1321" s="4">
        <v>43</v>
      </c>
      <c r="AF1321" s="4">
        <v>0</v>
      </c>
      <c r="AG1321" s="4">
        <v>0</v>
      </c>
      <c r="AH1321" s="4">
        <v>37</v>
      </c>
      <c r="AI1321" s="4">
        <v>41</v>
      </c>
      <c r="AJ1321" s="4">
        <v>6</v>
      </c>
      <c r="AK1321" s="4">
        <v>7</v>
      </c>
      <c r="AL1321" s="4">
        <v>27</v>
      </c>
      <c r="AM1321" s="4">
        <v>27</v>
      </c>
      <c r="AN1321" s="4">
        <v>0</v>
      </c>
      <c r="AO1321" s="4">
        <v>0</v>
      </c>
      <c r="AP1321" s="4">
        <v>6</v>
      </c>
      <c r="AQ1321" s="4">
        <v>7</v>
      </c>
      <c r="AR1321" s="3" t="s">
        <v>63</v>
      </c>
      <c r="AS1321" s="3" t="s">
        <v>63</v>
      </c>
      <c r="AT1321" s="3" t="s">
        <v>63</v>
      </c>
      <c r="AV1321" s="6" t="str">
        <f>HYPERLINK("http://mcgill.on.worldcat.org/oclc/148314132","Catalog Record")</f>
        <v>Catalog Record</v>
      </c>
      <c r="AW1321" s="6" t="str">
        <f>HYPERLINK("http://www.worldcat.org/oclc/148314132","WorldCat Record")</f>
        <v>WorldCat Record</v>
      </c>
      <c r="AX1321" s="3" t="s">
        <v>12147</v>
      </c>
      <c r="AY1321" s="3" t="s">
        <v>12148</v>
      </c>
      <c r="AZ1321" s="3" t="s">
        <v>12149</v>
      </c>
      <c r="BA1321" s="3" t="s">
        <v>12149</v>
      </c>
      <c r="BB1321" s="3" t="s">
        <v>12150</v>
      </c>
      <c r="BC1321" s="3" t="s">
        <v>82</v>
      </c>
      <c r="BD1321" s="3" t="s">
        <v>70</v>
      </c>
      <c r="BE1321" s="3" t="s">
        <v>12151</v>
      </c>
      <c r="BF1321" s="3" t="s">
        <v>12150</v>
      </c>
      <c r="BG1321" s="3" t="s">
        <v>12152</v>
      </c>
    </row>
    <row r="1322" spans="1:59" ht="60" x14ac:dyDescent="0.25">
      <c r="A1322" s="2" t="s">
        <v>59</v>
      </c>
      <c r="B1322" s="2" t="s">
        <v>60</v>
      </c>
      <c r="C1322" s="2" t="s">
        <v>12153</v>
      </c>
      <c r="D1322" s="2" t="s">
        <v>12154</v>
      </c>
      <c r="E1322" s="2" t="s">
        <v>12155</v>
      </c>
      <c r="G1322" s="3" t="s">
        <v>63</v>
      </c>
      <c r="I1322" s="3" t="s">
        <v>62</v>
      </c>
      <c r="J1322" s="3" t="s">
        <v>62</v>
      </c>
      <c r="K1322" s="3" t="s">
        <v>64</v>
      </c>
      <c r="L1322" s="2" t="s">
        <v>10454</v>
      </c>
      <c r="M1322" s="2" t="s">
        <v>12156</v>
      </c>
      <c r="N1322" s="3" t="s">
        <v>12157</v>
      </c>
      <c r="P1322" s="3" t="s">
        <v>66</v>
      </c>
      <c r="Q1322" s="2" t="s">
        <v>12158</v>
      </c>
      <c r="R1322" s="3" t="s">
        <v>67</v>
      </c>
      <c r="S1322" s="4">
        <v>0</v>
      </c>
      <c r="T1322" s="4">
        <v>22</v>
      </c>
      <c r="V1322" s="5" t="s">
        <v>12159</v>
      </c>
      <c r="W1322" s="5" t="s">
        <v>69</v>
      </c>
      <c r="X1322" s="5" t="s">
        <v>69</v>
      </c>
      <c r="Y1322" s="4">
        <v>60</v>
      </c>
      <c r="Z1322" s="4">
        <v>2</v>
      </c>
      <c r="AA1322" s="4">
        <v>95</v>
      </c>
      <c r="AB1322" s="4">
        <v>1</v>
      </c>
      <c r="AC1322" s="4">
        <v>10</v>
      </c>
      <c r="AD1322" s="4">
        <v>11</v>
      </c>
      <c r="AE1322" s="4">
        <v>155</v>
      </c>
      <c r="AF1322" s="4">
        <v>0</v>
      </c>
      <c r="AG1322" s="4">
        <v>3</v>
      </c>
      <c r="AH1322" s="4">
        <v>10</v>
      </c>
      <c r="AI1322" s="4">
        <v>114</v>
      </c>
      <c r="AJ1322" s="4">
        <v>1</v>
      </c>
      <c r="AK1322" s="4">
        <v>26</v>
      </c>
      <c r="AL1322" s="4">
        <v>9</v>
      </c>
      <c r="AM1322" s="4">
        <v>63</v>
      </c>
      <c r="AN1322" s="4">
        <v>4</v>
      </c>
      <c r="AO1322" s="4">
        <v>13</v>
      </c>
      <c r="AP1322" s="4">
        <v>1</v>
      </c>
      <c r="AQ1322" s="4">
        <v>46</v>
      </c>
      <c r="AR1322" s="3" t="s">
        <v>63</v>
      </c>
      <c r="AS1322" s="3" t="s">
        <v>63</v>
      </c>
      <c r="AT1322" s="3" t="s">
        <v>63</v>
      </c>
      <c r="AU1322" s="6" t="str">
        <f>HYPERLINK("http://catalog.hathitrust.org/Record/102366146","HathiTrust Record")</f>
        <v>HathiTrust Record</v>
      </c>
      <c r="AV1322" s="6" t="str">
        <f>HYPERLINK("http://mcgill.on.worldcat.org/oclc/795428","Catalog Record")</f>
        <v>Catalog Record</v>
      </c>
      <c r="AW1322" s="6" t="str">
        <f>HYPERLINK("http://www.worldcat.org/oclc/795428","WorldCat Record")</f>
        <v>WorldCat Record</v>
      </c>
      <c r="AX1322" s="3" t="s">
        <v>12160</v>
      </c>
      <c r="AY1322" s="3" t="s">
        <v>12161</v>
      </c>
      <c r="AZ1322" s="3" t="s">
        <v>12162</v>
      </c>
      <c r="BA1322" s="3" t="s">
        <v>12162</v>
      </c>
      <c r="BB1322" s="3" t="s">
        <v>12163</v>
      </c>
      <c r="BC1322" s="3" t="s">
        <v>82</v>
      </c>
      <c r="BD1322" s="3" t="s">
        <v>70</v>
      </c>
      <c r="BE1322" s="3" t="s">
        <v>12164</v>
      </c>
      <c r="BF1322" s="3" t="s">
        <v>12163</v>
      </c>
      <c r="BG1322" s="3" t="s">
        <v>12165</v>
      </c>
    </row>
    <row r="1323" spans="1:59" ht="60" x14ac:dyDescent="0.25">
      <c r="A1323" s="2" t="s">
        <v>59</v>
      </c>
      <c r="B1323" s="2" t="s">
        <v>60</v>
      </c>
      <c r="C1323" s="2" t="s">
        <v>12153</v>
      </c>
      <c r="D1323" s="2" t="s">
        <v>12154</v>
      </c>
      <c r="E1323" s="2" t="s">
        <v>12155</v>
      </c>
      <c r="G1323" s="3" t="s">
        <v>63</v>
      </c>
      <c r="I1323" s="3" t="s">
        <v>62</v>
      </c>
      <c r="J1323" s="3" t="s">
        <v>62</v>
      </c>
      <c r="K1323" s="3" t="s">
        <v>64</v>
      </c>
      <c r="L1323" s="2" t="s">
        <v>10454</v>
      </c>
      <c r="M1323" s="2" t="s">
        <v>12156</v>
      </c>
      <c r="N1323" s="3" t="s">
        <v>12157</v>
      </c>
      <c r="P1323" s="3" t="s">
        <v>66</v>
      </c>
      <c r="Q1323" s="2" t="s">
        <v>12158</v>
      </c>
      <c r="R1323" s="3" t="s">
        <v>67</v>
      </c>
      <c r="S1323" s="4">
        <v>22</v>
      </c>
      <c r="T1323" s="4">
        <v>22</v>
      </c>
      <c r="U1323" s="5" t="s">
        <v>12159</v>
      </c>
      <c r="V1323" s="5" t="s">
        <v>12159</v>
      </c>
      <c r="W1323" s="5" t="s">
        <v>69</v>
      </c>
      <c r="X1323" s="5" t="s">
        <v>69</v>
      </c>
      <c r="Y1323" s="4">
        <v>60</v>
      </c>
      <c r="Z1323" s="4">
        <v>2</v>
      </c>
      <c r="AA1323" s="4">
        <v>95</v>
      </c>
      <c r="AB1323" s="4">
        <v>1</v>
      </c>
      <c r="AC1323" s="4">
        <v>10</v>
      </c>
      <c r="AD1323" s="4">
        <v>11</v>
      </c>
      <c r="AE1323" s="4">
        <v>155</v>
      </c>
      <c r="AF1323" s="4">
        <v>0</v>
      </c>
      <c r="AG1323" s="4">
        <v>3</v>
      </c>
      <c r="AH1323" s="4">
        <v>10</v>
      </c>
      <c r="AI1323" s="4">
        <v>114</v>
      </c>
      <c r="AJ1323" s="4">
        <v>1</v>
      </c>
      <c r="AK1323" s="4">
        <v>26</v>
      </c>
      <c r="AL1323" s="4">
        <v>9</v>
      </c>
      <c r="AM1323" s="4">
        <v>63</v>
      </c>
      <c r="AN1323" s="4">
        <v>4</v>
      </c>
      <c r="AO1323" s="4">
        <v>13</v>
      </c>
      <c r="AP1323" s="4">
        <v>1</v>
      </c>
      <c r="AQ1323" s="4">
        <v>46</v>
      </c>
      <c r="AR1323" s="3" t="s">
        <v>63</v>
      </c>
      <c r="AS1323" s="3" t="s">
        <v>63</v>
      </c>
      <c r="AT1323" s="3" t="s">
        <v>63</v>
      </c>
      <c r="AU1323" s="6" t="str">
        <f>HYPERLINK("http://catalog.hathitrust.org/Record/102366146","HathiTrust Record")</f>
        <v>HathiTrust Record</v>
      </c>
      <c r="AV1323" s="6" t="str">
        <f>HYPERLINK("http://mcgill.on.worldcat.org/oclc/795428","Catalog Record")</f>
        <v>Catalog Record</v>
      </c>
      <c r="AW1323" s="6" t="str">
        <f>HYPERLINK("http://www.worldcat.org/oclc/795428","WorldCat Record")</f>
        <v>WorldCat Record</v>
      </c>
      <c r="AX1323" s="3" t="s">
        <v>12160</v>
      </c>
      <c r="AY1323" s="3" t="s">
        <v>12161</v>
      </c>
      <c r="AZ1323" s="3" t="s">
        <v>12162</v>
      </c>
      <c r="BA1323" s="3" t="s">
        <v>12162</v>
      </c>
      <c r="BB1323" s="3" t="s">
        <v>12166</v>
      </c>
      <c r="BC1323" s="3" t="s">
        <v>82</v>
      </c>
      <c r="BD1323" s="3" t="s">
        <v>70</v>
      </c>
      <c r="BE1323" s="3" t="s">
        <v>12164</v>
      </c>
      <c r="BF1323" s="3" t="s">
        <v>12166</v>
      </c>
      <c r="BG1323" s="3" t="s">
        <v>12167</v>
      </c>
    </row>
    <row r="1324" spans="1:59" ht="60" x14ac:dyDescent="0.25">
      <c r="A1324" s="2" t="s">
        <v>59</v>
      </c>
      <c r="B1324" s="2" t="s">
        <v>60</v>
      </c>
      <c r="C1324" s="2" t="s">
        <v>12168</v>
      </c>
      <c r="D1324" s="2" t="s">
        <v>12169</v>
      </c>
      <c r="E1324" s="2" t="s">
        <v>12170</v>
      </c>
      <c r="G1324" s="3" t="s">
        <v>63</v>
      </c>
      <c r="I1324" s="3" t="s">
        <v>62</v>
      </c>
      <c r="J1324" s="3" t="s">
        <v>62</v>
      </c>
      <c r="K1324" s="3" t="s">
        <v>64</v>
      </c>
      <c r="L1324" s="2" t="s">
        <v>10454</v>
      </c>
      <c r="M1324" s="2" t="s">
        <v>12171</v>
      </c>
      <c r="N1324" s="3" t="s">
        <v>2225</v>
      </c>
      <c r="P1324" s="3" t="s">
        <v>66</v>
      </c>
      <c r="Q1324" s="2" t="s">
        <v>12172</v>
      </c>
      <c r="R1324" s="3" t="s">
        <v>67</v>
      </c>
      <c r="S1324" s="4">
        <v>9</v>
      </c>
      <c r="T1324" s="4">
        <v>9</v>
      </c>
      <c r="U1324" s="5" t="s">
        <v>3499</v>
      </c>
      <c r="V1324" s="5" t="s">
        <v>3499</v>
      </c>
      <c r="W1324" s="5" t="s">
        <v>69</v>
      </c>
      <c r="X1324" s="5" t="s">
        <v>69</v>
      </c>
      <c r="Y1324" s="4">
        <v>367</v>
      </c>
      <c r="Z1324" s="4">
        <v>17</v>
      </c>
      <c r="AA1324" s="4">
        <v>95</v>
      </c>
      <c r="AB1324" s="4">
        <v>2</v>
      </c>
      <c r="AC1324" s="4">
        <v>10</v>
      </c>
      <c r="AD1324" s="4">
        <v>53</v>
      </c>
      <c r="AE1324" s="4">
        <v>155</v>
      </c>
      <c r="AF1324" s="4">
        <v>0</v>
      </c>
      <c r="AG1324" s="4">
        <v>3</v>
      </c>
      <c r="AH1324" s="4">
        <v>45</v>
      </c>
      <c r="AI1324" s="4">
        <v>114</v>
      </c>
      <c r="AJ1324" s="4">
        <v>5</v>
      </c>
      <c r="AK1324" s="4">
        <v>26</v>
      </c>
      <c r="AL1324" s="4">
        <v>24</v>
      </c>
      <c r="AM1324" s="4">
        <v>63</v>
      </c>
      <c r="AN1324" s="4">
        <v>0</v>
      </c>
      <c r="AO1324" s="4">
        <v>13</v>
      </c>
      <c r="AP1324" s="4">
        <v>8</v>
      </c>
      <c r="AQ1324" s="4">
        <v>46</v>
      </c>
      <c r="AR1324" s="3" t="s">
        <v>63</v>
      </c>
      <c r="AS1324" s="3" t="s">
        <v>63</v>
      </c>
      <c r="AT1324" s="3" t="s">
        <v>62</v>
      </c>
      <c r="AU1324" s="6" t="str">
        <f>HYPERLINK("http://catalog.hathitrust.org/Record/004424020","HathiTrust Record")</f>
        <v>HathiTrust Record</v>
      </c>
      <c r="AV1324" s="6" t="str">
        <f>HYPERLINK("http://mcgill.on.worldcat.org/oclc/319683","Catalog Record")</f>
        <v>Catalog Record</v>
      </c>
      <c r="AW1324" s="6" t="str">
        <f>HYPERLINK("http://www.worldcat.org/oclc/319683","WorldCat Record")</f>
        <v>WorldCat Record</v>
      </c>
      <c r="AX1324" s="3" t="s">
        <v>12160</v>
      </c>
      <c r="AY1324" s="3" t="s">
        <v>12173</v>
      </c>
      <c r="AZ1324" s="3" t="s">
        <v>12174</v>
      </c>
      <c r="BA1324" s="3" t="s">
        <v>12174</v>
      </c>
      <c r="BB1324" s="3" t="s">
        <v>12175</v>
      </c>
      <c r="BC1324" s="3" t="s">
        <v>82</v>
      </c>
      <c r="BD1324" s="3" t="s">
        <v>70</v>
      </c>
      <c r="BF1324" s="3" t="s">
        <v>12175</v>
      </c>
      <c r="BG1324" s="3" t="s">
        <v>12176</v>
      </c>
    </row>
    <row r="1325" spans="1:59" ht="60" x14ac:dyDescent="0.25">
      <c r="A1325" s="2" t="s">
        <v>59</v>
      </c>
      <c r="B1325" s="2" t="s">
        <v>60</v>
      </c>
      <c r="C1325" s="2" t="s">
        <v>12177</v>
      </c>
      <c r="D1325" s="2" t="s">
        <v>12178</v>
      </c>
      <c r="E1325" s="2" t="s">
        <v>12179</v>
      </c>
      <c r="G1325" s="3" t="s">
        <v>63</v>
      </c>
      <c r="I1325" s="3" t="s">
        <v>63</v>
      </c>
      <c r="J1325" s="3" t="s">
        <v>62</v>
      </c>
      <c r="K1325" s="3" t="s">
        <v>64</v>
      </c>
      <c r="L1325" s="2" t="s">
        <v>10454</v>
      </c>
      <c r="M1325" s="2" t="s">
        <v>12180</v>
      </c>
      <c r="N1325" s="3" t="s">
        <v>3640</v>
      </c>
      <c r="P1325" s="3" t="s">
        <v>66</v>
      </c>
      <c r="Q1325" s="2" t="s">
        <v>11721</v>
      </c>
      <c r="R1325" s="3" t="s">
        <v>67</v>
      </c>
      <c r="S1325" s="4">
        <v>44</v>
      </c>
      <c r="T1325" s="4">
        <v>44</v>
      </c>
      <c r="U1325" s="5" t="s">
        <v>12181</v>
      </c>
      <c r="V1325" s="5" t="s">
        <v>12181</v>
      </c>
      <c r="W1325" s="5" t="s">
        <v>69</v>
      </c>
      <c r="X1325" s="5" t="s">
        <v>69</v>
      </c>
      <c r="Y1325" s="4">
        <v>210</v>
      </c>
      <c r="Z1325" s="4">
        <v>10</v>
      </c>
      <c r="AA1325" s="4">
        <v>95</v>
      </c>
      <c r="AB1325" s="4">
        <v>1</v>
      </c>
      <c r="AC1325" s="4">
        <v>10</v>
      </c>
      <c r="AD1325" s="4">
        <v>39</v>
      </c>
      <c r="AE1325" s="4">
        <v>155</v>
      </c>
      <c r="AF1325" s="4">
        <v>0</v>
      </c>
      <c r="AG1325" s="4">
        <v>3</v>
      </c>
      <c r="AH1325" s="4">
        <v>35</v>
      </c>
      <c r="AI1325" s="4">
        <v>114</v>
      </c>
      <c r="AJ1325" s="4">
        <v>3</v>
      </c>
      <c r="AK1325" s="4">
        <v>26</v>
      </c>
      <c r="AL1325" s="4">
        <v>22</v>
      </c>
      <c r="AM1325" s="4">
        <v>63</v>
      </c>
      <c r="AN1325" s="4">
        <v>0</v>
      </c>
      <c r="AO1325" s="4">
        <v>13</v>
      </c>
      <c r="AP1325" s="4">
        <v>7</v>
      </c>
      <c r="AQ1325" s="4">
        <v>46</v>
      </c>
      <c r="AR1325" s="3" t="s">
        <v>63</v>
      </c>
      <c r="AS1325" s="3" t="s">
        <v>63</v>
      </c>
      <c r="AT1325" s="3" t="s">
        <v>62</v>
      </c>
      <c r="AU1325" s="6" t="str">
        <f>HYPERLINK("http://catalog.hathitrust.org/Record/007140672","HathiTrust Record")</f>
        <v>HathiTrust Record</v>
      </c>
      <c r="AV1325" s="6" t="str">
        <f>HYPERLINK("http://mcgill.on.worldcat.org/oclc/8763544","Catalog Record")</f>
        <v>Catalog Record</v>
      </c>
      <c r="AW1325" s="6" t="str">
        <f>HYPERLINK("http://www.worldcat.org/oclc/8763544","WorldCat Record")</f>
        <v>WorldCat Record</v>
      </c>
      <c r="AX1325" s="3" t="s">
        <v>12160</v>
      </c>
      <c r="AY1325" s="3" t="s">
        <v>12182</v>
      </c>
      <c r="AZ1325" s="3" t="s">
        <v>12183</v>
      </c>
      <c r="BA1325" s="3" t="s">
        <v>12183</v>
      </c>
      <c r="BB1325" s="3" t="s">
        <v>12184</v>
      </c>
      <c r="BC1325" s="3" t="s">
        <v>82</v>
      </c>
      <c r="BD1325" s="3" t="s">
        <v>70</v>
      </c>
      <c r="BE1325" s="3" t="s">
        <v>12185</v>
      </c>
      <c r="BF1325" s="3" t="s">
        <v>12184</v>
      </c>
      <c r="BG1325" s="3" t="s">
        <v>12186</v>
      </c>
    </row>
    <row r="1326" spans="1:59" ht="60" x14ac:dyDescent="0.25">
      <c r="A1326" s="2" t="s">
        <v>59</v>
      </c>
      <c r="B1326" s="2" t="s">
        <v>60</v>
      </c>
      <c r="C1326" s="2" t="s">
        <v>12187</v>
      </c>
      <c r="D1326" s="2" t="s">
        <v>12188</v>
      </c>
      <c r="E1326" s="2" t="s">
        <v>12189</v>
      </c>
      <c r="G1326" s="3" t="s">
        <v>63</v>
      </c>
      <c r="I1326" s="3" t="s">
        <v>63</v>
      </c>
      <c r="J1326" s="3" t="s">
        <v>62</v>
      </c>
      <c r="K1326" s="3" t="s">
        <v>64</v>
      </c>
      <c r="L1326" s="2" t="s">
        <v>10454</v>
      </c>
      <c r="M1326" s="2" t="s">
        <v>12190</v>
      </c>
      <c r="N1326" s="3" t="s">
        <v>1916</v>
      </c>
      <c r="P1326" s="3" t="s">
        <v>66</v>
      </c>
      <c r="Q1326" s="2" t="s">
        <v>9341</v>
      </c>
      <c r="R1326" s="3" t="s">
        <v>67</v>
      </c>
      <c r="S1326" s="4">
        <v>47</v>
      </c>
      <c r="T1326" s="4">
        <v>47</v>
      </c>
      <c r="U1326" s="5" t="s">
        <v>12191</v>
      </c>
      <c r="V1326" s="5" t="s">
        <v>12191</v>
      </c>
      <c r="W1326" s="5" t="s">
        <v>69</v>
      </c>
      <c r="X1326" s="5" t="s">
        <v>69</v>
      </c>
      <c r="Y1326" s="4">
        <v>365</v>
      </c>
      <c r="Z1326" s="4">
        <v>11</v>
      </c>
      <c r="AA1326" s="4">
        <v>95</v>
      </c>
      <c r="AB1326" s="4">
        <v>1</v>
      </c>
      <c r="AC1326" s="4">
        <v>10</v>
      </c>
      <c r="AD1326" s="4">
        <v>46</v>
      </c>
      <c r="AE1326" s="4">
        <v>155</v>
      </c>
      <c r="AF1326" s="4">
        <v>0</v>
      </c>
      <c r="AG1326" s="4">
        <v>3</v>
      </c>
      <c r="AH1326" s="4">
        <v>41</v>
      </c>
      <c r="AI1326" s="4">
        <v>114</v>
      </c>
      <c r="AJ1326" s="4">
        <v>4</v>
      </c>
      <c r="AK1326" s="4">
        <v>26</v>
      </c>
      <c r="AL1326" s="4">
        <v>23</v>
      </c>
      <c r="AM1326" s="4">
        <v>63</v>
      </c>
      <c r="AN1326" s="4">
        <v>0</v>
      </c>
      <c r="AO1326" s="4">
        <v>13</v>
      </c>
      <c r="AP1326" s="4">
        <v>6</v>
      </c>
      <c r="AQ1326" s="4">
        <v>46</v>
      </c>
      <c r="AR1326" s="3" t="s">
        <v>63</v>
      </c>
      <c r="AS1326" s="3" t="s">
        <v>63</v>
      </c>
      <c r="AT1326" s="3" t="s">
        <v>63</v>
      </c>
      <c r="AV1326" s="6" t="str">
        <f>HYPERLINK("http://mcgill.on.worldcat.org/oclc/13161867","Catalog Record")</f>
        <v>Catalog Record</v>
      </c>
      <c r="AW1326" s="6" t="str">
        <f>HYPERLINK("http://www.worldcat.org/oclc/13161867","WorldCat Record")</f>
        <v>WorldCat Record</v>
      </c>
      <c r="AX1326" s="3" t="s">
        <v>12160</v>
      </c>
      <c r="AY1326" s="3" t="s">
        <v>12192</v>
      </c>
      <c r="AZ1326" s="3" t="s">
        <v>12193</v>
      </c>
      <c r="BA1326" s="3" t="s">
        <v>12193</v>
      </c>
      <c r="BB1326" s="3" t="s">
        <v>12194</v>
      </c>
      <c r="BC1326" s="3" t="s">
        <v>82</v>
      </c>
      <c r="BD1326" s="3" t="s">
        <v>70</v>
      </c>
      <c r="BE1326" s="3" t="s">
        <v>12195</v>
      </c>
      <c r="BF1326" s="3" t="s">
        <v>12194</v>
      </c>
      <c r="BG1326" s="3" t="s">
        <v>12196</v>
      </c>
    </row>
    <row r="1327" spans="1:59" ht="60" x14ac:dyDescent="0.25">
      <c r="A1327" s="2" t="s">
        <v>59</v>
      </c>
      <c r="B1327" s="2" t="s">
        <v>60</v>
      </c>
      <c r="C1327" s="2" t="s">
        <v>12197</v>
      </c>
      <c r="D1327" s="2" t="s">
        <v>12198</v>
      </c>
      <c r="E1327" s="2" t="s">
        <v>12199</v>
      </c>
      <c r="G1327" s="3" t="s">
        <v>63</v>
      </c>
      <c r="I1327" s="3" t="s">
        <v>63</v>
      </c>
      <c r="J1327" s="3" t="s">
        <v>62</v>
      </c>
      <c r="K1327" s="3" t="s">
        <v>64</v>
      </c>
      <c r="L1327" s="2" t="s">
        <v>10688</v>
      </c>
      <c r="M1327" s="2" t="s">
        <v>12200</v>
      </c>
      <c r="N1327" s="3" t="s">
        <v>2765</v>
      </c>
      <c r="O1327" s="2" t="s">
        <v>1605</v>
      </c>
      <c r="P1327" s="3" t="s">
        <v>66</v>
      </c>
      <c r="R1327" s="3" t="s">
        <v>67</v>
      </c>
      <c r="S1327" s="4">
        <v>6</v>
      </c>
      <c r="T1327" s="4">
        <v>6</v>
      </c>
      <c r="U1327" s="5" t="s">
        <v>12201</v>
      </c>
      <c r="V1327" s="5" t="s">
        <v>12201</v>
      </c>
      <c r="W1327" s="5" t="s">
        <v>69</v>
      </c>
      <c r="X1327" s="5" t="s">
        <v>69</v>
      </c>
      <c r="Y1327" s="4">
        <v>423</v>
      </c>
      <c r="Z1327" s="4">
        <v>11</v>
      </c>
      <c r="AA1327" s="4">
        <v>95</v>
      </c>
      <c r="AB1327" s="4">
        <v>2</v>
      </c>
      <c r="AC1327" s="4">
        <v>10</v>
      </c>
      <c r="AD1327" s="4">
        <v>66</v>
      </c>
      <c r="AE1327" s="4">
        <v>155</v>
      </c>
      <c r="AF1327" s="4">
        <v>0</v>
      </c>
      <c r="AG1327" s="4">
        <v>3</v>
      </c>
      <c r="AH1327" s="4">
        <v>64</v>
      </c>
      <c r="AI1327" s="4">
        <v>114</v>
      </c>
      <c r="AJ1327" s="4">
        <v>5</v>
      </c>
      <c r="AK1327" s="4">
        <v>26</v>
      </c>
      <c r="AL1327" s="4">
        <v>40</v>
      </c>
      <c r="AM1327" s="4">
        <v>63</v>
      </c>
      <c r="AN1327" s="4">
        <v>0</v>
      </c>
      <c r="AO1327" s="4">
        <v>13</v>
      </c>
      <c r="AP1327" s="4">
        <v>5</v>
      </c>
      <c r="AQ1327" s="4">
        <v>46</v>
      </c>
      <c r="AR1327" s="3" t="s">
        <v>63</v>
      </c>
      <c r="AS1327" s="3" t="s">
        <v>63</v>
      </c>
      <c r="AT1327" s="3" t="s">
        <v>63</v>
      </c>
      <c r="AV1327" s="6" t="str">
        <f>HYPERLINK("http://mcgill.on.worldcat.org/oclc/880521064","Catalog Record")</f>
        <v>Catalog Record</v>
      </c>
      <c r="AW1327" s="6" t="str">
        <f>HYPERLINK("http://www.worldcat.org/oclc/880521064","WorldCat Record")</f>
        <v>WorldCat Record</v>
      </c>
      <c r="AX1327" s="3" t="s">
        <v>12160</v>
      </c>
      <c r="AY1327" s="3" t="s">
        <v>12202</v>
      </c>
      <c r="AZ1327" s="3" t="s">
        <v>12203</v>
      </c>
      <c r="BA1327" s="3" t="s">
        <v>12203</v>
      </c>
      <c r="BB1327" s="3" t="s">
        <v>12204</v>
      </c>
      <c r="BC1327" s="3" t="s">
        <v>82</v>
      </c>
      <c r="BD1327" s="3" t="s">
        <v>70</v>
      </c>
      <c r="BE1327" s="3" t="s">
        <v>12205</v>
      </c>
      <c r="BF1327" s="3" t="s">
        <v>12204</v>
      </c>
      <c r="BG1327" s="3" t="s">
        <v>12206</v>
      </c>
    </row>
    <row r="1328" spans="1:59" ht="90" x14ac:dyDescent="0.25">
      <c r="A1328" s="2" t="s">
        <v>59</v>
      </c>
      <c r="B1328" s="2" t="s">
        <v>60</v>
      </c>
      <c r="C1328" s="2" t="s">
        <v>12207</v>
      </c>
      <c r="D1328" s="2" t="s">
        <v>12208</v>
      </c>
      <c r="E1328" s="2" t="s">
        <v>12209</v>
      </c>
      <c r="G1328" s="3" t="s">
        <v>63</v>
      </c>
      <c r="I1328" s="3" t="s">
        <v>62</v>
      </c>
      <c r="J1328" s="3" t="s">
        <v>63</v>
      </c>
      <c r="K1328" s="3" t="s">
        <v>64</v>
      </c>
      <c r="L1328" s="2" t="s">
        <v>10688</v>
      </c>
      <c r="M1328" s="2" t="s">
        <v>12210</v>
      </c>
      <c r="N1328" s="3" t="s">
        <v>758</v>
      </c>
      <c r="P1328" s="3" t="s">
        <v>66</v>
      </c>
      <c r="Q1328" s="2" t="s">
        <v>12211</v>
      </c>
      <c r="R1328" s="3" t="s">
        <v>67</v>
      </c>
      <c r="S1328" s="4">
        <v>32</v>
      </c>
      <c r="T1328" s="4">
        <v>92</v>
      </c>
      <c r="U1328" s="5" t="s">
        <v>12212</v>
      </c>
      <c r="V1328" s="5" t="s">
        <v>12213</v>
      </c>
      <c r="W1328" s="5" t="s">
        <v>69</v>
      </c>
      <c r="X1328" s="5" t="s">
        <v>69</v>
      </c>
      <c r="Y1328" s="4">
        <v>712</v>
      </c>
      <c r="Z1328" s="4">
        <v>42</v>
      </c>
      <c r="AA1328" s="4">
        <v>48</v>
      </c>
      <c r="AB1328" s="4">
        <v>3</v>
      </c>
      <c r="AC1328" s="4">
        <v>5</v>
      </c>
      <c r="AD1328" s="4">
        <v>92</v>
      </c>
      <c r="AE1328" s="4">
        <v>101</v>
      </c>
      <c r="AF1328" s="4">
        <v>1</v>
      </c>
      <c r="AG1328" s="4">
        <v>2</v>
      </c>
      <c r="AH1328" s="4">
        <v>74</v>
      </c>
      <c r="AI1328" s="4">
        <v>82</v>
      </c>
      <c r="AJ1328" s="4">
        <v>15</v>
      </c>
      <c r="AK1328" s="4">
        <v>17</v>
      </c>
      <c r="AL1328" s="4">
        <v>47</v>
      </c>
      <c r="AM1328" s="4">
        <v>49</v>
      </c>
      <c r="AN1328" s="4">
        <v>0</v>
      </c>
      <c r="AO1328" s="4">
        <v>0</v>
      </c>
      <c r="AP1328" s="4">
        <v>23</v>
      </c>
      <c r="AQ1328" s="4">
        <v>26</v>
      </c>
      <c r="AR1328" s="3" t="s">
        <v>63</v>
      </c>
      <c r="AS1328" s="3" t="s">
        <v>63</v>
      </c>
      <c r="AT1328" s="3" t="s">
        <v>62</v>
      </c>
      <c r="AU1328" s="6" t="str">
        <f>HYPERLINK("http://catalog.hathitrust.org/Record/000698560","HathiTrust Record")</f>
        <v>HathiTrust Record</v>
      </c>
      <c r="AV1328" s="6" t="str">
        <f>HYPERLINK("http://mcgill.on.worldcat.org/oclc/319680","Catalog Record")</f>
        <v>Catalog Record</v>
      </c>
      <c r="AW1328" s="6" t="str">
        <f>HYPERLINK("http://www.worldcat.org/oclc/319680","WorldCat Record")</f>
        <v>WorldCat Record</v>
      </c>
      <c r="AX1328" s="3" t="s">
        <v>12214</v>
      </c>
      <c r="AY1328" s="3" t="s">
        <v>12215</v>
      </c>
      <c r="AZ1328" s="3" t="s">
        <v>12216</v>
      </c>
      <c r="BA1328" s="3" t="s">
        <v>12216</v>
      </c>
      <c r="BB1328" s="3" t="s">
        <v>12217</v>
      </c>
      <c r="BC1328" s="3" t="s">
        <v>82</v>
      </c>
      <c r="BD1328" s="3" t="s">
        <v>70</v>
      </c>
      <c r="BE1328" s="3" t="s">
        <v>12218</v>
      </c>
      <c r="BF1328" s="3" t="s">
        <v>12217</v>
      </c>
      <c r="BG1328" s="3" t="s">
        <v>12219</v>
      </c>
    </row>
    <row r="1329" spans="1:59" ht="90" x14ac:dyDescent="0.25">
      <c r="A1329" s="2" t="s">
        <v>59</v>
      </c>
      <c r="B1329" s="2" t="s">
        <v>60</v>
      </c>
      <c r="C1329" s="2" t="s">
        <v>12207</v>
      </c>
      <c r="D1329" s="2" t="s">
        <v>12208</v>
      </c>
      <c r="E1329" s="2" t="s">
        <v>12209</v>
      </c>
      <c r="G1329" s="3" t="s">
        <v>63</v>
      </c>
      <c r="I1329" s="3" t="s">
        <v>62</v>
      </c>
      <c r="J1329" s="3" t="s">
        <v>63</v>
      </c>
      <c r="K1329" s="3" t="s">
        <v>64</v>
      </c>
      <c r="L1329" s="2" t="s">
        <v>10688</v>
      </c>
      <c r="M1329" s="2" t="s">
        <v>12210</v>
      </c>
      <c r="N1329" s="3" t="s">
        <v>758</v>
      </c>
      <c r="P1329" s="3" t="s">
        <v>66</v>
      </c>
      <c r="Q1329" s="2" t="s">
        <v>12211</v>
      </c>
      <c r="R1329" s="3" t="s">
        <v>67</v>
      </c>
      <c r="S1329" s="4">
        <v>0</v>
      </c>
      <c r="T1329" s="4">
        <v>92</v>
      </c>
      <c r="V1329" s="5" t="s">
        <v>12213</v>
      </c>
      <c r="W1329" s="5" t="s">
        <v>69</v>
      </c>
      <c r="X1329" s="5" t="s">
        <v>69</v>
      </c>
      <c r="Y1329" s="4">
        <v>712</v>
      </c>
      <c r="Z1329" s="4">
        <v>42</v>
      </c>
      <c r="AA1329" s="4">
        <v>48</v>
      </c>
      <c r="AB1329" s="4">
        <v>3</v>
      </c>
      <c r="AC1329" s="4">
        <v>5</v>
      </c>
      <c r="AD1329" s="4">
        <v>92</v>
      </c>
      <c r="AE1329" s="4">
        <v>101</v>
      </c>
      <c r="AF1329" s="4">
        <v>1</v>
      </c>
      <c r="AG1329" s="4">
        <v>2</v>
      </c>
      <c r="AH1329" s="4">
        <v>74</v>
      </c>
      <c r="AI1329" s="4">
        <v>82</v>
      </c>
      <c r="AJ1329" s="4">
        <v>15</v>
      </c>
      <c r="AK1329" s="4">
        <v>17</v>
      </c>
      <c r="AL1329" s="4">
        <v>47</v>
      </c>
      <c r="AM1329" s="4">
        <v>49</v>
      </c>
      <c r="AN1329" s="4">
        <v>0</v>
      </c>
      <c r="AO1329" s="4">
        <v>0</v>
      </c>
      <c r="AP1329" s="4">
        <v>23</v>
      </c>
      <c r="AQ1329" s="4">
        <v>26</v>
      </c>
      <c r="AR1329" s="3" t="s">
        <v>63</v>
      </c>
      <c r="AS1329" s="3" t="s">
        <v>63</v>
      </c>
      <c r="AT1329" s="3" t="s">
        <v>62</v>
      </c>
      <c r="AU1329" s="6" t="str">
        <f>HYPERLINK("http://catalog.hathitrust.org/Record/000698560","HathiTrust Record")</f>
        <v>HathiTrust Record</v>
      </c>
      <c r="AV1329" s="6" t="str">
        <f>HYPERLINK("http://mcgill.on.worldcat.org/oclc/319680","Catalog Record")</f>
        <v>Catalog Record</v>
      </c>
      <c r="AW1329" s="6" t="str">
        <f>HYPERLINK("http://www.worldcat.org/oclc/319680","WorldCat Record")</f>
        <v>WorldCat Record</v>
      </c>
      <c r="AX1329" s="3" t="s">
        <v>12214</v>
      </c>
      <c r="AY1329" s="3" t="s">
        <v>12215</v>
      </c>
      <c r="AZ1329" s="3" t="s">
        <v>12216</v>
      </c>
      <c r="BA1329" s="3" t="s">
        <v>12216</v>
      </c>
      <c r="BB1329" s="3" t="s">
        <v>12220</v>
      </c>
      <c r="BC1329" s="3" t="s">
        <v>82</v>
      </c>
      <c r="BD1329" s="3" t="s">
        <v>70</v>
      </c>
      <c r="BE1329" s="3" t="s">
        <v>12218</v>
      </c>
      <c r="BF1329" s="3" t="s">
        <v>12220</v>
      </c>
      <c r="BG1329" s="3" t="s">
        <v>12221</v>
      </c>
    </row>
    <row r="1330" spans="1:59" ht="90" x14ac:dyDescent="0.25">
      <c r="A1330" s="2" t="s">
        <v>59</v>
      </c>
      <c r="B1330" s="2" t="s">
        <v>60</v>
      </c>
      <c r="C1330" s="2" t="s">
        <v>12207</v>
      </c>
      <c r="D1330" s="2" t="s">
        <v>12208</v>
      </c>
      <c r="E1330" s="2" t="s">
        <v>12209</v>
      </c>
      <c r="G1330" s="3" t="s">
        <v>63</v>
      </c>
      <c r="I1330" s="3" t="s">
        <v>62</v>
      </c>
      <c r="J1330" s="3" t="s">
        <v>63</v>
      </c>
      <c r="K1330" s="3" t="s">
        <v>64</v>
      </c>
      <c r="L1330" s="2" t="s">
        <v>10688</v>
      </c>
      <c r="M1330" s="2" t="s">
        <v>12210</v>
      </c>
      <c r="N1330" s="3" t="s">
        <v>758</v>
      </c>
      <c r="P1330" s="3" t="s">
        <v>66</v>
      </c>
      <c r="Q1330" s="2" t="s">
        <v>12211</v>
      </c>
      <c r="R1330" s="3" t="s">
        <v>67</v>
      </c>
      <c r="S1330" s="4">
        <v>28</v>
      </c>
      <c r="T1330" s="4">
        <v>92</v>
      </c>
      <c r="U1330" s="5" t="s">
        <v>12213</v>
      </c>
      <c r="V1330" s="5" t="s">
        <v>12213</v>
      </c>
      <c r="W1330" s="5" t="s">
        <v>69</v>
      </c>
      <c r="X1330" s="5" t="s">
        <v>69</v>
      </c>
      <c r="Y1330" s="4">
        <v>712</v>
      </c>
      <c r="Z1330" s="4">
        <v>42</v>
      </c>
      <c r="AA1330" s="4">
        <v>48</v>
      </c>
      <c r="AB1330" s="4">
        <v>3</v>
      </c>
      <c r="AC1330" s="4">
        <v>5</v>
      </c>
      <c r="AD1330" s="4">
        <v>92</v>
      </c>
      <c r="AE1330" s="4">
        <v>101</v>
      </c>
      <c r="AF1330" s="4">
        <v>1</v>
      </c>
      <c r="AG1330" s="4">
        <v>2</v>
      </c>
      <c r="AH1330" s="4">
        <v>74</v>
      </c>
      <c r="AI1330" s="4">
        <v>82</v>
      </c>
      <c r="AJ1330" s="4">
        <v>15</v>
      </c>
      <c r="AK1330" s="4">
        <v>17</v>
      </c>
      <c r="AL1330" s="4">
        <v>47</v>
      </c>
      <c r="AM1330" s="4">
        <v>49</v>
      </c>
      <c r="AN1330" s="4">
        <v>0</v>
      </c>
      <c r="AO1330" s="4">
        <v>0</v>
      </c>
      <c r="AP1330" s="4">
        <v>23</v>
      </c>
      <c r="AQ1330" s="4">
        <v>26</v>
      </c>
      <c r="AR1330" s="3" t="s">
        <v>63</v>
      </c>
      <c r="AS1330" s="3" t="s">
        <v>63</v>
      </c>
      <c r="AT1330" s="3" t="s">
        <v>62</v>
      </c>
      <c r="AU1330" s="6" t="str">
        <f>HYPERLINK("http://catalog.hathitrust.org/Record/000698560","HathiTrust Record")</f>
        <v>HathiTrust Record</v>
      </c>
      <c r="AV1330" s="6" t="str">
        <f>HYPERLINK("http://mcgill.on.worldcat.org/oclc/319680","Catalog Record")</f>
        <v>Catalog Record</v>
      </c>
      <c r="AW1330" s="6" t="str">
        <f>HYPERLINK("http://www.worldcat.org/oclc/319680","WorldCat Record")</f>
        <v>WorldCat Record</v>
      </c>
      <c r="AX1330" s="3" t="s">
        <v>12214</v>
      </c>
      <c r="AY1330" s="3" t="s">
        <v>12215</v>
      </c>
      <c r="AZ1330" s="3" t="s">
        <v>12216</v>
      </c>
      <c r="BA1330" s="3" t="s">
        <v>12216</v>
      </c>
      <c r="BB1330" s="3" t="s">
        <v>12222</v>
      </c>
      <c r="BC1330" s="3" t="s">
        <v>82</v>
      </c>
      <c r="BD1330" s="3" t="s">
        <v>70</v>
      </c>
      <c r="BE1330" s="3" t="s">
        <v>12218</v>
      </c>
      <c r="BF1330" s="3" t="s">
        <v>12222</v>
      </c>
      <c r="BG1330" s="3" t="s">
        <v>12223</v>
      </c>
    </row>
    <row r="1331" spans="1:59" ht="90" x14ac:dyDescent="0.25">
      <c r="A1331" s="2" t="s">
        <v>59</v>
      </c>
      <c r="B1331" s="2" t="s">
        <v>60</v>
      </c>
      <c r="C1331" s="2" t="s">
        <v>12207</v>
      </c>
      <c r="D1331" s="2" t="s">
        <v>12208</v>
      </c>
      <c r="E1331" s="2" t="s">
        <v>12209</v>
      </c>
      <c r="G1331" s="3" t="s">
        <v>63</v>
      </c>
      <c r="I1331" s="3" t="s">
        <v>62</v>
      </c>
      <c r="J1331" s="3" t="s">
        <v>63</v>
      </c>
      <c r="K1331" s="3" t="s">
        <v>64</v>
      </c>
      <c r="L1331" s="2" t="s">
        <v>10688</v>
      </c>
      <c r="M1331" s="2" t="s">
        <v>12210</v>
      </c>
      <c r="N1331" s="3" t="s">
        <v>758</v>
      </c>
      <c r="P1331" s="3" t="s">
        <v>66</v>
      </c>
      <c r="Q1331" s="2" t="s">
        <v>12211</v>
      </c>
      <c r="R1331" s="3" t="s">
        <v>67</v>
      </c>
      <c r="S1331" s="4">
        <v>32</v>
      </c>
      <c r="T1331" s="4">
        <v>92</v>
      </c>
      <c r="U1331" s="5" t="s">
        <v>12224</v>
      </c>
      <c r="V1331" s="5" t="s">
        <v>12213</v>
      </c>
      <c r="W1331" s="5" t="s">
        <v>69</v>
      </c>
      <c r="X1331" s="5" t="s">
        <v>69</v>
      </c>
      <c r="Y1331" s="4">
        <v>712</v>
      </c>
      <c r="Z1331" s="4">
        <v>42</v>
      </c>
      <c r="AA1331" s="4">
        <v>48</v>
      </c>
      <c r="AB1331" s="4">
        <v>3</v>
      </c>
      <c r="AC1331" s="4">
        <v>5</v>
      </c>
      <c r="AD1331" s="4">
        <v>92</v>
      </c>
      <c r="AE1331" s="4">
        <v>101</v>
      </c>
      <c r="AF1331" s="4">
        <v>1</v>
      </c>
      <c r="AG1331" s="4">
        <v>2</v>
      </c>
      <c r="AH1331" s="4">
        <v>74</v>
      </c>
      <c r="AI1331" s="4">
        <v>82</v>
      </c>
      <c r="AJ1331" s="4">
        <v>15</v>
      </c>
      <c r="AK1331" s="4">
        <v>17</v>
      </c>
      <c r="AL1331" s="4">
        <v>47</v>
      </c>
      <c r="AM1331" s="4">
        <v>49</v>
      </c>
      <c r="AN1331" s="4">
        <v>0</v>
      </c>
      <c r="AO1331" s="4">
        <v>0</v>
      </c>
      <c r="AP1331" s="4">
        <v>23</v>
      </c>
      <c r="AQ1331" s="4">
        <v>26</v>
      </c>
      <c r="AR1331" s="3" t="s">
        <v>63</v>
      </c>
      <c r="AS1331" s="3" t="s">
        <v>63</v>
      </c>
      <c r="AT1331" s="3" t="s">
        <v>62</v>
      </c>
      <c r="AU1331" s="6" t="str">
        <f>HYPERLINK("http://catalog.hathitrust.org/Record/000698560","HathiTrust Record")</f>
        <v>HathiTrust Record</v>
      </c>
      <c r="AV1331" s="6" t="str">
        <f>HYPERLINK("http://mcgill.on.worldcat.org/oclc/319680","Catalog Record")</f>
        <v>Catalog Record</v>
      </c>
      <c r="AW1331" s="6" t="str">
        <f>HYPERLINK("http://www.worldcat.org/oclc/319680","WorldCat Record")</f>
        <v>WorldCat Record</v>
      </c>
      <c r="AX1331" s="3" t="s">
        <v>12214</v>
      </c>
      <c r="AY1331" s="3" t="s">
        <v>12215</v>
      </c>
      <c r="AZ1331" s="3" t="s">
        <v>12216</v>
      </c>
      <c r="BA1331" s="3" t="s">
        <v>12216</v>
      </c>
      <c r="BB1331" s="3" t="s">
        <v>12225</v>
      </c>
      <c r="BC1331" s="3" t="s">
        <v>82</v>
      </c>
      <c r="BD1331" s="3" t="s">
        <v>70</v>
      </c>
      <c r="BE1331" s="3" t="s">
        <v>12218</v>
      </c>
      <c r="BF1331" s="3" t="s">
        <v>12225</v>
      </c>
      <c r="BG1331" s="3" t="s">
        <v>12226</v>
      </c>
    </row>
    <row r="1332" spans="1:59" ht="60" x14ac:dyDescent="0.25">
      <c r="A1332" s="2" t="s">
        <v>59</v>
      </c>
      <c r="B1332" s="2" t="s">
        <v>60</v>
      </c>
      <c r="C1332" s="2" t="s">
        <v>12227</v>
      </c>
      <c r="D1332" s="2" t="s">
        <v>12228</v>
      </c>
      <c r="E1332" s="2" t="s">
        <v>12229</v>
      </c>
      <c r="G1332" s="3" t="s">
        <v>63</v>
      </c>
      <c r="I1332" s="3" t="s">
        <v>62</v>
      </c>
      <c r="J1332" s="3" t="s">
        <v>62</v>
      </c>
      <c r="K1332" s="3" t="s">
        <v>64</v>
      </c>
      <c r="L1332" s="2" t="s">
        <v>10454</v>
      </c>
      <c r="M1332" s="2" t="s">
        <v>12230</v>
      </c>
      <c r="N1332" s="3" t="s">
        <v>1296</v>
      </c>
      <c r="P1332" s="3" t="s">
        <v>66</v>
      </c>
      <c r="Q1332" s="2" t="s">
        <v>12231</v>
      </c>
      <c r="R1332" s="3" t="s">
        <v>67</v>
      </c>
      <c r="S1332" s="4">
        <v>47</v>
      </c>
      <c r="T1332" s="4">
        <v>93</v>
      </c>
      <c r="U1332" s="5" t="s">
        <v>12232</v>
      </c>
      <c r="V1332" s="5" t="s">
        <v>12233</v>
      </c>
      <c r="W1332" s="5" t="s">
        <v>69</v>
      </c>
      <c r="X1332" s="5" t="s">
        <v>69</v>
      </c>
      <c r="Y1332" s="4">
        <v>352</v>
      </c>
      <c r="Z1332" s="4">
        <v>18</v>
      </c>
      <c r="AA1332" s="4">
        <v>80</v>
      </c>
      <c r="AB1332" s="4">
        <v>2</v>
      </c>
      <c r="AC1332" s="4">
        <v>8</v>
      </c>
      <c r="AD1332" s="4">
        <v>63</v>
      </c>
      <c r="AE1332" s="4">
        <v>137</v>
      </c>
      <c r="AF1332" s="4">
        <v>1</v>
      </c>
      <c r="AG1332" s="4">
        <v>2</v>
      </c>
      <c r="AH1332" s="4">
        <v>55</v>
      </c>
      <c r="AI1332" s="4">
        <v>109</v>
      </c>
      <c r="AJ1332" s="4">
        <v>8</v>
      </c>
      <c r="AK1332" s="4">
        <v>21</v>
      </c>
      <c r="AL1332" s="4">
        <v>26</v>
      </c>
      <c r="AM1332" s="4">
        <v>61</v>
      </c>
      <c r="AN1332" s="4">
        <v>0</v>
      </c>
      <c r="AO1332" s="4">
        <v>4</v>
      </c>
      <c r="AP1332" s="4">
        <v>13</v>
      </c>
      <c r="AQ1332" s="4">
        <v>33</v>
      </c>
      <c r="AR1332" s="3" t="s">
        <v>63</v>
      </c>
      <c r="AS1332" s="3" t="s">
        <v>63</v>
      </c>
      <c r="AT1332" s="3" t="s">
        <v>63</v>
      </c>
      <c r="AV1332" s="6" t="str">
        <f>HYPERLINK("http://mcgill.on.worldcat.org/oclc/68359","Catalog Record")</f>
        <v>Catalog Record</v>
      </c>
      <c r="AW1332" s="6" t="str">
        <f>HYPERLINK("http://www.worldcat.org/oclc/68359","WorldCat Record")</f>
        <v>WorldCat Record</v>
      </c>
      <c r="AX1332" s="3" t="s">
        <v>12234</v>
      </c>
      <c r="AY1332" s="3" t="s">
        <v>12235</v>
      </c>
      <c r="AZ1332" s="3" t="s">
        <v>12236</v>
      </c>
      <c r="BA1332" s="3" t="s">
        <v>12236</v>
      </c>
      <c r="BB1332" s="3" t="s">
        <v>12237</v>
      </c>
      <c r="BC1332" s="3" t="s">
        <v>82</v>
      </c>
      <c r="BD1332" s="3" t="s">
        <v>70</v>
      </c>
      <c r="BE1332" s="3" t="s">
        <v>12238</v>
      </c>
      <c r="BF1332" s="3" t="s">
        <v>12237</v>
      </c>
      <c r="BG1332" s="3" t="s">
        <v>12239</v>
      </c>
    </row>
    <row r="1333" spans="1:59" ht="60" x14ac:dyDescent="0.25">
      <c r="A1333" s="2" t="s">
        <v>59</v>
      </c>
      <c r="B1333" s="2" t="s">
        <v>60</v>
      </c>
      <c r="C1333" s="2" t="s">
        <v>12227</v>
      </c>
      <c r="D1333" s="2" t="s">
        <v>12228</v>
      </c>
      <c r="E1333" s="2" t="s">
        <v>12229</v>
      </c>
      <c r="G1333" s="3" t="s">
        <v>63</v>
      </c>
      <c r="I1333" s="3" t="s">
        <v>62</v>
      </c>
      <c r="J1333" s="3" t="s">
        <v>62</v>
      </c>
      <c r="K1333" s="3" t="s">
        <v>64</v>
      </c>
      <c r="L1333" s="2" t="s">
        <v>10454</v>
      </c>
      <c r="M1333" s="2" t="s">
        <v>12230</v>
      </c>
      <c r="N1333" s="3" t="s">
        <v>1296</v>
      </c>
      <c r="P1333" s="3" t="s">
        <v>66</v>
      </c>
      <c r="Q1333" s="2" t="s">
        <v>12231</v>
      </c>
      <c r="R1333" s="3" t="s">
        <v>67</v>
      </c>
      <c r="S1333" s="4">
        <v>46</v>
      </c>
      <c r="T1333" s="4">
        <v>93</v>
      </c>
      <c r="U1333" s="5" t="s">
        <v>12233</v>
      </c>
      <c r="V1333" s="5" t="s">
        <v>12233</v>
      </c>
      <c r="W1333" s="5" t="s">
        <v>69</v>
      </c>
      <c r="X1333" s="5" t="s">
        <v>69</v>
      </c>
      <c r="Y1333" s="4">
        <v>352</v>
      </c>
      <c r="Z1333" s="4">
        <v>18</v>
      </c>
      <c r="AA1333" s="4">
        <v>80</v>
      </c>
      <c r="AB1333" s="4">
        <v>2</v>
      </c>
      <c r="AC1333" s="4">
        <v>8</v>
      </c>
      <c r="AD1333" s="4">
        <v>63</v>
      </c>
      <c r="AE1333" s="4">
        <v>137</v>
      </c>
      <c r="AF1333" s="4">
        <v>1</v>
      </c>
      <c r="AG1333" s="4">
        <v>2</v>
      </c>
      <c r="AH1333" s="4">
        <v>55</v>
      </c>
      <c r="AI1333" s="4">
        <v>109</v>
      </c>
      <c r="AJ1333" s="4">
        <v>8</v>
      </c>
      <c r="AK1333" s="4">
        <v>21</v>
      </c>
      <c r="AL1333" s="4">
        <v>26</v>
      </c>
      <c r="AM1333" s="4">
        <v>61</v>
      </c>
      <c r="AN1333" s="4">
        <v>0</v>
      </c>
      <c r="AO1333" s="4">
        <v>4</v>
      </c>
      <c r="AP1333" s="4">
        <v>13</v>
      </c>
      <c r="AQ1333" s="4">
        <v>33</v>
      </c>
      <c r="AR1333" s="3" t="s">
        <v>63</v>
      </c>
      <c r="AS1333" s="3" t="s">
        <v>63</v>
      </c>
      <c r="AT1333" s="3" t="s">
        <v>63</v>
      </c>
      <c r="AV1333" s="6" t="str">
        <f>HYPERLINK("http://mcgill.on.worldcat.org/oclc/68359","Catalog Record")</f>
        <v>Catalog Record</v>
      </c>
      <c r="AW1333" s="6" t="str">
        <f>HYPERLINK("http://www.worldcat.org/oclc/68359","WorldCat Record")</f>
        <v>WorldCat Record</v>
      </c>
      <c r="AX1333" s="3" t="s">
        <v>12234</v>
      </c>
      <c r="AY1333" s="3" t="s">
        <v>12235</v>
      </c>
      <c r="AZ1333" s="3" t="s">
        <v>12236</v>
      </c>
      <c r="BA1333" s="3" t="s">
        <v>12236</v>
      </c>
      <c r="BB1333" s="3" t="s">
        <v>12240</v>
      </c>
      <c r="BC1333" s="3" t="s">
        <v>82</v>
      </c>
      <c r="BD1333" s="3" t="s">
        <v>70</v>
      </c>
      <c r="BE1333" s="3" t="s">
        <v>12238</v>
      </c>
      <c r="BF1333" s="3" t="s">
        <v>12240</v>
      </c>
      <c r="BG1333" s="3" t="s">
        <v>12241</v>
      </c>
    </row>
    <row r="1334" spans="1:59" ht="75" x14ac:dyDescent="0.25">
      <c r="A1334" s="2" t="s">
        <v>59</v>
      </c>
      <c r="B1334" s="2" t="s">
        <v>60</v>
      </c>
      <c r="C1334" s="2" t="s">
        <v>12242</v>
      </c>
      <c r="D1334" s="2" t="s">
        <v>12243</v>
      </c>
      <c r="E1334" s="2" t="s">
        <v>12244</v>
      </c>
      <c r="G1334" s="3" t="s">
        <v>63</v>
      </c>
      <c r="I1334" s="3" t="s">
        <v>62</v>
      </c>
      <c r="J1334" s="3" t="s">
        <v>62</v>
      </c>
      <c r="K1334" s="3" t="s">
        <v>64</v>
      </c>
      <c r="L1334" s="2" t="s">
        <v>10454</v>
      </c>
      <c r="M1334" s="2" t="s">
        <v>12245</v>
      </c>
      <c r="N1334" s="3" t="s">
        <v>161</v>
      </c>
      <c r="O1334" s="2" t="s">
        <v>590</v>
      </c>
      <c r="P1334" s="3" t="s">
        <v>66</v>
      </c>
      <c r="Q1334" s="2" t="s">
        <v>11108</v>
      </c>
      <c r="R1334" s="3" t="s">
        <v>67</v>
      </c>
      <c r="S1334" s="4">
        <v>66</v>
      </c>
      <c r="T1334" s="4">
        <v>66</v>
      </c>
      <c r="U1334" s="5" t="s">
        <v>550</v>
      </c>
      <c r="V1334" s="5" t="s">
        <v>550</v>
      </c>
      <c r="W1334" s="5" t="s">
        <v>69</v>
      </c>
      <c r="X1334" s="5" t="s">
        <v>69</v>
      </c>
      <c r="Y1334" s="4">
        <v>337</v>
      </c>
      <c r="Z1334" s="4">
        <v>15</v>
      </c>
      <c r="AA1334" s="4">
        <v>28</v>
      </c>
      <c r="AB1334" s="4">
        <v>1</v>
      </c>
      <c r="AC1334" s="4">
        <v>2</v>
      </c>
      <c r="AD1334" s="4">
        <v>60</v>
      </c>
      <c r="AE1334" s="4">
        <v>106</v>
      </c>
      <c r="AF1334" s="4">
        <v>0</v>
      </c>
      <c r="AG1334" s="4">
        <v>1</v>
      </c>
      <c r="AH1334" s="4">
        <v>54</v>
      </c>
      <c r="AI1334" s="4">
        <v>92</v>
      </c>
      <c r="AJ1334" s="4">
        <v>9</v>
      </c>
      <c r="AK1334" s="4">
        <v>17</v>
      </c>
      <c r="AL1334" s="4">
        <v>33</v>
      </c>
      <c r="AM1334" s="4">
        <v>53</v>
      </c>
      <c r="AN1334" s="4">
        <v>0</v>
      </c>
      <c r="AO1334" s="4">
        <v>0</v>
      </c>
      <c r="AP1334" s="4">
        <v>10</v>
      </c>
      <c r="AQ1334" s="4">
        <v>21</v>
      </c>
      <c r="AR1334" s="3" t="s">
        <v>63</v>
      </c>
      <c r="AS1334" s="3" t="s">
        <v>63</v>
      </c>
      <c r="AT1334" s="3" t="s">
        <v>63</v>
      </c>
      <c r="AV1334" s="6" t="str">
        <f>HYPERLINK("http://mcgill.on.worldcat.org/oclc/17439479","Catalog Record")</f>
        <v>Catalog Record</v>
      </c>
      <c r="AW1334" s="6" t="str">
        <f>HYPERLINK("http://www.worldcat.org/oclc/17439479","WorldCat Record")</f>
        <v>WorldCat Record</v>
      </c>
      <c r="AX1334" s="3" t="s">
        <v>12246</v>
      </c>
      <c r="AY1334" s="3" t="s">
        <v>12247</v>
      </c>
      <c r="AZ1334" s="3" t="s">
        <v>12248</v>
      </c>
      <c r="BA1334" s="3" t="s">
        <v>12248</v>
      </c>
      <c r="BB1334" s="3" t="s">
        <v>12249</v>
      </c>
      <c r="BC1334" s="3" t="s">
        <v>82</v>
      </c>
      <c r="BD1334" s="3" t="s">
        <v>70</v>
      </c>
      <c r="BE1334" s="3" t="s">
        <v>12250</v>
      </c>
      <c r="BF1334" s="3" t="s">
        <v>12249</v>
      </c>
      <c r="BG1334" s="3" t="s">
        <v>12251</v>
      </c>
    </row>
    <row r="1335" spans="1:59" ht="75" x14ac:dyDescent="0.25">
      <c r="A1335" s="2" t="s">
        <v>59</v>
      </c>
      <c r="B1335" s="2" t="s">
        <v>60</v>
      </c>
      <c r="C1335" s="2" t="s">
        <v>12242</v>
      </c>
      <c r="D1335" s="2" t="s">
        <v>12243</v>
      </c>
      <c r="E1335" s="2" t="s">
        <v>12244</v>
      </c>
      <c r="G1335" s="3" t="s">
        <v>63</v>
      </c>
      <c r="I1335" s="3" t="s">
        <v>62</v>
      </c>
      <c r="J1335" s="3" t="s">
        <v>62</v>
      </c>
      <c r="K1335" s="3" t="s">
        <v>64</v>
      </c>
      <c r="L1335" s="2" t="s">
        <v>10454</v>
      </c>
      <c r="M1335" s="2" t="s">
        <v>12245</v>
      </c>
      <c r="N1335" s="3" t="s">
        <v>161</v>
      </c>
      <c r="O1335" s="2" t="s">
        <v>590</v>
      </c>
      <c r="P1335" s="3" t="s">
        <v>66</v>
      </c>
      <c r="Q1335" s="2" t="s">
        <v>11108</v>
      </c>
      <c r="R1335" s="3" t="s">
        <v>67</v>
      </c>
      <c r="S1335" s="4">
        <v>0</v>
      </c>
      <c r="T1335" s="4">
        <v>66</v>
      </c>
      <c r="V1335" s="5" t="s">
        <v>550</v>
      </c>
      <c r="W1335" s="5" t="s">
        <v>69</v>
      </c>
      <c r="X1335" s="5" t="s">
        <v>69</v>
      </c>
      <c r="Y1335" s="4">
        <v>337</v>
      </c>
      <c r="Z1335" s="4">
        <v>15</v>
      </c>
      <c r="AA1335" s="4">
        <v>28</v>
      </c>
      <c r="AB1335" s="4">
        <v>1</v>
      </c>
      <c r="AC1335" s="4">
        <v>2</v>
      </c>
      <c r="AD1335" s="4">
        <v>60</v>
      </c>
      <c r="AE1335" s="4">
        <v>106</v>
      </c>
      <c r="AF1335" s="4">
        <v>0</v>
      </c>
      <c r="AG1335" s="4">
        <v>1</v>
      </c>
      <c r="AH1335" s="4">
        <v>54</v>
      </c>
      <c r="AI1335" s="4">
        <v>92</v>
      </c>
      <c r="AJ1335" s="4">
        <v>9</v>
      </c>
      <c r="AK1335" s="4">
        <v>17</v>
      </c>
      <c r="AL1335" s="4">
        <v>33</v>
      </c>
      <c r="AM1335" s="4">
        <v>53</v>
      </c>
      <c r="AN1335" s="4">
        <v>0</v>
      </c>
      <c r="AO1335" s="4">
        <v>0</v>
      </c>
      <c r="AP1335" s="4">
        <v>10</v>
      </c>
      <c r="AQ1335" s="4">
        <v>21</v>
      </c>
      <c r="AR1335" s="3" t="s">
        <v>63</v>
      </c>
      <c r="AS1335" s="3" t="s">
        <v>63</v>
      </c>
      <c r="AT1335" s="3" t="s">
        <v>63</v>
      </c>
      <c r="AV1335" s="6" t="str">
        <f>HYPERLINK("http://mcgill.on.worldcat.org/oclc/17439479","Catalog Record")</f>
        <v>Catalog Record</v>
      </c>
      <c r="AW1335" s="6" t="str">
        <f>HYPERLINK("http://www.worldcat.org/oclc/17439479","WorldCat Record")</f>
        <v>WorldCat Record</v>
      </c>
      <c r="AX1335" s="3" t="s">
        <v>12246</v>
      </c>
      <c r="AY1335" s="3" t="s">
        <v>12247</v>
      </c>
      <c r="AZ1335" s="3" t="s">
        <v>12248</v>
      </c>
      <c r="BA1335" s="3" t="s">
        <v>12248</v>
      </c>
      <c r="BB1335" s="3" t="s">
        <v>12252</v>
      </c>
      <c r="BC1335" s="3" t="s">
        <v>82</v>
      </c>
      <c r="BD1335" s="3" t="s">
        <v>70</v>
      </c>
      <c r="BE1335" s="3" t="s">
        <v>12250</v>
      </c>
      <c r="BF1335" s="3" t="s">
        <v>12252</v>
      </c>
      <c r="BG1335" s="3" t="s">
        <v>12253</v>
      </c>
    </row>
    <row r="1336" spans="1:59" ht="60" x14ac:dyDescent="0.25">
      <c r="A1336" s="2" t="s">
        <v>59</v>
      </c>
      <c r="B1336" s="2" t="s">
        <v>60</v>
      </c>
      <c r="C1336" s="2" t="s">
        <v>12254</v>
      </c>
      <c r="D1336" s="2" t="s">
        <v>12255</v>
      </c>
      <c r="E1336" s="2" t="s">
        <v>12256</v>
      </c>
      <c r="G1336" s="3" t="s">
        <v>63</v>
      </c>
      <c r="I1336" s="3" t="s">
        <v>63</v>
      </c>
      <c r="J1336" s="3" t="s">
        <v>62</v>
      </c>
      <c r="K1336" s="3" t="s">
        <v>64</v>
      </c>
      <c r="L1336" s="2" t="s">
        <v>10454</v>
      </c>
      <c r="M1336" s="2" t="s">
        <v>12257</v>
      </c>
      <c r="N1336" s="3" t="s">
        <v>220</v>
      </c>
      <c r="O1336" s="2" t="s">
        <v>590</v>
      </c>
      <c r="P1336" s="3" t="s">
        <v>66</v>
      </c>
      <c r="Q1336" s="2" t="s">
        <v>11654</v>
      </c>
      <c r="R1336" s="3" t="s">
        <v>67</v>
      </c>
      <c r="S1336" s="4">
        <v>56</v>
      </c>
      <c r="T1336" s="4">
        <v>56</v>
      </c>
      <c r="U1336" s="5" t="s">
        <v>4899</v>
      </c>
      <c r="V1336" s="5" t="s">
        <v>4899</v>
      </c>
      <c r="W1336" s="5" t="s">
        <v>69</v>
      </c>
      <c r="X1336" s="5" t="s">
        <v>69</v>
      </c>
      <c r="Y1336" s="4">
        <v>554</v>
      </c>
      <c r="Z1336" s="4">
        <v>23</v>
      </c>
      <c r="AA1336" s="4">
        <v>80</v>
      </c>
      <c r="AB1336" s="4">
        <v>3</v>
      </c>
      <c r="AC1336" s="4">
        <v>8</v>
      </c>
      <c r="AD1336" s="4">
        <v>75</v>
      </c>
      <c r="AE1336" s="4">
        <v>137</v>
      </c>
      <c r="AF1336" s="4">
        <v>1</v>
      </c>
      <c r="AG1336" s="4">
        <v>2</v>
      </c>
      <c r="AH1336" s="4">
        <v>68</v>
      </c>
      <c r="AI1336" s="4">
        <v>109</v>
      </c>
      <c r="AJ1336" s="4">
        <v>11</v>
      </c>
      <c r="AK1336" s="4">
        <v>21</v>
      </c>
      <c r="AL1336" s="4">
        <v>42</v>
      </c>
      <c r="AM1336" s="4">
        <v>61</v>
      </c>
      <c r="AN1336" s="4">
        <v>0</v>
      </c>
      <c r="AO1336" s="4">
        <v>4</v>
      </c>
      <c r="AP1336" s="4">
        <v>12</v>
      </c>
      <c r="AQ1336" s="4">
        <v>33</v>
      </c>
      <c r="AR1336" s="3" t="s">
        <v>63</v>
      </c>
      <c r="AS1336" s="3" t="s">
        <v>63</v>
      </c>
      <c r="AT1336" s="3" t="s">
        <v>63</v>
      </c>
      <c r="AV1336" s="6" t="str">
        <f>HYPERLINK("http://mcgill.on.worldcat.org/oclc/26586767","Catalog Record")</f>
        <v>Catalog Record</v>
      </c>
      <c r="AW1336" s="6" t="str">
        <f>HYPERLINK("http://www.worldcat.org/oclc/26586767","WorldCat Record")</f>
        <v>WorldCat Record</v>
      </c>
      <c r="AX1336" s="3" t="s">
        <v>12234</v>
      </c>
      <c r="AY1336" s="3" t="s">
        <v>12258</v>
      </c>
      <c r="AZ1336" s="3" t="s">
        <v>12259</v>
      </c>
      <c r="BA1336" s="3" t="s">
        <v>12259</v>
      </c>
      <c r="BB1336" s="3" t="s">
        <v>12260</v>
      </c>
      <c r="BC1336" s="3" t="s">
        <v>82</v>
      </c>
      <c r="BD1336" s="3" t="s">
        <v>70</v>
      </c>
      <c r="BE1336" s="3" t="s">
        <v>12261</v>
      </c>
      <c r="BF1336" s="3" t="s">
        <v>12260</v>
      </c>
      <c r="BG1336" s="3" t="s">
        <v>12262</v>
      </c>
    </row>
    <row r="1337" spans="1:59" ht="75" x14ac:dyDescent="0.25">
      <c r="A1337" s="2" t="s">
        <v>59</v>
      </c>
      <c r="B1337" s="2" t="s">
        <v>60</v>
      </c>
      <c r="C1337" s="2" t="s">
        <v>12263</v>
      </c>
      <c r="D1337" s="2" t="s">
        <v>12264</v>
      </c>
      <c r="E1337" s="2" t="s">
        <v>12265</v>
      </c>
      <c r="G1337" s="3" t="s">
        <v>63</v>
      </c>
      <c r="I1337" s="3" t="s">
        <v>63</v>
      </c>
      <c r="J1337" s="3" t="s">
        <v>63</v>
      </c>
      <c r="K1337" s="3" t="s">
        <v>64</v>
      </c>
      <c r="L1337" s="2" t="s">
        <v>10454</v>
      </c>
      <c r="M1337" s="2" t="s">
        <v>12266</v>
      </c>
      <c r="N1337" s="3" t="s">
        <v>693</v>
      </c>
      <c r="P1337" s="3" t="s">
        <v>66</v>
      </c>
      <c r="Q1337" s="2" t="s">
        <v>12267</v>
      </c>
      <c r="R1337" s="3" t="s">
        <v>67</v>
      </c>
      <c r="S1337" s="4">
        <v>36</v>
      </c>
      <c r="T1337" s="4">
        <v>36</v>
      </c>
      <c r="U1337" s="5" t="s">
        <v>5904</v>
      </c>
      <c r="V1337" s="5" t="s">
        <v>5904</v>
      </c>
      <c r="W1337" s="5" t="s">
        <v>69</v>
      </c>
      <c r="X1337" s="5" t="s">
        <v>69</v>
      </c>
      <c r="Y1337" s="4">
        <v>468</v>
      </c>
      <c r="Z1337" s="4">
        <v>23</v>
      </c>
      <c r="AA1337" s="4">
        <v>24</v>
      </c>
      <c r="AB1337" s="4">
        <v>5</v>
      </c>
      <c r="AC1337" s="4">
        <v>6</v>
      </c>
      <c r="AD1337" s="4">
        <v>47</v>
      </c>
      <c r="AE1337" s="4">
        <v>47</v>
      </c>
      <c r="AF1337" s="4">
        <v>0</v>
      </c>
      <c r="AG1337" s="4">
        <v>0</v>
      </c>
      <c r="AH1337" s="4">
        <v>43</v>
      </c>
      <c r="AI1337" s="4">
        <v>43</v>
      </c>
      <c r="AJ1337" s="4">
        <v>2</v>
      </c>
      <c r="AK1337" s="4">
        <v>2</v>
      </c>
      <c r="AL1337" s="4">
        <v>24</v>
      </c>
      <c r="AM1337" s="4">
        <v>24</v>
      </c>
      <c r="AN1337" s="4">
        <v>0</v>
      </c>
      <c r="AO1337" s="4">
        <v>0</v>
      </c>
      <c r="AP1337" s="4">
        <v>5</v>
      </c>
      <c r="AQ1337" s="4">
        <v>5</v>
      </c>
      <c r="AR1337" s="3" t="s">
        <v>63</v>
      </c>
      <c r="AS1337" s="3" t="s">
        <v>63</v>
      </c>
      <c r="AT1337" s="3" t="s">
        <v>62</v>
      </c>
      <c r="AU1337" s="6" t="str">
        <f>HYPERLINK("http://catalog.hathitrust.org/Record/008563119","HathiTrust Record")</f>
        <v>HathiTrust Record</v>
      </c>
      <c r="AV1337" s="6" t="str">
        <f>HYPERLINK("http://mcgill.on.worldcat.org/oclc/53059249","Catalog Record")</f>
        <v>Catalog Record</v>
      </c>
      <c r="AW1337" s="6" t="str">
        <f>HYPERLINK("http://www.worldcat.org/oclc/53059249","WorldCat Record")</f>
        <v>WorldCat Record</v>
      </c>
      <c r="AX1337" s="3" t="s">
        <v>12268</v>
      </c>
      <c r="AY1337" s="3" t="s">
        <v>12269</v>
      </c>
      <c r="AZ1337" s="3" t="s">
        <v>12270</v>
      </c>
      <c r="BA1337" s="3" t="s">
        <v>12270</v>
      </c>
      <c r="BB1337" s="3" t="s">
        <v>12271</v>
      </c>
      <c r="BC1337" s="3" t="s">
        <v>82</v>
      </c>
      <c r="BD1337" s="3" t="s">
        <v>70</v>
      </c>
      <c r="BE1337" s="3" t="s">
        <v>12272</v>
      </c>
      <c r="BF1337" s="3" t="s">
        <v>12271</v>
      </c>
      <c r="BG1337" s="3" t="s">
        <v>12273</v>
      </c>
    </row>
    <row r="1338" spans="1:59" ht="60" x14ac:dyDescent="0.25">
      <c r="A1338" s="2" t="s">
        <v>59</v>
      </c>
      <c r="B1338" s="2" t="s">
        <v>60</v>
      </c>
      <c r="C1338" s="2" t="s">
        <v>12274</v>
      </c>
      <c r="D1338" s="2" t="s">
        <v>12275</v>
      </c>
      <c r="E1338" s="2" t="s">
        <v>12276</v>
      </c>
      <c r="G1338" s="3" t="s">
        <v>63</v>
      </c>
      <c r="I1338" s="3" t="s">
        <v>63</v>
      </c>
      <c r="J1338" s="3" t="s">
        <v>63</v>
      </c>
      <c r="K1338" s="3" t="s">
        <v>64</v>
      </c>
      <c r="L1338" s="2" t="s">
        <v>10454</v>
      </c>
      <c r="M1338" s="2" t="s">
        <v>12277</v>
      </c>
      <c r="N1338" s="3" t="s">
        <v>234</v>
      </c>
      <c r="P1338" s="3" t="s">
        <v>66</v>
      </c>
      <c r="Q1338" s="2" t="s">
        <v>11759</v>
      </c>
      <c r="R1338" s="3" t="s">
        <v>67</v>
      </c>
      <c r="S1338" s="4">
        <v>26</v>
      </c>
      <c r="T1338" s="4">
        <v>26</v>
      </c>
      <c r="U1338" s="5" t="s">
        <v>12181</v>
      </c>
      <c r="V1338" s="5" t="s">
        <v>12181</v>
      </c>
      <c r="W1338" s="5" t="s">
        <v>69</v>
      </c>
      <c r="X1338" s="5" t="s">
        <v>69</v>
      </c>
      <c r="Y1338" s="4">
        <v>147</v>
      </c>
      <c r="Z1338" s="4">
        <v>8</v>
      </c>
      <c r="AA1338" s="4">
        <v>162</v>
      </c>
      <c r="AB1338" s="4">
        <v>1</v>
      </c>
      <c r="AC1338" s="4">
        <v>23</v>
      </c>
      <c r="AD1338" s="4">
        <v>40</v>
      </c>
      <c r="AE1338" s="4">
        <v>146</v>
      </c>
      <c r="AF1338" s="4">
        <v>0</v>
      </c>
      <c r="AG1338" s="4">
        <v>9</v>
      </c>
      <c r="AH1338" s="4">
        <v>37</v>
      </c>
      <c r="AI1338" s="4">
        <v>103</v>
      </c>
      <c r="AJ1338" s="4">
        <v>5</v>
      </c>
      <c r="AK1338" s="4">
        <v>25</v>
      </c>
      <c r="AL1338" s="4">
        <v>29</v>
      </c>
      <c r="AM1338" s="4">
        <v>54</v>
      </c>
      <c r="AN1338" s="4">
        <v>0</v>
      </c>
      <c r="AO1338" s="4">
        <v>0</v>
      </c>
      <c r="AP1338" s="4">
        <v>5</v>
      </c>
      <c r="AQ1338" s="4">
        <v>50</v>
      </c>
      <c r="AR1338" s="3" t="s">
        <v>63</v>
      </c>
      <c r="AS1338" s="3" t="s">
        <v>63</v>
      </c>
      <c r="AT1338" s="3" t="s">
        <v>63</v>
      </c>
      <c r="AV1338" s="6" t="str">
        <f>HYPERLINK("http://mcgill.on.worldcat.org/oclc/64746545","Catalog Record")</f>
        <v>Catalog Record</v>
      </c>
      <c r="AW1338" s="6" t="str">
        <f>HYPERLINK("http://www.worldcat.org/oclc/64746545","WorldCat Record")</f>
        <v>WorldCat Record</v>
      </c>
      <c r="AX1338" s="3" t="s">
        <v>12278</v>
      </c>
      <c r="AY1338" s="3" t="s">
        <v>12279</v>
      </c>
      <c r="AZ1338" s="3" t="s">
        <v>12280</v>
      </c>
      <c r="BA1338" s="3" t="s">
        <v>12280</v>
      </c>
      <c r="BB1338" s="3" t="s">
        <v>12281</v>
      </c>
      <c r="BC1338" s="3" t="s">
        <v>82</v>
      </c>
      <c r="BD1338" s="3" t="s">
        <v>538</v>
      </c>
      <c r="BE1338" s="3" t="s">
        <v>12282</v>
      </c>
      <c r="BF1338" s="3" t="s">
        <v>12281</v>
      </c>
      <c r="BG1338" s="3" t="s">
        <v>12283</v>
      </c>
    </row>
    <row r="1339" spans="1:59" ht="60" x14ac:dyDescent="0.25">
      <c r="A1339" s="2" t="s">
        <v>59</v>
      </c>
      <c r="B1339" s="2" t="s">
        <v>60</v>
      </c>
      <c r="C1339" s="2" t="s">
        <v>12284</v>
      </c>
      <c r="D1339" s="2" t="s">
        <v>12285</v>
      </c>
      <c r="E1339" s="2" t="s">
        <v>12286</v>
      </c>
      <c r="G1339" s="3" t="s">
        <v>63</v>
      </c>
      <c r="I1339" s="3" t="s">
        <v>63</v>
      </c>
      <c r="J1339" s="3" t="s">
        <v>62</v>
      </c>
      <c r="K1339" s="3" t="s">
        <v>64</v>
      </c>
      <c r="L1339" s="2" t="s">
        <v>10454</v>
      </c>
      <c r="M1339" s="2" t="s">
        <v>11867</v>
      </c>
      <c r="N1339" s="3" t="s">
        <v>313</v>
      </c>
      <c r="P1339" s="3" t="s">
        <v>66</v>
      </c>
      <c r="R1339" s="3" t="s">
        <v>67</v>
      </c>
      <c r="S1339" s="4">
        <v>12</v>
      </c>
      <c r="T1339" s="4">
        <v>12</v>
      </c>
      <c r="U1339" s="5" t="s">
        <v>12287</v>
      </c>
      <c r="V1339" s="5" t="s">
        <v>12287</v>
      </c>
      <c r="W1339" s="5" t="s">
        <v>69</v>
      </c>
      <c r="X1339" s="5" t="s">
        <v>69</v>
      </c>
      <c r="Y1339" s="4">
        <v>60</v>
      </c>
      <c r="Z1339" s="4">
        <v>3</v>
      </c>
      <c r="AA1339" s="4">
        <v>80</v>
      </c>
      <c r="AB1339" s="4">
        <v>1</v>
      </c>
      <c r="AC1339" s="4">
        <v>8</v>
      </c>
      <c r="AD1339" s="4">
        <v>26</v>
      </c>
      <c r="AE1339" s="4">
        <v>137</v>
      </c>
      <c r="AF1339" s="4">
        <v>0</v>
      </c>
      <c r="AG1339" s="4">
        <v>2</v>
      </c>
      <c r="AH1339" s="4">
        <v>26</v>
      </c>
      <c r="AI1339" s="4">
        <v>109</v>
      </c>
      <c r="AJ1339" s="4">
        <v>2</v>
      </c>
      <c r="AK1339" s="4">
        <v>21</v>
      </c>
      <c r="AL1339" s="4">
        <v>18</v>
      </c>
      <c r="AM1339" s="4">
        <v>61</v>
      </c>
      <c r="AN1339" s="4">
        <v>0</v>
      </c>
      <c r="AO1339" s="4">
        <v>4</v>
      </c>
      <c r="AP1339" s="4">
        <v>2</v>
      </c>
      <c r="AQ1339" s="4">
        <v>33</v>
      </c>
      <c r="AR1339" s="3" t="s">
        <v>63</v>
      </c>
      <c r="AS1339" s="3" t="s">
        <v>63</v>
      </c>
      <c r="AT1339" s="3" t="s">
        <v>63</v>
      </c>
      <c r="AV1339" s="6" t="str">
        <f>HYPERLINK("http://mcgill.on.worldcat.org/oclc/688230716","Catalog Record")</f>
        <v>Catalog Record</v>
      </c>
      <c r="AW1339" s="6" t="str">
        <f>HYPERLINK("http://www.worldcat.org/oclc/688230716","WorldCat Record")</f>
        <v>WorldCat Record</v>
      </c>
      <c r="AX1339" s="3" t="s">
        <v>12234</v>
      </c>
      <c r="AY1339" s="3" t="s">
        <v>12288</v>
      </c>
      <c r="AZ1339" s="3" t="s">
        <v>12289</v>
      </c>
      <c r="BA1339" s="3" t="s">
        <v>12289</v>
      </c>
      <c r="BB1339" s="3" t="s">
        <v>12290</v>
      </c>
      <c r="BC1339" s="3" t="s">
        <v>82</v>
      </c>
      <c r="BD1339" s="3" t="s">
        <v>70</v>
      </c>
      <c r="BE1339" s="3" t="s">
        <v>12291</v>
      </c>
      <c r="BF1339" s="3" t="s">
        <v>12290</v>
      </c>
      <c r="BG1339" s="3" t="s">
        <v>12292</v>
      </c>
    </row>
    <row r="1340" spans="1:59" ht="75" x14ac:dyDescent="0.25">
      <c r="A1340" s="2" t="s">
        <v>59</v>
      </c>
      <c r="B1340" s="2" t="s">
        <v>60</v>
      </c>
      <c r="C1340" s="2" t="s">
        <v>12293</v>
      </c>
      <c r="D1340" s="2" t="s">
        <v>12294</v>
      </c>
      <c r="E1340" s="2" t="s">
        <v>12295</v>
      </c>
      <c r="G1340" s="3" t="s">
        <v>63</v>
      </c>
      <c r="I1340" s="3" t="s">
        <v>62</v>
      </c>
      <c r="J1340" s="3" t="s">
        <v>62</v>
      </c>
      <c r="K1340" s="3" t="s">
        <v>64</v>
      </c>
      <c r="L1340" s="2" t="s">
        <v>10454</v>
      </c>
      <c r="M1340" s="2" t="s">
        <v>12296</v>
      </c>
      <c r="N1340" s="3" t="s">
        <v>362</v>
      </c>
      <c r="O1340" s="2" t="s">
        <v>1856</v>
      </c>
      <c r="P1340" s="3" t="s">
        <v>66</v>
      </c>
      <c r="Q1340" s="2" t="s">
        <v>12297</v>
      </c>
      <c r="R1340" s="3" t="s">
        <v>67</v>
      </c>
      <c r="S1340" s="4">
        <v>23</v>
      </c>
      <c r="T1340" s="4">
        <v>81</v>
      </c>
      <c r="U1340" s="5" t="s">
        <v>12298</v>
      </c>
      <c r="V1340" s="5" t="s">
        <v>12298</v>
      </c>
      <c r="W1340" s="5" t="s">
        <v>69</v>
      </c>
      <c r="X1340" s="5" t="s">
        <v>69</v>
      </c>
      <c r="Y1340" s="4">
        <v>436</v>
      </c>
      <c r="Z1340" s="4">
        <v>20</v>
      </c>
      <c r="AA1340" s="4">
        <v>28</v>
      </c>
      <c r="AB1340" s="4">
        <v>2</v>
      </c>
      <c r="AC1340" s="4">
        <v>2</v>
      </c>
      <c r="AD1340" s="4">
        <v>88</v>
      </c>
      <c r="AE1340" s="4">
        <v>106</v>
      </c>
      <c r="AF1340" s="4">
        <v>1</v>
      </c>
      <c r="AG1340" s="4">
        <v>1</v>
      </c>
      <c r="AH1340" s="4">
        <v>78</v>
      </c>
      <c r="AI1340" s="4">
        <v>92</v>
      </c>
      <c r="AJ1340" s="4">
        <v>14</v>
      </c>
      <c r="AK1340" s="4">
        <v>17</v>
      </c>
      <c r="AL1340" s="4">
        <v>46</v>
      </c>
      <c r="AM1340" s="4">
        <v>53</v>
      </c>
      <c r="AN1340" s="4">
        <v>0</v>
      </c>
      <c r="AO1340" s="4">
        <v>0</v>
      </c>
      <c r="AP1340" s="4">
        <v>16</v>
      </c>
      <c r="AQ1340" s="4">
        <v>21</v>
      </c>
      <c r="AR1340" s="3" t="s">
        <v>63</v>
      </c>
      <c r="AS1340" s="3" t="s">
        <v>63</v>
      </c>
      <c r="AT1340" s="3" t="s">
        <v>63</v>
      </c>
      <c r="AV1340" s="6" t="str">
        <f>HYPERLINK("http://mcgill.on.worldcat.org/oclc/43885842","Catalog Record")</f>
        <v>Catalog Record</v>
      </c>
      <c r="AW1340" s="6" t="str">
        <f>HYPERLINK("http://www.worldcat.org/oclc/43885842","WorldCat Record")</f>
        <v>WorldCat Record</v>
      </c>
      <c r="AX1340" s="3" t="s">
        <v>12246</v>
      </c>
      <c r="AY1340" s="3" t="s">
        <v>12299</v>
      </c>
      <c r="AZ1340" s="3" t="s">
        <v>12300</v>
      </c>
      <c r="BA1340" s="3" t="s">
        <v>12300</v>
      </c>
      <c r="BB1340" s="3" t="s">
        <v>12301</v>
      </c>
      <c r="BC1340" s="3" t="s">
        <v>82</v>
      </c>
      <c r="BD1340" s="3" t="s">
        <v>70</v>
      </c>
      <c r="BE1340" s="3" t="s">
        <v>12302</v>
      </c>
      <c r="BF1340" s="3" t="s">
        <v>12301</v>
      </c>
      <c r="BG1340" s="3" t="s">
        <v>12303</v>
      </c>
    </row>
    <row r="1341" spans="1:59" ht="75" x14ac:dyDescent="0.25">
      <c r="A1341" s="2" t="s">
        <v>59</v>
      </c>
      <c r="B1341" s="2" t="s">
        <v>60</v>
      </c>
      <c r="C1341" s="2" t="s">
        <v>12293</v>
      </c>
      <c r="D1341" s="2" t="s">
        <v>12294</v>
      </c>
      <c r="E1341" s="2" t="s">
        <v>12295</v>
      </c>
      <c r="G1341" s="3" t="s">
        <v>63</v>
      </c>
      <c r="I1341" s="3" t="s">
        <v>62</v>
      </c>
      <c r="J1341" s="3" t="s">
        <v>62</v>
      </c>
      <c r="K1341" s="3" t="s">
        <v>64</v>
      </c>
      <c r="L1341" s="2" t="s">
        <v>10454</v>
      </c>
      <c r="M1341" s="2" t="s">
        <v>12296</v>
      </c>
      <c r="N1341" s="3" t="s">
        <v>362</v>
      </c>
      <c r="O1341" s="2" t="s">
        <v>1856</v>
      </c>
      <c r="P1341" s="3" t="s">
        <v>66</v>
      </c>
      <c r="Q1341" s="2" t="s">
        <v>12297</v>
      </c>
      <c r="R1341" s="3" t="s">
        <v>67</v>
      </c>
      <c r="S1341" s="4">
        <v>55</v>
      </c>
      <c r="T1341" s="4">
        <v>81</v>
      </c>
      <c r="U1341" s="5" t="s">
        <v>7091</v>
      </c>
      <c r="V1341" s="5" t="s">
        <v>12298</v>
      </c>
      <c r="W1341" s="5" t="s">
        <v>69</v>
      </c>
      <c r="X1341" s="5" t="s">
        <v>69</v>
      </c>
      <c r="Y1341" s="4">
        <v>436</v>
      </c>
      <c r="Z1341" s="4">
        <v>20</v>
      </c>
      <c r="AA1341" s="4">
        <v>28</v>
      </c>
      <c r="AB1341" s="4">
        <v>2</v>
      </c>
      <c r="AC1341" s="4">
        <v>2</v>
      </c>
      <c r="AD1341" s="4">
        <v>88</v>
      </c>
      <c r="AE1341" s="4">
        <v>106</v>
      </c>
      <c r="AF1341" s="4">
        <v>1</v>
      </c>
      <c r="AG1341" s="4">
        <v>1</v>
      </c>
      <c r="AH1341" s="4">
        <v>78</v>
      </c>
      <c r="AI1341" s="4">
        <v>92</v>
      </c>
      <c r="AJ1341" s="4">
        <v>14</v>
      </c>
      <c r="AK1341" s="4">
        <v>17</v>
      </c>
      <c r="AL1341" s="4">
        <v>46</v>
      </c>
      <c r="AM1341" s="4">
        <v>53</v>
      </c>
      <c r="AN1341" s="4">
        <v>0</v>
      </c>
      <c r="AO1341" s="4">
        <v>0</v>
      </c>
      <c r="AP1341" s="4">
        <v>16</v>
      </c>
      <c r="AQ1341" s="4">
        <v>21</v>
      </c>
      <c r="AR1341" s="3" t="s">
        <v>63</v>
      </c>
      <c r="AS1341" s="3" t="s">
        <v>63</v>
      </c>
      <c r="AT1341" s="3" t="s">
        <v>63</v>
      </c>
      <c r="AV1341" s="6" t="str">
        <f>HYPERLINK("http://mcgill.on.worldcat.org/oclc/43885842","Catalog Record")</f>
        <v>Catalog Record</v>
      </c>
      <c r="AW1341" s="6" t="str">
        <f>HYPERLINK("http://www.worldcat.org/oclc/43885842","WorldCat Record")</f>
        <v>WorldCat Record</v>
      </c>
      <c r="AX1341" s="3" t="s">
        <v>12246</v>
      </c>
      <c r="AY1341" s="3" t="s">
        <v>12299</v>
      </c>
      <c r="AZ1341" s="3" t="s">
        <v>12300</v>
      </c>
      <c r="BA1341" s="3" t="s">
        <v>12300</v>
      </c>
      <c r="BB1341" s="3" t="s">
        <v>12304</v>
      </c>
      <c r="BC1341" s="3" t="s">
        <v>82</v>
      </c>
      <c r="BD1341" s="3" t="s">
        <v>70</v>
      </c>
      <c r="BE1341" s="3" t="s">
        <v>12302</v>
      </c>
      <c r="BF1341" s="3" t="s">
        <v>12304</v>
      </c>
      <c r="BG1341" s="3" t="s">
        <v>12305</v>
      </c>
    </row>
    <row r="1342" spans="1:59" ht="75" x14ac:dyDescent="0.25">
      <c r="A1342" s="2" t="s">
        <v>59</v>
      </c>
      <c r="B1342" s="2" t="s">
        <v>60</v>
      </c>
      <c r="C1342" s="2" t="s">
        <v>12293</v>
      </c>
      <c r="D1342" s="2" t="s">
        <v>12294</v>
      </c>
      <c r="E1342" s="2" t="s">
        <v>12295</v>
      </c>
      <c r="G1342" s="3" t="s">
        <v>63</v>
      </c>
      <c r="I1342" s="3" t="s">
        <v>62</v>
      </c>
      <c r="J1342" s="3" t="s">
        <v>62</v>
      </c>
      <c r="K1342" s="3" t="s">
        <v>64</v>
      </c>
      <c r="L1342" s="2" t="s">
        <v>10454</v>
      </c>
      <c r="M1342" s="2" t="s">
        <v>12296</v>
      </c>
      <c r="N1342" s="3" t="s">
        <v>362</v>
      </c>
      <c r="O1342" s="2" t="s">
        <v>1856</v>
      </c>
      <c r="P1342" s="3" t="s">
        <v>66</v>
      </c>
      <c r="Q1342" s="2" t="s">
        <v>12297</v>
      </c>
      <c r="R1342" s="3" t="s">
        <v>67</v>
      </c>
      <c r="S1342" s="4">
        <v>3</v>
      </c>
      <c r="T1342" s="4">
        <v>81</v>
      </c>
      <c r="U1342" s="5" t="s">
        <v>12306</v>
      </c>
      <c r="V1342" s="5" t="s">
        <v>12298</v>
      </c>
      <c r="W1342" s="5" t="s">
        <v>69</v>
      </c>
      <c r="X1342" s="5" t="s">
        <v>69</v>
      </c>
      <c r="Y1342" s="4">
        <v>436</v>
      </c>
      <c r="Z1342" s="4">
        <v>20</v>
      </c>
      <c r="AA1342" s="4">
        <v>28</v>
      </c>
      <c r="AB1342" s="4">
        <v>2</v>
      </c>
      <c r="AC1342" s="4">
        <v>2</v>
      </c>
      <c r="AD1342" s="4">
        <v>88</v>
      </c>
      <c r="AE1342" s="4">
        <v>106</v>
      </c>
      <c r="AF1342" s="4">
        <v>1</v>
      </c>
      <c r="AG1342" s="4">
        <v>1</v>
      </c>
      <c r="AH1342" s="4">
        <v>78</v>
      </c>
      <c r="AI1342" s="4">
        <v>92</v>
      </c>
      <c r="AJ1342" s="4">
        <v>14</v>
      </c>
      <c r="AK1342" s="4">
        <v>17</v>
      </c>
      <c r="AL1342" s="4">
        <v>46</v>
      </c>
      <c r="AM1342" s="4">
        <v>53</v>
      </c>
      <c r="AN1342" s="4">
        <v>0</v>
      </c>
      <c r="AO1342" s="4">
        <v>0</v>
      </c>
      <c r="AP1342" s="4">
        <v>16</v>
      </c>
      <c r="AQ1342" s="4">
        <v>21</v>
      </c>
      <c r="AR1342" s="3" t="s">
        <v>63</v>
      </c>
      <c r="AS1342" s="3" t="s">
        <v>63</v>
      </c>
      <c r="AT1342" s="3" t="s">
        <v>63</v>
      </c>
      <c r="AV1342" s="6" t="str">
        <f>HYPERLINK("http://mcgill.on.worldcat.org/oclc/43885842","Catalog Record")</f>
        <v>Catalog Record</v>
      </c>
      <c r="AW1342" s="6" t="str">
        <f>HYPERLINK("http://www.worldcat.org/oclc/43885842","WorldCat Record")</f>
        <v>WorldCat Record</v>
      </c>
      <c r="AX1342" s="3" t="s">
        <v>12246</v>
      </c>
      <c r="AY1342" s="3" t="s">
        <v>12299</v>
      </c>
      <c r="AZ1342" s="3" t="s">
        <v>12300</v>
      </c>
      <c r="BA1342" s="3" t="s">
        <v>12300</v>
      </c>
      <c r="BB1342" s="3" t="s">
        <v>12307</v>
      </c>
      <c r="BC1342" s="3" t="s">
        <v>82</v>
      </c>
      <c r="BD1342" s="3" t="s">
        <v>70</v>
      </c>
      <c r="BE1342" s="3" t="s">
        <v>12302</v>
      </c>
      <c r="BF1342" s="3" t="s">
        <v>12307</v>
      </c>
      <c r="BG1342" s="3" t="s">
        <v>12308</v>
      </c>
    </row>
    <row r="1343" spans="1:59" ht="60" x14ac:dyDescent="0.25">
      <c r="A1343" s="2" t="s">
        <v>59</v>
      </c>
      <c r="B1343" s="2" t="s">
        <v>60</v>
      </c>
      <c r="C1343" s="2" t="s">
        <v>12309</v>
      </c>
      <c r="D1343" s="2" t="s">
        <v>12310</v>
      </c>
      <c r="E1343" s="2" t="s">
        <v>12311</v>
      </c>
      <c r="F1343" s="3" t="s">
        <v>2601</v>
      </c>
      <c r="G1343" s="3" t="s">
        <v>62</v>
      </c>
      <c r="I1343" s="3" t="s">
        <v>63</v>
      </c>
      <c r="J1343" s="3" t="s">
        <v>63</v>
      </c>
      <c r="K1343" s="3" t="s">
        <v>64</v>
      </c>
      <c r="L1343" s="2" t="s">
        <v>12312</v>
      </c>
      <c r="M1343" s="2" t="s">
        <v>12313</v>
      </c>
      <c r="N1343" s="3" t="s">
        <v>2103</v>
      </c>
      <c r="P1343" s="3" t="s">
        <v>548</v>
      </c>
      <c r="Q1343" s="2" t="s">
        <v>12314</v>
      </c>
      <c r="R1343" s="3" t="s">
        <v>67</v>
      </c>
      <c r="S1343" s="4">
        <v>22</v>
      </c>
      <c r="T1343" s="4">
        <v>22</v>
      </c>
      <c r="U1343" s="5" t="s">
        <v>192</v>
      </c>
      <c r="V1343" s="5" t="s">
        <v>192</v>
      </c>
      <c r="W1343" s="5" t="s">
        <v>69</v>
      </c>
      <c r="X1343" s="5" t="s">
        <v>69</v>
      </c>
      <c r="Y1343" s="4">
        <v>11</v>
      </c>
      <c r="Z1343" s="4">
        <v>5</v>
      </c>
      <c r="AA1343" s="4">
        <v>8</v>
      </c>
      <c r="AB1343" s="4">
        <v>3</v>
      </c>
      <c r="AC1343" s="4">
        <v>3</v>
      </c>
      <c r="AD1343" s="4">
        <v>3</v>
      </c>
      <c r="AE1343" s="4">
        <v>13</v>
      </c>
      <c r="AF1343" s="4">
        <v>1</v>
      </c>
      <c r="AG1343" s="4">
        <v>1</v>
      </c>
      <c r="AH1343" s="4">
        <v>1</v>
      </c>
      <c r="AI1343" s="4">
        <v>9</v>
      </c>
      <c r="AJ1343" s="4">
        <v>3</v>
      </c>
      <c r="AK1343" s="4">
        <v>4</v>
      </c>
      <c r="AL1343" s="4">
        <v>0</v>
      </c>
      <c r="AM1343" s="4">
        <v>8</v>
      </c>
      <c r="AN1343" s="4">
        <v>0</v>
      </c>
      <c r="AO1343" s="4">
        <v>0</v>
      </c>
      <c r="AP1343" s="4">
        <v>2</v>
      </c>
      <c r="AQ1343" s="4">
        <v>4</v>
      </c>
      <c r="AR1343" s="3" t="s">
        <v>63</v>
      </c>
      <c r="AS1343" s="3" t="s">
        <v>63</v>
      </c>
      <c r="AT1343" s="3" t="s">
        <v>63</v>
      </c>
      <c r="AV1343" s="6" t="str">
        <f>HYPERLINK("http://mcgill.on.worldcat.org/oclc/51736754","Catalog Record")</f>
        <v>Catalog Record</v>
      </c>
      <c r="AW1343" s="6" t="str">
        <f>HYPERLINK("http://www.worldcat.org/oclc/51736754","WorldCat Record")</f>
        <v>WorldCat Record</v>
      </c>
      <c r="AX1343" s="3" t="s">
        <v>12315</v>
      </c>
      <c r="AY1343" s="3" t="s">
        <v>12316</v>
      </c>
      <c r="AZ1343" s="3" t="s">
        <v>12317</v>
      </c>
      <c r="BA1343" s="3" t="s">
        <v>12317</v>
      </c>
      <c r="BB1343" s="3" t="s">
        <v>12318</v>
      </c>
      <c r="BC1343" s="3" t="s">
        <v>82</v>
      </c>
      <c r="BD1343" s="3" t="s">
        <v>70</v>
      </c>
      <c r="BE1343" s="3" t="s">
        <v>12319</v>
      </c>
      <c r="BF1343" s="3" t="s">
        <v>12318</v>
      </c>
      <c r="BG1343" s="3" t="s">
        <v>12320</v>
      </c>
    </row>
    <row r="1344" spans="1:59" ht="60" x14ac:dyDescent="0.25">
      <c r="A1344" s="2" t="s">
        <v>59</v>
      </c>
      <c r="B1344" s="2" t="s">
        <v>60</v>
      </c>
      <c r="C1344" s="2" t="s">
        <v>12321</v>
      </c>
      <c r="D1344" s="2" t="s">
        <v>12322</v>
      </c>
      <c r="E1344" s="2" t="s">
        <v>12323</v>
      </c>
      <c r="F1344" s="3" t="s">
        <v>2601</v>
      </c>
      <c r="G1344" s="3" t="s">
        <v>62</v>
      </c>
      <c r="I1344" s="3" t="s">
        <v>63</v>
      </c>
      <c r="J1344" s="3" t="s">
        <v>63</v>
      </c>
      <c r="K1344" s="3" t="s">
        <v>64</v>
      </c>
      <c r="L1344" s="2" t="s">
        <v>10454</v>
      </c>
      <c r="M1344" s="2" t="s">
        <v>12324</v>
      </c>
      <c r="N1344" s="3" t="s">
        <v>362</v>
      </c>
      <c r="O1344" s="2" t="s">
        <v>1856</v>
      </c>
      <c r="P1344" s="3" t="s">
        <v>548</v>
      </c>
      <c r="Q1344" s="2" t="s">
        <v>12325</v>
      </c>
      <c r="R1344" s="3" t="s">
        <v>67</v>
      </c>
      <c r="S1344" s="4">
        <v>30</v>
      </c>
      <c r="T1344" s="4">
        <v>42</v>
      </c>
      <c r="U1344" s="5" t="s">
        <v>12326</v>
      </c>
      <c r="V1344" s="5" t="s">
        <v>12326</v>
      </c>
      <c r="W1344" s="5" t="s">
        <v>69</v>
      </c>
      <c r="X1344" s="5" t="s">
        <v>69</v>
      </c>
      <c r="Y1344" s="4">
        <v>3</v>
      </c>
      <c r="Z1344" s="4">
        <v>3</v>
      </c>
      <c r="AA1344" s="4">
        <v>30</v>
      </c>
      <c r="AB1344" s="4">
        <v>2</v>
      </c>
      <c r="AC1344" s="4">
        <v>14</v>
      </c>
      <c r="AD1344" s="4">
        <v>2</v>
      </c>
      <c r="AE1344" s="4">
        <v>45</v>
      </c>
      <c r="AF1344" s="4">
        <v>1</v>
      </c>
      <c r="AG1344" s="4">
        <v>6</v>
      </c>
      <c r="AH1344" s="4">
        <v>1</v>
      </c>
      <c r="AI1344" s="4">
        <v>34</v>
      </c>
      <c r="AJ1344" s="4">
        <v>2</v>
      </c>
      <c r="AK1344" s="4">
        <v>13</v>
      </c>
      <c r="AL1344" s="4">
        <v>0</v>
      </c>
      <c r="AM1344" s="4">
        <v>24</v>
      </c>
      <c r="AN1344" s="4">
        <v>0</v>
      </c>
      <c r="AO1344" s="4">
        <v>0</v>
      </c>
      <c r="AP1344" s="4">
        <v>2</v>
      </c>
      <c r="AQ1344" s="4">
        <v>14</v>
      </c>
      <c r="AR1344" s="3" t="s">
        <v>63</v>
      </c>
      <c r="AS1344" s="3" t="s">
        <v>63</v>
      </c>
      <c r="AT1344" s="3" t="s">
        <v>63</v>
      </c>
      <c r="AV1344" s="6" t="str">
        <f>HYPERLINK("http://mcgill.on.worldcat.org/oclc/253946836","Catalog Record")</f>
        <v>Catalog Record</v>
      </c>
      <c r="AW1344" s="6" t="str">
        <f>HYPERLINK("http://www.worldcat.org/oclc/253946836","WorldCat Record")</f>
        <v>WorldCat Record</v>
      </c>
      <c r="AX1344" s="3" t="s">
        <v>12327</v>
      </c>
      <c r="AY1344" s="3" t="s">
        <v>12328</v>
      </c>
      <c r="AZ1344" s="3" t="s">
        <v>12329</v>
      </c>
      <c r="BA1344" s="3" t="s">
        <v>12329</v>
      </c>
      <c r="BB1344" s="3" t="s">
        <v>12330</v>
      </c>
      <c r="BC1344" s="3" t="s">
        <v>82</v>
      </c>
      <c r="BD1344" s="3" t="s">
        <v>70</v>
      </c>
      <c r="BE1344" s="3" t="s">
        <v>12331</v>
      </c>
      <c r="BF1344" s="3" t="s">
        <v>12330</v>
      </c>
      <c r="BG1344" s="3" t="s">
        <v>12332</v>
      </c>
    </row>
    <row r="1345" spans="1:59" ht="60" x14ac:dyDescent="0.25">
      <c r="A1345" s="2" t="s">
        <v>59</v>
      </c>
      <c r="B1345" s="2" t="s">
        <v>60</v>
      </c>
      <c r="C1345" s="2" t="s">
        <v>12321</v>
      </c>
      <c r="D1345" s="2" t="s">
        <v>12322</v>
      </c>
      <c r="E1345" s="2" t="s">
        <v>12323</v>
      </c>
      <c r="F1345" s="3" t="s">
        <v>4181</v>
      </c>
      <c r="G1345" s="3" t="s">
        <v>62</v>
      </c>
      <c r="I1345" s="3" t="s">
        <v>63</v>
      </c>
      <c r="J1345" s="3" t="s">
        <v>63</v>
      </c>
      <c r="K1345" s="3" t="s">
        <v>64</v>
      </c>
      <c r="L1345" s="2" t="s">
        <v>10454</v>
      </c>
      <c r="M1345" s="2" t="s">
        <v>12324</v>
      </c>
      <c r="N1345" s="3" t="s">
        <v>362</v>
      </c>
      <c r="O1345" s="2" t="s">
        <v>1856</v>
      </c>
      <c r="P1345" s="3" t="s">
        <v>548</v>
      </c>
      <c r="Q1345" s="2" t="s">
        <v>12325</v>
      </c>
      <c r="R1345" s="3" t="s">
        <v>67</v>
      </c>
      <c r="S1345" s="4">
        <v>12</v>
      </c>
      <c r="T1345" s="4">
        <v>42</v>
      </c>
      <c r="U1345" s="5" t="s">
        <v>11739</v>
      </c>
      <c r="V1345" s="5" t="s">
        <v>12326</v>
      </c>
      <c r="W1345" s="5" t="s">
        <v>69</v>
      </c>
      <c r="X1345" s="5" t="s">
        <v>69</v>
      </c>
      <c r="Y1345" s="4">
        <v>3</v>
      </c>
      <c r="Z1345" s="4">
        <v>3</v>
      </c>
      <c r="AA1345" s="4">
        <v>30</v>
      </c>
      <c r="AB1345" s="4">
        <v>2</v>
      </c>
      <c r="AC1345" s="4">
        <v>14</v>
      </c>
      <c r="AD1345" s="4">
        <v>2</v>
      </c>
      <c r="AE1345" s="4">
        <v>45</v>
      </c>
      <c r="AF1345" s="4">
        <v>1</v>
      </c>
      <c r="AG1345" s="4">
        <v>6</v>
      </c>
      <c r="AH1345" s="4">
        <v>1</v>
      </c>
      <c r="AI1345" s="4">
        <v>34</v>
      </c>
      <c r="AJ1345" s="4">
        <v>2</v>
      </c>
      <c r="AK1345" s="4">
        <v>13</v>
      </c>
      <c r="AL1345" s="4">
        <v>0</v>
      </c>
      <c r="AM1345" s="4">
        <v>24</v>
      </c>
      <c r="AN1345" s="4">
        <v>0</v>
      </c>
      <c r="AO1345" s="4">
        <v>0</v>
      </c>
      <c r="AP1345" s="4">
        <v>2</v>
      </c>
      <c r="AQ1345" s="4">
        <v>14</v>
      </c>
      <c r="AR1345" s="3" t="s">
        <v>63</v>
      </c>
      <c r="AS1345" s="3" t="s">
        <v>63</v>
      </c>
      <c r="AT1345" s="3" t="s">
        <v>63</v>
      </c>
      <c r="AV1345" s="6" t="str">
        <f>HYPERLINK("http://mcgill.on.worldcat.org/oclc/253946836","Catalog Record")</f>
        <v>Catalog Record</v>
      </c>
      <c r="AW1345" s="6" t="str">
        <f>HYPERLINK("http://www.worldcat.org/oclc/253946836","WorldCat Record")</f>
        <v>WorldCat Record</v>
      </c>
      <c r="AX1345" s="3" t="s">
        <v>12327</v>
      </c>
      <c r="AY1345" s="3" t="s">
        <v>12328</v>
      </c>
      <c r="AZ1345" s="3" t="s">
        <v>12329</v>
      </c>
      <c r="BA1345" s="3" t="s">
        <v>12329</v>
      </c>
      <c r="BB1345" s="3" t="s">
        <v>12333</v>
      </c>
      <c r="BC1345" s="3" t="s">
        <v>82</v>
      </c>
      <c r="BD1345" s="3" t="s">
        <v>70</v>
      </c>
      <c r="BE1345" s="3" t="s">
        <v>12331</v>
      </c>
      <c r="BF1345" s="3" t="s">
        <v>12333</v>
      </c>
      <c r="BG1345" s="3" t="s">
        <v>12334</v>
      </c>
    </row>
    <row r="1346" spans="1:59" ht="60" x14ac:dyDescent="0.25">
      <c r="A1346" s="2" t="s">
        <v>59</v>
      </c>
      <c r="B1346" s="2" t="s">
        <v>60</v>
      </c>
      <c r="C1346" s="2" t="s">
        <v>12335</v>
      </c>
      <c r="D1346" s="2" t="s">
        <v>12336</v>
      </c>
      <c r="E1346" s="2" t="s">
        <v>12337</v>
      </c>
      <c r="G1346" s="3" t="s">
        <v>63</v>
      </c>
      <c r="I1346" s="3" t="s">
        <v>63</v>
      </c>
      <c r="J1346" s="3" t="s">
        <v>63</v>
      </c>
      <c r="K1346" s="3" t="s">
        <v>64</v>
      </c>
      <c r="L1346" s="2" t="s">
        <v>12312</v>
      </c>
      <c r="M1346" s="2" t="s">
        <v>12338</v>
      </c>
      <c r="N1346" s="3" t="s">
        <v>362</v>
      </c>
      <c r="P1346" s="3" t="s">
        <v>548</v>
      </c>
      <c r="Q1346" s="2" t="s">
        <v>12339</v>
      </c>
      <c r="R1346" s="3" t="s">
        <v>67</v>
      </c>
      <c r="S1346" s="4">
        <v>5</v>
      </c>
      <c r="T1346" s="4">
        <v>5</v>
      </c>
      <c r="U1346" s="5" t="s">
        <v>12340</v>
      </c>
      <c r="V1346" s="5" t="s">
        <v>12340</v>
      </c>
      <c r="W1346" s="5" t="s">
        <v>69</v>
      </c>
      <c r="X1346" s="5" t="s">
        <v>69</v>
      </c>
      <c r="Y1346" s="4">
        <v>31</v>
      </c>
      <c r="Z1346" s="4">
        <v>4</v>
      </c>
      <c r="AA1346" s="4">
        <v>5</v>
      </c>
      <c r="AB1346" s="4">
        <v>3</v>
      </c>
      <c r="AC1346" s="4">
        <v>4</v>
      </c>
      <c r="AD1346" s="4">
        <v>3</v>
      </c>
      <c r="AE1346" s="4">
        <v>3</v>
      </c>
      <c r="AF1346" s="4">
        <v>2</v>
      </c>
      <c r="AG1346" s="4">
        <v>2</v>
      </c>
      <c r="AH1346" s="4">
        <v>1</v>
      </c>
      <c r="AI1346" s="4">
        <v>1</v>
      </c>
      <c r="AJ1346" s="4">
        <v>3</v>
      </c>
      <c r="AK1346" s="4">
        <v>3</v>
      </c>
      <c r="AL1346" s="4">
        <v>0</v>
      </c>
      <c r="AM1346" s="4">
        <v>0</v>
      </c>
      <c r="AN1346" s="4">
        <v>0</v>
      </c>
      <c r="AO1346" s="4">
        <v>0</v>
      </c>
      <c r="AP1346" s="4">
        <v>1</v>
      </c>
      <c r="AQ1346" s="4">
        <v>1</v>
      </c>
      <c r="AR1346" s="3" t="s">
        <v>63</v>
      </c>
      <c r="AS1346" s="3" t="s">
        <v>63</v>
      </c>
      <c r="AT1346" s="3" t="s">
        <v>63</v>
      </c>
      <c r="AV1346" s="6" t="str">
        <f>HYPERLINK("http://mcgill.on.worldcat.org/oclc/49844857","Catalog Record")</f>
        <v>Catalog Record</v>
      </c>
      <c r="AW1346" s="6" t="str">
        <f>HYPERLINK("http://www.worldcat.org/oclc/49844857","WorldCat Record")</f>
        <v>WorldCat Record</v>
      </c>
      <c r="AX1346" s="3" t="s">
        <v>12341</v>
      </c>
      <c r="AY1346" s="3" t="s">
        <v>12342</v>
      </c>
      <c r="AZ1346" s="3" t="s">
        <v>12343</v>
      </c>
      <c r="BA1346" s="3" t="s">
        <v>12343</v>
      </c>
      <c r="BB1346" s="3" t="s">
        <v>12344</v>
      </c>
      <c r="BC1346" s="3" t="s">
        <v>82</v>
      </c>
      <c r="BD1346" s="3" t="s">
        <v>70</v>
      </c>
      <c r="BE1346" s="3" t="s">
        <v>12345</v>
      </c>
      <c r="BF1346" s="3" t="s">
        <v>12344</v>
      </c>
      <c r="BG1346" s="3" t="s">
        <v>12346</v>
      </c>
    </row>
    <row r="1347" spans="1:59" ht="60" x14ac:dyDescent="0.25">
      <c r="A1347" s="2" t="s">
        <v>59</v>
      </c>
      <c r="B1347" s="2" t="s">
        <v>60</v>
      </c>
      <c r="C1347" s="2" t="s">
        <v>12347</v>
      </c>
      <c r="D1347" s="2" t="s">
        <v>12348</v>
      </c>
      <c r="E1347" s="2" t="s">
        <v>12349</v>
      </c>
      <c r="F1347" s="3" t="s">
        <v>2601</v>
      </c>
      <c r="G1347" s="3" t="s">
        <v>62</v>
      </c>
      <c r="I1347" s="3" t="s">
        <v>63</v>
      </c>
      <c r="J1347" s="3" t="s">
        <v>63</v>
      </c>
      <c r="K1347" s="3" t="s">
        <v>64</v>
      </c>
      <c r="L1347" s="2" t="s">
        <v>12312</v>
      </c>
      <c r="M1347" s="2" t="s">
        <v>12350</v>
      </c>
      <c r="N1347" s="3" t="s">
        <v>176</v>
      </c>
      <c r="P1347" s="3" t="s">
        <v>548</v>
      </c>
      <c r="Q1347" s="2" t="s">
        <v>12351</v>
      </c>
      <c r="R1347" s="3" t="s">
        <v>67</v>
      </c>
      <c r="S1347" s="4">
        <v>8</v>
      </c>
      <c r="T1347" s="4">
        <v>12</v>
      </c>
      <c r="U1347" s="5" t="s">
        <v>12352</v>
      </c>
      <c r="V1347" s="5" t="s">
        <v>12352</v>
      </c>
      <c r="W1347" s="5" t="s">
        <v>69</v>
      </c>
      <c r="X1347" s="5" t="s">
        <v>69</v>
      </c>
      <c r="Y1347" s="4">
        <v>33</v>
      </c>
      <c r="Z1347" s="4">
        <v>3</v>
      </c>
      <c r="AA1347" s="4">
        <v>5</v>
      </c>
      <c r="AB1347" s="4">
        <v>1</v>
      </c>
      <c r="AC1347" s="4">
        <v>3</v>
      </c>
      <c r="AD1347" s="4">
        <v>2</v>
      </c>
      <c r="AE1347" s="4">
        <v>3</v>
      </c>
      <c r="AF1347" s="4">
        <v>0</v>
      </c>
      <c r="AG1347" s="4">
        <v>1</v>
      </c>
      <c r="AH1347" s="4">
        <v>1</v>
      </c>
      <c r="AI1347" s="4">
        <v>1</v>
      </c>
      <c r="AJ1347" s="4">
        <v>1</v>
      </c>
      <c r="AK1347" s="4">
        <v>2</v>
      </c>
      <c r="AL1347" s="4">
        <v>1</v>
      </c>
      <c r="AM1347" s="4">
        <v>1</v>
      </c>
      <c r="AN1347" s="4">
        <v>0</v>
      </c>
      <c r="AO1347" s="4">
        <v>0</v>
      </c>
      <c r="AP1347" s="4">
        <v>0</v>
      </c>
      <c r="AQ1347" s="4">
        <v>1</v>
      </c>
      <c r="AR1347" s="3" t="s">
        <v>63</v>
      </c>
      <c r="AS1347" s="3" t="s">
        <v>63</v>
      </c>
      <c r="AT1347" s="3" t="s">
        <v>63</v>
      </c>
      <c r="AV1347" s="6" t="str">
        <f>HYPERLINK("http://mcgill.on.worldcat.org/oclc/39369065","Catalog Record")</f>
        <v>Catalog Record</v>
      </c>
      <c r="AW1347" s="6" t="str">
        <f>HYPERLINK("http://www.worldcat.org/oclc/39369065","WorldCat Record")</f>
        <v>WorldCat Record</v>
      </c>
      <c r="AX1347" s="3" t="s">
        <v>12353</v>
      </c>
      <c r="AY1347" s="3" t="s">
        <v>12354</v>
      </c>
      <c r="AZ1347" s="3" t="s">
        <v>12355</v>
      </c>
      <c r="BA1347" s="3" t="s">
        <v>12355</v>
      </c>
      <c r="BB1347" s="3" t="s">
        <v>12356</v>
      </c>
      <c r="BC1347" s="3" t="s">
        <v>82</v>
      </c>
      <c r="BD1347" s="3" t="s">
        <v>70</v>
      </c>
      <c r="BE1347" s="3" t="s">
        <v>12357</v>
      </c>
      <c r="BF1347" s="3" t="s">
        <v>12356</v>
      </c>
      <c r="BG1347" s="3" t="s">
        <v>12358</v>
      </c>
    </row>
    <row r="1348" spans="1:59" ht="60" x14ac:dyDescent="0.25">
      <c r="A1348" s="2" t="s">
        <v>59</v>
      </c>
      <c r="B1348" s="2" t="s">
        <v>60</v>
      </c>
      <c r="C1348" s="2" t="s">
        <v>12347</v>
      </c>
      <c r="D1348" s="2" t="s">
        <v>12348</v>
      </c>
      <c r="E1348" s="2" t="s">
        <v>12349</v>
      </c>
      <c r="F1348" s="3" t="s">
        <v>4181</v>
      </c>
      <c r="G1348" s="3" t="s">
        <v>62</v>
      </c>
      <c r="I1348" s="3" t="s">
        <v>63</v>
      </c>
      <c r="J1348" s="3" t="s">
        <v>63</v>
      </c>
      <c r="K1348" s="3" t="s">
        <v>64</v>
      </c>
      <c r="L1348" s="2" t="s">
        <v>12312</v>
      </c>
      <c r="M1348" s="2" t="s">
        <v>12350</v>
      </c>
      <c r="N1348" s="3" t="s">
        <v>176</v>
      </c>
      <c r="P1348" s="3" t="s">
        <v>548</v>
      </c>
      <c r="Q1348" s="2" t="s">
        <v>12351</v>
      </c>
      <c r="R1348" s="3" t="s">
        <v>67</v>
      </c>
      <c r="S1348" s="4">
        <v>4</v>
      </c>
      <c r="T1348" s="4">
        <v>12</v>
      </c>
      <c r="U1348" s="5" t="s">
        <v>12352</v>
      </c>
      <c r="V1348" s="5" t="s">
        <v>12352</v>
      </c>
      <c r="W1348" s="5" t="s">
        <v>69</v>
      </c>
      <c r="X1348" s="5" t="s">
        <v>69</v>
      </c>
      <c r="Y1348" s="4">
        <v>33</v>
      </c>
      <c r="Z1348" s="4">
        <v>3</v>
      </c>
      <c r="AA1348" s="4">
        <v>5</v>
      </c>
      <c r="AB1348" s="4">
        <v>1</v>
      </c>
      <c r="AC1348" s="4">
        <v>3</v>
      </c>
      <c r="AD1348" s="4">
        <v>2</v>
      </c>
      <c r="AE1348" s="4">
        <v>3</v>
      </c>
      <c r="AF1348" s="4">
        <v>0</v>
      </c>
      <c r="AG1348" s="4">
        <v>1</v>
      </c>
      <c r="AH1348" s="4">
        <v>1</v>
      </c>
      <c r="AI1348" s="4">
        <v>1</v>
      </c>
      <c r="AJ1348" s="4">
        <v>1</v>
      </c>
      <c r="AK1348" s="4">
        <v>2</v>
      </c>
      <c r="AL1348" s="4">
        <v>1</v>
      </c>
      <c r="AM1348" s="4">
        <v>1</v>
      </c>
      <c r="AN1348" s="4">
        <v>0</v>
      </c>
      <c r="AO1348" s="4">
        <v>0</v>
      </c>
      <c r="AP1348" s="4">
        <v>0</v>
      </c>
      <c r="AQ1348" s="4">
        <v>1</v>
      </c>
      <c r="AR1348" s="3" t="s">
        <v>63</v>
      </c>
      <c r="AS1348" s="3" t="s">
        <v>63</v>
      </c>
      <c r="AT1348" s="3" t="s">
        <v>63</v>
      </c>
      <c r="AV1348" s="6" t="str">
        <f>HYPERLINK("http://mcgill.on.worldcat.org/oclc/39369065","Catalog Record")</f>
        <v>Catalog Record</v>
      </c>
      <c r="AW1348" s="6" t="str">
        <f>HYPERLINK("http://www.worldcat.org/oclc/39369065","WorldCat Record")</f>
        <v>WorldCat Record</v>
      </c>
      <c r="AX1348" s="3" t="s">
        <v>12353</v>
      </c>
      <c r="AY1348" s="3" t="s">
        <v>12354</v>
      </c>
      <c r="AZ1348" s="3" t="s">
        <v>12355</v>
      </c>
      <c r="BA1348" s="3" t="s">
        <v>12355</v>
      </c>
      <c r="BB1348" s="3" t="s">
        <v>12359</v>
      </c>
      <c r="BC1348" s="3" t="s">
        <v>82</v>
      </c>
      <c r="BD1348" s="3" t="s">
        <v>70</v>
      </c>
      <c r="BE1348" s="3" t="s">
        <v>12357</v>
      </c>
      <c r="BF1348" s="3" t="s">
        <v>12359</v>
      </c>
      <c r="BG1348" s="3" t="s">
        <v>12360</v>
      </c>
    </row>
    <row r="1349" spans="1:59" ht="60" x14ac:dyDescent="0.25">
      <c r="A1349" s="2" t="s">
        <v>59</v>
      </c>
      <c r="B1349" s="2" t="s">
        <v>60</v>
      </c>
      <c r="C1349" s="2" t="s">
        <v>12361</v>
      </c>
      <c r="D1349" s="2" t="s">
        <v>12362</v>
      </c>
      <c r="E1349" s="2" t="s">
        <v>12363</v>
      </c>
      <c r="G1349" s="3" t="s">
        <v>63</v>
      </c>
      <c r="I1349" s="3" t="s">
        <v>63</v>
      </c>
      <c r="J1349" s="3" t="s">
        <v>63</v>
      </c>
      <c r="K1349" s="3" t="s">
        <v>64</v>
      </c>
      <c r="L1349" s="2" t="s">
        <v>12312</v>
      </c>
      <c r="M1349" s="2" t="s">
        <v>12364</v>
      </c>
      <c r="N1349" s="3" t="s">
        <v>1343</v>
      </c>
      <c r="P1349" s="3" t="s">
        <v>548</v>
      </c>
      <c r="Q1349" s="2" t="s">
        <v>12365</v>
      </c>
      <c r="R1349" s="3" t="s">
        <v>67</v>
      </c>
      <c r="S1349" s="4">
        <v>3</v>
      </c>
      <c r="T1349" s="4">
        <v>3</v>
      </c>
      <c r="U1349" s="5" t="s">
        <v>7019</v>
      </c>
      <c r="V1349" s="5" t="s">
        <v>7019</v>
      </c>
      <c r="W1349" s="5" t="s">
        <v>69</v>
      </c>
      <c r="X1349" s="5" t="s">
        <v>69</v>
      </c>
      <c r="Y1349" s="4">
        <v>4</v>
      </c>
      <c r="Z1349" s="4">
        <v>3</v>
      </c>
      <c r="AA1349" s="4">
        <v>7</v>
      </c>
      <c r="AB1349" s="4">
        <v>2</v>
      </c>
      <c r="AC1349" s="4">
        <v>5</v>
      </c>
      <c r="AD1349" s="4">
        <v>2</v>
      </c>
      <c r="AE1349" s="4">
        <v>5</v>
      </c>
      <c r="AF1349" s="4">
        <v>1</v>
      </c>
      <c r="AG1349" s="4">
        <v>3</v>
      </c>
      <c r="AH1349" s="4">
        <v>0</v>
      </c>
      <c r="AI1349" s="4">
        <v>2</v>
      </c>
      <c r="AJ1349" s="4">
        <v>2</v>
      </c>
      <c r="AK1349" s="4">
        <v>5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3</v>
      </c>
      <c r="AR1349" s="3" t="s">
        <v>63</v>
      </c>
      <c r="AS1349" s="3" t="s">
        <v>63</v>
      </c>
      <c r="AT1349" s="3" t="s">
        <v>63</v>
      </c>
      <c r="AV1349" s="6" t="str">
        <f>HYPERLINK("http://mcgill.on.worldcat.org/oclc/46704126","Catalog Record")</f>
        <v>Catalog Record</v>
      </c>
      <c r="AW1349" s="6" t="str">
        <f>HYPERLINK("http://www.worldcat.org/oclc/46704126","WorldCat Record")</f>
        <v>WorldCat Record</v>
      </c>
      <c r="AX1349" s="3" t="s">
        <v>12366</v>
      </c>
      <c r="AY1349" s="3" t="s">
        <v>12367</v>
      </c>
      <c r="AZ1349" s="3" t="s">
        <v>12368</v>
      </c>
      <c r="BA1349" s="3" t="s">
        <v>12368</v>
      </c>
      <c r="BB1349" s="3" t="s">
        <v>12369</v>
      </c>
      <c r="BC1349" s="3" t="s">
        <v>82</v>
      </c>
      <c r="BD1349" s="3" t="s">
        <v>70</v>
      </c>
      <c r="BE1349" s="3" t="s">
        <v>12370</v>
      </c>
      <c r="BF1349" s="3" t="s">
        <v>12369</v>
      </c>
      <c r="BG1349" s="3" t="s">
        <v>12371</v>
      </c>
    </row>
    <row r="1350" spans="1:59" ht="60" x14ac:dyDescent="0.25">
      <c r="A1350" s="2" t="s">
        <v>59</v>
      </c>
      <c r="B1350" s="2" t="s">
        <v>60</v>
      </c>
      <c r="C1350" s="2" t="s">
        <v>12372</v>
      </c>
      <c r="D1350" s="2" t="s">
        <v>12373</v>
      </c>
      <c r="E1350" s="2" t="s">
        <v>12374</v>
      </c>
      <c r="G1350" s="3" t="s">
        <v>63</v>
      </c>
      <c r="I1350" s="3" t="s">
        <v>63</v>
      </c>
      <c r="J1350" s="3" t="s">
        <v>63</v>
      </c>
      <c r="K1350" s="3" t="s">
        <v>64</v>
      </c>
      <c r="L1350" s="2" t="s">
        <v>12312</v>
      </c>
      <c r="M1350" s="2" t="s">
        <v>12375</v>
      </c>
      <c r="N1350" s="3" t="s">
        <v>1113</v>
      </c>
      <c r="P1350" s="3" t="s">
        <v>548</v>
      </c>
      <c r="Q1350" s="2" t="s">
        <v>12376</v>
      </c>
      <c r="R1350" s="3" t="s">
        <v>67</v>
      </c>
      <c r="S1350" s="4">
        <v>4</v>
      </c>
      <c r="T1350" s="4">
        <v>4</v>
      </c>
      <c r="U1350" s="5" t="s">
        <v>12377</v>
      </c>
      <c r="V1350" s="5" t="s">
        <v>12377</v>
      </c>
      <c r="W1350" s="5" t="s">
        <v>69</v>
      </c>
      <c r="X1350" s="5" t="s">
        <v>69</v>
      </c>
      <c r="Y1350" s="4">
        <v>31</v>
      </c>
      <c r="Z1350" s="4">
        <v>4</v>
      </c>
      <c r="AA1350" s="4">
        <v>4</v>
      </c>
      <c r="AB1350" s="4">
        <v>3</v>
      </c>
      <c r="AC1350" s="4">
        <v>3</v>
      </c>
      <c r="AD1350" s="4">
        <v>2</v>
      </c>
      <c r="AE1350" s="4">
        <v>2</v>
      </c>
      <c r="AF1350" s="4">
        <v>1</v>
      </c>
      <c r="AG1350" s="4">
        <v>1</v>
      </c>
      <c r="AH1350" s="4">
        <v>1</v>
      </c>
      <c r="AI1350" s="4">
        <v>1</v>
      </c>
      <c r="AJ1350" s="4">
        <v>2</v>
      </c>
      <c r="AK1350" s="4">
        <v>2</v>
      </c>
      <c r="AL1350" s="4">
        <v>0</v>
      </c>
      <c r="AM1350" s="4">
        <v>0</v>
      </c>
      <c r="AN1350" s="4">
        <v>0</v>
      </c>
      <c r="AO1350" s="4">
        <v>0</v>
      </c>
      <c r="AP1350" s="4">
        <v>1</v>
      </c>
      <c r="AQ1350" s="4">
        <v>1</v>
      </c>
      <c r="AR1350" s="3" t="s">
        <v>63</v>
      </c>
      <c r="AS1350" s="3" t="s">
        <v>63</v>
      </c>
      <c r="AT1350" s="3" t="s">
        <v>63</v>
      </c>
      <c r="AV1350" s="6" t="str">
        <f>HYPERLINK("http://mcgill.on.worldcat.org/oclc/38105555","Catalog Record")</f>
        <v>Catalog Record</v>
      </c>
      <c r="AW1350" s="6" t="str">
        <f>HYPERLINK("http://www.worldcat.org/oclc/38105555","WorldCat Record")</f>
        <v>WorldCat Record</v>
      </c>
      <c r="AX1350" s="3" t="s">
        <v>12378</v>
      </c>
      <c r="AY1350" s="3" t="s">
        <v>12379</v>
      </c>
      <c r="AZ1350" s="3" t="s">
        <v>12380</v>
      </c>
      <c r="BA1350" s="3" t="s">
        <v>12380</v>
      </c>
      <c r="BB1350" s="3" t="s">
        <v>12381</v>
      </c>
      <c r="BC1350" s="3" t="s">
        <v>82</v>
      </c>
      <c r="BD1350" s="3" t="s">
        <v>70</v>
      </c>
      <c r="BE1350" s="3" t="s">
        <v>12382</v>
      </c>
      <c r="BF1350" s="3" t="s">
        <v>12381</v>
      </c>
      <c r="BG1350" s="3" t="s">
        <v>12383</v>
      </c>
    </row>
    <row r="1351" spans="1:59" ht="60" x14ac:dyDescent="0.25">
      <c r="A1351" s="2" t="s">
        <v>59</v>
      </c>
      <c r="B1351" s="2" t="s">
        <v>60</v>
      </c>
      <c r="C1351" s="2" t="s">
        <v>12384</v>
      </c>
      <c r="D1351" s="2" t="s">
        <v>12385</v>
      </c>
      <c r="E1351" s="2" t="s">
        <v>12386</v>
      </c>
      <c r="G1351" s="3" t="s">
        <v>63</v>
      </c>
      <c r="I1351" s="3" t="s">
        <v>63</v>
      </c>
      <c r="J1351" s="3" t="s">
        <v>63</v>
      </c>
      <c r="K1351" s="3" t="s">
        <v>64</v>
      </c>
      <c r="L1351" s="2" t="s">
        <v>12312</v>
      </c>
      <c r="M1351" s="2" t="s">
        <v>12387</v>
      </c>
      <c r="N1351" s="3" t="s">
        <v>274</v>
      </c>
      <c r="P1351" s="3" t="s">
        <v>548</v>
      </c>
      <c r="Q1351" s="2" t="s">
        <v>12388</v>
      </c>
      <c r="R1351" s="3" t="s">
        <v>67</v>
      </c>
      <c r="S1351" s="4">
        <v>4</v>
      </c>
      <c r="T1351" s="4">
        <v>4</v>
      </c>
      <c r="U1351" s="5" t="s">
        <v>12389</v>
      </c>
      <c r="V1351" s="5" t="s">
        <v>12389</v>
      </c>
      <c r="W1351" s="5" t="s">
        <v>69</v>
      </c>
      <c r="X1351" s="5" t="s">
        <v>69</v>
      </c>
      <c r="Y1351" s="4">
        <v>43</v>
      </c>
      <c r="Z1351" s="4">
        <v>6</v>
      </c>
      <c r="AA1351" s="4">
        <v>6</v>
      </c>
      <c r="AB1351" s="4">
        <v>4</v>
      </c>
      <c r="AC1351" s="4">
        <v>4</v>
      </c>
      <c r="AD1351" s="4">
        <v>4</v>
      </c>
      <c r="AE1351" s="4">
        <v>4</v>
      </c>
      <c r="AF1351" s="4">
        <v>2</v>
      </c>
      <c r="AG1351" s="4">
        <v>2</v>
      </c>
      <c r="AH1351" s="4">
        <v>2</v>
      </c>
      <c r="AI1351" s="4">
        <v>2</v>
      </c>
      <c r="AJ1351" s="4">
        <v>4</v>
      </c>
      <c r="AK1351" s="4">
        <v>4</v>
      </c>
      <c r="AL1351" s="4">
        <v>0</v>
      </c>
      <c r="AM1351" s="4">
        <v>0</v>
      </c>
      <c r="AN1351" s="4">
        <v>0</v>
      </c>
      <c r="AO1351" s="4">
        <v>0</v>
      </c>
      <c r="AP1351" s="4">
        <v>3</v>
      </c>
      <c r="AQ1351" s="4">
        <v>3</v>
      </c>
      <c r="AR1351" s="3" t="s">
        <v>63</v>
      </c>
      <c r="AS1351" s="3" t="s">
        <v>63</v>
      </c>
      <c r="AT1351" s="3" t="s">
        <v>63</v>
      </c>
      <c r="AV1351" s="6" t="str">
        <f>HYPERLINK("http://mcgill.on.worldcat.org/oclc/43275879","Catalog Record")</f>
        <v>Catalog Record</v>
      </c>
      <c r="AW1351" s="6" t="str">
        <f>HYPERLINK("http://www.worldcat.org/oclc/43275879","WorldCat Record")</f>
        <v>WorldCat Record</v>
      </c>
      <c r="AX1351" s="3" t="s">
        <v>12390</v>
      </c>
      <c r="AY1351" s="3" t="s">
        <v>12391</v>
      </c>
      <c r="AZ1351" s="3" t="s">
        <v>12392</v>
      </c>
      <c r="BA1351" s="3" t="s">
        <v>12392</v>
      </c>
      <c r="BB1351" s="3" t="s">
        <v>12393</v>
      </c>
      <c r="BC1351" s="3" t="s">
        <v>82</v>
      </c>
      <c r="BD1351" s="3" t="s">
        <v>70</v>
      </c>
      <c r="BE1351" s="3" t="s">
        <v>12394</v>
      </c>
      <c r="BF1351" s="3" t="s">
        <v>12393</v>
      </c>
      <c r="BG1351" s="3" t="s">
        <v>12395</v>
      </c>
    </row>
    <row r="1352" spans="1:59" ht="60" x14ac:dyDescent="0.25">
      <c r="A1352" s="2" t="s">
        <v>59</v>
      </c>
      <c r="B1352" s="2" t="s">
        <v>60</v>
      </c>
      <c r="C1352" s="2" t="s">
        <v>12396</v>
      </c>
      <c r="D1352" s="2" t="s">
        <v>12397</v>
      </c>
      <c r="E1352" s="2" t="s">
        <v>12398</v>
      </c>
      <c r="G1352" s="3" t="s">
        <v>63</v>
      </c>
      <c r="I1352" s="3" t="s">
        <v>63</v>
      </c>
      <c r="J1352" s="3" t="s">
        <v>63</v>
      </c>
      <c r="K1352" s="3" t="s">
        <v>64</v>
      </c>
      <c r="L1352" s="2" t="s">
        <v>12312</v>
      </c>
      <c r="M1352" s="2" t="s">
        <v>12399</v>
      </c>
      <c r="N1352" s="3" t="s">
        <v>176</v>
      </c>
      <c r="P1352" s="3" t="s">
        <v>548</v>
      </c>
      <c r="Q1352" s="2" t="s">
        <v>12400</v>
      </c>
      <c r="R1352" s="3" t="s">
        <v>67</v>
      </c>
      <c r="S1352" s="4">
        <v>16</v>
      </c>
      <c r="T1352" s="4">
        <v>16</v>
      </c>
      <c r="U1352" s="5" t="s">
        <v>12340</v>
      </c>
      <c r="V1352" s="5" t="s">
        <v>12340</v>
      </c>
      <c r="W1352" s="5" t="s">
        <v>69</v>
      </c>
      <c r="X1352" s="5" t="s">
        <v>69</v>
      </c>
      <c r="Y1352" s="4">
        <v>5</v>
      </c>
      <c r="Z1352" s="4">
        <v>3</v>
      </c>
      <c r="AA1352" s="4">
        <v>8</v>
      </c>
      <c r="AB1352" s="4">
        <v>2</v>
      </c>
      <c r="AC1352" s="4">
        <v>6</v>
      </c>
      <c r="AD1352" s="4">
        <v>1</v>
      </c>
      <c r="AE1352" s="4">
        <v>4</v>
      </c>
      <c r="AF1352" s="4">
        <v>0</v>
      </c>
      <c r="AG1352" s="4">
        <v>3</v>
      </c>
      <c r="AH1352" s="4">
        <v>0</v>
      </c>
      <c r="AI1352" s="4">
        <v>1</v>
      </c>
      <c r="AJ1352" s="4">
        <v>1</v>
      </c>
      <c r="AK1352" s="4">
        <v>4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2</v>
      </c>
      <c r="AR1352" s="3" t="s">
        <v>63</v>
      </c>
      <c r="AS1352" s="3" t="s">
        <v>63</v>
      </c>
      <c r="AT1352" s="3" t="s">
        <v>63</v>
      </c>
      <c r="AV1352" s="6" t="str">
        <f>HYPERLINK("http://mcgill.on.worldcat.org/oclc/43730185","Catalog Record")</f>
        <v>Catalog Record</v>
      </c>
      <c r="AW1352" s="6" t="str">
        <f>HYPERLINK("http://www.worldcat.org/oclc/43730185","WorldCat Record")</f>
        <v>WorldCat Record</v>
      </c>
      <c r="AX1352" s="3" t="s">
        <v>12401</v>
      </c>
      <c r="AY1352" s="3" t="s">
        <v>12402</v>
      </c>
      <c r="AZ1352" s="3" t="s">
        <v>12403</v>
      </c>
      <c r="BA1352" s="3" t="s">
        <v>12403</v>
      </c>
      <c r="BB1352" s="3" t="s">
        <v>12404</v>
      </c>
      <c r="BC1352" s="3" t="s">
        <v>82</v>
      </c>
      <c r="BD1352" s="3" t="s">
        <v>70</v>
      </c>
      <c r="BE1352" s="3" t="s">
        <v>12405</v>
      </c>
      <c r="BF1352" s="3" t="s">
        <v>12404</v>
      </c>
      <c r="BG1352" s="3" t="s">
        <v>12406</v>
      </c>
    </row>
    <row r="1353" spans="1:59" ht="60" x14ac:dyDescent="0.25">
      <c r="A1353" s="2" t="s">
        <v>59</v>
      </c>
      <c r="B1353" s="2" t="s">
        <v>60</v>
      </c>
      <c r="C1353" s="2" t="s">
        <v>12407</v>
      </c>
      <c r="D1353" s="2" t="s">
        <v>12408</v>
      </c>
      <c r="E1353" s="2" t="s">
        <v>12409</v>
      </c>
      <c r="G1353" s="3" t="s">
        <v>63</v>
      </c>
      <c r="I1353" s="3" t="s">
        <v>63</v>
      </c>
      <c r="J1353" s="3" t="s">
        <v>63</v>
      </c>
      <c r="K1353" s="3" t="s">
        <v>64</v>
      </c>
      <c r="M1353" s="2" t="s">
        <v>12410</v>
      </c>
      <c r="N1353" s="3" t="s">
        <v>629</v>
      </c>
      <c r="P1353" s="3" t="s">
        <v>90</v>
      </c>
      <c r="R1353" s="3" t="s">
        <v>67</v>
      </c>
      <c r="S1353" s="4">
        <v>0</v>
      </c>
      <c r="T1353" s="4">
        <v>0</v>
      </c>
      <c r="W1353" s="5" t="s">
        <v>69</v>
      </c>
      <c r="X1353" s="5" t="s">
        <v>69</v>
      </c>
      <c r="Y1353" s="4">
        <v>13</v>
      </c>
      <c r="Z1353" s="4">
        <v>3</v>
      </c>
      <c r="AA1353" s="4">
        <v>3</v>
      </c>
      <c r="AB1353" s="4">
        <v>1</v>
      </c>
      <c r="AC1353" s="4">
        <v>1</v>
      </c>
      <c r="AD1353" s="4">
        <v>8</v>
      </c>
      <c r="AE1353" s="4">
        <v>8</v>
      </c>
      <c r="AF1353" s="4">
        <v>0</v>
      </c>
      <c r="AG1353" s="4">
        <v>0</v>
      </c>
      <c r="AH1353" s="4">
        <v>8</v>
      </c>
      <c r="AI1353" s="4">
        <v>8</v>
      </c>
      <c r="AJ1353" s="4">
        <v>1</v>
      </c>
      <c r="AK1353" s="4">
        <v>1</v>
      </c>
      <c r="AL1353" s="4">
        <v>8</v>
      </c>
      <c r="AM1353" s="4">
        <v>8</v>
      </c>
      <c r="AN1353" s="4">
        <v>0</v>
      </c>
      <c r="AO1353" s="4">
        <v>0</v>
      </c>
      <c r="AP1353" s="4">
        <v>1</v>
      </c>
      <c r="AQ1353" s="4">
        <v>1</v>
      </c>
      <c r="AR1353" s="3" t="s">
        <v>63</v>
      </c>
      <c r="AS1353" s="3" t="s">
        <v>63</v>
      </c>
      <c r="AT1353" s="3" t="s">
        <v>63</v>
      </c>
      <c r="AV1353" s="6" t="str">
        <f>HYPERLINK("http://mcgill.on.worldcat.org/oclc/797971448","Catalog Record")</f>
        <v>Catalog Record</v>
      </c>
      <c r="AW1353" s="6" t="str">
        <f>HYPERLINK("http://www.worldcat.org/oclc/797971448","WorldCat Record")</f>
        <v>WorldCat Record</v>
      </c>
      <c r="AX1353" s="3" t="s">
        <v>12411</v>
      </c>
      <c r="AY1353" s="3" t="s">
        <v>12412</v>
      </c>
      <c r="AZ1353" s="3" t="s">
        <v>12413</v>
      </c>
      <c r="BA1353" s="3" t="s">
        <v>12413</v>
      </c>
      <c r="BB1353" s="3" t="s">
        <v>12414</v>
      </c>
      <c r="BC1353" s="3" t="s">
        <v>82</v>
      </c>
      <c r="BD1353" s="3" t="s">
        <v>70</v>
      </c>
      <c r="BE1353" s="3" t="s">
        <v>12415</v>
      </c>
      <c r="BF1353" s="3" t="s">
        <v>12414</v>
      </c>
      <c r="BG1353" s="3" t="s">
        <v>12416</v>
      </c>
    </row>
    <row r="1354" spans="1:59" ht="60" x14ac:dyDescent="0.25">
      <c r="A1354" s="2" t="s">
        <v>59</v>
      </c>
      <c r="B1354" s="2" t="s">
        <v>60</v>
      </c>
      <c r="C1354" s="2" t="s">
        <v>12417</v>
      </c>
      <c r="D1354" s="2" t="s">
        <v>12418</v>
      </c>
      <c r="E1354" s="2" t="s">
        <v>12419</v>
      </c>
      <c r="G1354" s="3" t="s">
        <v>63</v>
      </c>
      <c r="I1354" s="3" t="s">
        <v>63</v>
      </c>
      <c r="J1354" s="3" t="s">
        <v>63</v>
      </c>
      <c r="K1354" s="3" t="s">
        <v>64</v>
      </c>
      <c r="L1354" s="2" t="s">
        <v>12420</v>
      </c>
      <c r="M1354" s="2" t="s">
        <v>12421</v>
      </c>
      <c r="N1354" s="3" t="s">
        <v>693</v>
      </c>
      <c r="P1354" s="3" t="s">
        <v>66</v>
      </c>
      <c r="R1354" s="3" t="s">
        <v>67</v>
      </c>
      <c r="S1354" s="4">
        <v>13</v>
      </c>
      <c r="T1354" s="4">
        <v>13</v>
      </c>
      <c r="U1354" s="5" t="s">
        <v>10909</v>
      </c>
      <c r="V1354" s="5" t="s">
        <v>10909</v>
      </c>
      <c r="W1354" s="5" t="s">
        <v>69</v>
      </c>
      <c r="X1354" s="5" t="s">
        <v>69</v>
      </c>
      <c r="Y1354" s="4">
        <v>405</v>
      </c>
      <c r="Z1354" s="4">
        <v>20</v>
      </c>
      <c r="AA1354" s="4">
        <v>49</v>
      </c>
      <c r="AB1354" s="4">
        <v>1</v>
      </c>
      <c r="AC1354" s="4">
        <v>7</v>
      </c>
      <c r="AD1354" s="4">
        <v>94</v>
      </c>
      <c r="AE1354" s="4">
        <v>97</v>
      </c>
      <c r="AF1354" s="4">
        <v>0</v>
      </c>
      <c r="AG1354" s="4">
        <v>1</v>
      </c>
      <c r="AH1354" s="4">
        <v>84</v>
      </c>
      <c r="AI1354" s="4">
        <v>84</v>
      </c>
      <c r="AJ1354" s="4">
        <v>13</v>
      </c>
      <c r="AK1354" s="4">
        <v>14</v>
      </c>
      <c r="AL1354" s="4">
        <v>49</v>
      </c>
      <c r="AM1354" s="4">
        <v>49</v>
      </c>
      <c r="AN1354" s="4">
        <v>0</v>
      </c>
      <c r="AO1354" s="4">
        <v>0</v>
      </c>
      <c r="AP1354" s="4">
        <v>14</v>
      </c>
      <c r="AQ1354" s="4">
        <v>16</v>
      </c>
      <c r="AR1354" s="3" t="s">
        <v>63</v>
      </c>
      <c r="AS1354" s="3" t="s">
        <v>63</v>
      </c>
      <c r="AT1354" s="3" t="s">
        <v>62</v>
      </c>
      <c r="AU1354" s="6" t="str">
        <f>HYPERLINK("http://catalog.hathitrust.org/Record/004736422","HathiTrust Record")</f>
        <v>HathiTrust Record</v>
      </c>
      <c r="AV1354" s="6" t="str">
        <f>HYPERLINK("http://mcgill.on.worldcat.org/oclc/54414877","Catalog Record")</f>
        <v>Catalog Record</v>
      </c>
      <c r="AW1354" s="6" t="str">
        <f>HYPERLINK("http://www.worldcat.org/oclc/54414877","WorldCat Record")</f>
        <v>WorldCat Record</v>
      </c>
      <c r="AX1354" s="3" t="s">
        <v>12422</v>
      </c>
      <c r="AY1354" s="3" t="s">
        <v>12423</v>
      </c>
      <c r="AZ1354" s="3" t="s">
        <v>12424</v>
      </c>
      <c r="BA1354" s="3" t="s">
        <v>12424</v>
      </c>
      <c r="BB1354" s="3" t="s">
        <v>12425</v>
      </c>
      <c r="BC1354" s="3" t="s">
        <v>82</v>
      </c>
      <c r="BD1354" s="3" t="s">
        <v>70</v>
      </c>
      <c r="BE1354" s="3" t="s">
        <v>12426</v>
      </c>
      <c r="BF1354" s="3" t="s">
        <v>12425</v>
      </c>
      <c r="BG1354" s="3" t="s">
        <v>12427</v>
      </c>
    </row>
    <row r="1355" spans="1:59" ht="75" x14ac:dyDescent="0.25">
      <c r="A1355" s="2" t="s">
        <v>59</v>
      </c>
      <c r="B1355" s="2" t="s">
        <v>60</v>
      </c>
      <c r="C1355" s="2" t="s">
        <v>12428</v>
      </c>
      <c r="D1355" s="2" t="s">
        <v>12429</v>
      </c>
      <c r="E1355" s="2" t="s">
        <v>12430</v>
      </c>
      <c r="F1355" s="3" t="s">
        <v>1095</v>
      </c>
      <c r="G1355" s="3" t="s">
        <v>62</v>
      </c>
      <c r="I1355" s="3" t="s">
        <v>62</v>
      </c>
      <c r="J1355" s="3" t="s">
        <v>63</v>
      </c>
      <c r="K1355" s="3" t="s">
        <v>64</v>
      </c>
      <c r="L1355" s="2" t="s">
        <v>10454</v>
      </c>
      <c r="M1355" s="2" t="s">
        <v>12431</v>
      </c>
      <c r="N1355" s="3" t="s">
        <v>2535</v>
      </c>
      <c r="P1355" s="3" t="s">
        <v>66</v>
      </c>
      <c r="R1355" s="3" t="s">
        <v>67</v>
      </c>
      <c r="S1355" s="4">
        <v>0</v>
      </c>
      <c r="T1355" s="4">
        <v>3</v>
      </c>
      <c r="V1355" s="5" t="s">
        <v>2306</v>
      </c>
      <c r="W1355" s="5" t="s">
        <v>415</v>
      </c>
      <c r="X1355" s="5" t="s">
        <v>415</v>
      </c>
      <c r="Y1355" s="4">
        <v>787</v>
      </c>
      <c r="Z1355" s="4">
        <v>42</v>
      </c>
      <c r="AA1355" s="4">
        <v>46</v>
      </c>
      <c r="AB1355" s="4">
        <v>3</v>
      </c>
      <c r="AC1355" s="4">
        <v>4</v>
      </c>
      <c r="AD1355" s="4">
        <v>124</v>
      </c>
      <c r="AE1355" s="4">
        <v>128</v>
      </c>
      <c r="AF1355" s="4">
        <v>2</v>
      </c>
      <c r="AG1355" s="4">
        <v>3</v>
      </c>
      <c r="AH1355" s="4">
        <v>101</v>
      </c>
      <c r="AI1355" s="4">
        <v>102</v>
      </c>
      <c r="AJ1355" s="4">
        <v>21</v>
      </c>
      <c r="AK1355" s="4">
        <v>24</v>
      </c>
      <c r="AL1355" s="4">
        <v>56</v>
      </c>
      <c r="AM1355" s="4">
        <v>56</v>
      </c>
      <c r="AN1355" s="4">
        <v>0</v>
      </c>
      <c r="AO1355" s="4">
        <v>0</v>
      </c>
      <c r="AP1355" s="4">
        <v>27</v>
      </c>
      <c r="AQ1355" s="4">
        <v>30</v>
      </c>
      <c r="AR1355" s="3" t="s">
        <v>63</v>
      </c>
      <c r="AS1355" s="3" t="s">
        <v>63</v>
      </c>
      <c r="AT1355" s="3" t="s">
        <v>62</v>
      </c>
      <c r="AU1355" s="6" t="str">
        <f>HYPERLINK("http://catalog.hathitrust.org/Record/000277415","HathiTrust Record")</f>
        <v>HathiTrust Record</v>
      </c>
      <c r="AV1355" s="6" t="str">
        <f>HYPERLINK("http://mcgill.on.worldcat.org/oclc/1253787","Catalog Record")</f>
        <v>Catalog Record</v>
      </c>
      <c r="AW1355" s="6" t="str">
        <f>HYPERLINK("http://www.worldcat.org/oclc/1253787","WorldCat Record")</f>
        <v>WorldCat Record</v>
      </c>
      <c r="AX1355" s="3" t="s">
        <v>12432</v>
      </c>
      <c r="AY1355" s="3" t="s">
        <v>12433</v>
      </c>
      <c r="AZ1355" s="3" t="s">
        <v>12434</v>
      </c>
      <c r="BA1355" s="3" t="s">
        <v>12434</v>
      </c>
      <c r="BB1355" s="3" t="s">
        <v>12435</v>
      </c>
      <c r="BC1355" s="3" t="s">
        <v>82</v>
      </c>
      <c r="BD1355" s="3" t="s">
        <v>70</v>
      </c>
      <c r="BE1355" s="3" t="s">
        <v>12436</v>
      </c>
      <c r="BF1355" s="3" t="s">
        <v>12435</v>
      </c>
      <c r="BG1355" s="3" t="s">
        <v>12437</v>
      </c>
    </row>
    <row r="1356" spans="1:59" ht="75" x14ac:dyDescent="0.25">
      <c r="A1356" s="2" t="s">
        <v>59</v>
      </c>
      <c r="B1356" s="2" t="s">
        <v>60</v>
      </c>
      <c r="C1356" s="2" t="s">
        <v>12428</v>
      </c>
      <c r="D1356" s="2" t="s">
        <v>12429</v>
      </c>
      <c r="E1356" s="2" t="s">
        <v>12430</v>
      </c>
      <c r="G1356" s="3" t="s">
        <v>62</v>
      </c>
      <c r="I1356" s="3" t="s">
        <v>62</v>
      </c>
      <c r="J1356" s="3" t="s">
        <v>63</v>
      </c>
      <c r="K1356" s="3" t="s">
        <v>64</v>
      </c>
      <c r="L1356" s="2" t="s">
        <v>10454</v>
      </c>
      <c r="M1356" s="2" t="s">
        <v>12431</v>
      </c>
      <c r="N1356" s="3" t="s">
        <v>2535</v>
      </c>
      <c r="P1356" s="3" t="s">
        <v>66</v>
      </c>
      <c r="R1356" s="3" t="s">
        <v>67</v>
      </c>
      <c r="S1356" s="4">
        <v>0</v>
      </c>
      <c r="T1356" s="4">
        <v>3</v>
      </c>
      <c r="V1356" s="5" t="s">
        <v>2306</v>
      </c>
      <c r="W1356" s="5" t="s">
        <v>415</v>
      </c>
      <c r="X1356" s="5" t="s">
        <v>415</v>
      </c>
      <c r="Y1356" s="4">
        <v>787</v>
      </c>
      <c r="Z1356" s="4">
        <v>42</v>
      </c>
      <c r="AA1356" s="4">
        <v>46</v>
      </c>
      <c r="AB1356" s="4">
        <v>3</v>
      </c>
      <c r="AC1356" s="4">
        <v>4</v>
      </c>
      <c r="AD1356" s="4">
        <v>124</v>
      </c>
      <c r="AE1356" s="4">
        <v>128</v>
      </c>
      <c r="AF1356" s="4">
        <v>2</v>
      </c>
      <c r="AG1356" s="4">
        <v>3</v>
      </c>
      <c r="AH1356" s="4">
        <v>101</v>
      </c>
      <c r="AI1356" s="4">
        <v>102</v>
      </c>
      <c r="AJ1356" s="4">
        <v>21</v>
      </c>
      <c r="AK1356" s="4">
        <v>24</v>
      </c>
      <c r="AL1356" s="4">
        <v>56</v>
      </c>
      <c r="AM1356" s="4">
        <v>56</v>
      </c>
      <c r="AN1356" s="4">
        <v>0</v>
      </c>
      <c r="AO1356" s="4">
        <v>0</v>
      </c>
      <c r="AP1356" s="4">
        <v>27</v>
      </c>
      <c r="AQ1356" s="4">
        <v>30</v>
      </c>
      <c r="AR1356" s="3" t="s">
        <v>63</v>
      </c>
      <c r="AS1356" s="3" t="s">
        <v>63</v>
      </c>
      <c r="AT1356" s="3" t="s">
        <v>62</v>
      </c>
      <c r="AU1356" s="6" t="str">
        <f>HYPERLINK("http://catalog.hathitrust.org/Record/000277415","HathiTrust Record")</f>
        <v>HathiTrust Record</v>
      </c>
      <c r="AV1356" s="6" t="str">
        <f>HYPERLINK("http://mcgill.on.worldcat.org/oclc/1253787","Catalog Record")</f>
        <v>Catalog Record</v>
      </c>
      <c r="AW1356" s="6" t="str">
        <f>HYPERLINK("http://www.worldcat.org/oclc/1253787","WorldCat Record")</f>
        <v>WorldCat Record</v>
      </c>
      <c r="AX1356" s="3" t="s">
        <v>12432</v>
      </c>
      <c r="AY1356" s="3" t="s">
        <v>12433</v>
      </c>
      <c r="AZ1356" s="3" t="s">
        <v>12434</v>
      </c>
      <c r="BA1356" s="3" t="s">
        <v>12434</v>
      </c>
      <c r="BB1356" s="3" t="s">
        <v>12438</v>
      </c>
      <c r="BC1356" s="3" t="s">
        <v>82</v>
      </c>
      <c r="BD1356" s="3" t="s">
        <v>70</v>
      </c>
      <c r="BE1356" s="3" t="s">
        <v>12436</v>
      </c>
      <c r="BF1356" s="3" t="s">
        <v>12438</v>
      </c>
      <c r="BG1356" s="3" t="s">
        <v>12439</v>
      </c>
    </row>
    <row r="1357" spans="1:59" ht="75" x14ac:dyDescent="0.25">
      <c r="A1357" s="2" t="s">
        <v>59</v>
      </c>
      <c r="B1357" s="2" t="s">
        <v>60</v>
      </c>
      <c r="C1357" s="2" t="s">
        <v>12428</v>
      </c>
      <c r="D1357" s="2" t="s">
        <v>12429</v>
      </c>
      <c r="E1357" s="2" t="s">
        <v>12430</v>
      </c>
      <c r="F1357" s="3" t="s">
        <v>1379</v>
      </c>
      <c r="G1357" s="3" t="s">
        <v>62</v>
      </c>
      <c r="I1357" s="3" t="s">
        <v>62</v>
      </c>
      <c r="J1357" s="3" t="s">
        <v>63</v>
      </c>
      <c r="K1357" s="3" t="s">
        <v>64</v>
      </c>
      <c r="L1357" s="2" t="s">
        <v>10454</v>
      </c>
      <c r="M1357" s="2" t="s">
        <v>12431</v>
      </c>
      <c r="N1357" s="3" t="s">
        <v>2535</v>
      </c>
      <c r="P1357" s="3" t="s">
        <v>66</v>
      </c>
      <c r="R1357" s="3" t="s">
        <v>67</v>
      </c>
      <c r="S1357" s="4">
        <v>3</v>
      </c>
      <c r="T1357" s="4">
        <v>3</v>
      </c>
      <c r="U1357" s="5" t="s">
        <v>2306</v>
      </c>
      <c r="V1357" s="5" t="s">
        <v>2306</v>
      </c>
      <c r="W1357" s="5" t="s">
        <v>415</v>
      </c>
      <c r="X1357" s="5" t="s">
        <v>415</v>
      </c>
      <c r="Y1357" s="4">
        <v>787</v>
      </c>
      <c r="Z1357" s="4">
        <v>42</v>
      </c>
      <c r="AA1357" s="4">
        <v>46</v>
      </c>
      <c r="AB1357" s="4">
        <v>3</v>
      </c>
      <c r="AC1357" s="4">
        <v>4</v>
      </c>
      <c r="AD1357" s="4">
        <v>124</v>
      </c>
      <c r="AE1357" s="4">
        <v>128</v>
      </c>
      <c r="AF1357" s="4">
        <v>2</v>
      </c>
      <c r="AG1357" s="4">
        <v>3</v>
      </c>
      <c r="AH1357" s="4">
        <v>101</v>
      </c>
      <c r="AI1357" s="4">
        <v>102</v>
      </c>
      <c r="AJ1357" s="4">
        <v>21</v>
      </c>
      <c r="AK1357" s="4">
        <v>24</v>
      </c>
      <c r="AL1357" s="4">
        <v>56</v>
      </c>
      <c r="AM1357" s="4">
        <v>56</v>
      </c>
      <c r="AN1357" s="4">
        <v>0</v>
      </c>
      <c r="AO1357" s="4">
        <v>0</v>
      </c>
      <c r="AP1357" s="4">
        <v>27</v>
      </c>
      <c r="AQ1357" s="4">
        <v>30</v>
      </c>
      <c r="AR1357" s="3" t="s">
        <v>63</v>
      </c>
      <c r="AS1357" s="3" t="s">
        <v>63</v>
      </c>
      <c r="AT1357" s="3" t="s">
        <v>62</v>
      </c>
      <c r="AU1357" s="6" t="str">
        <f>HYPERLINK("http://catalog.hathitrust.org/Record/000277415","HathiTrust Record")</f>
        <v>HathiTrust Record</v>
      </c>
      <c r="AV1357" s="6" t="str">
        <f>HYPERLINK("http://mcgill.on.worldcat.org/oclc/1253787","Catalog Record")</f>
        <v>Catalog Record</v>
      </c>
      <c r="AW1357" s="6" t="str">
        <f>HYPERLINK("http://www.worldcat.org/oclc/1253787","WorldCat Record")</f>
        <v>WorldCat Record</v>
      </c>
      <c r="AX1357" s="3" t="s">
        <v>12432</v>
      </c>
      <c r="AY1357" s="3" t="s">
        <v>12433</v>
      </c>
      <c r="AZ1357" s="3" t="s">
        <v>12434</v>
      </c>
      <c r="BA1357" s="3" t="s">
        <v>12434</v>
      </c>
      <c r="BB1357" s="3" t="s">
        <v>12440</v>
      </c>
      <c r="BC1357" s="3" t="s">
        <v>82</v>
      </c>
      <c r="BD1357" s="3" t="s">
        <v>70</v>
      </c>
      <c r="BE1357" s="3" t="s">
        <v>12436</v>
      </c>
      <c r="BF1357" s="3" t="s">
        <v>12440</v>
      </c>
      <c r="BG1357" s="3" t="s">
        <v>12441</v>
      </c>
    </row>
    <row r="1358" spans="1:59" ht="60" x14ac:dyDescent="0.25">
      <c r="A1358" s="2" t="s">
        <v>59</v>
      </c>
      <c r="B1358" s="2" t="s">
        <v>60</v>
      </c>
      <c r="C1358" s="2" t="s">
        <v>12442</v>
      </c>
      <c r="D1358" s="2" t="s">
        <v>12443</v>
      </c>
      <c r="E1358" s="2" t="s">
        <v>12444</v>
      </c>
      <c r="G1358" s="3" t="s">
        <v>63</v>
      </c>
      <c r="I1358" s="3" t="s">
        <v>63</v>
      </c>
      <c r="J1358" s="3" t="s">
        <v>63</v>
      </c>
      <c r="K1358" s="3" t="s">
        <v>64</v>
      </c>
      <c r="L1358" s="2" t="s">
        <v>10688</v>
      </c>
      <c r="M1358" s="2" t="s">
        <v>12445</v>
      </c>
      <c r="N1358" s="3" t="s">
        <v>1418</v>
      </c>
      <c r="P1358" s="3" t="s">
        <v>66</v>
      </c>
      <c r="R1358" s="3" t="s">
        <v>67</v>
      </c>
      <c r="S1358" s="4">
        <v>28</v>
      </c>
      <c r="T1358" s="4">
        <v>28</v>
      </c>
      <c r="U1358" s="5" t="s">
        <v>2719</v>
      </c>
      <c r="V1358" s="5" t="s">
        <v>2719</v>
      </c>
      <c r="W1358" s="5" t="s">
        <v>69</v>
      </c>
      <c r="X1358" s="5" t="s">
        <v>69</v>
      </c>
      <c r="Y1358" s="4">
        <v>791</v>
      </c>
      <c r="Z1358" s="4">
        <v>35</v>
      </c>
      <c r="AA1358" s="4">
        <v>37</v>
      </c>
      <c r="AB1358" s="4">
        <v>2</v>
      </c>
      <c r="AC1358" s="4">
        <v>3</v>
      </c>
      <c r="AD1358" s="4">
        <v>118</v>
      </c>
      <c r="AE1358" s="4">
        <v>120</v>
      </c>
      <c r="AF1358" s="4">
        <v>1</v>
      </c>
      <c r="AG1358" s="4">
        <v>2</v>
      </c>
      <c r="AH1358" s="4">
        <v>102</v>
      </c>
      <c r="AI1358" s="4">
        <v>103</v>
      </c>
      <c r="AJ1358" s="4">
        <v>18</v>
      </c>
      <c r="AK1358" s="4">
        <v>19</v>
      </c>
      <c r="AL1358" s="4">
        <v>57</v>
      </c>
      <c r="AM1358" s="4">
        <v>57</v>
      </c>
      <c r="AN1358" s="4">
        <v>0</v>
      </c>
      <c r="AO1358" s="4">
        <v>0</v>
      </c>
      <c r="AP1358" s="4">
        <v>22</v>
      </c>
      <c r="AQ1358" s="4">
        <v>24</v>
      </c>
      <c r="AR1358" s="3" t="s">
        <v>63</v>
      </c>
      <c r="AS1358" s="3" t="s">
        <v>63</v>
      </c>
      <c r="AT1358" s="3" t="s">
        <v>63</v>
      </c>
      <c r="AV1358" s="6" t="str">
        <f>HYPERLINK("http://mcgill.on.worldcat.org/oclc/13329681","Catalog Record")</f>
        <v>Catalog Record</v>
      </c>
      <c r="AW1358" s="6" t="str">
        <f>HYPERLINK("http://www.worldcat.org/oclc/13329681","WorldCat Record")</f>
        <v>WorldCat Record</v>
      </c>
      <c r="AX1358" s="3" t="s">
        <v>12446</v>
      </c>
      <c r="AY1358" s="3" t="s">
        <v>12447</v>
      </c>
      <c r="AZ1358" s="3" t="s">
        <v>12448</v>
      </c>
      <c r="BA1358" s="3" t="s">
        <v>12448</v>
      </c>
      <c r="BB1358" s="3" t="s">
        <v>12449</v>
      </c>
      <c r="BC1358" s="3" t="s">
        <v>82</v>
      </c>
      <c r="BD1358" s="3" t="s">
        <v>70</v>
      </c>
      <c r="BE1358" s="3" t="s">
        <v>12450</v>
      </c>
      <c r="BF1358" s="3" t="s">
        <v>12449</v>
      </c>
      <c r="BG1358" s="3" t="s">
        <v>12451</v>
      </c>
    </row>
    <row r="1359" spans="1:59" ht="60" x14ac:dyDescent="0.25">
      <c r="A1359" s="2" t="s">
        <v>59</v>
      </c>
      <c r="B1359" s="2" t="s">
        <v>60</v>
      </c>
      <c r="C1359" s="2" t="s">
        <v>12452</v>
      </c>
      <c r="D1359" s="2" t="s">
        <v>12453</v>
      </c>
      <c r="E1359" s="2" t="s">
        <v>12454</v>
      </c>
      <c r="G1359" s="3" t="s">
        <v>63</v>
      </c>
      <c r="I1359" s="3" t="s">
        <v>63</v>
      </c>
      <c r="J1359" s="3" t="s">
        <v>62</v>
      </c>
      <c r="K1359" s="3" t="s">
        <v>64</v>
      </c>
      <c r="L1359" s="2" t="s">
        <v>12455</v>
      </c>
      <c r="M1359" s="2" t="s">
        <v>12456</v>
      </c>
      <c r="N1359" s="3" t="s">
        <v>11626</v>
      </c>
      <c r="P1359" s="3" t="s">
        <v>66</v>
      </c>
      <c r="R1359" s="3" t="s">
        <v>67</v>
      </c>
      <c r="S1359" s="4">
        <v>21</v>
      </c>
      <c r="T1359" s="4">
        <v>21</v>
      </c>
      <c r="U1359" s="5" t="s">
        <v>533</v>
      </c>
      <c r="V1359" s="5" t="s">
        <v>533</v>
      </c>
      <c r="W1359" s="5" t="s">
        <v>69</v>
      </c>
      <c r="X1359" s="5" t="s">
        <v>69</v>
      </c>
      <c r="Y1359" s="4">
        <v>4</v>
      </c>
      <c r="Z1359" s="4">
        <v>1</v>
      </c>
      <c r="AA1359" s="4">
        <v>63</v>
      </c>
      <c r="AB1359" s="4">
        <v>1</v>
      </c>
      <c r="AC1359" s="4">
        <v>7</v>
      </c>
      <c r="AD1359" s="4">
        <v>1</v>
      </c>
      <c r="AE1359" s="4">
        <v>138</v>
      </c>
      <c r="AF1359" s="4">
        <v>0</v>
      </c>
      <c r="AG1359" s="4">
        <v>4</v>
      </c>
      <c r="AH1359" s="4">
        <v>1</v>
      </c>
      <c r="AI1359" s="4">
        <v>103</v>
      </c>
      <c r="AJ1359" s="4">
        <v>0</v>
      </c>
      <c r="AK1359" s="4">
        <v>23</v>
      </c>
      <c r="AL1359" s="4">
        <v>1</v>
      </c>
      <c r="AM1359" s="4">
        <v>58</v>
      </c>
      <c r="AN1359" s="4">
        <v>0</v>
      </c>
      <c r="AO1359" s="4">
        <v>1</v>
      </c>
      <c r="AP1359" s="4">
        <v>0</v>
      </c>
      <c r="AQ1359" s="4">
        <v>40</v>
      </c>
      <c r="AR1359" s="3" t="s">
        <v>63</v>
      </c>
      <c r="AS1359" s="3" t="s">
        <v>63</v>
      </c>
      <c r="AT1359" s="3" t="s">
        <v>62</v>
      </c>
      <c r="AU1359" s="6" t="str">
        <f>HYPERLINK("http://catalog.hathitrust.org/Record/007126092","HathiTrust Record")</f>
        <v>HathiTrust Record</v>
      </c>
      <c r="AV1359" s="6" t="str">
        <f>HYPERLINK("http://mcgill.on.worldcat.org/oclc/254654312","Catalog Record")</f>
        <v>Catalog Record</v>
      </c>
      <c r="AW1359" s="6" t="str">
        <f>HYPERLINK("http://www.worldcat.org/oclc/254654312","WorldCat Record")</f>
        <v>WorldCat Record</v>
      </c>
      <c r="AX1359" s="3" t="s">
        <v>12457</v>
      </c>
      <c r="AY1359" s="3" t="s">
        <v>12458</v>
      </c>
      <c r="AZ1359" s="3" t="s">
        <v>12459</v>
      </c>
      <c r="BA1359" s="3" t="s">
        <v>12459</v>
      </c>
      <c r="BB1359" s="3" t="s">
        <v>12460</v>
      </c>
      <c r="BC1359" s="3" t="s">
        <v>82</v>
      </c>
      <c r="BD1359" s="3" t="s">
        <v>70</v>
      </c>
      <c r="BF1359" s="3" t="s">
        <v>12460</v>
      </c>
      <c r="BG1359" s="3" t="s">
        <v>12461</v>
      </c>
    </row>
    <row r="1360" spans="1:59" ht="60" x14ac:dyDescent="0.25">
      <c r="A1360" s="2" t="s">
        <v>59</v>
      </c>
      <c r="B1360" s="2" t="s">
        <v>60</v>
      </c>
      <c r="C1360" s="2" t="s">
        <v>12462</v>
      </c>
      <c r="D1360" s="2" t="s">
        <v>12463</v>
      </c>
      <c r="E1360" s="2" t="s">
        <v>12464</v>
      </c>
      <c r="G1360" s="3" t="s">
        <v>63</v>
      </c>
      <c r="I1360" s="3" t="s">
        <v>63</v>
      </c>
      <c r="J1360" s="3" t="s">
        <v>62</v>
      </c>
      <c r="K1360" s="3" t="s">
        <v>64</v>
      </c>
      <c r="L1360" s="2" t="s">
        <v>12455</v>
      </c>
      <c r="M1360" s="2" t="s">
        <v>12465</v>
      </c>
      <c r="N1360" s="3" t="s">
        <v>213</v>
      </c>
      <c r="P1360" s="3" t="s">
        <v>66</v>
      </c>
      <c r="Q1360" s="2" t="s">
        <v>12466</v>
      </c>
      <c r="R1360" s="3" t="s">
        <v>67</v>
      </c>
      <c r="S1360" s="4">
        <v>4</v>
      </c>
      <c r="T1360" s="4">
        <v>4</v>
      </c>
      <c r="U1360" s="5" t="s">
        <v>5434</v>
      </c>
      <c r="V1360" s="5" t="s">
        <v>5434</v>
      </c>
      <c r="W1360" s="5" t="s">
        <v>69</v>
      </c>
      <c r="X1360" s="5" t="s">
        <v>69</v>
      </c>
      <c r="Y1360" s="4">
        <v>699</v>
      </c>
      <c r="Z1360" s="4">
        <v>34</v>
      </c>
      <c r="AA1360" s="4">
        <v>63</v>
      </c>
      <c r="AB1360" s="4">
        <v>4</v>
      </c>
      <c r="AC1360" s="4">
        <v>7</v>
      </c>
      <c r="AD1360" s="4">
        <v>96</v>
      </c>
      <c r="AE1360" s="4">
        <v>138</v>
      </c>
      <c r="AF1360" s="4">
        <v>2</v>
      </c>
      <c r="AG1360" s="4">
        <v>4</v>
      </c>
      <c r="AH1360" s="4">
        <v>75</v>
      </c>
      <c r="AI1360" s="4">
        <v>103</v>
      </c>
      <c r="AJ1360" s="4">
        <v>9</v>
      </c>
      <c r="AK1360" s="4">
        <v>23</v>
      </c>
      <c r="AL1360" s="4">
        <v>44</v>
      </c>
      <c r="AM1360" s="4">
        <v>58</v>
      </c>
      <c r="AN1360" s="4">
        <v>0</v>
      </c>
      <c r="AO1360" s="4">
        <v>1</v>
      </c>
      <c r="AP1360" s="4">
        <v>21</v>
      </c>
      <c r="AQ1360" s="4">
        <v>40</v>
      </c>
      <c r="AR1360" s="3" t="s">
        <v>63</v>
      </c>
      <c r="AS1360" s="3" t="s">
        <v>63</v>
      </c>
      <c r="AT1360" s="3" t="s">
        <v>62</v>
      </c>
      <c r="AU1360" s="6" t="str">
        <f>HYPERLINK("http://catalog.hathitrust.org/Record/000965997","HathiTrust Record")</f>
        <v>HathiTrust Record</v>
      </c>
      <c r="AV1360" s="6" t="str">
        <f>HYPERLINK("http://mcgill.on.worldcat.org/oclc/170612","Catalog Record")</f>
        <v>Catalog Record</v>
      </c>
      <c r="AW1360" s="6" t="str">
        <f>HYPERLINK("http://www.worldcat.org/oclc/170612","WorldCat Record")</f>
        <v>WorldCat Record</v>
      </c>
      <c r="AX1360" s="3" t="s">
        <v>12457</v>
      </c>
      <c r="AY1360" s="3" t="s">
        <v>12467</v>
      </c>
      <c r="AZ1360" s="3" t="s">
        <v>12468</v>
      </c>
      <c r="BA1360" s="3" t="s">
        <v>12468</v>
      </c>
      <c r="BB1360" s="3" t="s">
        <v>12469</v>
      </c>
      <c r="BC1360" s="3" t="s">
        <v>82</v>
      </c>
      <c r="BD1360" s="3" t="s">
        <v>538</v>
      </c>
      <c r="BF1360" s="3" t="s">
        <v>12469</v>
      </c>
      <c r="BG1360" s="3" t="s">
        <v>12470</v>
      </c>
    </row>
    <row r="1361" spans="1:59" ht="60" x14ac:dyDescent="0.25">
      <c r="A1361" s="2" t="s">
        <v>59</v>
      </c>
      <c r="B1361" s="2" t="s">
        <v>60</v>
      </c>
      <c r="C1361" s="2" t="s">
        <v>12471</v>
      </c>
      <c r="D1361" s="2" t="s">
        <v>12472</v>
      </c>
      <c r="E1361" s="2" t="s">
        <v>12473</v>
      </c>
      <c r="G1361" s="3" t="s">
        <v>63</v>
      </c>
      <c r="I1361" s="3" t="s">
        <v>63</v>
      </c>
      <c r="J1361" s="3" t="s">
        <v>63</v>
      </c>
      <c r="K1361" s="3" t="s">
        <v>64</v>
      </c>
      <c r="L1361" s="2" t="s">
        <v>12474</v>
      </c>
      <c r="M1361" s="2" t="s">
        <v>12475</v>
      </c>
      <c r="N1361" s="3" t="s">
        <v>76</v>
      </c>
      <c r="P1361" s="3" t="s">
        <v>66</v>
      </c>
      <c r="Q1361" s="2" t="s">
        <v>12476</v>
      </c>
      <c r="R1361" s="3" t="s">
        <v>67</v>
      </c>
      <c r="S1361" s="4">
        <v>3</v>
      </c>
      <c r="T1361" s="4">
        <v>3</v>
      </c>
      <c r="U1361" s="5" t="s">
        <v>11666</v>
      </c>
      <c r="V1361" s="5" t="s">
        <v>11666</v>
      </c>
      <c r="W1361" s="5" t="s">
        <v>69</v>
      </c>
      <c r="X1361" s="5" t="s">
        <v>69</v>
      </c>
      <c r="Y1361" s="4">
        <v>176</v>
      </c>
      <c r="Z1361" s="4">
        <v>15</v>
      </c>
      <c r="AA1361" s="4">
        <v>45</v>
      </c>
      <c r="AB1361" s="4">
        <v>1</v>
      </c>
      <c r="AC1361" s="4">
        <v>4</v>
      </c>
      <c r="AD1361" s="4">
        <v>64</v>
      </c>
      <c r="AE1361" s="4">
        <v>79</v>
      </c>
      <c r="AF1361" s="4">
        <v>0</v>
      </c>
      <c r="AG1361" s="4">
        <v>1</v>
      </c>
      <c r="AH1361" s="4">
        <v>60</v>
      </c>
      <c r="AI1361" s="4">
        <v>67</v>
      </c>
      <c r="AJ1361" s="4">
        <v>10</v>
      </c>
      <c r="AK1361" s="4">
        <v>13</v>
      </c>
      <c r="AL1361" s="4">
        <v>41</v>
      </c>
      <c r="AM1361" s="4">
        <v>45</v>
      </c>
      <c r="AN1361" s="4">
        <v>0</v>
      </c>
      <c r="AO1361" s="4">
        <v>0</v>
      </c>
      <c r="AP1361" s="4">
        <v>10</v>
      </c>
      <c r="AQ1361" s="4">
        <v>18</v>
      </c>
      <c r="AR1361" s="3" t="s">
        <v>63</v>
      </c>
      <c r="AS1361" s="3" t="s">
        <v>63</v>
      </c>
      <c r="AT1361" s="3" t="s">
        <v>63</v>
      </c>
      <c r="AV1361" s="6" t="str">
        <f>HYPERLINK("http://mcgill.on.worldcat.org/oclc/756282635","Catalog Record")</f>
        <v>Catalog Record</v>
      </c>
      <c r="AW1361" s="6" t="str">
        <f>HYPERLINK("http://www.worldcat.org/oclc/756282635","WorldCat Record")</f>
        <v>WorldCat Record</v>
      </c>
      <c r="AX1361" s="3" t="s">
        <v>12477</v>
      </c>
      <c r="AY1361" s="3" t="s">
        <v>12478</v>
      </c>
      <c r="AZ1361" s="3" t="s">
        <v>12479</v>
      </c>
      <c r="BA1361" s="3" t="s">
        <v>12479</v>
      </c>
      <c r="BB1361" s="3" t="s">
        <v>12480</v>
      </c>
      <c r="BC1361" s="3" t="s">
        <v>82</v>
      </c>
      <c r="BD1361" s="3" t="s">
        <v>70</v>
      </c>
      <c r="BE1361" s="3" t="s">
        <v>12481</v>
      </c>
      <c r="BF1361" s="3" t="s">
        <v>12480</v>
      </c>
      <c r="BG1361" s="3" t="s">
        <v>12482</v>
      </c>
    </row>
    <row r="1362" spans="1:59" ht="60" x14ac:dyDescent="0.25">
      <c r="A1362" s="2" t="s">
        <v>59</v>
      </c>
      <c r="B1362" s="2" t="s">
        <v>60</v>
      </c>
      <c r="C1362" s="2" t="s">
        <v>12483</v>
      </c>
      <c r="D1362" s="2" t="s">
        <v>12484</v>
      </c>
      <c r="E1362" s="2" t="s">
        <v>12485</v>
      </c>
      <c r="G1362" s="3" t="s">
        <v>63</v>
      </c>
      <c r="I1362" s="3" t="s">
        <v>63</v>
      </c>
      <c r="J1362" s="3" t="s">
        <v>63</v>
      </c>
      <c r="K1362" s="3" t="s">
        <v>64</v>
      </c>
      <c r="L1362" s="2" t="s">
        <v>12486</v>
      </c>
      <c r="M1362" s="2" t="s">
        <v>12487</v>
      </c>
      <c r="N1362" s="3" t="s">
        <v>161</v>
      </c>
      <c r="P1362" s="3" t="s">
        <v>66</v>
      </c>
      <c r="R1362" s="3" t="s">
        <v>67</v>
      </c>
      <c r="S1362" s="4">
        <v>58</v>
      </c>
      <c r="T1362" s="4">
        <v>58</v>
      </c>
      <c r="U1362" s="5" t="s">
        <v>12488</v>
      </c>
      <c r="V1362" s="5" t="s">
        <v>12488</v>
      </c>
      <c r="W1362" s="5" t="s">
        <v>69</v>
      </c>
      <c r="X1362" s="5" t="s">
        <v>69</v>
      </c>
      <c r="Y1362" s="4">
        <v>346</v>
      </c>
      <c r="Z1362" s="4">
        <v>19</v>
      </c>
      <c r="AA1362" s="4">
        <v>25</v>
      </c>
      <c r="AB1362" s="4">
        <v>1</v>
      </c>
      <c r="AC1362" s="4">
        <v>6</v>
      </c>
      <c r="AD1362" s="4">
        <v>108</v>
      </c>
      <c r="AE1362" s="4">
        <v>112</v>
      </c>
      <c r="AF1362" s="4">
        <v>0</v>
      </c>
      <c r="AG1362" s="4">
        <v>2</v>
      </c>
      <c r="AH1362" s="4">
        <v>98</v>
      </c>
      <c r="AI1362" s="4">
        <v>101</v>
      </c>
      <c r="AJ1362" s="4">
        <v>16</v>
      </c>
      <c r="AK1362" s="4">
        <v>18</v>
      </c>
      <c r="AL1362" s="4">
        <v>53</v>
      </c>
      <c r="AM1362" s="4">
        <v>54</v>
      </c>
      <c r="AN1362" s="4">
        <v>0</v>
      </c>
      <c r="AO1362" s="4">
        <v>0</v>
      </c>
      <c r="AP1362" s="4">
        <v>17</v>
      </c>
      <c r="AQ1362" s="4">
        <v>18</v>
      </c>
      <c r="AR1362" s="3" t="s">
        <v>63</v>
      </c>
      <c r="AS1362" s="3" t="s">
        <v>63</v>
      </c>
      <c r="AT1362" s="3" t="s">
        <v>62</v>
      </c>
      <c r="AU1362" s="6" t="str">
        <f>HYPERLINK("http://catalog.hathitrust.org/Record/001837554","HathiTrust Record")</f>
        <v>HathiTrust Record</v>
      </c>
      <c r="AV1362" s="6" t="str">
        <f>HYPERLINK("http://mcgill.on.worldcat.org/oclc/19888346","Catalog Record")</f>
        <v>Catalog Record</v>
      </c>
      <c r="AW1362" s="6" t="str">
        <f>HYPERLINK("http://www.worldcat.org/oclc/19888346","WorldCat Record")</f>
        <v>WorldCat Record</v>
      </c>
      <c r="AX1362" s="3" t="s">
        <v>12489</v>
      </c>
      <c r="AY1362" s="3" t="s">
        <v>12490</v>
      </c>
      <c r="AZ1362" s="3" t="s">
        <v>12491</v>
      </c>
      <c r="BA1362" s="3" t="s">
        <v>12491</v>
      </c>
      <c r="BB1362" s="3" t="s">
        <v>12492</v>
      </c>
      <c r="BC1362" s="3" t="s">
        <v>82</v>
      </c>
      <c r="BD1362" s="3" t="s">
        <v>70</v>
      </c>
      <c r="BE1362" s="3" t="s">
        <v>12493</v>
      </c>
      <c r="BF1362" s="3" t="s">
        <v>12492</v>
      </c>
      <c r="BG1362" s="3" t="s">
        <v>12494</v>
      </c>
    </row>
    <row r="1363" spans="1:59" ht="60" x14ac:dyDescent="0.25">
      <c r="A1363" s="2" t="s">
        <v>59</v>
      </c>
      <c r="B1363" s="2" t="s">
        <v>60</v>
      </c>
      <c r="C1363" s="2" t="s">
        <v>12495</v>
      </c>
      <c r="D1363" s="2" t="s">
        <v>12496</v>
      </c>
      <c r="E1363" s="2" t="s">
        <v>12497</v>
      </c>
      <c r="G1363" s="3" t="s">
        <v>63</v>
      </c>
      <c r="I1363" s="3" t="s">
        <v>63</v>
      </c>
      <c r="J1363" s="3" t="s">
        <v>62</v>
      </c>
      <c r="K1363" s="3" t="s">
        <v>64</v>
      </c>
      <c r="L1363" s="2" t="s">
        <v>12498</v>
      </c>
      <c r="M1363" s="2" t="s">
        <v>12499</v>
      </c>
      <c r="N1363" s="3" t="s">
        <v>12500</v>
      </c>
      <c r="P1363" s="3" t="s">
        <v>66</v>
      </c>
      <c r="R1363" s="3" t="s">
        <v>67</v>
      </c>
      <c r="S1363" s="4">
        <v>3</v>
      </c>
      <c r="T1363" s="4">
        <v>3</v>
      </c>
      <c r="U1363" s="5" t="s">
        <v>9180</v>
      </c>
      <c r="V1363" s="5" t="s">
        <v>9180</v>
      </c>
      <c r="W1363" s="5" t="s">
        <v>69</v>
      </c>
      <c r="X1363" s="5" t="s">
        <v>69</v>
      </c>
      <c r="Y1363" s="4">
        <v>192</v>
      </c>
      <c r="Z1363" s="4">
        <v>5</v>
      </c>
      <c r="AA1363" s="4">
        <v>14</v>
      </c>
      <c r="AB1363" s="4">
        <v>1</v>
      </c>
      <c r="AC1363" s="4">
        <v>2</v>
      </c>
      <c r="AD1363" s="4">
        <v>62</v>
      </c>
      <c r="AE1363" s="4">
        <v>78</v>
      </c>
      <c r="AF1363" s="4">
        <v>0</v>
      </c>
      <c r="AG1363" s="4">
        <v>1</v>
      </c>
      <c r="AH1363" s="4">
        <v>56</v>
      </c>
      <c r="AI1363" s="4">
        <v>67</v>
      </c>
      <c r="AJ1363" s="4">
        <v>4</v>
      </c>
      <c r="AK1363" s="4">
        <v>10</v>
      </c>
      <c r="AL1363" s="4">
        <v>35</v>
      </c>
      <c r="AM1363" s="4">
        <v>42</v>
      </c>
      <c r="AN1363" s="4">
        <v>0</v>
      </c>
      <c r="AO1363" s="4">
        <v>0</v>
      </c>
      <c r="AP1363" s="4">
        <v>4</v>
      </c>
      <c r="AQ1363" s="4">
        <v>10</v>
      </c>
      <c r="AR1363" s="3" t="s">
        <v>63</v>
      </c>
      <c r="AS1363" s="3" t="s">
        <v>63</v>
      </c>
      <c r="AT1363" s="3" t="s">
        <v>63</v>
      </c>
      <c r="AV1363" s="6" t="str">
        <f>HYPERLINK("http://mcgill.on.worldcat.org/oclc/675198","Catalog Record")</f>
        <v>Catalog Record</v>
      </c>
      <c r="AW1363" s="6" t="str">
        <f>HYPERLINK("http://www.worldcat.org/oclc/675198","WorldCat Record")</f>
        <v>WorldCat Record</v>
      </c>
      <c r="AX1363" s="3" t="s">
        <v>12501</v>
      </c>
      <c r="AY1363" s="3" t="s">
        <v>12502</v>
      </c>
      <c r="AZ1363" s="3" t="s">
        <v>12503</v>
      </c>
      <c r="BA1363" s="3" t="s">
        <v>12503</v>
      </c>
      <c r="BB1363" s="3" t="s">
        <v>12504</v>
      </c>
      <c r="BC1363" s="3" t="s">
        <v>82</v>
      </c>
      <c r="BD1363" s="3" t="s">
        <v>70</v>
      </c>
      <c r="BF1363" s="3" t="s">
        <v>12504</v>
      </c>
      <c r="BG1363" s="3" t="s">
        <v>12505</v>
      </c>
    </row>
    <row r="1364" spans="1:59" ht="60" x14ac:dyDescent="0.25">
      <c r="A1364" s="2" t="s">
        <v>59</v>
      </c>
      <c r="B1364" s="2" t="s">
        <v>60</v>
      </c>
      <c r="C1364" s="2" t="s">
        <v>12506</v>
      </c>
      <c r="D1364" s="2" t="s">
        <v>12507</v>
      </c>
      <c r="E1364" s="2" t="s">
        <v>12508</v>
      </c>
      <c r="G1364" s="3" t="s">
        <v>63</v>
      </c>
      <c r="I1364" s="3" t="s">
        <v>63</v>
      </c>
      <c r="J1364" s="3" t="s">
        <v>63</v>
      </c>
      <c r="K1364" s="3" t="s">
        <v>64</v>
      </c>
      <c r="M1364" s="2" t="s">
        <v>12509</v>
      </c>
      <c r="N1364" s="3" t="s">
        <v>743</v>
      </c>
      <c r="P1364" s="3" t="s">
        <v>90</v>
      </c>
      <c r="R1364" s="3" t="s">
        <v>67</v>
      </c>
      <c r="S1364" s="4">
        <v>4</v>
      </c>
      <c r="T1364" s="4">
        <v>4</v>
      </c>
      <c r="U1364" s="5" t="s">
        <v>4037</v>
      </c>
      <c r="V1364" s="5" t="s">
        <v>4037</v>
      </c>
      <c r="W1364" s="5" t="s">
        <v>69</v>
      </c>
      <c r="X1364" s="5" t="s">
        <v>69</v>
      </c>
      <c r="Y1364" s="4">
        <v>139</v>
      </c>
      <c r="Z1364" s="4">
        <v>9</v>
      </c>
      <c r="AA1364" s="4">
        <v>9</v>
      </c>
      <c r="AB1364" s="4">
        <v>1</v>
      </c>
      <c r="AC1364" s="4">
        <v>1</v>
      </c>
      <c r="AD1364" s="4">
        <v>75</v>
      </c>
      <c r="AE1364" s="4">
        <v>75</v>
      </c>
      <c r="AF1364" s="4">
        <v>0</v>
      </c>
      <c r="AG1364" s="4">
        <v>0</v>
      </c>
      <c r="AH1364" s="4">
        <v>70</v>
      </c>
      <c r="AI1364" s="4">
        <v>70</v>
      </c>
      <c r="AJ1364" s="4">
        <v>8</v>
      </c>
      <c r="AK1364" s="4">
        <v>8</v>
      </c>
      <c r="AL1364" s="4">
        <v>46</v>
      </c>
      <c r="AM1364" s="4">
        <v>46</v>
      </c>
      <c r="AN1364" s="4">
        <v>0</v>
      </c>
      <c r="AO1364" s="4">
        <v>0</v>
      </c>
      <c r="AP1364" s="4">
        <v>8</v>
      </c>
      <c r="AQ1364" s="4">
        <v>8</v>
      </c>
      <c r="AR1364" s="3" t="s">
        <v>63</v>
      </c>
      <c r="AS1364" s="3" t="s">
        <v>63</v>
      </c>
      <c r="AT1364" s="3" t="s">
        <v>62</v>
      </c>
      <c r="AU1364" s="6" t="str">
        <f>HYPERLINK("http://catalog.hathitrust.org/Record/001224435","HathiTrust Record")</f>
        <v>HathiTrust Record</v>
      </c>
      <c r="AV1364" s="6" t="str">
        <f>HYPERLINK("http://mcgill.on.worldcat.org/oclc/2479598","Catalog Record")</f>
        <v>Catalog Record</v>
      </c>
      <c r="AW1364" s="6" t="str">
        <f>HYPERLINK("http://www.worldcat.org/oclc/2479598","WorldCat Record")</f>
        <v>WorldCat Record</v>
      </c>
      <c r="AX1364" s="3" t="s">
        <v>12510</v>
      </c>
      <c r="AY1364" s="3" t="s">
        <v>12511</v>
      </c>
      <c r="AZ1364" s="3" t="s">
        <v>12512</v>
      </c>
      <c r="BA1364" s="3" t="s">
        <v>12512</v>
      </c>
      <c r="BB1364" s="3" t="s">
        <v>12513</v>
      </c>
      <c r="BC1364" s="3" t="s">
        <v>82</v>
      </c>
      <c r="BD1364" s="3" t="s">
        <v>70</v>
      </c>
      <c r="BF1364" s="3" t="s">
        <v>12513</v>
      </c>
      <c r="BG1364" s="3" t="s">
        <v>12514</v>
      </c>
    </row>
    <row r="1365" spans="1:59" ht="60" x14ac:dyDescent="0.25">
      <c r="A1365" s="2" t="s">
        <v>59</v>
      </c>
      <c r="B1365" s="2" t="s">
        <v>60</v>
      </c>
      <c r="C1365" s="2" t="s">
        <v>12515</v>
      </c>
      <c r="D1365" s="2" t="s">
        <v>12516</v>
      </c>
      <c r="E1365" s="2" t="s">
        <v>12517</v>
      </c>
      <c r="G1365" s="3" t="s">
        <v>63</v>
      </c>
      <c r="I1365" s="3" t="s">
        <v>63</v>
      </c>
      <c r="J1365" s="3" t="s">
        <v>62</v>
      </c>
      <c r="K1365" s="3" t="s">
        <v>64</v>
      </c>
      <c r="M1365" s="2" t="s">
        <v>12518</v>
      </c>
      <c r="N1365" s="3" t="s">
        <v>2535</v>
      </c>
      <c r="P1365" s="3" t="s">
        <v>548</v>
      </c>
      <c r="Q1365" s="2" t="s">
        <v>12519</v>
      </c>
      <c r="R1365" s="3" t="s">
        <v>67</v>
      </c>
      <c r="S1365" s="4">
        <v>4</v>
      </c>
      <c r="T1365" s="4">
        <v>4</v>
      </c>
      <c r="U1365" s="5" t="s">
        <v>12520</v>
      </c>
      <c r="V1365" s="5" t="s">
        <v>12520</v>
      </c>
      <c r="W1365" s="5" t="s">
        <v>69</v>
      </c>
      <c r="X1365" s="5" t="s">
        <v>69</v>
      </c>
      <c r="Y1365" s="4">
        <v>124</v>
      </c>
      <c r="Z1365" s="4">
        <v>15</v>
      </c>
      <c r="AA1365" s="4">
        <v>21</v>
      </c>
      <c r="AB1365" s="4">
        <v>2</v>
      </c>
      <c r="AC1365" s="4">
        <v>7</v>
      </c>
      <c r="AD1365" s="4">
        <v>72</v>
      </c>
      <c r="AE1365" s="4">
        <v>77</v>
      </c>
      <c r="AF1365" s="4">
        <v>0</v>
      </c>
      <c r="AG1365" s="4">
        <v>3</v>
      </c>
      <c r="AH1365" s="4">
        <v>65</v>
      </c>
      <c r="AI1365" s="4">
        <v>66</v>
      </c>
      <c r="AJ1365" s="4">
        <v>11</v>
      </c>
      <c r="AK1365" s="4">
        <v>14</v>
      </c>
      <c r="AL1365" s="4">
        <v>41</v>
      </c>
      <c r="AM1365" s="4">
        <v>42</v>
      </c>
      <c r="AN1365" s="4">
        <v>0</v>
      </c>
      <c r="AO1365" s="4">
        <v>0</v>
      </c>
      <c r="AP1365" s="4">
        <v>11</v>
      </c>
      <c r="AQ1365" s="4">
        <v>14</v>
      </c>
      <c r="AR1365" s="3" t="s">
        <v>63</v>
      </c>
      <c r="AS1365" s="3" t="s">
        <v>63</v>
      </c>
      <c r="AT1365" s="3" t="s">
        <v>62</v>
      </c>
      <c r="AU1365" s="6" t="str">
        <f>HYPERLINK("http://catalog.hathitrust.org/Record/001224434","HathiTrust Record")</f>
        <v>HathiTrust Record</v>
      </c>
      <c r="AV1365" s="6" t="str">
        <f>HYPERLINK("http://mcgill.on.worldcat.org/oclc/985797","Catalog Record")</f>
        <v>Catalog Record</v>
      </c>
      <c r="AW1365" s="6" t="str">
        <f>HYPERLINK("http://www.worldcat.org/oclc/985797","WorldCat Record")</f>
        <v>WorldCat Record</v>
      </c>
      <c r="AX1365" s="3" t="s">
        <v>12521</v>
      </c>
      <c r="AY1365" s="3" t="s">
        <v>12522</v>
      </c>
      <c r="AZ1365" s="3" t="s">
        <v>12523</v>
      </c>
      <c r="BA1365" s="3" t="s">
        <v>12523</v>
      </c>
      <c r="BB1365" s="3" t="s">
        <v>12524</v>
      </c>
      <c r="BC1365" s="3" t="s">
        <v>82</v>
      </c>
      <c r="BD1365" s="3" t="s">
        <v>70</v>
      </c>
      <c r="BF1365" s="3" t="s">
        <v>12524</v>
      </c>
      <c r="BG1365" s="3" t="s">
        <v>12525</v>
      </c>
    </row>
    <row r="1366" spans="1:59" ht="60" x14ac:dyDescent="0.25">
      <c r="A1366" s="2" t="s">
        <v>59</v>
      </c>
      <c r="B1366" s="2" t="s">
        <v>60</v>
      </c>
      <c r="C1366" s="2" t="s">
        <v>12526</v>
      </c>
      <c r="D1366" s="2" t="s">
        <v>12527</v>
      </c>
      <c r="E1366" s="2" t="s">
        <v>12528</v>
      </c>
      <c r="F1366" s="3" t="s">
        <v>12529</v>
      </c>
      <c r="G1366" s="3" t="s">
        <v>62</v>
      </c>
      <c r="I1366" s="3" t="s">
        <v>63</v>
      </c>
      <c r="J1366" s="3" t="s">
        <v>63</v>
      </c>
      <c r="K1366" s="3" t="s">
        <v>64</v>
      </c>
      <c r="M1366" s="2" t="s">
        <v>12530</v>
      </c>
      <c r="N1366" s="3" t="s">
        <v>2393</v>
      </c>
      <c r="P1366" s="3" t="s">
        <v>66</v>
      </c>
      <c r="R1366" s="3" t="s">
        <v>67</v>
      </c>
      <c r="S1366" s="4">
        <v>1</v>
      </c>
      <c r="T1366" s="4">
        <v>15</v>
      </c>
      <c r="U1366" s="5" t="s">
        <v>12531</v>
      </c>
      <c r="V1366" s="5" t="s">
        <v>12532</v>
      </c>
      <c r="W1366" s="5" t="s">
        <v>69</v>
      </c>
      <c r="X1366" s="5" t="s">
        <v>69</v>
      </c>
      <c r="Y1366" s="4">
        <v>127</v>
      </c>
      <c r="Z1366" s="4">
        <v>9</v>
      </c>
      <c r="AA1366" s="4">
        <v>10</v>
      </c>
      <c r="AB1366" s="4">
        <v>1</v>
      </c>
      <c r="AC1366" s="4">
        <v>1</v>
      </c>
      <c r="AD1366" s="4">
        <v>70</v>
      </c>
      <c r="AE1366" s="4">
        <v>71</v>
      </c>
      <c r="AF1366" s="4">
        <v>0</v>
      </c>
      <c r="AG1366" s="4">
        <v>0</v>
      </c>
      <c r="AH1366" s="4">
        <v>66</v>
      </c>
      <c r="AI1366" s="4">
        <v>66</v>
      </c>
      <c r="AJ1366" s="4">
        <v>7</v>
      </c>
      <c r="AK1366" s="4">
        <v>8</v>
      </c>
      <c r="AL1366" s="4">
        <v>39</v>
      </c>
      <c r="AM1366" s="4">
        <v>39</v>
      </c>
      <c r="AN1366" s="4">
        <v>0</v>
      </c>
      <c r="AO1366" s="4">
        <v>0</v>
      </c>
      <c r="AP1366" s="4">
        <v>7</v>
      </c>
      <c r="AQ1366" s="4">
        <v>8</v>
      </c>
      <c r="AR1366" s="3" t="s">
        <v>63</v>
      </c>
      <c r="AS1366" s="3" t="s">
        <v>63</v>
      </c>
      <c r="AT1366" s="3" t="s">
        <v>62</v>
      </c>
      <c r="AU1366" s="6" t="str">
        <f>HYPERLINK("http://catalog.hathitrust.org/Record/000392864","HathiTrust Record")</f>
        <v>HathiTrust Record</v>
      </c>
      <c r="AV1366" s="6" t="str">
        <f>HYPERLINK("http://mcgill.on.worldcat.org/oclc/1119075","Catalog Record")</f>
        <v>Catalog Record</v>
      </c>
      <c r="AW1366" s="6" t="str">
        <f>HYPERLINK("http://www.worldcat.org/oclc/1119075","WorldCat Record")</f>
        <v>WorldCat Record</v>
      </c>
      <c r="AX1366" s="3" t="s">
        <v>12533</v>
      </c>
      <c r="AY1366" s="3" t="s">
        <v>12534</v>
      </c>
      <c r="AZ1366" s="3" t="s">
        <v>12535</v>
      </c>
      <c r="BA1366" s="3" t="s">
        <v>12535</v>
      </c>
      <c r="BB1366" s="3" t="s">
        <v>12536</v>
      </c>
      <c r="BC1366" s="3" t="s">
        <v>82</v>
      </c>
      <c r="BD1366" s="3" t="s">
        <v>70</v>
      </c>
      <c r="BE1366" s="3" t="s">
        <v>12537</v>
      </c>
      <c r="BF1366" s="3" t="s">
        <v>12536</v>
      </c>
      <c r="BG1366" s="3" t="s">
        <v>12538</v>
      </c>
    </row>
    <row r="1367" spans="1:59" ht="60" x14ac:dyDescent="0.25">
      <c r="A1367" s="2" t="s">
        <v>59</v>
      </c>
      <c r="B1367" s="2" t="s">
        <v>60</v>
      </c>
      <c r="C1367" s="2" t="s">
        <v>12526</v>
      </c>
      <c r="D1367" s="2" t="s">
        <v>12527</v>
      </c>
      <c r="E1367" s="2" t="s">
        <v>12528</v>
      </c>
      <c r="F1367" s="3" t="s">
        <v>12539</v>
      </c>
      <c r="G1367" s="3" t="s">
        <v>62</v>
      </c>
      <c r="I1367" s="3" t="s">
        <v>63</v>
      </c>
      <c r="J1367" s="3" t="s">
        <v>63</v>
      </c>
      <c r="K1367" s="3" t="s">
        <v>64</v>
      </c>
      <c r="M1367" s="2" t="s">
        <v>12530</v>
      </c>
      <c r="N1367" s="3" t="s">
        <v>2393</v>
      </c>
      <c r="P1367" s="3" t="s">
        <v>66</v>
      </c>
      <c r="R1367" s="3" t="s">
        <v>67</v>
      </c>
      <c r="S1367" s="4">
        <v>2</v>
      </c>
      <c r="T1367" s="4">
        <v>15</v>
      </c>
      <c r="U1367" s="5" t="s">
        <v>12532</v>
      </c>
      <c r="V1367" s="5" t="s">
        <v>12532</v>
      </c>
      <c r="W1367" s="5" t="s">
        <v>69</v>
      </c>
      <c r="X1367" s="5" t="s">
        <v>69</v>
      </c>
      <c r="Y1367" s="4">
        <v>127</v>
      </c>
      <c r="Z1367" s="4">
        <v>9</v>
      </c>
      <c r="AA1367" s="4">
        <v>10</v>
      </c>
      <c r="AB1367" s="4">
        <v>1</v>
      </c>
      <c r="AC1367" s="4">
        <v>1</v>
      </c>
      <c r="AD1367" s="4">
        <v>70</v>
      </c>
      <c r="AE1367" s="4">
        <v>71</v>
      </c>
      <c r="AF1367" s="4">
        <v>0</v>
      </c>
      <c r="AG1367" s="4">
        <v>0</v>
      </c>
      <c r="AH1367" s="4">
        <v>66</v>
      </c>
      <c r="AI1367" s="4">
        <v>66</v>
      </c>
      <c r="AJ1367" s="4">
        <v>7</v>
      </c>
      <c r="AK1367" s="4">
        <v>8</v>
      </c>
      <c r="AL1367" s="4">
        <v>39</v>
      </c>
      <c r="AM1367" s="4">
        <v>39</v>
      </c>
      <c r="AN1367" s="4">
        <v>0</v>
      </c>
      <c r="AO1367" s="4">
        <v>0</v>
      </c>
      <c r="AP1367" s="4">
        <v>7</v>
      </c>
      <c r="AQ1367" s="4">
        <v>8</v>
      </c>
      <c r="AR1367" s="3" t="s">
        <v>63</v>
      </c>
      <c r="AS1367" s="3" t="s">
        <v>63</v>
      </c>
      <c r="AT1367" s="3" t="s">
        <v>62</v>
      </c>
      <c r="AU1367" s="6" t="str">
        <f>HYPERLINK("http://catalog.hathitrust.org/Record/000392864","HathiTrust Record")</f>
        <v>HathiTrust Record</v>
      </c>
      <c r="AV1367" s="6" t="str">
        <f>HYPERLINK("http://mcgill.on.worldcat.org/oclc/1119075","Catalog Record")</f>
        <v>Catalog Record</v>
      </c>
      <c r="AW1367" s="6" t="str">
        <f>HYPERLINK("http://www.worldcat.org/oclc/1119075","WorldCat Record")</f>
        <v>WorldCat Record</v>
      </c>
      <c r="AX1367" s="3" t="s">
        <v>12533</v>
      </c>
      <c r="AY1367" s="3" t="s">
        <v>12534</v>
      </c>
      <c r="AZ1367" s="3" t="s">
        <v>12535</v>
      </c>
      <c r="BA1367" s="3" t="s">
        <v>12535</v>
      </c>
      <c r="BB1367" s="3" t="s">
        <v>12540</v>
      </c>
      <c r="BC1367" s="3" t="s">
        <v>82</v>
      </c>
      <c r="BD1367" s="3" t="s">
        <v>70</v>
      </c>
      <c r="BE1367" s="3" t="s">
        <v>12537</v>
      </c>
      <c r="BF1367" s="3" t="s">
        <v>12540</v>
      </c>
      <c r="BG1367" s="3" t="s">
        <v>12541</v>
      </c>
    </row>
    <row r="1368" spans="1:59" ht="60" x14ac:dyDescent="0.25">
      <c r="A1368" s="2" t="s">
        <v>59</v>
      </c>
      <c r="B1368" s="2" t="s">
        <v>60</v>
      </c>
      <c r="C1368" s="2" t="s">
        <v>12526</v>
      </c>
      <c r="D1368" s="2" t="s">
        <v>12527</v>
      </c>
      <c r="E1368" s="2" t="s">
        <v>12528</v>
      </c>
      <c r="F1368" s="3" t="s">
        <v>12542</v>
      </c>
      <c r="G1368" s="3" t="s">
        <v>62</v>
      </c>
      <c r="I1368" s="3" t="s">
        <v>63</v>
      </c>
      <c r="J1368" s="3" t="s">
        <v>63</v>
      </c>
      <c r="K1368" s="3" t="s">
        <v>64</v>
      </c>
      <c r="M1368" s="2" t="s">
        <v>12530</v>
      </c>
      <c r="N1368" s="3" t="s">
        <v>2393</v>
      </c>
      <c r="P1368" s="3" t="s">
        <v>66</v>
      </c>
      <c r="R1368" s="3" t="s">
        <v>67</v>
      </c>
      <c r="S1368" s="4">
        <v>0</v>
      </c>
      <c r="T1368" s="4">
        <v>15</v>
      </c>
      <c r="V1368" s="5" t="s">
        <v>12532</v>
      </c>
      <c r="W1368" s="5" t="s">
        <v>69</v>
      </c>
      <c r="X1368" s="5" t="s">
        <v>69</v>
      </c>
      <c r="Y1368" s="4">
        <v>127</v>
      </c>
      <c r="Z1368" s="4">
        <v>9</v>
      </c>
      <c r="AA1368" s="4">
        <v>10</v>
      </c>
      <c r="AB1368" s="4">
        <v>1</v>
      </c>
      <c r="AC1368" s="4">
        <v>1</v>
      </c>
      <c r="AD1368" s="4">
        <v>70</v>
      </c>
      <c r="AE1368" s="4">
        <v>71</v>
      </c>
      <c r="AF1368" s="4">
        <v>0</v>
      </c>
      <c r="AG1368" s="4">
        <v>0</v>
      </c>
      <c r="AH1368" s="4">
        <v>66</v>
      </c>
      <c r="AI1368" s="4">
        <v>66</v>
      </c>
      <c r="AJ1368" s="4">
        <v>7</v>
      </c>
      <c r="AK1368" s="4">
        <v>8</v>
      </c>
      <c r="AL1368" s="4">
        <v>39</v>
      </c>
      <c r="AM1368" s="4">
        <v>39</v>
      </c>
      <c r="AN1368" s="4">
        <v>0</v>
      </c>
      <c r="AO1368" s="4">
        <v>0</v>
      </c>
      <c r="AP1368" s="4">
        <v>7</v>
      </c>
      <c r="AQ1368" s="4">
        <v>8</v>
      </c>
      <c r="AR1368" s="3" t="s">
        <v>63</v>
      </c>
      <c r="AS1368" s="3" t="s">
        <v>63</v>
      </c>
      <c r="AT1368" s="3" t="s">
        <v>62</v>
      </c>
      <c r="AU1368" s="6" t="str">
        <f>HYPERLINK("http://catalog.hathitrust.org/Record/000392864","HathiTrust Record")</f>
        <v>HathiTrust Record</v>
      </c>
      <c r="AV1368" s="6" t="str">
        <f>HYPERLINK("http://mcgill.on.worldcat.org/oclc/1119075","Catalog Record")</f>
        <v>Catalog Record</v>
      </c>
      <c r="AW1368" s="6" t="str">
        <f>HYPERLINK("http://www.worldcat.org/oclc/1119075","WorldCat Record")</f>
        <v>WorldCat Record</v>
      </c>
      <c r="AX1368" s="3" t="s">
        <v>12533</v>
      </c>
      <c r="AY1368" s="3" t="s">
        <v>12534</v>
      </c>
      <c r="AZ1368" s="3" t="s">
        <v>12535</v>
      </c>
      <c r="BA1368" s="3" t="s">
        <v>12535</v>
      </c>
      <c r="BB1368" s="3" t="s">
        <v>12543</v>
      </c>
      <c r="BC1368" s="3" t="s">
        <v>82</v>
      </c>
      <c r="BD1368" s="3" t="s">
        <v>70</v>
      </c>
      <c r="BE1368" s="3" t="s">
        <v>12537</v>
      </c>
      <c r="BF1368" s="3" t="s">
        <v>12543</v>
      </c>
      <c r="BG1368" s="3" t="s">
        <v>12544</v>
      </c>
    </row>
    <row r="1369" spans="1:59" ht="60" x14ac:dyDescent="0.25">
      <c r="A1369" s="2" t="s">
        <v>59</v>
      </c>
      <c r="B1369" s="2" t="s">
        <v>60</v>
      </c>
      <c r="C1369" s="2" t="s">
        <v>12526</v>
      </c>
      <c r="D1369" s="2" t="s">
        <v>12527</v>
      </c>
      <c r="E1369" s="2" t="s">
        <v>12528</v>
      </c>
      <c r="F1369" s="3" t="s">
        <v>12545</v>
      </c>
      <c r="G1369" s="3" t="s">
        <v>62</v>
      </c>
      <c r="I1369" s="3" t="s">
        <v>63</v>
      </c>
      <c r="J1369" s="3" t="s">
        <v>63</v>
      </c>
      <c r="K1369" s="3" t="s">
        <v>64</v>
      </c>
      <c r="M1369" s="2" t="s">
        <v>12530</v>
      </c>
      <c r="N1369" s="3" t="s">
        <v>2393</v>
      </c>
      <c r="P1369" s="3" t="s">
        <v>66</v>
      </c>
      <c r="R1369" s="3" t="s">
        <v>67</v>
      </c>
      <c r="S1369" s="4">
        <v>1</v>
      </c>
      <c r="T1369" s="4">
        <v>15</v>
      </c>
      <c r="U1369" s="5" t="s">
        <v>12531</v>
      </c>
      <c r="V1369" s="5" t="s">
        <v>12532</v>
      </c>
      <c r="W1369" s="5" t="s">
        <v>69</v>
      </c>
      <c r="X1369" s="5" t="s">
        <v>69</v>
      </c>
      <c r="Y1369" s="4">
        <v>127</v>
      </c>
      <c r="Z1369" s="4">
        <v>9</v>
      </c>
      <c r="AA1369" s="4">
        <v>10</v>
      </c>
      <c r="AB1369" s="4">
        <v>1</v>
      </c>
      <c r="AC1369" s="4">
        <v>1</v>
      </c>
      <c r="AD1369" s="4">
        <v>70</v>
      </c>
      <c r="AE1369" s="4">
        <v>71</v>
      </c>
      <c r="AF1369" s="4">
        <v>0</v>
      </c>
      <c r="AG1369" s="4">
        <v>0</v>
      </c>
      <c r="AH1369" s="4">
        <v>66</v>
      </c>
      <c r="AI1369" s="4">
        <v>66</v>
      </c>
      <c r="AJ1369" s="4">
        <v>7</v>
      </c>
      <c r="AK1369" s="4">
        <v>8</v>
      </c>
      <c r="AL1369" s="4">
        <v>39</v>
      </c>
      <c r="AM1369" s="4">
        <v>39</v>
      </c>
      <c r="AN1369" s="4">
        <v>0</v>
      </c>
      <c r="AO1369" s="4">
        <v>0</v>
      </c>
      <c r="AP1369" s="4">
        <v>7</v>
      </c>
      <c r="AQ1369" s="4">
        <v>8</v>
      </c>
      <c r="AR1369" s="3" t="s">
        <v>63</v>
      </c>
      <c r="AS1369" s="3" t="s">
        <v>63</v>
      </c>
      <c r="AT1369" s="3" t="s">
        <v>62</v>
      </c>
      <c r="AU1369" s="6" t="str">
        <f>HYPERLINK("http://catalog.hathitrust.org/Record/000392864","HathiTrust Record")</f>
        <v>HathiTrust Record</v>
      </c>
      <c r="AV1369" s="6" t="str">
        <f>HYPERLINK("http://mcgill.on.worldcat.org/oclc/1119075","Catalog Record")</f>
        <v>Catalog Record</v>
      </c>
      <c r="AW1369" s="6" t="str">
        <f>HYPERLINK("http://www.worldcat.org/oclc/1119075","WorldCat Record")</f>
        <v>WorldCat Record</v>
      </c>
      <c r="AX1369" s="3" t="s">
        <v>12533</v>
      </c>
      <c r="AY1369" s="3" t="s">
        <v>12534</v>
      </c>
      <c r="AZ1369" s="3" t="s">
        <v>12535</v>
      </c>
      <c r="BA1369" s="3" t="s">
        <v>12535</v>
      </c>
      <c r="BB1369" s="3" t="s">
        <v>12546</v>
      </c>
      <c r="BC1369" s="3" t="s">
        <v>82</v>
      </c>
      <c r="BD1369" s="3" t="s">
        <v>70</v>
      </c>
      <c r="BE1369" s="3" t="s">
        <v>12537</v>
      </c>
      <c r="BF1369" s="3" t="s">
        <v>12546</v>
      </c>
      <c r="BG1369" s="3" t="s">
        <v>12547</v>
      </c>
    </row>
    <row r="1370" spans="1:59" ht="60" x14ac:dyDescent="0.25">
      <c r="A1370" s="2" t="s">
        <v>59</v>
      </c>
      <c r="B1370" s="2" t="s">
        <v>60</v>
      </c>
      <c r="C1370" s="2" t="s">
        <v>12526</v>
      </c>
      <c r="D1370" s="2" t="s">
        <v>12527</v>
      </c>
      <c r="E1370" s="2" t="s">
        <v>12528</v>
      </c>
      <c r="F1370" s="3" t="s">
        <v>12548</v>
      </c>
      <c r="G1370" s="3" t="s">
        <v>62</v>
      </c>
      <c r="I1370" s="3" t="s">
        <v>63</v>
      </c>
      <c r="J1370" s="3" t="s">
        <v>63</v>
      </c>
      <c r="K1370" s="3" t="s">
        <v>64</v>
      </c>
      <c r="M1370" s="2" t="s">
        <v>12530</v>
      </c>
      <c r="N1370" s="3" t="s">
        <v>2393</v>
      </c>
      <c r="P1370" s="3" t="s">
        <v>66</v>
      </c>
      <c r="R1370" s="3" t="s">
        <v>67</v>
      </c>
      <c r="S1370" s="4">
        <v>0</v>
      </c>
      <c r="T1370" s="4">
        <v>15</v>
      </c>
      <c r="V1370" s="5" t="s">
        <v>12532</v>
      </c>
      <c r="W1370" s="5" t="s">
        <v>69</v>
      </c>
      <c r="X1370" s="5" t="s">
        <v>69</v>
      </c>
      <c r="Y1370" s="4">
        <v>127</v>
      </c>
      <c r="Z1370" s="4">
        <v>9</v>
      </c>
      <c r="AA1370" s="4">
        <v>10</v>
      </c>
      <c r="AB1370" s="4">
        <v>1</v>
      </c>
      <c r="AC1370" s="4">
        <v>1</v>
      </c>
      <c r="AD1370" s="4">
        <v>70</v>
      </c>
      <c r="AE1370" s="4">
        <v>71</v>
      </c>
      <c r="AF1370" s="4">
        <v>0</v>
      </c>
      <c r="AG1370" s="4">
        <v>0</v>
      </c>
      <c r="AH1370" s="4">
        <v>66</v>
      </c>
      <c r="AI1370" s="4">
        <v>66</v>
      </c>
      <c r="AJ1370" s="4">
        <v>7</v>
      </c>
      <c r="AK1370" s="4">
        <v>8</v>
      </c>
      <c r="AL1370" s="4">
        <v>39</v>
      </c>
      <c r="AM1370" s="4">
        <v>39</v>
      </c>
      <c r="AN1370" s="4">
        <v>0</v>
      </c>
      <c r="AO1370" s="4">
        <v>0</v>
      </c>
      <c r="AP1370" s="4">
        <v>7</v>
      </c>
      <c r="AQ1370" s="4">
        <v>8</v>
      </c>
      <c r="AR1370" s="3" t="s">
        <v>63</v>
      </c>
      <c r="AS1370" s="3" t="s">
        <v>63</v>
      </c>
      <c r="AT1370" s="3" t="s">
        <v>62</v>
      </c>
      <c r="AU1370" s="6" t="str">
        <f>HYPERLINK("http://catalog.hathitrust.org/Record/000392864","HathiTrust Record")</f>
        <v>HathiTrust Record</v>
      </c>
      <c r="AV1370" s="6" t="str">
        <f>HYPERLINK("http://mcgill.on.worldcat.org/oclc/1119075","Catalog Record")</f>
        <v>Catalog Record</v>
      </c>
      <c r="AW1370" s="6" t="str">
        <f>HYPERLINK("http://www.worldcat.org/oclc/1119075","WorldCat Record")</f>
        <v>WorldCat Record</v>
      </c>
      <c r="AX1370" s="3" t="s">
        <v>12533</v>
      </c>
      <c r="AY1370" s="3" t="s">
        <v>12534</v>
      </c>
      <c r="AZ1370" s="3" t="s">
        <v>12535</v>
      </c>
      <c r="BA1370" s="3" t="s">
        <v>12535</v>
      </c>
      <c r="BB1370" s="3" t="s">
        <v>12549</v>
      </c>
      <c r="BC1370" s="3" t="s">
        <v>82</v>
      </c>
      <c r="BD1370" s="3" t="s">
        <v>70</v>
      </c>
      <c r="BE1370" s="3" t="s">
        <v>12537</v>
      </c>
      <c r="BF1370" s="3" t="s">
        <v>12549</v>
      </c>
      <c r="BG1370" s="3" t="s">
        <v>12550</v>
      </c>
    </row>
    <row r="1371" spans="1:59" ht="60" x14ac:dyDescent="0.25">
      <c r="A1371" s="2" t="s">
        <v>59</v>
      </c>
      <c r="B1371" s="2" t="s">
        <v>60</v>
      </c>
      <c r="C1371" s="2" t="s">
        <v>12526</v>
      </c>
      <c r="D1371" s="2" t="s">
        <v>12527</v>
      </c>
      <c r="E1371" s="2" t="s">
        <v>12528</v>
      </c>
      <c r="F1371" s="3" t="s">
        <v>12551</v>
      </c>
      <c r="G1371" s="3" t="s">
        <v>62</v>
      </c>
      <c r="I1371" s="3" t="s">
        <v>63</v>
      </c>
      <c r="J1371" s="3" t="s">
        <v>63</v>
      </c>
      <c r="K1371" s="3" t="s">
        <v>64</v>
      </c>
      <c r="M1371" s="2" t="s">
        <v>12530</v>
      </c>
      <c r="N1371" s="3" t="s">
        <v>2393</v>
      </c>
      <c r="P1371" s="3" t="s">
        <v>66</v>
      </c>
      <c r="R1371" s="3" t="s">
        <v>67</v>
      </c>
      <c r="S1371" s="4">
        <v>0</v>
      </c>
      <c r="T1371" s="4">
        <v>15</v>
      </c>
      <c r="V1371" s="5" t="s">
        <v>12532</v>
      </c>
      <c r="W1371" s="5" t="s">
        <v>69</v>
      </c>
      <c r="X1371" s="5" t="s">
        <v>69</v>
      </c>
      <c r="Y1371" s="4">
        <v>127</v>
      </c>
      <c r="Z1371" s="4">
        <v>9</v>
      </c>
      <c r="AA1371" s="4">
        <v>10</v>
      </c>
      <c r="AB1371" s="4">
        <v>1</v>
      </c>
      <c r="AC1371" s="4">
        <v>1</v>
      </c>
      <c r="AD1371" s="4">
        <v>70</v>
      </c>
      <c r="AE1371" s="4">
        <v>71</v>
      </c>
      <c r="AF1371" s="4">
        <v>0</v>
      </c>
      <c r="AG1371" s="4">
        <v>0</v>
      </c>
      <c r="AH1371" s="4">
        <v>66</v>
      </c>
      <c r="AI1371" s="4">
        <v>66</v>
      </c>
      <c r="AJ1371" s="4">
        <v>7</v>
      </c>
      <c r="AK1371" s="4">
        <v>8</v>
      </c>
      <c r="AL1371" s="4">
        <v>39</v>
      </c>
      <c r="AM1371" s="4">
        <v>39</v>
      </c>
      <c r="AN1371" s="4">
        <v>0</v>
      </c>
      <c r="AO1371" s="4">
        <v>0</v>
      </c>
      <c r="AP1371" s="4">
        <v>7</v>
      </c>
      <c r="AQ1371" s="4">
        <v>8</v>
      </c>
      <c r="AR1371" s="3" t="s">
        <v>63</v>
      </c>
      <c r="AS1371" s="3" t="s">
        <v>63</v>
      </c>
      <c r="AT1371" s="3" t="s">
        <v>62</v>
      </c>
      <c r="AU1371" s="6" t="str">
        <f>HYPERLINK("http://catalog.hathitrust.org/Record/000392864","HathiTrust Record")</f>
        <v>HathiTrust Record</v>
      </c>
      <c r="AV1371" s="6" t="str">
        <f>HYPERLINK("http://mcgill.on.worldcat.org/oclc/1119075","Catalog Record")</f>
        <v>Catalog Record</v>
      </c>
      <c r="AW1371" s="6" t="str">
        <f>HYPERLINK("http://www.worldcat.org/oclc/1119075","WorldCat Record")</f>
        <v>WorldCat Record</v>
      </c>
      <c r="AX1371" s="3" t="s">
        <v>12533</v>
      </c>
      <c r="AY1371" s="3" t="s">
        <v>12534</v>
      </c>
      <c r="AZ1371" s="3" t="s">
        <v>12535</v>
      </c>
      <c r="BA1371" s="3" t="s">
        <v>12535</v>
      </c>
      <c r="BB1371" s="3" t="s">
        <v>12552</v>
      </c>
      <c r="BC1371" s="3" t="s">
        <v>82</v>
      </c>
      <c r="BD1371" s="3" t="s">
        <v>70</v>
      </c>
      <c r="BE1371" s="3" t="s">
        <v>12537</v>
      </c>
      <c r="BF1371" s="3" t="s">
        <v>12552</v>
      </c>
      <c r="BG1371" s="3" t="s">
        <v>12553</v>
      </c>
    </row>
    <row r="1372" spans="1:59" ht="60" x14ac:dyDescent="0.25">
      <c r="A1372" s="2" t="s">
        <v>59</v>
      </c>
      <c r="B1372" s="2" t="s">
        <v>60</v>
      </c>
      <c r="C1372" s="2" t="s">
        <v>12526</v>
      </c>
      <c r="D1372" s="2" t="s">
        <v>12527</v>
      </c>
      <c r="E1372" s="2" t="s">
        <v>12528</v>
      </c>
      <c r="F1372" s="3" t="s">
        <v>12554</v>
      </c>
      <c r="G1372" s="3" t="s">
        <v>62</v>
      </c>
      <c r="I1372" s="3" t="s">
        <v>63</v>
      </c>
      <c r="J1372" s="3" t="s">
        <v>63</v>
      </c>
      <c r="K1372" s="3" t="s">
        <v>64</v>
      </c>
      <c r="M1372" s="2" t="s">
        <v>12530</v>
      </c>
      <c r="N1372" s="3" t="s">
        <v>2393</v>
      </c>
      <c r="P1372" s="3" t="s">
        <v>66</v>
      </c>
      <c r="R1372" s="3" t="s">
        <v>67</v>
      </c>
      <c r="S1372" s="4">
        <v>0</v>
      </c>
      <c r="T1372" s="4">
        <v>15</v>
      </c>
      <c r="V1372" s="5" t="s">
        <v>12532</v>
      </c>
      <c r="W1372" s="5" t="s">
        <v>69</v>
      </c>
      <c r="X1372" s="5" t="s">
        <v>69</v>
      </c>
      <c r="Y1372" s="4">
        <v>127</v>
      </c>
      <c r="Z1372" s="4">
        <v>9</v>
      </c>
      <c r="AA1372" s="4">
        <v>10</v>
      </c>
      <c r="AB1372" s="4">
        <v>1</v>
      </c>
      <c r="AC1372" s="4">
        <v>1</v>
      </c>
      <c r="AD1372" s="4">
        <v>70</v>
      </c>
      <c r="AE1372" s="4">
        <v>71</v>
      </c>
      <c r="AF1372" s="4">
        <v>0</v>
      </c>
      <c r="AG1372" s="4">
        <v>0</v>
      </c>
      <c r="AH1372" s="4">
        <v>66</v>
      </c>
      <c r="AI1372" s="4">
        <v>66</v>
      </c>
      <c r="AJ1372" s="4">
        <v>7</v>
      </c>
      <c r="AK1372" s="4">
        <v>8</v>
      </c>
      <c r="AL1372" s="4">
        <v>39</v>
      </c>
      <c r="AM1372" s="4">
        <v>39</v>
      </c>
      <c r="AN1372" s="4">
        <v>0</v>
      </c>
      <c r="AO1372" s="4">
        <v>0</v>
      </c>
      <c r="AP1372" s="4">
        <v>7</v>
      </c>
      <c r="AQ1372" s="4">
        <v>8</v>
      </c>
      <c r="AR1372" s="3" t="s">
        <v>63</v>
      </c>
      <c r="AS1372" s="3" t="s">
        <v>63</v>
      </c>
      <c r="AT1372" s="3" t="s">
        <v>62</v>
      </c>
      <c r="AU1372" s="6" t="str">
        <f>HYPERLINK("http://catalog.hathitrust.org/Record/000392864","HathiTrust Record")</f>
        <v>HathiTrust Record</v>
      </c>
      <c r="AV1372" s="6" t="str">
        <f>HYPERLINK("http://mcgill.on.worldcat.org/oclc/1119075","Catalog Record")</f>
        <v>Catalog Record</v>
      </c>
      <c r="AW1372" s="6" t="str">
        <f>HYPERLINK("http://www.worldcat.org/oclc/1119075","WorldCat Record")</f>
        <v>WorldCat Record</v>
      </c>
      <c r="AX1372" s="3" t="s">
        <v>12533</v>
      </c>
      <c r="AY1372" s="3" t="s">
        <v>12534</v>
      </c>
      <c r="AZ1372" s="3" t="s">
        <v>12535</v>
      </c>
      <c r="BA1372" s="3" t="s">
        <v>12535</v>
      </c>
      <c r="BB1372" s="3" t="s">
        <v>12555</v>
      </c>
      <c r="BC1372" s="3" t="s">
        <v>82</v>
      </c>
      <c r="BD1372" s="3" t="s">
        <v>70</v>
      </c>
      <c r="BE1372" s="3" t="s">
        <v>12537</v>
      </c>
      <c r="BF1372" s="3" t="s">
        <v>12555</v>
      </c>
      <c r="BG1372" s="3" t="s">
        <v>12556</v>
      </c>
    </row>
    <row r="1373" spans="1:59" ht="60" x14ac:dyDescent="0.25">
      <c r="A1373" s="2" t="s">
        <v>59</v>
      </c>
      <c r="B1373" s="2" t="s">
        <v>60</v>
      </c>
      <c r="C1373" s="2" t="s">
        <v>12526</v>
      </c>
      <c r="D1373" s="2" t="s">
        <v>12527</v>
      </c>
      <c r="E1373" s="2" t="s">
        <v>12528</v>
      </c>
      <c r="F1373" s="3" t="s">
        <v>12557</v>
      </c>
      <c r="G1373" s="3" t="s">
        <v>62</v>
      </c>
      <c r="I1373" s="3" t="s">
        <v>63</v>
      </c>
      <c r="J1373" s="3" t="s">
        <v>63</v>
      </c>
      <c r="K1373" s="3" t="s">
        <v>64</v>
      </c>
      <c r="M1373" s="2" t="s">
        <v>12530</v>
      </c>
      <c r="N1373" s="3" t="s">
        <v>2393</v>
      </c>
      <c r="P1373" s="3" t="s">
        <v>66</v>
      </c>
      <c r="R1373" s="3" t="s">
        <v>67</v>
      </c>
      <c r="S1373" s="4">
        <v>0</v>
      </c>
      <c r="T1373" s="4">
        <v>15</v>
      </c>
      <c r="V1373" s="5" t="s">
        <v>12532</v>
      </c>
      <c r="W1373" s="5" t="s">
        <v>69</v>
      </c>
      <c r="X1373" s="5" t="s">
        <v>69</v>
      </c>
      <c r="Y1373" s="4">
        <v>127</v>
      </c>
      <c r="Z1373" s="4">
        <v>9</v>
      </c>
      <c r="AA1373" s="4">
        <v>10</v>
      </c>
      <c r="AB1373" s="4">
        <v>1</v>
      </c>
      <c r="AC1373" s="4">
        <v>1</v>
      </c>
      <c r="AD1373" s="4">
        <v>70</v>
      </c>
      <c r="AE1373" s="4">
        <v>71</v>
      </c>
      <c r="AF1373" s="4">
        <v>0</v>
      </c>
      <c r="AG1373" s="4">
        <v>0</v>
      </c>
      <c r="AH1373" s="4">
        <v>66</v>
      </c>
      <c r="AI1373" s="4">
        <v>66</v>
      </c>
      <c r="AJ1373" s="4">
        <v>7</v>
      </c>
      <c r="AK1373" s="4">
        <v>8</v>
      </c>
      <c r="AL1373" s="4">
        <v>39</v>
      </c>
      <c r="AM1373" s="4">
        <v>39</v>
      </c>
      <c r="AN1373" s="4">
        <v>0</v>
      </c>
      <c r="AO1373" s="4">
        <v>0</v>
      </c>
      <c r="AP1373" s="4">
        <v>7</v>
      </c>
      <c r="AQ1373" s="4">
        <v>8</v>
      </c>
      <c r="AR1373" s="3" t="s">
        <v>63</v>
      </c>
      <c r="AS1373" s="3" t="s">
        <v>63</v>
      </c>
      <c r="AT1373" s="3" t="s">
        <v>62</v>
      </c>
      <c r="AU1373" s="6" t="str">
        <f>HYPERLINK("http://catalog.hathitrust.org/Record/000392864","HathiTrust Record")</f>
        <v>HathiTrust Record</v>
      </c>
      <c r="AV1373" s="6" t="str">
        <f>HYPERLINK("http://mcgill.on.worldcat.org/oclc/1119075","Catalog Record")</f>
        <v>Catalog Record</v>
      </c>
      <c r="AW1373" s="6" t="str">
        <f>HYPERLINK("http://www.worldcat.org/oclc/1119075","WorldCat Record")</f>
        <v>WorldCat Record</v>
      </c>
      <c r="AX1373" s="3" t="s">
        <v>12533</v>
      </c>
      <c r="AY1373" s="3" t="s">
        <v>12534</v>
      </c>
      <c r="AZ1373" s="3" t="s">
        <v>12535</v>
      </c>
      <c r="BA1373" s="3" t="s">
        <v>12535</v>
      </c>
      <c r="BB1373" s="3" t="s">
        <v>12558</v>
      </c>
      <c r="BC1373" s="3" t="s">
        <v>82</v>
      </c>
      <c r="BD1373" s="3" t="s">
        <v>70</v>
      </c>
      <c r="BE1373" s="3" t="s">
        <v>12537</v>
      </c>
      <c r="BF1373" s="3" t="s">
        <v>12558</v>
      </c>
      <c r="BG1373" s="3" t="s">
        <v>12559</v>
      </c>
    </row>
    <row r="1374" spans="1:59" ht="60" x14ac:dyDescent="0.25">
      <c r="A1374" s="2" t="s">
        <v>59</v>
      </c>
      <c r="B1374" s="2" t="s">
        <v>60</v>
      </c>
      <c r="C1374" s="2" t="s">
        <v>12526</v>
      </c>
      <c r="D1374" s="2" t="s">
        <v>12527</v>
      </c>
      <c r="E1374" s="2" t="s">
        <v>12528</v>
      </c>
      <c r="F1374" s="3" t="s">
        <v>12560</v>
      </c>
      <c r="G1374" s="3" t="s">
        <v>62</v>
      </c>
      <c r="I1374" s="3" t="s">
        <v>63</v>
      </c>
      <c r="J1374" s="3" t="s">
        <v>63</v>
      </c>
      <c r="K1374" s="3" t="s">
        <v>64</v>
      </c>
      <c r="M1374" s="2" t="s">
        <v>12530</v>
      </c>
      <c r="N1374" s="3" t="s">
        <v>2393</v>
      </c>
      <c r="P1374" s="3" t="s">
        <v>66</v>
      </c>
      <c r="R1374" s="3" t="s">
        <v>67</v>
      </c>
      <c r="S1374" s="4">
        <v>0</v>
      </c>
      <c r="T1374" s="4">
        <v>15</v>
      </c>
      <c r="V1374" s="5" t="s">
        <v>12532</v>
      </c>
      <c r="W1374" s="5" t="s">
        <v>69</v>
      </c>
      <c r="X1374" s="5" t="s">
        <v>69</v>
      </c>
      <c r="Y1374" s="4">
        <v>127</v>
      </c>
      <c r="Z1374" s="4">
        <v>9</v>
      </c>
      <c r="AA1374" s="4">
        <v>10</v>
      </c>
      <c r="AB1374" s="4">
        <v>1</v>
      </c>
      <c r="AC1374" s="4">
        <v>1</v>
      </c>
      <c r="AD1374" s="4">
        <v>70</v>
      </c>
      <c r="AE1374" s="4">
        <v>71</v>
      </c>
      <c r="AF1374" s="4">
        <v>0</v>
      </c>
      <c r="AG1374" s="4">
        <v>0</v>
      </c>
      <c r="AH1374" s="4">
        <v>66</v>
      </c>
      <c r="AI1374" s="4">
        <v>66</v>
      </c>
      <c r="AJ1374" s="4">
        <v>7</v>
      </c>
      <c r="AK1374" s="4">
        <v>8</v>
      </c>
      <c r="AL1374" s="4">
        <v>39</v>
      </c>
      <c r="AM1374" s="4">
        <v>39</v>
      </c>
      <c r="AN1374" s="4">
        <v>0</v>
      </c>
      <c r="AO1374" s="4">
        <v>0</v>
      </c>
      <c r="AP1374" s="4">
        <v>7</v>
      </c>
      <c r="AQ1374" s="4">
        <v>8</v>
      </c>
      <c r="AR1374" s="3" t="s">
        <v>63</v>
      </c>
      <c r="AS1374" s="3" t="s">
        <v>63</v>
      </c>
      <c r="AT1374" s="3" t="s">
        <v>62</v>
      </c>
      <c r="AU1374" s="6" t="str">
        <f>HYPERLINK("http://catalog.hathitrust.org/Record/000392864","HathiTrust Record")</f>
        <v>HathiTrust Record</v>
      </c>
      <c r="AV1374" s="6" t="str">
        <f>HYPERLINK("http://mcgill.on.worldcat.org/oclc/1119075","Catalog Record")</f>
        <v>Catalog Record</v>
      </c>
      <c r="AW1374" s="6" t="str">
        <f>HYPERLINK("http://www.worldcat.org/oclc/1119075","WorldCat Record")</f>
        <v>WorldCat Record</v>
      </c>
      <c r="AX1374" s="3" t="s">
        <v>12533</v>
      </c>
      <c r="AY1374" s="3" t="s">
        <v>12534</v>
      </c>
      <c r="AZ1374" s="3" t="s">
        <v>12535</v>
      </c>
      <c r="BA1374" s="3" t="s">
        <v>12535</v>
      </c>
      <c r="BB1374" s="3" t="s">
        <v>12561</v>
      </c>
      <c r="BC1374" s="3" t="s">
        <v>82</v>
      </c>
      <c r="BD1374" s="3" t="s">
        <v>70</v>
      </c>
      <c r="BE1374" s="3" t="s">
        <v>12537</v>
      </c>
      <c r="BF1374" s="3" t="s">
        <v>12561</v>
      </c>
      <c r="BG1374" s="3" t="s">
        <v>12562</v>
      </c>
    </row>
    <row r="1375" spans="1:59" ht="60" x14ac:dyDescent="0.25">
      <c r="A1375" s="2" t="s">
        <v>59</v>
      </c>
      <c r="B1375" s="2" t="s">
        <v>60</v>
      </c>
      <c r="C1375" s="2" t="s">
        <v>12526</v>
      </c>
      <c r="D1375" s="2" t="s">
        <v>12527</v>
      </c>
      <c r="E1375" s="2" t="s">
        <v>12528</v>
      </c>
      <c r="F1375" s="3" t="s">
        <v>12563</v>
      </c>
      <c r="G1375" s="3" t="s">
        <v>62</v>
      </c>
      <c r="I1375" s="3" t="s">
        <v>63</v>
      </c>
      <c r="J1375" s="3" t="s">
        <v>63</v>
      </c>
      <c r="K1375" s="3" t="s">
        <v>64</v>
      </c>
      <c r="M1375" s="2" t="s">
        <v>12530</v>
      </c>
      <c r="N1375" s="3" t="s">
        <v>2393</v>
      </c>
      <c r="P1375" s="3" t="s">
        <v>66</v>
      </c>
      <c r="R1375" s="3" t="s">
        <v>67</v>
      </c>
      <c r="S1375" s="4">
        <v>0</v>
      </c>
      <c r="T1375" s="4">
        <v>15</v>
      </c>
      <c r="V1375" s="5" t="s">
        <v>12532</v>
      </c>
      <c r="W1375" s="5" t="s">
        <v>69</v>
      </c>
      <c r="X1375" s="5" t="s">
        <v>69</v>
      </c>
      <c r="Y1375" s="4">
        <v>127</v>
      </c>
      <c r="Z1375" s="4">
        <v>9</v>
      </c>
      <c r="AA1375" s="4">
        <v>10</v>
      </c>
      <c r="AB1375" s="4">
        <v>1</v>
      </c>
      <c r="AC1375" s="4">
        <v>1</v>
      </c>
      <c r="AD1375" s="4">
        <v>70</v>
      </c>
      <c r="AE1375" s="4">
        <v>71</v>
      </c>
      <c r="AF1375" s="4">
        <v>0</v>
      </c>
      <c r="AG1375" s="4">
        <v>0</v>
      </c>
      <c r="AH1375" s="4">
        <v>66</v>
      </c>
      <c r="AI1375" s="4">
        <v>66</v>
      </c>
      <c r="AJ1375" s="4">
        <v>7</v>
      </c>
      <c r="AK1375" s="4">
        <v>8</v>
      </c>
      <c r="AL1375" s="4">
        <v>39</v>
      </c>
      <c r="AM1375" s="4">
        <v>39</v>
      </c>
      <c r="AN1375" s="4">
        <v>0</v>
      </c>
      <c r="AO1375" s="4">
        <v>0</v>
      </c>
      <c r="AP1375" s="4">
        <v>7</v>
      </c>
      <c r="AQ1375" s="4">
        <v>8</v>
      </c>
      <c r="AR1375" s="3" t="s">
        <v>63</v>
      </c>
      <c r="AS1375" s="3" t="s">
        <v>63</v>
      </c>
      <c r="AT1375" s="3" t="s">
        <v>62</v>
      </c>
      <c r="AU1375" s="6" t="str">
        <f>HYPERLINK("http://catalog.hathitrust.org/Record/000392864","HathiTrust Record")</f>
        <v>HathiTrust Record</v>
      </c>
      <c r="AV1375" s="6" t="str">
        <f>HYPERLINK("http://mcgill.on.worldcat.org/oclc/1119075","Catalog Record")</f>
        <v>Catalog Record</v>
      </c>
      <c r="AW1375" s="6" t="str">
        <f>HYPERLINK("http://www.worldcat.org/oclc/1119075","WorldCat Record")</f>
        <v>WorldCat Record</v>
      </c>
      <c r="AX1375" s="3" t="s">
        <v>12533</v>
      </c>
      <c r="AY1375" s="3" t="s">
        <v>12534</v>
      </c>
      <c r="AZ1375" s="3" t="s">
        <v>12535</v>
      </c>
      <c r="BA1375" s="3" t="s">
        <v>12535</v>
      </c>
      <c r="BB1375" s="3" t="s">
        <v>12564</v>
      </c>
      <c r="BC1375" s="3" t="s">
        <v>82</v>
      </c>
      <c r="BD1375" s="3" t="s">
        <v>70</v>
      </c>
      <c r="BE1375" s="3" t="s">
        <v>12537</v>
      </c>
      <c r="BF1375" s="3" t="s">
        <v>12564</v>
      </c>
      <c r="BG1375" s="3" t="s">
        <v>12565</v>
      </c>
    </row>
    <row r="1376" spans="1:59" ht="60" x14ac:dyDescent="0.25">
      <c r="A1376" s="2" t="s">
        <v>59</v>
      </c>
      <c r="B1376" s="2" t="s">
        <v>60</v>
      </c>
      <c r="C1376" s="2" t="s">
        <v>12526</v>
      </c>
      <c r="D1376" s="2" t="s">
        <v>12527</v>
      </c>
      <c r="E1376" s="2" t="s">
        <v>12528</v>
      </c>
      <c r="F1376" s="3" t="s">
        <v>12566</v>
      </c>
      <c r="G1376" s="3" t="s">
        <v>62</v>
      </c>
      <c r="I1376" s="3" t="s">
        <v>63</v>
      </c>
      <c r="J1376" s="3" t="s">
        <v>63</v>
      </c>
      <c r="K1376" s="3" t="s">
        <v>64</v>
      </c>
      <c r="M1376" s="2" t="s">
        <v>12530</v>
      </c>
      <c r="N1376" s="3" t="s">
        <v>2393</v>
      </c>
      <c r="P1376" s="3" t="s">
        <v>66</v>
      </c>
      <c r="R1376" s="3" t="s">
        <v>67</v>
      </c>
      <c r="S1376" s="4">
        <v>3</v>
      </c>
      <c r="T1376" s="4">
        <v>15</v>
      </c>
      <c r="U1376" s="5" t="s">
        <v>12567</v>
      </c>
      <c r="V1376" s="5" t="s">
        <v>12532</v>
      </c>
      <c r="W1376" s="5" t="s">
        <v>69</v>
      </c>
      <c r="X1376" s="5" t="s">
        <v>69</v>
      </c>
      <c r="Y1376" s="4">
        <v>127</v>
      </c>
      <c r="Z1376" s="4">
        <v>9</v>
      </c>
      <c r="AA1376" s="4">
        <v>10</v>
      </c>
      <c r="AB1376" s="4">
        <v>1</v>
      </c>
      <c r="AC1376" s="4">
        <v>1</v>
      </c>
      <c r="AD1376" s="4">
        <v>70</v>
      </c>
      <c r="AE1376" s="4">
        <v>71</v>
      </c>
      <c r="AF1376" s="4">
        <v>0</v>
      </c>
      <c r="AG1376" s="4">
        <v>0</v>
      </c>
      <c r="AH1376" s="4">
        <v>66</v>
      </c>
      <c r="AI1376" s="4">
        <v>66</v>
      </c>
      <c r="AJ1376" s="4">
        <v>7</v>
      </c>
      <c r="AK1376" s="4">
        <v>8</v>
      </c>
      <c r="AL1376" s="4">
        <v>39</v>
      </c>
      <c r="AM1376" s="4">
        <v>39</v>
      </c>
      <c r="AN1376" s="4">
        <v>0</v>
      </c>
      <c r="AO1376" s="4">
        <v>0</v>
      </c>
      <c r="AP1376" s="4">
        <v>7</v>
      </c>
      <c r="AQ1376" s="4">
        <v>8</v>
      </c>
      <c r="AR1376" s="3" t="s">
        <v>63</v>
      </c>
      <c r="AS1376" s="3" t="s">
        <v>63</v>
      </c>
      <c r="AT1376" s="3" t="s">
        <v>62</v>
      </c>
      <c r="AU1376" s="6" t="str">
        <f>HYPERLINK("http://catalog.hathitrust.org/Record/000392864","HathiTrust Record")</f>
        <v>HathiTrust Record</v>
      </c>
      <c r="AV1376" s="6" t="str">
        <f>HYPERLINK("http://mcgill.on.worldcat.org/oclc/1119075","Catalog Record")</f>
        <v>Catalog Record</v>
      </c>
      <c r="AW1376" s="6" t="str">
        <f>HYPERLINK("http://www.worldcat.org/oclc/1119075","WorldCat Record")</f>
        <v>WorldCat Record</v>
      </c>
      <c r="AX1376" s="3" t="s">
        <v>12533</v>
      </c>
      <c r="AY1376" s="3" t="s">
        <v>12534</v>
      </c>
      <c r="AZ1376" s="3" t="s">
        <v>12535</v>
      </c>
      <c r="BA1376" s="3" t="s">
        <v>12535</v>
      </c>
      <c r="BB1376" s="3" t="s">
        <v>12568</v>
      </c>
      <c r="BC1376" s="3" t="s">
        <v>82</v>
      </c>
      <c r="BD1376" s="3" t="s">
        <v>70</v>
      </c>
      <c r="BE1376" s="3" t="s">
        <v>12537</v>
      </c>
      <c r="BF1376" s="3" t="s">
        <v>12568</v>
      </c>
      <c r="BG1376" s="3" t="s">
        <v>12569</v>
      </c>
    </row>
    <row r="1377" spans="1:59" ht="60" x14ac:dyDescent="0.25">
      <c r="A1377" s="2" t="s">
        <v>59</v>
      </c>
      <c r="B1377" s="2" t="s">
        <v>60</v>
      </c>
      <c r="C1377" s="2" t="s">
        <v>12526</v>
      </c>
      <c r="D1377" s="2" t="s">
        <v>12527</v>
      </c>
      <c r="E1377" s="2" t="s">
        <v>12528</v>
      </c>
      <c r="F1377" s="3" t="s">
        <v>12570</v>
      </c>
      <c r="G1377" s="3" t="s">
        <v>62</v>
      </c>
      <c r="I1377" s="3" t="s">
        <v>63</v>
      </c>
      <c r="J1377" s="3" t="s">
        <v>63</v>
      </c>
      <c r="K1377" s="3" t="s">
        <v>64</v>
      </c>
      <c r="M1377" s="2" t="s">
        <v>12530</v>
      </c>
      <c r="N1377" s="3" t="s">
        <v>2393</v>
      </c>
      <c r="P1377" s="3" t="s">
        <v>66</v>
      </c>
      <c r="R1377" s="3" t="s">
        <v>67</v>
      </c>
      <c r="S1377" s="4">
        <v>3</v>
      </c>
      <c r="T1377" s="4">
        <v>15</v>
      </c>
      <c r="U1377" s="5" t="s">
        <v>12567</v>
      </c>
      <c r="V1377" s="5" t="s">
        <v>12532</v>
      </c>
      <c r="W1377" s="5" t="s">
        <v>69</v>
      </c>
      <c r="X1377" s="5" t="s">
        <v>69</v>
      </c>
      <c r="Y1377" s="4">
        <v>127</v>
      </c>
      <c r="Z1377" s="4">
        <v>9</v>
      </c>
      <c r="AA1377" s="4">
        <v>10</v>
      </c>
      <c r="AB1377" s="4">
        <v>1</v>
      </c>
      <c r="AC1377" s="4">
        <v>1</v>
      </c>
      <c r="AD1377" s="4">
        <v>70</v>
      </c>
      <c r="AE1377" s="4">
        <v>71</v>
      </c>
      <c r="AF1377" s="4">
        <v>0</v>
      </c>
      <c r="AG1377" s="4">
        <v>0</v>
      </c>
      <c r="AH1377" s="4">
        <v>66</v>
      </c>
      <c r="AI1377" s="4">
        <v>66</v>
      </c>
      <c r="AJ1377" s="4">
        <v>7</v>
      </c>
      <c r="AK1377" s="4">
        <v>8</v>
      </c>
      <c r="AL1377" s="4">
        <v>39</v>
      </c>
      <c r="AM1377" s="4">
        <v>39</v>
      </c>
      <c r="AN1377" s="4">
        <v>0</v>
      </c>
      <c r="AO1377" s="4">
        <v>0</v>
      </c>
      <c r="AP1377" s="4">
        <v>7</v>
      </c>
      <c r="AQ1377" s="4">
        <v>8</v>
      </c>
      <c r="AR1377" s="3" t="s">
        <v>63</v>
      </c>
      <c r="AS1377" s="3" t="s">
        <v>63</v>
      </c>
      <c r="AT1377" s="3" t="s">
        <v>62</v>
      </c>
      <c r="AU1377" s="6" t="str">
        <f>HYPERLINK("http://catalog.hathitrust.org/Record/000392864","HathiTrust Record")</f>
        <v>HathiTrust Record</v>
      </c>
      <c r="AV1377" s="6" t="str">
        <f>HYPERLINK("http://mcgill.on.worldcat.org/oclc/1119075","Catalog Record")</f>
        <v>Catalog Record</v>
      </c>
      <c r="AW1377" s="6" t="str">
        <f>HYPERLINK("http://www.worldcat.org/oclc/1119075","WorldCat Record")</f>
        <v>WorldCat Record</v>
      </c>
      <c r="AX1377" s="3" t="s">
        <v>12533</v>
      </c>
      <c r="AY1377" s="3" t="s">
        <v>12534</v>
      </c>
      <c r="AZ1377" s="3" t="s">
        <v>12535</v>
      </c>
      <c r="BA1377" s="3" t="s">
        <v>12535</v>
      </c>
      <c r="BB1377" s="3" t="s">
        <v>12571</v>
      </c>
      <c r="BC1377" s="3" t="s">
        <v>82</v>
      </c>
      <c r="BD1377" s="3" t="s">
        <v>70</v>
      </c>
      <c r="BE1377" s="3" t="s">
        <v>12537</v>
      </c>
      <c r="BF1377" s="3" t="s">
        <v>12571</v>
      </c>
      <c r="BG1377" s="3" t="s">
        <v>12572</v>
      </c>
    </row>
    <row r="1378" spans="1:59" ht="60" x14ac:dyDescent="0.25">
      <c r="A1378" s="2" t="s">
        <v>59</v>
      </c>
      <c r="B1378" s="2" t="s">
        <v>60</v>
      </c>
      <c r="C1378" s="2" t="s">
        <v>12526</v>
      </c>
      <c r="D1378" s="2" t="s">
        <v>12527</v>
      </c>
      <c r="E1378" s="2" t="s">
        <v>12528</v>
      </c>
      <c r="F1378" s="3" t="s">
        <v>12573</v>
      </c>
      <c r="G1378" s="3" t="s">
        <v>62</v>
      </c>
      <c r="I1378" s="3" t="s">
        <v>63</v>
      </c>
      <c r="J1378" s="3" t="s">
        <v>63</v>
      </c>
      <c r="K1378" s="3" t="s">
        <v>64</v>
      </c>
      <c r="M1378" s="2" t="s">
        <v>12530</v>
      </c>
      <c r="N1378" s="3" t="s">
        <v>2393</v>
      </c>
      <c r="P1378" s="3" t="s">
        <v>66</v>
      </c>
      <c r="R1378" s="3" t="s">
        <v>67</v>
      </c>
      <c r="S1378" s="4">
        <v>5</v>
      </c>
      <c r="T1378" s="4">
        <v>15</v>
      </c>
      <c r="U1378" s="5" t="s">
        <v>12574</v>
      </c>
      <c r="V1378" s="5" t="s">
        <v>12532</v>
      </c>
      <c r="W1378" s="5" t="s">
        <v>69</v>
      </c>
      <c r="X1378" s="5" t="s">
        <v>69</v>
      </c>
      <c r="Y1378" s="4">
        <v>127</v>
      </c>
      <c r="Z1378" s="4">
        <v>9</v>
      </c>
      <c r="AA1378" s="4">
        <v>10</v>
      </c>
      <c r="AB1378" s="4">
        <v>1</v>
      </c>
      <c r="AC1378" s="4">
        <v>1</v>
      </c>
      <c r="AD1378" s="4">
        <v>70</v>
      </c>
      <c r="AE1378" s="4">
        <v>71</v>
      </c>
      <c r="AF1378" s="4">
        <v>0</v>
      </c>
      <c r="AG1378" s="4">
        <v>0</v>
      </c>
      <c r="AH1378" s="4">
        <v>66</v>
      </c>
      <c r="AI1378" s="4">
        <v>66</v>
      </c>
      <c r="AJ1378" s="4">
        <v>7</v>
      </c>
      <c r="AK1378" s="4">
        <v>8</v>
      </c>
      <c r="AL1378" s="4">
        <v>39</v>
      </c>
      <c r="AM1378" s="4">
        <v>39</v>
      </c>
      <c r="AN1378" s="4">
        <v>0</v>
      </c>
      <c r="AO1378" s="4">
        <v>0</v>
      </c>
      <c r="AP1378" s="4">
        <v>7</v>
      </c>
      <c r="AQ1378" s="4">
        <v>8</v>
      </c>
      <c r="AR1378" s="3" t="s">
        <v>63</v>
      </c>
      <c r="AS1378" s="3" t="s">
        <v>63</v>
      </c>
      <c r="AT1378" s="3" t="s">
        <v>62</v>
      </c>
      <c r="AU1378" s="6" t="str">
        <f>HYPERLINK("http://catalog.hathitrust.org/Record/000392864","HathiTrust Record")</f>
        <v>HathiTrust Record</v>
      </c>
      <c r="AV1378" s="6" t="str">
        <f>HYPERLINK("http://mcgill.on.worldcat.org/oclc/1119075","Catalog Record")</f>
        <v>Catalog Record</v>
      </c>
      <c r="AW1378" s="6" t="str">
        <f>HYPERLINK("http://www.worldcat.org/oclc/1119075","WorldCat Record")</f>
        <v>WorldCat Record</v>
      </c>
      <c r="AX1378" s="3" t="s">
        <v>12533</v>
      </c>
      <c r="AY1378" s="3" t="s">
        <v>12534</v>
      </c>
      <c r="AZ1378" s="3" t="s">
        <v>12535</v>
      </c>
      <c r="BA1378" s="3" t="s">
        <v>12535</v>
      </c>
      <c r="BB1378" s="3" t="s">
        <v>12575</v>
      </c>
      <c r="BC1378" s="3" t="s">
        <v>82</v>
      </c>
      <c r="BD1378" s="3" t="s">
        <v>70</v>
      </c>
      <c r="BE1378" s="3" t="s">
        <v>12537</v>
      </c>
      <c r="BF1378" s="3" t="s">
        <v>12575</v>
      </c>
      <c r="BG1378" s="3" t="s">
        <v>12576</v>
      </c>
    </row>
    <row r="1379" spans="1:59" ht="60" x14ac:dyDescent="0.25">
      <c r="A1379" s="2" t="s">
        <v>59</v>
      </c>
      <c r="B1379" s="2" t="s">
        <v>60</v>
      </c>
      <c r="C1379" s="2" t="s">
        <v>12526</v>
      </c>
      <c r="D1379" s="2" t="s">
        <v>12527</v>
      </c>
      <c r="E1379" s="2" t="s">
        <v>12528</v>
      </c>
      <c r="F1379" s="3" t="s">
        <v>12577</v>
      </c>
      <c r="G1379" s="3" t="s">
        <v>62</v>
      </c>
      <c r="I1379" s="3" t="s">
        <v>63</v>
      </c>
      <c r="J1379" s="3" t="s">
        <v>63</v>
      </c>
      <c r="K1379" s="3" t="s">
        <v>64</v>
      </c>
      <c r="M1379" s="2" t="s">
        <v>12530</v>
      </c>
      <c r="N1379" s="3" t="s">
        <v>2393</v>
      </c>
      <c r="P1379" s="3" t="s">
        <v>66</v>
      </c>
      <c r="R1379" s="3" t="s">
        <v>67</v>
      </c>
      <c r="S1379" s="4">
        <v>0</v>
      </c>
      <c r="T1379" s="4">
        <v>15</v>
      </c>
      <c r="V1379" s="5" t="s">
        <v>12532</v>
      </c>
      <c r="W1379" s="5" t="s">
        <v>69</v>
      </c>
      <c r="X1379" s="5" t="s">
        <v>69</v>
      </c>
      <c r="Y1379" s="4">
        <v>127</v>
      </c>
      <c r="Z1379" s="4">
        <v>9</v>
      </c>
      <c r="AA1379" s="4">
        <v>10</v>
      </c>
      <c r="AB1379" s="4">
        <v>1</v>
      </c>
      <c r="AC1379" s="4">
        <v>1</v>
      </c>
      <c r="AD1379" s="4">
        <v>70</v>
      </c>
      <c r="AE1379" s="4">
        <v>71</v>
      </c>
      <c r="AF1379" s="4">
        <v>0</v>
      </c>
      <c r="AG1379" s="4">
        <v>0</v>
      </c>
      <c r="AH1379" s="4">
        <v>66</v>
      </c>
      <c r="AI1379" s="4">
        <v>66</v>
      </c>
      <c r="AJ1379" s="4">
        <v>7</v>
      </c>
      <c r="AK1379" s="4">
        <v>8</v>
      </c>
      <c r="AL1379" s="4">
        <v>39</v>
      </c>
      <c r="AM1379" s="4">
        <v>39</v>
      </c>
      <c r="AN1379" s="4">
        <v>0</v>
      </c>
      <c r="AO1379" s="4">
        <v>0</v>
      </c>
      <c r="AP1379" s="4">
        <v>7</v>
      </c>
      <c r="AQ1379" s="4">
        <v>8</v>
      </c>
      <c r="AR1379" s="3" t="s">
        <v>63</v>
      </c>
      <c r="AS1379" s="3" t="s">
        <v>63</v>
      </c>
      <c r="AT1379" s="3" t="s">
        <v>62</v>
      </c>
      <c r="AU1379" s="6" t="str">
        <f>HYPERLINK("http://catalog.hathitrust.org/Record/000392864","HathiTrust Record")</f>
        <v>HathiTrust Record</v>
      </c>
      <c r="AV1379" s="6" t="str">
        <f>HYPERLINK("http://mcgill.on.worldcat.org/oclc/1119075","Catalog Record")</f>
        <v>Catalog Record</v>
      </c>
      <c r="AW1379" s="6" t="str">
        <f>HYPERLINK("http://www.worldcat.org/oclc/1119075","WorldCat Record")</f>
        <v>WorldCat Record</v>
      </c>
      <c r="AX1379" s="3" t="s">
        <v>12533</v>
      </c>
      <c r="AY1379" s="3" t="s">
        <v>12534</v>
      </c>
      <c r="AZ1379" s="3" t="s">
        <v>12535</v>
      </c>
      <c r="BA1379" s="3" t="s">
        <v>12535</v>
      </c>
      <c r="BB1379" s="3" t="s">
        <v>12578</v>
      </c>
      <c r="BC1379" s="3" t="s">
        <v>82</v>
      </c>
      <c r="BD1379" s="3" t="s">
        <v>70</v>
      </c>
      <c r="BE1379" s="3" t="s">
        <v>12537</v>
      </c>
      <c r="BF1379" s="3" t="s">
        <v>12578</v>
      </c>
      <c r="BG1379" s="3" t="s">
        <v>12579</v>
      </c>
    </row>
    <row r="1380" spans="1:59" ht="60" x14ac:dyDescent="0.25">
      <c r="A1380" s="2" t="s">
        <v>59</v>
      </c>
      <c r="B1380" s="2" t="s">
        <v>60</v>
      </c>
      <c r="C1380" s="2" t="s">
        <v>12526</v>
      </c>
      <c r="D1380" s="2" t="s">
        <v>12527</v>
      </c>
      <c r="E1380" s="2" t="s">
        <v>12528</v>
      </c>
      <c r="F1380" s="3" t="s">
        <v>12580</v>
      </c>
      <c r="G1380" s="3" t="s">
        <v>62</v>
      </c>
      <c r="I1380" s="3" t="s">
        <v>63</v>
      </c>
      <c r="J1380" s="3" t="s">
        <v>63</v>
      </c>
      <c r="K1380" s="3" t="s">
        <v>64</v>
      </c>
      <c r="M1380" s="2" t="s">
        <v>12530</v>
      </c>
      <c r="N1380" s="3" t="s">
        <v>2393</v>
      </c>
      <c r="P1380" s="3" t="s">
        <v>66</v>
      </c>
      <c r="R1380" s="3" t="s">
        <v>67</v>
      </c>
      <c r="S1380" s="4">
        <v>0</v>
      </c>
      <c r="T1380" s="4">
        <v>15</v>
      </c>
      <c r="V1380" s="5" t="s">
        <v>12532</v>
      </c>
      <c r="W1380" s="5" t="s">
        <v>69</v>
      </c>
      <c r="X1380" s="5" t="s">
        <v>69</v>
      </c>
      <c r="Y1380" s="4">
        <v>127</v>
      </c>
      <c r="Z1380" s="4">
        <v>9</v>
      </c>
      <c r="AA1380" s="4">
        <v>10</v>
      </c>
      <c r="AB1380" s="4">
        <v>1</v>
      </c>
      <c r="AC1380" s="4">
        <v>1</v>
      </c>
      <c r="AD1380" s="4">
        <v>70</v>
      </c>
      <c r="AE1380" s="4">
        <v>71</v>
      </c>
      <c r="AF1380" s="4">
        <v>0</v>
      </c>
      <c r="AG1380" s="4">
        <v>0</v>
      </c>
      <c r="AH1380" s="4">
        <v>66</v>
      </c>
      <c r="AI1380" s="4">
        <v>66</v>
      </c>
      <c r="AJ1380" s="4">
        <v>7</v>
      </c>
      <c r="AK1380" s="4">
        <v>8</v>
      </c>
      <c r="AL1380" s="4">
        <v>39</v>
      </c>
      <c r="AM1380" s="4">
        <v>39</v>
      </c>
      <c r="AN1380" s="4">
        <v>0</v>
      </c>
      <c r="AO1380" s="4">
        <v>0</v>
      </c>
      <c r="AP1380" s="4">
        <v>7</v>
      </c>
      <c r="AQ1380" s="4">
        <v>8</v>
      </c>
      <c r="AR1380" s="3" t="s">
        <v>63</v>
      </c>
      <c r="AS1380" s="3" t="s">
        <v>63</v>
      </c>
      <c r="AT1380" s="3" t="s">
        <v>62</v>
      </c>
      <c r="AU1380" s="6" t="str">
        <f>HYPERLINK("http://catalog.hathitrust.org/Record/000392864","HathiTrust Record")</f>
        <v>HathiTrust Record</v>
      </c>
      <c r="AV1380" s="6" t="str">
        <f>HYPERLINK("http://mcgill.on.worldcat.org/oclc/1119075","Catalog Record")</f>
        <v>Catalog Record</v>
      </c>
      <c r="AW1380" s="6" t="str">
        <f>HYPERLINK("http://www.worldcat.org/oclc/1119075","WorldCat Record")</f>
        <v>WorldCat Record</v>
      </c>
      <c r="AX1380" s="3" t="s">
        <v>12533</v>
      </c>
      <c r="AY1380" s="3" t="s">
        <v>12534</v>
      </c>
      <c r="AZ1380" s="3" t="s">
        <v>12535</v>
      </c>
      <c r="BA1380" s="3" t="s">
        <v>12535</v>
      </c>
      <c r="BB1380" s="3" t="s">
        <v>12581</v>
      </c>
      <c r="BC1380" s="3" t="s">
        <v>82</v>
      </c>
      <c r="BD1380" s="3" t="s">
        <v>70</v>
      </c>
      <c r="BE1380" s="3" t="s">
        <v>12537</v>
      </c>
      <c r="BF1380" s="3" t="s">
        <v>12581</v>
      </c>
      <c r="BG1380" s="3" t="s">
        <v>12582</v>
      </c>
    </row>
    <row r="1381" spans="1:59" ht="60" x14ac:dyDescent="0.25">
      <c r="A1381" s="2" t="s">
        <v>59</v>
      </c>
      <c r="B1381" s="2" t="s">
        <v>60</v>
      </c>
      <c r="C1381" s="2" t="s">
        <v>12583</v>
      </c>
      <c r="D1381" s="2" t="s">
        <v>12584</v>
      </c>
      <c r="E1381" s="2" t="s">
        <v>12585</v>
      </c>
      <c r="G1381" s="3" t="s">
        <v>63</v>
      </c>
      <c r="I1381" s="3" t="s">
        <v>63</v>
      </c>
      <c r="J1381" s="3" t="s">
        <v>63</v>
      </c>
      <c r="K1381" s="3" t="s">
        <v>64</v>
      </c>
      <c r="L1381" s="2" t="s">
        <v>5902</v>
      </c>
      <c r="M1381" s="2" t="s">
        <v>12586</v>
      </c>
      <c r="N1381" s="3" t="s">
        <v>2103</v>
      </c>
      <c r="P1381" s="3" t="s">
        <v>66</v>
      </c>
      <c r="R1381" s="3" t="s">
        <v>67</v>
      </c>
      <c r="S1381" s="4">
        <v>22</v>
      </c>
      <c r="T1381" s="4">
        <v>22</v>
      </c>
      <c r="U1381" s="5" t="s">
        <v>12587</v>
      </c>
      <c r="V1381" s="5" t="s">
        <v>12587</v>
      </c>
      <c r="W1381" s="5" t="s">
        <v>69</v>
      </c>
      <c r="X1381" s="5" t="s">
        <v>69</v>
      </c>
      <c r="Y1381" s="4">
        <v>1162</v>
      </c>
      <c r="Z1381" s="4">
        <v>50</v>
      </c>
      <c r="AA1381" s="4">
        <v>57</v>
      </c>
      <c r="AB1381" s="4">
        <v>4</v>
      </c>
      <c r="AC1381" s="4">
        <v>9</v>
      </c>
      <c r="AD1381" s="4">
        <v>125</v>
      </c>
      <c r="AE1381" s="4">
        <v>130</v>
      </c>
      <c r="AF1381" s="4">
        <v>1</v>
      </c>
      <c r="AG1381" s="4">
        <v>3</v>
      </c>
      <c r="AH1381" s="4">
        <v>102</v>
      </c>
      <c r="AI1381" s="4">
        <v>106</v>
      </c>
      <c r="AJ1381" s="4">
        <v>16</v>
      </c>
      <c r="AK1381" s="4">
        <v>19</v>
      </c>
      <c r="AL1381" s="4">
        <v>56</v>
      </c>
      <c r="AM1381" s="4">
        <v>56</v>
      </c>
      <c r="AN1381" s="4">
        <v>0</v>
      </c>
      <c r="AO1381" s="4">
        <v>0</v>
      </c>
      <c r="AP1381" s="4">
        <v>29</v>
      </c>
      <c r="AQ1381" s="4">
        <v>31</v>
      </c>
      <c r="AR1381" s="3" t="s">
        <v>63</v>
      </c>
      <c r="AS1381" s="3" t="s">
        <v>63</v>
      </c>
      <c r="AT1381" s="3" t="s">
        <v>62</v>
      </c>
      <c r="AU1381" s="6" t="str">
        <f>HYPERLINK("http://catalog.hathitrust.org/Record/004250286","HathiTrust Record")</f>
        <v>HathiTrust Record</v>
      </c>
      <c r="AV1381" s="6" t="str">
        <f>HYPERLINK("http://mcgill.on.worldcat.org/oclc/47797661","Catalog Record")</f>
        <v>Catalog Record</v>
      </c>
      <c r="AW1381" s="6" t="str">
        <f>HYPERLINK("http://www.worldcat.org/oclc/47797661","WorldCat Record")</f>
        <v>WorldCat Record</v>
      </c>
      <c r="AX1381" s="3" t="s">
        <v>12588</v>
      </c>
      <c r="AY1381" s="3" t="s">
        <v>12589</v>
      </c>
      <c r="AZ1381" s="3" t="s">
        <v>12590</v>
      </c>
      <c r="BA1381" s="3" t="s">
        <v>12590</v>
      </c>
      <c r="BB1381" s="3" t="s">
        <v>12591</v>
      </c>
      <c r="BC1381" s="3" t="s">
        <v>82</v>
      </c>
      <c r="BD1381" s="3" t="s">
        <v>70</v>
      </c>
      <c r="BE1381" s="3" t="s">
        <v>12592</v>
      </c>
      <c r="BF1381" s="3" t="s">
        <v>12591</v>
      </c>
      <c r="BG1381" s="3" t="s">
        <v>12593</v>
      </c>
    </row>
    <row r="1382" spans="1:59" ht="60" x14ac:dyDescent="0.25">
      <c r="A1382" s="2" t="s">
        <v>59</v>
      </c>
      <c r="B1382" s="2" t="s">
        <v>60</v>
      </c>
      <c r="C1382" s="2" t="s">
        <v>12594</v>
      </c>
      <c r="D1382" s="2" t="s">
        <v>12595</v>
      </c>
      <c r="E1382" s="2" t="s">
        <v>12596</v>
      </c>
      <c r="G1382" s="3" t="s">
        <v>63</v>
      </c>
      <c r="I1382" s="3" t="s">
        <v>63</v>
      </c>
      <c r="J1382" s="3" t="s">
        <v>63</v>
      </c>
      <c r="K1382" s="3" t="s">
        <v>64</v>
      </c>
      <c r="L1382" s="2" t="s">
        <v>12597</v>
      </c>
      <c r="M1382" s="2" t="s">
        <v>12598</v>
      </c>
      <c r="N1382" s="3" t="s">
        <v>374</v>
      </c>
      <c r="P1382" s="3" t="s">
        <v>66</v>
      </c>
      <c r="R1382" s="3" t="s">
        <v>67</v>
      </c>
      <c r="S1382" s="4">
        <v>42</v>
      </c>
      <c r="T1382" s="4">
        <v>42</v>
      </c>
      <c r="U1382" s="5" t="s">
        <v>12599</v>
      </c>
      <c r="V1382" s="5" t="s">
        <v>12599</v>
      </c>
      <c r="W1382" s="5" t="s">
        <v>69</v>
      </c>
      <c r="X1382" s="5" t="s">
        <v>69</v>
      </c>
      <c r="Y1382" s="4">
        <v>1169</v>
      </c>
      <c r="Z1382" s="4">
        <v>51</v>
      </c>
      <c r="AA1382" s="4">
        <v>58</v>
      </c>
      <c r="AB1382" s="4">
        <v>1</v>
      </c>
      <c r="AC1382" s="4">
        <v>5</v>
      </c>
      <c r="AD1382" s="4">
        <v>131</v>
      </c>
      <c r="AE1382" s="4">
        <v>133</v>
      </c>
      <c r="AF1382" s="4">
        <v>0</v>
      </c>
      <c r="AG1382" s="4">
        <v>1</v>
      </c>
      <c r="AH1382" s="4">
        <v>106</v>
      </c>
      <c r="AI1382" s="4">
        <v>107</v>
      </c>
      <c r="AJ1382" s="4">
        <v>18</v>
      </c>
      <c r="AK1382" s="4">
        <v>20</v>
      </c>
      <c r="AL1382" s="4">
        <v>58</v>
      </c>
      <c r="AM1382" s="4">
        <v>58</v>
      </c>
      <c r="AN1382" s="4">
        <v>0</v>
      </c>
      <c r="AO1382" s="4">
        <v>0</v>
      </c>
      <c r="AP1382" s="4">
        <v>31</v>
      </c>
      <c r="AQ1382" s="4">
        <v>32</v>
      </c>
      <c r="AR1382" s="3" t="s">
        <v>63</v>
      </c>
      <c r="AS1382" s="3" t="s">
        <v>63</v>
      </c>
      <c r="AT1382" s="3" t="s">
        <v>62</v>
      </c>
      <c r="AU1382" s="6" t="str">
        <f>HYPERLINK("http://catalog.hathitrust.org/Record/004117060","HathiTrust Record")</f>
        <v>HathiTrust Record</v>
      </c>
      <c r="AV1382" s="6" t="str">
        <f>HYPERLINK("http://mcgill.on.worldcat.org/oclc/31515787","Catalog Record")</f>
        <v>Catalog Record</v>
      </c>
      <c r="AW1382" s="6" t="str">
        <f>HYPERLINK("http://www.worldcat.org/oclc/31515787","WorldCat Record")</f>
        <v>WorldCat Record</v>
      </c>
      <c r="AX1382" s="3" t="s">
        <v>12600</v>
      </c>
      <c r="AY1382" s="3" t="s">
        <v>12601</v>
      </c>
      <c r="AZ1382" s="3" t="s">
        <v>12602</v>
      </c>
      <c r="BA1382" s="3" t="s">
        <v>12602</v>
      </c>
      <c r="BB1382" s="3" t="s">
        <v>12603</v>
      </c>
      <c r="BC1382" s="3" t="s">
        <v>82</v>
      </c>
      <c r="BD1382" s="3" t="s">
        <v>70</v>
      </c>
      <c r="BE1382" s="3" t="s">
        <v>12604</v>
      </c>
      <c r="BF1382" s="3" t="s">
        <v>12603</v>
      </c>
      <c r="BG1382" s="3" t="s">
        <v>12605</v>
      </c>
    </row>
    <row r="1383" spans="1:59" ht="60" x14ac:dyDescent="0.25">
      <c r="A1383" s="2" t="s">
        <v>59</v>
      </c>
      <c r="B1383" s="2" t="s">
        <v>60</v>
      </c>
      <c r="C1383" s="2" t="s">
        <v>12606</v>
      </c>
      <c r="D1383" s="2" t="s">
        <v>12607</v>
      </c>
      <c r="E1383" s="2" t="s">
        <v>12608</v>
      </c>
      <c r="G1383" s="3" t="s">
        <v>63</v>
      </c>
      <c r="I1383" s="3" t="s">
        <v>62</v>
      </c>
      <c r="J1383" s="3" t="s">
        <v>63</v>
      </c>
      <c r="K1383" s="3" t="s">
        <v>64</v>
      </c>
      <c r="L1383" s="2" t="s">
        <v>5902</v>
      </c>
      <c r="M1383" s="2" t="s">
        <v>12609</v>
      </c>
      <c r="N1383" s="3" t="s">
        <v>468</v>
      </c>
      <c r="P1383" s="3" t="s">
        <v>66</v>
      </c>
      <c r="R1383" s="3" t="s">
        <v>67</v>
      </c>
      <c r="S1383" s="4">
        <v>37</v>
      </c>
      <c r="T1383" s="4">
        <v>53</v>
      </c>
      <c r="U1383" s="5" t="s">
        <v>12610</v>
      </c>
      <c r="V1383" s="5" t="s">
        <v>12610</v>
      </c>
      <c r="W1383" s="5" t="s">
        <v>69</v>
      </c>
      <c r="X1383" s="5" t="s">
        <v>69</v>
      </c>
      <c r="Y1383" s="4">
        <v>1492</v>
      </c>
      <c r="Z1383" s="4">
        <v>69</v>
      </c>
      <c r="AA1383" s="4">
        <v>86</v>
      </c>
      <c r="AB1383" s="4">
        <v>3</v>
      </c>
      <c r="AC1383" s="4">
        <v>10</v>
      </c>
      <c r="AD1383" s="4">
        <v>138</v>
      </c>
      <c r="AE1383" s="4">
        <v>149</v>
      </c>
      <c r="AF1383" s="4">
        <v>1</v>
      </c>
      <c r="AG1383" s="4">
        <v>2</v>
      </c>
      <c r="AH1383" s="4">
        <v>106</v>
      </c>
      <c r="AI1383" s="4">
        <v>111</v>
      </c>
      <c r="AJ1383" s="4">
        <v>22</v>
      </c>
      <c r="AK1383" s="4">
        <v>25</v>
      </c>
      <c r="AL1383" s="4">
        <v>56</v>
      </c>
      <c r="AM1383" s="4">
        <v>60</v>
      </c>
      <c r="AN1383" s="4">
        <v>0</v>
      </c>
      <c r="AO1383" s="4">
        <v>0</v>
      </c>
      <c r="AP1383" s="4">
        <v>38</v>
      </c>
      <c r="AQ1383" s="4">
        <v>43</v>
      </c>
      <c r="AR1383" s="3" t="s">
        <v>63</v>
      </c>
      <c r="AS1383" s="3" t="s">
        <v>63</v>
      </c>
      <c r="AT1383" s="3" t="s">
        <v>62</v>
      </c>
      <c r="AU1383" s="6" t="str">
        <f>HYPERLINK("http://catalog.hathitrust.org/Record/000700871","HathiTrust Record")</f>
        <v>HathiTrust Record</v>
      </c>
      <c r="AV1383" s="6" t="str">
        <f>HYPERLINK("http://mcgill.on.worldcat.org/oclc/2072723","Catalog Record")</f>
        <v>Catalog Record</v>
      </c>
      <c r="AW1383" s="6" t="str">
        <f>HYPERLINK("http://www.worldcat.org/oclc/2072723","WorldCat Record")</f>
        <v>WorldCat Record</v>
      </c>
      <c r="AX1383" s="3" t="s">
        <v>12611</v>
      </c>
      <c r="AY1383" s="3" t="s">
        <v>12612</v>
      </c>
      <c r="AZ1383" s="3" t="s">
        <v>12613</v>
      </c>
      <c r="BA1383" s="3" t="s">
        <v>12613</v>
      </c>
      <c r="BB1383" s="3" t="s">
        <v>12614</v>
      </c>
      <c r="BC1383" s="3" t="s">
        <v>82</v>
      </c>
      <c r="BD1383" s="3" t="s">
        <v>538</v>
      </c>
      <c r="BE1383" s="3" t="s">
        <v>12615</v>
      </c>
      <c r="BF1383" s="3" t="s">
        <v>12614</v>
      </c>
      <c r="BG1383" s="3" t="s">
        <v>12616</v>
      </c>
    </row>
    <row r="1384" spans="1:59" ht="60" x14ac:dyDescent="0.25">
      <c r="A1384" s="2" t="s">
        <v>59</v>
      </c>
      <c r="B1384" s="2" t="s">
        <v>60</v>
      </c>
      <c r="C1384" s="2" t="s">
        <v>12606</v>
      </c>
      <c r="D1384" s="2" t="s">
        <v>12607</v>
      </c>
      <c r="E1384" s="2" t="s">
        <v>12608</v>
      </c>
      <c r="G1384" s="3" t="s">
        <v>63</v>
      </c>
      <c r="I1384" s="3" t="s">
        <v>62</v>
      </c>
      <c r="J1384" s="3" t="s">
        <v>63</v>
      </c>
      <c r="K1384" s="3" t="s">
        <v>64</v>
      </c>
      <c r="L1384" s="2" t="s">
        <v>5902</v>
      </c>
      <c r="M1384" s="2" t="s">
        <v>12609</v>
      </c>
      <c r="N1384" s="3" t="s">
        <v>468</v>
      </c>
      <c r="P1384" s="3" t="s">
        <v>66</v>
      </c>
      <c r="R1384" s="3" t="s">
        <v>67</v>
      </c>
      <c r="S1384" s="4">
        <v>16</v>
      </c>
      <c r="T1384" s="4">
        <v>53</v>
      </c>
      <c r="U1384" s="5" t="s">
        <v>12617</v>
      </c>
      <c r="V1384" s="5" t="s">
        <v>12610</v>
      </c>
      <c r="W1384" s="5" t="s">
        <v>69</v>
      </c>
      <c r="X1384" s="5" t="s">
        <v>69</v>
      </c>
      <c r="Y1384" s="4">
        <v>1492</v>
      </c>
      <c r="Z1384" s="4">
        <v>69</v>
      </c>
      <c r="AA1384" s="4">
        <v>86</v>
      </c>
      <c r="AB1384" s="4">
        <v>3</v>
      </c>
      <c r="AC1384" s="4">
        <v>10</v>
      </c>
      <c r="AD1384" s="4">
        <v>138</v>
      </c>
      <c r="AE1384" s="4">
        <v>149</v>
      </c>
      <c r="AF1384" s="4">
        <v>1</v>
      </c>
      <c r="AG1384" s="4">
        <v>2</v>
      </c>
      <c r="AH1384" s="4">
        <v>106</v>
      </c>
      <c r="AI1384" s="4">
        <v>111</v>
      </c>
      <c r="AJ1384" s="4">
        <v>22</v>
      </c>
      <c r="AK1384" s="4">
        <v>25</v>
      </c>
      <c r="AL1384" s="4">
        <v>56</v>
      </c>
      <c r="AM1384" s="4">
        <v>60</v>
      </c>
      <c r="AN1384" s="4">
        <v>0</v>
      </c>
      <c r="AO1384" s="4">
        <v>0</v>
      </c>
      <c r="AP1384" s="4">
        <v>38</v>
      </c>
      <c r="AQ1384" s="4">
        <v>43</v>
      </c>
      <c r="AR1384" s="3" t="s">
        <v>63</v>
      </c>
      <c r="AS1384" s="3" t="s">
        <v>63</v>
      </c>
      <c r="AT1384" s="3" t="s">
        <v>62</v>
      </c>
      <c r="AU1384" s="6" t="str">
        <f>HYPERLINK("http://catalog.hathitrust.org/Record/000700871","HathiTrust Record")</f>
        <v>HathiTrust Record</v>
      </c>
      <c r="AV1384" s="6" t="str">
        <f>HYPERLINK("http://mcgill.on.worldcat.org/oclc/2072723","Catalog Record")</f>
        <v>Catalog Record</v>
      </c>
      <c r="AW1384" s="6" t="str">
        <f>HYPERLINK("http://www.worldcat.org/oclc/2072723","WorldCat Record")</f>
        <v>WorldCat Record</v>
      </c>
      <c r="AX1384" s="3" t="s">
        <v>12611</v>
      </c>
      <c r="AY1384" s="3" t="s">
        <v>12612</v>
      </c>
      <c r="AZ1384" s="3" t="s">
        <v>12613</v>
      </c>
      <c r="BA1384" s="3" t="s">
        <v>12613</v>
      </c>
      <c r="BB1384" s="3" t="s">
        <v>12618</v>
      </c>
      <c r="BC1384" s="3" t="s">
        <v>82</v>
      </c>
      <c r="BD1384" s="3" t="s">
        <v>70</v>
      </c>
      <c r="BE1384" s="3" t="s">
        <v>12615</v>
      </c>
      <c r="BF1384" s="3" t="s">
        <v>12618</v>
      </c>
      <c r="BG1384" s="3" t="s">
        <v>12619</v>
      </c>
    </row>
    <row r="1385" spans="1:59" ht="60" x14ac:dyDescent="0.25">
      <c r="A1385" s="2" t="s">
        <v>59</v>
      </c>
      <c r="B1385" s="2" t="s">
        <v>60</v>
      </c>
      <c r="C1385" s="2" t="s">
        <v>12620</v>
      </c>
      <c r="D1385" s="2" t="s">
        <v>12621</v>
      </c>
      <c r="E1385" s="2" t="s">
        <v>12622</v>
      </c>
      <c r="G1385" s="3" t="s">
        <v>63</v>
      </c>
      <c r="I1385" s="3" t="s">
        <v>62</v>
      </c>
      <c r="J1385" s="3" t="s">
        <v>63</v>
      </c>
      <c r="K1385" s="3" t="s">
        <v>64</v>
      </c>
      <c r="L1385" s="2" t="s">
        <v>5902</v>
      </c>
      <c r="M1385" s="2" t="s">
        <v>12623</v>
      </c>
      <c r="N1385" s="3" t="s">
        <v>706</v>
      </c>
      <c r="P1385" s="3" t="s">
        <v>66</v>
      </c>
      <c r="R1385" s="3" t="s">
        <v>67</v>
      </c>
      <c r="S1385" s="4">
        <v>33</v>
      </c>
      <c r="T1385" s="4">
        <v>65</v>
      </c>
      <c r="U1385" s="5" t="s">
        <v>11686</v>
      </c>
      <c r="V1385" s="5" t="s">
        <v>12624</v>
      </c>
      <c r="W1385" s="5" t="s">
        <v>69</v>
      </c>
      <c r="X1385" s="5" t="s">
        <v>69</v>
      </c>
      <c r="Y1385" s="4">
        <v>1147</v>
      </c>
      <c r="Z1385" s="4">
        <v>60</v>
      </c>
      <c r="AA1385" s="4">
        <v>76</v>
      </c>
      <c r="AB1385" s="4">
        <v>3</v>
      </c>
      <c r="AC1385" s="4">
        <v>10</v>
      </c>
      <c r="AD1385" s="4">
        <v>137</v>
      </c>
      <c r="AE1385" s="4">
        <v>146</v>
      </c>
      <c r="AF1385" s="4">
        <v>1</v>
      </c>
      <c r="AG1385" s="4">
        <v>2</v>
      </c>
      <c r="AH1385" s="4">
        <v>109</v>
      </c>
      <c r="AI1385" s="4">
        <v>111</v>
      </c>
      <c r="AJ1385" s="4">
        <v>21</v>
      </c>
      <c r="AK1385" s="4">
        <v>24</v>
      </c>
      <c r="AL1385" s="4">
        <v>58</v>
      </c>
      <c r="AM1385" s="4">
        <v>61</v>
      </c>
      <c r="AN1385" s="4">
        <v>0</v>
      </c>
      <c r="AO1385" s="4">
        <v>0</v>
      </c>
      <c r="AP1385" s="4">
        <v>35</v>
      </c>
      <c r="AQ1385" s="4">
        <v>40</v>
      </c>
      <c r="AR1385" s="3" t="s">
        <v>63</v>
      </c>
      <c r="AS1385" s="3" t="s">
        <v>63</v>
      </c>
      <c r="AT1385" s="3" t="s">
        <v>62</v>
      </c>
      <c r="AU1385" s="6" t="str">
        <f>HYPERLINK("http://catalog.hathitrust.org/Record/000631810","HathiTrust Record")</f>
        <v>HathiTrust Record</v>
      </c>
      <c r="AV1385" s="6" t="str">
        <f>HYPERLINK("http://mcgill.on.worldcat.org/oclc/13064549","Catalog Record")</f>
        <v>Catalog Record</v>
      </c>
      <c r="AW1385" s="6" t="str">
        <f>HYPERLINK("http://www.worldcat.org/oclc/13064549","WorldCat Record")</f>
        <v>WorldCat Record</v>
      </c>
      <c r="AX1385" s="3" t="s">
        <v>12625</v>
      </c>
      <c r="AY1385" s="3" t="s">
        <v>12626</v>
      </c>
      <c r="AZ1385" s="3" t="s">
        <v>12627</v>
      </c>
      <c r="BA1385" s="3" t="s">
        <v>12627</v>
      </c>
      <c r="BB1385" s="3" t="s">
        <v>12628</v>
      </c>
      <c r="BC1385" s="3" t="s">
        <v>82</v>
      </c>
      <c r="BD1385" s="3" t="s">
        <v>70</v>
      </c>
      <c r="BE1385" s="3" t="s">
        <v>12629</v>
      </c>
      <c r="BF1385" s="3" t="s">
        <v>12628</v>
      </c>
      <c r="BG1385" s="3" t="s">
        <v>12630</v>
      </c>
    </row>
    <row r="1386" spans="1:59" ht="60" x14ac:dyDescent="0.25">
      <c r="A1386" s="2" t="s">
        <v>59</v>
      </c>
      <c r="B1386" s="2" t="s">
        <v>60</v>
      </c>
      <c r="C1386" s="2" t="s">
        <v>12620</v>
      </c>
      <c r="D1386" s="2" t="s">
        <v>12621</v>
      </c>
      <c r="E1386" s="2" t="s">
        <v>12622</v>
      </c>
      <c r="G1386" s="3" t="s">
        <v>63</v>
      </c>
      <c r="I1386" s="3" t="s">
        <v>62</v>
      </c>
      <c r="J1386" s="3" t="s">
        <v>63</v>
      </c>
      <c r="K1386" s="3" t="s">
        <v>64</v>
      </c>
      <c r="L1386" s="2" t="s">
        <v>5902</v>
      </c>
      <c r="M1386" s="2" t="s">
        <v>12623</v>
      </c>
      <c r="N1386" s="3" t="s">
        <v>706</v>
      </c>
      <c r="P1386" s="3" t="s">
        <v>66</v>
      </c>
      <c r="R1386" s="3" t="s">
        <v>67</v>
      </c>
      <c r="S1386" s="4">
        <v>32</v>
      </c>
      <c r="T1386" s="4">
        <v>65</v>
      </c>
      <c r="U1386" s="5" t="s">
        <v>12624</v>
      </c>
      <c r="V1386" s="5" t="s">
        <v>12624</v>
      </c>
      <c r="W1386" s="5" t="s">
        <v>69</v>
      </c>
      <c r="X1386" s="5" t="s">
        <v>69</v>
      </c>
      <c r="Y1386" s="4">
        <v>1147</v>
      </c>
      <c r="Z1386" s="4">
        <v>60</v>
      </c>
      <c r="AA1386" s="4">
        <v>76</v>
      </c>
      <c r="AB1386" s="4">
        <v>3</v>
      </c>
      <c r="AC1386" s="4">
        <v>10</v>
      </c>
      <c r="AD1386" s="4">
        <v>137</v>
      </c>
      <c r="AE1386" s="4">
        <v>146</v>
      </c>
      <c r="AF1386" s="4">
        <v>1</v>
      </c>
      <c r="AG1386" s="4">
        <v>2</v>
      </c>
      <c r="AH1386" s="4">
        <v>109</v>
      </c>
      <c r="AI1386" s="4">
        <v>111</v>
      </c>
      <c r="AJ1386" s="4">
        <v>21</v>
      </c>
      <c r="AK1386" s="4">
        <v>24</v>
      </c>
      <c r="AL1386" s="4">
        <v>58</v>
      </c>
      <c r="AM1386" s="4">
        <v>61</v>
      </c>
      <c r="AN1386" s="4">
        <v>0</v>
      </c>
      <c r="AO1386" s="4">
        <v>0</v>
      </c>
      <c r="AP1386" s="4">
        <v>35</v>
      </c>
      <c r="AQ1386" s="4">
        <v>40</v>
      </c>
      <c r="AR1386" s="3" t="s">
        <v>63</v>
      </c>
      <c r="AS1386" s="3" t="s">
        <v>63</v>
      </c>
      <c r="AT1386" s="3" t="s">
        <v>62</v>
      </c>
      <c r="AU1386" s="6" t="str">
        <f>HYPERLINK("http://catalog.hathitrust.org/Record/000631810","HathiTrust Record")</f>
        <v>HathiTrust Record</v>
      </c>
      <c r="AV1386" s="6" t="str">
        <f>HYPERLINK("http://mcgill.on.worldcat.org/oclc/13064549","Catalog Record")</f>
        <v>Catalog Record</v>
      </c>
      <c r="AW1386" s="6" t="str">
        <f>HYPERLINK("http://www.worldcat.org/oclc/13064549","WorldCat Record")</f>
        <v>WorldCat Record</v>
      </c>
      <c r="AX1386" s="3" t="s">
        <v>12625</v>
      </c>
      <c r="AY1386" s="3" t="s">
        <v>12626</v>
      </c>
      <c r="AZ1386" s="3" t="s">
        <v>12627</v>
      </c>
      <c r="BA1386" s="3" t="s">
        <v>12627</v>
      </c>
      <c r="BB1386" s="3" t="s">
        <v>12631</v>
      </c>
      <c r="BC1386" s="3" t="s">
        <v>82</v>
      </c>
      <c r="BD1386" s="3" t="s">
        <v>70</v>
      </c>
      <c r="BE1386" s="3" t="s">
        <v>12629</v>
      </c>
      <c r="BF1386" s="3" t="s">
        <v>12631</v>
      </c>
      <c r="BG1386" s="3" t="s">
        <v>12632</v>
      </c>
    </row>
    <row r="1387" spans="1:59" ht="60" x14ac:dyDescent="0.25">
      <c r="A1387" s="2" t="s">
        <v>59</v>
      </c>
      <c r="B1387" s="2" t="s">
        <v>60</v>
      </c>
      <c r="C1387" s="2" t="s">
        <v>12633</v>
      </c>
      <c r="D1387" s="2" t="s">
        <v>12634</v>
      </c>
      <c r="E1387" s="2" t="s">
        <v>12635</v>
      </c>
      <c r="G1387" s="3" t="s">
        <v>63</v>
      </c>
      <c r="I1387" s="3" t="s">
        <v>62</v>
      </c>
      <c r="J1387" s="3" t="s">
        <v>63</v>
      </c>
      <c r="K1387" s="3" t="s">
        <v>64</v>
      </c>
      <c r="L1387" s="2" t="s">
        <v>5902</v>
      </c>
      <c r="M1387" s="2" t="s">
        <v>12636</v>
      </c>
      <c r="N1387" s="3" t="s">
        <v>3640</v>
      </c>
      <c r="P1387" s="3" t="s">
        <v>66</v>
      </c>
      <c r="R1387" s="3" t="s">
        <v>67</v>
      </c>
      <c r="S1387" s="4">
        <v>19</v>
      </c>
      <c r="T1387" s="4">
        <v>35</v>
      </c>
      <c r="U1387" s="5" t="s">
        <v>12637</v>
      </c>
      <c r="V1387" s="5" t="s">
        <v>12637</v>
      </c>
      <c r="W1387" s="5" t="s">
        <v>69</v>
      </c>
      <c r="X1387" s="5" t="s">
        <v>69</v>
      </c>
      <c r="Y1387" s="4">
        <v>1377</v>
      </c>
      <c r="Z1387" s="4">
        <v>54</v>
      </c>
      <c r="AA1387" s="4">
        <v>63</v>
      </c>
      <c r="AB1387" s="4">
        <v>3</v>
      </c>
      <c r="AC1387" s="4">
        <v>7</v>
      </c>
      <c r="AD1387" s="4">
        <v>133</v>
      </c>
      <c r="AE1387" s="4">
        <v>137</v>
      </c>
      <c r="AF1387" s="4">
        <v>1</v>
      </c>
      <c r="AG1387" s="4">
        <v>2</v>
      </c>
      <c r="AH1387" s="4">
        <v>105</v>
      </c>
      <c r="AI1387" s="4">
        <v>107</v>
      </c>
      <c r="AJ1387" s="4">
        <v>21</v>
      </c>
      <c r="AK1387" s="4">
        <v>23</v>
      </c>
      <c r="AL1387" s="4">
        <v>57</v>
      </c>
      <c r="AM1387" s="4">
        <v>57</v>
      </c>
      <c r="AN1387" s="4">
        <v>0</v>
      </c>
      <c r="AO1387" s="4">
        <v>0</v>
      </c>
      <c r="AP1387" s="4">
        <v>34</v>
      </c>
      <c r="AQ1387" s="4">
        <v>36</v>
      </c>
      <c r="AR1387" s="3" t="s">
        <v>63</v>
      </c>
      <c r="AS1387" s="3" t="s">
        <v>63</v>
      </c>
      <c r="AT1387" s="3" t="s">
        <v>62</v>
      </c>
      <c r="AU1387" s="6" t="str">
        <f>HYPERLINK("http://catalog.hathitrust.org/Record/000161427","HathiTrust Record")</f>
        <v>HathiTrust Record</v>
      </c>
      <c r="AV1387" s="6" t="str">
        <f>HYPERLINK("http://mcgill.on.worldcat.org/oclc/9619929","Catalog Record")</f>
        <v>Catalog Record</v>
      </c>
      <c r="AW1387" s="6" t="str">
        <f>HYPERLINK("http://www.worldcat.org/oclc/9619929","WorldCat Record")</f>
        <v>WorldCat Record</v>
      </c>
      <c r="AX1387" s="3" t="s">
        <v>12638</v>
      </c>
      <c r="AY1387" s="3" t="s">
        <v>12639</v>
      </c>
      <c r="AZ1387" s="3" t="s">
        <v>12640</v>
      </c>
      <c r="BA1387" s="3" t="s">
        <v>12640</v>
      </c>
      <c r="BB1387" s="3" t="s">
        <v>12641</v>
      </c>
      <c r="BC1387" s="3" t="s">
        <v>82</v>
      </c>
      <c r="BD1387" s="3" t="s">
        <v>70</v>
      </c>
      <c r="BE1387" s="3" t="s">
        <v>12642</v>
      </c>
      <c r="BF1387" s="3" t="s">
        <v>12641</v>
      </c>
      <c r="BG1387" s="3" t="s">
        <v>12643</v>
      </c>
    </row>
    <row r="1388" spans="1:59" ht="60" x14ac:dyDescent="0.25">
      <c r="A1388" s="2" t="s">
        <v>59</v>
      </c>
      <c r="B1388" s="2" t="s">
        <v>60</v>
      </c>
      <c r="C1388" s="2" t="s">
        <v>12633</v>
      </c>
      <c r="D1388" s="2" t="s">
        <v>12634</v>
      </c>
      <c r="E1388" s="2" t="s">
        <v>12635</v>
      </c>
      <c r="G1388" s="3" t="s">
        <v>63</v>
      </c>
      <c r="I1388" s="3" t="s">
        <v>62</v>
      </c>
      <c r="J1388" s="3" t="s">
        <v>63</v>
      </c>
      <c r="K1388" s="3" t="s">
        <v>64</v>
      </c>
      <c r="L1388" s="2" t="s">
        <v>5902</v>
      </c>
      <c r="M1388" s="2" t="s">
        <v>12636</v>
      </c>
      <c r="N1388" s="3" t="s">
        <v>3640</v>
      </c>
      <c r="P1388" s="3" t="s">
        <v>66</v>
      </c>
      <c r="R1388" s="3" t="s">
        <v>67</v>
      </c>
      <c r="S1388" s="4">
        <v>16</v>
      </c>
      <c r="T1388" s="4">
        <v>35</v>
      </c>
      <c r="U1388" s="5" t="s">
        <v>12644</v>
      </c>
      <c r="V1388" s="5" t="s">
        <v>12637</v>
      </c>
      <c r="W1388" s="5" t="s">
        <v>69</v>
      </c>
      <c r="X1388" s="5" t="s">
        <v>69</v>
      </c>
      <c r="Y1388" s="4">
        <v>1377</v>
      </c>
      <c r="Z1388" s="4">
        <v>54</v>
      </c>
      <c r="AA1388" s="4">
        <v>63</v>
      </c>
      <c r="AB1388" s="4">
        <v>3</v>
      </c>
      <c r="AC1388" s="4">
        <v>7</v>
      </c>
      <c r="AD1388" s="4">
        <v>133</v>
      </c>
      <c r="AE1388" s="4">
        <v>137</v>
      </c>
      <c r="AF1388" s="4">
        <v>1</v>
      </c>
      <c r="AG1388" s="4">
        <v>2</v>
      </c>
      <c r="AH1388" s="4">
        <v>105</v>
      </c>
      <c r="AI1388" s="4">
        <v>107</v>
      </c>
      <c r="AJ1388" s="4">
        <v>21</v>
      </c>
      <c r="AK1388" s="4">
        <v>23</v>
      </c>
      <c r="AL1388" s="4">
        <v>57</v>
      </c>
      <c r="AM1388" s="4">
        <v>57</v>
      </c>
      <c r="AN1388" s="4">
        <v>0</v>
      </c>
      <c r="AO1388" s="4">
        <v>0</v>
      </c>
      <c r="AP1388" s="4">
        <v>34</v>
      </c>
      <c r="AQ1388" s="4">
        <v>36</v>
      </c>
      <c r="AR1388" s="3" t="s">
        <v>63</v>
      </c>
      <c r="AS1388" s="3" t="s">
        <v>63</v>
      </c>
      <c r="AT1388" s="3" t="s">
        <v>62</v>
      </c>
      <c r="AU1388" s="6" t="str">
        <f>HYPERLINK("http://catalog.hathitrust.org/Record/000161427","HathiTrust Record")</f>
        <v>HathiTrust Record</v>
      </c>
      <c r="AV1388" s="6" t="str">
        <f>HYPERLINK("http://mcgill.on.worldcat.org/oclc/9619929","Catalog Record")</f>
        <v>Catalog Record</v>
      </c>
      <c r="AW1388" s="6" t="str">
        <f>HYPERLINK("http://www.worldcat.org/oclc/9619929","WorldCat Record")</f>
        <v>WorldCat Record</v>
      </c>
      <c r="AX1388" s="3" t="s">
        <v>12638</v>
      </c>
      <c r="AY1388" s="3" t="s">
        <v>12639</v>
      </c>
      <c r="AZ1388" s="3" t="s">
        <v>12640</v>
      </c>
      <c r="BA1388" s="3" t="s">
        <v>12640</v>
      </c>
      <c r="BB1388" s="3" t="s">
        <v>12645</v>
      </c>
      <c r="BC1388" s="3" t="s">
        <v>82</v>
      </c>
      <c r="BD1388" s="3" t="s">
        <v>70</v>
      </c>
      <c r="BE1388" s="3" t="s">
        <v>12642</v>
      </c>
      <c r="BF1388" s="3" t="s">
        <v>12645</v>
      </c>
      <c r="BG1388" s="3" t="s">
        <v>12646</v>
      </c>
    </row>
    <row r="1389" spans="1:59" ht="60" x14ac:dyDescent="0.25">
      <c r="A1389" s="2" t="s">
        <v>59</v>
      </c>
      <c r="B1389" s="2" t="s">
        <v>60</v>
      </c>
      <c r="C1389" s="2" t="s">
        <v>12647</v>
      </c>
      <c r="D1389" s="2" t="s">
        <v>12648</v>
      </c>
      <c r="E1389" s="2" t="s">
        <v>12649</v>
      </c>
      <c r="G1389" s="3" t="s">
        <v>63</v>
      </c>
      <c r="I1389" s="3" t="s">
        <v>63</v>
      </c>
      <c r="J1389" s="3" t="s">
        <v>62</v>
      </c>
      <c r="K1389" s="3" t="s">
        <v>64</v>
      </c>
      <c r="L1389" s="2" t="s">
        <v>12650</v>
      </c>
      <c r="M1389" s="2" t="s">
        <v>12651</v>
      </c>
      <c r="N1389" s="3" t="s">
        <v>5468</v>
      </c>
      <c r="O1389" s="2" t="s">
        <v>12652</v>
      </c>
      <c r="P1389" s="3" t="s">
        <v>66</v>
      </c>
      <c r="R1389" s="3" t="s">
        <v>67</v>
      </c>
      <c r="S1389" s="4">
        <v>2</v>
      </c>
      <c r="T1389" s="4">
        <v>2</v>
      </c>
      <c r="U1389" s="5" t="s">
        <v>12653</v>
      </c>
      <c r="V1389" s="5" t="s">
        <v>12653</v>
      </c>
      <c r="W1389" s="5" t="s">
        <v>69</v>
      </c>
      <c r="X1389" s="5" t="s">
        <v>69</v>
      </c>
      <c r="Y1389" s="4">
        <v>181</v>
      </c>
      <c r="Z1389" s="4">
        <v>5</v>
      </c>
      <c r="AA1389" s="4">
        <v>54</v>
      </c>
      <c r="AB1389" s="4">
        <v>1</v>
      </c>
      <c r="AC1389" s="4">
        <v>6</v>
      </c>
      <c r="AD1389" s="4">
        <v>49</v>
      </c>
      <c r="AE1389" s="4">
        <v>135</v>
      </c>
      <c r="AF1389" s="4">
        <v>0</v>
      </c>
      <c r="AG1389" s="4">
        <v>3</v>
      </c>
      <c r="AH1389" s="4">
        <v>45</v>
      </c>
      <c r="AI1389" s="4">
        <v>106</v>
      </c>
      <c r="AJ1389" s="4">
        <v>2</v>
      </c>
      <c r="AK1389" s="4">
        <v>23</v>
      </c>
      <c r="AL1389" s="4">
        <v>26</v>
      </c>
      <c r="AM1389" s="4">
        <v>58</v>
      </c>
      <c r="AN1389" s="4">
        <v>0</v>
      </c>
      <c r="AO1389" s="4">
        <v>5</v>
      </c>
      <c r="AP1389" s="4">
        <v>3</v>
      </c>
      <c r="AQ1389" s="4">
        <v>34</v>
      </c>
      <c r="AR1389" s="3" t="s">
        <v>63</v>
      </c>
      <c r="AS1389" s="3" t="s">
        <v>63</v>
      </c>
      <c r="AT1389" s="3" t="s">
        <v>63</v>
      </c>
      <c r="AV1389" s="6" t="str">
        <f>HYPERLINK("http://mcgill.on.worldcat.org/oclc/689834","Catalog Record")</f>
        <v>Catalog Record</v>
      </c>
      <c r="AW1389" s="6" t="str">
        <f>HYPERLINK("http://www.worldcat.org/oclc/689834","WorldCat Record")</f>
        <v>WorldCat Record</v>
      </c>
      <c r="AX1389" s="3" t="s">
        <v>12654</v>
      </c>
      <c r="AY1389" s="3" t="s">
        <v>12655</v>
      </c>
      <c r="AZ1389" s="3" t="s">
        <v>12656</v>
      </c>
      <c r="BA1389" s="3" t="s">
        <v>12656</v>
      </c>
      <c r="BB1389" s="3" t="s">
        <v>12657</v>
      </c>
      <c r="BC1389" s="3" t="s">
        <v>82</v>
      </c>
      <c r="BD1389" s="3" t="s">
        <v>70</v>
      </c>
      <c r="BF1389" s="3" t="s">
        <v>12657</v>
      </c>
      <c r="BG1389" s="3" t="s">
        <v>12658</v>
      </c>
    </row>
    <row r="1390" spans="1:59" ht="60" x14ac:dyDescent="0.25">
      <c r="A1390" s="2" t="s">
        <v>59</v>
      </c>
      <c r="B1390" s="2" t="s">
        <v>60</v>
      </c>
      <c r="C1390" s="2" t="s">
        <v>12659</v>
      </c>
      <c r="D1390" s="2" t="s">
        <v>12660</v>
      </c>
      <c r="E1390" s="2" t="s">
        <v>12661</v>
      </c>
      <c r="G1390" s="3" t="s">
        <v>63</v>
      </c>
      <c r="I1390" s="3" t="s">
        <v>63</v>
      </c>
      <c r="J1390" s="3" t="s">
        <v>63</v>
      </c>
      <c r="K1390" s="3" t="s">
        <v>64</v>
      </c>
      <c r="L1390" s="2" t="s">
        <v>12662</v>
      </c>
      <c r="M1390" s="2" t="s">
        <v>12663</v>
      </c>
      <c r="N1390" s="3" t="s">
        <v>531</v>
      </c>
      <c r="P1390" s="3" t="s">
        <v>66</v>
      </c>
      <c r="R1390" s="3" t="s">
        <v>67</v>
      </c>
      <c r="S1390" s="4">
        <v>28</v>
      </c>
      <c r="T1390" s="4">
        <v>28</v>
      </c>
      <c r="U1390" s="5" t="s">
        <v>4698</v>
      </c>
      <c r="V1390" s="5" t="s">
        <v>4698</v>
      </c>
      <c r="W1390" s="5" t="s">
        <v>69</v>
      </c>
      <c r="X1390" s="5" t="s">
        <v>69</v>
      </c>
      <c r="Y1390" s="4">
        <v>385</v>
      </c>
      <c r="Z1390" s="4">
        <v>28</v>
      </c>
      <c r="AA1390" s="4">
        <v>30</v>
      </c>
      <c r="AB1390" s="4">
        <v>1</v>
      </c>
      <c r="AC1390" s="4">
        <v>3</v>
      </c>
      <c r="AD1390" s="4">
        <v>117</v>
      </c>
      <c r="AE1390" s="4">
        <v>121</v>
      </c>
      <c r="AF1390" s="4">
        <v>0</v>
      </c>
      <c r="AG1390" s="4">
        <v>2</v>
      </c>
      <c r="AH1390" s="4">
        <v>104</v>
      </c>
      <c r="AI1390" s="4">
        <v>107</v>
      </c>
      <c r="AJ1390" s="4">
        <v>17</v>
      </c>
      <c r="AK1390" s="4">
        <v>19</v>
      </c>
      <c r="AL1390" s="4">
        <v>56</v>
      </c>
      <c r="AM1390" s="4">
        <v>58</v>
      </c>
      <c r="AN1390" s="4">
        <v>0</v>
      </c>
      <c r="AO1390" s="4">
        <v>0</v>
      </c>
      <c r="AP1390" s="4">
        <v>22</v>
      </c>
      <c r="AQ1390" s="4">
        <v>23</v>
      </c>
      <c r="AR1390" s="3" t="s">
        <v>63</v>
      </c>
      <c r="AS1390" s="3" t="s">
        <v>63</v>
      </c>
      <c r="AT1390" s="3" t="s">
        <v>63</v>
      </c>
      <c r="AV1390" s="6" t="str">
        <f>HYPERLINK("http://mcgill.on.worldcat.org/oclc/26363563","Catalog Record")</f>
        <v>Catalog Record</v>
      </c>
      <c r="AW1390" s="6" t="str">
        <f>HYPERLINK("http://www.worldcat.org/oclc/26363563","WorldCat Record")</f>
        <v>WorldCat Record</v>
      </c>
      <c r="AX1390" s="3" t="s">
        <v>12664</v>
      </c>
      <c r="AY1390" s="3" t="s">
        <v>12665</v>
      </c>
      <c r="AZ1390" s="3" t="s">
        <v>12666</v>
      </c>
      <c r="BA1390" s="3" t="s">
        <v>12666</v>
      </c>
      <c r="BB1390" s="3" t="s">
        <v>12667</v>
      </c>
      <c r="BC1390" s="3" t="s">
        <v>82</v>
      </c>
      <c r="BD1390" s="3" t="s">
        <v>70</v>
      </c>
      <c r="BE1390" s="3" t="s">
        <v>12668</v>
      </c>
      <c r="BF1390" s="3" t="s">
        <v>12667</v>
      </c>
      <c r="BG1390" s="3" t="s">
        <v>12669</v>
      </c>
    </row>
    <row r="1391" spans="1:59" ht="60" x14ac:dyDescent="0.25">
      <c r="A1391" s="2" t="s">
        <v>59</v>
      </c>
      <c r="B1391" s="2" t="s">
        <v>60</v>
      </c>
      <c r="C1391" s="2" t="s">
        <v>12670</v>
      </c>
      <c r="D1391" s="2" t="s">
        <v>12671</v>
      </c>
      <c r="E1391" s="2" t="s">
        <v>12672</v>
      </c>
      <c r="G1391" s="3" t="s">
        <v>63</v>
      </c>
      <c r="I1391" s="3" t="s">
        <v>63</v>
      </c>
      <c r="J1391" s="3" t="s">
        <v>63</v>
      </c>
      <c r="K1391" s="3" t="s">
        <v>64</v>
      </c>
      <c r="L1391" s="2" t="s">
        <v>12673</v>
      </c>
      <c r="M1391" s="2" t="s">
        <v>11939</v>
      </c>
      <c r="N1391" s="3" t="s">
        <v>2249</v>
      </c>
      <c r="P1391" s="3" t="s">
        <v>66</v>
      </c>
      <c r="Q1391" s="2" t="s">
        <v>12674</v>
      </c>
      <c r="R1391" s="3" t="s">
        <v>67</v>
      </c>
      <c r="S1391" s="4">
        <v>7</v>
      </c>
      <c r="T1391" s="4">
        <v>7</v>
      </c>
      <c r="U1391" s="5" t="s">
        <v>12675</v>
      </c>
      <c r="V1391" s="5" t="s">
        <v>12675</v>
      </c>
      <c r="W1391" s="5" t="s">
        <v>69</v>
      </c>
      <c r="X1391" s="5" t="s">
        <v>69</v>
      </c>
      <c r="Y1391" s="4">
        <v>3</v>
      </c>
      <c r="Z1391" s="4">
        <v>1</v>
      </c>
      <c r="AA1391" s="4">
        <v>4</v>
      </c>
      <c r="AB1391" s="4">
        <v>1</v>
      </c>
      <c r="AC1391" s="4">
        <v>1</v>
      </c>
      <c r="AD1391" s="4">
        <v>0</v>
      </c>
      <c r="AE1391" s="4">
        <v>10</v>
      </c>
      <c r="AF1391" s="4">
        <v>0</v>
      </c>
      <c r="AG1391" s="4">
        <v>0</v>
      </c>
      <c r="AH1391" s="4">
        <v>0</v>
      </c>
      <c r="AI1391" s="4">
        <v>10</v>
      </c>
      <c r="AJ1391" s="4">
        <v>0</v>
      </c>
      <c r="AK1391" s="4">
        <v>2</v>
      </c>
      <c r="AL1391" s="4">
        <v>0</v>
      </c>
      <c r="AM1391" s="4">
        <v>6</v>
      </c>
      <c r="AN1391" s="4">
        <v>0</v>
      </c>
      <c r="AO1391" s="4">
        <v>0</v>
      </c>
      <c r="AP1391" s="4">
        <v>0</v>
      </c>
      <c r="AQ1391" s="4">
        <v>2</v>
      </c>
      <c r="AR1391" s="3" t="s">
        <v>63</v>
      </c>
      <c r="AS1391" s="3" t="s">
        <v>63</v>
      </c>
      <c r="AT1391" s="3" t="s">
        <v>63</v>
      </c>
      <c r="AV1391" s="6" t="str">
        <f>HYPERLINK("http://mcgill.on.worldcat.org/oclc/427569873","Catalog Record")</f>
        <v>Catalog Record</v>
      </c>
      <c r="AW1391" s="6" t="str">
        <f>HYPERLINK("http://www.worldcat.org/oclc/427569873","WorldCat Record")</f>
        <v>WorldCat Record</v>
      </c>
      <c r="AX1391" s="3" t="s">
        <v>12676</v>
      </c>
      <c r="AY1391" s="3" t="s">
        <v>12677</v>
      </c>
      <c r="AZ1391" s="3" t="s">
        <v>12678</v>
      </c>
      <c r="BA1391" s="3" t="s">
        <v>12678</v>
      </c>
      <c r="BB1391" s="3" t="s">
        <v>12679</v>
      </c>
      <c r="BC1391" s="3" t="s">
        <v>82</v>
      </c>
      <c r="BD1391" s="3" t="s">
        <v>70</v>
      </c>
      <c r="BF1391" s="3" t="s">
        <v>12679</v>
      </c>
      <c r="BG1391" s="3" t="s">
        <v>12680</v>
      </c>
    </row>
    <row r="1392" spans="1:59" ht="60" x14ac:dyDescent="0.25">
      <c r="A1392" s="2" t="s">
        <v>59</v>
      </c>
      <c r="B1392" s="2" t="s">
        <v>60</v>
      </c>
      <c r="C1392" s="2" t="s">
        <v>12681</v>
      </c>
      <c r="D1392" s="2" t="s">
        <v>12682</v>
      </c>
      <c r="E1392" s="2" t="s">
        <v>12683</v>
      </c>
      <c r="G1392" s="3" t="s">
        <v>63</v>
      </c>
      <c r="I1392" s="3" t="s">
        <v>62</v>
      </c>
      <c r="J1392" s="3" t="s">
        <v>62</v>
      </c>
      <c r="K1392" s="3" t="s">
        <v>64</v>
      </c>
      <c r="L1392" s="2" t="s">
        <v>12684</v>
      </c>
      <c r="M1392" s="2" t="s">
        <v>12685</v>
      </c>
      <c r="N1392" s="3" t="s">
        <v>681</v>
      </c>
      <c r="P1392" s="3" t="s">
        <v>66</v>
      </c>
      <c r="R1392" s="3" t="s">
        <v>67</v>
      </c>
      <c r="S1392" s="4">
        <v>8</v>
      </c>
      <c r="T1392" s="4">
        <v>38</v>
      </c>
      <c r="U1392" s="5" t="s">
        <v>12686</v>
      </c>
      <c r="V1392" s="5" t="s">
        <v>2493</v>
      </c>
      <c r="W1392" s="5" t="s">
        <v>69</v>
      </c>
      <c r="X1392" s="5" t="s">
        <v>69</v>
      </c>
      <c r="Y1392" s="4">
        <v>163</v>
      </c>
      <c r="Z1392" s="4">
        <v>17</v>
      </c>
      <c r="AA1392" s="4">
        <v>39</v>
      </c>
      <c r="AB1392" s="4">
        <v>2</v>
      </c>
      <c r="AC1392" s="4">
        <v>3</v>
      </c>
      <c r="AD1392" s="4">
        <v>32</v>
      </c>
      <c r="AE1392" s="4">
        <v>116</v>
      </c>
      <c r="AF1392" s="4">
        <v>1</v>
      </c>
      <c r="AG1392" s="4">
        <v>2</v>
      </c>
      <c r="AH1392" s="4">
        <v>25</v>
      </c>
      <c r="AI1392" s="4">
        <v>94</v>
      </c>
      <c r="AJ1392" s="4">
        <v>9</v>
      </c>
      <c r="AK1392" s="4">
        <v>19</v>
      </c>
      <c r="AL1392" s="4">
        <v>13</v>
      </c>
      <c r="AM1392" s="4">
        <v>52</v>
      </c>
      <c r="AN1392" s="4">
        <v>0</v>
      </c>
      <c r="AO1392" s="4">
        <v>0</v>
      </c>
      <c r="AP1392" s="4">
        <v>12</v>
      </c>
      <c r="AQ1392" s="4">
        <v>29</v>
      </c>
      <c r="AR1392" s="3" t="s">
        <v>63</v>
      </c>
      <c r="AS1392" s="3" t="s">
        <v>63</v>
      </c>
      <c r="AT1392" s="3" t="s">
        <v>62</v>
      </c>
      <c r="AU1392" s="6" t="str">
        <f>HYPERLINK("http://catalog.hathitrust.org/Record/001224460","HathiTrust Record")</f>
        <v>HathiTrust Record</v>
      </c>
      <c r="AV1392" s="6" t="str">
        <f>HYPERLINK("http://mcgill.on.worldcat.org/oclc/97439","Catalog Record")</f>
        <v>Catalog Record</v>
      </c>
      <c r="AW1392" s="6" t="str">
        <f>HYPERLINK("http://www.worldcat.org/oclc/97439","WorldCat Record")</f>
        <v>WorldCat Record</v>
      </c>
      <c r="AX1392" s="3" t="s">
        <v>12687</v>
      </c>
      <c r="AY1392" s="3" t="s">
        <v>12688</v>
      </c>
      <c r="AZ1392" s="3" t="s">
        <v>12689</v>
      </c>
      <c r="BA1392" s="3" t="s">
        <v>12689</v>
      </c>
      <c r="BB1392" s="3" t="s">
        <v>12690</v>
      </c>
      <c r="BC1392" s="3" t="s">
        <v>82</v>
      </c>
      <c r="BD1392" s="3" t="s">
        <v>70</v>
      </c>
      <c r="BE1392" s="3" t="s">
        <v>12691</v>
      </c>
      <c r="BF1392" s="3" t="s">
        <v>12690</v>
      </c>
      <c r="BG1392" s="3" t="s">
        <v>12692</v>
      </c>
    </row>
    <row r="1393" spans="1:59" ht="60" x14ac:dyDescent="0.25">
      <c r="A1393" s="2" t="s">
        <v>59</v>
      </c>
      <c r="B1393" s="2" t="s">
        <v>60</v>
      </c>
      <c r="C1393" s="2" t="s">
        <v>12681</v>
      </c>
      <c r="D1393" s="2" t="s">
        <v>12682</v>
      </c>
      <c r="E1393" s="2" t="s">
        <v>12683</v>
      </c>
      <c r="G1393" s="3" t="s">
        <v>63</v>
      </c>
      <c r="I1393" s="3" t="s">
        <v>62</v>
      </c>
      <c r="J1393" s="3" t="s">
        <v>62</v>
      </c>
      <c r="K1393" s="3" t="s">
        <v>64</v>
      </c>
      <c r="L1393" s="2" t="s">
        <v>12684</v>
      </c>
      <c r="M1393" s="2" t="s">
        <v>12685</v>
      </c>
      <c r="N1393" s="3" t="s">
        <v>681</v>
      </c>
      <c r="P1393" s="3" t="s">
        <v>66</v>
      </c>
      <c r="R1393" s="3" t="s">
        <v>67</v>
      </c>
      <c r="S1393" s="4">
        <v>15</v>
      </c>
      <c r="T1393" s="4">
        <v>38</v>
      </c>
      <c r="U1393" s="5" t="s">
        <v>12693</v>
      </c>
      <c r="V1393" s="5" t="s">
        <v>2493</v>
      </c>
      <c r="W1393" s="5" t="s">
        <v>69</v>
      </c>
      <c r="X1393" s="5" t="s">
        <v>69</v>
      </c>
      <c r="Y1393" s="4">
        <v>163</v>
      </c>
      <c r="Z1393" s="4">
        <v>17</v>
      </c>
      <c r="AA1393" s="4">
        <v>39</v>
      </c>
      <c r="AB1393" s="4">
        <v>2</v>
      </c>
      <c r="AC1393" s="4">
        <v>3</v>
      </c>
      <c r="AD1393" s="4">
        <v>32</v>
      </c>
      <c r="AE1393" s="4">
        <v>116</v>
      </c>
      <c r="AF1393" s="4">
        <v>1</v>
      </c>
      <c r="AG1393" s="4">
        <v>2</v>
      </c>
      <c r="AH1393" s="4">
        <v>25</v>
      </c>
      <c r="AI1393" s="4">
        <v>94</v>
      </c>
      <c r="AJ1393" s="4">
        <v>9</v>
      </c>
      <c r="AK1393" s="4">
        <v>19</v>
      </c>
      <c r="AL1393" s="4">
        <v>13</v>
      </c>
      <c r="AM1393" s="4">
        <v>52</v>
      </c>
      <c r="AN1393" s="4">
        <v>0</v>
      </c>
      <c r="AO1393" s="4">
        <v>0</v>
      </c>
      <c r="AP1393" s="4">
        <v>12</v>
      </c>
      <c r="AQ1393" s="4">
        <v>29</v>
      </c>
      <c r="AR1393" s="3" t="s">
        <v>63</v>
      </c>
      <c r="AS1393" s="3" t="s">
        <v>63</v>
      </c>
      <c r="AT1393" s="3" t="s">
        <v>62</v>
      </c>
      <c r="AU1393" s="6" t="str">
        <f>HYPERLINK("http://catalog.hathitrust.org/Record/001224460","HathiTrust Record")</f>
        <v>HathiTrust Record</v>
      </c>
      <c r="AV1393" s="6" t="str">
        <f>HYPERLINK("http://mcgill.on.worldcat.org/oclc/97439","Catalog Record")</f>
        <v>Catalog Record</v>
      </c>
      <c r="AW1393" s="6" t="str">
        <f>HYPERLINK("http://www.worldcat.org/oclc/97439","WorldCat Record")</f>
        <v>WorldCat Record</v>
      </c>
      <c r="AX1393" s="3" t="s">
        <v>12687</v>
      </c>
      <c r="AY1393" s="3" t="s">
        <v>12688</v>
      </c>
      <c r="AZ1393" s="3" t="s">
        <v>12689</v>
      </c>
      <c r="BA1393" s="3" t="s">
        <v>12689</v>
      </c>
      <c r="BB1393" s="3" t="s">
        <v>12694</v>
      </c>
      <c r="BC1393" s="3" t="s">
        <v>82</v>
      </c>
      <c r="BD1393" s="3" t="s">
        <v>538</v>
      </c>
      <c r="BE1393" s="3" t="s">
        <v>12691</v>
      </c>
      <c r="BF1393" s="3" t="s">
        <v>12694</v>
      </c>
      <c r="BG1393" s="3" t="s">
        <v>12695</v>
      </c>
    </row>
    <row r="1394" spans="1:59" ht="60" x14ac:dyDescent="0.25">
      <c r="A1394" s="2" t="s">
        <v>59</v>
      </c>
      <c r="B1394" s="2" t="s">
        <v>60</v>
      </c>
      <c r="C1394" s="2" t="s">
        <v>12681</v>
      </c>
      <c r="D1394" s="2" t="s">
        <v>12682</v>
      </c>
      <c r="E1394" s="2" t="s">
        <v>12683</v>
      </c>
      <c r="G1394" s="3" t="s">
        <v>63</v>
      </c>
      <c r="I1394" s="3" t="s">
        <v>62</v>
      </c>
      <c r="J1394" s="3" t="s">
        <v>62</v>
      </c>
      <c r="K1394" s="3" t="s">
        <v>64</v>
      </c>
      <c r="L1394" s="2" t="s">
        <v>12684</v>
      </c>
      <c r="M1394" s="2" t="s">
        <v>12685</v>
      </c>
      <c r="N1394" s="3" t="s">
        <v>681</v>
      </c>
      <c r="P1394" s="3" t="s">
        <v>66</v>
      </c>
      <c r="R1394" s="3" t="s">
        <v>67</v>
      </c>
      <c r="S1394" s="4">
        <v>15</v>
      </c>
      <c r="T1394" s="4">
        <v>38</v>
      </c>
      <c r="U1394" s="5" t="s">
        <v>2493</v>
      </c>
      <c r="V1394" s="5" t="s">
        <v>2493</v>
      </c>
      <c r="W1394" s="5" t="s">
        <v>69</v>
      </c>
      <c r="X1394" s="5" t="s">
        <v>69</v>
      </c>
      <c r="Y1394" s="4">
        <v>163</v>
      </c>
      <c r="Z1394" s="4">
        <v>17</v>
      </c>
      <c r="AA1394" s="4">
        <v>39</v>
      </c>
      <c r="AB1394" s="4">
        <v>2</v>
      </c>
      <c r="AC1394" s="4">
        <v>3</v>
      </c>
      <c r="AD1394" s="4">
        <v>32</v>
      </c>
      <c r="AE1394" s="4">
        <v>116</v>
      </c>
      <c r="AF1394" s="4">
        <v>1</v>
      </c>
      <c r="AG1394" s="4">
        <v>2</v>
      </c>
      <c r="AH1394" s="4">
        <v>25</v>
      </c>
      <c r="AI1394" s="4">
        <v>94</v>
      </c>
      <c r="AJ1394" s="4">
        <v>9</v>
      </c>
      <c r="AK1394" s="4">
        <v>19</v>
      </c>
      <c r="AL1394" s="4">
        <v>13</v>
      </c>
      <c r="AM1394" s="4">
        <v>52</v>
      </c>
      <c r="AN1394" s="4">
        <v>0</v>
      </c>
      <c r="AO1394" s="4">
        <v>0</v>
      </c>
      <c r="AP1394" s="4">
        <v>12</v>
      </c>
      <c r="AQ1394" s="4">
        <v>29</v>
      </c>
      <c r="AR1394" s="3" t="s">
        <v>63</v>
      </c>
      <c r="AS1394" s="3" t="s">
        <v>63</v>
      </c>
      <c r="AT1394" s="3" t="s">
        <v>62</v>
      </c>
      <c r="AU1394" s="6" t="str">
        <f>HYPERLINK("http://catalog.hathitrust.org/Record/001224460","HathiTrust Record")</f>
        <v>HathiTrust Record</v>
      </c>
      <c r="AV1394" s="6" t="str">
        <f>HYPERLINK("http://mcgill.on.worldcat.org/oclc/97439","Catalog Record")</f>
        <v>Catalog Record</v>
      </c>
      <c r="AW1394" s="6" t="str">
        <f>HYPERLINK("http://www.worldcat.org/oclc/97439","WorldCat Record")</f>
        <v>WorldCat Record</v>
      </c>
      <c r="AX1394" s="3" t="s">
        <v>12687</v>
      </c>
      <c r="AY1394" s="3" t="s">
        <v>12688</v>
      </c>
      <c r="AZ1394" s="3" t="s">
        <v>12689</v>
      </c>
      <c r="BA1394" s="3" t="s">
        <v>12689</v>
      </c>
      <c r="BB1394" s="3" t="s">
        <v>12696</v>
      </c>
      <c r="BC1394" s="3" t="s">
        <v>82</v>
      </c>
      <c r="BD1394" s="3" t="s">
        <v>70</v>
      </c>
      <c r="BE1394" s="3" t="s">
        <v>12691</v>
      </c>
      <c r="BF1394" s="3" t="s">
        <v>12696</v>
      </c>
      <c r="BG1394" s="3" t="s">
        <v>12697</v>
      </c>
    </row>
    <row r="1395" spans="1:59" ht="60" x14ac:dyDescent="0.25">
      <c r="A1395" s="2" t="s">
        <v>59</v>
      </c>
      <c r="B1395" s="2" t="s">
        <v>60</v>
      </c>
      <c r="C1395" s="2" t="s">
        <v>12698</v>
      </c>
      <c r="D1395" s="2" t="s">
        <v>12699</v>
      </c>
      <c r="E1395" s="2" t="s">
        <v>12700</v>
      </c>
      <c r="G1395" s="3" t="s">
        <v>63</v>
      </c>
      <c r="I1395" s="3" t="s">
        <v>63</v>
      </c>
      <c r="J1395" s="3" t="s">
        <v>63</v>
      </c>
      <c r="K1395" s="3" t="s">
        <v>64</v>
      </c>
      <c r="L1395" s="2" t="s">
        <v>12701</v>
      </c>
      <c r="M1395" s="2" t="s">
        <v>12702</v>
      </c>
      <c r="N1395" s="3" t="s">
        <v>12703</v>
      </c>
      <c r="P1395" s="3" t="s">
        <v>90</v>
      </c>
      <c r="R1395" s="3" t="s">
        <v>67</v>
      </c>
      <c r="S1395" s="4">
        <v>17</v>
      </c>
      <c r="T1395" s="4">
        <v>17</v>
      </c>
      <c r="U1395" s="5" t="s">
        <v>5434</v>
      </c>
      <c r="V1395" s="5" t="s">
        <v>5434</v>
      </c>
      <c r="W1395" s="5" t="s">
        <v>69</v>
      </c>
      <c r="X1395" s="5" t="s">
        <v>69</v>
      </c>
      <c r="Y1395" s="4">
        <v>115</v>
      </c>
      <c r="Z1395" s="4">
        <v>9</v>
      </c>
      <c r="AA1395" s="4">
        <v>11</v>
      </c>
      <c r="AB1395" s="4">
        <v>2</v>
      </c>
      <c r="AC1395" s="4">
        <v>3</v>
      </c>
      <c r="AD1395" s="4">
        <v>60</v>
      </c>
      <c r="AE1395" s="4">
        <v>69</v>
      </c>
      <c r="AF1395" s="4">
        <v>1</v>
      </c>
      <c r="AG1395" s="4">
        <v>2</v>
      </c>
      <c r="AH1395" s="4">
        <v>56</v>
      </c>
      <c r="AI1395" s="4">
        <v>63</v>
      </c>
      <c r="AJ1395" s="4">
        <v>6</v>
      </c>
      <c r="AK1395" s="4">
        <v>7</v>
      </c>
      <c r="AL1395" s="4">
        <v>39</v>
      </c>
      <c r="AM1395" s="4">
        <v>43</v>
      </c>
      <c r="AN1395" s="4">
        <v>0</v>
      </c>
      <c r="AO1395" s="4">
        <v>0</v>
      </c>
      <c r="AP1395" s="4">
        <v>6</v>
      </c>
      <c r="AQ1395" s="4">
        <v>6</v>
      </c>
      <c r="AR1395" s="3" t="s">
        <v>63</v>
      </c>
      <c r="AS1395" s="3" t="s">
        <v>63</v>
      </c>
      <c r="AT1395" s="3" t="s">
        <v>62</v>
      </c>
      <c r="AU1395" s="6" t="str">
        <f>HYPERLINK("http://catalog.hathitrust.org/Record/000265236","HathiTrust Record")</f>
        <v>HathiTrust Record</v>
      </c>
      <c r="AV1395" s="6" t="str">
        <f>HYPERLINK("http://mcgill.on.worldcat.org/oclc/1877598","Catalog Record")</f>
        <v>Catalog Record</v>
      </c>
      <c r="AW1395" s="6" t="str">
        <f>HYPERLINK("http://www.worldcat.org/oclc/1877598","WorldCat Record")</f>
        <v>WorldCat Record</v>
      </c>
      <c r="AX1395" s="3" t="s">
        <v>12704</v>
      </c>
      <c r="AY1395" s="3" t="s">
        <v>12705</v>
      </c>
      <c r="AZ1395" s="3" t="s">
        <v>12706</v>
      </c>
      <c r="BA1395" s="3" t="s">
        <v>12706</v>
      </c>
      <c r="BB1395" s="3" t="s">
        <v>12707</v>
      </c>
      <c r="BC1395" s="3" t="s">
        <v>82</v>
      </c>
      <c r="BD1395" s="3" t="s">
        <v>538</v>
      </c>
      <c r="BF1395" s="3" t="s">
        <v>12707</v>
      </c>
      <c r="BG1395" s="3" t="s">
        <v>12708</v>
      </c>
    </row>
    <row r="1396" spans="1:59" ht="60" x14ac:dyDescent="0.25">
      <c r="A1396" s="2" t="s">
        <v>59</v>
      </c>
      <c r="B1396" s="2" t="s">
        <v>60</v>
      </c>
      <c r="C1396" s="2" t="s">
        <v>12709</v>
      </c>
      <c r="D1396" s="2" t="s">
        <v>12710</v>
      </c>
      <c r="E1396" s="2" t="s">
        <v>12711</v>
      </c>
      <c r="G1396" s="3" t="s">
        <v>63</v>
      </c>
      <c r="I1396" s="3" t="s">
        <v>62</v>
      </c>
      <c r="J1396" s="3" t="s">
        <v>63</v>
      </c>
      <c r="K1396" s="3" t="s">
        <v>64</v>
      </c>
      <c r="L1396" s="2" t="s">
        <v>12701</v>
      </c>
      <c r="M1396" s="2" t="s">
        <v>12712</v>
      </c>
      <c r="N1396" s="3" t="s">
        <v>918</v>
      </c>
      <c r="P1396" s="3" t="s">
        <v>66</v>
      </c>
      <c r="R1396" s="3" t="s">
        <v>67</v>
      </c>
      <c r="S1396" s="4">
        <v>9</v>
      </c>
      <c r="T1396" s="4">
        <v>44</v>
      </c>
      <c r="U1396" s="5" t="s">
        <v>12713</v>
      </c>
      <c r="V1396" s="5" t="s">
        <v>1173</v>
      </c>
      <c r="W1396" s="5" t="s">
        <v>69</v>
      </c>
      <c r="X1396" s="5" t="s">
        <v>69</v>
      </c>
      <c r="Y1396" s="4">
        <v>1331</v>
      </c>
      <c r="Z1396" s="4">
        <v>56</v>
      </c>
      <c r="AA1396" s="4">
        <v>65</v>
      </c>
      <c r="AB1396" s="4">
        <v>3</v>
      </c>
      <c r="AC1396" s="4">
        <v>4</v>
      </c>
      <c r="AD1396" s="4">
        <v>133</v>
      </c>
      <c r="AE1396" s="4">
        <v>141</v>
      </c>
      <c r="AF1396" s="4">
        <v>1</v>
      </c>
      <c r="AG1396" s="4">
        <v>1</v>
      </c>
      <c r="AH1396" s="4">
        <v>104</v>
      </c>
      <c r="AI1396" s="4">
        <v>109</v>
      </c>
      <c r="AJ1396" s="4">
        <v>19</v>
      </c>
      <c r="AK1396" s="4">
        <v>22</v>
      </c>
      <c r="AL1396" s="4">
        <v>58</v>
      </c>
      <c r="AM1396" s="4">
        <v>60</v>
      </c>
      <c r="AN1396" s="4">
        <v>0</v>
      </c>
      <c r="AO1396" s="4">
        <v>0</v>
      </c>
      <c r="AP1396" s="4">
        <v>33</v>
      </c>
      <c r="AQ1396" s="4">
        <v>37</v>
      </c>
      <c r="AR1396" s="3" t="s">
        <v>63</v>
      </c>
      <c r="AS1396" s="3" t="s">
        <v>63</v>
      </c>
      <c r="AT1396" s="3" t="s">
        <v>62</v>
      </c>
      <c r="AU1396" s="6" t="str">
        <f>HYPERLINK("http://catalog.hathitrust.org/Record/000980804","HathiTrust Record")</f>
        <v>HathiTrust Record</v>
      </c>
      <c r="AV1396" s="6" t="str">
        <f>HYPERLINK("http://mcgill.on.worldcat.org/oclc/178365","Catalog Record")</f>
        <v>Catalog Record</v>
      </c>
      <c r="AW1396" s="6" t="str">
        <f>HYPERLINK("http://www.worldcat.org/oclc/178365","WorldCat Record")</f>
        <v>WorldCat Record</v>
      </c>
      <c r="AX1396" s="3" t="s">
        <v>12714</v>
      </c>
      <c r="AY1396" s="3" t="s">
        <v>12715</v>
      </c>
      <c r="AZ1396" s="3" t="s">
        <v>12716</v>
      </c>
      <c r="BA1396" s="3" t="s">
        <v>12716</v>
      </c>
      <c r="BB1396" s="3" t="s">
        <v>12717</v>
      </c>
      <c r="BC1396" s="3" t="s">
        <v>82</v>
      </c>
      <c r="BD1396" s="3" t="s">
        <v>70</v>
      </c>
      <c r="BE1396" s="3" t="s">
        <v>12718</v>
      </c>
      <c r="BF1396" s="3" t="s">
        <v>12717</v>
      </c>
      <c r="BG1396" s="3" t="s">
        <v>12719</v>
      </c>
    </row>
    <row r="1397" spans="1:59" ht="60" x14ac:dyDescent="0.25">
      <c r="A1397" s="2" t="s">
        <v>59</v>
      </c>
      <c r="B1397" s="2" t="s">
        <v>60</v>
      </c>
      <c r="C1397" s="2" t="s">
        <v>12709</v>
      </c>
      <c r="D1397" s="2" t="s">
        <v>12710</v>
      </c>
      <c r="E1397" s="2" t="s">
        <v>12711</v>
      </c>
      <c r="G1397" s="3" t="s">
        <v>63</v>
      </c>
      <c r="I1397" s="3" t="s">
        <v>62</v>
      </c>
      <c r="J1397" s="3" t="s">
        <v>63</v>
      </c>
      <c r="K1397" s="3" t="s">
        <v>64</v>
      </c>
      <c r="L1397" s="2" t="s">
        <v>12701</v>
      </c>
      <c r="M1397" s="2" t="s">
        <v>12712</v>
      </c>
      <c r="N1397" s="3" t="s">
        <v>918</v>
      </c>
      <c r="P1397" s="3" t="s">
        <v>66</v>
      </c>
      <c r="R1397" s="3" t="s">
        <v>67</v>
      </c>
      <c r="S1397" s="4">
        <v>14</v>
      </c>
      <c r="T1397" s="4">
        <v>44</v>
      </c>
      <c r="U1397" s="5" t="s">
        <v>12720</v>
      </c>
      <c r="V1397" s="5" t="s">
        <v>1173</v>
      </c>
      <c r="W1397" s="5" t="s">
        <v>69</v>
      </c>
      <c r="X1397" s="5" t="s">
        <v>69</v>
      </c>
      <c r="Y1397" s="4">
        <v>1331</v>
      </c>
      <c r="Z1397" s="4">
        <v>56</v>
      </c>
      <c r="AA1397" s="4">
        <v>65</v>
      </c>
      <c r="AB1397" s="4">
        <v>3</v>
      </c>
      <c r="AC1397" s="4">
        <v>4</v>
      </c>
      <c r="AD1397" s="4">
        <v>133</v>
      </c>
      <c r="AE1397" s="4">
        <v>141</v>
      </c>
      <c r="AF1397" s="4">
        <v>1</v>
      </c>
      <c r="AG1397" s="4">
        <v>1</v>
      </c>
      <c r="AH1397" s="4">
        <v>104</v>
      </c>
      <c r="AI1397" s="4">
        <v>109</v>
      </c>
      <c r="AJ1397" s="4">
        <v>19</v>
      </c>
      <c r="AK1397" s="4">
        <v>22</v>
      </c>
      <c r="AL1397" s="4">
        <v>58</v>
      </c>
      <c r="AM1397" s="4">
        <v>60</v>
      </c>
      <c r="AN1397" s="4">
        <v>0</v>
      </c>
      <c r="AO1397" s="4">
        <v>0</v>
      </c>
      <c r="AP1397" s="4">
        <v>33</v>
      </c>
      <c r="AQ1397" s="4">
        <v>37</v>
      </c>
      <c r="AR1397" s="3" t="s">
        <v>63</v>
      </c>
      <c r="AS1397" s="3" t="s">
        <v>63</v>
      </c>
      <c r="AT1397" s="3" t="s">
        <v>62</v>
      </c>
      <c r="AU1397" s="6" t="str">
        <f>HYPERLINK("http://catalog.hathitrust.org/Record/000980804","HathiTrust Record")</f>
        <v>HathiTrust Record</v>
      </c>
      <c r="AV1397" s="6" t="str">
        <f>HYPERLINK("http://mcgill.on.worldcat.org/oclc/178365","Catalog Record")</f>
        <v>Catalog Record</v>
      </c>
      <c r="AW1397" s="6" t="str">
        <f>HYPERLINK("http://www.worldcat.org/oclc/178365","WorldCat Record")</f>
        <v>WorldCat Record</v>
      </c>
      <c r="AX1397" s="3" t="s">
        <v>12714</v>
      </c>
      <c r="AY1397" s="3" t="s">
        <v>12715</v>
      </c>
      <c r="AZ1397" s="3" t="s">
        <v>12716</v>
      </c>
      <c r="BA1397" s="3" t="s">
        <v>12716</v>
      </c>
      <c r="BB1397" s="3" t="s">
        <v>12721</v>
      </c>
      <c r="BC1397" s="3" t="s">
        <v>82</v>
      </c>
      <c r="BD1397" s="3" t="s">
        <v>70</v>
      </c>
      <c r="BE1397" s="3" t="s">
        <v>12718</v>
      </c>
      <c r="BF1397" s="3" t="s">
        <v>12721</v>
      </c>
      <c r="BG1397" s="3" t="s">
        <v>12722</v>
      </c>
    </row>
    <row r="1398" spans="1:59" ht="60" x14ac:dyDescent="0.25">
      <c r="A1398" s="2" t="s">
        <v>59</v>
      </c>
      <c r="B1398" s="2" t="s">
        <v>60</v>
      </c>
      <c r="C1398" s="2" t="s">
        <v>12709</v>
      </c>
      <c r="D1398" s="2" t="s">
        <v>12710</v>
      </c>
      <c r="E1398" s="2" t="s">
        <v>12711</v>
      </c>
      <c r="G1398" s="3" t="s">
        <v>63</v>
      </c>
      <c r="I1398" s="3" t="s">
        <v>62</v>
      </c>
      <c r="J1398" s="3" t="s">
        <v>63</v>
      </c>
      <c r="K1398" s="3" t="s">
        <v>64</v>
      </c>
      <c r="L1398" s="2" t="s">
        <v>12701</v>
      </c>
      <c r="M1398" s="2" t="s">
        <v>12712</v>
      </c>
      <c r="N1398" s="3" t="s">
        <v>918</v>
      </c>
      <c r="P1398" s="3" t="s">
        <v>66</v>
      </c>
      <c r="R1398" s="3" t="s">
        <v>67</v>
      </c>
      <c r="S1398" s="4">
        <v>21</v>
      </c>
      <c r="T1398" s="4">
        <v>44</v>
      </c>
      <c r="U1398" s="5" t="s">
        <v>1173</v>
      </c>
      <c r="V1398" s="5" t="s">
        <v>1173</v>
      </c>
      <c r="W1398" s="5" t="s">
        <v>69</v>
      </c>
      <c r="X1398" s="5" t="s">
        <v>69</v>
      </c>
      <c r="Y1398" s="4">
        <v>1331</v>
      </c>
      <c r="Z1398" s="4">
        <v>56</v>
      </c>
      <c r="AA1398" s="4">
        <v>65</v>
      </c>
      <c r="AB1398" s="4">
        <v>3</v>
      </c>
      <c r="AC1398" s="4">
        <v>4</v>
      </c>
      <c r="AD1398" s="4">
        <v>133</v>
      </c>
      <c r="AE1398" s="4">
        <v>141</v>
      </c>
      <c r="AF1398" s="4">
        <v>1</v>
      </c>
      <c r="AG1398" s="4">
        <v>1</v>
      </c>
      <c r="AH1398" s="4">
        <v>104</v>
      </c>
      <c r="AI1398" s="4">
        <v>109</v>
      </c>
      <c r="AJ1398" s="4">
        <v>19</v>
      </c>
      <c r="AK1398" s="4">
        <v>22</v>
      </c>
      <c r="AL1398" s="4">
        <v>58</v>
      </c>
      <c r="AM1398" s="4">
        <v>60</v>
      </c>
      <c r="AN1398" s="4">
        <v>0</v>
      </c>
      <c r="AO1398" s="4">
        <v>0</v>
      </c>
      <c r="AP1398" s="4">
        <v>33</v>
      </c>
      <c r="AQ1398" s="4">
        <v>37</v>
      </c>
      <c r="AR1398" s="3" t="s">
        <v>63</v>
      </c>
      <c r="AS1398" s="3" t="s">
        <v>63</v>
      </c>
      <c r="AT1398" s="3" t="s">
        <v>62</v>
      </c>
      <c r="AU1398" s="6" t="str">
        <f>HYPERLINK("http://catalog.hathitrust.org/Record/000980804","HathiTrust Record")</f>
        <v>HathiTrust Record</v>
      </c>
      <c r="AV1398" s="6" t="str">
        <f>HYPERLINK("http://mcgill.on.worldcat.org/oclc/178365","Catalog Record")</f>
        <v>Catalog Record</v>
      </c>
      <c r="AW1398" s="6" t="str">
        <f>HYPERLINK("http://www.worldcat.org/oclc/178365","WorldCat Record")</f>
        <v>WorldCat Record</v>
      </c>
      <c r="AX1398" s="3" t="s">
        <v>12714</v>
      </c>
      <c r="AY1398" s="3" t="s">
        <v>12715</v>
      </c>
      <c r="AZ1398" s="3" t="s">
        <v>12716</v>
      </c>
      <c r="BA1398" s="3" t="s">
        <v>12716</v>
      </c>
      <c r="BB1398" s="3" t="s">
        <v>12723</v>
      </c>
      <c r="BC1398" s="3" t="s">
        <v>82</v>
      </c>
      <c r="BD1398" s="3" t="s">
        <v>70</v>
      </c>
      <c r="BE1398" s="3" t="s">
        <v>12718</v>
      </c>
      <c r="BF1398" s="3" t="s">
        <v>12723</v>
      </c>
      <c r="BG1398" s="3" t="s">
        <v>12724</v>
      </c>
    </row>
    <row r="1399" spans="1:59" ht="60" x14ac:dyDescent="0.25">
      <c r="A1399" s="2" t="s">
        <v>59</v>
      </c>
      <c r="B1399" s="2" t="s">
        <v>60</v>
      </c>
      <c r="C1399" s="2" t="s">
        <v>12725</v>
      </c>
      <c r="D1399" s="2" t="s">
        <v>12726</v>
      </c>
      <c r="E1399" s="2" t="s">
        <v>12727</v>
      </c>
      <c r="G1399" s="3" t="s">
        <v>63</v>
      </c>
      <c r="I1399" s="3" t="s">
        <v>63</v>
      </c>
      <c r="J1399" s="3" t="s">
        <v>63</v>
      </c>
      <c r="K1399" s="3" t="s">
        <v>64</v>
      </c>
      <c r="L1399" s="2" t="s">
        <v>12728</v>
      </c>
      <c r="M1399" s="2" t="s">
        <v>12729</v>
      </c>
      <c r="N1399" s="3" t="s">
        <v>668</v>
      </c>
      <c r="O1399" s="2" t="s">
        <v>12730</v>
      </c>
      <c r="P1399" s="3" t="s">
        <v>548</v>
      </c>
      <c r="R1399" s="3" t="s">
        <v>67</v>
      </c>
      <c r="S1399" s="4">
        <v>11</v>
      </c>
      <c r="T1399" s="4">
        <v>11</v>
      </c>
      <c r="U1399" s="5" t="s">
        <v>12731</v>
      </c>
      <c r="V1399" s="5" t="s">
        <v>12731</v>
      </c>
      <c r="W1399" s="5" t="s">
        <v>69</v>
      </c>
      <c r="X1399" s="5" t="s">
        <v>69</v>
      </c>
      <c r="Y1399" s="4">
        <v>24</v>
      </c>
      <c r="Z1399" s="4">
        <v>4</v>
      </c>
      <c r="AA1399" s="4">
        <v>37</v>
      </c>
      <c r="AB1399" s="4">
        <v>3</v>
      </c>
      <c r="AC1399" s="4">
        <v>13</v>
      </c>
      <c r="AD1399" s="4">
        <v>5</v>
      </c>
      <c r="AE1399" s="4">
        <v>81</v>
      </c>
      <c r="AF1399" s="4">
        <v>0</v>
      </c>
      <c r="AG1399" s="4">
        <v>4</v>
      </c>
      <c r="AH1399" s="4">
        <v>4</v>
      </c>
      <c r="AI1399" s="4">
        <v>66</v>
      </c>
      <c r="AJ1399" s="4">
        <v>1</v>
      </c>
      <c r="AK1399" s="4">
        <v>20</v>
      </c>
      <c r="AL1399" s="4">
        <v>4</v>
      </c>
      <c r="AM1399" s="4">
        <v>45</v>
      </c>
      <c r="AN1399" s="4">
        <v>0</v>
      </c>
      <c r="AO1399" s="4">
        <v>0</v>
      </c>
      <c r="AP1399" s="4">
        <v>1</v>
      </c>
      <c r="AQ1399" s="4">
        <v>19</v>
      </c>
      <c r="AR1399" s="3" t="s">
        <v>63</v>
      </c>
      <c r="AS1399" s="3" t="s">
        <v>63</v>
      </c>
      <c r="AT1399" s="3" t="s">
        <v>63</v>
      </c>
      <c r="AV1399" s="6" t="str">
        <f>HYPERLINK("http://mcgill.on.worldcat.org/oclc/23817134","Catalog Record")</f>
        <v>Catalog Record</v>
      </c>
      <c r="AW1399" s="6" t="str">
        <f>HYPERLINK("http://www.worldcat.org/oclc/23817134","WorldCat Record")</f>
        <v>WorldCat Record</v>
      </c>
      <c r="AX1399" s="3" t="s">
        <v>12732</v>
      </c>
      <c r="AY1399" s="3" t="s">
        <v>12733</v>
      </c>
      <c r="AZ1399" s="3" t="s">
        <v>12734</v>
      </c>
      <c r="BA1399" s="3" t="s">
        <v>12734</v>
      </c>
      <c r="BB1399" s="3" t="s">
        <v>12735</v>
      </c>
      <c r="BC1399" s="3" t="s">
        <v>82</v>
      </c>
      <c r="BD1399" s="3" t="s">
        <v>70</v>
      </c>
      <c r="BE1399" s="3" t="s">
        <v>12736</v>
      </c>
      <c r="BF1399" s="3" t="s">
        <v>12735</v>
      </c>
      <c r="BG1399" s="3" t="s">
        <v>12737</v>
      </c>
    </row>
    <row r="1400" spans="1:59" ht="60" x14ac:dyDescent="0.25">
      <c r="A1400" s="2" t="s">
        <v>59</v>
      </c>
      <c r="B1400" s="2" t="s">
        <v>60</v>
      </c>
      <c r="C1400" s="2" t="s">
        <v>12738</v>
      </c>
      <c r="D1400" s="2" t="s">
        <v>12739</v>
      </c>
      <c r="E1400" s="2" t="s">
        <v>12740</v>
      </c>
      <c r="G1400" s="3" t="s">
        <v>63</v>
      </c>
      <c r="I1400" s="3" t="s">
        <v>62</v>
      </c>
      <c r="J1400" s="3" t="s">
        <v>63</v>
      </c>
      <c r="K1400" s="3" t="s">
        <v>64</v>
      </c>
      <c r="L1400" s="2" t="s">
        <v>12728</v>
      </c>
      <c r="M1400" s="2" t="s">
        <v>12741</v>
      </c>
      <c r="N1400" s="3" t="s">
        <v>9447</v>
      </c>
      <c r="P1400" s="3" t="s">
        <v>66</v>
      </c>
      <c r="R1400" s="3" t="s">
        <v>67</v>
      </c>
      <c r="S1400" s="4">
        <v>9</v>
      </c>
      <c r="T1400" s="4">
        <v>16</v>
      </c>
      <c r="U1400" s="5" t="s">
        <v>12742</v>
      </c>
      <c r="V1400" s="5" t="s">
        <v>12742</v>
      </c>
      <c r="W1400" s="5" t="s">
        <v>69</v>
      </c>
      <c r="X1400" s="5" t="s">
        <v>69</v>
      </c>
      <c r="Y1400" s="4">
        <v>148</v>
      </c>
      <c r="Z1400" s="4">
        <v>11</v>
      </c>
      <c r="AA1400" s="4">
        <v>30</v>
      </c>
      <c r="AB1400" s="4">
        <v>1</v>
      </c>
      <c r="AC1400" s="4">
        <v>2</v>
      </c>
      <c r="AD1400" s="4">
        <v>26</v>
      </c>
      <c r="AE1400" s="4">
        <v>112</v>
      </c>
      <c r="AF1400" s="4">
        <v>0</v>
      </c>
      <c r="AG1400" s="4">
        <v>0</v>
      </c>
      <c r="AH1400" s="4">
        <v>22</v>
      </c>
      <c r="AI1400" s="4">
        <v>98</v>
      </c>
      <c r="AJ1400" s="4">
        <v>5</v>
      </c>
      <c r="AK1400" s="4">
        <v>15</v>
      </c>
      <c r="AL1400" s="4">
        <v>14</v>
      </c>
      <c r="AM1400" s="4">
        <v>56</v>
      </c>
      <c r="AN1400" s="4">
        <v>0</v>
      </c>
      <c r="AO1400" s="4">
        <v>0</v>
      </c>
      <c r="AP1400" s="4">
        <v>6</v>
      </c>
      <c r="AQ1400" s="4">
        <v>20</v>
      </c>
      <c r="AR1400" s="3" t="s">
        <v>63</v>
      </c>
      <c r="AS1400" s="3" t="s">
        <v>63</v>
      </c>
      <c r="AT1400" s="3" t="s">
        <v>63</v>
      </c>
      <c r="AV1400" s="6" t="str">
        <f>HYPERLINK("http://mcgill.on.worldcat.org/oclc/693039","Catalog Record")</f>
        <v>Catalog Record</v>
      </c>
      <c r="AW1400" s="6" t="str">
        <f>HYPERLINK("http://www.worldcat.org/oclc/693039","WorldCat Record")</f>
        <v>WorldCat Record</v>
      </c>
      <c r="AX1400" s="3" t="s">
        <v>12743</v>
      </c>
      <c r="AY1400" s="3" t="s">
        <v>12744</v>
      </c>
      <c r="AZ1400" s="3" t="s">
        <v>12745</v>
      </c>
      <c r="BA1400" s="3" t="s">
        <v>12745</v>
      </c>
      <c r="BB1400" s="3" t="s">
        <v>12746</v>
      </c>
      <c r="BC1400" s="3" t="s">
        <v>82</v>
      </c>
      <c r="BD1400" s="3" t="s">
        <v>70</v>
      </c>
      <c r="BF1400" s="3" t="s">
        <v>12746</v>
      </c>
      <c r="BG1400" s="3" t="s">
        <v>12747</v>
      </c>
    </row>
    <row r="1401" spans="1:59" ht="60" x14ac:dyDescent="0.25">
      <c r="A1401" s="2" t="s">
        <v>59</v>
      </c>
      <c r="B1401" s="2" t="s">
        <v>60</v>
      </c>
      <c r="C1401" s="2" t="s">
        <v>12738</v>
      </c>
      <c r="D1401" s="2" t="s">
        <v>12739</v>
      </c>
      <c r="E1401" s="2" t="s">
        <v>12740</v>
      </c>
      <c r="G1401" s="3" t="s">
        <v>63</v>
      </c>
      <c r="I1401" s="3" t="s">
        <v>62</v>
      </c>
      <c r="J1401" s="3" t="s">
        <v>63</v>
      </c>
      <c r="K1401" s="3" t="s">
        <v>64</v>
      </c>
      <c r="L1401" s="2" t="s">
        <v>12728</v>
      </c>
      <c r="M1401" s="2" t="s">
        <v>12741</v>
      </c>
      <c r="N1401" s="3" t="s">
        <v>9447</v>
      </c>
      <c r="P1401" s="3" t="s">
        <v>66</v>
      </c>
      <c r="R1401" s="3" t="s">
        <v>67</v>
      </c>
      <c r="S1401" s="4">
        <v>7</v>
      </c>
      <c r="T1401" s="4">
        <v>16</v>
      </c>
      <c r="U1401" s="5" t="s">
        <v>12748</v>
      </c>
      <c r="V1401" s="5" t="s">
        <v>12742</v>
      </c>
      <c r="W1401" s="5" t="s">
        <v>69</v>
      </c>
      <c r="X1401" s="5" t="s">
        <v>69</v>
      </c>
      <c r="Y1401" s="4">
        <v>148</v>
      </c>
      <c r="Z1401" s="4">
        <v>11</v>
      </c>
      <c r="AA1401" s="4">
        <v>30</v>
      </c>
      <c r="AB1401" s="4">
        <v>1</v>
      </c>
      <c r="AC1401" s="4">
        <v>2</v>
      </c>
      <c r="AD1401" s="4">
        <v>26</v>
      </c>
      <c r="AE1401" s="4">
        <v>112</v>
      </c>
      <c r="AF1401" s="4">
        <v>0</v>
      </c>
      <c r="AG1401" s="4">
        <v>0</v>
      </c>
      <c r="AH1401" s="4">
        <v>22</v>
      </c>
      <c r="AI1401" s="4">
        <v>98</v>
      </c>
      <c r="AJ1401" s="4">
        <v>5</v>
      </c>
      <c r="AK1401" s="4">
        <v>15</v>
      </c>
      <c r="AL1401" s="4">
        <v>14</v>
      </c>
      <c r="AM1401" s="4">
        <v>56</v>
      </c>
      <c r="AN1401" s="4">
        <v>0</v>
      </c>
      <c r="AO1401" s="4">
        <v>0</v>
      </c>
      <c r="AP1401" s="4">
        <v>6</v>
      </c>
      <c r="AQ1401" s="4">
        <v>20</v>
      </c>
      <c r="AR1401" s="3" t="s">
        <v>63</v>
      </c>
      <c r="AS1401" s="3" t="s">
        <v>63</v>
      </c>
      <c r="AT1401" s="3" t="s">
        <v>63</v>
      </c>
      <c r="AV1401" s="6" t="str">
        <f>HYPERLINK("http://mcgill.on.worldcat.org/oclc/693039","Catalog Record")</f>
        <v>Catalog Record</v>
      </c>
      <c r="AW1401" s="6" t="str">
        <f>HYPERLINK("http://www.worldcat.org/oclc/693039","WorldCat Record")</f>
        <v>WorldCat Record</v>
      </c>
      <c r="AX1401" s="3" t="s">
        <v>12743</v>
      </c>
      <c r="AY1401" s="3" t="s">
        <v>12744</v>
      </c>
      <c r="AZ1401" s="3" t="s">
        <v>12745</v>
      </c>
      <c r="BA1401" s="3" t="s">
        <v>12745</v>
      </c>
      <c r="BB1401" s="3" t="s">
        <v>12749</v>
      </c>
      <c r="BC1401" s="3" t="s">
        <v>82</v>
      </c>
      <c r="BD1401" s="3" t="s">
        <v>70</v>
      </c>
      <c r="BF1401" s="3" t="s">
        <v>12749</v>
      </c>
      <c r="BG1401" s="3" t="s">
        <v>12750</v>
      </c>
    </row>
    <row r="1402" spans="1:59" ht="60" x14ac:dyDescent="0.25">
      <c r="A1402" s="2" t="s">
        <v>59</v>
      </c>
      <c r="B1402" s="2" t="s">
        <v>60</v>
      </c>
      <c r="C1402" s="2" t="s">
        <v>12751</v>
      </c>
      <c r="D1402" s="2" t="s">
        <v>12752</v>
      </c>
      <c r="E1402" s="2" t="s">
        <v>12753</v>
      </c>
      <c r="G1402" s="3" t="s">
        <v>63</v>
      </c>
      <c r="I1402" s="3" t="s">
        <v>62</v>
      </c>
      <c r="J1402" s="3" t="s">
        <v>63</v>
      </c>
      <c r="K1402" s="3" t="s">
        <v>64</v>
      </c>
      <c r="L1402" s="2" t="s">
        <v>12754</v>
      </c>
      <c r="M1402" s="2" t="s">
        <v>12755</v>
      </c>
      <c r="N1402" s="3" t="s">
        <v>1046</v>
      </c>
      <c r="P1402" s="3" t="s">
        <v>66</v>
      </c>
      <c r="Q1402" s="2" t="s">
        <v>12756</v>
      </c>
      <c r="R1402" s="3" t="s">
        <v>67</v>
      </c>
      <c r="S1402" s="4">
        <v>19</v>
      </c>
      <c r="T1402" s="4">
        <v>69</v>
      </c>
      <c r="U1402" s="5" t="s">
        <v>11686</v>
      </c>
      <c r="V1402" s="5" t="s">
        <v>9858</v>
      </c>
      <c r="W1402" s="5" t="s">
        <v>69</v>
      </c>
      <c r="X1402" s="5" t="s">
        <v>69</v>
      </c>
      <c r="Y1402" s="4">
        <v>2122</v>
      </c>
      <c r="Z1402" s="4">
        <v>65</v>
      </c>
      <c r="AA1402" s="4">
        <v>79</v>
      </c>
      <c r="AB1402" s="4">
        <v>5</v>
      </c>
      <c r="AC1402" s="4">
        <v>12</v>
      </c>
      <c r="AD1402" s="4">
        <v>144</v>
      </c>
      <c r="AE1402" s="4">
        <v>151</v>
      </c>
      <c r="AF1402" s="4">
        <v>2</v>
      </c>
      <c r="AG1402" s="4">
        <v>6</v>
      </c>
      <c r="AH1402" s="4">
        <v>112</v>
      </c>
      <c r="AI1402" s="4">
        <v>115</v>
      </c>
      <c r="AJ1402" s="4">
        <v>19</v>
      </c>
      <c r="AK1402" s="4">
        <v>25</v>
      </c>
      <c r="AL1402" s="4">
        <v>63</v>
      </c>
      <c r="AM1402" s="4">
        <v>63</v>
      </c>
      <c r="AN1402" s="4">
        <v>0</v>
      </c>
      <c r="AO1402" s="4">
        <v>0</v>
      </c>
      <c r="AP1402" s="4">
        <v>38</v>
      </c>
      <c r="AQ1402" s="4">
        <v>43</v>
      </c>
      <c r="AR1402" s="3" t="s">
        <v>63</v>
      </c>
      <c r="AS1402" s="3" t="s">
        <v>63</v>
      </c>
      <c r="AT1402" s="3" t="s">
        <v>63</v>
      </c>
      <c r="AU1402" s="6" t="str">
        <f>HYPERLINK("http://catalog.hathitrust.org/Record/000966001","HathiTrust Record")</f>
        <v>HathiTrust Record</v>
      </c>
      <c r="AV1402" s="6" t="str">
        <f>HYPERLINK("http://mcgill.on.worldcat.org/oclc/319678","Catalog Record")</f>
        <v>Catalog Record</v>
      </c>
      <c r="AW1402" s="6" t="str">
        <f>HYPERLINK("http://www.worldcat.org/oclc/319678","WorldCat Record")</f>
        <v>WorldCat Record</v>
      </c>
      <c r="AX1402" s="3" t="s">
        <v>12757</v>
      </c>
      <c r="AY1402" s="3" t="s">
        <v>12758</v>
      </c>
      <c r="AZ1402" s="3" t="s">
        <v>12759</v>
      </c>
      <c r="BA1402" s="3" t="s">
        <v>12759</v>
      </c>
      <c r="BB1402" s="3" t="s">
        <v>12760</v>
      </c>
      <c r="BC1402" s="3" t="s">
        <v>82</v>
      </c>
      <c r="BD1402" s="3" t="s">
        <v>70</v>
      </c>
      <c r="BF1402" s="3" t="s">
        <v>12760</v>
      </c>
      <c r="BG1402" s="3" t="s">
        <v>12761</v>
      </c>
    </row>
    <row r="1403" spans="1:59" ht="60" x14ac:dyDescent="0.25">
      <c r="A1403" s="2" t="s">
        <v>59</v>
      </c>
      <c r="B1403" s="2" t="s">
        <v>60</v>
      </c>
      <c r="C1403" s="2" t="s">
        <v>12751</v>
      </c>
      <c r="D1403" s="2" t="s">
        <v>12752</v>
      </c>
      <c r="E1403" s="2" t="s">
        <v>12753</v>
      </c>
      <c r="G1403" s="3" t="s">
        <v>63</v>
      </c>
      <c r="I1403" s="3" t="s">
        <v>62</v>
      </c>
      <c r="J1403" s="3" t="s">
        <v>63</v>
      </c>
      <c r="K1403" s="3" t="s">
        <v>64</v>
      </c>
      <c r="L1403" s="2" t="s">
        <v>12754</v>
      </c>
      <c r="M1403" s="2" t="s">
        <v>12755</v>
      </c>
      <c r="N1403" s="3" t="s">
        <v>1046</v>
      </c>
      <c r="P1403" s="3" t="s">
        <v>66</v>
      </c>
      <c r="Q1403" s="2" t="s">
        <v>12756</v>
      </c>
      <c r="R1403" s="3" t="s">
        <v>67</v>
      </c>
      <c r="S1403" s="4">
        <v>13</v>
      </c>
      <c r="T1403" s="4">
        <v>69</v>
      </c>
      <c r="U1403" s="5" t="s">
        <v>12762</v>
      </c>
      <c r="V1403" s="5" t="s">
        <v>9858</v>
      </c>
      <c r="W1403" s="5" t="s">
        <v>69</v>
      </c>
      <c r="X1403" s="5" t="s">
        <v>69</v>
      </c>
      <c r="Y1403" s="4">
        <v>2122</v>
      </c>
      <c r="Z1403" s="4">
        <v>65</v>
      </c>
      <c r="AA1403" s="4">
        <v>79</v>
      </c>
      <c r="AB1403" s="4">
        <v>5</v>
      </c>
      <c r="AC1403" s="4">
        <v>12</v>
      </c>
      <c r="AD1403" s="4">
        <v>144</v>
      </c>
      <c r="AE1403" s="4">
        <v>151</v>
      </c>
      <c r="AF1403" s="4">
        <v>2</v>
      </c>
      <c r="AG1403" s="4">
        <v>6</v>
      </c>
      <c r="AH1403" s="4">
        <v>112</v>
      </c>
      <c r="AI1403" s="4">
        <v>115</v>
      </c>
      <c r="AJ1403" s="4">
        <v>19</v>
      </c>
      <c r="AK1403" s="4">
        <v>25</v>
      </c>
      <c r="AL1403" s="4">
        <v>63</v>
      </c>
      <c r="AM1403" s="4">
        <v>63</v>
      </c>
      <c r="AN1403" s="4">
        <v>0</v>
      </c>
      <c r="AO1403" s="4">
        <v>0</v>
      </c>
      <c r="AP1403" s="4">
        <v>38</v>
      </c>
      <c r="AQ1403" s="4">
        <v>43</v>
      </c>
      <c r="AR1403" s="3" t="s">
        <v>63</v>
      </c>
      <c r="AS1403" s="3" t="s">
        <v>63</v>
      </c>
      <c r="AT1403" s="3" t="s">
        <v>63</v>
      </c>
      <c r="AU1403" s="6" t="str">
        <f>HYPERLINK("http://catalog.hathitrust.org/Record/000966001","HathiTrust Record")</f>
        <v>HathiTrust Record</v>
      </c>
      <c r="AV1403" s="6" t="str">
        <f>HYPERLINK("http://mcgill.on.worldcat.org/oclc/319678","Catalog Record")</f>
        <v>Catalog Record</v>
      </c>
      <c r="AW1403" s="6" t="str">
        <f>HYPERLINK("http://www.worldcat.org/oclc/319678","WorldCat Record")</f>
        <v>WorldCat Record</v>
      </c>
      <c r="AX1403" s="3" t="s">
        <v>12757</v>
      </c>
      <c r="AY1403" s="3" t="s">
        <v>12758</v>
      </c>
      <c r="AZ1403" s="3" t="s">
        <v>12759</v>
      </c>
      <c r="BA1403" s="3" t="s">
        <v>12759</v>
      </c>
      <c r="BB1403" s="3" t="s">
        <v>12763</v>
      </c>
      <c r="BC1403" s="3" t="s">
        <v>82</v>
      </c>
      <c r="BD1403" s="3" t="s">
        <v>70</v>
      </c>
      <c r="BF1403" s="3" t="s">
        <v>12763</v>
      </c>
      <c r="BG1403" s="3" t="s">
        <v>12764</v>
      </c>
    </row>
    <row r="1404" spans="1:59" ht="60" x14ac:dyDescent="0.25">
      <c r="A1404" s="2" t="s">
        <v>59</v>
      </c>
      <c r="B1404" s="2" t="s">
        <v>60</v>
      </c>
      <c r="C1404" s="2" t="s">
        <v>12751</v>
      </c>
      <c r="D1404" s="2" t="s">
        <v>12752</v>
      </c>
      <c r="E1404" s="2" t="s">
        <v>12753</v>
      </c>
      <c r="G1404" s="3" t="s">
        <v>63</v>
      </c>
      <c r="I1404" s="3" t="s">
        <v>62</v>
      </c>
      <c r="J1404" s="3" t="s">
        <v>63</v>
      </c>
      <c r="K1404" s="3" t="s">
        <v>64</v>
      </c>
      <c r="L1404" s="2" t="s">
        <v>12754</v>
      </c>
      <c r="M1404" s="2" t="s">
        <v>12755</v>
      </c>
      <c r="N1404" s="3" t="s">
        <v>1046</v>
      </c>
      <c r="P1404" s="3" t="s">
        <v>66</v>
      </c>
      <c r="Q1404" s="2" t="s">
        <v>12756</v>
      </c>
      <c r="R1404" s="3" t="s">
        <v>67</v>
      </c>
      <c r="S1404" s="4">
        <v>15</v>
      </c>
      <c r="T1404" s="4">
        <v>69</v>
      </c>
      <c r="U1404" s="5" t="s">
        <v>9858</v>
      </c>
      <c r="V1404" s="5" t="s">
        <v>9858</v>
      </c>
      <c r="W1404" s="5" t="s">
        <v>69</v>
      </c>
      <c r="X1404" s="5" t="s">
        <v>69</v>
      </c>
      <c r="Y1404" s="4">
        <v>2122</v>
      </c>
      <c r="Z1404" s="4">
        <v>65</v>
      </c>
      <c r="AA1404" s="4">
        <v>79</v>
      </c>
      <c r="AB1404" s="4">
        <v>5</v>
      </c>
      <c r="AC1404" s="4">
        <v>12</v>
      </c>
      <c r="AD1404" s="4">
        <v>144</v>
      </c>
      <c r="AE1404" s="4">
        <v>151</v>
      </c>
      <c r="AF1404" s="4">
        <v>2</v>
      </c>
      <c r="AG1404" s="4">
        <v>6</v>
      </c>
      <c r="AH1404" s="4">
        <v>112</v>
      </c>
      <c r="AI1404" s="4">
        <v>115</v>
      </c>
      <c r="AJ1404" s="4">
        <v>19</v>
      </c>
      <c r="AK1404" s="4">
        <v>25</v>
      </c>
      <c r="AL1404" s="4">
        <v>63</v>
      </c>
      <c r="AM1404" s="4">
        <v>63</v>
      </c>
      <c r="AN1404" s="4">
        <v>0</v>
      </c>
      <c r="AO1404" s="4">
        <v>0</v>
      </c>
      <c r="AP1404" s="4">
        <v>38</v>
      </c>
      <c r="AQ1404" s="4">
        <v>43</v>
      </c>
      <c r="AR1404" s="3" t="s">
        <v>63</v>
      </c>
      <c r="AS1404" s="3" t="s">
        <v>63</v>
      </c>
      <c r="AT1404" s="3" t="s">
        <v>63</v>
      </c>
      <c r="AU1404" s="6" t="str">
        <f>HYPERLINK("http://catalog.hathitrust.org/Record/000966001","HathiTrust Record")</f>
        <v>HathiTrust Record</v>
      </c>
      <c r="AV1404" s="6" t="str">
        <f>HYPERLINK("http://mcgill.on.worldcat.org/oclc/319678","Catalog Record")</f>
        <v>Catalog Record</v>
      </c>
      <c r="AW1404" s="6" t="str">
        <f>HYPERLINK("http://www.worldcat.org/oclc/319678","WorldCat Record")</f>
        <v>WorldCat Record</v>
      </c>
      <c r="AX1404" s="3" t="s">
        <v>12757</v>
      </c>
      <c r="AY1404" s="3" t="s">
        <v>12758</v>
      </c>
      <c r="AZ1404" s="3" t="s">
        <v>12759</v>
      </c>
      <c r="BA1404" s="3" t="s">
        <v>12759</v>
      </c>
      <c r="BB1404" s="3" t="s">
        <v>12765</v>
      </c>
      <c r="BC1404" s="3" t="s">
        <v>82</v>
      </c>
      <c r="BD1404" s="3" t="s">
        <v>70</v>
      </c>
      <c r="BF1404" s="3" t="s">
        <v>12765</v>
      </c>
      <c r="BG1404" s="3" t="s">
        <v>12766</v>
      </c>
    </row>
    <row r="1405" spans="1:59" ht="60" x14ac:dyDescent="0.25">
      <c r="A1405" s="2" t="s">
        <v>59</v>
      </c>
      <c r="B1405" s="2" t="s">
        <v>60</v>
      </c>
      <c r="C1405" s="2" t="s">
        <v>12751</v>
      </c>
      <c r="D1405" s="2" t="s">
        <v>12752</v>
      </c>
      <c r="E1405" s="2" t="s">
        <v>12753</v>
      </c>
      <c r="G1405" s="3" t="s">
        <v>63</v>
      </c>
      <c r="I1405" s="3" t="s">
        <v>62</v>
      </c>
      <c r="J1405" s="3" t="s">
        <v>63</v>
      </c>
      <c r="K1405" s="3" t="s">
        <v>64</v>
      </c>
      <c r="L1405" s="2" t="s">
        <v>12754</v>
      </c>
      <c r="M1405" s="2" t="s">
        <v>12755</v>
      </c>
      <c r="N1405" s="3" t="s">
        <v>1046</v>
      </c>
      <c r="P1405" s="3" t="s">
        <v>66</v>
      </c>
      <c r="Q1405" s="2" t="s">
        <v>12756</v>
      </c>
      <c r="R1405" s="3" t="s">
        <v>67</v>
      </c>
      <c r="S1405" s="4">
        <v>22</v>
      </c>
      <c r="T1405" s="4">
        <v>69</v>
      </c>
      <c r="U1405" s="5" t="s">
        <v>12767</v>
      </c>
      <c r="V1405" s="5" t="s">
        <v>9858</v>
      </c>
      <c r="W1405" s="5" t="s">
        <v>69</v>
      </c>
      <c r="X1405" s="5" t="s">
        <v>69</v>
      </c>
      <c r="Y1405" s="4">
        <v>2122</v>
      </c>
      <c r="Z1405" s="4">
        <v>65</v>
      </c>
      <c r="AA1405" s="4">
        <v>79</v>
      </c>
      <c r="AB1405" s="4">
        <v>5</v>
      </c>
      <c r="AC1405" s="4">
        <v>12</v>
      </c>
      <c r="AD1405" s="4">
        <v>144</v>
      </c>
      <c r="AE1405" s="4">
        <v>151</v>
      </c>
      <c r="AF1405" s="4">
        <v>2</v>
      </c>
      <c r="AG1405" s="4">
        <v>6</v>
      </c>
      <c r="AH1405" s="4">
        <v>112</v>
      </c>
      <c r="AI1405" s="4">
        <v>115</v>
      </c>
      <c r="AJ1405" s="4">
        <v>19</v>
      </c>
      <c r="AK1405" s="4">
        <v>25</v>
      </c>
      <c r="AL1405" s="4">
        <v>63</v>
      </c>
      <c r="AM1405" s="4">
        <v>63</v>
      </c>
      <c r="AN1405" s="4">
        <v>0</v>
      </c>
      <c r="AO1405" s="4">
        <v>0</v>
      </c>
      <c r="AP1405" s="4">
        <v>38</v>
      </c>
      <c r="AQ1405" s="4">
        <v>43</v>
      </c>
      <c r="AR1405" s="3" t="s">
        <v>63</v>
      </c>
      <c r="AS1405" s="3" t="s">
        <v>63</v>
      </c>
      <c r="AT1405" s="3" t="s">
        <v>63</v>
      </c>
      <c r="AU1405" s="6" t="str">
        <f>HYPERLINK("http://catalog.hathitrust.org/Record/000966001","HathiTrust Record")</f>
        <v>HathiTrust Record</v>
      </c>
      <c r="AV1405" s="6" t="str">
        <f>HYPERLINK("http://mcgill.on.worldcat.org/oclc/319678","Catalog Record")</f>
        <v>Catalog Record</v>
      </c>
      <c r="AW1405" s="6" t="str">
        <f>HYPERLINK("http://www.worldcat.org/oclc/319678","WorldCat Record")</f>
        <v>WorldCat Record</v>
      </c>
      <c r="AX1405" s="3" t="s">
        <v>12757</v>
      </c>
      <c r="AY1405" s="3" t="s">
        <v>12758</v>
      </c>
      <c r="AZ1405" s="3" t="s">
        <v>12759</v>
      </c>
      <c r="BA1405" s="3" t="s">
        <v>12759</v>
      </c>
      <c r="BB1405" s="3" t="s">
        <v>12768</v>
      </c>
      <c r="BC1405" s="3" t="s">
        <v>82</v>
      </c>
      <c r="BD1405" s="3" t="s">
        <v>70</v>
      </c>
      <c r="BF1405" s="3" t="s">
        <v>12768</v>
      </c>
      <c r="BG1405" s="3" t="s">
        <v>12769</v>
      </c>
    </row>
    <row r="1406" spans="1:59" ht="60" x14ac:dyDescent="0.25">
      <c r="A1406" s="2" t="s">
        <v>59</v>
      </c>
      <c r="B1406" s="2" t="s">
        <v>60</v>
      </c>
      <c r="C1406" s="2" t="s">
        <v>12770</v>
      </c>
      <c r="D1406" s="2" t="s">
        <v>12771</v>
      </c>
      <c r="E1406" s="2" t="s">
        <v>12772</v>
      </c>
      <c r="G1406" s="3" t="s">
        <v>63</v>
      </c>
      <c r="I1406" s="3" t="s">
        <v>63</v>
      </c>
      <c r="J1406" s="3" t="s">
        <v>63</v>
      </c>
      <c r="K1406" s="3" t="s">
        <v>64</v>
      </c>
      <c r="L1406" s="2" t="s">
        <v>12773</v>
      </c>
      <c r="M1406" s="2" t="s">
        <v>12774</v>
      </c>
      <c r="N1406" s="3" t="s">
        <v>130</v>
      </c>
      <c r="P1406" s="3" t="s">
        <v>66</v>
      </c>
      <c r="R1406" s="3" t="s">
        <v>67</v>
      </c>
      <c r="S1406" s="4">
        <v>0</v>
      </c>
      <c r="T1406" s="4">
        <v>0</v>
      </c>
      <c r="W1406" s="5" t="s">
        <v>69</v>
      </c>
      <c r="X1406" s="5" t="s">
        <v>69</v>
      </c>
      <c r="Y1406" s="4">
        <v>80</v>
      </c>
      <c r="Z1406" s="4">
        <v>11</v>
      </c>
      <c r="AA1406" s="4">
        <v>16</v>
      </c>
      <c r="AB1406" s="4">
        <v>1</v>
      </c>
      <c r="AC1406" s="4">
        <v>5</v>
      </c>
      <c r="AD1406" s="4">
        <v>45</v>
      </c>
      <c r="AE1406" s="4">
        <v>49</v>
      </c>
      <c r="AF1406" s="4">
        <v>0</v>
      </c>
      <c r="AG1406" s="4">
        <v>1</v>
      </c>
      <c r="AH1406" s="4">
        <v>42</v>
      </c>
      <c r="AI1406" s="4">
        <v>45</v>
      </c>
      <c r="AJ1406" s="4">
        <v>8</v>
      </c>
      <c r="AK1406" s="4">
        <v>10</v>
      </c>
      <c r="AL1406" s="4">
        <v>31</v>
      </c>
      <c r="AM1406" s="4">
        <v>32</v>
      </c>
      <c r="AN1406" s="4">
        <v>0</v>
      </c>
      <c r="AO1406" s="4">
        <v>0</v>
      </c>
      <c r="AP1406" s="4">
        <v>8</v>
      </c>
      <c r="AQ1406" s="4">
        <v>10</v>
      </c>
      <c r="AR1406" s="3" t="s">
        <v>63</v>
      </c>
      <c r="AS1406" s="3" t="s">
        <v>63</v>
      </c>
      <c r="AT1406" s="3" t="s">
        <v>63</v>
      </c>
      <c r="AV1406" s="6" t="str">
        <f>HYPERLINK("http://mcgill.on.worldcat.org/oclc/810950376","Catalog Record")</f>
        <v>Catalog Record</v>
      </c>
      <c r="AW1406" s="6" t="str">
        <f>HYPERLINK("http://www.worldcat.org/oclc/810950376","WorldCat Record")</f>
        <v>WorldCat Record</v>
      </c>
      <c r="AX1406" s="3" t="s">
        <v>12775</v>
      </c>
      <c r="AY1406" s="3" t="s">
        <v>12776</v>
      </c>
      <c r="AZ1406" s="3" t="s">
        <v>12777</v>
      </c>
      <c r="BA1406" s="3" t="s">
        <v>12777</v>
      </c>
      <c r="BB1406" s="3" t="s">
        <v>12778</v>
      </c>
      <c r="BC1406" s="3" t="s">
        <v>82</v>
      </c>
      <c r="BD1406" s="3" t="s">
        <v>70</v>
      </c>
      <c r="BE1406" s="3" t="s">
        <v>12779</v>
      </c>
      <c r="BF1406" s="3" t="s">
        <v>12778</v>
      </c>
      <c r="BG1406" s="3" t="s">
        <v>12780</v>
      </c>
    </row>
    <row r="1407" spans="1:59" ht="60" x14ac:dyDescent="0.25">
      <c r="A1407" s="2" t="s">
        <v>59</v>
      </c>
      <c r="B1407" s="2" t="s">
        <v>60</v>
      </c>
      <c r="C1407" s="2" t="s">
        <v>12781</v>
      </c>
      <c r="D1407" s="2" t="s">
        <v>12782</v>
      </c>
      <c r="E1407" s="2" t="s">
        <v>12783</v>
      </c>
      <c r="G1407" s="3" t="s">
        <v>63</v>
      </c>
      <c r="I1407" s="3" t="s">
        <v>63</v>
      </c>
      <c r="J1407" s="3" t="s">
        <v>63</v>
      </c>
      <c r="K1407" s="3" t="s">
        <v>64</v>
      </c>
      <c r="L1407" s="2" t="s">
        <v>12784</v>
      </c>
      <c r="M1407" s="2" t="s">
        <v>12785</v>
      </c>
      <c r="N1407" s="3" t="s">
        <v>1010</v>
      </c>
      <c r="P1407" s="3" t="s">
        <v>90</v>
      </c>
      <c r="R1407" s="3" t="s">
        <v>67</v>
      </c>
      <c r="S1407" s="4">
        <v>6</v>
      </c>
      <c r="T1407" s="4">
        <v>6</v>
      </c>
      <c r="U1407" s="5" t="s">
        <v>12786</v>
      </c>
      <c r="V1407" s="5" t="s">
        <v>12786</v>
      </c>
      <c r="W1407" s="5" t="s">
        <v>69</v>
      </c>
      <c r="X1407" s="5" t="s">
        <v>69</v>
      </c>
      <c r="Y1407" s="4">
        <v>151</v>
      </c>
      <c r="Z1407" s="4">
        <v>14</v>
      </c>
      <c r="AA1407" s="4">
        <v>17</v>
      </c>
      <c r="AB1407" s="4">
        <v>1</v>
      </c>
      <c r="AC1407" s="4">
        <v>1</v>
      </c>
      <c r="AD1407" s="4">
        <v>80</v>
      </c>
      <c r="AE1407" s="4">
        <v>85</v>
      </c>
      <c r="AF1407" s="4">
        <v>0</v>
      </c>
      <c r="AG1407" s="4">
        <v>0</v>
      </c>
      <c r="AH1407" s="4">
        <v>75</v>
      </c>
      <c r="AI1407" s="4">
        <v>78</v>
      </c>
      <c r="AJ1407" s="4">
        <v>10</v>
      </c>
      <c r="AK1407" s="4">
        <v>12</v>
      </c>
      <c r="AL1407" s="4">
        <v>47</v>
      </c>
      <c r="AM1407" s="4">
        <v>47</v>
      </c>
      <c r="AN1407" s="4">
        <v>0</v>
      </c>
      <c r="AO1407" s="4">
        <v>0</v>
      </c>
      <c r="AP1407" s="4">
        <v>11</v>
      </c>
      <c r="AQ1407" s="4">
        <v>14</v>
      </c>
      <c r="AR1407" s="3" t="s">
        <v>63</v>
      </c>
      <c r="AS1407" s="3" t="s">
        <v>63</v>
      </c>
      <c r="AT1407" s="3" t="s">
        <v>62</v>
      </c>
      <c r="AU1407" s="6" t="str">
        <f>HYPERLINK("http://catalog.hathitrust.org/Record/001224420","HathiTrust Record")</f>
        <v>HathiTrust Record</v>
      </c>
      <c r="AV1407" s="6" t="str">
        <f>HYPERLINK("http://mcgill.on.worldcat.org/oclc/4710141","Catalog Record")</f>
        <v>Catalog Record</v>
      </c>
      <c r="AW1407" s="6" t="str">
        <f>HYPERLINK("http://www.worldcat.org/oclc/4710141","WorldCat Record")</f>
        <v>WorldCat Record</v>
      </c>
      <c r="AX1407" s="3" t="s">
        <v>12787</v>
      </c>
      <c r="AY1407" s="3" t="s">
        <v>12788</v>
      </c>
      <c r="AZ1407" s="3" t="s">
        <v>12789</v>
      </c>
      <c r="BA1407" s="3" t="s">
        <v>12789</v>
      </c>
      <c r="BB1407" s="3" t="s">
        <v>12790</v>
      </c>
      <c r="BC1407" s="3" t="s">
        <v>82</v>
      </c>
      <c r="BD1407" s="3" t="s">
        <v>70</v>
      </c>
      <c r="BF1407" s="3" t="s">
        <v>12790</v>
      </c>
      <c r="BG1407" s="3" t="s">
        <v>12791</v>
      </c>
    </row>
    <row r="1408" spans="1:59" ht="60" x14ac:dyDescent="0.25">
      <c r="A1408" s="2" t="s">
        <v>59</v>
      </c>
      <c r="B1408" s="2" t="s">
        <v>60</v>
      </c>
      <c r="C1408" s="2" t="s">
        <v>12792</v>
      </c>
      <c r="D1408" s="2" t="s">
        <v>12793</v>
      </c>
      <c r="E1408" s="2" t="s">
        <v>12794</v>
      </c>
      <c r="G1408" s="3" t="s">
        <v>63</v>
      </c>
      <c r="I1408" s="3" t="s">
        <v>63</v>
      </c>
      <c r="J1408" s="3" t="s">
        <v>63</v>
      </c>
      <c r="K1408" s="3" t="s">
        <v>64</v>
      </c>
      <c r="L1408" s="2" t="s">
        <v>12795</v>
      </c>
      <c r="M1408" s="2" t="s">
        <v>12796</v>
      </c>
      <c r="N1408" s="3" t="s">
        <v>706</v>
      </c>
      <c r="P1408" s="3" t="s">
        <v>66</v>
      </c>
      <c r="Q1408" s="2" t="s">
        <v>12797</v>
      </c>
      <c r="R1408" s="3" t="s">
        <v>67</v>
      </c>
      <c r="S1408" s="4">
        <v>43</v>
      </c>
      <c r="T1408" s="4">
        <v>43</v>
      </c>
      <c r="U1408" s="5" t="s">
        <v>10909</v>
      </c>
      <c r="V1408" s="5" t="s">
        <v>10909</v>
      </c>
      <c r="W1408" s="5" t="s">
        <v>69</v>
      </c>
      <c r="X1408" s="5" t="s">
        <v>69</v>
      </c>
      <c r="Y1408" s="4">
        <v>299</v>
      </c>
      <c r="Z1408" s="4">
        <v>21</v>
      </c>
      <c r="AA1408" s="4">
        <v>21</v>
      </c>
      <c r="AB1408" s="4">
        <v>2</v>
      </c>
      <c r="AC1408" s="4">
        <v>2</v>
      </c>
      <c r="AD1408" s="4">
        <v>105</v>
      </c>
      <c r="AE1408" s="4">
        <v>105</v>
      </c>
      <c r="AF1408" s="4">
        <v>0</v>
      </c>
      <c r="AG1408" s="4">
        <v>0</v>
      </c>
      <c r="AH1408" s="4">
        <v>96</v>
      </c>
      <c r="AI1408" s="4">
        <v>96</v>
      </c>
      <c r="AJ1408" s="4">
        <v>14</v>
      </c>
      <c r="AK1408" s="4">
        <v>14</v>
      </c>
      <c r="AL1408" s="4">
        <v>52</v>
      </c>
      <c r="AM1408" s="4">
        <v>52</v>
      </c>
      <c r="AN1408" s="4">
        <v>0</v>
      </c>
      <c r="AO1408" s="4">
        <v>0</v>
      </c>
      <c r="AP1408" s="4">
        <v>17</v>
      </c>
      <c r="AQ1408" s="4">
        <v>17</v>
      </c>
      <c r="AR1408" s="3" t="s">
        <v>63</v>
      </c>
      <c r="AS1408" s="3" t="s">
        <v>63</v>
      </c>
      <c r="AT1408" s="3" t="s">
        <v>63</v>
      </c>
      <c r="AV1408" s="6" t="str">
        <f>HYPERLINK("http://mcgill.on.worldcat.org/oclc/13794101","Catalog Record")</f>
        <v>Catalog Record</v>
      </c>
      <c r="AW1408" s="6" t="str">
        <f>HYPERLINK("http://www.worldcat.org/oclc/13794101","WorldCat Record")</f>
        <v>WorldCat Record</v>
      </c>
      <c r="AX1408" s="3" t="s">
        <v>12798</v>
      </c>
      <c r="AY1408" s="3" t="s">
        <v>12799</v>
      </c>
      <c r="AZ1408" s="3" t="s">
        <v>12800</v>
      </c>
      <c r="BA1408" s="3" t="s">
        <v>12800</v>
      </c>
      <c r="BB1408" s="3" t="s">
        <v>12801</v>
      </c>
      <c r="BC1408" s="3" t="s">
        <v>82</v>
      </c>
      <c r="BD1408" s="3" t="s">
        <v>70</v>
      </c>
      <c r="BE1408" s="3" t="s">
        <v>12802</v>
      </c>
      <c r="BF1408" s="3" t="s">
        <v>12801</v>
      </c>
      <c r="BG1408" s="3" t="s">
        <v>12803</v>
      </c>
    </row>
    <row r="1409" spans="1:59" ht="60" x14ac:dyDescent="0.25">
      <c r="A1409" s="2" t="s">
        <v>59</v>
      </c>
      <c r="B1409" s="2" t="s">
        <v>60</v>
      </c>
      <c r="C1409" s="2" t="s">
        <v>12804</v>
      </c>
      <c r="D1409" s="2" t="s">
        <v>12805</v>
      </c>
      <c r="E1409" s="2" t="s">
        <v>12806</v>
      </c>
      <c r="G1409" s="3" t="s">
        <v>63</v>
      </c>
      <c r="I1409" s="3" t="s">
        <v>63</v>
      </c>
      <c r="J1409" s="3" t="s">
        <v>63</v>
      </c>
      <c r="K1409" s="3" t="s">
        <v>64</v>
      </c>
      <c r="M1409" s="2" t="s">
        <v>12807</v>
      </c>
      <c r="N1409" s="3" t="s">
        <v>76</v>
      </c>
      <c r="P1409" s="3" t="s">
        <v>66</v>
      </c>
      <c r="Q1409" s="2" t="s">
        <v>12808</v>
      </c>
      <c r="R1409" s="3" t="s">
        <v>67</v>
      </c>
      <c r="S1409" s="4">
        <v>0</v>
      </c>
      <c r="T1409" s="4">
        <v>0</v>
      </c>
      <c r="W1409" s="5" t="s">
        <v>69</v>
      </c>
      <c r="X1409" s="5" t="s">
        <v>69</v>
      </c>
      <c r="Y1409" s="4">
        <v>77</v>
      </c>
      <c r="Z1409" s="4">
        <v>9</v>
      </c>
      <c r="AA1409" s="4">
        <v>106</v>
      </c>
      <c r="AB1409" s="4">
        <v>1</v>
      </c>
      <c r="AC1409" s="4">
        <v>14</v>
      </c>
      <c r="AD1409" s="4">
        <v>44</v>
      </c>
      <c r="AE1409" s="4">
        <v>121</v>
      </c>
      <c r="AF1409" s="4">
        <v>0</v>
      </c>
      <c r="AG1409" s="4">
        <v>8</v>
      </c>
      <c r="AH1409" s="4">
        <v>42</v>
      </c>
      <c r="AI1409" s="4">
        <v>83</v>
      </c>
      <c r="AJ1409" s="4">
        <v>5</v>
      </c>
      <c r="AK1409" s="4">
        <v>22</v>
      </c>
      <c r="AL1409" s="4">
        <v>30</v>
      </c>
      <c r="AM1409" s="4">
        <v>45</v>
      </c>
      <c r="AN1409" s="4">
        <v>0</v>
      </c>
      <c r="AO1409" s="4">
        <v>0</v>
      </c>
      <c r="AP1409" s="4">
        <v>5</v>
      </c>
      <c r="AQ1409" s="4">
        <v>45</v>
      </c>
      <c r="AR1409" s="3" t="s">
        <v>63</v>
      </c>
      <c r="AS1409" s="3" t="s">
        <v>63</v>
      </c>
      <c r="AT1409" s="3" t="s">
        <v>63</v>
      </c>
      <c r="AV1409" s="6" t="str">
        <f>HYPERLINK("http://mcgill.on.worldcat.org/oclc/794039757","Catalog Record")</f>
        <v>Catalog Record</v>
      </c>
      <c r="AW1409" s="6" t="str">
        <f>HYPERLINK("http://www.worldcat.org/oclc/794039757","WorldCat Record")</f>
        <v>WorldCat Record</v>
      </c>
      <c r="AX1409" s="3" t="s">
        <v>12809</v>
      </c>
      <c r="AY1409" s="3" t="s">
        <v>12810</v>
      </c>
      <c r="AZ1409" s="3" t="s">
        <v>12811</v>
      </c>
      <c r="BA1409" s="3" t="s">
        <v>12811</v>
      </c>
      <c r="BB1409" s="3" t="s">
        <v>12812</v>
      </c>
      <c r="BC1409" s="3" t="s">
        <v>82</v>
      </c>
      <c r="BD1409" s="3" t="s">
        <v>70</v>
      </c>
      <c r="BE1409" s="3" t="s">
        <v>12813</v>
      </c>
      <c r="BF1409" s="3" t="s">
        <v>12812</v>
      </c>
      <c r="BG1409" s="3" t="s">
        <v>12814</v>
      </c>
    </row>
    <row r="1410" spans="1:59" ht="60" x14ac:dyDescent="0.25">
      <c r="A1410" s="2" t="s">
        <v>59</v>
      </c>
      <c r="B1410" s="2" t="s">
        <v>60</v>
      </c>
      <c r="C1410" s="2" t="s">
        <v>12815</v>
      </c>
      <c r="D1410" s="2" t="s">
        <v>12816</v>
      </c>
      <c r="E1410" s="2" t="s">
        <v>12817</v>
      </c>
      <c r="G1410" s="3" t="s">
        <v>63</v>
      </c>
      <c r="I1410" s="3" t="s">
        <v>63</v>
      </c>
      <c r="J1410" s="3" t="s">
        <v>63</v>
      </c>
      <c r="K1410" s="3" t="s">
        <v>64</v>
      </c>
      <c r="L1410" s="2" t="s">
        <v>12818</v>
      </c>
      <c r="M1410" s="2" t="s">
        <v>12819</v>
      </c>
      <c r="N1410" s="3" t="s">
        <v>2144</v>
      </c>
      <c r="P1410" s="3" t="s">
        <v>655</v>
      </c>
      <c r="Q1410" s="2" t="s">
        <v>12820</v>
      </c>
      <c r="R1410" s="3" t="s">
        <v>67</v>
      </c>
      <c r="S1410" s="4">
        <v>2</v>
      </c>
      <c r="T1410" s="4">
        <v>2</v>
      </c>
      <c r="U1410" s="5" t="s">
        <v>12821</v>
      </c>
      <c r="V1410" s="5" t="s">
        <v>12821</v>
      </c>
      <c r="W1410" s="5" t="s">
        <v>69</v>
      </c>
      <c r="X1410" s="5" t="s">
        <v>69</v>
      </c>
      <c r="Y1410" s="4">
        <v>26</v>
      </c>
      <c r="Z1410" s="4">
        <v>3</v>
      </c>
      <c r="AA1410" s="4">
        <v>6</v>
      </c>
      <c r="AB1410" s="4">
        <v>1</v>
      </c>
      <c r="AC1410" s="4">
        <v>1</v>
      </c>
      <c r="AD1410" s="4">
        <v>18</v>
      </c>
      <c r="AE1410" s="4">
        <v>29</v>
      </c>
      <c r="AF1410" s="4">
        <v>0</v>
      </c>
      <c r="AG1410" s="4">
        <v>0</v>
      </c>
      <c r="AH1410" s="4">
        <v>17</v>
      </c>
      <c r="AI1410" s="4">
        <v>27</v>
      </c>
      <c r="AJ1410" s="4">
        <v>2</v>
      </c>
      <c r="AK1410" s="4">
        <v>3</v>
      </c>
      <c r="AL1410" s="4">
        <v>12</v>
      </c>
      <c r="AM1410" s="4">
        <v>23</v>
      </c>
      <c r="AN1410" s="4">
        <v>0</v>
      </c>
      <c r="AO1410" s="4">
        <v>0</v>
      </c>
      <c r="AP1410" s="4">
        <v>2</v>
      </c>
      <c r="AQ1410" s="4">
        <v>3</v>
      </c>
      <c r="AR1410" s="3" t="s">
        <v>63</v>
      </c>
      <c r="AS1410" s="3" t="s">
        <v>63</v>
      </c>
      <c r="AT1410" s="3" t="s">
        <v>63</v>
      </c>
      <c r="AV1410" s="6" t="str">
        <f>HYPERLINK("http://mcgill.on.worldcat.org/oclc/7182601","Catalog Record")</f>
        <v>Catalog Record</v>
      </c>
      <c r="AW1410" s="6" t="str">
        <f>HYPERLINK("http://www.worldcat.org/oclc/7182601","WorldCat Record")</f>
        <v>WorldCat Record</v>
      </c>
      <c r="AX1410" s="3" t="s">
        <v>12822</v>
      </c>
      <c r="AY1410" s="3" t="s">
        <v>12823</v>
      </c>
      <c r="AZ1410" s="3" t="s">
        <v>12824</v>
      </c>
      <c r="BA1410" s="3" t="s">
        <v>12824</v>
      </c>
      <c r="BB1410" s="3" t="s">
        <v>12825</v>
      </c>
      <c r="BC1410" s="3" t="s">
        <v>82</v>
      </c>
      <c r="BD1410" s="3" t="s">
        <v>70</v>
      </c>
      <c r="BF1410" s="3" t="s">
        <v>12825</v>
      </c>
      <c r="BG1410" s="3" t="s">
        <v>12826</v>
      </c>
    </row>
    <row r="1411" spans="1:59" ht="60" x14ac:dyDescent="0.25">
      <c r="A1411" s="2" t="s">
        <v>59</v>
      </c>
      <c r="B1411" s="2" t="s">
        <v>60</v>
      </c>
      <c r="C1411" s="2" t="s">
        <v>12827</v>
      </c>
      <c r="D1411" s="2" t="s">
        <v>12828</v>
      </c>
      <c r="E1411" s="2" t="s">
        <v>12829</v>
      </c>
      <c r="G1411" s="3" t="s">
        <v>63</v>
      </c>
      <c r="I1411" s="3" t="s">
        <v>63</v>
      </c>
      <c r="J1411" s="3" t="s">
        <v>62</v>
      </c>
      <c r="K1411" s="3" t="s">
        <v>64</v>
      </c>
      <c r="L1411" s="2" t="s">
        <v>12830</v>
      </c>
      <c r="M1411" s="2" t="s">
        <v>12831</v>
      </c>
      <c r="N1411" s="3" t="s">
        <v>2271</v>
      </c>
      <c r="O1411" s="2" t="s">
        <v>12832</v>
      </c>
      <c r="P1411" s="3" t="s">
        <v>90</v>
      </c>
      <c r="R1411" s="3" t="s">
        <v>67</v>
      </c>
      <c r="S1411" s="4">
        <v>37</v>
      </c>
      <c r="T1411" s="4">
        <v>37</v>
      </c>
      <c r="U1411" s="5" t="s">
        <v>6126</v>
      </c>
      <c r="V1411" s="5" t="s">
        <v>6126</v>
      </c>
      <c r="W1411" s="5" t="s">
        <v>69</v>
      </c>
      <c r="X1411" s="5" t="s">
        <v>69</v>
      </c>
      <c r="Y1411" s="4">
        <v>101</v>
      </c>
      <c r="Z1411" s="4">
        <v>5</v>
      </c>
      <c r="AA1411" s="4">
        <v>11</v>
      </c>
      <c r="AB1411" s="4">
        <v>1</v>
      </c>
      <c r="AC1411" s="4">
        <v>2</v>
      </c>
      <c r="AD1411" s="4">
        <v>46</v>
      </c>
      <c r="AE1411" s="4">
        <v>82</v>
      </c>
      <c r="AF1411" s="4">
        <v>0</v>
      </c>
      <c r="AG1411" s="4">
        <v>1</v>
      </c>
      <c r="AH1411" s="4">
        <v>44</v>
      </c>
      <c r="AI1411" s="4">
        <v>77</v>
      </c>
      <c r="AJ1411" s="4">
        <v>2</v>
      </c>
      <c r="AK1411" s="4">
        <v>8</v>
      </c>
      <c r="AL1411" s="4">
        <v>35</v>
      </c>
      <c r="AM1411" s="4">
        <v>53</v>
      </c>
      <c r="AN1411" s="4">
        <v>0</v>
      </c>
      <c r="AO1411" s="4">
        <v>0</v>
      </c>
      <c r="AP1411" s="4">
        <v>2</v>
      </c>
      <c r="AQ1411" s="4">
        <v>7</v>
      </c>
      <c r="AR1411" s="3" t="s">
        <v>63</v>
      </c>
      <c r="AS1411" s="3" t="s">
        <v>63</v>
      </c>
      <c r="AT1411" s="3" t="s">
        <v>62</v>
      </c>
      <c r="AU1411" s="6" t="str">
        <f>HYPERLINK("http://catalog.hathitrust.org/Record/001099022","HathiTrust Record")</f>
        <v>HathiTrust Record</v>
      </c>
      <c r="AV1411" s="6" t="str">
        <f>HYPERLINK("http://mcgill.on.worldcat.org/oclc/6745416","Catalog Record")</f>
        <v>Catalog Record</v>
      </c>
      <c r="AW1411" s="6" t="str">
        <f>HYPERLINK("http://www.worldcat.org/oclc/6745416","WorldCat Record")</f>
        <v>WorldCat Record</v>
      </c>
      <c r="AX1411" s="3" t="s">
        <v>12833</v>
      </c>
      <c r="AY1411" s="3" t="s">
        <v>12834</v>
      </c>
      <c r="AZ1411" s="3" t="s">
        <v>12835</v>
      </c>
      <c r="BA1411" s="3" t="s">
        <v>12835</v>
      </c>
      <c r="BB1411" s="3" t="s">
        <v>12836</v>
      </c>
      <c r="BC1411" s="3" t="s">
        <v>82</v>
      </c>
      <c r="BD1411" s="3" t="s">
        <v>70</v>
      </c>
      <c r="BF1411" s="3" t="s">
        <v>12836</v>
      </c>
      <c r="BG1411" s="3" t="s">
        <v>12837</v>
      </c>
    </row>
    <row r="1412" spans="1:59" ht="60" x14ac:dyDescent="0.25">
      <c r="A1412" s="2" t="s">
        <v>59</v>
      </c>
      <c r="B1412" s="2" t="s">
        <v>60</v>
      </c>
      <c r="C1412" s="2" t="s">
        <v>12838</v>
      </c>
      <c r="D1412" s="2" t="s">
        <v>12839</v>
      </c>
      <c r="E1412" s="2" t="s">
        <v>12840</v>
      </c>
      <c r="G1412" s="3" t="s">
        <v>63</v>
      </c>
      <c r="I1412" s="3" t="s">
        <v>63</v>
      </c>
      <c r="J1412" s="3" t="s">
        <v>62</v>
      </c>
      <c r="K1412" s="3" t="s">
        <v>64</v>
      </c>
      <c r="L1412" s="2" t="s">
        <v>12830</v>
      </c>
      <c r="M1412" s="2" t="s">
        <v>12841</v>
      </c>
      <c r="N1412" s="3" t="s">
        <v>849</v>
      </c>
      <c r="O1412" s="2" t="s">
        <v>12842</v>
      </c>
      <c r="P1412" s="3" t="s">
        <v>90</v>
      </c>
      <c r="R1412" s="3" t="s">
        <v>67</v>
      </c>
      <c r="S1412" s="4">
        <v>25</v>
      </c>
      <c r="T1412" s="4">
        <v>25</v>
      </c>
      <c r="U1412" s="5" t="s">
        <v>12843</v>
      </c>
      <c r="V1412" s="5" t="s">
        <v>12843</v>
      </c>
      <c r="W1412" s="5" t="s">
        <v>69</v>
      </c>
      <c r="X1412" s="5" t="s">
        <v>69</v>
      </c>
      <c r="Y1412" s="4">
        <v>63</v>
      </c>
      <c r="Z1412" s="4">
        <v>2</v>
      </c>
      <c r="AA1412" s="4">
        <v>11</v>
      </c>
      <c r="AB1412" s="4">
        <v>1</v>
      </c>
      <c r="AC1412" s="4">
        <v>2</v>
      </c>
      <c r="AD1412" s="4">
        <v>41</v>
      </c>
      <c r="AE1412" s="4">
        <v>82</v>
      </c>
      <c r="AF1412" s="4">
        <v>0</v>
      </c>
      <c r="AG1412" s="4">
        <v>1</v>
      </c>
      <c r="AH1412" s="4">
        <v>41</v>
      </c>
      <c r="AI1412" s="4">
        <v>77</v>
      </c>
      <c r="AJ1412" s="4">
        <v>1</v>
      </c>
      <c r="AK1412" s="4">
        <v>8</v>
      </c>
      <c r="AL1412" s="4">
        <v>25</v>
      </c>
      <c r="AM1412" s="4">
        <v>53</v>
      </c>
      <c r="AN1412" s="4">
        <v>0</v>
      </c>
      <c r="AO1412" s="4">
        <v>0</v>
      </c>
      <c r="AP1412" s="4">
        <v>1</v>
      </c>
      <c r="AQ1412" s="4">
        <v>7</v>
      </c>
      <c r="AR1412" s="3" t="s">
        <v>63</v>
      </c>
      <c r="AS1412" s="3" t="s">
        <v>63</v>
      </c>
      <c r="AT1412" s="3" t="s">
        <v>63</v>
      </c>
      <c r="AV1412" s="6" t="str">
        <f>HYPERLINK("http://mcgill.on.worldcat.org/oclc/6557152","Catalog Record")</f>
        <v>Catalog Record</v>
      </c>
      <c r="AW1412" s="6" t="str">
        <f>HYPERLINK("http://www.worldcat.org/oclc/6557152","WorldCat Record")</f>
        <v>WorldCat Record</v>
      </c>
      <c r="AX1412" s="3" t="s">
        <v>12833</v>
      </c>
      <c r="AY1412" s="3" t="s">
        <v>12844</v>
      </c>
      <c r="AZ1412" s="3" t="s">
        <v>12845</v>
      </c>
      <c r="BA1412" s="3" t="s">
        <v>12845</v>
      </c>
      <c r="BB1412" s="3" t="s">
        <v>12846</v>
      </c>
      <c r="BC1412" s="3" t="s">
        <v>82</v>
      </c>
      <c r="BD1412" s="3" t="s">
        <v>70</v>
      </c>
      <c r="BF1412" s="3" t="s">
        <v>12846</v>
      </c>
      <c r="BG1412" s="3" t="s">
        <v>12847</v>
      </c>
    </row>
    <row r="1413" spans="1:59" ht="60" x14ac:dyDescent="0.25">
      <c r="A1413" s="2" t="s">
        <v>59</v>
      </c>
      <c r="B1413" s="2" t="s">
        <v>60</v>
      </c>
      <c r="C1413" s="2" t="s">
        <v>12848</v>
      </c>
      <c r="D1413" s="2" t="s">
        <v>12849</v>
      </c>
      <c r="E1413" s="2" t="s">
        <v>12850</v>
      </c>
      <c r="G1413" s="3" t="s">
        <v>63</v>
      </c>
      <c r="I1413" s="3" t="s">
        <v>63</v>
      </c>
      <c r="J1413" s="3" t="s">
        <v>62</v>
      </c>
      <c r="K1413" s="3" t="s">
        <v>215</v>
      </c>
      <c r="L1413" s="2" t="s">
        <v>12830</v>
      </c>
      <c r="M1413" s="2" t="s">
        <v>12851</v>
      </c>
      <c r="N1413" s="3" t="s">
        <v>2535</v>
      </c>
      <c r="P1413" s="3" t="s">
        <v>66</v>
      </c>
      <c r="R1413" s="3" t="s">
        <v>67</v>
      </c>
      <c r="S1413" s="4">
        <v>59</v>
      </c>
      <c r="T1413" s="4">
        <v>59</v>
      </c>
      <c r="U1413" s="5" t="s">
        <v>12852</v>
      </c>
      <c r="V1413" s="5" t="s">
        <v>12852</v>
      </c>
      <c r="W1413" s="5" t="s">
        <v>69</v>
      </c>
      <c r="X1413" s="5" t="s">
        <v>69</v>
      </c>
      <c r="Y1413" s="4">
        <v>548</v>
      </c>
      <c r="Z1413" s="4">
        <v>29</v>
      </c>
      <c r="AA1413" s="4">
        <v>78</v>
      </c>
      <c r="AB1413" s="4">
        <v>2</v>
      </c>
      <c r="AC1413" s="4">
        <v>12</v>
      </c>
      <c r="AD1413" s="4">
        <v>114</v>
      </c>
      <c r="AE1413" s="4">
        <v>153</v>
      </c>
      <c r="AF1413" s="4">
        <v>1</v>
      </c>
      <c r="AG1413" s="4">
        <v>5</v>
      </c>
      <c r="AH1413" s="4">
        <v>100</v>
      </c>
      <c r="AI1413" s="4">
        <v>114</v>
      </c>
      <c r="AJ1413" s="4">
        <v>22</v>
      </c>
      <c r="AK1413" s="4">
        <v>28</v>
      </c>
      <c r="AL1413" s="4">
        <v>56</v>
      </c>
      <c r="AM1413" s="4">
        <v>61</v>
      </c>
      <c r="AN1413" s="4">
        <v>0</v>
      </c>
      <c r="AO1413" s="4">
        <v>0</v>
      </c>
      <c r="AP1413" s="4">
        <v>21</v>
      </c>
      <c r="AQ1413" s="4">
        <v>45</v>
      </c>
      <c r="AR1413" s="3" t="s">
        <v>63</v>
      </c>
      <c r="AS1413" s="3" t="s">
        <v>63</v>
      </c>
      <c r="AT1413" s="3" t="s">
        <v>62</v>
      </c>
      <c r="AU1413" s="6" t="str">
        <f>HYPERLINK("http://catalog.hathitrust.org/Record/001227849","HathiTrust Record")</f>
        <v>HathiTrust Record</v>
      </c>
      <c r="AV1413" s="6" t="str">
        <f>HYPERLINK("http://mcgill.on.worldcat.org/oclc/740236","Catalog Record")</f>
        <v>Catalog Record</v>
      </c>
      <c r="AW1413" s="6" t="str">
        <f>HYPERLINK("http://www.worldcat.org/oclc/740236","WorldCat Record")</f>
        <v>WorldCat Record</v>
      </c>
      <c r="AX1413" s="3" t="s">
        <v>12853</v>
      </c>
      <c r="AY1413" s="3" t="s">
        <v>12854</v>
      </c>
      <c r="AZ1413" s="3" t="s">
        <v>12855</v>
      </c>
      <c r="BA1413" s="3" t="s">
        <v>12855</v>
      </c>
      <c r="BB1413" s="3" t="s">
        <v>12856</v>
      </c>
      <c r="BC1413" s="3" t="s">
        <v>82</v>
      </c>
      <c r="BD1413" s="3" t="s">
        <v>538</v>
      </c>
      <c r="BE1413" s="3" t="s">
        <v>12857</v>
      </c>
      <c r="BF1413" s="3" t="s">
        <v>12856</v>
      </c>
      <c r="BG1413" s="3" t="s">
        <v>12858</v>
      </c>
    </row>
    <row r="1414" spans="1:59" ht="60" x14ac:dyDescent="0.25">
      <c r="A1414" s="2" t="s">
        <v>59</v>
      </c>
      <c r="B1414" s="2" t="s">
        <v>60</v>
      </c>
      <c r="C1414" s="2" t="s">
        <v>12859</v>
      </c>
      <c r="D1414" s="2" t="s">
        <v>12860</v>
      </c>
      <c r="E1414" s="2" t="s">
        <v>12861</v>
      </c>
      <c r="G1414" s="3" t="s">
        <v>63</v>
      </c>
      <c r="I1414" s="3" t="s">
        <v>62</v>
      </c>
      <c r="J1414" s="3" t="s">
        <v>62</v>
      </c>
      <c r="K1414" s="3" t="s">
        <v>215</v>
      </c>
      <c r="L1414" s="2" t="s">
        <v>12830</v>
      </c>
      <c r="M1414" s="2" t="s">
        <v>12862</v>
      </c>
      <c r="N1414" s="3" t="s">
        <v>455</v>
      </c>
      <c r="P1414" s="3" t="s">
        <v>66</v>
      </c>
      <c r="Q1414" s="2" t="s">
        <v>12863</v>
      </c>
      <c r="R1414" s="3" t="s">
        <v>67</v>
      </c>
      <c r="S1414" s="4">
        <v>89</v>
      </c>
      <c r="T1414" s="4">
        <v>147</v>
      </c>
      <c r="U1414" s="5" t="s">
        <v>7420</v>
      </c>
      <c r="V1414" s="5" t="s">
        <v>12864</v>
      </c>
      <c r="W1414" s="5" t="s">
        <v>69</v>
      </c>
      <c r="X1414" s="5" t="s">
        <v>69</v>
      </c>
      <c r="Y1414" s="4">
        <v>54</v>
      </c>
      <c r="Z1414" s="4">
        <v>1</v>
      </c>
      <c r="AA1414" s="4">
        <v>78</v>
      </c>
      <c r="AB1414" s="4">
        <v>1</v>
      </c>
      <c r="AC1414" s="4">
        <v>12</v>
      </c>
      <c r="AD1414" s="4">
        <v>1</v>
      </c>
      <c r="AE1414" s="4">
        <v>153</v>
      </c>
      <c r="AF1414" s="4">
        <v>0</v>
      </c>
      <c r="AG1414" s="4">
        <v>5</v>
      </c>
      <c r="AH1414" s="4">
        <v>1</v>
      </c>
      <c r="AI1414" s="4">
        <v>114</v>
      </c>
      <c r="AJ1414" s="4">
        <v>0</v>
      </c>
      <c r="AK1414" s="4">
        <v>28</v>
      </c>
      <c r="AL1414" s="4">
        <v>0</v>
      </c>
      <c r="AM1414" s="4">
        <v>61</v>
      </c>
      <c r="AN1414" s="4">
        <v>0</v>
      </c>
      <c r="AO1414" s="4">
        <v>0</v>
      </c>
      <c r="AP1414" s="4">
        <v>0</v>
      </c>
      <c r="AQ1414" s="4">
        <v>45</v>
      </c>
      <c r="AR1414" s="3" t="s">
        <v>63</v>
      </c>
      <c r="AS1414" s="3" t="s">
        <v>63</v>
      </c>
      <c r="AT1414" s="3" t="s">
        <v>63</v>
      </c>
      <c r="AV1414" s="6" t="str">
        <f>HYPERLINK("http://mcgill.on.worldcat.org/oclc/10965345","Catalog Record")</f>
        <v>Catalog Record</v>
      </c>
      <c r="AW1414" s="6" t="str">
        <f>HYPERLINK("http://www.worldcat.org/oclc/10965345","WorldCat Record")</f>
        <v>WorldCat Record</v>
      </c>
      <c r="AX1414" s="3" t="s">
        <v>12853</v>
      </c>
      <c r="AY1414" s="3" t="s">
        <v>12865</v>
      </c>
      <c r="AZ1414" s="3" t="s">
        <v>12866</v>
      </c>
      <c r="BA1414" s="3" t="s">
        <v>12866</v>
      </c>
      <c r="BB1414" s="3" t="s">
        <v>12867</v>
      </c>
      <c r="BC1414" s="3" t="s">
        <v>82</v>
      </c>
      <c r="BD1414" s="3" t="s">
        <v>70</v>
      </c>
      <c r="BE1414" s="3" t="s">
        <v>12868</v>
      </c>
      <c r="BF1414" s="3" t="s">
        <v>12867</v>
      </c>
      <c r="BG1414" s="3" t="s">
        <v>12869</v>
      </c>
    </row>
    <row r="1415" spans="1:59" ht="60" x14ac:dyDescent="0.25">
      <c r="A1415" s="2" t="s">
        <v>59</v>
      </c>
      <c r="B1415" s="2" t="s">
        <v>60</v>
      </c>
      <c r="C1415" s="2" t="s">
        <v>12859</v>
      </c>
      <c r="D1415" s="2" t="s">
        <v>12860</v>
      </c>
      <c r="E1415" s="2" t="s">
        <v>12861</v>
      </c>
      <c r="G1415" s="3" t="s">
        <v>63</v>
      </c>
      <c r="I1415" s="3" t="s">
        <v>62</v>
      </c>
      <c r="J1415" s="3" t="s">
        <v>62</v>
      </c>
      <c r="K1415" s="3" t="s">
        <v>215</v>
      </c>
      <c r="L1415" s="2" t="s">
        <v>12830</v>
      </c>
      <c r="M1415" s="2" t="s">
        <v>12862</v>
      </c>
      <c r="N1415" s="3" t="s">
        <v>455</v>
      </c>
      <c r="P1415" s="3" t="s">
        <v>66</v>
      </c>
      <c r="Q1415" s="2" t="s">
        <v>12863</v>
      </c>
      <c r="R1415" s="3" t="s">
        <v>67</v>
      </c>
      <c r="S1415" s="4">
        <v>58</v>
      </c>
      <c r="T1415" s="4">
        <v>147</v>
      </c>
      <c r="U1415" s="5" t="s">
        <v>12864</v>
      </c>
      <c r="V1415" s="5" t="s">
        <v>12864</v>
      </c>
      <c r="W1415" s="5" t="s">
        <v>69</v>
      </c>
      <c r="X1415" s="5" t="s">
        <v>69</v>
      </c>
      <c r="Y1415" s="4">
        <v>54</v>
      </c>
      <c r="Z1415" s="4">
        <v>1</v>
      </c>
      <c r="AA1415" s="4">
        <v>78</v>
      </c>
      <c r="AB1415" s="4">
        <v>1</v>
      </c>
      <c r="AC1415" s="4">
        <v>12</v>
      </c>
      <c r="AD1415" s="4">
        <v>1</v>
      </c>
      <c r="AE1415" s="4">
        <v>153</v>
      </c>
      <c r="AF1415" s="4">
        <v>0</v>
      </c>
      <c r="AG1415" s="4">
        <v>5</v>
      </c>
      <c r="AH1415" s="4">
        <v>1</v>
      </c>
      <c r="AI1415" s="4">
        <v>114</v>
      </c>
      <c r="AJ1415" s="4">
        <v>0</v>
      </c>
      <c r="AK1415" s="4">
        <v>28</v>
      </c>
      <c r="AL1415" s="4">
        <v>0</v>
      </c>
      <c r="AM1415" s="4">
        <v>61</v>
      </c>
      <c r="AN1415" s="4">
        <v>0</v>
      </c>
      <c r="AO1415" s="4">
        <v>0</v>
      </c>
      <c r="AP1415" s="4">
        <v>0</v>
      </c>
      <c r="AQ1415" s="4">
        <v>45</v>
      </c>
      <c r="AR1415" s="3" t="s">
        <v>63</v>
      </c>
      <c r="AS1415" s="3" t="s">
        <v>63</v>
      </c>
      <c r="AT1415" s="3" t="s">
        <v>63</v>
      </c>
      <c r="AV1415" s="6" t="str">
        <f>HYPERLINK("http://mcgill.on.worldcat.org/oclc/10965345","Catalog Record")</f>
        <v>Catalog Record</v>
      </c>
      <c r="AW1415" s="6" t="str">
        <f>HYPERLINK("http://www.worldcat.org/oclc/10965345","WorldCat Record")</f>
        <v>WorldCat Record</v>
      </c>
      <c r="AX1415" s="3" t="s">
        <v>12853</v>
      </c>
      <c r="AY1415" s="3" t="s">
        <v>12865</v>
      </c>
      <c r="AZ1415" s="3" t="s">
        <v>12866</v>
      </c>
      <c r="BA1415" s="3" t="s">
        <v>12866</v>
      </c>
      <c r="BB1415" s="3" t="s">
        <v>12870</v>
      </c>
      <c r="BC1415" s="3" t="s">
        <v>82</v>
      </c>
      <c r="BD1415" s="3" t="s">
        <v>538</v>
      </c>
      <c r="BE1415" s="3" t="s">
        <v>12868</v>
      </c>
      <c r="BF1415" s="3" t="s">
        <v>12870</v>
      </c>
      <c r="BG1415" s="3" t="s">
        <v>12871</v>
      </c>
    </row>
    <row r="1416" spans="1:59" ht="60" x14ac:dyDescent="0.25">
      <c r="A1416" s="2" t="s">
        <v>59</v>
      </c>
      <c r="B1416" s="2" t="s">
        <v>60</v>
      </c>
      <c r="C1416" s="2" t="s">
        <v>12872</v>
      </c>
      <c r="D1416" s="2" t="s">
        <v>12873</v>
      </c>
      <c r="E1416" s="2" t="s">
        <v>12874</v>
      </c>
      <c r="G1416" s="3" t="s">
        <v>63</v>
      </c>
      <c r="I1416" s="3" t="s">
        <v>62</v>
      </c>
      <c r="J1416" s="3" t="s">
        <v>62</v>
      </c>
      <c r="K1416" s="3" t="s">
        <v>64</v>
      </c>
      <c r="L1416" s="2" t="s">
        <v>12830</v>
      </c>
      <c r="M1416" s="2" t="s">
        <v>12875</v>
      </c>
      <c r="N1416" s="3" t="s">
        <v>681</v>
      </c>
      <c r="P1416" s="3" t="s">
        <v>548</v>
      </c>
      <c r="Q1416" s="2" t="s">
        <v>12876</v>
      </c>
      <c r="R1416" s="3" t="s">
        <v>67</v>
      </c>
      <c r="S1416" s="4">
        <v>50</v>
      </c>
      <c r="T1416" s="4">
        <v>65</v>
      </c>
      <c r="U1416" s="5" t="s">
        <v>12232</v>
      </c>
      <c r="V1416" s="5" t="s">
        <v>12232</v>
      </c>
      <c r="W1416" s="5" t="s">
        <v>69</v>
      </c>
      <c r="X1416" s="5" t="s">
        <v>69</v>
      </c>
      <c r="Y1416" s="4">
        <v>127</v>
      </c>
      <c r="Z1416" s="4">
        <v>23</v>
      </c>
      <c r="AA1416" s="4">
        <v>35</v>
      </c>
      <c r="AB1416" s="4">
        <v>2</v>
      </c>
      <c r="AC1416" s="4">
        <v>8</v>
      </c>
      <c r="AD1416" s="4">
        <v>52</v>
      </c>
      <c r="AE1416" s="4">
        <v>73</v>
      </c>
      <c r="AF1416" s="4">
        <v>1</v>
      </c>
      <c r="AG1416" s="4">
        <v>5</v>
      </c>
      <c r="AH1416" s="4">
        <v>44</v>
      </c>
      <c r="AI1416" s="4">
        <v>57</v>
      </c>
      <c r="AJ1416" s="4">
        <v>14</v>
      </c>
      <c r="AK1416" s="4">
        <v>21</v>
      </c>
      <c r="AL1416" s="4">
        <v>32</v>
      </c>
      <c r="AM1416" s="4">
        <v>40</v>
      </c>
      <c r="AN1416" s="4">
        <v>0</v>
      </c>
      <c r="AO1416" s="4">
        <v>0</v>
      </c>
      <c r="AP1416" s="4">
        <v>15</v>
      </c>
      <c r="AQ1416" s="4">
        <v>23</v>
      </c>
      <c r="AR1416" s="3" t="s">
        <v>63</v>
      </c>
      <c r="AS1416" s="3" t="s">
        <v>63</v>
      </c>
      <c r="AT1416" s="3" t="s">
        <v>63</v>
      </c>
      <c r="AV1416" s="6" t="str">
        <f>HYPERLINK("http://mcgill.on.worldcat.org/oclc/1962363","Catalog Record")</f>
        <v>Catalog Record</v>
      </c>
      <c r="AW1416" s="6" t="str">
        <f>HYPERLINK("http://www.worldcat.org/oclc/1962363","WorldCat Record")</f>
        <v>WorldCat Record</v>
      </c>
      <c r="AX1416" s="3" t="s">
        <v>12877</v>
      </c>
      <c r="AY1416" s="3" t="s">
        <v>12878</v>
      </c>
      <c r="AZ1416" s="3" t="s">
        <v>12879</v>
      </c>
      <c r="BA1416" s="3" t="s">
        <v>12879</v>
      </c>
      <c r="BB1416" s="3" t="s">
        <v>12880</v>
      </c>
      <c r="BC1416" s="3" t="s">
        <v>82</v>
      </c>
      <c r="BD1416" s="3" t="s">
        <v>70</v>
      </c>
      <c r="BF1416" s="3" t="s">
        <v>12880</v>
      </c>
      <c r="BG1416" s="3" t="s">
        <v>12881</v>
      </c>
    </row>
    <row r="1417" spans="1:59" ht="60" x14ac:dyDescent="0.25">
      <c r="A1417" s="2" t="s">
        <v>59</v>
      </c>
      <c r="B1417" s="2" t="s">
        <v>60</v>
      </c>
      <c r="C1417" s="2" t="s">
        <v>12872</v>
      </c>
      <c r="D1417" s="2" t="s">
        <v>12873</v>
      </c>
      <c r="E1417" s="2" t="s">
        <v>12874</v>
      </c>
      <c r="G1417" s="3" t="s">
        <v>63</v>
      </c>
      <c r="I1417" s="3" t="s">
        <v>62</v>
      </c>
      <c r="J1417" s="3" t="s">
        <v>62</v>
      </c>
      <c r="K1417" s="3" t="s">
        <v>64</v>
      </c>
      <c r="L1417" s="2" t="s">
        <v>12830</v>
      </c>
      <c r="M1417" s="2" t="s">
        <v>12875</v>
      </c>
      <c r="N1417" s="3" t="s">
        <v>681</v>
      </c>
      <c r="P1417" s="3" t="s">
        <v>548</v>
      </c>
      <c r="Q1417" s="2" t="s">
        <v>12876</v>
      </c>
      <c r="R1417" s="3" t="s">
        <v>67</v>
      </c>
      <c r="S1417" s="4">
        <v>15</v>
      </c>
      <c r="T1417" s="4">
        <v>65</v>
      </c>
      <c r="U1417" s="5" t="s">
        <v>6808</v>
      </c>
      <c r="V1417" s="5" t="s">
        <v>12232</v>
      </c>
      <c r="W1417" s="5" t="s">
        <v>69</v>
      </c>
      <c r="X1417" s="5" t="s">
        <v>69</v>
      </c>
      <c r="Y1417" s="4">
        <v>127</v>
      </c>
      <c r="Z1417" s="4">
        <v>23</v>
      </c>
      <c r="AA1417" s="4">
        <v>35</v>
      </c>
      <c r="AB1417" s="4">
        <v>2</v>
      </c>
      <c r="AC1417" s="4">
        <v>8</v>
      </c>
      <c r="AD1417" s="4">
        <v>52</v>
      </c>
      <c r="AE1417" s="4">
        <v>73</v>
      </c>
      <c r="AF1417" s="4">
        <v>1</v>
      </c>
      <c r="AG1417" s="4">
        <v>5</v>
      </c>
      <c r="AH1417" s="4">
        <v>44</v>
      </c>
      <c r="AI1417" s="4">
        <v>57</v>
      </c>
      <c r="AJ1417" s="4">
        <v>14</v>
      </c>
      <c r="AK1417" s="4">
        <v>21</v>
      </c>
      <c r="AL1417" s="4">
        <v>32</v>
      </c>
      <c r="AM1417" s="4">
        <v>40</v>
      </c>
      <c r="AN1417" s="4">
        <v>0</v>
      </c>
      <c r="AO1417" s="4">
        <v>0</v>
      </c>
      <c r="AP1417" s="4">
        <v>15</v>
      </c>
      <c r="AQ1417" s="4">
        <v>23</v>
      </c>
      <c r="AR1417" s="3" t="s">
        <v>63</v>
      </c>
      <c r="AS1417" s="3" t="s">
        <v>63</v>
      </c>
      <c r="AT1417" s="3" t="s">
        <v>63</v>
      </c>
      <c r="AV1417" s="6" t="str">
        <f>HYPERLINK("http://mcgill.on.worldcat.org/oclc/1962363","Catalog Record")</f>
        <v>Catalog Record</v>
      </c>
      <c r="AW1417" s="6" t="str">
        <f>HYPERLINK("http://www.worldcat.org/oclc/1962363","WorldCat Record")</f>
        <v>WorldCat Record</v>
      </c>
      <c r="AX1417" s="3" t="s">
        <v>12877</v>
      </c>
      <c r="AY1417" s="3" t="s">
        <v>12878</v>
      </c>
      <c r="AZ1417" s="3" t="s">
        <v>12879</v>
      </c>
      <c r="BA1417" s="3" t="s">
        <v>12879</v>
      </c>
      <c r="BB1417" s="3" t="s">
        <v>12882</v>
      </c>
      <c r="BC1417" s="3" t="s">
        <v>82</v>
      </c>
      <c r="BD1417" s="3" t="s">
        <v>70</v>
      </c>
      <c r="BF1417" s="3" t="s">
        <v>12882</v>
      </c>
      <c r="BG1417" s="3" t="s">
        <v>12883</v>
      </c>
    </row>
    <row r="1418" spans="1:59" ht="60" x14ac:dyDescent="0.25">
      <c r="A1418" s="2" t="s">
        <v>59</v>
      </c>
      <c r="B1418" s="2" t="s">
        <v>60</v>
      </c>
      <c r="C1418" s="2" t="s">
        <v>12884</v>
      </c>
      <c r="D1418" s="2" t="s">
        <v>12885</v>
      </c>
      <c r="E1418" s="2" t="s">
        <v>12886</v>
      </c>
      <c r="G1418" s="3" t="s">
        <v>63</v>
      </c>
      <c r="I1418" s="3" t="s">
        <v>63</v>
      </c>
      <c r="J1418" s="3" t="s">
        <v>62</v>
      </c>
      <c r="K1418" s="3" t="s">
        <v>64</v>
      </c>
      <c r="L1418" s="2" t="s">
        <v>12830</v>
      </c>
      <c r="M1418" s="2" t="s">
        <v>12887</v>
      </c>
      <c r="N1418" s="3" t="s">
        <v>176</v>
      </c>
      <c r="P1418" s="3" t="s">
        <v>548</v>
      </c>
      <c r="Q1418" s="2" t="s">
        <v>12888</v>
      </c>
      <c r="R1418" s="3" t="s">
        <v>67</v>
      </c>
      <c r="S1418" s="4">
        <v>32</v>
      </c>
      <c r="T1418" s="4">
        <v>32</v>
      </c>
      <c r="U1418" s="5" t="s">
        <v>2867</v>
      </c>
      <c r="V1418" s="5" t="s">
        <v>2867</v>
      </c>
      <c r="W1418" s="5" t="s">
        <v>69</v>
      </c>
      <c r="X1418" s="5" t="s">
        <v>69</v>
      </c>
      <c r="Y1418" s="4">
        <v>49</v>
      </c>
      <c r="Z1418" s="4">
        <v>5</v>
      </c>
      <c r="AA1418" s="4">
        <v>35</v>
      </c>
      <c r="AB1418" s="4">
        <v>4</v>
      </c>
      <c r="AC1418" s="4">
        <v>8</v>
      </c>
      <c r="AD1418" s="4">
        <v>5</v>
      </c>
      <c r="AE1418" s="4">
        <v>73</v>
      </c>
      <c r="AF1418" s="4">
        <v>3</v>
      </c>
      <c r="AG1418" s="4">
        <v>5</v>
      </c>
      <c r="AH1418" s="4">
        <v>2</v>
      </c>
      <c r="AI1418" s="4">
        <v>57</v>
      </c>
      <c r="AJ1418" s="4">
        <v>4</v>
      </c>
      <c r="AK1418" s="4">
        <v>21</v>
      </c>
      <c r="AL1418" s="4">
        <v>0</v>
      </c>
      <c r="AM1418" s="4">
        <v>40</v>
      </c>
      <c r="AN1418" s="4">
        <v>0</v>
      </c>
      <c r="AO1418" s="4">
        <v>0</v>
      </c>
      <c r="AP1418" s="4">
        <v>3</v>
      </c>
      <c r="AQ1418" s="4">
        <v>23</v>
      </c>
      <c r="AR1418" s="3" t="s">
        <v>63</v>
      </c>
      <c r="AS1418" s="3" t="s">
        <v>63</v>
      </c>
      <c r="AT1418" s="3" t="s">
        <v>63</v>
      </c>
      <c r="AV1418" s="6" t="str">
        <f>HYPERLINK("http://mcgill.on.worldcat.org/oclc/40708752","Catalog Record")</f>
        <v>Catalog Record</v>
      </c>
      <c r="AW1418" s="6" t="str">
        <f>HYPERLINK("http://www.worldcat.org/oclc/40708752","WorldCat Record")</f>
        <v>WorldCat Record</v>
      </c>
      <c r="AX1418" s="3" t="s">
        <v>12877</v>
      </c>
      <c r="AY1418" s="3" t="s">
        <v>12889</v>
      </c>
      <c r="AZ1418" s="3" t="s">
        <v>12890</v>
      </c>
      <c r="BA1418" s="3" t="s">
        <v>12890</v>
      </c>
      <c r="BB1418" s="3" t="s">
        <v>12891</v>
      </c>
      <c r="BC1418" s="3" t="s">
        <v>82</v>
      </c>
      <c r="BD1418" s="3" t="s">
        <v>70</v>
      </c>
      <c r="BE1418" s="3" t="s">
        <v>12892</v>
      </c>
      <c r="BF1418" s="3" t="s">
        <v>12891</v>
      </c>
      <c r="BG1418" s="3" t="s">
        <v>12893</v>
      </c>
    </row>
    <row r="1419" spans="1:59" ht="60" x14ac:dyDescent="0.25">
      <c r="A1419" s="2" t="s">
        <v>59</v>
      </c>
      <c r="B1419" s="2" t="s">
        <v>60</v>
      </c>
      <c r="C1419" s="2" t="s">
        <v>12894</v>
      </c>
      <c r="D1419" s="2" t="s">
        <v>12895</v>
      </c>
      <c r="E1419" s="2" t="s">
        <v>12896</v>
      </c>
      <c r="G1419" s="3" t="s">
        <v>63</v>
      </c>
      <c r="I1419" s="3" t="s">
        <v>63</v>
      </c>
      <c r="J1419" s="3" t="s">
        <v>63</v>
      </c>
      <c r="K1419" s="3" t="s">
        <v>64</v>
      </c>
      <c r="M1419" s="2" t="s">
        <v>12897</v>
      </c>
      <c r="N1419" s="3" t="s">
        <v>190</v>
      </c>
      <c r="P1419" s="3" t="s">
        <v>66</v>
      </c>
      <c r="R1419" s="3" t="s">
        <v>67</v>
      </c>
      <c r="S1419" s="4">
        <v>10</v>
      </c>
      <c r="T1419" s="4">
        <v>10</v>
      </c>
      <c r="U1419" s="5" t="s">
        <v>12898</v>
      </c>
      <c r="V1419" s="5" t="s">
        <v>12898</v>
      </c>
      <c r="W1419" s="5" t="s">
        <v>69</v>
      </c>
      <c r="X1419" s="5" t="s">
        <v>69</v>
      </c>
      <c r="Y1419" s="4">
        <v>131</v>
      </c>
      <c r="Z1419" s="4">
        <v>8</v>
      </c>
      <c r="AA1419" s="4">
        <v>8</v>
      </c>
      <c r="AB1419" s="4">
        <v>1</v>
      </c>
      <c r="AC1419" s="4">
        <v>1</v>
      </c>
      <c r="AD1419" s="4">
        <v>60</v>
      </c>
      <c r="AE1419" s="4">
        <v>60</v>
      </c>
      <c r="AF1419" s="4">
        <v>0</v>
      </c>
      <c r="AG1419" s="4">
        <v>0</v>
      </c>
      <c r="AH1419" s="4">
        <v>57</v>
      </c>
      <c r="AI1419" s="4">
        <v>57</v>
      </c>
      <c r="AJ1419" s="4">
        <v>6</v>
      </c>
      <c r="AK1419" s="4">
        <v>6</v>
      </c>
      <c r="AL1419" s="4">
        <v>36</v>
      </c>
      <c r="AM1419" s="4">
        <v>36</v>
      </c>
      <c r="AN1419" s="4">
        <v>0</v>
      </c>
      <c r="AO1419" s="4">
        <v>0</v>
      </c>
      <c r="AP1419" s="4">
        <v>6</v>
      </c>
      <c r="AQ1419" s="4">
        <v>6</v>
      </c>
      <c r="AR1419" s="3" t="s">
        <v>63</v>
      </c>
      <c r="AS1419" s="3" t="s">
        <v>63</v>
      </c>
      <c r="AT1419" s="3" t="s">
        <v>63</v>
      </c>
      <c r="AV1419" s="6" t="str">
        <f>HYPERLINK("http://mcgill.on.worldcat.org/oclc/60396031","Catalog Record")</f>
        <v>Catalog Record</v>
      </c>
      <c r="AW1419" s="6" t="str">
        <f>HYPERLINK("http://www.worldcat.org/oclc/60396031","WorldCat Record")</f>
        <v>WorldCat Record</v>
      </c>
      <c r="AX1419" s="3" t="s">
        <v>12899</v>
      </c>
      <c r="AY1419" s="3" t="s">
        <v>12900</v>
      </c>
      <c r="AZ1419" s="3" t="s">
        <v>12901</v>
      </c>
      <c r="BA1419" s="3" t="s">
        <v>12901</v>
      </c>
      <c r="BB1419" s="3" t="s">
        <v>12902</v>
      </c>
      <c r="BC1419" s="3" t="s">
        <v>82</v>
      </c>
      <c r="BD1419" s="3" t="s">
        <v>70</v>
      </c>
      <c r="BE1419" s="3" t="s">
        <v>12903</v>
      </c>
      <c r="BF1419" s="3" t="s">
        <v>12902</v>
      </c>
      <c r="BG1419" s="3" t="s">
        <v>12904</v>
      </c>
    </row>
    <row r="1420" spans="1:59" ht="60" x14ac:dyDescent="0.25">
      <c r="A1420" s="2" t="s">
        <v>59</v>
      </c>
      <c r="B1420" s="2" t="s">
        <v>60</v>
      </c>
      <c r="C1420" s="2" t="s">
        <v>12905</v>
      </c>
      <c r="D1420" s="2" t="s">
        <v>12906</v>
      </c>
      <c r="E1420" s="2" t="s">
        <v>12907</v>
      </c>
      <c r="F1420" s="3" t="s">
        <v>5684</v>
      </c>
      <c r="G1420" s="3" t="s">
        <v>62</v>
      </c>
      <c r="I1420" s="3" t="s">
        <v>63</v>
      </c>
      <c r="J1420" s="3" t="s">
        <v>62</v>
      </c>
      <c r="K1420" s="3" t="s">
        <v>64</v>
      </c>
      <c r="M1420" s="2" t="s">
        <v>12908</v>
      </c>
      <c r="N1420" s="3" t="s">
        <v>12909</v>
      </c>
      <c r="P1420" s="3" t="s">
        <v>90</v>
      </c>
      <c r="R1420" s="3" t="s">
        <v>67</v>
      </c>
      <c r="S1420" s="4">
        <v>0</v>
      </c>
      <c r="T1420" s="4">
        <v>5</v>
      </c>
      <c r="V1420" s="5" t="s">
        <v>12910</v>
      </c>
      <c r="W1420" s="5" t="s">
        <v>69</v>
      </c>
      <c r="X1420" s="5" t="s">
        <v>69</v>
      </c>
      <c r="Y1420" s="4">
        <v>56</v>
      </c>
      <c r="Z1420" s="4">
        <v>3</v>
      </c>
      <c r="AA1420" s="4">
        <v>4</v>
      </c>
      <c r="AB1420" s="4">
        <v>1</v>
      </c>
      <c r="AC1420" s="4">
        <v>1</v>
      </c>
      <c r="AD1420" s="4">
        <v>35</v>
      </c>
      <c r="AE1420" s="4">
        <v>48</v>
      </c>
      <c r="AF1420" s="4">
        <v>0</v>
      </c>
      <c r="AG1420" s="4">
        <v>0</v>
      </c>
      <c r="AH1420" s="4">
        <v>34</v>
      </c>
      <c r="AI1420" s="4">
        <v>46</v>
      </c>
      <c r="AJ1420" s="4">
        <v>2</v>
      </c>
      <c r="AK1420" s="4">
        <v>3</v>
      </c>
      <c r="AL1420" s="4">
        <v>27</v>
      </c>
      <c r="AM1420" s="4">
        <v>36</v>
      </c>
      <c r="AN1420" s="4">
        <v>0</v>
      </c>
      <c r="AO1420" s="4">
        <v>0</v>
      </c>
      <c r="AP1420" s="4">
        <v>2</v>
      </c>
      <c r="AQ1420" s="4">
        <v>3</v>
      </c>
      <c r="AR1420" s="3" t="s">
        <v>63</v>
      </c>
      <c r="AS1420" s="3" t="s">
        <v>63</v>
      </c>
      <c r="AT1420" s="3" t="s">
        <v>62</v>
      </c>
      <c r="AU1420" s="6" t="str">
        <f>HYPERLINK("http://catalog.hathitrust.org/Record/007120001","HathiTrust Record")</f>
        <v>HathiTrust Record</v>
      </c>
      <c r="AV1420" s="6" t="str">
        <f>HYPERLINK("http://mcgill.on.worldcat.org/oclc/14760198","Catalog Record")</f>
        <v>Catalog Record</v>
      </c>
      <c r="AW1420" s="6" t="str">
        <f>HYPERLINK("http://www.worldcat.org/oclc/14760198","WorldCat Record")</f>
        <v>WorldCat Record</v>
      </c>
      <c r="AX1420" s="3" t="s">
        <v>12911</v>
      </c>
      <c r="AY1420" s="3" t="s">
        <v>12912</v>
      </c>
      <c r="AZ1420" s="3" t="s">
        <v>12913</v>
      </c>
      <c r="BA1420" s="3" t="s">
        <v>12913</v>
      </c>
      <c r="BB1420" s="3" t="s">
        <v>12914</v>
      </c>
      <c r="BC1420" s="3" t="s">
        <v>82</v>
      </c>
      <c r="BD1420" s="3" t="s">
        <v>70</v>
      </c>
      <c r="BF1420" s="3" t="s">
        <v>12914</v>
      </c>
      <c r="BG1420" s="3" t="s">
        <v>12915</v>
      </c>
    </row>
    <row r="1421" spans="1:59" ht="60" x14ac:dyDescent="0.25">
      <c r="A1421" s="2" t="s">
        <v>59</v>
      </c>
      <c r="B1421" s="2" t="s">
        <v>60</v>
      </c>
      <c r="C1421" s="2" t="s">
        <v>12905</v>
      </c>
      <c r="D1421" s="2" t="s">
        <v>12906</v>
      </c>
      <c r="E1421" s="2" t="s">
        <v>12907</v>
      </c>
      <c r="F1421" s="3" t="s">
        <v>1379</v>
      </c>
      <c r="G1421" s="3" t="s">
        <v>62</v>
      </c>
      <c r="I1421" s="3" t="s">
        <v>63</v>
      </c>
      <c r="J1421" s="3" t="s">
        <v>62</v>
      </c>
      <c r="K1421" s="3" t="s">
        <v>64</v>
      </c>
      <c r="M1421" s="2" t="s">
        <v>12908</v>
      </c>
      <c r="N1421" s="3" t="s">
        <v>12909</v>
      </c>
      <c r="P1421" s="3" t="s">
        <v>90</v>
      </c>
      <c r="R1421" s="3" t="s">
        <v>67</v>
      </c>
      <c r="S1421" s="4">
        <v>5</v>
      </c>
      <c r="T1421" s="4">
        <v>5</v>
      </c>
      <c r="U1421" s="5" t="s">
        <v>12910</v>
      </c>
      <c r="V1421" s="5" t="s">
        <v>12910</v>
      </c>
      <c r="W1421" s="5" t="s">
        <v>69</v>
      </c>
      <c r="X1421" s="5" t="s">
        <v>69</v>
      </c>
      <c r="Y1421" s="4">
        <v>56</v>
      </c>
      <c r="Z1421" s="4">
        <v>3</v>
      </c>
      <c r="AA1421" s="4">
        <v>4</v>
      </c>
      <c r="AB1421" s="4">
        <v>1</v>
      </c>
      <c r="AC1421" s="4">
        <v>1</v>
      </c>
      <c r="AD1421" s="4">
        <v>35</v>
      </c>
      <c r="AE1421" s="4">
        <v>48</v>
      </c>
      <c r="AF1421" s="4">
        <v>0</v>
      </c>
      <c r="AG1421" s="4">
        <v>0</v>
      </c>
      <c r="AH1421" s="4">
        <v>34</v>
      </c>
      <c r="AI1421" s="4">
        <v>46</v>
      </c>
      <c r="AJ1421" s="4">
        <v>2</v>
      </c>
      <c r="AK1421" s="4">
        <v>3</v>
      </c>
      <c r="AL1421" s="4">
        <v>27</v>
      </c>
      <c r="AM1421" s="4">
        <v>36</v>
      </c>
      <c r="AN1421" s="4">
        <v>0</v>
      </c>
      <c r="AO1421" s="4">
        <v>0</v>
      </c>
      <c r="AP1421" s="4">
        <v>2</v>
      </c>
      <c r="AQ1421" s="4">
        <v>3</v>
      </c>
      <c r="AR1421" s="3" t="s">
        <v>63</v>
      </c>
      <c r="AS1421" s="3" t="s">
        <v>63</v>
      </c>
      <c r="AT1421" s="3" t="s">
        <v>62</v>
      </c>
      <c r="AU1421" s="6" t="str">
        <f>HYPERLINK("http://catalog.hathitrust.org/Record/007120001","HathiTrust Record")</f>
        <v>HathiTrust Record</v>
      </c>
      <c r="AV1421" s="6" t="str">
        <f>HYPERLINK("http://mcgill.on.worldcat.org/oclc/14760198","Catalog Record")</f>
        <v>Catalog Record</v>
      </c>
      <c r="AW1421" s="6" t="str">
        <f>HYPERLINK("http://www.worldcat.org/oclc/14760198","WorldCat Record")</f>
        <v>WorldCat Record</v>
      </c>
      <c r="AX1421" s="3" t="s">
        <v>12911</v>
      </c>
      <c r="AY1421" s="3" t="s">
        <v>12912</v>
      </c>
      <c r="AZ1421" s="3" t="s">
        <v>12913</v>
      </c>
      <c r="BA1421" s="3" t="s">
        <v>12913</v>
      </c>
      <c r="BB1421" s="3" t="s">
        <v>12916</v>
      </c>
      <c r="BC1421" s="3" t="s">
        <v>82</v>
      </c>
      <c r="BD1421" s="3" t="s">
        <v>70</v>
      </c>
      <c r="BF1421" s="3" t="s">
        <v>12916</v>
      </c>
      <c r="BG1421" s="3" t="s">
        <v>12917</v>
      </c>
    </row>
    <row r="1422" spans="1:59" ht="60" x14ac:dyDescent="0.25">
      <c r="A1422" s="2" t="s">
        <v>59</v>
      </c>
      <c r="B1422" s="2" t="s">
        <v>60</v>
      </c>
      <c r="C1422" s="2" t="s">
        <v>12905</v>
      </c>
      <c r="D1422" s="2" t="s">
        <v>12906</v>
      </c>
      <c r="E1422" s="2" t="s">
        <v>12907</v>
      </c>
      <c r="F1422" s="3" t="s">
        <v>61</v>
      </c>
      <c r="G1422" s="3" t="s">
        <v>62</v>
      </c>
      <c r="I1422" s="3" t="s">
        <v>63</v>
      </c>
      <c r="J1422" s="3" t="s">
        <v>62</v>
      </c>
      <c r="K1422" s="3" t="s">
        <v>64</v>
      </c>
      <c r="M1422" s="2" t="s">
        <v>12908</v>
      </c>
      <c r="N1422" s="3" t="s">
        <v>12909</v>
      </c>
      <c r="P1422" s="3" t="s">
        <v>90</v>
      </c>
      <c r="R1422" s="3" t="s">
        <v>67</v>
      </c>
      <c r="S1422" s="4">
        <v>0</v>
      </c>
      <c r="T1422" s="4">
        <v>5</v>
      </c>
      <c r="V1422" s="5" t="s">
        <v>12910</v>
      </c>
      <c r="W1422" s="5" t="s">
        <v>69</v>
      </c>
      <c r="X1422" s="5" t="s">
        <v>69</v>
      </c>
      <c r="Y1422" s="4">
        <v>56</v>
      </c>
      <c r="Z1422" s="4">
        <v>3</v>
      </c>
      <c r="AA1422" s="4">
        <v>4</v>
      </c>
      <c r="AB1422" s="4">
        <v>1</v>
      </c>
      <c r="AC1422" s="4">
        <v>1</v>
      </c>
      <c r="AD1422" s="4">
        <v>35</v>
      </c>
      <c r="AE1422" s="4">
        <v>48</v>
      </c>
      <c r="AF1422" s="4">
        <v>0</v>
      </c>
      <c r="AG1422" s="4">
        <v>0</v>
      </c>
      <c r="AH1422" s="4">
        <v>34</v>
      </c>
      <c r="AI1422" s="4">
        <v>46</v>
      </c>
      <c r="AJ1422" s="4">
        <v>2</v>
      </c>
      <c r="AK1422" s="4">
        <v>3</v>
      </c>
      <c r="AL1422" s="4">
        <v>27</v>
      </c>
      <c r="AM1422" s="4">
        <v>36</v>
      </c>
      <c r="AN1422" s="4">
        <v>0</v>
      </c>
      <c r="AO1422" s="4">
        <v>0</v>
      </c>
      <c r="AP1422" s="4">
        <v>2</v>
      </c>
      <c r="AQ1422" s="4">
        <v>3</v>
      </c>
      <c r="AR1422" s="3" t="s">
        <v>63</v>
      </c>
      <c r="AS1422" s="3" t="s">
        <v>63</v>
      </c>
      <c r="AT1422" s="3" t="s">
        <v>62</v>
      </c>
      <c r="AU1422" s="6" t="str">
        <f>HYPERLINK("http://catalog.hathitrust.org/Record/007120001","HathiTrust Record")</f>
        <v>HathiTrust Record</v>
      </c>
      <c r="AV1422" s="6" t="str">
        <f>HYPERLINK("http://mcgill.on.worldcat.org/oclc/14760198","Catalog Record")</f>
        <v>Catalog Record</v>
      </c>
      <c r="AW1422" s="6" t="str">
        <f>HYPERLINK("http://www.worldcat.org/oclc/14760198","WorldCat Record")</f>
        <v>WorldCat Record</v>
      </c>
      <c r="AX1422" s="3" t="s">
        <v>12911</v>
      </c>
      <c r="AY1422" s="3" t="s">
        <v>12912</v>
      </c>
      <c r="AZ1422" s="3" t="s">
        <v>12913</v>
      </c>
      <c r="BA1422" s="3" t="s">
        <v>12913</v>
      </c>
      <c r="BB1422" s="3" t="s">
        <v>12918</v>
      </c>
      <c r="BC1422" s="3" t="s">
        <v>82</v>
      </c>
      <c r="BD1422" s="3" t="s">
        <v>70</v>
      </c>
      <c r="BF1422" s="3" t="s">
        <v>12918</v>
      </c>
      <c r="BG1422" s="3" t="s">
        <v>12919</v>
      </c>
    </row>
    <row r="1423" spans="1:59" ht="60" x14ac:dyDescent="0.25">
      <c r="A1423" s="2" t="s">
        <v>59</v>
      </c>
      <c r="B1423" s="2" t="s">
        <v>60</v>
      </c>
      <c r="C1423" s="2" t="s">
        <v>12920</v>
      </c>
      <c r="D1423" s="2" t="s">
        <v>12921</v>
      </c>
      <c r="E1423" s="2" t="s">
        <v>12922</v>
      </c>
      <c r="G1423" s="3" t="s">
        <v>63</v>
      </c>
      <c r="I1423" s="3" t="s">
        <v>63</v>
      </c>
      <c r="J1423" s="3" t="s">
        <v>63</v>
      </c>
      <c r="K1423" s="3" t="s">
        <v>64</v>
      </c>
      <c r="L1423" s="2" t="s">
        <v>12923</v>
      </c>
      <c r="M1423" s="2" t="s">
        <v>12924</v>
      </c>
      <c r="N1423" s="3" t="s">
        <v>1418</v>
      </c>
      <c r="P1423" s="3" t="s">
        <v>90</v>
      </c>
      <c r="R1423" s="3" t="s">
        <v>67</v>
      </c>
      <c r="S1423" s="4">
        <v>5</v>
      </c>
      <c r="T1423" s="4">
        <v>5</v>
      </c>
      <c r="U1423" s="5" t="s">
        <v>12925</v>
      </c>
      <c r="V1423" s="5" t="s">
        <v>12925</v>
      </c>
      <c r="W1423" s="5" t="s">
        <v>69</v>
      </c>
      <c r="X1423" s="5" t="s">
        <v>69</v>
      </c>
      <c r="Y1423" s="4">
        <v>97</v>
      </c>
      <c r="Z1423" s="4">
        <v>11</v>
      </c>
      <c r="AA1423" s="4">
        <v>11</v>
      </c>
      <c r="AB1423" s="4">
        <v>1</v>
      </c>
      <c r="AC1423" s="4">
        <v>1</v>
      </c>
      <c r="AD1423" s="4">
        <v>60</v>
      </c>
      <c r="AE1423" s="4">
        <v>60</v>
      </c>
      <c r="AF1423" s="4">
        <v>0</v>
      </c>
      <c r="AG1423" s="4">
        <v>0</v>
      </c>
      <c r="AH1423" s="4">
        <v>57</v>
      </c>
      <c r="AI1423" s="4">
        <v>57</v>
      </c>
      <c r="AJ1423" s="4">
        <v>9</v>
      </c>
      <c r="AK1423" s="4">
        <v>9</v>
      </c>
      <c r="AL1423" s="4">
        <v>41</v>
      </c>
      <c r="AM1423" s="4">
        <v>41</v>
      </c>
      <c r="AN1423" s="4">
        <v>1</v>
      </c>
      <c r="AO1423" s="4">
        <v>1</v>
      </c>
      <c r="AP1423" s="4">
        <v>9</v>
      </c>
      <c r="AQ1423" s="4">
        <v>9</v>
      </c>
      <c r="AR1423" s="3" t="s">
        <v>63</v>
      </c>
      <c r="AS1423" s="3" t="s">
        <v>63</v>
      </c>
      <c r="AT1423" s="3" t="s">
        <v>62</v>
      </c>
      <c r="AU1423" s="6" t="str">
        <f>HYPERLINK("http://catalog.hathitrust.org/Record/001100248","HathiTrust Record")</f>
        <v>HathiTrust Record</v>
      </c>
      <c r="AV1423" s="6" t="str">
        <f>HYPERLINK("http://mcgill.on.worldcat.org/oclc/18907137","Catalog Record")</f>
        <v>Catalog Record</v>
      </c>
      <c r="AW1423" s="6" t="str">
        <f>HYPERLINK("http://www.worldcat.org/oclc/18907137","WorldCat Record")</f>
        <v>WorldCat Record</v>
      </c>
      <c r="AX1423" s="3" t="s">
        <v>12926</v>
      </c>
      <c r="AY1423" s="3" t="s">
        <v>12927</v>
      </c>
      <c r="AZ1423" s="3" t="s">
        <v>12928</v>
      </c>
      <c r="BA1423" s="3" t="s">
        <v>12928</v>
      </c>
      <c r="BB1423" s="3" t="s">
        <v>12929</v>
      </c>
      <c r="BC1423" s="3" t="s">
        <v>82</v>
      </c>
      <c r="BD1423" s="3" t="s">
        <v>70</v>
      </c>
      <c r="BF1423" s="3" t="s">
        <v>12929</v>
      </c>
      <c r="BG1423" s="3" t="s">
        <v>12930</v>
      </c>
    </row>
    <row r="1424" spans="1:59" ht="60" x14ac:dyDescent="0.25">
      <c r="A1424" s="2" t="s">
        <v>59</v>
      </c>
      <c r="B1424" s="2" t="s">
        <v>60</v>
      </c>
      <c r="C1424" s="2" t="s">
        <v>12931</v>
      </c>
      <c r="D1424" s="2" t="s">
        <v>12932</v>
      </c>
      <c r="E1424" s="2" t="s">
        <v>12933</v>
      </c>
      <c r="G1424" s="3" t="s">
        <v>63</v>
      </c>
      <c r="I1424" s="3" t="s">
        <v>63</v>
      </c>
      <c r="J1424" s="3" t="s">
        <v>63</v>
      </c>
      <c r="K1424" s="3" t="s">
        <v>64</v>
      </c>
      <c r="L1424" s="2" t="s">
        <v>12934</v>
      </c>
      <c r="M1424" s="2" t="s">
        <v>12935</v>
      </c>
      <c r="N1424" s="3" t="s">
        <v>2103</v>
      </c>
      <c r="O1424" s="2" t="s">
        <v>590</v>
      </c>
      <c r="P1424" s="3" t="s">
        <v>66</v>
      </c>
      <c r="Q1424" s="2" t="s">
        <v>8323</v>
      </c>
      <c r="R1424" s="3" t="s">
        <v>67</v>
      </c>
      <c r="S1424" s="4">
        <v>22</v>
      </c>
      <c r="T1424" s="4">
        <v>22</v>
      </c>
      <c r="U1424" s="5" t="s">
        <v>12898</v>
      </c>
      <c r="V1424" s="5" t="s">
        <v>12898</v>
      </c>
      <c r="W1424" s="5" t="s">
        <v>69</v>
      </c>
      <c r="X1424" s="5" t="s">
        <v>69</v>
      </c>
      <c r="Y1424" s="4">
        <v>669</v>
      </c>
      <c r="Z1424" s="4">
        <v>35</v>
      </c>
      <c r="AA1424" s="4">
        <v>95</v>
      </c>
      <c r="AB1424" s="4">
        <v>1</v>
      </c>
      <c r="AC1424" s="4">
        <v>20</v>
      </c>
      <c r="AD1424" s="4">
        <v>118</v>
      </c>
      <c r="AE1424" s="4">
        <v>151</v>
      </c>
      <c r="AF1424" s="4">
        <v>0</v>
      </c>
      <c r="AG1424" s="4">
        <v>8</v>
      </c>
      <c r="AH1424" s="4">
        <v>103</v>
      </c>
      <c r="AI1424" s="4">
        <v>109</v>
      </c>
      <c r="AJ1424" s="4">
        <v>17</v>
      </c>
      <c r="AK1424" s="4">
        <v>26</v>
      </c>
      <c r="AL1424" s="4">
        <v>57</v>
      </c>
      <c r="AM1424" s="4">
        <v>59</v>
      </c>
      <c r="AN1424" s="4">
        <v>0</v>
      </c>
      <c r="AO1424" s="4">
        <v>0</v>
      </c>
      <c r="AP1424" s="4">
        <v>23</v>
      </c>
      <c r="AQ1424" s="4">
        <v>50</v>
      </c>
      <c r="AR1424" s="3" t="s">
        <v>63</v>
      </c>
      <c r="AS1424" s="3" t="s">
        <v>63</v>
      </c>
      <c r="AT1424" s="3" t="s">
        <v>62</v>
      </c>
      <c r="AU1424" s="6" t="str">
        <f>HYPERLINK("http://catalog.hathitrust.org/Record/004268400","HathiTrust Record")</f>
        <v>HathiTrust Record</v>
      </c>
      <c r="AV1424" s="6" t="str">
        <f>HYPERLINK("http://mcgill.on.worldcat.org/oclc/49750848","Catalog Record")</f>
        <v>Catalog Record</v>
      </c>
      <c r="AW1424" s="6" t="str">
        <f>HYPERLINK("http://www.worldcat.org/oclc/49750848","WorldCat Record")</f>
        <v>WorldCat Record</v>
      </c>
      <c r="AX1424" s="3" t="s">
        <v>12936</v>
      </c>
      <c r="AY1424" s="3" t="s">
        <v>12937</v>
      </c>
      <c r="AZ1424" s="3" t="s">
        <v>12938</v>
      </c>
      <c r="BA1424" s="3" t="s">
        <v>12938</v>
      </c>
      <c r="BB1424" s="3" t="s">
        <v>12939</v>
      </c>
      <c r="BC1424" s="3" t="s">
        <v>82</v>
      </c>
      <c r="BD1424" s="3" t="s">
        <v>70</v>
      </c>
      <c r="BE1424" s="3" t="s">
        <v>12940</v>
      </c>
      <c r="BF1424" s="3" t="s">
        <v>12939</v>
      </c>
      <c r="BG1424" s="3" t="s">
        <v>12941</v>
      </c>
    </row>
    <row r="1425" spans="1:59" ht="60" x14ac:dyDescent="0.25">
      <c r="A1425" s="2" t="s">
        <v>59</v>
      </c>
      <c r="B1425" s="2" t="s">
        <v>60</v>
      </c>
      <c r="C1425" s="2" t="s">
        <v>12942</v>
      </c>
      <c r="D1425" s="2" t="s">
        <v>12943</v>
      </c>
      <c r="E1425" s="2" t="s">
        <v>12944</v>
      </c>
      <c r="G1425" s="3" t="s">
        <v>63</v>
      </c>
      <c r="I1425" s="3" t="s">
        <v>63</v>
      </c>
      <c r="J1425" s="3" t="s">
        <v>63</v>
      </c>
      <c r="K1425" s="3" t="s">
        <v>64</v>
      </c>
      <c r="L1425" s="2" t="s">
        <v>12945</v>
      </c>
      <c r="M1425" s="2" t="s">
        <v>12946</v>
      </c>
      <c r="N1425" s="3" t="s">
        <v>300</v>
      </c>
      <c r="P1425" s="3" t="s">
        <v>90</v>
      </c>
      <c r="R1425" s="3" t="s">
        <v>67</v>
      </c>
      <c r="S1425" s="4">
        <v>4</v>
      </c>
      <c r="T1425" s="4">
        <v>4</v>
      </c>
      <c r="U1425" s="5" t="s">
        <v>12947</v>
      </c>
      <c r="V1425" s="5" t="s">
        <v>12947</v>
      </c>
      <c r="W1425" s="5" t="s">
        <v>69</v>
      </c>
      <c r="X1425" s="5" t="s">
        <v>69</v>
      </c>
      <c r="Y1425" s="4">
        <v>1</v>
      </c>
      <c r="Z1425" s="4">
        <v>1</v>
      </c>
      <c r="AA1425" s="4">
        <v>16</v>
      </c>
      <c r="AB1425" s="4">
        <v>1</v>
      </c>
      <c r="AC1425" s="4">
        <v>3</v>
      </c>
      <c r="AD1425" s="4">
        <v>0</v>
      </c>
      <c r="AE1425" s="4">
        <v>93</v>
      </c>
      <c r="AF1425" s="4">
        <v>0</v>
      </c>
      <c r="AG1425" s="4">
        <v>2</v>
      </c>
      <c r="AH1425" s="4">
        <v>0</v>
      </c>
      <c r="AI1425" s="4">
        <v>85</v>
      </c>
      <c r="AJ1425" s="4">
        <v>0</v>
      </c>
      <c r="AK1425" s="4">
        <v>14</v>
      </c>
      <c r="AL1425" s="4">
        <v>0</v>
      </c>
      <c r="AM1425" s="4">
        <v>52</v>
      </c>
      <c r="AN1425" s="4">
        <v>0</v>
      </c>
      <c r="AO1425" s="4">
        <v>0</v>
      </c>
      <c r="AP1425" s="4">
        <v>0</v>
      </c>
      <c r="AQ1425" s="4">
        <v>13</v>
      </c>
      <c r="AR1425" s="3" t="s">
        <v>63</v>
      </c>
      <c r="AS1425" s="3" t="s">
        <v>63</v>
      </c>
      <c r="AT1425" s="3" t="s">
        <v>62</v>
      </c>
      <c r="AU1425" s="6" t="str">
        <f>HYPERLINK("http://catalog.hathitrust.org/Record/001224427","HathiTrust Record")</f>
        <v>HathiTrust Record</v>
      </c>
      <c r="AV1425" s="6" t="str">
        <f>HYPERLINK("http://mcgill.on.worldcat.org/oclc/427546341","Catalog Record")</f>
        <v>Catalog Record</v>
      </c>
      <c r="AW1425" s="6" t="str">
        <f>HYPERLINK("http://www.worldcat.org/oclc/427546341","WorldCat Record")</f>
        <v>WorldCat Record</v>
      </c>
      <c r="AX1425" s="3" t="s">
        <v>12948</v>
      </c>
      <c r="AY1425" s="3" t="s">
        <v>12949</v>
      </c>
      <c r="AZ1425" s="3" t="s">
        <v>12950</v>
      </c>
      <c r="BA1425" s="3" t="s">
        <v>12950</v>
      </c>
      <c r="BB1425" s="3" t="s">
        <v>12951</v>
      </c>
      <c r="BC1425" s="3" t="s">
        <v>82</v>
      </c>
      <c r="BD1425" s="3" t="s">
        <v>70</v>
      </c>
      <c r="BF1425" s="3" t="s">
        <v>12951</v>
      </c>
      <c r="BG1425" s="3" t="s">
        <v>12952</v>
      </c>
    </row>
    <row r="1426" spans="1:59" ht="60" x14ac:dyDescent="0.25">
      <c r="A1426" s="2" t="s">
        <v>59</v>
      </c>
      <c r="B1426" s="2" t="s">
        <v>60</v>
      </c>
      <c r="C1426" s="2" t="s">
        <v>12953</v>
      </c>
      <c r="D1426" s="2" t="s">
        <v>12954</v>
      </c>
      <c r="E1426" s="2" t="s">
        <v>12955</v>
      </c>
      <c r="G1426" s="3" t="s">
        <v>63</v>
      </c>
      <c r="I1426" s="3" t="s">
        <v>63</v>
      </c>
      <c r="J1426" s="3" t="s">
        <v>63</v>
      </c>
      <c r="K1426" s="3" t="s">
        <v>64</v>
      </c>
      <c r="M1426" s="2" t="s">
        <v>12956</v>
      </c>
      <c r="N1426" s="3" t="s">
        <v>706</v>
      </c>
      <c r="P1426" s="3" t="s">
        <v>66</v>
      </c>
      <c r="Q1426" s="2" t="s">
        <v>12957</v>
      </c>
      <c r="R1426" s="3" t="s">
        <v>67</v>
      </c>
      <c r="S1426" s="4">
        <v>70</v>
      </c>
      <c r="T1426" s="4">
        <v>70</v>
      </c>
      <c r="U1426" s="5" t="s">
        <v>12958</v>
      </c>
      <c r="V1426" s="5" t="s">
        <v>12958</v>
      </c>
      <c r="W1426" s="5" t="s">
        <v>69</v>
      </c>
      <c r="X1426" s="5" t="s">
        <v>69</v>
      </c>
      <c r="Y1426" s="4">
        <v>588</v>
      </c>
      <c r="Z1426" s="4">
        <v>25</v>
      </c>
      <c r="AA1426" s="4">
        <v>25</v>
      </c>
      <c r="AB1426" s="4">
        <v>1</v>
      </c>
      <c r="AC1426" s="4">
        <v>1</v>
      </c>
      <c r="AD1426" s="4">
        <v>106</v>
      </c>
      <c r="AE1426" s="4">
        <v>106</v>
      </c>
      <c r="AF1426" s="4">
        <v>0</v>
      </c>
      <c r="AG1426" s="4">
        <v>0</v>
      </c>
      <c r="AH1426" s="4">
        <v>95</v>
      </c>
      <c r="AI1426" s="4">
        <v>95</v>
      </c>
      <c r="AJ1426" s="4">
        <v>14</v>
      </c>
      <c r="AK1426" s="4">
        <v>14</v>
      </c>
      <c r="AL1426" s="4">
        <v>57</v>
      </c>
      <c r="AM1426" s="4">
        <v>57</v>
      </c>
      <c r="AN1426" s="4">
        <v>0</v>
      </c>
      <c r="AO1426" s="4">
        <v>0</v>
      </c>
      <c r="AP1426" s="4">
        <v>15</v>
      </c>
      <c r="AQ1426" s="4">
        <v>15</v>
      </c>
      <c r="AR1426" s="3" t="s">
        <v>63</v>
      </c>
      <c r="AS1426" s="3" t="s">
        <v>63</v>
      </c>
      <c r="AT1426" s="3" t="s">
        <v>62</v>
      </c>
      <c r="AU1426" s="6" t="str">
        <f>HYPERLINK("http://catalog.hathitrust.org/Record/000445258","HathiTrust Record")</f>
        <v>HathiTrust Record</v>
      </c>
      <c r="AV1426" s="6" t="str">
        <f>HYPERLINK("http://mcgill.on.worldcat.org/oclc/12809132","Catalog Record")</f>
        <v>Catalog Record</v>
      </c>
      <c r="AW1426" s="6" t="str">
        <f>HYPERLINK("http://www.worldcat.org/oclc/12809132","WorldCat Record")</f>
        <v>WorldCat Record</v>
      </c>
      <c r="AX1426" s="3" t="s">
        <v>12959</v>
      </c>
      <c r="AY1426" s="3" t="s">
        <v>12960</v>
      </c>
      <c r="AZ1426" s="3" t="s">
        <v>12961</v>
      </c>
      <c r="BA1426" s="3" t="s">
        <v>12961</v>
      </c>
      <c r="BB1426" s="3" t="s">
        <v>12962</v>
      </c>
      <c r="BC1426" s="3" t="s">
        <v>82</v>
      </c>
      <c r="BD1426" s="3" t="s">
        <v>70</v>
      </c>
      <c r="BE1426" s="3" t="s">
        <v>12963</v>
      </c>
      <c r="BF1426" s="3" t="s">
        <v>12962</v>
      </c>
      <c r="BG1426" s="3" t="s">
        <v>12964</v>
      </c>
    </row>
    <row r="1427" spans="1:59" ht="60" x14ac:dyDescent="0.25">
      <c r="A1427" s="2" t="s">
        <v>59</v>
      </c>
      <c r="B1427" s="2" t="s">
        <v>60</v>
      </c>
      <c r="C1427" s="2" t="s">
        <v>12965</v>
      </c>
      <c r="D1427" s="2" t="s">
        <v>12966</v>
      </c>
      <c r="E1427" s="2" t="s">
        <v>12967</v>
      </c>
      <c r="G1427" s="3" t="s">
        <v>63</v>
      </c>
      <c r="I1427" s="3" t="s">
        <v>63</v>
      </c>
      <c r="J1427" s="3" t="s">
        <v>63</v>
      </c>
      <c r="K1427" s="3" t="s">
        <v>64</v>
      </c>
      <c r="L1427" s="2" t="s">
        <v>12968</v>
      </c>
      <c r="M1427" s="2" t="s">
        <v>12969</v>
      </c>
      <c r="N1427" s="3" t="s">
        <v>401</v>
      </c>
      <c r="P1427" s="3" t="s">
        <v>66</v>
      </c>
      <c r="R1427" s="3" t="s">
        <v>67</v>
      </c>
      <c r="S1427" s="4">
        <v>34</v>
      </c>
      <c r="T1427" s="4">
        <v>34</v>
      </c>
      <c r="U1427" s="5" t="s">
        <v>12970</v>
      </c>
      <c r="V1427" s="5" t="s">
        <v>12970</v>
      </c>
      <c r="W1427" s="5" t="s">
        <v>69</v>
      </c>
      <c r="X1427" s="5" t="s">
        <v>69</v>
      </c>
      <c r="Y1427" s="4">
        <v>447</v>
      </c>
      <c r="Z1427" s="4">
        <v>30</v>
      </c>
      <c r="AA1427" s="4">
        <v>37</v>
      </c>
      <c r="AB1427" s="4">
        <v>1</v>
      </c>
      <c r="AC1427" s="4">
        <v>3</v>
      </c>
      <c r="AD1427" s="4">
        <v>82</v>
      </c>
      <c r="AE1427" s="4">
        <v>103</v>
      </c>
      <c r="AF1427" s="4">
        <v>0</v>
      </c>
      <c r="AG1427" s="4">
        <v>2</v>
      </c>
      <c r="AH1427" s="4">
        <v>65</v>
      </c>
      <c r="AI1427" s="4">
        <v>81</v>
      </c>
      <c r="AJ1427" s="4">
        <v>12</v>
      </c>
      <c r="AK1427" s="4">
        <v>17</v>
      </c>
      <c r="AL1427" s="4">
        <v>41</v>
      </c>
      <c r="AM1427" s="4">
        <v>49</v>
      </c>
      <c r="AN1427" s="4">
        <v>3</v>
      </c>
      <c r="AO1427" s="4">
        <v>8</v>
      </c>
      <c r="AP1427" s="4">
        <v>21</v>
      </c>
      <c r="AQ1427" s="4">
        <v>27</v>
      </c>
      <c r="AR1427" s="3" t="s">
        <v>63</v>
      </c>
      <c r="AS1427" s="3" t="s">
        <v>63</v>
      </c>
      <c r="AT1427" s="3" t="s">
        <v>62</v>
      </c>
      <c r="AU1427" s="6" t="str">
        <f>HYPERLINK("http://catalog.hathitrust.org/Record/007120751","HathiTrust Record")</f>
        <v>HathiTrust Record</v>
      </c>
      <c r="AV1427" s="6" t="str">
        <f>HYPERLINK("http://mcgill.on.worldcat.org/oclc/319681","Catalog Record")</f>
        <v>Catalog Record</v>
      </c>
      <c r="AW1427" s="6" t="str">
        <f>HYPERLINK("http://www.worldcat.org/oclc/319681","WorldCat Record")</f>
        <v>WorldCat Record</v>
      </c>
      <c r="AX1427" s="3" t="s">
        <v>12971</v>
      </c>
      <c r="AY1427" s="3" t="s">
        <v>12972</v>
      </c>
      <c r="AZ1427" s="3" t="s">
        <v>12973</v>
      </c>
      <c r="BA1427" s="3" t="s">
        <v>12973</v>
      </c>
      <c r="BB1427" s="3" t="s">
        <v>12974</v>
      </c>
      <c r="BC1427" s="3" t="s">
        <v>82</v>
      </c>
      <c r="BD1427" s="3" t="s">
        <v>70</v>
      </c>
      <c r="BF1427" s="3" t="s">
        <v>12974</v>
      </c>
      <c r="BG1427" s="3" t="s">
        <v>12975</v>
      </c>
    </row>
    <row r="1428" spans="1:59" ht="60" x14ac:dyDescent="0.25">
      <c r="A1428" s="2" t="s">
        <v>59</v>
      </c>
      <c r="B1428" s="2" t="s">
        <v>60</v>
      </c>
      <c r="C1428" s="2" t="s">
        <v>12976</v>
      </c>
      <c r="D1428" s="2" t="s">
        <v>12977</v>
      </c>
      <c r="E1428" s="2" t="s">
        <v>12978</v>
      </c>
      <c r="G1428" s="3" t="s">
        <v>63</v>
      </c>
      <c r="I1428" s="3" t="s">
        <v>63</v>
      </c>
      <c r="J1428" s="3" t="s">
        <v>62</v>
      </c>
      <c r="K1428" s="3" t="s">
        <v>64</v>
      </c>
      <c r="L1428" s="2" t="s">
        <v>12979</v>
      </c>
      <c r="M1428" s="2" t="s">
        <v>12980</v>
      </c>
      <c r="N1428" s="3" t="s">
        <v>731</v>
      </c>
      <c r="P1428" s="3" t="s">
        <v>66</v>
      </c>
      <c r="R1428" s="3" t="s">
        <v>67</v>
      </c>
      <c r="S1428" s="4">
        <v>28</v>
      </c>
      <c r="T1428" s="4">
        <v>28</v>
      </c>
      <c r="U1428" s="5" t="s">
        <v>12970</v>
      </c>
      <c r="V1428" s="5" t="s">
        <v>12970</v>
      </c>
      <c r="W1428" s="5" t="s">
        <v>69</v>
      </c>
      <c r="X1428" s="5" t="s">
        <v>69</v>
      </c>
      <c r="Y1428" s="4">
        <v>272</v>
      </c>
      <c r="Z1428" s="4">
        <v>11</v>
      </c>
      <c r="AA1428" s="4">
        <v>35</v>
      </c>
      <c r="AB1428" s="4">
        <v>1</v>
      </c>
      <c r="AC1428" s="4">
        <v>4</v>
      </c>
      <c r="AD1428" s="4">
        <v>54</v>
      </c>
      <c r="AE1428" s="4">
        <v>113</v>
      </c>
      <c r="AF1428" s="4">
        <v>0</v>
      </c>
      <c r="AG1428" s="4">
        <v>2</v>
      </c>
      <c r="AH1428" s="4">
        <v>51</v>
      </c>
      <c r="AI1428" s="4">
        <v>95</v>
      </c>
      <c r="AJ1428" s="4">
        <v>5</v>
      </c>
      <c r="AK1428" s="4">
        <v>21</v>
      </c>
      <c r="AL1428" s="4">
        <v>27</v>
      </c>
      <c r="AM1428" s="4">
        <v>54</v>
      </c>
      <c r="AN1428" s="4">
        <v>0</v>
      </c>
      <c r="AO1428" s="4">
        <v>0</v>
      </c>
      <c r="AP1428" s="4">
        <v>6</v>
      </c>
      <c r="AQ1428" s="4">
        <v>24</v>
      </c>
      <c r="AR1428" s="3" t="s">
        <v>63</v>
      </c>
      <c r="AS1428" s="3" t="s">
        <v>63</v>
      </c>
      <c r="AT1428" s="3" t="s">
        <v>63</v>
      </c>
      <c r="AV1428" s="6" t="str">
        <f>HYPERLINK("http://mcgill.on.worldcat.org/oclc/1687631","Catalog Record")</f>
        <v>Catalog Record</v>
      </c>
      <c r="AW1428" s="6" t="str">
        <f>HYPERLINK("http://www.worldcat.org/oclc/1687631","WorldCat Record")</f>
        <v>WorldCat Record</v>
      </c>
      <c r="AX1428" s="3" t="s">
        <v>12981</v>
      </c>
      <c r="AY1428" s="3" t="s">
        <v>12982</v>
      </c>
      <c r="AZ1428" s="3" t="s">
        <v>12983</v>
      </c>
      <c r="BA1428" s="3" t="s">
        <v>12983</v>
      </c>
      <c r="BB1428" s="3" t="s">
        <v>12984</v>
      </c>
      <c r="BC1428" s="3" t="s">
        <v>82</v>
      </c>
      <c r="BD1428" s="3" t="s">
        <v>70</v>
      </c>
      <c r="BF1428" s="3" t="s">
        <v>12984</v>
      </c>
      <c r="BG1428" s="3" t="s">
        <v>12985</v>
      </c>
    </row>
    <row r="1429" spans="1:59" ht="60" x14ac:dyDescent="0.25">
      <c r="A1429" s="2" t="s">
        <v>59</v>
      </c>
      <c r="B1429" s="2" t="s">
        <v>60</v>
      </c>
      <c r="C1429" s="2" t="s">
        <v>12986</v>
      </c>
      <c r="D1429" s="2" t="s">
        <v>12987</v>
      </c>
      <c r="E1429" s="2" t="s">
        <v>12988</v>
      </c>
      <c r="G1429" s="3" t="s">
        <v>63</v>
      </c>
      <c r="I1429" s="3" t="s">
        <v>63</v>
      </c>
      <c r="J1429" s="3" t="s">
        <v>63</v>
      </c>
      <c r="K1429" s="3" t="s">
        <v>64</v>
      </c>
      <c r="M1429" s="2" t="s">
        <v>12989</v>
      </c>
      <c r="N1429" s="3" t="s">
        <v>190</v>
      </c>
      <c r="P1429" s="3" t="s">
        <v>90</v>
      </c>
      <c r="R1429" s="3" t="s">
        <v>67</v>
      </c>
      <c r="S1429" s="4">
        <v>5</v>
      </c>
      <c r="T1429" s="4">
        <v>5</v>
      </c>
      <c r="U1429" s="5" t="s">
        <v>5434</v>
      </c>
      <c r="V1429" s="5" t="s">
        <v>5434</v>
      </c>
      <c r="W1429" s="5" t="s">
        <v>69</v>
      </c>
      <c r="X1429" s="5" t="s">
        <v>69</v>
      </c>
      <c r="Y1429" s="4">
        <v>56</v>
      </c>
      <c r="Z1429" s="4">
        <v>6</v>
      </c>
      <c r="AA1429" s="4">
        <v>6</v>
      </c>
      <c r="AB1429" s="4">
        <v>1</v>
      </c>
      <c r="AC1429" s="4">
        <v>1</v>
      </c>
      <c r="AD1429" s="4">
        <v>42</v>
      </c>
      <c r="AE1429" s="4">
        <v>42</v>
      </c>
      <c r="AF1429" s="4">
        <v>0</v>
      </c>
      <c r="AG1429" s="4">
        <v>0</v>
      </c>
      <c r="AH1429" s="4">
        <v>40</v>
      </c>
      <c r="AI1429" s="4">
        <v>40</v>
      </c>
      <c r="AJ1429" s="4">
        <v>4</v>
      </c>
      <c r="AK1429" s="4">
        <v>4</v>
      </c>
      <c r="AL1429" s="4">
        <v>31</v>
      </c>
      <c r="AM1429" s="4">
        <v>31</v>
      </c>
      <c r="AN1429" s="4">
        <v>0</v>
      </c>
      <c r="AO1429" s="4">
        <v>0</v>
      </c>
      <c r="AP1429" s="4">
        <v>4</v>
      </c>
      <c r="AQ1429" s="4">
        <v>4</v>
      </c>
      <c r="AR1429" s="3" t="s">
        <v>63</v>
      </c>
      <c r="AS1429" s="3" t="s">
        <v>63</v>
      </c>
      <c r="AT1429" s="3" t="s">
        <v>62</v>
      </c>
      <c r="AU1429" s="6" t="str">
        <f>HYPERLINK("http://catalog.hathitrust.org/Record/005265376","HathiTrust Record")</f>
        <v>HathiTrust Record</v>
      </c>
      <c r="AV1429" s="6" t="str">
        <f>HYPERLINK("http://mcgill.on.worldcat.org/oclc/62400883","Catalog Record")</f>
        <v>Catalog Record</v>
      </c>
      <c r="AW1429" s="6" t="str">
        <f>HYPERLINK("http://www.worldcat.org/oclc/62400883","WorldCat Record")</f>
        <v>WorldCat Record</v>
      </c>
      <c r="AX1429" s="3" t="s">
        <v>12990</v>
      </c>
      <c r="AY1429" s="3" t="s">
        <v>12991</v>
      </c>
      <c r="AZ1429" s="3" t="s">
        <v>12992</v>
      </c>
      <c r="BA1429" s="3" t="s">
        <v>12992</v>
      </c>
      <c r="BB1429" s="3" t="s">
        <v>12993</v>
      </c>
      <c r="BC1429" s="3" t="s">
        <v>82</v>
      </c>
      <c r="BD1429" s="3" t="s">
        <v>538</v>
      </c>
      <c r="BE1429" s="3" t="s">
        <v>12994</v>
      </c>
      <c r="BF1429" s="3" t="s">
        <v>12993</v>
      </c>
      <c r="BG1429" s="3" t="s">
        <v>12995</v>
      </c>
    </row>
    <row r="1430" spans="1:59" ht="60" x14ac:dyDescent="0.25">
      <c r="A1430" s="2" t="s">
        <v>59</v>
      </c>
      <c r="B1430" s="2" t="s">
        <v>60</v>
      </c>
      <c r="C1430" s="2" t="s">
        <v>12996</v>
      </c>
      <c r="D1430" s="2" t="s">
        <v>12997</v>
      </c>
      <c r="E1430" s="2" t="s">
        <v>12998</v>
      </c>
      <c r="G1430" s="3" t="s">
        <v>63</v>
      </c>
      <c r="I1430" s="3" t="s">
        <v>63</v>
      </c>
      <c r="J1430" s="3" t="s">
        <v>63</v>
      </c>
      <c r="K1430" s="3" t="s">
        <v>64</v>
      </c>
      <c r="M1430" s="2" t="s">
        <v>12999</v>
      </c>
      <c r="N1430" s="3" t="s">
        <v>2765</v>
      </c>
      <c r="P1430" s="3" t="s">
        <v>66</v>
      </c>
      <c r="R1430" s="3" t="s">
        <v>67</v>
      </c>
      <c r="S1430" s="4">
        <v>3</v>
      </c>
      <c r="T1430" s="4">
        <v>3</v>
      </c>
      <c r="U1430" s="5" t="s">
        <v>12898</v>
      </c>
      <c r="V1430" s="5" t="s">
        <v>12898</v>
      </c>
      <c r="W1430" s="5" t="s">
        <v>69</v>
      </c>
      <c r="X1430" s="5" t="s">
        <v>69</v>
      </c>
      <c r="Y1430" s="4">
        <v>187</v>
      </c>
      <c r="Z1430" s="4">
        <v>10</v>
      </c>
      <c r="AA1430" s="4">
        <v>14</v>
      </c>
      <c r="AB1430" s="4">
        <v>1</v>
      </c>
      <c r="AC1430" s="4">
        <v>3</v>
      </c>
      <c r="AD1430" s="4">
        <v>61</v>
      </c>
      <c r="AE1430" s="4">
        <v>65</v>
      </c>
      <c r="AF1430" s="4">
        <v>0</v>
      </c>
      <c r="AG1430" s="4">
        <v>1</v>
      </c>
      <c r="AH1430" s="4">
        <v>56</v>
      </c>
      <c r="AI1430" s="4">
        <v>58</v>
      </c>
      <c r="AJ1430" s="4">
        <v>6</v>
      </c>
      <c r="AK1430" s="4">
        <v>8</v>
      </c>
      <c r="AL1430" s="4">
        <v>43</v>
      </c>
      <c r="AM1430" s="4">
        <v>43</v>
      </c>
      <c r="AN1430" s="4">
        <v>0</v>
      </c>
      <c r="AO1430" s="4">
        <v>0</v>
      </c>
      <c r="AP1430" s="4">
        <v>6</v>
      </c>
      <c r="AQ1430" s="4">
        <v>8</v>
      </c>
      <c r="AR1430" s="3" t="s">
        <v>63</v>
      </c>
      <c r="AS1430" s="3" t="s">
        <v>63</v>
      </c>
      <c r="AT1430" s="3" t="s">
        <v>63</v>
      </c>
      <c r="AV1430" s="6" t="str">
        <f>HYPERLINK("http://mcgill.on.worldcat.org/oclc/914136834","Catalog Record")</f>
        <v>Catalog Record</v>
      </c>
      <c r="AW1430" s="6" t="str">
        <f>HYPERLINK("http://www.worldcat.org/oclc/914136834","WorldCat Record")</f>
        <v>WorldCat Record</v>
      </c>
      <c r="AX1430" s="3" t="s">
        <v>13000</v>
      </c>
      <c r="AY1430" s="3" t="s">
        <v>13001</v>
      </c>
      <c r="AZ1430" s="3" t="s">
        <v>13002</v>
      </c>
      <c r="BA1430" s="3" t="s">
        <v>13002</v>
      </c>
      <c r="BB1430" s="3" t="s">
        <v>13003</v>
      </c>
      <c r="BC1430" s="3" t="s">
        <v>82</v>
      </c>
      <c r="BD1430" s="3" t="s">
        <v>70</v>
      </c>
      <c r="BE1430" s="3" t="s">
        <v>13004</v>
      </c>
      <c r="BF1430" s="3" t="s">
        <v>13003</v>
      </c>
      <c r="BG1430" s="3" t="s">
        <v>13005</v>
      </c>
    </row>
    <row r="1431" spans="1:59" ht="60" x14ac:dyDescent="0.25">
      <c r="A1431" s="2" t="s">
        <v>59</v>
      </c>
      <c r="B1431" s="2" t="s">
        <v>60</v>
      </c>
      <c r="C1431" s="2" t="s">
        <v>13006</v>
      </c>
      <c r="D1431" s="2" t="s">
        <v>13007</v>
      </c>
      <c r="E1431" s="2" t="s">
        <v>13008</v>
      </c>
      <c r="G1431" s="3" t="s">
        <v>63</v>
      </c>
      <c r="I1431" s="3" t="s">
        <v>63</v>
      </c>
      <c r="J1431" s="3" t="s">
        <v>63</v>
      </c>
      <c r="K1431" s="3" t="s">
        <v>64</v>
      </c>
      <c r="M1431" s="2" t="s">
        <v>13009</v>
      </c>
      <c r="N1431" s="3" t="s">
        <v>106</v>
      </c>
      <c r="P1431" s="3" t="s">
        <v>66</v>
      </c>
      <c r="Q1431" s="2" t="s">
        <v>4922</v>
      </c>
      <c r="R1431" s="3" t="s">
        <v>67</v>
      </c>
      <c r="S1431" s="4">
        <v>5</v>
      </c>
      <c r="T1431" s="4">
        <v>5</v>
      </c>
      <c r="U1431" s="5" t="s">
        <v>5434</v>
      </c>
      <c r="V1431" s="5" t="s">
        <v>5434</v>
      </c>
      <c r="W1431" s="5" t="s">
        <v>69</v>
      </c>
      <c r="X1431" s="5" t="s">
        <v>69</v>
      </c>
      <c r="Y1431" s="4">
        <v>91</v>
      </c>
      <c r="Z1431" s="4">
        <v>8</v>
      </c>
      <c r="AA1431" s="4">
        <v>76</v>
      </c>
      <c r="AB1431" s="4">
        <v>1</v>
      </c>
      <c r="AC1431" s="4">
        <v>15</v>
      </c>
      <c r="AD1431" s="4">
        <v>44</v>
      </c>
      <c r="AE1431" s="4">
        <v>110</v>
      </c>
      <c r="AF1431" s="4">
        <v>0</v>
      </c>
      <c r="AG1431" s="4">
        <v>8</v>
      </c>
      <c r="AH1431" s="4">
        <v>40</v>
      </c>
      <c r="AI1431" s="4">
        <v>76</v>
      </c>
      <c r="AJ1431" s="4">
        <v>5</v>
      </c>
      <c r="AK1431" s="4">
        <v>20</v>
      </c>
      <c r="AL1431" s="4">
        <v>32</v>
      </c>
      <c r="AM1431" s="4">
        <v>48</v>
      </c>
      <c r="AN1431" s="4">
        <v>0</v>
      </c>
      <c r="AO1431" s="4">
        <v>0</v>
      </c>
      <c r="AP1431" s="4">
        <v>5</v>
      </c>
      <c r="AQ1431" s="4">
        <v>39</v>
      </c>
      <c r="AR1431" s="3" t="s">
        <v>63</v>
      </c>
      <c r="AS1431" s="3" t="s">
        <v>63</v>
      </c>
      <c r="AT1431" s="3" t="s">
        <v>63</v>
      </c>
      <c r="AV1431" s="6" t="str">
        <f>HYPERLINK("http://mcgill.on.worldcat.org/oclc/961272258","Catalog Record")</f>
        <v>Catalog Record</v>
      </c>
      <c r="AW1431" s="6" t="str">
        <f>HYPERLINK("http://www.worldcat.org/oclc/961272258","WorldCat Record")</f>
        <v>WorldCat Record</v>
      </c>
      <c r="AX1431" s="3" t="s">
        <v>13010</v>
      </c>
      <c r="AY1431" s="3" t="s">
        <v>13011</v>
      </c>
      <c r="AZ1431" s="3" t="s">
        <v>13012</v>
      </c>
      <c r="BA1431" s="3" t="s">
        <v>13012</v>
      </c>
      <c r="BB1431" s="3" t="s">
        <v>13013</v>
      </c>
      <c r="BC1431" s="3" t="s">
        <v>82</v>
      </c>
      <c r="BD1431" s="3" t="s">
        <v>538</v>
      </c>
      <c r="BE1431" s="3" t="s">
        <v>13014</v>
      </c>
      <c r="BF1431" s="3" t="s">
        <v>13013</v>
      </c>
      <c r="BG1431" s="3" t="s">
        <v>13015</v>
      </c>
    </row>
    <row r="1432" spans="1:59" ht="60" x14ac:dyDescent="0.25">
      <c r="A1432" s="2" t="s">
        <v>59</v>
      </c>
      <c r="B1432" s="2" t="s">
        <v>60</v>
      </c>
      <c r="C1432" s="2" t="s">
        <v>13016</v>
      </c>
      <c r="D1432" s="2" t="s">
        <v>13017</v>
      </c>
      <c r="E1432" s="2" t="s">
        <v>13018</v>
      </c>
      <c r="G1432" s="3" t="s">
        <v>63</v>
      </c>
      <c r="I1432" s="3" t="s">
        <v>63</v>
      </c>
      <c r="J1432" s="3" t="s">
        <v>63</v>
      </c>
      <c r="K1432" s="3" t="s">
        <v>64</v>
      </c>
      <c r="M1432" s="2" t="s">
        <v>13019</v>
      </c>
      <c r="N1432" s="3" t="s">
        <v>130</v>
      </c>
      <c r="P1432" s="3" t="s">
        <v>66</v>
      </c>
      <c r="Q1432" s="2" t="s">
        <v>13020</v>
      </c>
      <c r="R1432" s="3" t="s">
        <v>67</v>
      </c>
      <c r="S1432" s="4">
        <v>1</v>
      </c>
      <c r="T1432" s="4">
        <v>1</v>
      </c>
      <c r="U1432" s="5" t="s">
        <v>13021</v>
      </c>
      <c r="V1432" s="5" t="s">
        <v>13021</v>
      </c>
      <c r="W1432" s="5" t="s">
        <v>69</v>
      </c>
      <c r="X1432" s="5" t="s">
        <v>69</v>
      </c>
      <c r="Y1432" s="4">
        <v>68</v>
      </c>
      <c r="Z1432" s="4">
        <v>7</v>
      </c>
      <c r="AA1432" s="4">
        <v>103</v>
      </c>
      <c r="AB1432" s="4">
        <v>1</v>
      </c>
      <c r="AC1432" s="4">
        <v>14</v>
      </c>
      <c r="AD1432" s="4">
        <v>36</v>
      </c>
      <c r="AE1432" s="4">
        <v>111</v>
      </c>
      <c r="AF1432" s="4">
        <v>0</v>
      </c>
      <c r="AG1432" s="4">
        <v>8</v>
      </c>
      <c r="AH1432" s="4">
        <v>35</v>
      </c>
      <c r="AI1432" s="4">
        <v>74</v>
      </c>
      <c r="AJ1432" s="4">
        <v>3</v>
      </c>
      <c r="AK1432" s="4">
        <v>21</v>
      </c>
      <c r="AL1432" s="4">
        <v>26</v>
      </c>
      <c r="AM1432" s="4">
        <v>41</v>
      </c>
      <c r="AN1432" s="4">
        <v>0</v>
      </c>
      <c r="AO1432" s="4">
        <v>0</v>
      </c>
      <c r="AP1432" s="4">
        <v>3</v>
      </c>
      <c r="AQ1432" s="4">
        <v>43</v>
      </c>
      <c r="AR1432" s="3" t="s">
        <v>63</v>
      </c>
      <c r="AS1432" s="3" t="s">
        <v>63</v>
      </c>
      <c r="AT1432" s="3" t="s">
        <v>63</v>
      </c>
      <c r="AV1432" s="6" t="str">
        <f>HYPERLINK("http://mcgill.on.worldcat.org/oclc/868558557","Catalog Record")</f>
        <v>Catalog Record</v>
      </c>
      <c r="AW1432" s="6" t="str">
        <f>HYPERLINK("http://www.worldcat.org/oclc/868558557","WorldCat Record")</f>
        <v>WorldCat Record</v>
      </c>
      <c r="AX1432" s="3" t="s">
        <v>13022</v>
      </c>
      <c r="AY1432" s="3" t="s">
        <v>13023</v>
      </c>
      <c r="AZ1432" s="3" t="s">
        <v>13024</v>
      </c>
      <c r="BA1432" s="3" t="s">
        <v>13024</v>
      </c>
      <c r="BB1432" s="3" t="s">
        <v>13025</v>
      </c>
      <c r="BC1432" s="3" t="s">
        <v>82</v>
      </c>
      <c r="BD1432" s="3" t="s">
        <v>70</v>
      </c>
      <c r="BE1432" s="3" t="s">
        <v>13026</v>
      </c>
      <c r="BF1432" s="3" t="s">
        <v>13025</v>
      </c>
      <c r="BG1432" s="3" t="s">
        <v>13027</v>
      </c>
    </row>
    <row r="1433" spans="1:59" ht="60" x14ac:dyDescent="0.25">
      <c r="A1433" s="2" t="s">
        <v>59</v>
      </c>
      <c r="B1433" s="2" t="s">
        <v>60</v>
      </c>
      <c r="C1433" s="2" t="s">
        <v>13028</v>
      </c>
      <c r="D1433" s="2" t="s">
        <v>13029</v>
      </c>
      <c r="E1433" s="2" t="s">
        <v>13030</v>
      </c>
      <c r="G1433" s="3" t="s">
        <v>63</v>
      </c>
      <c r="I1433" s="3" t="s">
        <v>63</v>
      </c>
      <c r="J1433" s="3" t="s">
        <v>63</v>
      </c>
      <c r="K1433" s="3" t="s">
        <v>64</v>
      </c>
      <c r="M1433" s="2" t="s">
        <v>13031</v>
      </c>
      <c r="N1433" s="3" t="s">
        <v>234</v>
      </c>
      <c r="P1433" s="3" t="s">
        <v>66</v>
      </c>
      <c r="R1433" s="3" t="s">
        <v>67</v>
      </c>
      <c r="S1433" s="4">
        <v>8</v>
      </c>
      <c r="T1433" s="4">
        <v>8</v>
      </c>
      <c r="U1433" s="5" t="s">
        <v>5434</v>
      </c>
      <c r="V1433" s="5" t="s">
        <v>5434</v>
      </c>
      <c r="W1433" s="5" t="s">
        <v>69</v>
      </c>
      <c r="X1433" s="5" t="s">
        <v>69</v>
      </c>
      <c r="Y1433" s="4">
        <v>52</v>
      </c>
      <c r="Z1433" s="4">
        <v>6</v>
      </c>
      <c r="AA1433" s="4">
        <v>6</v>
      </c>
      <c r="AB1433" s="4">
        <v>1</v>
      </c>
      <c r="AC1433" s="4">
        <v>1</v>
      </c>
      <c r="AD1433" s="4">
        <v>22</v>
      </c>
      <c r="AE1433" s="4">
        <v>22</v>
      </c>
      <c r="AF1433" s="4">
        <v>0</v>
      </c>
      <c r="AG1433" s="4">
        <v>0</v>
      </c>
      <c r="AH1433" s="4">
        <v>20</v>
      </c>
      <c r="AI1433" s="4">
        <v>20</v>
      </c>
      <c r="AJ1433" s="4">
        <v>3</v>
      </c>
      <c r="AK1433" s="4">
        <v>3</v>
      </c>
      <c r="AL1433" s="4">
        <v>20</v>
      </c>
      <c r="AM1433" s="4">
        <v>20</v>
      </c>
      <c r="AN1433" s="4">
        <v>0</v>
      </c>
      <c r="AO1433" s="4">
        <v>0</v>
      </c>
      <c r="AP1433" s="4">
        <v>3</v>
      </c>
      <c r="AQ1433" s="4">
        <v>3</v>
      </c>
      <c r="AR1433" s="3" t="s">
        <v>63</v>
      </c>
      <c r="AS1433" s="3" t="s">
        <v>63</v>
      </c>
      <c r="AT1433" s="3" t="s">
        <v>63</v>
      </c>
      <c r="AV1433" s="6" t="str">
        <f>HYPERLINK("http://mcgill.on.worldcat.org/oclc/62901147","Catalog Record")</f>
        <v>Catalog Record</v>
      </c>
      <c r="AW1433" s="6" t="str">
        <f>HYPERLINK("http://www.worldcat.org/oclc/62901147","WorldCat Record")</f>
        <v>WorldCat Record</v>
      </c>
      <c r="AX1433" s="3" t="s">
        <v>13032</v>
      </c>
      <c r="AY1433" s="3" t="s">
        <v>13033</v>
      </c>
      <c r="AZ1433" s="3" t="s">
        <v>13034</v>
      </c>
      <c r="BA1433" s="3" t="s">
        <v>13034</v>
      </c>
      <c r="BB1433" s="3" t="s">
        <v>13035</v>
      </c>
      <c r="BC1433" s="3" t="s">
        <v>82</v>
      </c>
      <c r="BD1433" s="3" t="s">
        <v>538</v>
      </c>
      <c r="BE1433" s="3" t="s">
        <v>13036</v>
      </c>
      <c r="BF1433" s="3" t="s">
        <v>13035</v>
      </c>
      <c r="BG1433" s="3" t="s">
        <v>13037</v>
      </c>
    </row>
    <row r="1434" spans="1:59" ht="60" x14ac:dyDescent="0.25">
      <c r="A1434" s="2" t="s">
        <v>59</v>
      </c>
      <c r="B1434" s="2" t="s">
        <v>60</v>
      </c>
      <c r="C1434" s="2" t="s">
        <v>13038</v>
      </c>
      <c r="D1434" s="2" t="s">
        <v>13039</v>
      </c>
      <c r="E1434" s="2" t="s">
        <v>13040</v>
      </c>
      <c r="G1434" s="3" t="s">
        <v>63</v>
      </c>
      <c r="I1434" s="3" t="s">
        <v>63</v>
      </c>
      <c r="J1434" s="3" t="s">
        <v>63</v>
      </c>
      <c r="K1434" s="3" t="s">
        <v>64</v>
      </c>
      <c r="M1434" s="2" t="s">
        <v>13041</v>
      </c>
      <c r="N1434" s="3" t="s">
        <v>2043</v>
      </c>
      <c r="P1434" s="3" t="s">
        <v>66</v>
      </c>
      <c r="R1434" s="3" t="s">
        <v>67</v>
      </c>
      <c r="S1434" s="4">
        <v>21</v>
      </c>
      <c r="T1434" s="4">
        <v>21</v>
      </c>
      <c r="U1434" s="5" t="s">
        <v>9180</v>
      </c>
      <c r="V1434" s="5" t="s">
        <v>9180</v>
      </c>
      <c r="W1434" s="5" t="s">
        <v>69</v>
      </c>
      <c r="X1434" s="5" t="s">
        <v>69</v>
      </c>
      <c r="Y1434" s="4">
        <v>65</v>
      </c>
      <c r="Z1434" s="4">
        <v>6</v>
      </c>
      <c r="AA1434" s="4">
        <v>6</v>
      </c>
      <c r="AB1434" s="4">
        <v>1</v>
      </c>
      <c r="AC1434" s="4">
        <v>1</v>
      </c>
      <c r="AD1434" s="4">
        <v>33</v>
      </c>
      <c r="AE1434" s="4">
        <v>33</v>
      </c>
      <c r="AF1434" s="4">
        <v>0</v>
      </c>
      <c r="AG1434" s="4">
        <v>0</v>
      </c>
      <c r="AH1434" s="4">
        <v>31</v>
      </c>
      <c r="AI1434" s="4">
        <v>31</v>
      </c>
      <c r="AJ1434" s="4">
        <v>3</v>
      </c>
      <c r="AK1434" s="4">
        <v>3</v>
      </c>
      <c r="AL1434" s="4">
        <v>23</v>
      </c>
      <c r="AM1434" s="4">
        <v>23</v>
      </c>
      <c r="AN1434" s="4">
        <v>1</v>
      </c>
      <c r="AO1434" s="4">
        <v>1</v>
      </c>
      <c r="AP1434" s="4">
        <v>3</v>
      </c>
      <c r="AQ1434" s="4">
        <v>3</v>
      </c>
      <c r="AR1434" s="3" t="s">
        <v>63</v>
      </c>
      <c r="AS1434" s="3" t="s">
        <v>63</v>
      </c>
      <c r="AT1434" s="3" t="s">
        <v>62</v>
      </c>
      <c r="AU1434" s="6" t="str">
        <f>HYPERLINK("http://catalog.hathitrust.org/Record/000149374","HathiTrust Record")</f>
        <v>HathiTrust Record</v>
      </c>
      <c r="AV1434" s="6" t="str">
        <f>HYPERLINK("http://mcgill.on.worldcat.org/oclc/9489340","Catalog Record")</f>
        <v>Catalog Record</v>
      </c>
      <c r="AW1434" s="6" t="str">
        <f>HYPERLINK("http://www.worldcat.org/oclc/9489340","WorldCat Record")</f>
        <v>WorldCat Record</v>
      </c>
      <c r="AX1434" s="3" t="s">
        <v>13042</v>
      </c>
      <c r="AY1434" s="3" t="s">
        <v>13043</v>
      </c>
      <c r="AZ1434" s="3" t="s">
        <v>13044</v>
      </c>
      <c r="BA1434" s="3" t="s">
        <v>13044</v>
      </c>
      <c r="BB1434" s="3" t="s">
        <v>13045</v>
      </c>
      <c r="BC1434" s="3" t="s">
        <v>82</v>
      </c>
      <c r="BD1434" s="3" t="s">
        <v>70</v>
      </c>
      <c r="BE1434" s="3" t="s">
        <v>13046</v>
      </c>
      <c r="BF1434" s="3" t="s">
        <v>13045</v>
      </c>
      <c r="BG1434" s="3" t="s">
        <v>13047</v>
      </c>
    </row>
    <row r="1435" spans="1:59" ht="60" x14ac:dyDescent="0.25">
      <c r="A1435" s="2" t="s">
        <v>59</v>
      </c>
      <c r="B1435" s="2" t="s">
        <v>60</v>
      </c>
      <c r="C1435" s="2" t="s">
        <v>13048</v>
      </c>
      <c r="D1435" s="2" t="s">
        <v>13049</v>
      </c>
      <c r="E1435" s="2" t="s">
        <v>13050</v>
      </c>
      <c r="G1435" s="3" t="s">
        <v>63</v>
      </c>
      <c r="I1435" s="3" t="s">
        <v>63</v>
      </c>
      <c r="J1435" s="3" t="s">
        <v>62</v>
      </c>
      <c r="K1435" s="3" t="s">
        <v>64</v>
      </c>
      <c r="L1435" s="2" t="s">
        <v>13051</v>
      </c>
      <c r="M1435" s="2" t="s">
        <v>13052</v>
      </c>
      <c r="N1435" s="3" t="s">
        <v>2225</v>
      </c>
      <c r="P1435" s="3" t="s">
        <v>66</v>
      </c>
      <c r="Q1435" s="2" t="s">
        <v>13053</v>
      </c>
      <c r="R1435" s="3" t="s">
        <v>67</v>
      </c>
      <c r="S1435" s="4">
        <v>13</v>
      </c>
      <c r="T1435" s="4">
        <v>13</v>
      </c>
      <c r="U1435" s="5" t="s">
        <v>11969</v>
      </c>
      <c r="V1435" s="5" t="s">
        <v>11969</v>
      </c>
      <c r="W1435" s="5" t="s">
        <v>69</v>
      </c>
      <c r="X1435" s="5" t="s">
        <v>69</v>
      </c>
      <c r="Y1435" s="4">
        <v>1307</v>
      </c>
      <c r="Z1435" s="4">
        <v>57</v>
      </c>
      <c r="AA1435" s="4">
        <v>75</v>
      </c>
      <c r="AB1435" s="4">
        <v>4</v>
      </c>
      <c r="AC1435" s="4">
        <v>10</v>
      </c>
      <c r="AD1435" s="4">
        <v>131</v>
      </c>
      <c r="AE1435" s="4">
        <v>148</v>
      </c>
      <c r="AF1435" s="4">
        <v>1</v>
      </c>
      <c r="AG1435" s="4">
        <v>4</v>
      </c>
      <c r="AH1435" s="4">
        <v>101</v>
      </c>
      <c r="AI1435" s="4">
        <v>109</v>
      </c>
      <c r="AJ1435" s="4">
        <v>22</v>
      </c>
      <c r="AK1435" s="4">
        <v>25</v>
      </c>
      <c r="AL1435" s="4">
        <v>55</v>
      </c>
      <c r="AM1435" s="4">
        <v>60</v>
      </c>
      <c r="AN1435" s="4">
        <v>0</v>
      </c>
      <c r="AO1435" s="4">
        <v>0</v>
      </c>
      <c r="AP1435" s="4">
        <v>38</v>
      </c>
      <c r="AQ1435" s="4">
        <v>46</v>
      </c>
      <c r="AR1435" s="3" t="s">
        <v>63</v>
      </c>
      <c r="AS1435" s="3" t="s">
        <v>63</v>
      </c>
      <c r="AT1435" s="3" t="s">
        <v>62</v>
      </c>
      <c r="AU1435" s="6" t="str">
        <f>HYPERLINK("http://catalog.hathitrust.org/Record/000980807","HathiTrust Record")</f>
        <v>HathiTrust Record</v>
      </c>
      <c r="AV1435" s="6" t="str">
        <f>HYPERLINK("http://mcgill.on.worldcat.org/oclc/321907","Catalog Record")</f>
        <v>Catalog Record</v>
      </c>
      <c r="AW1435" s="6" t="str">
        <f>HYPERLINK("http://www.worldcat.org/oclc/321907","WorldCat Record")</f>
        <v>WorldCat Record</v>
      </c>
      <c r="AX1435" s="3" t="s">
        <v>13054</v>
      </c>
      <c r="AY1435" s="3" t="s">
        <v>13055</v>
      </c>
      <c r="AZ1435" s="3" t="s">
        <v>13056</v>
      </c>
      <c r="BA1435" s="3" t="s">
        <v>13056</v>
      </c>
      <c r="BB1435" s="3" t="s">
        <v>13057</v>
      </c>
      <c r="BC1435" s="3" t="s">
        <v>82</v>
      </c>
      <c r="BD1435" s="3" t="s">
        <v>70</v>
      </c>
      <c r="BF1435" s="3" t="s">
        <v>13057</v>
      </c>
      <c r="BG1435" s="3" t="s">
        <v>13058</v>
      </c>
    </row>
    <row r="1436" spans="1:59" ht="60" x14ac:dyDescent="0.25">
      <c r="A1436" s="2" t="s">
        <v>59</v>
      </c>
      <c r="B1436" s="2" t="s">
        <v>60</v>
      </c>
      <c r="C1436" s="2" t="s">
        <v>13059</v>
      </c>
      <c r="D1436" s="2" t="s">
        <v>13060</v>
      </c>
      <c r="E1436" s="2" t="s">
        <v>13061</v>
      </c>
      <c r="G1436" s="3" t="s">
        <v>63</v>
      </c>
      <c r="I1436" s="3" t="s">
        <v>62</v>
      </c>
      <c r="J1436" s="3" t="s">
        <v>62</v>
      </c>
      <c r="K1436" s="3" t="s">
        <v>64</v>
      </c>
      <c r="L1436" s="2" t="s">
        <v>12650</v>
      </c>
      <c r="M1436" s="2" t="s">
        <v>13062</v>
      </c>
      <c r="N1436" s="3" t="s">
        <v>300</v>
      </c>
      <c r="P1436" s="3" t="s">
        <v>548</v>
      </c>
      <c r="Q1436" s="2" t="s">
        <v>13063</v>
      </c>
      <c r="R1436" s="3" t="s">
        <v>67</v>
      </c>
      <c r="S1436" s="4">
        <v>11</v>
      </c>
      <c r="T1436" s="4">
        <v>26</v>
      </c>
      <c r="U1436" s="5" t="s">
        <v>13064</v>
      </c>
      <c r="V1436" s="5" t="s">
        <v>3057</v>
      </c>
      <c r="W1436" s="5" t="s">
        <v>69</v>
      </c>
      <c r="X1436" s="5" t="s">
        <v>69</v>
      </c>
      <c r="Y1436" s="4">
        <v>89</v>
      </c>
      <c r="Z1436" s="4">
        <v>7</v>
      </c>
      <c r="AA1436" s="4">
        <v>20</v>
      </c>
      <c r="AB1436" s="4">
        <v>1</v>
      </c>
      <c r="AC1436" s="4">
        <v>8</v>
      </c>
      <c r="AD1436" s="4">
        <v>19</v>
      </c>
      <c r="AE1436" s="4">
        <v>47</v>
      </c>
      <c r="AF1436" s="4">
        <v>0</v>
      </c>
      <c r="AG1436" s="4">
        <v>3</v>
      </c>
      <c r="AH1436" s="4">
        <v>17</v>
      </c>
      <c r="AI1436" s="4">
        <v>38</v>
      </c>
      <c r="AJ1436" s="4">
        <v>4</v>
      </c>
      <c r="AK1436" s="4">
        <v>12</v>
      </c>
      <c r="AL1436" s="4">
        <v>11</v>
      </c>
      <c r="AM1436" s="4">
        <v>21</v>
      </c>
      <c r="AN1436" s="4">
        <v>0</v>
      </c>
      <c r="AO1436" s="4">
        <v>1</v>
      </c>
      <c r="AP1436" s="4">
        <v>4</v>
      </c>
      <c r="AQ1436" s="4">
        <v>11</v>
      </c>
      <c r="AR1436" s="3" t="s">
        <v>63</v>
      </c>
      <c r="AS1436" s="3" t="s">
        <v>63</v>
      </c>
      <c r="AT1436" s="3" t="s">
        <v>63</v>
      </c>
      <c r="AV1436" s="6" t="str">
        <f>HYPERLINK("http://mcgill.on.worldcat.org/oclc/2475896","Catalog Record")</f>
        <v>Catalog Record</v>
      </c>
      <c r="AW1436" s="6" t="str">
        <f>HYPERLINK("http://www.worldcat.org/oclc/2475896","WorldCat Record")</f>
        <v>WorldCat Record</v>
      </c>
      <c r="AX1436" s="3" t="s">
        <v>13065</v>
      </c>
      <c r="AY1436" s="3" t="s">
        <v>13066</v>
      </c>
      <c r="AZ1436" s="3" t="s">
        <v>13067</v>
      </c>
      <c r="BA1436" s="3" t="s">
        <v>13067</v>
      </c>
      <c r="BB1436" s="3" t="s">
        <v>13068</v>
      </c>
      <c r="BC1436" s="3" t="s">
        <v>82</v>
      </c>
      <c r="BD1436" s="3" t="s">
        <v>70</v>
      </c>
      <c r="BF1436" s="3" t="s">
        <v>13068</v>
      </c>
      <c r="BG1436" s="3" t="s">
        <v>13069</v>
      </c>
    </row>
    <row r="1437" spans="1:59" ht="60" x14ac:dyDescent="0.25">
      <c r="A1437" s="2" t="s">
        <v>59</v>
      </c>
      <c r="B1437" s="2" t="s">
        <v>60</v>
      </c>
      <c r="C1437" s="2" t="s">
        <v>13059</v>
      </c>
      <c r="D1437" s="2" t="s">
        <v>13060</v>
      </c>
      <c r="E1437" s="2" t="s">
        <v>13061</v>
      </c>
      <c r="G1437" s="3" t="s">
        <v>63</v>
      </c>
      <c r="I1437" s="3" t="s">
        <v>62</v>
      </c>
      <c r="J1437" s="3" t="s">
        <v>62</v>
      </c>
      <c r="K1437" s="3" t="s">
        <v>64</v>
      </c>
      <c r="L1437" s="2" t="s">
        <v>12650</v>
      </c>
      <c r="M1437" s="2" t="s">
        <v>13062</v>
      </c>
      <c r="N1437" s="3" t="s">
        <v>300</v>
      </c>
      <c r="P1437" s="3" t="s">
        <v>548</v>
      </c>
      <c r="Q1437" s="2" t="s">
        <v>13063</v>
      </c>
      <c r="R1437" s="3" t="s">
        <v>67</v>
      </c>
      <c r="S1437" s="4">
        <v>15</v>
      </c>
      <c r="T1437" s="4">
        <v>26</v>
      </c>
      <c r="U1437" s="5" t="s">
        <v>3057</v>
      </c>
      <c r="V1437" s="5" t="s">
        <v>3057</v>
      </c>
      <c r="W1437" s="5" t="s">
        <v>69</v>
      </c>
      <c r="X1437" s="5" t="s">
        <v>69</v>
      </c>
      <c r="Y1437" s="4">
        <v>89</v>
      </c>
      <c r="Z1437" s="4">
        <v>7</v>
      </c>
      <c r="AA1437" s="4">
        <v>20</v>
      </c>
      <c r="AB1437" s="4">
        <v>1</v>
      </c>
      <c r="AC1437" s="4">
        <v>8</v>
      </c>
      <c r="AD1437" s="4">
        <v>19</v>
      </c>
      <c r="AE1437" s="4">
        <v>47</v>
      </c>
      <c r="AF1437" s="4">
        <v>0</v>
      </c>
      <c r="AG1437" s="4">
        <v>3</v>
      </c>
      <c r="AH1437" s="4">
        <v>17</v>
      </c>
      <c r="AI1437" s="4">
        <v>38</v>
      </c>
      <c r="AJ1437" s="4">
        <v>4</v>
      </c>
      <c r="AK1437" s="4">
        <v>12</v>
      </c>
      <c r="AL1437" s="4">
        <v>11</v>
      </c>
      <c r="AM1437" s="4">
        <v>21</v>
      </c>
      <c r="AN1437" s="4">
        <v>0</v>
      </c>
      <c r="AO1437" s="4">
        <v>1</v>
      </c>
      <c r="AP1437" s="4">
        <v>4</v>
      </c>
      <c r="AQ1437" s="4">
        <v>11</v>
      </c>
      <c r="AR1437" s="3" t="s">
        <v>63</v>
      </c>
      <c r="AS1437" s="3" t="s">
        <v>63</v>
      </c>
      <c r="AT1437" s="3" t="s">
        <v>63</v>
      </c>
      <c r="AV1437" s="6" t="str">
        <f>HYPERLINK("http://mcgill.on.worldcat.org/oclc/2475896","Catalog Record")</f>
        <v>Catalog Record</v>
      </c>
      <c r="AW1437" s="6" t="str">
        <f>HYPERLINK("http://www.worldcat.org/oclc/2475896","WorldCat Record")</f>
        <v>WorldCat Record</v>
      </c>
      <c r="AX1437" s="3" t="s">
        <v>13065</v>
      </c>
      <c r="AY1437" s="3" t="s">
        <v>13066</v>
      </c>
      <c r="AZ1437" s="3" t="s">
        <v>13067</v>
      </c>
      <c r="BA1437" s="3" t="s">
        <v>13067</v>
      </c>
      <c r="BB1437" s="3" t="s">
        <v>13070</v>
      </c>
      <c r="BC1437" s="3" t="s">
        <v>82</v>
      </c>
      <c r="BD1437" s="3" t="s">
        <v>70</v>
      </c>
      <c r="BF1437" s="3" t="s">
        <v>13070</v>
      </c>
      <c r="BG1437" s="3" t="s">
        <v>13071</v>
      </c>
    </row>
    <row r="1438" spans="1:59" ht="60" x14ac:dyDescent="0.25">
      <c r="A1438" s="2" t="s">
        <v>59</v>
      </c>
      <c r="B1438" s="2" t="s">
        <v>60</v>
      </c>
      <c r="C1438" s="2" t="s">
        <v>13072</v>
      </c>
      <c r="D1438" s="2" t="s">
        <v>13073</v>
      </c>
      <c r="E1438" s="2" t="s">
        <v>13074</v>
      </c>
      <c r="G1438" s="3" t="s">
        <v>63</v>
      </c>
      <c r="I1438" s="3" t="s">
        <v>63</v>
      </c>
      <c r="J1438" s="3" t="s">
        <v>63</v>
      </c>
      <c r="K1438" s="3" t="s">
        <v>64</v>
      </c>
      <c r="L1438" s="2" t="s">
        <v>13075</v>
      </c>
      <c r="M1438" s="2" t="s">
        <v>13076</v>
      </c>
      <c r="N1438" s="3" t="s">
        <v>2271</v>
      </c>
      <c r="P1438" s="3" t="s">
        <v>548</v>
      </c>
      <c r="Q1438" s="2" t="s">
        <v>13077</v>
      </c>
      <c r="R1438" s="3" t="s">
        <v>67</v>
      </c>
      <c r="S1438" s="4">
        <v>16</v>
      </c>
      <c r="T1438" s="4">
        <v>16</v>
      </c>
      <c r="U1438" s="5" t="s">
        <v>13078</v>
      </c>
      <c r="V1438" s="5" t="s">
        <v>13078</v>
      </c>
      <c r="W1438" s="5" t="s">
        <v>69</v>
      </c>
      <c r="X1438" s="5" t="s">
        <v>69</v>
      </c>
      <c r="Y1438" s="4">
        <v>85</v>
      </c>
      <c r="Z1438" s="4">
        <v>4</v>
      </c>
      <c r="AA1438" s="4">
        <v>13</v>
      </c>
      <c r="AB1438" s="4">
        <v>1</v>
      </c>
      <c r="AC1438" s="4">
        <v>6</v>
      </c>
      <c r="AD1438" s="4">
        <v>40</v>
      </c>
      <c r="AE1438" s="4">
        <v>52</v>
      </c>
      <c r="AF1438" s="4">
        <v>0</v>
      </c>
      <c r="AG1438" s="4">
        <v>3</v>
      </c>
      <c r="AH1438" s="4">
        <v>37</v>
      </c>
      <c r="AI1438" s="4">
        <v>45</v>
      </c>
      <c r="AJ1438" s="4">
        <v>3</v>
      </c>
      <c r="AK1438" s="4">
        <v>7</v>
      </c>
      <c r="AL1438" s="4">
        <v>26</v>
      </c>
      <c r="AM1438" s="4">
        <v>32</v>
      </c>
      <c r="AN1438" s="4">
        <v>0</v>
      </c>
      <c r="AO1438" s="4">
        <v>0</v>
      </c>
      <c r="AP1438" s="4">
        <v>3</v>
      </c>
      <c r="AQ1438" s="4">
        <v>7</v>
      </c>
      <c r="AR1438" s="3" t="s">
        <v>63</v>
      </c>
      <c r="AS1438" s="3" t="s">
        <v>63</v>
      </c>
      <c r="AT1438" s="3" t="s">
        <v>63</v>
      </c>
      <c r="AV1438" s="6" t="str">
        <f>HYPERLINK("http://mcgill.on.worldcat.org/oclc/1509243","Catalog Record")</f>
        <v>Catalog Record</v>
      </c>
      <c r="AW1438" s="6" t="str">
        <f>HYPERLINK("http://www.worldcat.org/oclc/1509243","WorldCat Record")</f>
        <v>WorldCat Record</v>
      </c>
      <c r="AX1438" s="3" t="s">
        <v>13079</v>
      </c>
      <c r="AY1438" s="3" t="s">
        <v>13080</v>
      </c>
      <c r="AZ1438" s="3" t="s">
        <v>13081</v>
      </c>
      <c r="BA1438" s="3" t="s">
        <v>13081</v>
      </c>
      <c r="BB1438" s="3" t="s">
        <v>13082</v>
      </c>
      <c r="BC1438" s="3" t="s">
        <v>82</v>
      </c>
      <c r="BD1438" s="3" t="s">
        <v>70</v>
      </c>
      <c r="BF1438" s="3" t="s">
        <v>13082</v>
      </c>
      <c r="BG1438" s="3" t="s">
        <v>13083</v>
      </c>
    </row>
    <row r="1439" spans="1:59" ht="60" x14ac:dyDescent="0.25">
      <c r="A1439" s="2" t="s">
        <v>59</v>
      </c>
      <c r="B1439" s="2" t="s">
        <v>60</v>
      </c>
      <c r="C1439" s="2" t="s">
        <v>13084</v>
      </c>
      <c r="D1439" s="2" t="s">
        <v>13085</v>
      </c>
      <c r="E1439" s="2" t="s">
        <v>13086</v>
      </c>
      <c r="G1439" s="3" t="s">
        <v>63</v>
      </c>
      <c r="I1439" s="3" t="s">
        <v>63</v>
      </c>
      <c r="J1439" s="3" t="s">
        <v>62</v>
      </c>
      <c r="K1439" s="3" t="s">
        <v>64</v>
      </c>
      <c r="L1439" s="2" t="s">
        <v>13087</v>
      </c>
      <c r="M1439" s="2" t="s">
        <v>13088</v>
      </c>
      <c r="N1439" s="3" t="s">
        <v>2043</v>
      </c>
      <c r="P1439" s="3" t="s">
        <v>548</v>
      </c>
      <c r="Q1439" s="2" t="s">
        <v>13089</v>
      </c>
      <c r="R1439" s="3" t="s">
        <v>67</v>
      </c>
      <c r="S1439" s="4">
        <v>5</v>
      </c>
      <c r="T1439" s="4">
        <v>5</v>
      </c>
      <c r="U1439" s="5" t="s">
        <v>13090</v>
      </c>
      <c r="V1439" s="5" t="s">
        <v>13090</v>
      </c>
      <c r="W1439" s="5" t="s">
        <v>69</v>
      </c>
      <c r="X1439" s="5" t="s">
        <v>69</v>
      </c>
      <c r="Y1439" s="4">
        <v>28</v>
      </c>
      <c r="Z1439" s="4">
        <v>3</v>
      </c>
      <c r="AA1439" s="4">
        <v>20</v>
      </c>
      <c r="AB1439" s="4">
        <v>3</v>
      </c>
      <c r="AC1439" s="4">
        <v>8</v>
      </c>
      <c r="AD1439" s="4">
        <v>1</v>
      </c>
      <c r="AE1439" s="4">
        <v>47</v>
      </c>
      <c r="AF1439" s="4">
        <v>1</v>
      </c>
      <c r="AG1439" s="4">
        <v>3</v>
      </c>
      <c r="AH1439" s="4">
        <v>0</v>
      </c>
      <c r="AI1439" s="4">
        <v>38</v>
      </c>
      <c r="AJ1439" s="4">
        <v>1</v>
      </c>
      <c r="AK1439" s="4">
        <v>12</v>
      </c>
      <c r="AL1439" s="4">
        <v>0</v>
      </c>
      <c r="AM1439" s="4">
        <v>21</v>
      </c>
      <c r="AN1439" s="4">
        <v>0</v>
      </c>
      <c r="AO1439" s="4">
        <v>1</v>
      </c>
      <c r="AP1439" s="4">
        <v>1</v>
      </c>
      <c r="AQ1439" s="4">
        <v>11</v>
      </c>
      <c r="AR1439" s="3" t="s">
        <v>63</v>
      </c>
      <c r="AS1439" s="3" t="s">
        <v>63</v>
      </c>
      <c r="AT1439" s="3" t="s">
        <v>63</v>
      </c>
      <c r="AV1439" s="6" t="str">
        <f>HYPERLINK("http://mcgill.on.worldcat.org/oclc/299783870","Catalog Record")</f>
        <v>Catalog Record</v>
      </c>
      <c r="AW1439" s="6" t="str">
        <f>HYPERLINK("http://www.worldcat.org/oclc/299783870","WorldCat Record")</f>
        <v>WorldCat Record</v>
      </c>
      <c r="AX1439" s="3" t="s">
        <v>13065</v>
      </c>
      <c r="AY1439" s="3" t="s">
        <v>13091</v>
      </c>
      <c r="AZ1439" s="3" t="s">
        <v>13092</v>
      </c>
      <c r="BA1439" s="3" t="s">
        <v>13092</v>
      </c>
      <c r="BB1439" s="3" t="s">
        <v>13093</v>
      </c>
      <c r="BC1439" s="3" t="s">
        <v>82</v>
      </c>
      <c r="BD1439" s="3" t="s">
        <v>70</v>
      </c>
      <c r="BF1439" s="3" t="s">
        <v>13093</v>
      </c>
      <c r="BG1439" s="3" t="s">
        <v>13094</v>
      </c>
    </row>
    <row r="1440" spans="1:59" ht="60" x14ac:dyDescent="0.25">
      <c r="A1440" s="2" t="s">
        <v>59</v>
      </c>
      <c r="B1440" s="2" t="s">
        <v>60</v>
      </c>
      <c r="C1440" s="2" t="s">
        <v>13095</v>
      </c>
      <c r="D1440" s="2" t="s">
        <v>13096</v>
      </c>
      <c r="E1440" s="2" t="s">
        <v>13097</v>
      </c>
      <c r="G1440" s="3" t="s">
        <v>63</v>
      </c>
      <c r="I1440" s="3" t="s">
        <v>63</v>
      </c>
      <c r="J1440" s="3" t="s">
        <v>63</v>
      </c>
      <c r="K1440" s="3" t="s">
        <v>64</v>
      </c>
      <c r="L1440" s="2" t="s">
        <v>13098</v>
      </c>
      <c r="M1440" s="2" t="s">
        <v>13099</v>
      </c>
      <c r="N1440" s="3" t="s">
        <v>313</v>
      </c>
      <c r="P1440" s="3" t="s">
        <v>66</v>
      </c>
      <c r="Q1440" s="2" t="s">
        <v>13100</v>
      </c>
      <c r="R1440" s="3" t="s">
        <v>67</v>
      </c>
      <c r="S1440" s="4">
        <v>1</v>
      </c>
      <c r="T1440" s="4">
        <v>1</v>
      </c>
      <c r="U1440" s="5" t="s">
        <v>12531</v>
      </c>
      <c r="V1440" s="5" t="s">
        <v>12531</v>
      </c>
      <c r="W1440" s="5" t="s">
        <v>69</v>
      </c>
      <c r="X1440" s="5" t="s">
        <v>69</v>
      </c>
      <c r="Y1440" s="4">
        <v>111</v>
      </c>
      <c r="Z1440" s="4">
        <v>13</v>
      </c>
      <c r="AA1440" s="4">
        <v>19</v>
      </c>
      <c r="AB1440" s="4">
        <v>1</v>
      </c>
      <c r="AC1440" s="4">
        <v>4</v>
      </c>
      <c r="AD1440" s="4">
        <v>66</v>
      </c>
      <c r="AE1440" s="4">
        <v>71</v>
      </c>
      <c r="AF1440" s="4">
        <v>0</v>
      </c>
      <c r="AG1440" s="4">
        <v>1</v>
      </c>
      <c r="AH1440" s="4">
        <v>61</v>
      </c>
      <c r="AI1440" s="4">
        <v>63</v>
      </c>
      <c r="AJ1440" s="4">
        <v>9</v>
      </c>
      <c r="AK1440" s="4">
        <v>10</v>
      </c>
      <c r="AL1440" s="4">
        <v>39</v>
      </c>
      <c r="AM1440" s="4">
        <v>41</v>
      </c>
      <c r="AN1440" s="4">
        <v>0</v>
      </c>
      <c r="AO1440" s="4">
        <v>0</v>
      </c>
      <c r="AP1440" s="4">
        <v>10</v>
      </c>
      <c r="AQ1440" s="4">
        <v>11</v>
      </c>
      <c r="AR1440" s="3" t="s">
        <v>63</v>
      </c>
      <c r="AS1440" s="3" t="s">
        <v>63</v>
      </c>
      <c r="AT1440" s="3" t="s">
        <v>63</v>
      </c>
      <c r="AV1440" s="6" t="str">
        <f>HYPERLINK("http://mcgill.on.worldcat.org/oclc/444113703","Catalog Record")</f>
        <v>Catalog Record</v>
      </c>
      <c r="AW1440" s="6" t="str">
        <f>HYPERLINK("http://www.worldcat.org/oclc/444113703","WorldCat Record")</f>
        <v>WorldCat Record</v>
      </c>
      <c r="AX1440" s="3" t="s">
        <v>13101</v>
      </c>
      <c r="AY1440" s="3" t="s">
        <v>13102</v>
      </c>
      <c r="AZ1440" s="3" t="s">
        <v>13103</v>
      </c>
      <c r="BA1440" s="3" t="s">
        <v>13103</v>
      </c>
      <c r="BB1440" s="3" t="s">
        <v>13104</v>
      </c>
      <c r="BC1440" s="3" t="s">
        <v>82</v>
      </c>
      <c r="BD1440" s="3" t="s">
        <v>70</v>
      </c>
      <c r="BE1440" s="3" t="s">
        <v>13105</v>
      </c>
      <c r="BF1440" s="3" t="s">
        <v>13104</v>
      </c>
      <c r="BG1440" s="3" t="s">
        <v>13106</v>
      </c>
    </row>
    <row r="1441" spans="1:59" ht="60" x14ac:dyDescent="0.25">
      <c r="A1441" s="2" t="s">
        <v>59</v>
      </c>
      <c r="B1441" s="2" t="s">
        <v>60</v>
      </c>
      <c r="C1441" s="2" t="s">
        <v>13107</v>
      </c>
      <c r="D1441" s="2" t="s">
        <v>13108</v>
      </c>
      <c r="E1441" s="2" t="s">
        <v>13109</v>
      </c>
      <c r="G1441" s="3" t="s">
        <v>63</v>
      </c>
      <c r="I1441" s="3" t="s">
        <v>63</v>
      </c>
      <c r="J1441" s="3" t="s">
        <v>63</v>
      </c>
      <c r="K1441" s="3" t="s">
        <v>64</v>
      </c>
      <c r="L1441" s="2" t="s">
        <v>13110</v>
      </c>
      <c r="M1441" s="2" t="s">
        <v>7510</v>
      </c>
      <c r="N1441" s="3" t="s">
        <v>130</v>
      </c>
      <c r="P1441" s="3" t="s">
        <v>66</v>
      </c>
      <c r="Q1441" s="2" t="s">
        <v>3902</v>
      </c>
      <c r="R1441" s="3" t="s">
        <v>67</v>
      </c>
      <c r="S1441" s="4">
        <v>1</v>
      </c>
      <c r="T1441" s="4">
        <v>1</v>
      </c>
      <c r="U1441" s="5" t="s">
        <v>12587</v>
      </c>
      <c r="V1441" s="5" t="s">
        <v>12587</v>
      </c>
      <c r="W1441" s="5" t="s">
        <v>69</v>
      </c>
      <c r="X1441" s="5" t="s">
        <v>69</v>
      </c>
      <c r="Y1441" s="4">
        <v>147</v>
      </c>
      <c r="Z1441" s="4">
        <v>14</v>
      </c>
      <c r="AA1441" s="4">
        <v>31</v>
      </c>
      <c r="AB1441" s="4">
        <v>1</v>
      </c>
      <c r="AC1441" s="4">
        <v>6</v>
      </c>
      <c r="AD1441" s="4">
        <v>72</v>
      </c>
      <c r="AE1441" s="4">
        <v>96</v>
      </c>
      <c r="AF1441" s="4">
        <v>0</v>
      </c>
      <c r="AG1441" s="4">
        <v>2</v>
      </c>
      <c r="AH1441" s="4">
        <v>67</v>
      </c>
      <c r="AI1441" s="4">
        <v>82</v>
      </c>
      <c r="AJ1441" s="4">
        <v>11</v>
      </c>
      <c r="AK1441" s="4">
        <v>14</v>
      </c>
      <c r="AL1441" s="4">
        <v>42</v>
      </c>
      <c r="AM1441" s="4">
        <v>48</v>
      </c>
      <c r="AN1441" s="4">
        <v>0</v>
      </c>
      <c r="AO1441" s="4">
        <v>0</v>
      </c>
      <c r="AP1441" s="4">
        <v>11</v>
      </c>
      <c r="AQ1441" s="4">
        <v>21</v>
      </c>
      <c r="AR1441" s="3" t="s">
        <v>63</v>
      </c>
      <c r="AS1441" s="3" t="s">
        <v>63</v>
      </c>
      <c r="AT1441" s="3" t="s">
        <v>63</v>
      </c>
      <c r="AV1441" s="6" t="str">
        <f>HYPERLINK("http://mcgill.on.worldcat.org/oclc/830837618","Catalog Record")</f>
        <v>Catalog Record</v>
      </c>
      <c r="AW1441" s="6" t="str">
        <f>HYPERLINK("http://www.worldcat.org/oclc/830837618","WorldCat Record")</f>
        <v>WorldCat Record</v>
      </c>
      <c r="AX1441" s="3" t="s">
        <v>13111</v>
      </c>
      <c r="AY1441" s="3" t="s">
        <v>13112</v>
      </c>
      <c r="AZ1441" s="3" t="s">
        <v>13113</v>
      </c>
      <c r="BA1441" s="3" t="s">
        <v>13113</v>
      </c>
      <c r="BB1441" s="3" t="s">
        <v>13114</v>
      </c>
      <c r="BC1441" s="3" t="s">
        <v>82</v>
      </c>
      <c r="BD1441" s="3" t="s">
        <v>70</v>
      </c>
      <c r="BE1441" s="3" t="s">
        <v>13115</v>
      </c>
      <c r="BF1441" s="3" t="s">
        <v>13114</v>
      </c>
      <c r="BG1441" s="3" t="s">
        <v>13116</v>
      </c>
    </row>
    <row r="1442" spans="1:59" ht="60" x14ac:dyDescent="0.25">
      <c r="A1442" s="2" t="s">
        <v>59</v>
      </c>
      <c r="B1442" s="2" t="s">
        <v>60</v>
      </c>
      <c r="C1442" s="2" t="s">
        <v>13117</v>
      </c>
      <c r="D1442" s="2" t="s">
        <v>13118</v>
      </c>
      <c r="E1442" s="2" t="s">
        <v>13119</v>
      </c>
      <c r="G1442" s="3" t="s">
        <v>63</v>
      </c>
      <c r="I1442" s="3" t="s">
        <v>62</v>
      </c>
      <c r="J1442" s="3" t="s">
        <v>63</v>
      </c>
      <c r="K1442" s="3" t="s">
        <v>64</v>
      </c>
      <c r="L1442" s="2" t="s">
        <v>4132</v>
      </c>
      <c r="M1442" s="2" t="s">
        <v>13120</v>
      </c>
      <c r="N1442" s="3" t="s">
        <v>65</v>
      </c>
      <c r="P1442" s="3" t="s">
        <v>66</v>
      </c>
      <c r="R1442" s="3" t="s">
        <v>67</v>
      </c>
      <c r="S1442" s="4">
        <v>32</v>
      </c>
      <c r="T1442" s="4">
        <v>62</v>
      </c>
      <c r="U1442" s="5" t="s">
        <v>214</v>
      </c>
      <c r="V1442" s="5" t="s">
        <v>5904</v>
      </c>
      <c r="W1442" s="5" t="s">
        <v>69</v>
      </c>
      <c r="X1442" s="5" t="s">
        <v>69</v>
      </c>
      <c r="Y1442" s="4">
        <v>748</v>
      </c>
      <c r="Z1442" s="4">
        <v>45</v>
      </c>
      <c r="AA1442" s="4">
        <v>106</v>
      </c>
      <c r="AB1442" s="4">
        <v>2</v>
      </c>
      <c r="AC1442" s="4">
        <v>17</v>
      </c>
      <c r="AD1442" s="4">
        <v>132</v>
      </c>
      <c r="AE1442" s="4">
        <v>153</v>
      </c>
      <c r="AF1442" s="4">
        <v>1</v>
      </c>
      <c r="AG1442" s="4">
        <v>8</v>
      </c>
      <c r="AH1442" s="4">
        <v>108</v>
      </c>
      <c r="AI1442" s="4">
        <v>111</v>
      </c>
      <c r="AJ1442" s="4">
        <v>21</v>
      </c>
      <c r="AK1442" s="4">
        <v>27</v>
      </c>
      <c r="AL1442" s="4">
        <v>58</v>
      </c>
      <c r="AM1442" s="4">
        <v>58</v>
      </c>
      <c r="AN1442" s="4">
        <v>0</v>
      </c>
      <c r="AO1442" s="4">
        <v>0</v>
      </c>
      <c r="AP1442" s="4">
        <v>33</v>
      </c>
      <c r="AQ1442" s="4">
        <v>51</v>
      </c>
      <c r="AR1442" s="3" t="s">
        <v>63</v>
      </c>
      <c r="AS1442" s="3" t="s">
        <v>63</v>
      </c>
      <c r="AT1442" s="3" t="s">
        <v>63</v>
      </c>
      <c r="AV1442" s="6" t="str">
        <f>HYPERLINK("http://mcgill.on.worldcat.org/oclc/2837007","Catalog Record")</f>
        <v>Catalog Record</v>
      </c>
      <c r="AW1442" s="6" t="str">
        <f>HYPERLINK("http://www.worldcat.org/oclc/2837007","WorldCat Record")</f>
        <v>WorldCat Record</v>
      </c>
      <c r="AX1442" s="3" t="s">
        <v>13121</v>
      </c>
      <c r="AY1442" s="3" t="s">
        <v>13122</v>
      </c>
      <c r="AZ1442" s="3" t="s">
        <v>13123</v>
      </c>
      <c r="BA1442" s="3" t="s">
        <v>13123</v>
      </c>
      <c r="BB1442" s="3" t="s">
        <v>13124</v>
      </c>
      <c r="BC1442" s="3" t="s">
        <v>82</v>
      </c>
      <c r="BD1442" s="3" t="s">
        <v>70</v>
      </c>
      <c r="BE1442" s="3" t="s">
        <v>13125</v>
      </c>
      <c r="BF1442" s="3" t="s">
        <v>13124</v>
      </c>
      <c r="BG1442" s="3" t="s">
        <v>13126</v>
      </c>
    </row>
    <row r="1443" spans="1:59" ht="60" x14ac:dyDescent="0.25">
      <c r="A1443" s="2" t="s">
        <v>59</v>
      </c>
      <c r="B1443" s="2" t="s">
        <v>60</v>
      </c>
      <c r="C1443" s="2" t="s">
        <v>13117</v>
      </c>
      <c r="D1443" s="2" t="s">
        <v>13118</v>
      </c>
      <c r="E1443" s="2" t="s">
        <v>13119</v>
      </c>
      <c r="G1443" s="3" t="s">
        <v>63</v>
      </c>
      <c r="I1443" s="3" t="s">
        <v>62</v>
      </c>
      <c r="J1443" s="3" t="s">
        <v>63</v>
      </c>
      <c r="K1443" s="3" t="s">
        <v>64</v>
      </c>
      <c r="L1443" s="2" t="s">
        <v>4132</v>
      </c>
      <c r="M1443" s="2" t="s">
        <v>13120</v>
      </c>
      <c r="N1443" s="3" t="s">
        <v>65</v>
      </c>
      <c r="P1443" s="3" t="s">
        <v>66</v>
      </c>
      <c r="R1443" s="3" t="s">
        <v>67</v>
      </c>
      <c r="S1443" s="4">
        <v>15</v>
      </c>
      <c r="T1443" s="4">
        <v>62</v>
      </c>
      <c r="U1443" s="5" t="s">
        <v>13127</v>
      </c>
      <c r="V1443" s="5" t="s">
        <v>5904</v>
      </c>
      <c r="W1443" s="5" t="s">
        <v>69</v>
      </c>
      <c r="X1443" s="5" t="s">
        <v>69</v>
      </c>
      <c r="Y1443" s="4">
        <v>748</v>
      </c>
      <c r="Z1443" s="4">
        <v>45</v>
      </c>
      <c r="AA1443" s="4">
        <v>106</v>
      </c>
      <c r="AB1443" s="4">
        <v>2</v>
      </c>
      <c r="AC1443" s="4">
        <v>17</v>
      </c>
      <c r="AD1443" s="4">
        <v>132</v>
      </c>
      <c r="AE1443" s="4">
        <v>153</v>
      </c>
      <c r="AF1443" s="4">
        <v>1</v>
      </c>
      <c r="AG1443" s="4">
        <v>8</v>
      </c>
      <c r="AH1443" s="4">
        <v>108</v>
      </c>
      <c r="AI1443" s="4">
        <v>111</v>
      </c>
      <c r="AJ1443" s="4">
        <v>21</v>
      </c>
      <c r="AK1443" s="4">
        <v>27</v>
      </c>
      <c r="AL1443" s="4">
        <v>58</v>
      </c>
      <c r="AM1443" s="4">
        <v>58</v>
      </c>
      <c r="AN1443" s="4">
        <v>0</v>
      </c>
      <c r="AO1443" s="4">
        <v>0</v>
      </c>
      <c r="AP1443" s="4">
        <v>33</v>
      </c>
      <c r="AQ1443" s="4">
        <v>51</v>
      </c>
      <c r="AR1443" s="3" t="s">
        <v>63</v>
      </c>
      <c r="AS1443" s="3" t="s">
        <v>63</v>
      </c>
      <c r="AT1443" s="3" t="s">
        <v>63</v>
      </c>
      <c r="AV1443" s="6" t="str">
        <f>HYPERLINK("http://mcgill.on.worldcat.org/oclc/2837007","Catalog Record")</f>
        <v>Catalog Record</v>
      </c>
      <c r="AW1443" s="6" t="str">
        <f>HYPERLINK("http://www.worldcat.org/oclc/2837007","WorldCat Record")</f>
        <v>WorldCat Record</v>
      </c>
      <c r="AX1443" s="3" t="s">
        <v>13121</v>
      </c>
      <c r="AY1443" s="3" t="s">
        <v>13122</v>
      </c>
      <c r="AZ1443" s="3" t="s">
        <v>13123</v>
      </c>
      <c r="BA1443" s="3" t="s">
        <v>13123</v>
      </c>
      <c r="BB1443" s="3" t="s">
        <v>13128</v>
      </c>
      <c r="BC1443" s="3" t="s">
        <v>82</v>
      </c>
      <c r="BD1443" s="3" t="s">
        <v>70</v>
      </c>
      <c r="BE1443" s="3" t="s">
        <v>13125</v>
      </c>
      <c r="BF1443" s="3" t="s">
        <v>13128</v>
      </c>
      <c r="BG1443" s="3" t="s">
        <v>13129</v>
      </c>
    </row>
    <row r="1444" spans="1:59" ht="60" x14ac:dyDescent="0.25">
      <c r="A1444" s="2" t="s">
        <v>59</v>
      </c>
      <c r="B1444" s="2" t="s">
        <v>60</v>
      </c>
      <c r="C1444" s="2" t="s">
        <v>13117</v>
      </c>
      <c r="D1444" s="2" t="s">
        <v>13118</v>
      </c>
      <c r="E1444" s="2" t="s">
        <v>13119</v>
      </c>
      <c r="F1444" s="3" t="s">
        <v>1095</v>
      </c>
      <c r="G1444" s="3" t="s">
        <v>63</v>
      </c>
      <c r="I1444" s="3" t="s">
        <v>62</v>
      </c>
      <c r="J1444" s="3" t="s">
        <v>63</v>
      </c>
      <c r="K1444" s="3" t="s">
        <v>64</v>
      </c>
      <c r="L1444" s="2" t="s">
        <v>4132</v>
      </c>
      <c r="M1444" s="2" t="s">
        <v>13120</v>
      </c>
      <c r="N1444" s="3" t="s">
        <v>65</v>
      </c>
      <c r="P1444" s="3" t="s">
        <v>66</v>
      </c>
      <c r="R1444" s="3" t="s">
        <v>67</v>
      </c>
      <c r="S1444" s="4">
        <v>15</v>
      </c>
      <c r="T1444" s="4">
        <v>62</v>
      </c>
      <c r="U1444" s="5" t="s">
        <v>5904</v>
      </c>
      <c r="V1444" s="5" t="s">
        <v>5904</v>
      </c>
      <c r="W1444" s="5" t="s">
        <v>69</v>
      </c>
      <c r="X1444" s="5" t="s">
        <v>69</v>
      </c>
      <c r="Y1444" s="4">
        <v>748</v>
      </c>
      <c r="Z1444" s="4">
        <v>45</v>
      </c>
      <c r="AA1444" s="4">
        <v>106</v>
      </c>
      <c r="AB1444" s="4">
        <v>2</v>
      </c>
      <c r="AC1444" s="4">
        <v>17</v>
      </c>
      <c r="AD1444" s="4">
        <v>132</v>
      </c>
      <c r="AE1444" s="4">
        <v>153</v>
      </c>
      <c r="AF1444" s="4">
        <v>1</v>
      </c>
      <c r="AG1444" s="4">
        <v>8</v>
      </c>
      <c r="AH1444" s="4">
        <v>108</v>
      </c>
      <c r="AI1444" s="4">
        <v>111</v>
      </c>
      <c r="AJ1444" s="4">
        <v>21</v>
      </c>
      <c r="AK1444" s="4">
        <v>27</v>
      </c>
      <c r="AL1444" s="4">
        <v>58</v>
      </c>
      <c r="AM1444" s="4">
        <v>58</v>
      </c>
      <c r="AN1444" s="4">
        <v>0</v>
      </c>
      <c r="AO1444" s="4">
        <v>0</v>
      </c>
      <c r="AP1444" s="4">
        <v>33</v>
      </c>
      <c r="AQ1444" s="4">
        <v>51</v>
      </c>
      <c r="AR1444" s="3" t="s">
        <v>63</v>
      </c>
      <c r="AS1444" s="3" t="s">
        <v>63</v>
      </c>
      <c r="AT1444" s="3" t="s">
        <v>63</v>
      </c>
      <c r="AV1444" s="6" t="str">
        <f>HYPERLINK("http://mcgill.on.worldcat.org/oclc/2837007","Catalog Record")</f>
        <v>Catalog Record</v>
      </c>
      <c r="AW1444" s="6" t="str">
        <f>HYPERLINK("http://www.worldcat.org/oclc/2837007","WorldCat Record")</f>
        <v>WorldCat Record</v>
      </c>
      <c r="AX1444" s="3" t="s">
        <v>13121</v>
      </c>
      <c r="AY1444" s="3" t="s">
        <v>13122</v>
      </c>
      <c r="AZ1444" s="3" t="s">
        <v>13123</v>
      </c>
      <c r="BA1444" s="3" t="s">
        <v>13123</v>
      </c>
      <c r="BB1444" s="3" t="s">
        <v>13130</v>
      </c>
      <c r="BC1444" s="3" t="s">
        <v>82</v>
      </c>
      <c r="BD1444" s="3" t="s">
        <v>538</v>
      </c>
      <c r="BE1444" s="3" t="s">
        <v>13125</v>
      </c>
      <c r="BF1444" s="3" t="s">
        <v>13130</v>
      </c>
      <c r="BG1444" s="3" t="s">
        <v>13131</v>
      </c>
    </row>
    <row r="1445" spans="1:59" ht="60" x14ac:dyDescent="0.25">
      <c r="A1445" s="2" t="s">
        <v>59</v>
      </c>
      <c r="B1445" s="2" t="s">
        <v>60</v>
      </c>
      <c r="C1445" s="2" t="s">
        <v>13132</v>
      </c>
      <c r="D1445" s="2" t="s">
        <v>13133</v>
      </c>
      <c r="E1445" s="2" t="s">
        <v>13134</v>
      </c>
      <c r="G1445" s="3" t="s">
        <v>63</v>
      </c>
      <c r="I1445" s="3" t="s">
        <v>63</v>
      </c>
      <c r="J1445" s="3" t="s">
        <v>63</v>
      </c>
      <c r="K1445" s="3" t="s">
        <v>64</v>
      </c>
      <c r="L1445" s="2" t="s">
        <v>13135</v>
      </c>
      <c r="M1445" s="2" t="s">
        <v>4598</v>
      </c>
      <c r="N1445" s="3" t="s">
        <v>2459</v>
      </c>
      <c r="P1445" s="3" t="s">
        <v>66</v>
      </c>
      <c r="R1445" s="3" t="s">
        <v>67</v>
      </c>
      <c r="S1445" s="4">
        <v>9</v>
      </c>
      <c r="T1445" s="4">
        <v>9</v>
      </c>
      <c r="U1445" s="5" t="s">
        <v>4791</v>
      </c>
      <c r="V1445" s="5" t="s">
        <v>4791</v>
      </c>
      <c r="W1445" s="5" t="s">
        <v>69</v>
      </c>
      <c r="X1445" s="5" t="s">
        <v>69</v>
      </c>
      <c r="Y1445" s="4">
        <v>261</v>
      </c>
      <c r="Z1445" s="4">
        <v>17</v>
      </c>
      <c r="AA1445" s="4">
        <v>84</v>
      </c>
      <c r="AB1445" s="4">
        <v>1</v>
      </c>
      <c r="AC1445" s="4">
        <v>14</v>
      </c>
      <c r="AD1445" s="4">
        <v>90</v>
      </c>
      <c r="AE1445" s="4">
        <v>134</v>
      </c>
      <c r="AF1445" s="4">
        <v>0</v>
      </c>
      <c r="AG1445" s="4">
        <v>8</v>
      </c>
      <c r="AH1445" s="4">
        <v>81</v>
      </c>
      <c r="AI1445" s="4">
        <v>98</v>
      </c>
      <c r="AJ1445" s="4">
        <v>11</v>
      </c>
      <c r="AK1445" s="4">
        <v>23</v>
      </c>
      <c r="AL1445" s="4">
        <v>52</v>
      </c>
      <c r="AM1445" s="4">
        <v>57</v>
      </c>
      <c r="AN1445" s="4">
        <v>0</v>
      </c>
      <c r="AO1445" s="4">
        <v>0</v>
      </c>
      <c r="AP1445" s="4">
        <v>13</v>
      </c>
      <c r="AQ1445" s="4">
        <v>43</v>
      </c>
      <c r="AR1445" s="3" t="s">
        <v>63</v>
      </c>
      <c r="AS1445" s="3" t="s">
        <v>63</v>
      </c>
      <c r="AT1445" s="3" t="s">
        <v>63</v>
      </c>
      <c r="AV1445" s="6" t="str">
        <f>HYPERLINK("http://mcgill.on.worldcat.org/oclc/214322794","Catalog Record")</f>
        <v>Catalog Record</v>
      </c>
      <c r="AW1445" s="6" t="str">
        <f>HYPERLINK("http://www.worldcat.org/oclc/214322794","WorldCat Record")</f>
        <v>WorldCat Record</v>
      </c>
      <c r="AX1445" s="3" t="s">
        <v>13136</v>
      </c>
      <c r="AY1445" s="3" t="s">
        <v>13137</v>
      </c>
      <c r="AZ1445" s="3" t="s">
        <v>13138</v>
      </c>
      <c r="BA1445" s="3" t="s">
        <v>13138</v>
      </c>
      <c r="BB1445" s="3" t="s">
        <v>13139</v>
      </c>
      <c r="BC1445" s="3" t="s">
        <v>82</v>
      </c>
      <c r="BD1445" s="3" t="s">
        <v>538</v>
      </c>
      <c r="BE1445" s="3" t="s">
        <v>13140</v>
      </c>
      <c r="BF1445" s="3" t="s">
        <v>13139</v>
      </c>
      <c r="BG1445" s="3" t="s">
        <v>13141</v>
      </c>
    </row>
    <row r="1446" spans="1:59" ht="60" x14ac:dyDescent="0.25">
      <c r="A1446" s="2" t="s">
        <v>59</v>
      </c>
      <c r="B1446" s="2" t="s">
        <v>60</v>
      </c>
      <c r="C1446" s="2" t="s">
        <v>13142</v>
      </c>
      <c r="D1446" s="2" t="s">
        <v>13143</v>
      </c>
      <c r="E1446" s="2" t="s">
        <v>13144</v>
      </c>
      <c r="G1446" s="3" t="s">
        <v>63</v>
      </c>
      <c r="I1446" s="3" t="s">
        <v>63</v>
      </c>
      <c r="J1446" s="3" t="s">
        <v>62</v>
      </c>
      <c r="K1446" s="3" t="s">
        <v>64</v>
      </c>
      <c r="L1446" s="2" t="s">
        <v>13145</v>
      </c>
      <c r="M1446" s="2" t="s">
        <v>13146</v>
      </c>
      <c r="N1446" s="3" t="s">
        <v>837</v>
      </c>
      <c r="P1446" s="3" t="s">
        <v>66</v>
      </c>
      <c r="Q1446" s="2" t="s">
        <v>13147</v>
      </c>
      <c r="R1446" s="3" t="s">
        <v>67</v>
      </c>
      <c r="S1446" s="4">
        <v>9</v>
      </c>
      <c r="T1446" s="4">
        <v>9</v>
      </c>
      <c r="U1446" s="5" t="s">
        <v>13148</v>
      </c>
      <c r="V1446" s="5" t="s">
        <v>13148</v>
      </c>
      <c r="W1446" s="5" t="s">
        <v>69</v>
      </c>
      <c r="X1446" s="5" t="s">
        <v>69</v>
      </c>
      <c r="Y1446" s="4">
        <v>127</v>
      </c>
      <c r="Z1446" s="4">
        <v>9</v>
      </c>
      <c r="AA1446" s="4">
        <v>41</v>
      </c>
      <c r="AB1446" s="4">
        <v>1</v>
      </c>
      <c r="AC1446" s="4">
        <v>5</v>
      </c>
      <c r="AD1446" s="4">
        <v>36</v>
      </c>
      <c r="AE1446" s="4">
        <v>129</v>
      </c>
      <c r="AF1446" s="4">
        <v>0</v>
      </c>
      <c r="AG1446" s="4">
        <v>3</v>
      </c>
      <c r="AH1446" s="4">
        <v>29</v>
      </c>
      <c r="AI1446" s="4">
        <v>104</v>
      </c>
      <c r="AJ1446" s="4">
        <v>6</v>
      </c>
      <c r="AK1446" s="4">
        <v>18</v>
      </c>
      <c r="AL1446" s="4">
        <v>22</v>
      </c>
      <c r="AM1446" s="4">
        <v>61</v>
      </c>
      <c r="AN1446" s="4">
        <v>0</v>
      </c>
      <c r="AO1446" s="4">
        <v>9</v>
      </c>
      <c r="AP1446" s="4">
        <v>7</v>
      </c>
      <c r="AQ1446" s="4">
        <v>27</v>
      </c>
      <c r="AR1446" s="3" t="s">
        <v>63</v>
      </c>
      <c r="AS1446" s="3" t="s">
        <v>63</v>
      </c>
      <c r="AT1446" s="3" t="s">
        <v>62</v>
      </c>
      <c r="AU1446" s="6" t="str">
        <f>HYPERLINK("http://catalog.hathitrust.org/Record/007120476","HathiTrust Record")</f>
        <v>HathiTrust Record</v>
      </c>
      <c r="AV1446" s="6" t="str">
        <f>HYPERLINK("http://mcgill.on.worldcat.org/oclc/1850963","Catalog Record")</f>
        <v>Catalog Record</v>
      </c>
      <c r="AW1446" s="6" t="str">
        <f>HYPERLINK("http://www.worldcat.org/oclc/1850963","WorldCat Record")</f>
        <v>WorldCat Record</v>
      </c>
      <c r="AX1446" s="3" t="s">
        <v>13149</v>
      </c>
      <c r="AY1446" s="3" t="s">
        <v>13150</v>
      </c>
      <c r="AZ1446" s="3" t="s">
        <v>13151</v>
      </c>
      <c r="BA1446" s="3" t="s">
        <v>13151</v>
      </c>
      <c r="BB1446" s="3" t="s">
        <v>13152</v>
      </c>
      <c r="BC1446" s="3" t="s">
        <v>82</v>
      </c>
      <c r="BD1446" s="3" t="s">
        <v>70</v>
      </c>
      <c r="BF1446" s="3" t="s">
        <v>13152</v>
      </c>
      <c r="BG1446" s="3" t="s">
        <v>13153</v>
      </c>
    </row>
    <row r="1447" spans="1:59" ht="60" x14ac:dyDescent="0.25">
      <c r="A1447" s="2" t="s">
        <v>59</v>
      </c>
      <c r="B1447" s="2" t="s">
        <v>60</v>
      </c>
      <c r="C1447" s="2" t="s">
        <v>13154</v>
      </c>
      <c r="D1447" s="2" t="s">
        <v>13155</v>
      </c>
      <c r="E1447" s="2" t="s">
        <v>13156</v>
      </c>
      <c r="G1447" s="3" t="s">
        <v>63</v>
      </c>
      <c r="I1447" s="3" t="s">
        <v>62</v>
      </c>
      <c r="J1447" s="3" t="s">
        <v>62</v>
      </c>
      <c r="K1447" s="3" t="s">
        <v>64</v>
      </c>
      <c r="L1447" s="2" t="s">
        <v>13145</v>
      </c>
      <c r="M1447" s="2" t="s">
        <v>13157</v>
      </c>
      <c r="N1447" s="3" t="s">
        <v>758</v>
      </c>
      <c r="O1447" s="2" t="s">
        <v>13158</v>
      </c>
      <c r="P1447" s="3" t="s">
        <v>66</v>
      </c>
      <c r="R1447" s="3" t="s">
        <v>67</v>
      </c>
      <c r="S1447" s="4">
        <v>0</v>
      </c>
      <c r="T1447" s="4">
        <v>52</v>
      </c>
      <c r="V1447" s="5" t="s">
        <v>249</v>
      </c>
      <c r="W1447" s="5" t="s">
        <v>69</v>
      </c>
      <c r="X1447" s="5" t="s">
        <v>69</v>
      </c>
      <c r="Y1447" s="4">
        <v>5</v>
      </c>
      <c r="Z1447" s="4">
        <v>3</v>
      </c>
      <c r="AA1447" s="4">
        <v>41</v>
      </c>
      <c r="AB1447" s="4">
        <v>1</v>
      </c>
      <c r="AC1447" s="4">
        <v>5</v>
      </c>
      <c r="AD1447" s="4">
        <v>1</v>
      </c>
      <c r="AE1447" s="4">
        <v>129</v>
      </c>
      <c r="AF1447" s="4">
        <v>0</v>
      </c>
      <c r="AG1447" s="4">
        <v>3</v>
      </c>
      <c r="AH1447" s="4">
        <v>1</v>
      </c>
      <c r="AI1447" s="4">
        <v>104</v>
      </c>
      <c r="AJ1447" s="4">
        <v>1</v>
      </c>
      <c r="AK1447" s="4">
        <v>18</v>
      </c>
      <c r="AL1447" s="4">
        <v>1</v>
      </c>
      <c r="AM1447" s="4">
        <v>61</v>
      </c>
      <c r="AN1447" s="4">
        <v>0</v>
      </c>
      <c r="AO1447" s="4">
        <v>9</v>
      </c>
      <c r="AP1447" s="4">
        <v>1</v>
      </c>
      <c r="AQ1447" s="4">
        <v>27</v>
      </c>
      <c r="AR1447" s="3" t="s">
        <v>63</v>
      </c>
      <c r="AS1447" s="3" t="s">
        <v>63</v>
      </c>
      <c r="AT1447" s="3" t="s">
        <v>63</v>
      </c>
      <c r="AV1447" s="6" t="str">
        <f>HYPERLINK("http://mcgill.on.worldcat.org/oclc/227014369","Catalog Record")</f>
        <v>Catalog Record</v>
      </c>
      <c r="AW1447" s="6" t="str">
        <f>HYPERLINK("http://www.worldcat.org/oclc/227014369","WorldCat Record")</f>
        <v>WorldCat Record</v>
      </c>
      <c r="AX1447" s="3" t="s">
        <v>13149</v>
      </c>
      <c r="AY1447" s="3" t="s">
        <v>13159</v>
      </c>
      <c r="AZ1447" s="3" t="s">
        <v>13160</v>
      </c>
      <c r="BA1447" s="3" t="s">
        <v>13160</v>
      </c>
      <c r="BB1447" s="3" t="s">
        <v>13161</v>
      </c>
      <c r="BC1447" s="3" t="s">
        <v>82</v>
      </c>
      <c r="BD1447" s="3" t="s">
        <v>70</v>
      </c>
      <c r="BF1447" s="3" t="s">
        <v>13161</v>
      </c>
      <c r="BG1447" s="3" t="s">
        <v>13162</v>
      </c>
    </row>
    <row r="1448" spans="1:59" ht="60" x14ac:dyDescent="0.25">
      <c r="A1448" s="2" t="s">
        <v>59</v>
      </c>
      <c r="B1448" s="2" t="s">
        <v>60</v>
      </c>
      <c r="C1448" s="2" t="s">
        <v>13154</v>
      </c>
      <c r="D1448" s="2" t="s">
        <v>13155</v>
      </c>
      <c r="E1448" s="2" t="s">
        <v>13156</v>
      </c>
      <c r="G1448" s="3" t="s">
        <v>63</v>
      </c>
      <c r="I1448" s="3" t="s">
        <v>62</v>
      </c>
      <c r="J1448" s="3" t="s">
        <v>62</v>
      </c>
      <c r="K1448" s="3" t="s">
        <v>64</v>
      </c>
      <c r="L1448" s="2" t="s">
        <v>13145</v>
      </c>
      <c r="M1448" s="2" t="s">
        <v>13157</v>
      </c>
      <c r="N1448" s="3" t="s">
        <v>758</v>
      </c>
      <c r="O1448" s="2" t="s">
        <v>13158</v>
      </c>
      <c r="P1448" s="3" t="s">
        <v>66</v>
      </c>
      <c r="R1448" s="3" t="s">
        <v>67</v>
      </c>
      <c r="S1448" s="4">
        <v>20</v>
      </c>
      <c r="T1448" s="4">
        <v>52</v>
      </c>
      <c r="U1448" s="5" t="s">
        <v>13163</v>
      </c>
      <c r="V1448" s="5" t="s">
        <v>249</v>
      </c>
      <c r="W1448" s="5" t="s">
        <v>69</v>
      </c>
      <c r="X1448" s="5" t="s">
        <v>69</v>
      </c>
      <c r="Y1448" s="4">
        <v>5</v>
      </c>
      <c r="Z1448" s="4">
        <v>3</v>
      </c>
      <c r="AA1448" s="4">
        <v>41</v>
      </c>
      <c r="AB1448" s="4">
        <v>1</v>
      </c>
      <c r="AC1448" s="4">
        <v>5</v>
      </c>
      <c r="AD1448" s="4">
        <v>1</v>
      </c>
      <c r="AE1448" s="4">
        <v>129</v>
      </c>
      <c r="AF1448" s="4">
        <v>0</v>
      </c>
      <c r="AG1448" s="4">
        <v>3</v>
      </c>
      <c r="AH1448" s="4">
        <v>1</v>
      </c>
      <c r="AI1448" s="4">
        <v>104</v>
      </c>
      <c r="AJ1448" s="4">
        <v>1</v>
      </c>
      <c r="AK1448" s="4">
        <v>18</v>
      </c>
      <c r="AL1448" s="4">
        <v>1</v>
      </c>
      <c r="AM1448" s="4">
        <v>61</v>
      </c>
      <c r="AN1448" s="4">
        <v>0</v>
      </c>
      <c r="AO1448" s="4">
        <v>9</v>
      </c>
      <c r="AP1448" s="4">
        <v>1</v>
      </c>
      <c r="AQ1448" s="4">
        <v>27</v>
      </c>
      <c r="AR1448" s="3" t="s">
        <v>63</v>
      </c>
      <c r="AS1448" s="3" t="s">
        <v>63</v>
      </c>
      <c r="AT1448" s="3" t="s">
        <v>63</v>
      </c>
      <c r="AV1448" s="6" t="str">
        <f>HYPERLINK("http://mcgill.on.worldcat.org/oclc/227014369","Catalog Record")</f>
        <v>Catalog Record</v>
      </c>
      <c r="AW1448" s="6" t="str">
        <f>HYPERLINK("http://www.worldcat.org/oclc/227014369","WorldCat Record")</f>
        <v>WorldCat Record</v>
      </c>
      <c r="AX1448" s="3" t="s">
        <v>13149</v>
      </c>
      <c r="AY1448" s="3" t="s">
        <v>13159</v>
      </c>
      <c r="AZ1448" s="3" t="s">
        <v>13160</v>
      </c>
      <c r="BA1448" s="3" t="s">
        <v>13160</v>
      </c>
      <c r="BB1448" s="3" t="s">
        <v>13164</v>
      </c>
      <c r="BC1448" s="3" t="s">
        <v>82</v>
      </c>
      <c r="BD1448" s="3" t="s">
        <v>70</v>
      </c>
      <c r="BF1448" s="3" t="s">
        <v>13164</v>
      </c>
      <c r="BG1448" s="3" t="s">
        <v>13165</v>
      </c>
    </row>
    <row r="1449" spans="1:59" ht="60" x14ac:dyDescent="0.25">
      <c r="A1449" s="2" t="s">
        <v>59</v>
      </c>
      <c r="B1449" s="2" t="s">
        <v>60</v>
      </c>
      <c r="C1449" s="2" t="s">
        <v>13154</v>
      </c>
      <c r="D1449" s="2" t="s">
        <v>13155</v>
      </c>
      <c r="E1449" s="2" t="s">
        <v>13156</v>
      </c>
      <c r="G1449" s="3" t="s">
        <v>63</v>
      </c>
      <c r="I1449" s="3" t="s">
        <v>62</v>
      </c>
      <c r="J1449" s="3" t="s">
        <v>62</v>
      </c>
      <c r="K1449" s="3" t="s">
        <v>64</v>
      </c>
      <c r="L1449" s="2" t="s">
        <v>13145</v>
      </c>
      <c r="M1449" s="2" t="s">
        <v>13157</v>
      </c>
      <c r="N1449" s="3" t="s">
        <v>758</v>
      </c>
      <c r="O1449" s="2" t="s">
        <v>13158</v>
      </c>
      <c r="P1449" s="3" t="s">
        <v>66</v>
      </c>
      <c r="R1449" s="3" t="s">
        <v>67</v>
      </c>
      <c r="S1449" s="4">
        <v>24</v>
      </c>
      <c r="T1449" s="4">
        <v>52</v>
      </c>
      <c r="U1449" s="5" t="s">
        <v>249</v>
      </c>
      <c r="V1449" s="5" t="s">
        <v>249</v>
      </c>
      <c r="W1449" s="5" t="s">
        <v>69</v>
      </c>
      <c r="X1449" s="5" t="s">
        <v>69</v>
      </c>
      <c r="Y1449" s="4">
        <v>5</v>
      </c>
      <c r="Z1449" s="4">
        <v>3</v>
      </c>
      <c r="AA1449" s="4">
        <v>41</v>
      </c>
      <c r="AB1449" s="4">
        <v>1</v>
      </c>
      <c r="AC1449" s="4">
        <v>5</v>
      </c>
      <c r="AD1449" s="4">
        <v>1</v>
      </c>
      <c r="AE1449" s="4">
        <v>129</v>
      </c>
      <c r="AF1449" s="4">
        <v>0</v>
      </c>
      <c r="AG1449" s="4">
        <v>3</v>
      </c>
      <c r="AH1449" s="4">
        <v>1</v>
      </c>
      <c r="AI1449" s="4">
        <v>104</v>
      </c>
      <c r="AJ1449" s="4">
        <v>1</v>
      </c>
      <c r="AK1449" s="4">
        <v>18</v>
      </c>
      <c r="AL1449" s="4">
        <v>1</v>
      </c>
      <c r="AM1449" s="4">
        <v>61</v>
      </c>
      <c r="AN1449" s="4">
        <v>0</v>
      </c>
      <c r="AO1449" s="4">
        <v>9</v>
      </c>
      <c r="AP1449" s="4">
        <v>1</v>
      </c>
      <c r="AQ1449" s="4">
        <v>27</v>
      </c>
      <c r="AR1449" s="3" t="s">
        <v>63</v>
      </c>
      <c r="AS1449" s="3" t="s">
        <v>63</v>
      </c>
      <c r="AT1449" s="3" t="s">
        <v>63</v>
      </c>
      <c r="AV1449" s="6" t="str">
        <f>HYPERLINK("http://mcgill.on.worldcat.org/oclc/227014369","Catalog Record")</f>
        <v>Catalog Record</v>
      </c>
      <c r="AW1449" s="6" t="str">
        <f>HYPERLINK("http://www.worldcat.org/oclc/227014369","WorldCat Record")</f>
        <v>WorldCat Record</v>
      </c>
      <c r="AX1449" s="3" t="s">
        <v>13149</v>
      </c>
      <c r="AY1449" s="3" t="s">
        <v>13159</v>
      </c>
      <c r="AZ1449" s="3" t="s">
        <v>13160</v>
      </c>
      <c r="BA1449" s="3" t="s">
        <v>13160</v>
      </c>
      <c r="BB1449" s="3" t="s">
        <v>13166</v>
      </c>
      <c r="BC1449" s="3" t="s">
        <v>82</v>
      </c>
      <c r="BD1449" s="3" t="s">
        <v>70</v>
      </c>
      <c r="BF1449" s="3" t="s">
        <v>13166</v>
      </c>
      <c r="BG1449" s="3" t="s">
        <v>13167</v>
      </c>
    </row>
    <row r="1450" spans="1:59" ht="60" x14ac:dyDescent="0.25">
      <c r="A1450" s="2" t="s">
        <v>59</v>
      </c>
      <c r="B1450" s="2" t="s">
        <v>60</v>
      </c>
      <c r="C1450" s="2" t="s">
        <v>13154</v>
      </c>
      <c r="D1450" s="2" t="s">
        <v>13155</v>
      </c>
      <c r="E1450" s="2" t="s">
        <v>13156</v>
      </c>
      <c r="G1450" s="3" t="s">
        <v>63</v>
      </c>
      <c r="I1450" s="3" t="s">
        <v>62</v>
      </c>
      <c r="J1450" s="3" t="s">
        <v>62</v>
      </c>
      <c r="K1450" s="3" t="s">
        <v>64</v>
      </c>
      <c r="L1450" s="2" t="s">
        <v>13145</v>
      </c>
      <c r="M1450" s="2" t="s">
        <v>13157</v>
      </c>
      <c r="N1450" s="3" t="s">
        <v>758</v>
      </c>
      <c r="O1450" s="2" t="s">
        <v>13158</v>
      </c>
      <c r="P1450" s="3" t="s">
        <v>66</v>
      </c>
      <c r="R1450" s="3" t="s">
        <v>67</v>
      </c>
      <c r="S1450" s="4">
        <v>7</v>
      </c>
      <c r="T1450" s="4">
        <v>52</v>
      </c>
      <c r="U1450" s="5" t="s">
        <v>13168</v>
      </c>
      <c r="V1450" s="5" t="s">
        <v>249</v>
      </c>
      <c r="W1450" s="5" t="s">
        <v>69</v>
      </c>
      <c r="X1450" s="5" t="s">
        <v>69</v>
      </c>
      <c r="Y1450" s="4">
        <v>5</v>
      </c>
      <c r="Z1450" s="4">
        <v>3</v>
      </c>
      <c r="AA1450" s="4">
        <v>41</v>
      </c>
      <c r="AB1450" s="4">
        <v>1</v>
      </c>
      <c r="AC1450" s="4">
        <v>5</v>
      </c>
      <c r="AD1450" s="4">
        <v>1</v>
      </c>
      <c r="AE1450" s="4">
        <v>129</v>
      </c>
      <c r="AF1450" s="4">
        <v>0</v>
      </c>
      <c r="AG1450" s="4">
        <v>3</v>
      </c>
      <c r="AH1450" s="4">
        <v>1</v>
      </c>
      <c r="AI1450" s="4">
        <v>104</v>
      </c>
      <c r="AJ1450" s="4">
        <v>1</v>
      </c>
      <c r="AK1450" s="4">
        <v>18</v>
      </c>
      <c r="AL1450" s="4">
        <v>1</v>
      </c>
      <c r="AM1450" s="4">
        <v>61</v>
      </c>
      <c r="AN1450" s="4">
        <v>0</v>
      </c>
      <c r="AO1450" s="4">
        <v>9</v>
      </c>
      <c r="AP1450" s="4">
        <v>1</v>
      </c>
      <c r="AQ1450" s="4">
        <v>27</v>
      </c>
      <c r="AR1450" s="3" t="s">
        <v>63</v>
      </c>
      <c r="AS1450" s="3" t="s">
        <v>63</v>
      </c>
      <c r="AT1450" s="3" t="s">
        <v>63</v>
      </c>
      <c r="AV1450" s="6" t="str">
        <f>HYPERLINK("http://mcgill.on.worldcat.org/oclc/227014369","Catalog Record")</f>
        <v>Catalog Record</v>
      </c>
      <c r="AW1450" s="6" t="str">
        <f>HYPERLINK("http://www.worldcat.org/oclc/227014369","WorldCat Record")</f>
        <v>WorldCat Record</v>
      </c>
      <c r="AX1450" s="3" t="s">
        <v>13149</v>
      </c>
      <c r="AY1450" s="3" t="s">
        <v>13159</v>
      </c>
      <c r="AZ1450" s="3" t="s">
        <v>13160</v>
      </c>
      <c r="BA1450" s="3" t="s">
        <v>13160</v>
      </c>
      <c r="BB1450" s="3" t="s">
        <v>13169</v>
      </c>
      <c r="BC1450" s="3" t="s">
        <v>82</v>
      </c>
      <c r="BD1450" s="3" t="s">
        <v>70</v>
      </c>
      <c r="BF1450" s="3" t="s">
        <v>13169</v>
      </c>
      <c r="BG1450" s="3" t="s">
        <v>13170</v>
      </c>
    </row>
    <row r="1451" spans="1:59" ht="60" x14ac:dyDescent="0.25">
      <c r="A1451" s="2" t="s">
        <v>59</v>
      </c>
      <c r="B1451" s="2" t="s">
        <v>60</v>
      </c>
      <c r="C1451" s="2" t="s">
        <v>13154</v>
      </c>
      <c r="D1451" s="2" t="s">
        <v>13155</v>
      </c>
      <c r="E1451" s="2" t="s">
        <v>13156</v>
      </c>
      <c r="G1451" s="3" t="s">
        <v>63</v>
      </c>
      <c r="I1451" s="3" t="s">
        <v>62</v>
      </c>
      <c r="J1451" s="3" t="s">
        <v>62</v>
      </c>
      <c r="K1451" s="3" t="s">
        <v>64</v>
      </c>
      <c r="L1451" s="2" t="s">
        <v>13145</v>
      </c>
      <c r="M1451" s="2" t="s">
        <v>13157</v>
      </c>
      <c r="N1451" s="3" t="s">
        <v>758</v>
      </c>
      <c r="O1451" s="2" t="s">
        <v>13158</v>
      </c>
      <c r="P1451" s="3" t="s">
        <v>66</v>
      </c>
      <c r="R1451" s="3" t="s">
        <v>67</v>
      </c>
      <c r="S1451" s="4">
        <v>1</v>
      </c>
      <c r="T1451" s="4">
        <v>52</v>
      </c>
      <c r="U1451" s="5" t="s">
        <v>13171</v>
      </c>
      <c r="V1451" s="5" t="s">
        <v>249</v>
      </c>
      <c r="W1451" s="5" t="s">
        <v>69</v>
      </c>
      <c r="X1451" s="5" t="s">
        <v>69</v>
      </c>
      <c r="Y1451" s="4">
        <v>5</v>
      </c>
      <c r="Z1451" s="4">
        <v>3</v>
      </c>
      <c r="AA1451" s="4">
        <v>41</v>
      </c>
      <c r="AB1451" s="4">
        <v>1</v>
      </c>
      <c r="AC1451" s="4">
        <v>5</v>
      </c>
      <c r="AD1451" s="4">
        <v>1</v>
      </c>
      <c r="AE1451" s="4">
        <v>129</v>
      </c>
      <c r="AF1451" s="4">
        <v>0</v>
      </c>
      <c r="AG1451" s="4">
        <v>3</v>
      </c>
      <c r="AH1451" s="4">
        <v>1</v>
      </c>
      <c r="AI1451" s="4">
        <v>104</v>
      </c>
      <c r="AJ1451" s="4">
        <v>1</v>
      </c>
      <c r="AK1451" s="4">
        <v>18</v>
      </c>
      <c r="AL1451" s="4">
        <v>1</v>
      </c>
      <c r="AM1451" s="4">
        <v>61</v>
      </c>
      <c r="AN1451" s="4">
        <v>0</v>
      </c>
      <c r="AO1451" s="4">
        <v>9</v>
      </c>
      <c r="AP1451" s="4">
        <v>1</v>
      </c>
      <c r="AQ1451" s="4">
        <v>27</v>
      </c>
      <c r="AR1451" s="3" t="s">
        <v>63</v>
      </c>
      <c r="AS1451" s="3" t="s">
        <v>63</v>
      </c>
      <c r="AT1451" s="3" t="s">
        <v>63</v>
      </c>
      <c r="AV1451" s="6" t="str">
        <f>HYPERLINK("http://mcgill.on.worldcat.org/oclc/227014369","Catalog Record")</f>
        <v>Catalog Record</v>
      </c>
      <c r="AW1451" s="6" t="str">
        <f>HYPERLINK("http://www.worldcat.org/oclc/227014369","WorldCat Record")</f>
        <v>WorldCat Record</v>
      </c>
      <c r="AX1451" s="3" t="s">
        <v>13149</v>
      </c>
      <c r="AY1451" s="3" t="s">
        <v>13159</v>
      </c>
      <c r="AZ1451" s="3" t="s">
        <v>13160</v>
      </c>
      <c r="BA1451" s="3" t="s">
        <v>13160</v>
      </c>
      <c r="BB1451" s="3" t="s">
        <v>13172</v>
      </c>
      <c r="BC1451" s="3" t="s">
        <v>82</v>
      </c>
      <c r="BD1451" s="3" t="s">
        <v>70</v>
      </c>
      <c r="BF1451" s="3" t="s">
        <v>13172</v>
      </c>
      <c r="BG1451" s="3" t="s">
        <v>13173</v>
      </c>
    </row>
    <row r="1452" spans="1:59" ht="60" x14ac:dyDescent="0.25">
      <c r="A1452" s="2" t="s">
        <v>59</v>
      </c>
      <c r="B1452" s="2" t="s">
        <v>60</v>
      </c>
      <c r="C1452" s="2" t="s">
        <v>13174</v>
      </c>
      <c r="D1452" s="2" t="s">
        <v>13175</v>
      </c>
      <c r="E1452" s="2" t="s">
        <v>13176</v>
      </c>
      <c r="G1452" s="3" t="s">
        <v>63</v>
      </c>
      <c r="I1452" s="3" t="s">
        <v>63</v>
      </c>
      <c r="J1452" s="3" t="s">
        <v>63</v>
      </c>
      <c r="K1452" s="3" t="s">
        <v>64</v>
      </c>
      <c r="L1452" s="2" t="s">
        <v>13177</v>
      </c>
      <c r="M1452" s="2" t="s">
        <v>13178</v>
      </c>
      <c r="N1452" s="3" t="s">
        <v>2043</v>
      </c>
      <c r="P1452" s="3" t="s">
        <v>66</v>
      </c>
      <c r="R1452" s="3" t="s">
        <v>67</v>
      </c>
      <c r="S1452" s="4">
        <v>39</v>
      </c>
      <c r="T1452" s="4">
        <v>39</v>
      </c>
      <c r="U1452" s="5" t="s">
        <v>5434</v>
      </c>
      <c r="V1452" s="5" t="s">
        <v>5434</v>
      </c>
      <c r="W1452" s="5" t="s">
        <v>69</v>
      </c>
      <c r="X1452" s="5" t="s">
        <v>69</v>
      </c>
      <c r="Y1452" s="4">
        <v>599</v>
      </c>
      <c r="Z1452" s="4">
        <v>34</v>
      </c>
      <c r="AA1452" s="4">
        <v>34</v>
      </c>
      <c r="AB1452" s="4">
        <v>2</v>
      </c>
      <c r="AC1452" s="4">
        <v>2</v>
      </c>
      <c r="AD1452" s="4">
        <v>125</v>
      </c>
      <c r="AE1452" s="4">
        <v>125</v>
      </c>
      <c r="AF1452" s="4">
        <v>1</v>
      </c>
      <c r="AG1452" s="4">
        <v>1</v>
      </c>
      <c r="AH1452" s="4">
        <v>108</v>
      </c>
      <c r="AI1452" s="4">
        <v>108</v>
      </c>
      <c r="AJ1452" s="4">
        <v>21</v>
      </c>
      <c r="AK1452" s="4">
        <v>21</v>
      </c>
      <c r="AL1452" s="4">
        <v>57</v>
      </c>
      <c r="AM1452" s="4">
        <v>57</v>
      </c>
      <c r="AN1452" s="4">
        <v>0</v>
      </c>
      <c r="AO1452" s="4">
        <v>0</v>
      </c>
      <c r="AP1452" s="4">
        <v>24</v>
      </c>
      <c r="AQ1452" s="4">
        <v>24</v>
      </c>
      <c r="AR1452" s="3" t="s">
        <v>63</v>
      </c>
      <c r="AS1452" s="3" t="s">
        <v>63</v>
      </c>
      <c r="AT1452" s="3" t="s">
        <v>62</v>
      </c>
      <c r="AU1452" s="6" t="str">
        <f>HYPERLINK("http://catalog.hathitrust.org/Record/000182501","HathiTrust Record")</f>
        <v>HathiTrust Record</v>
      </c>
      <c r="AV1452" s="6" t="str">
        <f>HYPERLINK("http://mcgill.on.worldcat.org/oclc/7575434","Catalog Record")</f>
        <v>Catalog Record</v>
      </c>
      <c r="AW1452" s="6" t="str">
        <f>HYPERLINK("http://www.worldcat.org/oclc/7575434","WorldCat Record")</f>
        <v>WorldCat Record</v>
      </c>
      <c r="AX1452" s="3" t="s">
        <v>13179</v>
      </c>
      <c r="AY1452" s="3" t="s">
        <v>13180</v>
      </c>
      <c r="AZ1452" s="3" t="s">
        <v>13181</v>
      </c>
      <c r="BA1452" s="3" t="s">
        <v>13181</v>
      </c>
      <c r="BB1452" s="3" t="s">
        <v>13182</v>
      </c>
      <c r="BC1452" s="3" t="s">
        <v>82</v>
      </c>
      <c r="BD1452" s="3" t="s">
        <v>538</v>
      </c>
      <c r="BE1452" s="3" t="s">
        <v>13183</v>
      </c>
      <c r="BF1452" s="3" t="s">
        <v>13182</v>
      </c>
      <c r="BG1452" s="3" t="s">
        <v>13184</v>
      </c>
    </row>
    <row r="1453" spans="1:59" ht="60" x14ac:dyDescent="0.25">
      <c r="A1453" s="2" t="s">
        <v>59</v>
      </c>
      <c r="B1453" s="2" t="s">
        <v>60</v>
      </c>
      <c r="C1453" s="2" t="s">
        <v>13185</v>
      </c>
      <c r="D1453" s="2" t="s">
        <v>13186</v>
      </c>
      <c r="E1453" s="2" t="s">
        <v>13187</v>
      </c>
      <c r="G1453" s="3" t="s">
        <v>63</v>
      </c>
      <c r="I1453" s="3" t="s">
        <v>63</v>
      </c>
      <c r="J1453" s="3" t="s">
        <v>63</v>
      </c>
      <c r="K1453" s="3" t="s">
        <v>64</v>
      </c>
      <c r="L1453" s="2" t="s">
        <v>13177</v>
      </c>
      <c r="M1453" s="2" t="s">
        <v>13188</v>
      </c>
      <c r="N1453" s="3" t="s">
        <v>220</v>
      </c>
      <c r="P1453" s="3" t="s">
        <v>66</v>
      </c>
      <c r="R1453" s="3" t="s">
        <v>67</v>
      </c>
      <c r="S1453" s="4">
        <v>33</v>
      </c>
      <c r="T1453" s="4">
        <v>33</v>
      </c>
      <c r="U1453" s="5" t="s">
        <v>5434</v>
      </c>
      <c r="V1453" s="5" t="s">
        <v>5434</v>
      </c>
      <c r="W1453" s="5" t="s">
        <v>69</v>
      </c>
      <c r="X1453" s="5" t="s">
        <v>69</v>
      </c>
      <c r="Y1453" s="4">
        <v>362</v>
      </c>
      <c r="Z1453" s="4">
        <v>21</v>
      </c>
      <c r="AA1453" s="4">
        <v>23</v>
      </c>
      <c r="AB1453" s="4">
        <v>1</v>
      </c>
      <c r="AC1453" s="4">
        <v>2</v>
      </c>
      <c r="AD1453" s="4">
        <v>107</v>
      </c>
      <c r="AE1453" s="4">
        <v>108</v>
      </c>
      <c r="AF1453" s="4">
        <v>0</v>
      </c>
      <c r="AG1453" s="4">
        <v>1</v>
      </c>
      <c r="AH1453" s="4">
        <v>98</v>
      </c>
      <c r="AI1453" s="4">
        <v>99</v>
      </c>
      <c r="AJ1453" s="4">
        <v>15</v>
      </c>
      <c r="AK1453" s="4">
        <v>16</v>
      </c>
      <c r="AL1453" s="4">
        <v>54</v>
      </c>
      <c r="AM1453" s="4">
        <v>54</v>
      </c>
      <c r="AN1453" s="4">
        <v>0</v>
      </c>
      <c r="AO1453" s="4">
        <v>0</v>
      </c>
      <c r="AP1453" s="4">
        <v>17</v>
      </c>
      <c r="AQ1453" s="4">
        <v>18</v>
      </c>
      <c r="AR1453" s="3" t="s">
        <v>63</v>
      </c>
      <c r="AS1453" s="3" t="s">
        <v>63</v>
      </c>
      <c r="AT1453" s="3" t="s">
        <v>62</v>
      </c>
      <c r="AU1453" s="6" t="str">
        <f>HYPERLINK("http://catalog.hathitrust.org/Record/002726172","HathiTrust Record")</f>
        <v>HathiTrust Record</v>
      </c>
      <c r="AV1453" s="6" t="str">
        <f>HYPERLINK("http://mcgill.on.worldcat.org/oclc/26852709","Catalog Record")</f>
        <v>Catalog Record</v>
      </c>
      <c r="AW1453" s="6" t="str">
        <f>HYPERLINK("http://www.worldcat.org/oclc/26852709","WorldCat Record")</f>
        <v>WorldCat Record</v>
      </c>
      <c r="AX1453" s="3" t="s">
        <v>13189</v>
      </c>
      <c r="AY1453" s="3" t="s">
        <v>13190</v>
      </c>
      <c r="AZ1453" s="3" t="s">
        <v>13191</v>
      </c>
      <c r="BA1453" s="3" t="s">
        <v>13191</v>
      </c>
      <c r="BB1453" s="3" t="s">
        <v>13192</v>
      </c>
      <c r="BC1453" s="3" t="s">
        <v>82</v>
      </c>
      <c r="BD1453" s="3" t="s">
        <v>538</v>
      </c>
      <c r="BE1453" s="3" t="s">
        <v>13193</v>
      </c>
      <c r="BF1453" s="3" t="s">
        <v>13192</v>
      </c>
      <c r="BG1453" s="3" t="s">
        <v>13194</v>
      </c>
    </row>
    <row r="1454" spans="1:59" ht="60" x14ac:dyDescent="0.25">
      <c r="A1454" s="2" t="s">
        <v>59</v>
      </c>
      <c r="B1454" s="2" t="s">
        <v>60</v>
      </c>
      <c r="C1454" s="2" t="s">
        <v>13195</v>
      </c>
      <c r="D1454" s="2" t="s">
        <v>13196</v>
      </c>
      <c r="E1454" s="2" t="s">
        <v>13197</v>
      </c>
      <c r="G1454" s="3" t="s">
        <v>63</v>
      </c>
      <c r="I1454" s="3" t="s">
        <v>63</v>
      </c>
      <c r="J1454" s="3" t="s">
        <v>63</v>
      </c>
      <c r="K1454" s="3" t="s">
        <v>64</v>
      </c>
      <c r="L1454" s="2" t="s">
        <v>13198</v>
      </c>
      <c r="M1454" s="2" t="s">
        <v>13199</v>
      </c>
      <c r="N1454" s="3" t="s">
        <v>3640</v>
      </c>
      <c r="P1454" s="3" t="s">
        <v>66</v>
      </c>
      <c r="R1454" s="3" t="s">
        <v>67</v>
      </c>
      <c r="S1454" s="4">
        <v>25</v>
      </c>
      <c r="T1454" s="4">
        <v>25</v>
      </c>
      <c r="U1454" s="5" t="s">
        <v>12029</v>
      </c>
      <c r="V1454" s="5" t="s">
        <v>12029</v>
      </c>
      <c r="W1454" s="5" t="s">
        <v>69</v>
      </c>
      <c r="X1454" s="5" t="s">
        <v>69</v>
      </c>
      <c r="Y1454" s="4">
        <v>517</v>
      </c>
      <c r="Z1454" s="4">
        <v>30</v>
      </c>
      <c r="AA1454" s="4">
        <v>30</v>
      </c>
      <c r="AB1454" s="4">
        <v>1</v>
      </c>
      <c r="AC1454" s="4">
        <v>1</v>
      </c>
      <c r="AD1454" s="4">
        <v>119</v>
      </c>
      <c r="AE1454" s="4">
        <v>120</v>
      </c>
      <c r="AF1454" s="4">
        <v>0</v>
      </c>
      <c r="AG1454" s="4">
        <v>0</v>
      </c>
      <c r="AH1454" s="4">
        <v>103</v>
      </c>
      <c r="AI1454" s="4">
        <v>104</v>
      </c>
      <c r="AJ1454" s="4">
        <v>16</v>
      </c>
      <c r="AK1454" s="4">
        <v>16</v>
      </c>
      <c r="AL1454" s="4">
        <v>56</v>
      </c>
      <c r="AM1454" s="4">
        <v>57</v>
      </c>
      <c r="AN1454" s="4">
        <v>0</v>
      </c>
      <c r="AO1454" s="4">
        <v>5</v>
      </c>
      <c r="AP1454" s="4">
        <v>21</v>
      </c>
      <c r="AQ1454" s="4">
        <v>21</v>
      </c>
      <c r="AR1454" s="3" t="s">
        <v>63</v>
      </c>
      <c r="AS1454" s="3" t="s">
        <v>63</v>
      </c>
      <c r="AT1454" s="3" t="s">
        <v>62</v>
      </c>
      <c r="AU1454" s="6" t="str">
        <f>HYPERLINK("http://catalog.hathitrust.org/Record/000275716","HathiTrust Record")</f>
        <v>HathiTrust Record</v>
      </c>
      <c r="AV1454" s="6" t="str">
        <f>HYPERLINK("http://mcgill.on.worldcat.org/oclc/10276504","Catalog Record")</f>
        <v>Catalog Record</v>
      </c>
      <c r="AW1454" s="6" t="str">
        <f>HYPERLINK("http://www.worldcat.org/oclc/10276504","WorldCat Record")</f>
        <v>WorldCat Record</v>
      </c>
      <c r="AX1454" s="3" t="s">
        <v>13200</v>
      </c>
      <c r="AY1454" s="3" t="s">
        <v>13201</v>
      </c>
      <c r="AZ1454" s="3" t="s">
        <v>13202</v>
      </c>
      <c r="BA1454" s="3" t="s">
        <v>13202</v>
      </c>
      <c r="BB1454" s="3" t="s">
        <v>13203</v>
      </c>
      <c r="BC1454" s="3" t="s">
        <v>82</v>
      </c>
      <c r="BD1454" s="3" t="s">
        <v>70</v>
      </c>
      <c r="BE1454" s="3" t="s">
        <v>13204</v>
      </c>
      <c r="BF1454" s="3" t="s">
        <v>13203</v>
      </c>
      <c r="BG1454" s="3" t="s">
        <v>13205</v>
      </c>
    </row>
    <row r="1455" spans="1:59" ht="60" x14ac:dyDescent="0.25">
      <c r="A1455" s="2" t="s">
        <v>59</v>
      </c>
      <c r="B1455" s="2" t="s">
        <v>60</v>
      </c>
      <c r="C1455" s="2" t="s">
        <v>13206</v>
      </c>
      <c r="D1455" s="2" t="s">
        <v>13207</v>
      </c>
      <c r="E1455" s="2" t="s">
        <v>13208</v>
      </c>
      <c r="G1455" s="3" t="s">
        <v>63</v>
      </c>
      <c r="I1455" s="3" t="s">
        <v>62</v>
      </c>
      <c r="J1455" s="3" t="s">
        <v>63</v>
      </c>
      <c r="K1455" s="3" t="s">
        <v>64</v>
      </c>
      <c r="L1455" s="2" t="s">
        <v>13209</v>
      </c>
      <c r="M1455" s="2" t="s">
        <v>13210</v>
      </c>
      <c r="N1455" s="3" t="s">
        <v>468</v>
      </c>
      <c r="P1455" s="3" t="s">
        <v>66</v>
      </c>
      <c r="Q1455" s="2" t="s">
        <v>13211</v>
      </c>
      <c r="R1455" s="3" t="s">
        <v>67</v>
      </c>
      <c r="S1455" s="4">
        <v>12</v>
      </c>
      <c r="T1455" s="4">
        <v>69</v>
      </c>
      <c r="U1455" s="5" t="s">
        <v>13212</v>
      </c>
      <c r="V1455" s="5" t="s">
        <v>5434</v>
      </c>
      <c r="W1455" s="5" t="s">
        <v>69</v>
      </c>
      <c r="X1455" s="5" t="s">
        <v>69</v>
      </c>
      <c r="Y1455" s="4">
        <v>237</v>
      </c>
      <c r="Z1455" s="4">
        <v>26</v>
      </c>
      <c r="AA1455" s="4">
        <v>44</v>
      </c>
      <c r="AB1455" s="4">
        <v>1</v>
      </c>
      <c r="AC1455" s="4">
        <v>5</v>
      </c>
      <c r="AD1455" s="4">
        <v>58</v>
      </c>
      <c r="AE1455" s="4">
        <v>116</v>
      </c>
      <c r="AF1455" s="4">
        <v>0</v>
      </c>
      <c r="AG1455" s="4">
        <v>3</v>
      </c>
      <c r="AH1455" s="4">
        <v>50</v>
      </c>
      <c r="AI1455" s="4">
        <v>96</v>
      </c>
      <c r="AJ1455" s="4">
        <v>16</v>
      </c>
      <c r="AK1455" s="4">
        <v>23</v>
      </c>
      <c r="AL1455" s="4">
        <v>24</v>
      </c>
      <c r="AM1455" s="4">
        <v>48</v>
      </c>
      <c r="AN1455" s="4">
        <v>2</v>
      </c>
      <c r="AO1455" s="4">
        <v>2</v>
      </c>
      <c r="AP1455" s="4">
        <v>18</v>
      </c>
      <c r="AQ1455" s="4">
        <v>31</v>
      </c>
      <c r="AR1455" s="3" t="s">
        <v>63</v>
      </c>
      <c r="AS1455" s="3" t="s">
        <v>63</v>
      </c>
      <c r="AT1455" s="3" t="s">
        <v>62</v>
      </c>
      <c r="AU1455" s="6" t="str">
        <f>HYPERLINK("http://catalog.hathitrust.org/Record/000741484","HathiTrust Record")</f>
        <v>HathiTrust Record</v>
      </c>
      <c r="AV1455" s="6" t="str">
        <f>HYPERLINK("http://mcgill.on.worldcat.org/oclc/2913778","Catalog Record")</f>
        <v>Catalog Record</v>
      </c>
      <c r="AW1455" s="6" t="str">
        <f>HYPERLINK("http://www.worldcat.org/oclc/2913778","WorldCat Record")</f>
        <v>WorldCat Record</v>
      </c>
      <c r="AX1455" s="3" t="s">
        <v>13213</v>
      </c>
      <c r="AY1455" s="3" t="s">
        <v>13214</v>
      </c>
      <c r="AZ1455" s="3" t="s">
        <v>13215</v>
      </c>
      <c r="BA1455" s="3" t="s">
        <v>13215</v>
      </c>
      <c r="BB1455" s="3" t="s">
        <v>13216</v>
      </c>
      <c r="BC1455" s="3" t="s">
        <v>82</v>
      </c>
      <c r="BD1455" s="3" t="s">
        <v>70</v>
      </c>
      <c r="BE1455" s="3" t="s">
        <v>13217</v>
      </c>
      <c r="BF1455" s="3" t="s">
        <v>13216</v>
      </c>
      <c r="BG1455" s="3" t="s">
        <v>13218</v>
      </c>
    </row>
    <row r="1456" spans="1:59" ht="60" x14ac:dyDescent="0.25">
      <c r="A1456" s="2" t="s">
        <v>59</v>
      </c>
      <c r="B1456" s="2" t="s">
        <v>60</v>
      </c>
      <c r="C1456" s="2" t="s">
        <v>13206</v>
      </c>
      <c r="D1456" s="2" t="s">
        <v>13207</v>
      </c>
      <c r="E1456" s="2" t="s">
        <v>13208</v>
      </c>
      <c r="G1456" s="3" t="s">
        <v>63</v>
      </c>
      <c r="I1456" s="3" t="s">
        <v>62</v>
      </c>
      <c r="J1456" s="3" t="s">
        <v>63</v>
      </c>
      <c r="K1456" s="3" t="s">
        <v>64</v>
      </c>
      <c r="L1456" s="2" t="s">
        <v>13209</v>
      </c>
      <c r="M1456" s="2" t="s">
        <v>13210</v>
      </c>
      <c r="N1456" s="3" t="s">
        <v>468</v>
      </c>
      <c r="P1456" s="3" t="s">
        <v>66</v>
      </c>
      <c r="Q1456" s="2" t="s">
        <v>13211</v>
      </c>
      <c r="R1456" s="3" t="s">
        <v>67</v>
      </c>
      <c r="S1456" s="4">
        <v>17</v>
      </c>
      <c r="T1456" s="4">
        <v>69</v>
      </c>
      <c r="U1456" s="5" t="s">
        <v>13219</v>
      </c>
      <c r="V1456" s="5" t="s">
        <v>5434</v>
      </c>
      <c r="W1456" s="5" t="s">
        <v>69</v>
      </c>
      <c r="X1456" s="5" t="s">
        <v>69</v>
      </c>
      <c r="Y1456" s="4">
        <v>237</v>
      </c>
      <c r="Z1456" s="4">
        <v>26</v>
      </c>
      <c r="AA1456" s="4">
        <v>44</v>
      </c>
      <c r="AB1456" s="4">
        <v>1</v>
      </c>
      <c r="AC1456" s="4">
        <v>5</v>
      </c>
      <c r="AD1456" s="4">
        <v>58</v>
      </c>
      <c r="AE1456" s="4">
        <v>116</v>
      </c>
      <c r="AF1456" s="4">
        <v>0</v>
      </c>
      <c r="AG1456" s="4">
        <v>3</v>
      </c>
      <c r="AH1456" s="4">
        <v>50</v>
      </c>
      <c r="AI1456" s="4">
        <v>96</v>
      </c>
      <c r="AJ1456" s="4">
        <v>16</v>
      </c>
      <c r="AK1456" s="4">
        <v>23</v>
      </c>
      <c r="AL1456" s="4">
        <v>24</v>
      </c>
      <c r="AM1456" s="4">
        <v>48</v>
      </c>
      <c r="AN1456" s="4">
        <v>2</v>
      </c>
      <c r="AO1456" s="4">
        <v>2</v>
      </c>
      <c r="AP1456" s="4">
        <v>18</v>
      </c>
      <c r="AQ1456" s="4">
        <v>31</v>
      </c>
      <c r="AR1456" s="3" t="s">
        <v>63</v>
      </c>
      <c r="AS1456" s="3" t="s">
        <v>63</v>
      </c>
      <c r="AT1456" s="3" t="s">
        <v>62</v>
      </c>
      <c r="AU1456" s="6" t="str">
        <f>HYPERLINK("http://catalog.hathitrust.org/Record/000741484","HathiTrust Record")</f>
        <v>HathiTrust Record</v>
      </c>
      <c r="AV1456" s="6" t="str">
        <f>HYPERLINK("http://mcgill.on.worldcat.org/oclc/2913778","Catalog Record")</f>
        <v>Catalog Record</v>
      </c>
      <c r="AW1456" s="6" t="str">
        <f>HYPERLINK("http://www.worldcat.org/oclc/2913778","WorldCat Record")</f>
        <v>WorldCat Record</v>
      </c>
      <c r="AX1456" s="3" t="s">
        <v>13213</v>
      </c>
      <c r="AY1456" s="3" t="s">
        <v>13214</v>
      </c>
      <c r="AZ1456" s="3" t="s">
        <v>13215</v>
      </c>
      <c r="BA1456" s="3" t="s">
        <v>13215</v>
      </c>
      <c r="BB1456" s="3" t="s">
        <v>13220</v>
      </c>
      <c r="BC1456" s="3" t="s">
        <v>82</v>
      </c>
      <c r="BD1456" s="3" t="s">
        <v>70</v>
      </c>
      <c r="BE1456" s="3" t="s">
        <v>13217</v>
      </c>
      <c r="BF1456" s="3" t="s">
        <v>13220</v>
      </c>
      <c r="BG1456" s="3" t="s">
        <v>13221</v>
      </c>
    </row>
    <row r="1457" spans="1:59" ht="60" x14ac:dyDescent="0.25">
      <c r="A1457" s="2" t="s">
        <v>59</v>
      </c>
      <c r="B1457" s="2" t="s">
        <v>60</v>
      </c>
      <c r="C1457" s="2" t="s">
        <v>13206</v>
      </c>
      <c r="D1457" s="2" t="s">
        <v>13207</v>
      </c>
      <c r="E1457" s="2" t="s">
        <v>13208</v>
      </c>
      <c r="G1457" s="3" t="s">
        <v>63</v>
      </c>
      <c r="I1457" s="3" t="s">
        <v>62</v>
      </c>
      <c r="J1457" s="3" t="s">
        <v>63</v>
      </c>
      <c r="K1457" s="3" t="s">
        <v>64</v>
      </c>
      <c r="L1457" s="2" t="s">
        <v>13209</v>
      </c>
      <c r="M1457" s="2" t="s">
        <v>13210</v>
      </c>
      <c r="N1457" s="3" t="s">
        <v>468</v>
      </c>
      <c r="P1457" s="3" t="s">
        <v>66</v>
      </c>
      <c r="Q1457" s="2" t="s">
        <v>13211</v>
      </c>
      <c r="R1457" s="3" t="s">
        <v>67</v>
      </c>
      <c r="S1457" s="4">
        <v>40</v>
      </c>
      <c r="T1457" s="4">
        <v>69</v>
      </c>
      <c r="U1457" s="5" t="s">
        <v>5434</v>
      </c>
      <c r="V1457" s="5" t="s">
        <v>5434</v>
      </c>
      <c r="W1457" s="5" t="s">
        <v>69</v>
      </c>
      <c r="X1457" s="5" t="s">
        <v>69</v>
      </c>
      <c r="Y1457" s="4">
        <v>237</v>
      </c>
      <c r="Z1457" s="4">
        <v>26</v>
      </c>
      <c r="AA1457" s="4">
        <v>44</v>
      </c>
      <c r="AB1457" s="4">
        <v>1</v>
      </c>
      <c r="AC1457" s="4">
        <v>5</v>
      </c>
      <c r="AD1457" s="4">
        <v>58</v>
      </c>
      <c r="AE1457" s="4">
        <v>116</v>
      </c>
      <c r="AF1457" s="4">
        <v>0</v>
      </c>
      <c r="AG1457" s="4">
        <v>3</v>
      </c>
      <c r="AH1457" s="4">
        <v>50</v>
      </c>
      <c r="AI1457" s="4">
        <v>96</v>
      </c>
      <c r="AJ1457" s="4">
        <v>16</v>
      </c>
      <c r="AK1457" s="4">
        <v>23</v>
      </c>
      <c r="AL1457" s="4">
        <v>24</v>
      </c>
      <c r="AM1457" s="4">
        <v>48</v>
      </c>
      <c r="AN1457" s="4">
        <v>2</v>
      </c>
      <c r="AO1457" s="4">
        <v>2</v>
      </c>
      <c r="AP1457" s="4">
        <v>18</v>
      </c>
      <c r="AQ1457" s="4">
        <v>31</v>
      </c>
      <c r="AR1457" s="3" t="s">
        <v>63</v>
      </c>
      <c r="AS1457" s="3" t="s">
        <v>63</v>
      </c>
      <c r="AT1457" s="3" t="s">
        <v>62</v>
      </c>
      <c r="AU1457" s="6" t="str">
        <f>HYPERLINK("http://catalog.hathitrust.org/Record/000741484","HathiTrust Record")</f>
        <v>HathiTrust Record</v>
      </c>
      <c r="AV1457" s="6" t="str">
        <f>HYPERLINK("http://mcgill.on.worldcat.org/oclc/2913778","Catalog Record")</f>
        <v>Catalog Record</v>
      </c>
      <c r="AW1457" s="6" t="str">
        <f>HYPERLINK("http://www.worldcat.org/oclc/2913778","WorldCat Record")</f>
        <v>WorldCat Record</v>
      </c>
      <c r="AX1457" s="3" t="s">
        <v>13213</v>
      </c>
      <c r="AY1457" s="3" t="s">
        <v>13214</v>
      </c>
      <c r="AZ1457" s="3" t="s">
        <v>13215</v>
      </c>
      <c r="BA1457" s="3" t="s">
        <v>13215</v>
      </c>
      <c r="BB1457" s="3" t="s">
        <v>13222</v>
      </c>
      <c r="BC1457" s="3" t="s">
        <v>82</v>
      </c>
      <c r="BD1457" s="3" t="s">
        <v>538</v>
      </c>
      <c r="BE1457" s="3" t="s">
        <v>13217</v>
      </c>
      <c r="BF1457" s="3" t="s">
        <v>13222</v>
      </c>
      <c r="BG1457" s="3" t="s">
        <v>13223</v>
      </c>
    </row>
    <row r="1458" spans="1:59" ht="60" x14ac:dyDescent="0.25">
      <c r="A1458" s="2" t="s">
        <v>59</v>
      </c>
      <c r="B1458" s="2" t="s">
        <v>60</v>
      </c>
      <c r="C1458" s="2" t="s">
        <v>13224</v>
      </c>
      <c r="D1458" s="2" t="s">
        <v>13225</v>
      </c>
      <c r="E1458" s="2" t="s">
        <v>13226</v>
      </c>
      <c r="G1458" s="3" t="s">
        <v>63</v>
      </c>
      <c r="I1458" s="3" t="s">
        <v>63</v>
      </c>
      <c r="J1458" s="3" t="s">
        <v>63</v>
      </c>
      <c r="K1458" s="3" t="s">
        <v>64</v>
      </c>
      <c r="L1458" s="2" t="s">
        <v>13227</v>
      </c>
      <c r="M1458" s="2" t="s">
        <v>13228</v>
      </c>
      <c r="N1458" s="3" t="s">
        <v>2393</v>
      </c>
      <c r="P1458" s="3" t="s">
        <v>66</v>
      </c>
      <c r="R1458" s="3" t="s">
        <v>67</v>
      </c>
      <c r="S1458" s="4">
        <v>25</v>
      </c>
      <c r="T1458" s="4">
        <v>25</v>
      </c>
      <c r="U1458" s="5" t="s">
        <v>4050</v>
      </c>
      <c r="V1458" s="5" t="s">
        <v>4050</v>
      </c>
      <c r="W1458" s="5" t="s">
        <v>69</v>
      </c>
      <c r="X1458" s="5" t="s">
        <v>69</v>
      </c>
      <c r="Y1458" s="4">
        <v>135</v>
      </c>
      <c r="Z1458" s="4">
        <v>12</v>
      </c>
      <c r="AA1458" s="4">
        <v>13</v>
      </c>
      <c r="AB1458" s="4">
        <v>1</v>
      </c>
      <c r="AC1458" s="4">
        <v>2</v>
      </c>
      <c r="AD1458" s="4">
        <v>66</v>
      </c>
      <c r="AE1458" s="4">
        <v>67</v>
      </c>
      <c r="AF1458" s="4">
        <v>0</v>
      </c>
      <c r="AG1458" s="4">
        <v>1</v>
      </c>
      <c r="AH1458" s="4">
        <v>60</v>
      </c>
      <c r="AI1458" s="4">
        <v>61</v>
      </c>
      <c r="AJ1458" s="4">
        <v>9</v>
      </c>
      <c r="AK1458" s="4">
        <v>10</v>
      </c>
      <c r="AL1458" s="4">
        <v>38</v>
      </c>
      <c r="AM1458" s="4">
        <v>38</v>
      </c>
      <c r="AN1458" s="4">
        <v>0</v>
      </c>
      <c r="AO1458" s="4">
        <v>0</v>
      </c>
      <c r="AP1458" s="4">
        <v>10</v>
      </c>
      <c r="AQ1458" s="4">
        <v>11</v>
      </c>
      <c r="AR1458" s="3" t="s">
        <v>63</v>
      </c>
      <c r="AS1458" s="3" t="s">
        <v>63</v>
      </c>
      <c r="AT1458" s="3" t="s">
        <v>62</v>
      </c>
      <c r="AU1458" s="6" t="str">
        <f>HYPERLINK("http://catalog.hathitrust.org/Record/001224451","HathiTrust Record")</f>
        <v>HathiTrust Record</v>
      </c>
      <c r="AV1458" s="6" t="str">
        <f>HYPERLINK("http://mcgill.on.worldcat.org/oclc/1339928","Catalog Record")</f>
        <v>Catalog Record</v>
      </c>
      <c r="AW1458" s="6" t="str">
        <f>HYPERLINK("http://www.worldcat.org/oclc/1339928","WorldCat Record")</f>
        <v>WorldCat Record</v>
      </c>
      <c r="AX1458" s="3" t="s">
        <v>13229</v>
      </c>
      <c r="AY1458" s="3" t="s">
        <v>13230</v>
      </c>
      <c r="AZ1458" s="3" t="s">
        <v>13231</v>
      </c>
      <c r="BA1458" s="3" t="s">
        <v>13231</v>
      </c>
      <c r="BB1458" s="3" t="s">
        <v>13232</v>
      </c>
      <c r="BC1458" s="3" t="s">
        <v>82</v>
      </c>
      <c r="BD1458" s="3" t="s">
        <v>70</v>
      </c>
      <c r="BF1458" s="3" t="s">
        <v>13232</v>
      </c>
      <c r="BG1458" s="3" t="s">
        <v>13233</v>
      </c>
    </row>
    <row r="1459" spans="1:59" ht="60" x14ac:dyDescent="0.25">
      <c r="A1459" s="2" t="s">
        <v>59</v>
      </c>
      <c r="B1459" s="2" t="s">
        <v>60</v>
      </c>
      <c r="C1459" s="2" t="s">
        <v>13234</v>
      </c>
      <c r="D1459" s="2" t="s">
        <v>13235</v>
      </c>
      <c r="E1459" s="2" t="s">
        <v>13236</v>
      </c>
      <c r="G1459" s="3" t="s">
        <v>63</v>
      </c>
      <c r="I1459" s="3" t="s">
        <v>63</v>
      </c>
      <c r="J1459" s="3" t="s">
        <v>63</v>
      </c>
      <c r="K1459" s="3" t="s">
        <v>64</v>
      </c>
      <c r="L1459" s="2" t="s">
        <v>13237</v>
      </c>
      <c r="M1459" s="2" t="s">
        <v>13238</v>
      </c>
      <c r="N1459" s="3" t="s">
        <v>3640</v>
      </c>
      <c r="O1459" s="2" t="s">
        <v>13239</v>
      </c>
      <c r="P1459" s="3" t="s">
        <v>90</v>
      </c>
      <c r="R1459" s="3" t="s">
        <v>67</v>
      </c>
      <c r="S1459" s="4">
        <v>9</v>
      </c>
      <c r="T1459" s="4">
        <v>9</v>
      </c>
      <c r="U1459" s="5" t="s">
        <v>4050</v>
      </c>
      <c r="V1459" s="5" t="s">
        <v>4050</v>
      </c>
      <c r="W1459" s="5" t="s">
        <v>69</v>
      </c>
      <c r="X1459" s="5" t="s">
        <v>69</v>
      </c>
      <c r="Y1459" s="4">
        <v>58</v>
      </c>
      <c r="Z1459" s="4">
        <v>4</v>
      </c>
      <c r="AA1459" s="4">
        <v>5</v>
      </c>
      <c r="AB1459" s="4">
        <v>1</v>
      </c>
      <c r="AC1459" s="4">
        <v>1</v>
      </c>
      <c r="AD1459" s="4">
        <v>39</v>
      </c>
      <c r="AE1459" s="4">
        <v>40</v>
      </c>
      <c r="AF1459" s="4">
        <v>0</v>
      </c>
      <c r="AG1459" s="4">
        <v>0</v>
      </c>
      <c r="AH1459" s="4">
        <v>37</v>
      </c>
      <c r="AI1459" s="4">
        <v>38</v>
      </c>
      <c r="AJ1459" s="4">
        <v>2</v>
      </c>
      <c r="AK1459" s="4">
        <v>3</v>
      </c>
      <c r="AL1459" s="4">
        <v>32</v>
      </c>
      <c r="AM1459" s="4">
        <v>32</v>
      </c>
      <c r="AN1459" s="4">
        <v>0</v>
      </c>
      <c r="AO1459" s="4">
        <v>0</v>
      </c>
      <c r="AP1459" s="4">
        <v>2</v>
      </c>
      <c r="AQ1459" s="4">
        <v>3</v>
      </c>
      <c r="AR1459" s="3" t="s">
        <v>63</v>
      </c>
      <c r="AS1459" s="3" t="s">
        <v>63</v>
      </c>
      <c r="AT1459" s="3" t="s">
        <v>62</v>
      </c>
      <c r="AU1459" s="6" t="str">
        <f>HYPERLINK("http://catalog.hathitrust.org/Record/000193487","HathiTrust Record")</f>
        <v>HathiTrust Record</v>
      </c>
      <c r="AV1459" s="6" t="str">
        <f>HYPERLINK("http://mcgill.on.worldcat.org/oclc/10189855","Catalog Record")</f>
        <v>Catalog Record</v>
      </c>
      <c r="AW1459" s="6" t="str">
        <f>HYPERLINK("http://www.worldcat.org/oclc/10189855","WorldCat Record")</f>
        <v>WorldCat Record</v>
      </c>
      <c r="AX1459" s="3" t="s">
        <v>13240</v>
      </c>
      <c r="AY1459" s="3" t="s">
        <v>13241</v>
      </c>
      <c r="AZ1459" s="3" t="s">
        <v>13242</v>
      </c>
      <c r="BA1459" s="3" t="s">
        <v>13242</v>
      </c>
      <c r="BB1459" s="3" t="s">
        <v>13243</v>
      </c>
      <c r="BC1459" s="3" t="s">
        <v>82</v>
      </c>
      <c r="BD1459" s="3" t="s">
        <v>70</v>
      </c>
      <c r="BF1459" s="3" t="s">
        <v>13243</v>
      </c>
      <c r="BG1459" s="3" t="s">
        <v>13244</v>
      </c>
    </row>
    <row r="1460" spans="1:59" ht="60" x14ac:dyDescent="0.25">
      <c r="A1460" s="2" t="s">
        <v>59</v>
      </c>
      <c r="B1460" s="2" t="s">
        <v>60</v>
      </c>
      <c r="C1460" s="2" t="s">
        <v>13245</v>
      </c>
      <c r="D1460" s="2" t="s">
        <v>13246</v>
      </c>
      <c r="E1460" s="2" t="s">
        <v>13247</v>
      </c>
      <c r="G1460" s="3" t="s">
        <v>63</v>
      </c>
      <c r="I1460" s="3" t="s">
        <v>63</v>
      </c>
      <c r="J1460" s="3" t="s">
        <v>62</v>
      </c>
      <c r="K1460" s="3" t="s">
        <v>64</v>
      </c>
      <c r="L1460" s="2" t="s">
        <v>10982</v>
      </c>
      <c r="M1460" s="2" t="s">
        <v>13248</v>
      </c>
      <c r="N1460" s="3" t="s">
        <v>2043</v>
      </c>
      <c r="P1460" s="3" t="s">
        <v>66</v>
      </c>
      <c r="Q1460" s="2" t="s">
        <v>13249</v>
      </c>
      <c r="R1460" s="3" t="s">
        <v>67</v>
      </c>
      <c r="S1460" s="4">
        <v>36</v>
      </c>
      <c r="T1460" s="4">
        <v>36</v>
      </c>
      <c r="U1460" s="5" t="s">
        <v>12958</v>
      </c>
      <c r="V1460" s="5" t="s">
        <v>12958</v>
      </c>
      <c r="W1460" s="5" t="s">
        <v>69</v>
      </c>
      <c r="X1460" s="5" t="s">
        <v>69</v>
      </c>
      <c r="Y1460" s="4">
        <v>1260</v>
      </c>
      <c r="Z1460" s="4">
        <v>51</v>
      </c>
      <c r="AA1460" s="4">
        <v>58</v>
      </c>
      <c r="AB1460" s="4">
        <v>3</v>
      </c>
      <c r="AC1460" s="4">
        <v>7</v>
      </c>
      <c r="AD1460" s="4">
        <v>128</v>
      </c>
      <c r="AE1460" s="4">
        <v>140</v>
      </c>
      <c r="AF1460" s="4">
        <v>1</v>
      </c>
      <c r="AG1460" s="4">
        <v>4</v>
      </c>
      <c r="AH1460" s="4">
        <v>105</v>
      </c>
      <c r="AI1460" s="4">
        <v>113</v>
      </c>
      <c r="AJ1460" s="4">
        <v>21</v>
      </c>
      <c r="AK1460" s="4">
        <v>25</v>
      </c>
      <c r="AL1460" s="4">
        <v>55</v>
      </c>
      <c r="AM1460" s="4">
        <v>57</v>
      </c>
      <c r="AN1460" s="4">
        <v>0</v>
      </c>
      <c r="AO1460" s="4">
        <v>0</v>
      </c>
      <c r="AP1460" s="4">
        <v>31</v>
      </c>
      <c r="AQ1460" s="4">
        <v>36</v>
      </c>
      <c r="AR1460" s="3" t="s">
        <v>63</v>
      </c>
      <c r="AS1460" s="3" t="s">
        <v>63</v>
      </c>
      <c r="AT1460" s="3" t="s">
        <v>62</v>
      </c>
      <c r="AU1460" s="6" t="str">
        <f>HYPERLINK("http://catalog.hathitrust.org/Record/000265361","HathiTrust Record")</f>
        <v>HathiTrust Record</v>
      </c>
      <c r="AV1460" s="6" t="str">
        <f>HYPERLINK("http://mcgill.on.worldcat.org/oclc/7206343","Catalog Record")</f>
        <v>Catalog Record</v>
      </c>
      <c r="AW1460" s="6" t="str">
        <f>HYPERLINK("http://www.worldcat.org/oclc/7206343","WorldCat Record")</f>
        <v>WorldCat Record</v>
      </c>
      <c r="AX1460" s="3" t="s">
        <v>13250</v>
      </c>
      <c r="AY1460" s="3" t="s">
        <v>13251</v>
      </c>
      <c r="AZ1460" s="3" t="s">
        <v>13252</v>
      </c>
      <c r="BA1460" s="3" t="s">
        <v>13252</v>
      </c>
      <c r="BB1460" s="3" t="s">
        <v>13253</v>
      </c>
      <c r="BC1460" s="3" t="s">
        <v>82</v>
      </c>
      <c r="BD1460" s="3" t="s">
        <v>70</v>
      </c>
      <c r="BE1460" s="3" t="s">
        <v>13254</v>
      </c>
      <c r="BF1460" s="3" t="s">
        <v>13253</v>
      </c>
      <c r="BG1460" s="3" t="s">
        <v>13255</v>
      </c>
    </row>
    <row r="1461" spans="1:59" ht="60" x14ac:dyDescent="0.25">
      <c r="A1461" s="2" t="s">
        <v>59</v>
      </c>
      <c r="B1461" s="2" t="s">
        <v>60</v>
      </c>
      <c r="C1461" s="2" t="s">
        <v>13256</v>
      </c>
      <c r="D1461" s="2" t="s">
        <v>13257</v>
      </c>
      <c r="E1461" s="2" t="s">
        <v>13258</v>
      </c>
      <c r="G1461" s="3" t="s">
        <v>63</v>
      </c>
      <c r="I1461" s="3" t="s">
        <v>63</v>
      </c>
      <c r="J1461" s="3" t="s">
        <v>63</v>
      </c>
      <c r="K1461" s="3" t="s">
        <v>64</v>
      </c>
      <c r="L1461" s="2" t="s">
        <v>13259</v>
      </c>
      <c r="M1461" s="2" t="s">
        <v>13260</v>
      </c>
      <c r="N1461" s="3" t="s">
        <v>1418</v>
      </c>
      <c r="P1461" s="3" t="s">
        <v>66</v>
      </c>
      <c r="R1461" s="3" t="s">
        <v>67</v>
      </c>
      <c r="S1461" s="4">
        <v>5</v>
      </c>
      <c r="T1461" s="4">
        <v>5</v>
      </c>
      <c r="U1461" s="5" t="s">
        <v>10997</v>
      </c>
      <c r="V1461" s="5" t="s">
        <v>10997</v>
      </c>
      <c r="W1461" s="5" t="s">
        <v>69</v>
      </c>
      <c r="X1461" s="5" t="s">
        <v>69</v>
      </c>
      <c r="Y1461" s="4">
        <v>86</v>
      </c>
      <c r="Z1461" s="4">
        <v>3</v>
      </c>
      <c r="AA1461" s="4">
        <v>3</v>
      </c>
      <c r="AB1461" s="4">
        <v>1</v>
      </c>
      <c r="AC1461" s="4">
        <v>1</v>
      </c>
      <c r="AD1461" s="4">
        <v>39</v>
      </c>
      <c r="AE1461" s="4">
        <v>39</v>
      </c>
      <c r="AF1461" s="4">
        <v>0</v>
      </c>
      <c r="AG1461" s="4">
        <v>0</v>
      </c>
      <c r="AH1461" s="4">
        <v>37</v>
      </c>
      <c r="AI1461" s="4">
        <v>37</v>
      </c>
      <c r="AJ1461" s="4">
        <v>2</v>
      </c>
      <c r="AK1461" s="4">
        <v>2</v>
      </c>
      <c r="AL1461" s="4">
        <v>22</v>
      </c>
      <c r="AM1461" s="4">
        <v>22</v>
      </c>
      <c r="AN1461" s="4">
        <v>0</v>
      </c>
      <c r="AO1461" s="4">
        <v>0</v>
      </c>
      <c r="AP1461" s="4">
        <v>2</v>
      </c>
      <c r="AQ1461" s="4">
        <v>2</v>
      </c>
      <c r="AR1461" s="3" t="s">
        <v>63</v>
      </c>
      <c r="AS1461" s="3" t="s">
        <v>63</v>
      </c>
      <c r="AT1461" s="3" t="s">
        <v>63</v>
      </c>
      <c r="AV1461" s="6" t="str">
        <f>HYPERLINK("http://mcgill.on.worldcat.org/oclc/18320843","Catalog Record")</f>
        <v>Catalog Record</v>
      </c>
      <c r="AW1461" s="6" t="str">
        <f>HYPERLINK("http://www.worldcat.org/oclc/18320843","WorldCat Record")</f>
        <v>WorldCat Record</v>
      </c>
      <c r="AX1461" s="3" t="s">
        <v>13261</v>
      </c>
      <c r="AY1461" s="3" t="s">
        <v>13262</v>
      </c>
      <c r="AZ1461" s="3" t="s">
        <v>13263</v>
      </c>
      <c r="BA1461" s="3" t="s">
        <v>13263</v>
      </c>
      <c r="BB1461" s="3" t="s">
        <v>13264</v>
      </c>
      <c r="BC1461" s="3" t="s">
        <v>82</v>
      </c>
      <c r="BD1461" s="3" t="s">
        <v>70</v>
      </c>
      <c r="BE1461" s="3" t="s">
        <v>13265</v>
      </c>
      <c r="BF1461" s="3" t="s">
        <v>13264</v>
      </c>
      <c r="BG1461" s="3" t="s">
        <v>13266</v>
      </c>
    </row>
    <row r="1462" spans="1:59" ht="60" x14ac:dyDescent="0.25">
      <c r="A1462" s="2" t="s">
        <v>59</v>
      </c>
      <c r="B1462" s="2" t="s">
        <v>60</v>
      </c>
      <c r="C1462" s="2" t="s">
        <v>13267</v>
      </c>
      <c r="D1462" s="2" t="s">
        <v>13268</v>
      </c>
      <c r="E1462" s="2" t="s">
        <v>13269</v>
      </c>
      <c r="G1462" s="3" t="s">
        <v>63</v>
      </c>
      <c r="I1462" s="3" t="s">
        <v>63</v>
      </c>
      <c r="J1462" s="3" t="s">
        <v>63</v>
      </c>
      <c r="K1462" s="3" t="s">
        <v>64</v>
      </c>
      <c r="L1462" s="2" t="s">
        <v>13270</v>
      </c>
      <c r="M1462" s="2" t="s">
        <v>13271</v>
      </c>
      <c r="N1462" s="3" t="s">
        <v>10181</v>
      </c>
      <c r="P1462" s="3" t="s">
        <v>66</v>
      </c>
      <c r="R1462" s="3" t="s">
        <v>67</v>
      </c>
      <c r="S1462" s="4">
        <v>16</v>
      </c>
      <c r="T1462" s="4">
        <v>16</v>
      </c>
      <c r="U1462" s="5" t="s">
        <v>13272</v>
      </c>
      <c r="V1462" s="5" t="s">
        <v>13272</v>
      </c>
      <c r="W1462" s="5" t="s">
        <v>69</v>
      </c>
      <c r="X1462" s="5" t="s">
        <v>69</v>
      </c>
      <c r="Y1462" s="4">
        <v>135</v>
      </c>
      <c r="Z1462" s="4">
        <v>9</v>
      </c>
      <c r="AA1462" s="4">
        <v>10</v>
      </c>
      <c r="AB1462" s="4">
        <v>1</v>
      </c>
      <c r="AC1462" s="4">
        <v>1</v>
      </c>
      <c r="AD1462" s="4">
        <v>47</v>
      </c>
      <c r="AE1462" s="4">
        <v>48</v>
      </c>
      <c r="AF1462" s="4">
        <v>0</v>
      </c>
      <c r="AG1462" s="4">
        <v>0</v>
      </c>
      <c r="AH1462" s="4">
        <v>41</v>
      </c>
      <c r="AI1462" s="4">
        <v>41</v>
      </c>
      <c r="AJ1462" s="4">
        <v>8</v>
      </c>
      <c r="AK1462" s="4">
        <v>9</v>
      </c>
      <c r="AL1462" s="4">
        <v>27</v>
      </c>
      <c r="AM1462" s="4">
        <v>27</v>
      </c>
      <c r="AN1462" s="4">
        <v>0</v>
      </c>
      <c r="AO1462" s="4">
        <v>0</v>
      </c>
      <c r="AP1462" s="4">
        <v>8</v>
      </c>
      <c r="AQ1462" s="4">
        <v>9</v>
      </c>
      <c r="AR1462" s="3" t="s">
        <v>63</v>
      </c>
      <c r="AS1462" s="3" t="s">
        <v>63</v>
      </c>
      <c r="AT1462" s="3" t="s">
        <v>63</v>
      </c>
      <c r="AU1462" s="6" t="str">
        <f>HYPERLINK("http://catalog.hathitrust.org/Record/001227856","HathiTrust Record")</f>
        <v>HathiTrust Record</v>
      </c>
      <c r="AV1462" s="6" t="str">
        <f>HYPERLINK("http://mcgill.on.worldcat.org/oclc/421955","Catalog Record")</f>
        <v>Catalog Record</v>
      </c>
      <c r="AW1462" s="6" t="str">
        <f>HYPERLINK("http://www.worldcat.org/oclc/421955","WorldCat Record")</f>
        <v>WorldCat Record</v>
      </c>
      <c r="AX1462" s="3" t="s">
        <v>13273</v>
      </c>
      <c r="AY1462" s="3" t="s">
        <v>13274</v>
      </c>
      <c r="AZ1462" s="3" t="s">
        <v>13275</v>
      </c>
      <c r="BA1462" s="3" t="s">
        <v>13275</v>
      </c>
      <c r="BB1462" s="3" t="s">
        <v>13276</v>
      </c>
      <c r="BC1462" s="3" t="s">
        <v>82</v>
      </c>
      <c r="BD1462" s="3" t="s">
        <v>70</v>
      </c>
      <c r="BF1462" s="3" t="s">
        <v>13276</v>
      </c>
      <c r="BG1462" s="3" t="s">
        <v>13277</v>
      </c>
    </row>
    <row r="1463" spans="1:59" ht="60" x14ac:dyDescent="0.25">
      <c r="A1463" s="2" t="s">
        <v>59</v>
      </c>
      <c r="B1463" s="2" t="s">
        <v>60</v>
      </c>
      <c r="C1463" s="2" t="s">
        <v>13278</v>
      </c>
      <c r="D1463" s="2" t="s">
        <v>13279</v>
      </c>
      <c r="E1463" s="2" t="s">
        <v>13280</v>
      </c>
      <c r="G1463" s="3" t="s">
        <v>63</v>
      </c>
      <c r="I1463" s="3" t="s">
        <v>63</v>
      </c>
      <c r="J1463" s="3" t="s">
        <v>63</v>
      </c>
      <c r="K1463" s="3" t="s">
        <v>64</v>
      </c>
      <c r="L1463" s="2" t="s">
        <v>13281</v>
      </c>
      <c r="M1463" s="2" t="s">
        <v>7614</v>
      </c>
      <c r="N1463" s="3" t="s">
        <v>176</v>
      </c>
      <c r="P1463" s="3" t="s">
        <v>66</v>
      </c>
      <c r="Q1463" s="2" t="s">
        <v>5152</v>
      </c>
      <c r="R1463" s="3" t="s">
        <v>67</v>
      </c>
      <c r="S1463" s="4">
        <v>12</v>
      </c>
      <c r="T1463" s="4">
        <v>12</v>
      </c>
      <c r="U1463" s="5" t="s">
        <v>5434</v>
      </c>
      <c r="V1463" s="5" t="s">
        <v>5434</v>
      </c>
      <c r="W1463" s="5" t="s">
        <v>69</v>
      </c>
      <c r="X1463" s="5" t="s">
        <v>69</v>
      </c>
      <c r="Y1463" s="4">
        <v>177</v>
      </c>
      <c r="Z1463" s="4">
        <v>13</v>
      </c>
      <c r="AA1463" s="4">
        <v>13</v>
      </c>
      <c r="AB1463" s="4">
        <v>1</v>
      </c>
      <c r="AC1463" s="4">
        <v>1</v>
      </c>
      <c r="AD1463" s="4">
        <v>68</v>
      </c>
      <c r="AE1463" s="4">
        <v>68</v>
      </c>
      <c r="AF1463" s="4">
        <v>0</v>
      </c>
      <c r="AG1463" s="4">
        <v>0</v>
      </c>
      <c r="AH1463" s="4">
        <v>60</v>
      </c>
      <c r="AI1463" s="4">
        <v>60</v>
      </c>
      <c r="AJ1463" s="4">
        <v>9</v>
      </c>
      <c r="AK1463" s="4">
        <v>9</v>
      </c>
      <c r="AL1463" s="4">
        <v>41</v>
      </c>
      <c r="AM1463" s="4">
        <v>41</v>
      </c>
      <c r="AN1463" s="4">
        <v>0</v>
      </c>
      <c r="AO1463" s="4">
        <v>0</v>
      </c>
      <c r="AP1463" s="4">
        <v>11</v>
      </c>
      <c r="AQ1463" s="4">
        <v>11</v>
      </c>
      <c r="AR1463" s="3" t="s">
        <v>63</v>
      </c>
      <c r="AS1463" s="3" t="s">
        <v>63</v>
      </c>
      <c r="AT1463" s="3" t="s">
        <v>63</v>
      </c>
      <c r="AV1463" s="6" t="str">
        <f>HYPERLINK("http://mcgill.on.worldcat.org/oclc/38419162","Catalog Record")</f>
        <v>Catalog Record</v>
      </c>
      <c r="AW1463" s="6" t="str">
        <f>HYPERLINK("http://www.worldcat.org/oclc/38419162","WorldCat Record")</f>
        <v>WorldCat Record</v>
      </c>
      <c r="AX1463" s="3" t="s">
        <v>13282</v>
      </c>
      <c r="AY1463" s="3" t="s">
        <v>13283</v>
      </c>
      <c r="AZ1463" s="3" t="s">
        <v>13284</v>
      </c>
      <c r="BA1463" s="3" t="s">
        <v>13284</v>
      </c>
      <c r="BB1463" s="3" t="s">
        <v>13285</v>
      </c>
      <c r="BC1463" s="3" t="s">
        <v>82</v>
      </c>
      <c r="BD1463" s="3" t="s">
        <v>538</v>
      </c>
      <c r="BE1463" s="3" t="s">
        <v>13286</v>
      </c>
      <c r="BF1463" s="3" t="s">
        <v>13285</v>
      </c>
      <c r="BG1463" s="3" t="s">
        <v>13287</v>
      </c>
    </row>
    <row r="1464" spans="1:59" ht="60" x14ac:dyDescent="0.25">
      <c r="A1464" s="2" t="s">
        <v>59</v>
      </c>
      <c r="B1464" s="2" t="s">
        <v>60</v>
      </c>
      <c r="C1464" s="2" t="s">
        <v>13288</v>
      </c>
      <c r="D1464" s="2" t="s">
        <v>13289</v>
      </c>
      <c r="E1464" s="2" t="s">
        <v>13290</v>
      </c>
      <c r="G1464" s="3" t="s">
        <v>63</v>
      </c>
      <c r="I1464" s="3" t="s">
        <v>63</v>
      </c>
      <c r="J1464" s="3" t="s">
        <v>63</v>
      </c>
      <c r="K1464" s="3" t="s">
        <v>64</v>
      </c>
      <c r="L1464" s="2" t="s">
        <v>11007</v>
      </c>
      <c r="M1464" s="2" t="s">
        <v>13291</v>
      </c>
      <c r="N1464" s="3" t="s">
        <v>261</v>
      </c>
      <c r="P1464" s="3" t="s">
        <v>66</v>
      </c>
      <c r="R1464" s="3" t="s">
        <v>67</v>
      </c>
      <c r="S1464" s="4">
        <v>8</v>
      </c>
      <c r="T1464" s="4">
        <v>8</v>
      </c>
      <c r="U1464" s="5" t="s">
        <v>5434</v>
      </c>
      <c r="V1464" s="5" t="s">
        <v>5434</v>
      </c>
      <c r="W1464" s="5" t="s">
        <v>69</v>
      </c>
      <c r="X1464" s="5" t="s">
        <v>69</v>
      </c>
      <c r="Y1464" s="4">
        <v>474</v>
      </c>
      <c r="Z1464" s="4">
        <v>20</v>
      </c>
      <c r="AA1464" s="4">
        <v>29</v>
      </c>
      <c r="AB1464" s="4">
        <v>1</v>
      </c>
      <c r="AC1464" s="4">
        <v>5</v>
      </c>
      <c r="AD1464" s="4">
        <v>107</v>
      </c>
      <c r="AE1464" s="4">
        <v>114</v>
      </c>
      <c r="AF1464" s="4">
        <v>0</v>
      </c>
      <c r="AG1464" s="4">
        <v>2</v>
      </c>
      <c r="AH1464" s="4">
        <v>100</v>
      </c>
      <c r="AI1464" s="4">
        <v>104</v>
      </c>
      <c r="AJ1464" s="4">
        <v>13</v>
      </c>
      <c r="AK1464" s="4">
        <v>16</v>
      </c>
      <c r="AL1464" s="4">
        <v>56</v>
      </c>
      <c r="AM1464" s="4">
        <v>57</v>
      </c>
      <c r="AN1464" s="4">
        <v>0</v>
      </c>
      <c r="AO1464" s="4">
        <v>0</v>
      </c>
      <c r="AP1464" s="4">
        <v>13</v>
      </c>
      <c r="AQ1464" s="4">
        <v>17</v>
      </c>
      <c r="AR1464" s="3" t="s">
        <v>63</v>
      </c>
      <c r="AS1464" s="3" t="s">
        <v>63</v>
      </c>
      <c r="AT1464" s="3" t="s">
        <v>62</v>
      </c>
      <c r="AU1464" s="6" t="str">
        <f>HYPERLINK("http://catalog.hathitrust.org/Record/005632563","HathiTrust Record")</f>
        <v>HathiTrust Record</v>
      </c>
      <c r="AV1464" s="6" t="str">
        <f>HYPERLINK("http://mcgill.on.worldcat.org/oclc/123232367","Catalog Record")</f>
        <v>Catalog Record</v>
      </c>
      <c r="AW1464" s="6" t="str">
        <f>HYPERLINK("http://www.worldcat.org/oclc/123232367","WorldCat Record")</f>
        <v>WorldCat Record</v>
      </c>
      <c r="AX1464" s="3" t="s">
        <v>13292</v>
      </c>
      <c r="AY1464" s="3" t="s">
        <v>13293</v>
      </c>
      <c r="AZ1464" s="3" t="s">
        <v>13294</v>
      </c>
      <c r="BA1464" s="3" t="s">
        <v>13294</v>
      </c>
      <c r="BB1464" s="3" t="s">
        <v>13295</v>
      </c>
      <c r="BC1464" s="3" t="s">
        <v>82</v>
      </c>
      <c r="BD1464" s="3" t="s">
        <v>538</v>
      </c>
      <c r="BE1464" s="3" t="s">
        <v>13296</v>
      </c>
      <c r="BF1464" s="3" t="s">
        <v>13295</v>
      </c>
      <c r="BG1464" s="3" t="s">
        <v>13297</v>
      </c>
    </row>
    <row r="1465" spans="1:59" ht="60" x14ac:dyDescent="0.25">
      <c r="A1465" s="2" t="s">
        <v>59</v>
      </c>
      <c r="B1465" s="2" t="s">
        <v>60</v>
      </c>
      <c r="C1465" s="2" t="s">
        <v>13298</v>
      </c>
      <c r="D1465" s="2" t="s">
        <v>13299</v>
      </c>
      <c r="E1465" s="2" t="s">
        <v>13300</v>
      </c>
      <c r="G1465" s="3" t="s">
        <v>63</v>
      </c>
      <c r="I1465" s="3" t="s">
        <v>63</v>
      </c>
      <c r="J1465" s="3" t="s">
        <v>63</v>
      </c>
      <c r="K1465" s="3" t="s">
        <v>64</v>
      </c>
      <c r="L1465" s="2" t="s">
        <v>13301</v>
      </c>
      <c r="M1465" s="2" t="s">
        <v>13302</v>
      </c>
      <c r="N1465" s="3" t="s">
        <v>1343</v>
      </c>
      <c r="P1465" s="3" t="s">
        <v>66</v>
      </c>
      <c r="R1465" s="3" t="s">
        <v>67</v>
      </c>
      <c r="S1465" s="4">
        <v>7</v>
      </c>
      <c r="T1465" s="4">
        <v>7</v>
      </c>
      <c r="U1465" s="5" t="s">
        <v>4192</v>
      </c>
      <c r="V1465" s="5" t="s">
        <v>4192</v>
      </c>
      <c r="W1465" s="5" t="s">
        <v>69</v>
      </c>
      <c r="X1465" s="5" t="s">
        <v>69</v>
      </c>
      <c r="Y1465" s="4">
        <v>4</v>
      </c>
      <c r="Z1465" s="4">
        <v>2</v>
      </c>
      <c r="AA1465" s="4">
        <v>2</v>
      </c>
      <c r="AB1465" s="4">
        <v>2</v>
      </c>
      <c r="AC1465" s="4">
        <v>2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3" t="s">
        <v>63</v>
      </c>
      <c r="AS1465" s="3" t="s">
        <v>63</v>
      </c>
      <c r="AT1465" s="3" t="s">
        <v>63</v>
      </c>
      <c r="AV1465" s="6" t="str">
        <f>HYPERLINK("http://mcgill.on.worldcat.org/oclc/317709636","Catalog Record")</f>
        <v>Catalog Record</v>
      </c>
      <c r="AW1465" s="6" t="str">
        <f>HYPERLINK("http://www.worldcat.org/oclc/317709636","WorldCat Record")</f>
        <v>WorldCat Record</v>
      </c>
      <c r="AX1465" s="3" t="s">
        <v>13303</v>
      </c>
      <c r="AY1465" s="3" t="s">
        <v>13304</v>
      </c>
      <c r="AZ1465" s="3" t="s">
        <v>13305</v>
      </c>
      <c r="BA1465" s="3" t="s">
        <v>13305</v>
      </c>
      <c r="BB1465" s="3" t="s">
        <v>13306</v>
      </c>
      <c r="BC1465" s="3" t="s">
        <v>82</v>
      </c>
      <c r="BD1465" s="3" t="s">
        <v>70</v>
      </c>
      <c r="BE1465" s="3" t="s">
        <v>13307</v>
      </c>
      <c r="BF1465" s="3" t="s">
        <v>13306</v>
      </c>
      <c r="BG1465" s="3" t="s">
        <v>13308</v>
      </c>
    </row>
    <row r="1466" spans="1:59" ht="60" x14ac:dyDescent="0.25">
      <c r="A1466" s="2" t="s">
        <v>59</v>
      </c>
      <c r="B1466" s="2" t="s">
        <v>60</v>
      </c>
      <c r="C1466" s="2" t="s">
        <v>13309</v>
      </c>
      <c r="D1466" s="2" t="s">
        <v>13310</v>
      </c>
      <c r="E1466" s="2" t="s">
        <v>13311</v>
      </c>
      <c r="G1466" s="3" t="s">
        <v>63</v>
      </c>
      <c r="I1466" s="3" t="s">
        <v>63</v>
      </c>
      <c r="J1466" s="3" t="s">
        <v>63</v>
      </c>
      <c r="K1466" s="3" t="s">
        <v>64</v>
      </c>
      <c r="M1466" s="2" t="s">
        <v>13312</v>
      </c>
      <c r="N1466" s="3" t="s">
        <v>3640</v>
      </c>
      <c r="P1466" s="3" t="s">
        <v>66</v>
      </c>
      <c r="R1466" s="3" t="s">
        <v>67</v>
      </c>
      <c r="S1466" s="4">
        <v>37</v>
      </c>
      <c r="T1466" s="4">
        <v>37</v>
      </c>
      <c r="U1466" s="5" t="s">
        <v>10997</v>
      </c>
      <c r="V1466" s="5" t="s">
        <v>10997</v>
      </c>
      <c r="W1466" s="5" t="s">
        <v>69</v>
      </c>
      <c r="X1466" s="5" t="s">
        <v>69</v>
      </c>
      <c r="Y1466" s="4">
        <v>680</v>
      </c>
      <c r="Z1466" s="4">
        <v>34</v>
      </c>
      <c r="AA1466" s="4">
        <v>35</v>
      </c>
      <c r="AB1466" s="4">
        <v>1</v>
      </c>
      <c r="AC1466" s="4">
        <v>1</v>
      </c>
      <c r="AD1466" s="4">
        <v>126</v>
      </c>
      <c r="AE1466" s="4">
        <v>127</v>
      </c>
      <c r="AF1466" s="4">
        <v>0</v>
      </c>
      <c r="AG1466" s="4">
        <v>0</v>
      </c>
      <c r="AH1466" s="4">
        <v>109</v>
      </c>
      <c r="AI1466" s="4">
        <v>109</v>
      </c>
      <c r="AJ1466" s="4">
        <v>20</v>
      </c>
      <c r="AK1466" s="4">
        <v>20</v>
      </c>
      <c r="AL1466" s="4">
        <v>57</v>
      </c>
      <c r="AM1466" s="4">
        <v>57</v>
      </c>
      <c r="AN1466" s="4">
        <v>0</v>
      </c>
      <c r="AO1466" s="4">
        <v>0</v>
      </c>
      <c r="AP1466" s="4">
        <v>26</v>
      </c>
      <c r="AQ1466" s="4">
        <v>27</v>
      </c>
      <c r="AR1466" s="3" t="s">
        <v>63</v>
      </c>
      <c r="AS1466" s="3" t="s">
        <v>63</v>
      </c>
      <c r="AT1466" s="3" t="s">
        <v>62</v>
      </c>
      <c r="AU1466" s="6" t="str">
        <f>HYPERLINK("http://catalog.hathitrust.org/Record/000314956","HathiTrust Record")</f>
        <v>HathiTrust Record</v>
      </c>
      <c r="AV1466" s="6" t="str">
        <f>HYPERLINK("http://mcgill.on.worldcat.org/oclc/8689548","Catalog Record")</f>
        <v>Catalog Record</v>
      </c>
      <c r="AW1466" s="6" t="str">
        <f>HYPERLINK("http://www.worldcat.org/oclc/8689548","WorldCat Record")</f>
        <v>WorldCat Record</v>
      </c>
      <c r="AX1466" s="3" t="s">
        <v>13313</v>
      </c>
      <c r="AY1466" s="3" t="s">
        <v>13314</v>
      </c>
      <c r="AZ1466" s="3" t="s">
        <v>13315</v>
      </c>
      <c r="BA1466" s="3" t="s">
        <v>13315</v>
      </c>
      <c r="BB1466" s="3" t="s">
        <v>13316</v>
      </c>
      <c r="BC1466" s="3" t="s">
        <v>82</v>
      </c>
      <c r="BD1466" s="3" t="s">
        <v>70</v>
      </c>
      <c r="BE1466" s="3" t="s">
        <v>13317</v>
      </c>
      <c r="BF1466" s="3" t="s">
        <v>13316</v>
      </c>
      <c r="BG1466" s="3" t="s">
        <v>13318</v>
      </c>
    </row>
    <row r="1467" spans="1:59" ht="75" x14ac:dyDescent="0.25">
      <c r="A1467" s="2" t="s">
        <v>59</v>
      </c>
      <c r="B1467" s="2" t="s">
        <v>60</v>
      </c>
      <c r="C1467" s="2" t="s">
        <v>13319</v>
      </c>
      <c r="D1467" s="2" t="s">
        <v>13320</v>
      </c>
      <c r="E1467" s="2" t="s">
        <v>13321</v>
      </c>
      <c r="G1467" s="3" t="s">
        <v>63</v>
      </c>
      <c r="I1467" s="3" t="s">
        <v>63</v>
      </c>
      <c r="J1467" s="3" t="s">
        <v>63</v>
      </c>
      <c r="K1467" s="3" t="s">
        <v>64</v>
      </c>
      <c r="M1467" s="2" t="s">
        <v>2972</v>
      </c>
      <c r="N1467" s="3" t="s">
        <v>313</v>
      </c>
      <c r="P1467" s="3" t="s">
        <v>66</v>
      </c>
      <c r="R1467" s="3" t="s">
        <v>67</v>
      </c>
      <c r="S1467" s="4">
        <v>4</v>
      </c>
      <c r="T1467" s="4">
        <v>4</v>
      </c>
      <c r="U1467" s="5" t="s">
        <v>7521</v>
      </c>
      <c r="V1467" s="5" t="s">
        <v>7521</v>
      </c>
      <c r="W1467" s="5" t="s">
        <v>69</v>
      </c>
      <c r="X1467" s="5" t="s">
        <v>69</v>
      </c>
      <c r="Y1467" s="4">
        <v>231</v>
      </c>
      <c r="Z1467" s="4">
        <v>16</v>
      </c>
      <c r="AA1467" s="4">
        <v>16</v>
      </c>
      <c r="AB1467" s="4">
        <v>1</v>
      </c>
      <c r="AC1467" s="4">
        <v>1</v>
      </c>
      <c r="AD1467" s="4">
        <v>71</v>
      </c>
      <c r="AE1467" s="4">
        <v>73</v>
      </c>
      <c r="AF1467" s="4">
        <v>0</v>
      </c>
      <c r="AG1467" s="4">
        <v>0</v>
      </c>
      <c r="AH1467" s="4">
        <v>67</v>
      </c>
      <c r="AI1467" s="4">
        <v>69</v>
      </c>
      <c r="AJ1467" s="4">
        <v>11</v>
      </c>
      <c r="AK1467" s="4">
        <v>11</v>
      </c>
      <c r="AL1467" s="4">
        <v>43</v>
      </c>
      <c r="AM1467" s="4">
        <v>44</v>
      </c>
      <c r="AN1467" s="4">
        <v>0</v>
      </c>
      <c r="AO1467" s="4">
        <v>0</v>
      </c>
      <c r="AP1467" s="4">
        <v>11</v>
      </c>
      <c r="AQ1467" s="4">
        <v>11</v>
      </c>
      <c r="AR1467" s="3" t="s">
        <v>63</v>
      </c>
      <c r="AS1467" s="3" t="s">
        <v>63</v>
      </c>
      <c r="AT1467" s="3" t="s">
        <v>62</v>
      </c>
      <c r="AU1467" s="6" t="str">
        <f>HYPERLINK("http://catalog.hathitrust.org/Record/009262971","HathiTrust Record")</f>
        <v>HathiTrust Record</v>
      </c>
      <c r="AV1467" s="6" t="str">
        <f>HYPERLINK("http://mcgill.on.worldcat.org/oclc/615339539","Catalog Record")</f>
        <v>Catalog Record</v>
      </c>
      <c r="AW1467" s="6" t="str">
        <f>HYPERLINK("http://www.worldcat.org/oclc/615339539","WorldCat Record")</f>
        <v>WorldCat Record</v>
      </c>
      <c r="AX1467" s="3" t="s">
        <v>13322</v>
      </c>
      <c r="AY1467" s="3" t="s">
        <v>13323</v>
      </c>
      <c r="AZ1467" s="3" t="s">
        <v>13324</v>
      </c>
      <c r="BA1467" s="3" t="s">
        <v>13324</v>
      </c>
      <c r="BB1467" s="3" t="s">
        <v>13325</v>
      </c>
      <c r="BC1467" s="3" t="s">
        <v>82</v>
      </c>
      <c r="BD1467" s="3" t="s">
        <v>538</v>
      </c>
      <c r="BE1467" s="3" t="s">
        <v>13326</v>
      </c>
      <c r="BF1467" s="3" t="s">
        <v>13325</v>
      </c>
      <c r="BG1467" s="3" t="s">
        <v>13327</v>
      </c>
    </row>
    <row r="1468" spans="1:59" ht="60" x14ac:dyDescent="0.25">
      <c r="A1468" s="2" t="s">
        <v>59</v>
      </c>
      <c r="B1468" s="2" t="s">
        <v>60</v>
      </c>
      <c r="C1468" s="2" t="s">
        <v>13328</v>
      </c>
      <c r="D1468" s="2" t="s">
        <v>13329</v>
      </c>
      <c r="E1468" s="2" t="s">
        <v>13330</v>
      </c>
      <c r="G1468" s="3" t="s">
        <v>63</v>
      </c>
      <c r="I1468" s="3" t="s">
        <v>63</v>
      </c>
      <c r="J1468" s="3" t="s">
        <v>63</v>
      </c>
      <c r="K1468" s="3" t="s">
        <v>64</v>
      </c>
      <c r="L1468" s="2" t="s">
        <v>13331</v>
      </c>
      <c r="M1468" s="2" t="s">
        <v>13332</v>
      </c>
      <c r="N1468" s="3" t="s">
        <v>826</v>
      </c>
      <c r="P1468" s="3" t="s">
        <v>66</v>
      </c>
      <c r="Q1468" s="2" t="s">
        <v>13333</v>
      </c>
      <c r="R1468" s="3" t="s">
        <v>67</v>
      </c>
      <c r="S1468" s="4">
        <v>4</v>
      </c>
      <c r="T1468" s="4">
        <v>4</v>
      </c>
      <c r="U1468" s="5" t="s">
        <v>10861</v>
      </c>
      <c r="V1468" s="5" t="s">
        <v>10861</v>
      </c>
      <c r="W1468" s="5" t="s">
        <v>69</v>
      </c>
      <c r="X1468" s="5" t="s">
        <v>69</v>
      </c>
      <c r="Y1468" s="4">
        <v>988</v>
      </c>
      <c r="Z1468" s="4">
        <v>52</v>
      </c>
      <c r="AA1468" s="4">
        <v>58</v>
      </c>
      <c r="AB1468" s="4">
        <v>3</v>
      </c>
      <c r="AC1468" s="4">
        <v>5</v>
      </c>
      <c r="AD1468" s="4">
        <v>131</v>
      </c>
      <c r="AE1468" s="4">
        <v>140</v>
      </c>
      <c r="AF1468" s="4">
        <v>1</v>
      </c>
      <c r="AG1468" s="4">
        <v>3</v>
      </c>
      <c r="AH1468" s="4">
        <v>102</v>
      </c>
      <c r="AI1468" s="4">
        <v>106</v>
      </c>
      <c r="AJ1468" s="4">
        <v>21</v>
      </c>
      <c r="AK1468" s="4">
        <v>24</v>
      </c>
      <c r="AL1468" s="4">
        <v>55</v>
      </c>
      <c r="AM1468" s="4">
        <v>57</v>
      </c>
      <c r="AN1468" s="4">
        <v>0</v>
      </c>
      <c r="AO1468" s="4">
        <v>0</v>
      </c>
      <c r="AP1468" s="4">
        <v>36</v>
      </c>
      <c r="AQ1468" s="4">
        <v>40</v>
      </c>
      <c r="AR1468" s="3" t="s">
        <v>63</v>
      </c>
      <c r="AS1468" s="3" t="s">
        <v>63</v>
      </c>
      <c r="AT1468" s="3" t="s">
        <v>62</v>
      </c>
      <c r="AU1468" s="6" t="str">
        <f>HYPERLINK("http://catalog.hathitrust.org/Record/000980811","HathiTrust Record")</f>
        <v>HathiTrust Record</v>
      </c>
      <c r="AV1468" s="6" t="str">
        <f>HYPERLINK("http://mcgill.on.worldcat.org/oclc/126716","Catalog Record")</f>
        <v>Catalog Record</v>
      </c>
      <c r="AW1468" s="6" t="str">
        <f>HYPERLINK("http://www.worldcat.org/oclc/126716","WorldCat Record")</f>
        <v>WorldCat Record</v>
      </c>
      <c r="AX1468" s="3" t="s">
        <v>13334</v>
      </c>
      <c r="AY1468" s="3" t="s">
        <v>13335</v>
      </c>
      <c r="AZ1468" s="3" t="s">
        <v>13336</v>
      </c>
      <c r="BA1468" s="3" t="s">
        <v>13336</v>
      </c>
      <c r="BB1468" s="3" t="s">
        <v>13337</v>
      </c>
      <c r="BC1468" s="3" t="s">
        <v>82</v>
      </c>
      <c r="BD1468" s="3" t="s">
        <v>70</v>
      </c>
      <c r="BE1468" s="3" t="s">
        <v>13338</v>
      </c>
      <c r="BF1468" s="3" t="s">
        <v>13337</v>
      </c>
      <c r="BG1468" s="3" t="s">
        <v>13339</v>
      </c>
    </row>
    <row r="1469" spans="1:59" ht="60" x14ac:dyDescent="0.25">
      <c r="A1469" s="2" t="s">
        <v>59</v>
      </c>
      <c r="B1469" s="2" t="s">
        <v>60</v>
      </c>
      <c r="C1469" s="2" t="s">
        <v>13340</v>
      </c>
      <c r="D1469" s="2" t="s">
        <v>13341</v>
      </c>
      <c r="E1469" s="2" t="s">
        <v>13342</v>
      </c>
      <c r="G1469" s="3" t="s">
        <v>63</v>
      </c>
      <c r="I1469" s="3" t="s">
        <v>63</v>
      </c>
      <c r="J1469" s="3" t="s">
        <v>63</v>
      </c>
      <c r="K1469" s="3" t="s">
        <v>64</v>
      </c>
      <c r="L1469" s="2" t="s">
        <v>13343</v>
      </c>
      <c r="M1469" s="2" t="s">
        <v>13344</v>
      </c>
      <c r="N1469" s="3" t="s">
        <v>130</v>
      </c>
      <c r="P1469" s="3" t="s">
        <v>90</v>
      </c>
      <c r="Q1469" s="2" t="s">
        <v>3379</v>
      </c>
      <c r="R1469" s="3" t="s">
        <v>67</v>
      </c>
      <c r="S1469" s="4">
        <v>0</v>
      </c>
      <c r="T1469" s="4">
        <v>0</v>
      </c>
      <c r="W1469" s="5" t="s">
        <v>69</v>
      </c>
      <c r="X1469" s="5" t="s">
        <v>69</v>
      </c>
      <c r="Y1469" s="4">
        <v>53</v>
      </c>
      <c r="Z1469" s="4">
        <v>5</v>
      </c>
      <c r="AA1469" s="4">
        <v>5</v>
      </c>
      <c r="AB1469" s="4">
        <v>1</v>
      </c>
      <c r="AC1469" s="4">
        <v>1</v>
      </c>
      <c r="AD1469" s="4">
        <v>39</v>
      </c>
      <c r="AE1469" s="4">
        <v>39</v>
      </c>
      <c r="AF1469" s="4">
        <v>0</v>
      </c>
      <c r="AG1469" s="4">
        <v>0</v>
      </c>
      <c r="AH1469" s="4">
        <v>38</v>
      </c>
      <c r="AI1469" s="4">
        <v>38</v>
      </c>
      <c r="AJ1469" s="4">
        <v>3</v>
      </c>
      <c r="AK1469" s="4">
        <v>3</v>
      </c>
      <c r="AL1469" s="4">
        <v>29</v>
      </c>
      <c r="AM1469" s="4">
        <v>29</v>
      </c>
      <c r="AN1469" s="4">
        <v>0</v>
      </c>
      <c r="AO1469" s="4">
        <v>0</v>
      </c>
      <c r="AP1469" s="4">
        <v>3</v>
      </c>
      <c r="AQ1469" s="4">
        <v>3</v>
      </c>
      <c r="AR1469" s="3" t="s">
        <v>63</v>
      </c>
      <c r="AS1469" s="3" t="s">
        <v>63</v>
      </c>
      <c r="AT1469" s="3" t="s">
        <v>63</v>
      </c>
      <c r="AV1469" s="6" t="str">
        <f>HYPERLINK("http://mcgill.on.worldcat.org/oclc/852786081","Catalog Record")</f>
        <v>Catalog Record</v>
      </c>
      <c r="AW1469" s="6" t="str">
        <f>HYPERLINK("http://www.worldcat.org/oclc/852786081","WorldCat Record")</f>
        <v>WorldCat Record</v>
      </c>
      <c r="AX1469" s="3" t="s">
        <v>13345</v>
      </c>
      <c r="AY1469" s="3" t="s">
        <v>13346</v>
      </c>
      <c r="AZ1469" s="3" t="s">
        <v>13347</v>
      </c>
      <c r="BA1469" s="3" t="s">
        <v>13347</v>
      </c>
      <c r="BB1469" s="3" t="s">
        <v>13348</v>
      </c>
      <c r="BC1469" s="3" t="s">
        <v>82</v>
      </c>
      <c r="BD1469" s="3" t="s">
        <v>70</v>
      </c>
      <c r="BE1469" s="3" t="s">
        <v>13349</v>
      </c>
      <c r="BF1469" s="3" t="s">
        <v>13348</v>
      </c>
      <c r="BG1469" s="3" t="s">
        <v>13350</v>
      </c>
    </row>
    <row r="1470" spans="1:59" ht="60" x14ac:dyDescent="0.25">
      <c r="A1470" s="2" t="s">
        <v>59</v>
      </c>
      <c r="B1470" s="2" t="s">
        <v>60</v>
      </c>
      <c r="C1470" s="2" t="s">
        <v>13351</v>
      </c>
      <c r="D1470" s="2" t="s">
        <v>13352</v>
      </c>
      <c r="E1470" s="2" t="s">
        <v>13353</v>
      </c>
      <c r="G1470" s="3" t="s">
        <v>63</v>
      </c>
      <c r="I1470" s="3" t="s">
        <v>62</v>
      </c>
      <c r="J1470" s="3" t="s">
        <v>63</v>
      </c>
      <c r="K1470" s="3" t="s">
        <v>64</v>
      </c>
      <c r="L1470" s="2" t="s">
        <v>4294</v>
      </c>
      <c r="M1470" s="2" t="s">
        <v>7029</v>
      </c>
      <c r="N1470" s="3" t="s">
        <v>1296</v>
      </c>
      <c r="P1470" s="3" t="s">
        <v>66</v>
      </c>
      <c r="Q1470" s="2" t="s">
        <v>13354</v>
      </c>
      <c r="R1470" s="3" t="s">
        <v>67</v>
      </c>
      <c r="S1470" s="4">
        <v>20</v>
      </c>
      <c r="T1470" s="4">
        <v>33</v>
      </c>
      <c r="U1470" s="5" t="s">
        <v>13355</v>
      </c>
      <c r="V1470" s="5" t="s">
        <v>13356</v>
      </c>
      <c r="W1470" s="5" t="s">
        <v>69</v>
      </c>
      <c r="X1470" s="5" t="s">
        <v>69</v>
      </c>
      <c r="Y1470" s="4">
        <v>370</v>
      </c>
      <c r="Z1470" s="4">
        <v>26</v>
      </c>
      <c r="AA1470" s="4">
        <v>26</v>
      </c>
      <c r="AB1470" s="4">
        <v>2</v>
      </c>
      <c r="AC1470" s="4">
        <v>2</v>
      </c>
      <c r="AD1470" s="4">
        <v>116</v>
      </c>
      <c r="AE1470" s="4">
        <v>116</v>
      </c>
      <c r="AF1470" s="4">
        <v>1</v>
      </c>
      <c r="AG1470" s="4">
        <v>1</v>
      </c>
      <c r="AH1470" s="4">
        <v>100</v>
      </c>
      <c r="AI1470" s="4">
        <v>100</v>
      </c>
      <c r="AJ1470" s="4">
        <v>21</v>
      </c>
      <c r="AK1470" s="4">
        <v>21</v>
      </c>
      <c r="AL1470" s="4">
        <v>59</v>
      </c>
      <c r="AM1470" s="4">
        <v>59</v>
      </c>
      <c r="AN1470" s="4">
        <v>0</v>
      </c>
      <c r="AO1470" s="4">
        <v>0</v>
      </c>
      <c r="AP1470" s="4">
        <v>22</v>
      </c>
      <c r="AQ1470" s="4">
        <v>22</v>
      </c>
      <c r="AR1470" s="3" t="s">
        <v>63</v>
      </c>
      <c r="AS1470" s="3" t="s">
        <v>63</v>
      </c>
      <c r="AT1470" s="3" t="s">
        <v>62</v>
      </c>
      <c r="AU1470" s="6" t="str">
        <f>HYPERLINK("http://catalog.hathitrust.org/Record/001224487","HathiTrust Record")</f>
        <v>HathiTrust Record</v>
      </c>
      <c r="AV1470" s="6" t="str">
        <f>HYPERLINK("http://mcgill.on.worldcat.org/oclc/63380","Catalog Record")</f>
        <v>Catalog Record</v>
      </c>
      <c r="AW1470" s="6" t="str">
        <f>HYPERLINK("http://www.worldcat.org/oclc/63380","WorldCat Record")</f>
        <v>WorldCat Record</v>
      </c>
      <c r="AX1470" s="3" t="s">
        <v>13357</v>
      </c>
      <c r="AY1470" s="3" t="s">
        <v>13358</v>
      </c>
      <c r="AZ1470" s="3" t="s">
        <v>13359</v>
      </c>
      <c r="BA1470" s="3" t="s">
        <v>13359</v>
      </c>
      <c r="BB1470" s="3" t="s">
        <v>13360</v>
      </c>
      <c r="BC1470" s="3" t="s">
        <v>82</v>
      </c>
      <c r="BD1470" s="3" t="s">
        <v>70</v>
      </c>
      <c r="BF1470" s="3" t="s">
        <v>13360</v>
      </c>
      <c r="BG1470" s="3" t="s">
        <v>13361</v>
      </c>
    </row>
    <row r="1471" spans="1:59" ht="60" x14ac:dyDescent="0.25">
      <c r="A1471" s="2" t="s">
        <v>59</v>
      </c>
      <c r="B1471" s="2" t="s">
        <v>60</v>
      </c>
      <c r="C1471" s="2" t="s">
        <v>13351</v>
      </c>
      <c r="D1471" s="2" t="s">
        <v>13352</v>
      </c>
      <c r="E1471" s="2" t="s">
        <v>13353</v>
      </c>
      <c r="G1471" s="3" t="s">
        <v>63</v>
      </c>
      <c r="I1471" s="3" t="s">
        <v>62</v>
      </c>
      <c r="J1471" s="3" t="s">
        <v>63</v>
      </c>
      <c r="K1471" s="3" t="s">
        <v>64</v>
      </c>
      <c r="L1471" s="2" t="s">
        <v>4294</v>
      </c>
      <c r="M1471" s="2" t="s">
        <v>7029</v>
      </c>
      <c r="N1471" s="3" t="s">
        <v>1296</v>
      </c>
      <c r="P1471" s="3" t="s">
        <v>66</v>
      </c>
      <c r="Q1471" s="2" t="s">
        <v>13354</v>
      </c>
      <c r="R1471" s="3" t="s">
        <v>67</v>
      </c>
      <c r="S1471" s="4">
        <v>13</v>
      </c>
      <c r="T1471" s="4">
        <v>33</v>
      </c>
      <c r="U1471" s="5" t="s">
        <v>13356</v>
      </c>
      <c r="V1471" s="5" t="s">
        <v>13356</v>
      </c>
      <c r="W1471" s="5" t="s">
        <v>69</v>
      </c>
      <c r="X1471" s="5" t="s">
        <v>69</v>
      </c>
      <c r="Y1471" s="4">
        <v>370</v>
      </c>
      <c r="Z1471" s="4">
        <v>26</v>
      </c>
      <c r="AA1471" s="4">
        <v>26</v>
      </c>
      <c r="AB1471" s="4">
        <v>2</v>
      </c>
      <c r="AC1471" s="4">
        <v>2</v>
      </c>
      <c r="AD1471" s="4">
        <v>116</v>
      </c>
      <c r="AE1471" s="4">
        <v>116</v>
      </c>
      <c r="AF1471" s="4">
        <v>1</v>
      </c>
      <c r="AG1471" s="4">
        <v>1</v>
      </c>
      <c r="AH1471" s="4">
        <v>100</v>
      </c>
      <c r="AI1471" s="4">
        <v>100</v>
      </c>
      <c r="AJ1471" s="4">
        <v>21</v>
      </c>
      <c r="AK1471" s="4">
        <v>21</v>
      </c>
      <c r="AL1471" s="4">
        <v>59</v>
      </c>
      <c r="AM1471" s="4">
        <v>59</v>
      </c>
      <c r="AN1471" s="4">
        <v>0</v>
      </c>
      <c r="AO1471" s="4">
        <v>0</v>
      </c>
      <c r="AP1471" s="4">
        <v>22</v>
      </c>
      <c r="AQ1471" s="4">
        <v>22</v>
      </c>
      <c r="AR1471" s="3" t="s">
        <v>63</v>
      </c>
      <c r="AS1471" s="3" t="s">
        <v>63</v>
      </c>
      <c r="AT1471" s="3" t="s">
        <v>62</v>
      </c>
      <c r="AU1471" s="6" t="str">
        <f>HYPERLINK("http://catalog.hathitrust.org/Record/001224487","HathiTrust Record")</f>
        <v>HathiTrust Record</v>
      </c>
      <c r="AV1471" s="6" t="str">
        <f>HYPERLINK("http://mcgill.on.worldcat.org/oclc/63380","Catalog Record")</f>
        <v>Catalog Record</v>
      </c>
      <c r="AW1471" s="6" t="str">
        <f>HYPERLINK("http://www.worldcat.org/oclc/63380","WorldCat Record")</f>
        <v>WorldCat Record</v>
      </c>
      <c r="AX1471" s="3" t="s">
        <v>13357</v>
      </c>
      <c r="AY1471" s="3" t="s">
        <v>13358</v>
      </c>
      <c r="AZ1471" s="3" t="s">
        <v>13359</v>
      </c>
      <c r="BA1471" s="3" t="s">
        <v>13359</v>
      </c>
      <c r="BB1471" s="3" t="s">
        <v>13362</v>
      </c>
      <c r="BC1471" s="3" t="s">
        <v>82</v>
      </c>
      <c r="BD1471" s="3" t="s">
        <v>70</v>
      </c>
      <c r="BF1471" s="3" t="s">
        <v>13362</v>
      </c>
      <c r="BG1471" s="3" t="s">
        <v>13363</v>
      </c>
    </row>
    <row r="1472" spans="1:59" ht="60" x14ac:dyDescent="0.25">
      <c r="A1472" s="2" t="s">
        <v>59</v>
      </c>
      <c r="B1472" s="2" t="s">
        <v>60</v>
      </c>
      <c r="C1472" s="2" t="s">
        <v>13364</v>
      </c>
      <c r="D1472" s="2" t="s">
        <v>13365</v>
      </c>
      <c r="E1472" s="2" t="s">
        <v>13366</v>
      </c>
      <c r="G1472" s="3" t="s">
        <v>63</v>
      </c>
      <c r="I1472" s="3" t="s">
        <v>62</v>
      </c>
      <c r="J1472" s="3" t="s">
        <v>63</v>
      </c>
      <c r="K1472" s="3" t="s">
        <v>64</v>
      </c>
      <c r="L1472" s="2" t="s">
        <v>13367</v>
      </c>
      <c r="M1472" s="2" t="s">
        <v>13368</v>
      </c>
      <c r="N1472" s="3" t="s">
        <v>300</v>
      </c>
      <c r="P1472" s="3" t="s">
        <v>66</v>
      </c>
      <c r="R1472" s="3" t="s">
        <v>67</v>
      </c>
      <c r="S1472" s="4">
        <v>15</v>
      </c>
      <c r="T1472" s="4">
        <v>90</v>
      </c>
      <c r="U1472" s="5" t="s">
        <v>6344</v>
      </c>
      <c r="V1472" s="5" t="s">
        <v>5434</v>
      </c>
      <c r="W1472" s="5" t="s">
        <v>69</v>
      </c>
      <c r="X1472" s="5" t="s">
        <v>69</v>
      </c>
      <c r="Y1472" s="4">
        <v>1262</v>
      </c>
      <c r="Z1472" s="4">
        <v>43</v>
      </c>
      <c r="AA1472" s="4">
        <v>49</v>
      </c>
      <c r="AB1472" s="4">
        <v>2</v>
      </c>
      <c r="AC1472" s="4">
        <v>5</v>
      </c>
      <c r="AD1472" s="4">
        <v>129</v>
      </c>
      <c r="AE1472" s="4">
        <v>135</v>
      </c>
      <c r="AF1472" s="4">
        <v>0</v>
      </c>
      <c r="AG1472" s="4">
        <v>3</v>
      </c>
      <c r="AH1472" s="4">
        <v>107</v>
      </c>
      <c r="AI1472" s="4">
        <v>109</v>
      </c>
      <c r="AJ1472" s="4">
        <v>17</v>
      </c>
      <c r="AK1472" s="4">
        <v>22</v>
      </c>
      <c r="AL1472" s="4">
        <v>59</v>
      </c>
      <c r="AM1472" s="4">
        <v>59</v>
      </c>
      <c r="AN1472" s="4">
        <v>0</v>
      </c>
      <c r="AO1472" s="4">
        <v>0</v>
      </c>
      <c r="AP1472" s="4">
        <v>27</v>
      </c>
      <c r="AQ1472" s="4">
        <v>31</v>
      </c>
      <c r="AR1472" s="3" t="s">
        <v>63</v>
      </c>
      <c r="AS1472" s="3" t="s">
        <v>63</v>
      </c>
      <c r="AT1472" s="3" t="s">
        <v>62</v>
      </c>
      <c r="AU1472" s="6" t="str">
        <f>HYPERLINK("http://catalog.hathitrust.org/Record/001224491","HathiTrust Record")</f>
        <v>HathiTrust Record</v>
      </c>
      <c r="AV1472" s="6" t="str">
        <f>HYPERLINK("http://mcgill.on.worldcat.org/oclc/1175474","Catalog Record")</f>
        <v>Catalog Record</v>
      </c>
      <c r="AW1472" s="6" t="str">
        <f>HYPERLINK("http://www.worldcat.org/oclc/1175474","WorldCat Record")</f>
        <v>WorldCat Record</v>
      </c>
      <c r="AX1472" s="3" t="s">
        <v>13369</v>
      </c>
      <c r="AY1472" s="3" t="s">
        <v>13370</v>
      </c>
      <c r="AZ1472" s="3" t="s">
        <v>13371</v>
      </c>
      <c r="BA1472" s="3" t="s">
        <v>13371</v>
      </c>
      <c r="BB1472" s="3" t="s">
        <v>13372</v>
      </c>
      <c r="BC1472" s="3" t="s">
        <v>82</v>
      </c>
      <c r="BD1472" s="3" t="s">
        <v>70</v>
      </c>
      <c r="BF1472" s="3" t="s">
        <v>13372</v>
      </c>
      <c r="BG1472" s="3" t="s">
        <v>13373</v>
      </c>
    </row>
    <row r="1473" spans="1:59" ht="60" x14ac:dyDescent="0.25">
      <c r="A1473" s="2" t="s">
        <v>59</v>
      </c>
      <c r="B1473" s="2" t="s">
        <v>60</v>
      </c>
      <c r="C1473" s="2" t="s">
        <v>13364</v>
      </c>
      <c r="D1473" s="2" t="s">
        <v>13365</v>
      </c>
      <c r="E1473" s="2" t="s">
        <v>13366</v>
      </c>
      <c r="G1473" s="3" t="s">
        <v>63</v>
      </c>
      <c r="I1473" s="3" t="s">
        <v>62</v>
      </c>
      <c r="J1473" s="3" t="s">
        <v>63</v>
      </c>
      <c r="K1473" s="3" t="s">
        <v>64</v>
      </c>
      <c r="L1473" s="2" t="s">
        <v>13367</v>
      </c>
      <c r="M1473" s="2" t="s">
        <v>13368</v>
      </c>
      <c r="N1473" s="3" t="s">
        <v>300</v>
      </c>
      <c r="P1473" s="3" t="s">
        <v>66</v>
      </c>
      <c r="R1473" s="3" t="s">
        <v>67</v>
      </c>
      <c r="S1473" s="4">
        <v>24</v>
      </c>
      <c r="T1473" s="4">
        <v>90</v>
      </c>
      <c r="U1473" s="5" t="s">
        <v>12617</v>
      </c>
      <c r="V1473" s="5" t="s">
        <v>5434</v>
      </c>
      <c r="W1473" s="5" t="s">
        <v>69</v>
      </c>
      <c r="X1473" s="5" t="s">
        <v>69</v>
      </c>
      <c r="Y1473" s="4">
        <v>1262</v>
      </c>
      <c r="Z1473" s="4">
        <v>43</v>
      </c>
      <c r="AA1473" s="4">
        <v>49</v>
      </c>
      <c r="AB1473" s="4">
        <v>2</v>
      </c>
      <c r="AC1473" s="4">
        <v>5</v>
      </c>
      <c r="AD1473" s="4">
        <v>129</v>
      </c>
      <c r="AE1473" s="4">
        <v>135</v>
      </c>
      <c r="AF1473" s="4">
        <v>0</v>
      </c>
      <c r="AG1473" s="4">
        <v>3</v>
      </c>
      <c r="AH1473" s="4">
        <v>107</v>
      </c>
      <c r="AI1473" s="4">
        <v>109</v>
      </c>
      <c r="AJ1473" s="4">
        <v>17</v>
      </c>
      <c r="AK1473" s="4">
        <v>22</v>
      </c>
      <c r="AL1473" s="4">
        <v>59</v>
      </c>
      <c r="AM1473" s="4">
        <v>59</v>
      </c>
      <c r="AN1473" s="4">
        <v>0</v>
      </c>
      <c r="AO1473" s="4">
        <v>0</v>
      </c>
      <c r="AP1473" s="4">
        <v>27</v>
      </c>
      <c r="AQ1473" s="4">
        <v>31</v>
      </c>
      <c r="AR1473" s="3" t="s">
        <v>63</v>
      </c>
      <c r="AS1473" s="3" t="s">
        <v>63</v>
      </c>
      <c r="AT1473" s="3" t="s">
        <v>62</v>
      </c>
      <c r="AU1473" s="6" t="str">
        <f>HYPERLINK("http://catalog.hathitrust.org/Record/001224491","HathiTrust Record")</f>
        <v>HathiTrust Record</v>
      </c>
      <c r="AV1473" s="6" t="str">
        <f>HYPERLINK("http://mcgill.on.worldcat.org/oclc/1175474","Catalog Record")</f>
        <v>Catalog Record</v>
      </c>
      <c r="AW1473" s="6" t="str">
        <f>HYPERLINK("http://www.worldcat.org/oclc/1175474","WorldCat Record")</f>
        <v>WorldCat Record</v>
      </c>
      <c r="AX1473" s="3" t="s">
        <v>13369</v>
      </c>
      <c r="AY1473" s="3" t="s">
        <v>13370</v>
      </c>
      <c r="AZ1473" s="3" t="s">
        <v>13371</v>
      </c>
      <c r="BA1473" s="3" t="s">
        <v>13371</v>
      </c>
      <c r="BB1473" s="3" t="s">
        <v>13374</v>
      </c>
      <c r="BC1473" s="3" t="s">
        <v>82</v>
      </c>
      <c r="BD1473" s="3" t="s">
        <v>70</v>
      </c>
      <c r="BF1473" s="3" t="s">
        <v>13374</v>
      </c>
      <c r="BG1473" s="3" t="s">
        <v>13375</v>
      </c>
    </row>
    <row r="1474" spans="1:59" ht="60" x14ac:dyDescent="0.25">
      <c r="A1474" s="2" t="s">
        <v>59</v>
      </c>
      <c r="B1474" s="2" t="s">
        <v>60</v>
      </c>
      <c r="C1474" s="2" t="s">
        <v>13364</v>
      </c>
      <c r="D1474" s="2" t="s">
        <v>13365</v>
      </c>
      <c r="E1474" s="2" t="s">
        <v>13366</v>
      </c>
      <c r="G1474" s="3" t="s">
        <v>63</v>
      </c>
      <c r="I1474" s="3" t="s">
        <v>62</v>
      </c>
      <c r="J1474" s="3" t="s">
        <v>63</v>
      </c>
      <c r="K1474" s="3" t="s">
        <v>64</v>
      </c>
      <c r="L1474" s="2" t="s">
        <v>13367</v>
      </c>
      <c r="M1474" s="2" t="s">
        <v>13368</v>
      </c>
      <c r="N1474" s="3" t="s">
        <v>300</v>
      </c>
      <c r="P1474" s="3" t="s">
        <v>66</v>
      </c>
      <c r="R1474" s="3" t="s">
        <v>67</v>
      </c>
      <c r="S1474" s="4">
        <v>15</v>
      </c>
      <c r="T1474" s="4">
        <v>90</v>
      </c>
      <c r="U1474" s="5" t="s">
        <v>13376</v>
      </c>
      <c r="V1474" s="5" t="s">
        <v>5434</v>
      </c>
      <c r="W1474" s="5" t="s">
        <v>69</v>
      </c>
      <c r="X1474" s="5" t="s">
        <v>69</v>
      </c>
      <c r="Y1474" s="4">
        <v>1262</v>
      </c>
      <c r="Z1474" s="4">
        <v>43</v>
      </c>
      <c r="AA1474" s="4">
        <v>49</v>
      </c>
      <c r="AB1474" s="4">
        <v>2</v>
      </c>
      <c r="AC1474" s="4">
        <v>5</v>
      </c>
      <c r="AD1474" s="4">
        <v>129</v>
      </c>
      <c r="AE1474" s="4">
        <v>135</v>
      </c>
      <c r="AF1474" s="4">
        <v>0</v>
      </c>
      <c r="AG1474" s="4">
        <v>3</v>
      </c>
      <c r="AH1474" s="4">
        <v>107</v>
      </c>
      <c r="AI1474" s="4">
        <v>109</v>
      </c>
      <c r="AJ1474" s="4">
        <v>17</v>
      </c>
      <c r="AK1474" s="4">
        <v>22</v>
      </c>
      <c r="AL1474" s="4">
        <v>59</v>
      </c>
      <c r="AM1474" s="4">
        <v>59</v>
      </c>
      <c r="AN1474" s="4">
        <v>0</v>
      </c>
      <c r="AO1474" s="4">
        <v>0</v>
      </c>
      <c r="AP1474" s="4">
        <v>27</v>
      </c>
      <c r="AQ1474" s="4">
        <v>31</v>
      </c>
      <c r="AR1474" s="3" t="s">
        <v>63</v>
      </c>
      <c r="AS1474" s="3" t="s">
        <v>63</v>
      </c>
      <c r="AT1474" s="3" t="s">
        <v>62</v>
      </c>
      <c r="AU1474" s="6" t="str">
        <f>HYPERLINK("http://catalog.hathitrust.org/Record/001224491","HathiTrust Record")</f>
        <v>HathiTrust Record</v>
      </c>
      <c r="AV1474" s="6" t="str">
        <f>HYPERLINK("http://mcgill.on.worldcat.org/oclc/1175474","Catalog Record")</f>
        <v>Catalog Record</v>
      </c>
      <c r="AW1474" s="6" t="str">
        <f>HYPERLINK("http://www.worldcat.org/oclc/1175474","WorldCat Record")</f>
        <v>WorldCat Record</v>
      </c>
      <c r="AX1474" s="3" t="s">
        <v>13369</v>
      </c>
      <c r="AY1474" s="3" t="s">
        <v>13370</v>
      </c>
      <c r="AZ1474" s="3" t="s">
        <v>13371</v>
      </c>
      <c r="BA1474" s="3" t="s">
        <v>13371</v>
      </c>
      <c r="BB1474" s="3" t="s">
        <v>13377</v>
      </c>
      <c r="BC1474" s="3" t="s">
        <v>82</v>
      </c>
      <c r="BD1474" s="3" t="s">
        <v>70</v>
      </c>
      <c r="BF1474" s="3" t="s">
        <v>13377</v>
      </c>
      <c r="BG1474" s="3" t="s">
        <v>13378</v>
      </c>
    </row>
    <row r="1475" spans="1:59" ht="60" x14ac:dyDescent="0.25">
      <c r="A1475" s="2" t="s">
        <v>59</v>
      </c>
      <c r="B1475" s="2" t="s">
        <v>60</v>
      </c>
      <c r="C1475" s="2" t="s">
        <v>13364</v>
      </c>
      <c r="D1475" s="2" t="s">
        <v>13365</v>
      </c>
      <c r="E1475" s="2" t="s">
        <v>13366</v>
      </c>
      <c r="G1475" s="3" t="s">
        <v>63</v>
      </c>
      <c r="I1475" s="3" t="s">
        <v>62</v>
      </c>
      <c r="J1475" s="3" t="s">
        <v>63</v>
      </c>
      <c r="K1475" s="3" t="s">
        <v>64</v>
      </c>
      <c r="L1475" s="2" t="s">
        <v>13367</v>
      </c>
      <c r="M1475" s="2" t="s">
        <v>13368</v>
      </c>
      <c r="N1475" s="3" t="s">
        <v>300</v>
      </c>
      <c r="P1475" s="3" t="s">
        <v>66</v>
      </c>
      <c r="R1475" s="3" t="s">
        <v>67</v>
      </c>
      <c r="S1475" s="4">
        <v>14</v>
      </c>
      <c r="T1475" s="4">
        <v>90</v>
      </c>
      <c r="U1475" s="5" t="s">
        <v>13379</v>
      </c>
      <c r="V1475" s="5" t="s">
        <v>5434</v>
      </c>
      <c r="W1475" s="5" t="s">
        <v>69</v>
      </c>
      <c r="X1475" s="5" t="s">
        <v>69</v>
      </c>
      <c r="Y1475" s="4">
        <v>1262</v>
      </c>
      <c r="Z1475" s="4">
        <v>43</v>
      </c>
      <c r="AA1475" s="4">
        <v>49</v>
      </c>
      <c r="AB1475" s="4">
        <v>2</v>
      </c>
      <c r="AC1475" s="4">
        <v>5</v>
      </c>
      <c r="AD1475" s="4">
        <v>129</v>
      </c>
      <c r="AE1475" s="4">
        <v>135</v>
      </c>
      <c r="AF1475" s="4">
        <v>0</v>
      </c>
      <c r="AG1475" s="4">
        <v>3</v>
      </c>
      <c r="AH1475" s="4">
        <v>107</v>
      </c>
      <c r="AI1475" s="4">
        <v>109</v>
      </c>
      <c r="AJ1475" s="4">
        <v>17</v>
      </c>
      <c r="AK1475" s="4">
        <v>22</v>
      </c>
      <c r="AL1475" s="4">
        <v>59</v>
      </c>
      <c r="AM1475" s="4">
        <v>59</v>
      </c>
      <c r="AN1475" s="4">
        <v>0</v>
      </c>
      <c r="AO1475" s="4">
        <v>0</v>
      </c>
      <c r="AP1475" s="4">
        <v>27</v>
      </c>
      <c r="AQ1475" s="4">
        <v>31</v>
      </c>
      <c r="AR1475" s="3" t="s">
        <v>63</v>
      </c>
      <c r="AS1475" s="3" t="s">
        <v>63</v>
      </c>
      <c r="AT1475" s="3" t="s">
        <v>62</v>
      </c>
      <c r="AU1475" s="6" t="str">
        <f>HYPERLINK("http://catalog.hathitrust.org/Record/001224491","HathiTrust Record")</f>
        <v>HathiTrust Record</v>
      </c>
      <c r="AV1475" s="6" t="str">
        <f>HYPERLINK("http://mcgill.on.worldcat.org/oclc/1175474","Catalog Record")</f>
        <v>Catalog Record</v>
      </c>
      <c r="AW1475" s="6" t="str">
        <f>HYPERLINK("http://www.worldcat.org/oclc/1175474","WorldCat Record")</f>
        <v>WorldCat Record</v>
      </c>
      <c r="AX1475" s="3" t="s">
        <v>13369</v>
      </c>
      <c r="AY1475" s="3" t="s">
        <v>13370</v>
      </c>
      <c r="AZ1475" s="3" t="s">
        <v>13371</v>
      </c>
      <c r="BA1475" s="3" t="s">
        <v>13371</v>
      </c>
      <c r="BB1475" s="3" t="s">
        <v>13380</v>
      </c>
      <c r="BC1475" s="3" t="s">
        <v>82</v>
      </c>
      <c r="BD1475" s="3" t="s">
        <v>70</v>
      </c>
      <c r="BF1475" s="3" t="s">
        <v>13380</v>
      </c>
      <c r="BG1475" s="3" t="s">
        <v>13381</v>
      </c>
    </row>
    <row r="1476" spans="1:59" ht="60" x14ac:dyDescent="0.25">
      <c r="A1476" s="2" t="s">
        <v>59</v>
      </c>
      <c r="B1476" s="2" t="s">
        <v>60</v>
      </c>
      <c r="C1476" s="2" t="s">
        <v>13364</v>
      </c>
      <c r="D1476" s="2" t="s">
        <v>13365</v>
      </c>
      <c r="E1476" s="2" t="s">
        <v>13366</v>
      </c>
      <c r="G1476" s="3" t="s">
        <v>63</v>
      </c>
      <c r="I1476" s="3" t="s">
        <v>62</v>
      </c>
      <c r="J1476" s="3" t="s">
        <v>63</v>
      </c>
      <c r="K1476" s="3" t="s">
        <v>64</v>
      </c>
      <c r="L1476" s="2" t="s">
        <v>13367</v>
      </c>
      <c r="M1476" s="2" t="s">
        <v>13368</v>
      </c>
      <c r="N1476" s="3" t="s">
        <v>300</v>
      </c>
      <c r="P1476" s="3" t="s">
        <v>66</v>
      </c>
      <c r="R1476" s="3" t="s">
        <v>67</v>
      </c>
      <c r="S1476" s="4">
        <v>22</v>
      </c>
      <c r="T1476" s="4">
        <v>90</v>
      </c>
      <c r="U1476" s="5" t="s">
        <v>5434</v>
      </c>
      <c r="V1476" s="5" t="s">
        <v>5434</v>
      </c>
      <c r="W1476" s="5" t="s">
        <v>69</v>
      </c>
      <c r="X1476" s="5" t="s">
        <v>69</v>
      </c>
      <c r="Y1476" s="4">
        <v>1262</v>
      </c>
      <c r="Z1476" s="4">
        <v>43</v>
      </c>
      <c r="AA1476" s="4">
        <v>49</v>
      </c>
      <c r="AB1476" s="4">
        <v>2</v>
      </c>
      <c r="AC1476" s="4">
        <v>5</v>
      </c>
      <c r="AD1476" s="4">
        <v>129</v>
      </c>
      <c r="AE1476" s="4">
        <v>135</v>
      </c>
      <c r="AF1476" s="4">
        <v>0</v>
      </c>
      <c r="AG1476" s="4">
        <v>3</v>
      </c>
      <c r="AH1476" s="4">
        <v>107</v>
      </c>
      <c r="AI1476" s="4">
        <v>109</v>
      </c>
      <c r="AJ1476" s="4">
        <v>17</v>
      </c>
      <c r="AK1476" s="4">
        <v>22</v>
      </c>
      <c r="AL1476" s="4">
        <v>59</v>
      </c>
      <c r="AM1476" s="4">
        <v>59</v>
      </c>
      <c r="AN1476" s="4">
        <v>0</v>
      </c>
      <c r="AO1476" s="4">
        <v>0</v>
      </c>
      <c r="AP1476" s="4">
        <v>27</v>
      </c>
      <c r="AQ1476" s="4">
        <v>31</v>
      </c>
      <c r="AR1476" s="3" t="s">
        <v>63</v>
      </c>
      <c r="AS1476" s="3" t="s">
        <v>63</v>
      </c>
      <c r="AT1476" s="3" t="s">
        <v>62</v>
      </c>
      <c r="AU1476" s="6" t="str">
        <f>HYPERLINK("http://catalog.hathitrust.org/Record/001224491","HathiTrust Record")</f>
        <v>HathiTrust Record</v>
      </c>
      <c r="AV1476" s="6" t="str">
        <f>HYPERLINK("http://mcgill.on.worldcat.org/oclc/1175474","Catalog Record")</f>
        <v>Catalog Record</v>
      </c>
      <c r="AW1476" s="6" t="str">
        <f>HYPERLINK("http://www.worldcat.org/oclc/1175474","WorldCat Record")</f>
        <v>WorldCat Record</v>
      </c>
      <c r="AX1476" s="3" t="s">
        <v>13369</v>
      </c>
      <c r="AY1476" s="3" t="s">
        <v>13370</v>
      </c>
      <c r="AZ1476" s="3" t="s">
        <v>13371</v>
      </c>
      <c r="BA1476" s="3" t="s">
        <v>13371</v>
      </c>
      <c r="BB1476" s="3" t="s">
        <v>13382</v>
      </c>
      <c r="BC1476" s="3" t="s">
        <v>82</v>
      </c>
      <c r="BD1476" s="3" t="s">
        <v>538</v>
      </c>
      <c r="BF1476" s="3" t="s">
        <v>13382</v>
      </c>
      <c r="BG1476" s="3" t="s">
        <v>13383</v>
      </c>
    </row>
    <row r="1477" spans="1:59" ht="90" x14ac:dyDescent="0.25">
      <c r="A1477" s="2" t="s">
        <v>59</v>
      </c>
      <c r="B1477" s="2" t="s">
        <v>60</v>
      </c>
      <c r="C1477" s="2" t="s">
        <v>13384</v>
      </c>
      <c r="D1477" s="2" t="s">
        <v>13385</v>
      </c>
      <c r="E1477" s="2" t="s">
        <v>13386</v>
      </c>
      <c r="G1477" s="3" t="s">
        <v>63</v>
      </c>
      <c r="I1477" s="3" t="s">
        <v>63</v>
      </c>
      <c r="J1477" s="3" t="s">
        <v>63</v>
      </c>
      <c r="K1477" s="3" t="s">
        <v>64</v>
      </c>
      <c r="L1477" s="2" t="s">
        <v>11436</v>
      </c>
      <c r="M1477" s="2" t="s">
        <v>13387</v>
      </c>
      <c r="N1477" s="3" t="s">
        <v>1557</v>
      </c>
      <c r="P1477" s="3" t="s">
        <v>90</v>
      </c>
      <c r="R1477" s="3" t="s">
        <v>67</v>
      </c>
      <c r="S1477" s="4">
        <v>0</v>
      </c>
      <c r="T1477" s="4">
        <v>0</v>
      </c>
      <c r="W1477" s="5" t="s">
        <v>69</v>
      </c>
      <c r="X1477" s="5" t="s">
        <v>69</v>
      </c>
      <c r="Y1477" s="4">
        <v>46</v>
      </c>
      <c r="Z1477" s="4">
        <v>3</v>
      </c>
      <c r="AA1477" s="4">
        <v>3</v>
      </c>
      <c r="AB1477" s="4">
        <v>1</v>
      </c>
      <c r="AC1477" s="4">
        <v>1</v>
      </c>
      <c r="AD1477" s="4">
        <v>28</v>
      </c>
      <c r="AE1477" s="4">
        <v>28</v>
      </c>
      <c r="AF1477" s="4">
        <v>0</v>
      </c>
      <c r="AG1477" s="4">
        <v>0</v>
      </c>
      <c r="AH1477" s="4">
        <v>28</v>
      </c>
      <c r="AI1477" s="4">
        <v>28</v>
      </c>
      <c r="AJ1477" s="4">
        <v>2</v>
      </c>
      <c r="AK1477" s="4">
        <v>2</v>
      </c>
      <c r="AL1477" s="4">
        <v>18</v>
      </c>
      <c r="AM1477" s="4">
        <v>18</v>
      </c>
      <c r="AN1477" s="4">
        <v>0</v>
      </c>
      <c r="AO1477" s="4">
        <v>0</v>
      </c>
      <c r="AP1477" s="4">
        <v>2</v>
      </c>
      <c r="AQ1477" s="4">
        <v>2</v>
      </c>
      <c r="AR1477" s="3" t="s">
        <v>63</v>
      </c>
      <c r="AS1477" s="3" t="s">
        <v>63</v>
      </c>
      <c r="AT1477" s="3" t="s">
        <v>63</v>
      </c>
      <c r="AV1477" s="6" t="str">
        <f>HYPERLINK("http://mcgill.on.worldcat.org/oclc/994009099","Catalog Record")</f>
        <v>Catalog Record</v>
      </c>
      <c r="AW1477" s="6" t="str">
        <f>HYPERLINK("http://www.worldcat.org/oclc/994009099","WorldCat Record")</f>
        <v>WorldCat Record</v>
      </c>
      <c r="AX1477" s="3" t="s">
        <v>13388</v>
      </c>
      <c r="AY1477" s="3" t="s">
        <v>13389</v>
      </c>
      <c r="AZ1477" s="3" t="s">
        <v>13390</v>
      </c>
      <c r="BA1477" s="3" t="s">
        <v>13390</v>
      </c>
      <c r="BB1477" s="3" t="s">
        <v>13391</v>
      </c>
      <c r="BC1477" s="3" t="s">
        <v>82</v>
      </c>
      <c r="BD1477" s="3" t="s">
        <v>70</v>
      </c>
      <c r="BE1477" s="3" t="s">
        <v>13392</v>
      </c>
      <c r="BF1477" s="3" t="s">
        <v>13391</v>
      </c>
      <c r="BG1477" s="3" t="s">
        <v>13393</v>
      </c>
    </row>
    <row r="1478" spans="1:59" ht="75" x14ac:dyDescent="0.25">
      <c r="A1478" s="2" t="s">
        <v>59</v>
      </c>
      <c r="B1478" s="2" t="s">
        <v>60</v>
      </c>
      <c r="C1478" s="2" t="s">
        <v>13394</v>
      </c>
      <c r="D1478" s="2" t="s">
        <v>13395</v>
      </c>
      <c r="E1478" s="2" t="s">
        <v>13396</v>
      </c>
      <c r="G1478" s="3" t="s">
        <v>63</v>
      </c>
      <c r="I1478" s="3" t="s">
        <v>63</v>
      </c>
      <c r="J1478" s="3" t="s">
        <v>63</v>
      </c>
      <c r="K1478" s="3" t="s">
        <v>64</v>
      </c>
      <c r="L1478" s="2" t="s">
        <v>13397</v>
      </c>
      <c r="M1478" s="2" t="s">
        <v>13398</v>
      </c>
      <c r="N1478" s="3" t="s">
        <v>2459</v>
      </c>
      <c r="P1478" s="3" t="s">
        <v>66</v>
      </c>
      <c r="R1478" s="3" t="s">
        <v>67</v>
      </c>
      <c r="S1478" s="4">
        <v>13</v>
      </c>
      <c r="T1478" s="4">
        <v>13</v>
      </c>
      <c r="U1478" s="5" t="s">
        <v>9858</v>
      </c>
      <c r="V1478" s="5" t="s">
        <v>9858</v>
      </c>
      <c r="W1478" s="5" t="s">
        <v>69</v>
      </c>
      <c r="X1478" s="5" t="s">
        <v>69</v>
      </c>
      <c r="Y1478" s="4">
        <v>196</v>
      </c>
      <c r="Z1478" s="4">
        <v>16</v>
      </c>
      <c r="AA1478" s="4">
        <v>21</v>
      </c>
      <c r="AB1478" s="4">
        <v>1</v>
      </c>
      <c r="AC1478" s="4">
        <v>4</v>
      </c>
      <c r="AD1478" s="4">
        <v>92</v>
      </c>
      <c r="AE1478" s="4">
        <v>96</v>
      </c>
      <c r="AF1478" s="4">
        <v>0</v>
      </c>
      <c r="AG1478" s="4">
        <v>1</v>
      </c>
      <c r="AH1478" s="4">
        <v>86</v>
      </c>
      <c r="AI1478" s="4">
        <v>88</v>
      </c>
      <c r="AJ1478" s="4">
        <v>11</v>
      </c>
      <c r="AK1478" s="4">
        <v>13</v>
      </c>
      <c r="AL1478" s="4">
        <v>50</v>
      </c>
      <c r="AM1478" s="4">
        <v>50</v>
      </c>
      <c r="AN1478" s="4">
        <v>0</v>
      </c>
      <c r="AO1478" s="4">
        <v>0</v>
      </c>
      <c r="AP1478" s="4">
        <v>11</v>
      </c>
      <c r="AQ1478" s="4">
        <v>14</v>
      </c>
      <c r="AR1478" s="3" t="s">
        <v>63</v>
      </c>
      <c r="AS1478" s="3" t="s">
        <v>63</v>
      </c>
      <c r="AT1478" s="3" t="s">
        <v>62</v>
      </c>
      <c r="AU1478" s="6" t="str">
        <f>HYPERLINK("http://catalog.hathitrust.org/Record/005654051","HathiTrust Record")</f>
        <v>HathiTrust Record</v>
      </c>
      <c r="AV1478" s="6" t="str">
        <f>HYPERLINK("http://mcgill.on.worldcat.org/oclc/154308961","Catalog Record")</f>
        <v>Catalog Record</v>
      </c>
      <c r="AW1478" s="6" t="str">
        <f>HYPERLINK("http://www.worldcat.org/oclc/154308961","WorldCat Record")</f>
        <v>WorldCat Record</v>
      </c>
      <c r="AX1478" s="3" t="s">
        <v>13399</v>
      </c>
      <c r="AY1478" s="3" t="s">
        <v>13400</v>
      </c>
      <c r="AZ1478" s="3" t="s">
        <v>13401</v>
      </c>
      <c r="BA1478" s="3" t="s">
        <v>13401</v>
      </c>
      <c r="BB1478" s="3" t="s">
        <v>13402</v>
      </c>
      <c r="BC1478" s="3" t="s">
        <v>82</v>
      </c>
      <c r="BD1478" s="3" t="s">
        <v>70</v>
      </c>
      <c r="BE1478" s="3" t="s">
        <v>13403</v>
      </c>
      <c r="BF1478" s="3" t="s">
        <v>13402</v>
      </c>
      <c r="BG1478" s="3" t="s">
        <v>13404</v>
      </c>
    </row>
    <row r="1479" spans="1:59" ht="60" x14ac:dyDescent="0.25">
      <c r="A1479" s="2" t="s">
        <v>59</v>
      </c>
      <c r="B1479" s="2" t="s">
        <v>60</v>
      </c>
      <c r="C1479" s="2" t="s">
        <v>13405</v>
      </c>
      <c r="D1479" s="2" t="s">
        <v>13406</v>
      </c>
      <c r="E1479" s="2" t="s">
        <v>13407</v>
      </c>
      <c r="G1479" s="3" t="s">
        <v>63</v>
      </c>
      <c r="I1479" s="3" t="s">
        <v>62</v>
      </c>
      <c r="J1479" s="3" t="s">
        <v>63</v>
      </c>
      <c r="K1479" s="3" t="s">
        <v>64</v>
      </c>
      <c r="L1479" s="2" t="s">
        <v>13408</v>
      </c>
      <c r="M1479" s="2" t="s">
        <v>13409</v>
      </c>
      <c r="N1479" s="3" t="s">
        <v>939</v>
      </c>
      <c r="P1479" s="3" t="s">
        <v>66</v>
      </c>
      <c r="R1479" s="3" t="s">
        <v>67</v>
      </c>
      <c r="S1479" s="4">
        <v>16</v>
      </c>
      <c r="T1479" s="4">
        <v>28</v>
      </c>
      <c r="U1479" s="5" t="s">
        <v>9858</v>
      </c>
      <c r="V1479" s="5" t="s">
        <v>9858</v>
      </c>
      <c r="W1479" s="5" t="s">
        <v>69</v>
      </c>
      <c r="X1479" s="5" t="s">
        <v>69</v>
      </c>
      <c r="Y1479" s="4">
        <v>795</v>
      </c>
      <c r="Z1479" s="4">
        <v>41</v>
      </c>
      <c r="AA1479" s="4">
        <v>43</v>
      </c>
      <c r="AB1479" s="4">
        <v>2</v>
      </c>
      <c r="AC1479" s="4">
        <v>3</v>
      </c>
      <c r="AD1479" s="4">
        <v>117</v>
      </c>
      <c r="AE1479" s="4">
        <v>120</v>
      </c>
      <c r="AF1479" s="4">
        <v>1</v>
      </c>
      <c r="AG1479" s="4">
        <v>2</v>
      </c>
      <c r="AH1479" s="4">
        <v>96</v>
      </c>
      <c r="AI1479" s="4">
        <v>99</v>
      </c>
      <c r="AJ1479" s="4">
        <v>19</v>
      </c>
      <c r="AK1479" s="4">
        <v>21</v>
      </c>
      <c r="AL1479" s="4">
        <v>49</v>
      </c>
      <c r="AM1479" s="4">
        <v>49</v>
      </c>
      <c r="AN1479" s="4">
        <v>0</v>
      </c>
      <c r="AO1479" s="4">
        <v>0</v>
      </c>
      <c r="AP1479" s="4">
        <v>29</v>
      </c>
      <c r="AQ1479" s="4">
        <v>31</v>
      </c>
      <c r="AR1479" s="3" t="s">
        <v>63</v>
      </c>
      <c r="AS1479" s="3" t="s">
        <v>63</v>
      </c>
      <c r="AT1479" s="3" t="s">
        <v>62</v>
      </c>
      <c r="AU1479" s="6" t="str">
        <f>HYPERLINK("http://catalog.hathitrust.org/Record/001224477","HathiTrust Record")</f>
        <v>HathiTrust Record</v>
      </c>
      <c r="AV1479" s="6" t="str">
        <f>HYPERLINK("http://mcgill.on.worldcat.org/oclc/10752","Catalog Record")</f>
        <v>Catalog Record</v>
      </c>
      <c r="AW1479" s="6" t="str">
        <f>HYPERLINK("http://www.worldcat.org/oclc/10752","WorldCat Record")</f>
        <v>WorldCat Record</v>
      </c>
      <c r="AX1479" s="3" t="s">
        <v>13410</v>
      </c>
      <c r="AY1479" s="3" t="s">
        <v>13411</v>
      </c>
      <c r="AZ1479" s="3" t="s">
        <v>13412</v>
      </c>
      <c r="BA1479" s="3" t="s">
        <v>13412</v>
      </c>
      <c r="BB1479" s="3" t="s">
        <v>13413</v>
      </c>
      <c r="BC1479" s="3" t="s">
        <v>82</v>
      </c>
      <c r="BD1479" s="3" t="s">
        <v>70</v>
      </c>
      <c r="BE1479" s="3" t="s">
        <v>13414</v>
      </c>
      <c r="BF1479" s="3" t="s">
        <v>13413</v>
      </c>
      <c r="BG1479" s="3" t="s">
        <v>13415</v>
      </c>
    </row>
    <row r="1480" spans="1:59" ht="60" x14ac:dyDescent="0.25">
      <c r="A1480" s="2" t="s">
        <v>59</v>
      </c>
      <c r="B1480" s="2" t="s">
        <v>60</v>
      </c>
      <c r="C1480" s="2" t="s">
        <v>13405</v>
      </c>
      <c r="D1480" s="2" t="s">
        <v>13406</v>
      </c>
      <c r="E1480" s="2" t="s">
        <v>13407</v>
      </c>
      <c r="G1480" s="3" t="s">
        <v>63</v>
      </c>
      <c r="I1480" s="3" t="s">
        <v>62</v>
      </c>
      <c r="J1480" s="3" t="s">
        <v>63</v>
      </c>
      <c r="K1480" s="3" t="s">
        <v>64</v>
      </c>
      <c r="L1480" s="2" t="s">
        <v>13408</v>
      </c>
      <c r="M1480" s="2" t="s">
        <v>13409</v>
      </c>
      <c r="N1480" s="3" t="s">
        <v>939</v>
      </c>
      <c r="P1480" s="3" t="s">
        <v>66</v>
      </c>
      <c r="R1480" s="3" t="s">
        <v>67</v>
      </c>
      <c r="S1480" s="4">
        <v>12</v>
      </c>
      <c r="T1480" s="4">
        <v>28</v>
      </c>
      <c r="U1480" s="5" t="s">
        <v>5434</v>
      </c>
      <c r="V1480" s="5" t="s">
        <v>9858</v>
      </c>
      <c r="W1480" s="5" t="s">
        <v>69</v>
      </c>
      <c r="X1480" s="5" t="s">
        <v>69</v>
      </c>
      <c r="Y1480" s="4">
        <v>795</v>
      </c>
      <c r="Z1480" s="4">
        <v>41</v>
      </c>
      <c r="AA1480" s="4">
        <v>43</v>
      </c>
      <c r="AB1480" s="4">
        <v>2</v>
      </c>
      <c r="AC1480" s="4">
        <v>3</v>
      </c>
      <c r="AD1480" s="4">
        <v>117</v>
      </c>
      <c r="AE1480" s="4">
        <v>120</v>
      </c>
      <c r="AF1480" s="4">
        <v>1</v>
      </c>
      <c r="AG1480" s="4">
        <v>2</v>
      </c>
      <c r="AH1480" s="4">
        <v>96</v>
      </c>
      <c r="AI1480" s="4">
        <v>99</v>
      </c>
      <c r="AJ1480" s="4">
        <v>19</v>
      </c>
      <c r="AK1480" s="4">
        <v>21</v>
      </c>
      <c r="AL1480" s="4">
        <v>49</v>
      </c>
      <c r="AM1480" s="4">
        <v>49</v>
      </c>
      <c r="AN1480" s="4">
        <v>0</v>
      </c>
      <c r="AO1480" s="4">
        <v>0</v>
      </c>
      <c r="AP1480" s="4">
        <v>29</v>
      </c>
      <c r="AQ1480" s="4">
        <v>31</v>
      </c>
      <c r="AR1480" s="3" t="s">
        <v>63</v>
      </c>
      <c r="AS1480" s="3" t="s">
        <v>63</v>
      </c>
      <c r="AT1480" s="3" t="s">
        <v>62</v>
      </c>
      <c r="AU1480" s="6" t="str">
        <f>HYPERLINK("http://catalog.hathitrust.org/Record/001224477","HathiTrust Record")</f>
        <v>HathiTrust Record</v>
      </c>
      <c r="AV1480" s="6" t="str">
        <f>HYPERLINK("http://mcgill.on.worldcat.org/oclc/10752","Catalog Record")</f>
        <v>Catalog Record</v>
      </c>
      <c r="AW1480" s="6" t="str">
        <f>HYPERLINK("http://www.worldcat.org/oclc/10752","WorldCat Record")</f>
        <v>WorldCat Record</v>
      </c>
      <c r="AX1480" s="3" t="s">
        <v>13410</v>
      </c>
      <c r="AY1480" s="3" t="s">
        <v>13411</v>
      </c>
      <c r="AZ1480" s="3" t="s">
        <v>13412</v>
      </c>
      <c r="BA1480" s="3" t="s">
        <v>13412</v>
      </c>
      <c r="BB1480" s="3" t="s">
        <v>13416</v>
      </c>
      <c r="BC1480" s="3" t="s">
        <v>82</v>
      </c>
      <c r="BD1480" s="3" t="s">
        <v>538</v>
      </c>
      <c r="BE1480" s="3" t="s">
        <v>13414</v>
      </c>
      <c r="BF1480" s="3" t="s">
        <v>13416</v>
      </c>
      <c r="BG1480" s="3" t="s">
        <v>13417</v>
      </c>
    </row>
    <row r="1481" spans="1:59" ht="60" x14ac:dyDescent="0.25">
      <c r="A1481" s="2" t="s">
        <v>59</v>
      </c>
      <c r="B1481" s="2" t="s">
        <v>60</v>
      </c>
      <c r="C1481" s="2" t="s">
        <v>13405</v>
      </c>
      <c r="D1481" s="2" t="s">
        <v>13406</v>
      </c>
      <c r="E1481" s="2" t="s">
        <v>13407</v>
      </c>
      <c r="G1481" s="3" t="s">
        <v>63</v>
      </c>
      <c r="I1481" s="3" t="s">
        <v>62</v>
      </c>
      <c r="J1481" s="3" t="s">
        <v>63</v>
      </c>
      <c r="K1481" s="3" t="s">
        <v>64</v>
      </c>
      <c r="L1481" s="2" t="s">
        <v>13408</v>
      </c>
      <c r="M1481" s="2" t="s">
        <v>13409</v>
      </c>
      <c r="N1481" s="3" t="s">
        <v>939</v>
      </c>
      <c r="P1481" s="3" t="s">
        <v>66</v>
      </c>
      <c r="R1481" s="3" t="s">
        <v>67</v>
      </c>
      <c r="S1481" s="4">
        <v>0</v>
      </c>
      <c r="T1481" s="4">
        <v>28</v>
      </c>
      <c r="V1481" s="5" t="s">
        <v>9858</v>
      </c>
      <c r="W1481" s="5" t="s">
        <v>69</v>
      </c>
      <c r="X1481" s="5" t="s">
        <v>69</v>
      </c>
      <c r="Y1481" s="4">
        <v>795</v>
      </c>
      <c r="Z1481" s="4">
        <v>41</v>
      </c>
      <c r="AA1481" s="4">
        <v>43</v>
      </c>
      <c r="AB1481" s="4">
        <v>2</v>
      </c>
      <c r="AC1481" s="4">
        <v>3</v>
      </c>
      <c r="AD1481" s="4">
        <v>117</v>
      </c>
      <c r="AE1481" s="4">
        <v>120</v>
      </c>
      <c r="AF1481" s="4">
        <v>1</v>
      </c>
      <c r="AG1481" s="4">
        <v>2</v>
      </c>
      <c r="AH1481" s="4">
        <v>96</v>
      </c>
      <c r="AI1481" s="4">
        <v>99</v>
      </c>
      <c r="AJ1481" s="4">
        <v>19</v>
      </c>
      <c r="AK1481" s="4">
        <v>21</v>
      </c>
      <c r="AL1481" s="4">
        <v>49</v>
      </c>
      <c r="AM1481" s="4">
        <v>49</v>
      </c>
      <c r="AN1481" s="4">
        <v>0</v>
      </c>
      <c r="AO1481" s="4">
        <v>0</v>
      </c>
      <c r="AP1481" s="4">
        <v>29</v>
      </c>
      <c r="AQ1481" s="4">
        <v>31</v>
      </c>
      <c r="AR1481" s="3" t="s">
        <v>63</v>
      </c>
      <c r="AS1481" s="3" t="s">
        <v>63</v>
      </c>
      <c r="AT1481" s="3" t="s">
        <v>62</v>
      </c>
      <c r="AU1481" s="6" t="str">
        <f>HYPERLINK("http://catalog.hathitrust.org/Record/001224477","HathiTrust Record")</f>
        <v>HathiTrust Record</v>
      </c>
      <c r="AV1481" s="6" t="str">
        <f>HYPERLINK("http://mcgill.on.worldcat.org/oclc/10752","Catalog Record")</f>
        <v>Catalog Record</v>
      </c>
      <c r="AW1481" s="6" t="str">
        <f>HYPERLINK("http://www.worldcat.org/oclc/10752","WorldCat Record")</f>
        <v>WorldCat Record</v>
      </c>
      <c r="AX1481" s="3" t="s">
        <v>13410</v>
      </c>
      <c r="AY1481" s="3" t="s">
        <v>13411</v>
      </c>
      <c r="AZ1481" s="3" t="s">
        <v>13412</v>
      </c>
      <c r="BA1481" s="3" t="s">
        <v>13412</v>
      </c>
      <c r="BB1481" s="3" t="s">
        <v>13418</v>
      </c>
      <c r="BC1481" s="3" t="s">
        <v>82</v>
      </c>
      <c r="BD1481" s="3" t="s">
        <v>70</v>
      </c>
      <c r="BE1481" s="3" t="s">
        <v>13414</v>
      </c>
      <c r="BF1481" s="3" t="s">
        <v>13418</v>
      </c>
      <c r="BG1481" s="3" t="s">
        <v>13419</v>
      </c>
    </row>
    <row r="1482" spans="1:59" ht="60" x14ac:dyDescent="0.25">
      <c r="A1482" s="2" t="s">
        <v>59</v>
      </c>
      <c r="B1482" s="2" t="s">
        <v>60</v>
      </c>
      <c r="C1482" s="2" t="s">
        <v>13420</v>
      </c>
      <c r="D1482" s="2" t="s">
        <v>13421</v>
      </c>
      <c r="E1482" s="2" t="s">
        <v>13422</v>
      </c>
      <c r="G1482" s="3" t="s">
        <v>63</v>
      </c>
      <c r="I1482" s="3" t="s">
        <v>63</v>
      </c>
      <c r="J1482" s="3" t="s">
        <v>63</v>
      </c>
      <c r="K1482" s="3" t="s">
        <v>64</v>
      </c>
      <c r="L1482" s="2" t="s">
        <v>13423</v>
      </c>
      <c r="M1482" s="2" t="s">
        <v>13424</v>
      </c>
      <c r="N1482" s="3" t="s">
        <v>531</v>
      </c>
      <c r="P1482" s="3" t="s">
        <v>66</v>
      </c>
      <c r="R1482" s="3" t="s">
        <v>67</v>
      </c>
      <c r="S1482" s="4">
        <v>25</v>
      </c>
      <c r="T1482" s="4">
        <v>25</v>
      </c>
      <c r="U1482" s="5" t="s">
        <v>13425</v>
      </c>
      <c r="V1482" s="5" t="s">
        <v>13425</v>
      </c>
      <c r="W1482" s="5" t="s">
        <v>69</v>
      </c>
      <c r="X1482" s="5" t="s">
        <v>69</v>
      </c>
      <c r="Y1482" s="4">
        <v>135</v>
      </c>
      <c r="Z1482" s="4">
        <v>8</v>
      </c>
      <c r="AA1482" s="4">
        <v>8</v>
      </c>
      <c r="AB1482" s="4">
        <v>1</v>
      </c>
      <c r="AC1482" s="4">
        <v>1</v>
      </c>
      <c r="AD1482" s="4">
        <v>68</v>
      </c>
      <c r="AE1482" s="4">
        <v>68</v>
      </c>
      <c r="AF1482" s="4">
        <v>0</v>
      </c>
      <c r="AG1482" s="4">
        <v>0</v>
      </c>
      <c r="AH1482" s="4">
        <v>64</v>
      </c>
      <c r="AI1482" s="4">
        <v>64</v>
      </c>
      <c r="AJ1482" s="4">
        <v>7</v>
      </c>
      <c r="AK1482" s="4">
        <v>7</v>
      </c>
      <c r="AL1482" s="4">
        <v>37</v>
      </c>
      <c r="AM1482" s="4">
        <v>37</v>
      </c>
      <c r="AN1482" s="4">
        <v>0</v>
      </c>
      <c r="AO1482" s="4">
        <v>0</v>
      </c>
      <c r="AP1482" s="4">
        <v>6</v>
      </c>
      <c r="AQ1482" s="4">
        <v>6</v>
      </c>
      <c r="AR1482" s="3" t="s">
        <v>63</v>
      </c>
      <c r="AS1482" s="3" t="s">
        <v>63</v>
      </c>
      <c r="AT1482" s="3" t="s">
        <v>63</v>
      </c>
      <c r="AV1482" s="6" t="str">
        <f>HYPERLINK("http://mcgill.on.worldcat.org/oclc/26852083","Catalog Record")</f>
        <v>Catalog Record</v>
      </c>
      <c r="AW1482" s="6" t="str">
        <f>HYPERLINK("http://www.worldcat.org/oclc/26852083","WorldCat Record")</f>
        <v>WorldCat Record</v>
      </c>
      <c r="AX1482" s="3" t="s">
        <v>13426</v>
      </c>
      <c r="AY1482" s="3" t="s">
        <v>13427</v>
      </c>
      <c r="AZ1482" s="3" t="s">
        <v>13428</v>
      </c>
      <c r="BA1482" s="3" t="s">
        <v>13428</v>
      </c>
      <c r="BB1482" s="3" t="s">
        <v>13429</v>
      </c>
      <c r="BC1482" s="3" t="s">
        <v>82</v>
      </c>
      <c r="BD1482" s="3" t="s">
        <v>70</v>
      </c>
      <c r="BE1482" s="3" t="s">
        <v>13430</v>
      </c>
      <c r="BF1482" s="3" t="s">
        <v>13429</v>
      </c>
      <c r="BG1482" s="3" t="s">
        <v>13431</v>
      </c>
    </row>
    <row r="1483" spans="1:59" ht="60" x14ac:dyDescent="0.25">
      <c r="A1483" s="2" t="s">
        <v>59</v>
      </c>
      <c r="B1483" s="2" t="s">
        <v>60</v>
      </c>
      <c r="C1483" s="2" t="s">
        <v>13432</v>
      </c>
      <c r="D1483" s="2" t="s">
        <v>13433</v>
      </c>
      <c r="E1483" s="2" t="s">
        <v>13434</v>
      </c>
      <c r="G1483" s="3" t="s">
        <v>63</v>
      </c>
      <c r="I1483" s="3" t="s">
        <v>63</v>
      </c>
      <c r="J1483" s="3" t="s">
        <v>63</v>
      </c>
      <c r="K1483" s="3" t="s">
        <v>64</v>
      </c>
      <c r="L1483" s="2" t="s">
        <v>13435</v>
      </c>
      <c r="M1483" s="2" t="s">
        <v>13436</v>
      </c>
      <c r="N1483" s="3" t="s">
        <v>1226</v>
      </c>
      <c r="P1483" s="3" t="s">
        <v>90</v>
      </c>
      <c r="R1483" s="3" t="s">
        <v>67</v>
      </c>
      <c r="S1483" s="4">
        <v>7</v>
      </c>
      <c r="T1483" s="4">
        <v>7</v>
      </c>
      <c r="U1483" s="5" t="s">
        <v>13437</v>
      </c>
      <c r="V1483" s="5" t="s">
        <v>13437</v>
      </c>
      <c r="W1483" s="5" t="s">
        <v>69</v>
      </c>
      <c r="X1483" s="5" t="s">
        <v>69</v>
      </c>
      <c r="Y1483" s="4">
        <v>60</v>
      </c>
      <c r="Z1483" s="4">
        <v>5</v>
      </c>
      <c r="AA1483" s="4">
        <v>6</v>
      </c>
      <c r="AB1483" s="4">
        <v>1</v>
      </c>
      <c r="AC1483" s="4">
        <v>2</v>
      </c>
      <c r="AD1483" s="4">
        <v>39</v>
      </c>
      <c r="AE1483" s="4">
        <v>39</v>
      </c>
      <c r="AF1483" s="4">
        <v>0</v>
      </c>
      <c r="AG1483" s="4">
        <v>0</v>
      </c>
      <c r="AH1483" s="4">
        <v>38</v>
      </c>
      <c r="AI1483" s="4">
        <v>38</v>
      </c>
      <c r="AJ1483" s="4">
        <v>3</v>
      </c>
      <c r="AK1483" s="4">
        <v>3</v>
      </c>
      <c r="AL1483" s="4">
        <v>28</v>
      </c>
      <c r="AM1483" s="4">
        <v>28</v>
      </c>
      <c r="AN1483" s="4">
        <v>5</v>
      </c>
      <c r="AO1483" s="4">
        <v>5</v>
      </c>
      <c r="AP1483" s="4">
        <v>3</v>
      </c>
      <c r="AQ1483" s="4">
        <v>3</v>
      </c>
      <c r="AR1483" s="3" t="s">
        <v>63</v>
      </c>
      <c r="AS1483" s="3" t="s">
        <v>63</v>
      </c>
      <c r="AT1483" s="3" t="s">
        <v>62</v>
      </c>
      <c r="AU1483" s="6" t="str">
        <f>HYPERLINK("http://catalog.hathitrust.org/Record/102178626","HathiTrust Record")</f>
        <v>HathiTrust Record</v>
      </c>
      <c r="AV1483" s="6" t="str">
        <f>HYPERLINK("http://mcgill.on.worldcat.org/oclc/53323430","Catalog Record")</f>
        <v>Catalog Record</v>
      </c>
      <c r="AW1483" s="6" t="str">
        <f>HYPERLINK("http://www.worldcat.org/oclc/53323430","WorldCat Record")</f>
        <v>WorldCat Record</v>
      </c>
      <c r="AX1483" s="3" t="s">
        <v>13438</v>
      </c>
      <c r="AY1483" s="3" t="s">
        <v>13439</v>
      </c>
      <c r="AZ1483" s="3" t="s">
        <v>13440</v>
      </c>
      <c r="BA1483" s="3" t="s">
        <v>13440</v>
      </c>
      <c r="BB1483" s="3" t="s">
        <v>13441</v>
      </c>
      <c r="BC1483" s="3" t="s">
        <v>82</v>
      </c>
      <c r="BD1483" s="3" t="s">
        <v>70</v>
      </c>
      <c r="BE1483" s="3" t="s">
        <v>13442</v>
      </c>
      <c r="BF1483" s="3" t="s">
        <v>13441</v>
      </c>
      <c r="BG1483" s="3" t="s">
        <v>13443</v>
      </c>
    </row>
    <row r="1484" spans="1:59" ht="60" x14ac:dyDescent="0.25">
      <c r="A1484" s="2" t="s">
        <v>59</v>
      </c>
      <c r="B1484" s="2" t="s">
        <v>60</v>
      </c>
      <c r="C1484" s="2" t="s">
        <v>13444</v>
      </c>
      <c r="D1484" s="2" t="s">
        <v>13445</v>
      </c>
      <c r="E1484" s="2" t="s">
        <v>13446</v>
      </c>
      <c r="G1484" s="3" t="s">
        <v>63</v>
      </c>
      <c r="I1484" s="3" t="s">
        <v>63</v>
      </c>
      <c r="J1484" s="3" t="s">
        <v>63</v>
      </c>
      <c r="K1484" s="3" t="s">
        <v>64</v>
      </c>
      <c r="L1484" s="2" t="s">
        <v>13447</v>
      </c>
      <c r="M1484" s="2" t="s">
        <v>13448</v>
      </c>
      <c r="N1484" s="3" t="s">
        <v>1226</v>
      </c>
      <c r="P1484" s="3" t="s">
        <v>66</v>
      </c>
      <c r="Q1484" s="2" t="s">
        <v>13449</v>
      </c>
      <c r="R1484" s="3" t="s">
        <v>67</v>
      </c>
      <c r="S1484" s="4">
        <v>7</v>
      </c>
      <c r="T1484" s="4">
        <v>7</v>
      </c>
      <c r="U1484" s="5" t="s">
        <v>249</v>
      </c>
      <c r="V1484" s="5" t="s">
        <v>249</v>
      </c>
      <c r="W1484" s="5" t="s">
        <v>69</v>
      </c>
      <c r="X1484" s="5" t="s">
        <v>69</v>
      </c>
      <c r="Y1484" s="4">
        <v>95</v>
      </c>
      <c r="Z1484" s="4">
        <v>4</v>
      </c>
      <c r="AA1484" s="4">
        <v>4</v>
      </c>
      <c r="AB1484" s="4">
        <v>1</v>
      </c>
      <c r="AC1484" s="4">
        <v>1</v>
      </c>
      <c r="AD1484" s="4">
        <v>47</v>
      </c>
      <c r="AE1484" s="4">
        <v>47</v>
      </c>
      <c r="AF1484" s="4">
        <v>0</v>
      </c>
      <c r="AG1484" s="4">
        <v>0</v>
      </c>
      <c r="AH1484" s="4">
        <v>44</v>
      </c>
      <c r="AI1484" s="4">
        <v>44</v>
      </c>
      <c r="AJ1484" s="4">
        <v>3</v>
      </c>
      <c r="AK1484" s="4">
        <v>3</v>
      </c>
      <c r="AL1484" s="4">
        <v>23</v>
      </c>
      <c r="AM1484" s="4">
        <v>23</v>
      </c>
      <c r="AN1484" s="4">
        <v>0</v>
      </c>
      <c r="AO1484" s="4">
        <v>0</v>
      </c>
      <c r="AP1484" s="4">
        <v>3</v>
      </c>
      <c r="AQ1484" s="4">
        <v>3</v>
      </c>
      <c r="AR1484" s="3" t="s">
        <v>63</v>
      </c>
      <c r="AS1484" s="3" t="s">
        <v>63</v>
      </c>
      <c r="AT1484" s="3" t="s">
        <v>62</v>
      </c>
      <c r="AU1484" s="6" t="str">
        <f>HYPERLINK("http://catalog.hathitrust.org/Record/003882908","HathiTrust Record")</f>
        <v>HathiTrust Record</v>
      </c>
      <c r="AV1484" s="6" t="str">
        <f>HYPERLINK("http://mcgill.on.worldcat.org/oclc/52514437","Catalog Record")</f>
        <v>Catalog Record</v>
      </c>
      <c r="AW1484" s="6" t="str">
        <f>HYPERLINK("http://www.worldcat.org/oclc/52514437","WorldCat Record")</f>
        <v>WorldCat Record</v>
      </c>
      <c r="AX1484" s="3" t="s">
        <v>13450</v>
      </c>
      <c r="AY1484" s="3" t="s">
        <v>13451</v>
      </c>
      <c r="AZ1484" s="3" t="s">
        <v>13452</v>
      </c>
      <c r="BA1484" s="3" t="s">
        <v>13452</v>
      </c>
      <c r="BB1484" s="3" t="s">
        <v>13453</v>
      </c>
      <c r="BC1484" s="3" t="s">
        <v>82</v>
      </c>
      <c r="BD1484" s="3" t="s">
        <v>70</v>
      </c>
      <c r="BE1484" s="3" t="s">
        <v>13454</v>
      </c>
      <c r="BF1484" s="3" t="s">
        <v>13453</v>
      </c>
      <c r="BG1484" s="3" t="s">
        <v>13455</v>
      </c>
    </row>
    <row r="1485" spans="1:59" ht="60" x14ac:dyDescent="0.25">
      <c r="A1485" s="2" t="s">
        <v>59</v>
      </c>
      <c r="B1485" s="2" t="s">
        <v>60</v>
      </c>
      <c r="C1485" s="2" t="s">
        <v>13456</v>
      </c>
      <c r="D1485" s="2" t="s">
        <v>13457</v>
      </c>
      <c r="E1485" s="2" t="s">
        <v>13458</v>
      </c>
      <c r="G1485" s="3" t="s">
        <v>63</v>
      </c>
      <c r="I1485" s="3" t="s">
        <v>63</v>
      </c>
      <c r="J1485" s="3" t="s">
        <v>63</v>
      </c>
      <c r="K1485" s="3" t="s">
        <v>64</v>
      </c>
      <c r="L1485" s="2" t="s">
        <v>13459</v>
      </c>
      <c r="M1485" s="2" t="s">
        <v>13460</v>
      </c>
      <c r="N1485" s="3" t="s">
        <v>629</v>
      </c>
      <c r="P1485" s="3" t="s">
        <v>66</v>
      </c>
      <c r="Q1485" s="2" t="s">
        <v>3902</v>
      </c>
      <c r="R1485" s="3" t="s">
        <v>67</v>
      </c>
      <c r="S1485" s="4">
        <v>3</v>
      </c>
      <c r="T1485" s="4">
        <v>3</v>
      </c>
      <c r="U1485" s="5" t="s">
        <v>13461</v>
      </c>
      <c r="V1485" s="5" t="s">
        <v>13461</v>
      </c>
      <c r="W1485" s="5" t="s">
        <v>69</v>
      </c>
      <c r="X1485" s="5" t="s">
        <v>69</v>
      </c>
      <c r="Y1485" s="4">
        <v>154</v>
      </c>
      <c r="Z1485" s="4">
        <v>14</v>
      </c>
      <c r="AA1485" s="4">
        <v>21</v>
      </c>
      <c r="AB1485" s="4">
        <v>1</v>
      </c>
      <c r="AC1485" s="4">
        <v>5</v>
      </c>
      <c r="AD1485" s="4">
        <v>71</v>
      </c>
      <c r="AE1485" s="4">
        <v>80</v>
      </c>
      <c r="AF1485" s="4">
        <v>0</v>
      </c>
      <c r="AG1485" s="4">
        <v>1</v>
      </c>
      <c r="AH1485" s="4">
        <v>66</v>
      </c>
      <c r="AI1485" s="4">
        <v>71</v>
      </c>
      <c r="AJ1485" s="4">
        <v>11</v>
      </c>
      <c r="AK1485" s="4">
        <v>13</v>
      </c>
      <c r="AL1485" s="4">
        <v>43</v>
      </c>
      <c r="AM1485" s="4">
        <v>46</v>
      </c>
      <c r="AN1485" s="4">
        <v>0</v>
      </c>
      <c r="AO1485" s="4">
        <v>0</v>
      </c>
      <c r="AP1485" s="4">
        <v>11</v>
      </c>
      <c r="AQ1485" s="4">
        <v>15</v>
      </c>
      <c r="AR1485" s="3" t="s">
        <v>63</v>
      </c>
      <c r="AS1485" s="3" t="s">
        <v>63</v>
      </c>
      <c r="AT1485" s="3" t="s">
        <v>62</v>
      </c>
      <c r="AU1485" s="6" t="str">
        <f>HYPERLINK("http://catalog.hathitrust.org/Record/011244399","HathiTrust Record")</f>
        <v>HathiTrust Record</v>
      </c>
      <c r="AV1485" s="6" t="str">
        <f>HYPERLINK("http://mcgill.on.worldcat.org/oclc/635467149","Catalog Record")</f>
        <v>Catalog Record</v>
      </c>
      <c r="AW1485" s="6" t="str">
        <f>HYPERLINK("http://www.worldcat.org/oclc/635467149","WorldCat Record")</f>
        <v>WorldCat Record</v>
      </c>
      <c r="AX1485" s="3" t="s">
        <v>13462</v>
      </c>
      <c r="AY1485" s="3" t="s">
        <v>13463</v>
      </c>
      <c r="AZ1485" s="3" t="s">
        <v>13464</v>
      </c>
      <c r="BA1485" s="3" t="s">
        <v>13464</v>
      </c>
      <c r="BB1485" s="3" t="s">
        <v>13465</v>
      </c>
      <c r="BC1485" s="3" t="s">
        <v>82</v>
      </c>
      <c r="BD1485" s="3" t="s">
        <v>70</v>
      </c>
      <c r="BE1485" s="3" t="s">
        <v>13466</v>
      </c>
      <c r="BF1485" s="3" t="s">
        <v>13465</v>
      </c>
      <c r="BG1485" s="3" t="s">
        <v>13467</v>
      </c>
    </row>
    <row r="1486" spans="1:59" ht="60" x14ac:dyDescent="0.25">
      <c r="A1486" s="2" t="s">
        <v>59</v>
      </c>
      <c r="B1486" s="2" t="s">
        <v>60</v>
      </c>
      <c r="C1486" s="2" t="s">
        <v>13468</v>
      </c>
      <c r="D1486" s="2" t="s">
        <v>13469</v>
      </c>
      <c r="E1486" s="2" t="s">
        <v>13470</v>
      </c>
      <c r="G1486" s="3" t="s">
        <v>63</v>
      </c>
      <c r="I1486" s="3" t="s">
        <v>63</v>
      </c>
      <c r="J1486" s="3" t="s">
        <v>63</v>
      </c>
      <c r="K1486" s="3" t="s">
        <v>64</v>
      </c>
      <c r="L1486" s="2" t="s">
        <v>13471</v>
      </c>
      <c r="M1486" s="2" t="s">
        <v>13472</v>
      </c>
      <c r="N1486" s="3" t="s">
        <v>706</v>
      </c>
      <c r="P1486" s="3" t="s">
        <v>66</v>
      </c>
      <c r="R1486" s="3" t="s">
        <v>67</v>
      </c>
      <c r="S1486" s="4">
        <v>12</v>
      </c>
      <c r="T1486" s="4">
        <v>12</v>
      </c>
      <c r="U1486" s="5" t="s">
        <v>13461</v>
      </c>
      <c r="V1486" s="5" t="s">
        <v>13461</v>
      </c>
      <c r="W1486" s="5" t="s">
        <v>69</v>
      </c>
      <c r="X1486" s="5" t="s">
        <v>69</v>
      </c>
      <c r="Y1486" s="4">
        <v>465</v>
      </c>
      <c r="Z1486" s="4">
        <v>28</v>
      </c>
      <c r="AA1486" s="4">
        <v>32</v>
      </c>
      <c r="AB1486" s="4">
        <v>2</v>
      </c>
      <c r="AC1486" s="4">
        <v>4</v>
      </c>
      <c r="AD1486" s="4">
        <v>122</v>
      </c>
      <c r="AE1486" s="4">
        <v>125</v>
      </c>
      <c r="AF1486" s="4">
        <v>1</v>
      </c>
      <c r="AG1486" s="4">
        <v>2</v>
      </c>
      <c r="AH1486" s="4">
        <v>105</v>
      </c>
      <c r="AI1486" s="4">
        <v>106</v>
      </c>
      <c r="AJ1486" s="4">
        <v>20</v>
      </c>
      <c r="AK1486" s="4">
        <v>21</v>
      </c>
      <c r="AL1486" s="4">
        <v>56</v>
      </c>
      <c r="AM1486" s="4">
        <v>57</v>
      </c>
      <c r="AN1486" s="4">
        <v>0</v>
      </c>
      <c r="AO1486" s="4">
        <v>0</v>
      </c>
      <c r="AP1486" s="4">
        <v>22</v>
      </c>
      <c r="AQ1486" s="4">
        <v>23</v>
      </c>
      <c r="AR1486" s="3" t="s">
        <v>63</v>
      </c>
      <c r="AS1486" s="3" t="s">
        <v>63</v>
      </c>
      <c r="AT1486" s="3" t="s">
        <v>62</v>
      </c>
      <c r="AU1486" s="6" t="str">
        <f>HYPERLINK("http://catalog.hathitrust.org/Record/000488447","HathiTrust Record")</f>
        <v>HathiTrust Record</v>
      </c>
      <c r="AV1486" s="6" t="str">
        <f>HYPERLINK("http://mcgill.on.worldcat.org/oclc/13582210","Catalog Record")</f>
        <v>Catalog Record</v>
      </c>
      <c r="AW1486" s="6" t="str">
        <f>HYPERLINK("http://www.worldcat.org/oclc/13582210","WorldCat Record")</f>
        <v>WorldCat Record</v>
      </c>
      <c r="AX1486" s="3" t="s">
        <v>13473</v>
      </c>
      <c r="AY1486" s="3" t="s">
        <v>13474</v>
      </c>
      <c r="AZ1486" s="3" t="s">
        <v>13475</v>
      </c>
      <c r="BA1486" s="3" t="s">
        <v>13475</v>
      </c>
      <c r="BB1486" s="3" t="s">
        <v>13476</v>
      </c>
      <c r="BC1486" s="3" t="s">
        <v>82</v>
      </c>
      <c r="BD1486" s="3" t="s">
        <v>70</v>
      </c>
      <c r="BE1486" s="3" t="s">
        <v>13477</v>
      </c>
      <c r="BF1486" s="3" t="s">
        <v>13476</v>
      </c>
      <c r="BG1486" s="3" t="s">
        <v>13478</v>
      </c>
    </row>
    <row r="1487" spans="1:59" ht="60" x14ac:dyDescent="0.25">
      <c r="A1487" s="2" t="s">
        <v>59</v>
      </c>
      <c r="B1487" s="2" t="s">
        <v>60</v>
      </c>
      <c r="C1487" s="2" t="s">
        <v>13479</v>
      </c>
      <c r="D1487" s="2" t="s">
        <v>13480</v>
      </c>
      <c r="E1487" s="2" t="s">
        <v>13481</v>
      </c>
      <c r="G1487" s="3" t="s">
        <v>63</v>
      </c>
      <c r="I1487" s="3" t="s">
        <v>63</v>
      </c>
      <c r="J1487" s="3" t="s">
        <v>63</v>
      </c>
      <c r="K1487" s="3" t="s">
        <v>64</v>
      </c>
      <c r="L1487" s="2" t="s">
        <v>13482</v>
      </c>
      <c r="M1487" s="2" t="s">
        <v>13483</v>
      </c>
      <c r="N1487" s="3" t="s">
        <v>106</v>
      </c>
      <c r="P1487" s="3" t="s">
        <v>66</v>
      </c>
      <c r="Q1487" s="2" t="s">
        <v>13484</v>
      </c>
      <c r="R1487" s="3" t="s">
        <v>67</v>
      </c>
      <c r="S1487" s="4">
        <v>0</v>
      </c>
      <c r="T1487" s="4">
        <v>0</v>
      </c>
      <c r="W1487" s="5" t="s">
        <v>69</v>
      </c>
      <c r="X1487" s="5" t="s">
        <v>69</v>
      </c>
      <c r="Y1487" s="4">
        <v>86</v>
      </c>
      <c r="Z1487" s="4">
        <v>8</v>
      </c>
      <c r="AA1487" s="4">
        <v>72</v>
      </c>
      <c r="AB1487" s="4">
        <v>1</v>
      </c>
      <c r="AC1487" s="4">
        <v>14</v>
      </c>
      <c r="AD1487" s="4">
        <v>46</v>
      </c>
      <c r="AE1487" s="4">
        <v>101</v>
      </c>
      <c r="AF1487" s="4">
        <v>0</v>
      </c>
      <c r="AG1487" s="4">
        <v>8</v>
      </c>
      <c r="AH1487" s="4">
        <v>41</v>
      </c>
      <c r="AI1487" s="4">
        <v>69</v>
      </c>
      <c r="AJ1487" s="4">
        <v>5</v>
      </c>
      <c r="AK1487" s="4">
        <v>19</v>
      </c>
      <c r="AL1487" s="4">
        <v>33</v>
      </c>
      <c r="AM1487" s="4">
        <v>41</v>
      </c>
      <c r="AN1487" s="4">
        <v>0</v>
      </c>
      <c r="AO1487" s="4">
        <v>0</v>
      </c>
      <c r="AP1487" s="4">
        <v>5</v>
      </c>
      <c r="AQ1487" s="4">
        <v>38</v>
      </c>
      <c r="AR1487" s="3" t="s">
        <v>63</v>
      </c>
      <c r="AS1487" s="3" t="s">
        <v>63</v>
      </c>
      <c r="AT1487" s="3" t="s">
        <v>63</v>
      </c>
      <c r="AV1487" s="6" t="str">
        <f>HYPERLINK("http://mcgill.on.worldcat.org/oclc/953738394","Catalog Record")</f>
        <v>Catalog Record</v>
      </c>
      <c r="AW1487" s="6" t="str">
        <f>HYPERLINK("http://www.worldcat.org/oclc/953738394","WorldCat Record")</f>
        <v>WorldCat Record</v>
      </c>
      <c r="AX1487" s="3" t="s">
        <v>13485</v>
      </c>
      <c r="AY1487" s="3" t="s">
        <v>13486</v>
      </c>
      <c r="AZ1487" s="3" t="s">
        <v>13487</v>
      </c>
      <c r="BA1487" s="3" t="s">
        <v>13487</v>
      </c>
      <c r="BB1487" s="3" t="s">
        <v>13488</v>
      </c>
      <c r="BC1487" s="3" t="s">
        <v>82</v>
      </c>
      <c r="BD1487" s="3" t="s">
        <v>70</v>
      </c>
      <c r="BE1487" s="3" t="s">
        <v>13489</v>
      </c>
      <c r="BF1487" s="3" t="s">
        <v>13488</v>
      </c>
      <c r="BG1487" s="3" t="s">
        <v>13490</v>
      </c>
    </row>
    <row r="1488" spans="1:59" ht="60" x14ac:dyDescent="0.25">
      <c r="A1488" s="2" t="s">
        <v>59</v>
      </c>
      <c r="B1488" s="2" t="s">
        <v>60</v>
      </c>
      <c r="C1488" s="2" t="s">
        <v>13491</v>
      </c>
      <c r="D1488" s="2" t="s">
        <v>13492</v>
      </c>
      <c r="E1488" s="2" t="s">
        <v>13493</v>
      </c>
      <c r="G1488" s="3" t="s">
        <v>63</v>
      </c>
      <c r="I1488" s="3" t="s">
        <v>63</v>
      </c>
      <c r="J1488" s="3" t="s">
        <v>63</v>
      </c>
      <c r="K1488" s="3" t="s">
        <v>64</v>
      </c>
      <c r="L1488" s="2" t="s">
        <v>13494</v>
      </c>
      <c r="M1488" s="2" t="s">
        <v>13495</v>
      </c>
      <c r="N1488" s="3" t="s">
        <v>76</v>
      </c>
      <c r="P1488" s="3" t="s">
        <v>66</v>
      </c>
      <c r="R1488" s="3" t="s">
        <v>67</v>
      </c>
      <c r="S1488" s="4">
        <v>5</v>
      </c>
      <c r="T1488" s="4">
        <v>5</v>
      </c>
      <c r="U1488" s="5" t="s">
        <v>12898</v>
      </c>
      <c r="V1488" s="5" t="s">
        <v>12898</v>
      </c>
      <c r="W1488" s="5" t="s">
        <v>69</v>
      </c>
      <c r="X1488" s="5" t="s">
        <v>69</v>
      </c>
      <c r="Y1488" s="4">
        <v>214</v>
      </c>
      <c r="Z1488" s="4">
        <v>15</v>
      </c>
      <c r="AA1488" s="4">
        <v>30</v>
      </c>
      <c r="AB1488" s="4">
        <v>1</v>
      </c>
      <c r="AC1488" s="4">
        <v>4</v>
      </c>
      <c r="AD1488" s="4">
        <v>70</v>
      </c>
      <c r="AE1488" s="4">
        <v>94</v>
      </c>
      <c r="AF1488" s="4">
        <v>0</v>
      </c>
      <c r="AG1488" s="4">
        <v>0</v>
      </c>
      <c r="AH1488" s="4">
        <v>65</v>
      </c>
      <c r="AI1488" s="4">
        <v>82</v>
      </c>
      <c r="AJ1488" s="4">
        <v>8</v>
      </c>
      <c r="AK1488" s="4">
        <v>10</v>
      </c>
      <c r="AL1488" s="4">
        <v>42</v>
      </c>
      <c r="AM1488" s="4">
        <v>49</v>
      </c>
      <c r="AN1488" s="4">
        <v>0</v>
      </c>
      <c r="AO1488" s="4">
        <v>0</v>
      </c>
      <c r="AP1488" s="4">
        <v>9</v>
      </c>
      <c r="AQ1488" s="4">
        <v>17</v>
      </c>
      <c r="AR1488" s="3" t="s">
        <v>63</v>
      </c>
      <c r="AS1488" s="3" t="s">
        <v>63</v>
      </c>
      <c r="AT1488" s="3" t="s">
        <v>63</v>
      </c>
      <c r="AV1488" s="6" t="str">
        <f>HYPERLINK("http://mcgill.on.worldcat.org/oclc/758243991","Catalog Record")</f>
        <v>Catalog Record</v>
      </c>
      <c r="AW1488" s="6" t="str">
        <f>HYPERLINK("http://www.worldcat.org/oclc/758243991","WorldCat Record")</f>
        <v>WorldCat Record</v>
      </c>
      <c r="AX1488" s="3" t="s">
        <v>13496</v>
      </c>
      <c r="AY1488" s="3" t="s">
        <v>13497</v>
      </c>
      <c r="AZ1488" s="3" t="s">
        <v>13498</v>
      </c>
      <c r="BA1488" s="3" t="s">
        <v>13498</v>
      </c>
      <c r="BB1488" s="3" t="s">
        <v>13499</v>
      </c>
      <c r="BC1488" s="3" t="s">
        <v>82</v>
      </c>
      <c r="BD1488" s="3" t="s">
        <v>70</v>
      </c>
      <c r="BE1488" s="3" t="s">
        <v>13500</v>
      </c>
      <c r="BF1488" s="3" t="s">
        <v>13499</v>
      </c>
      <c r="BG1488" s="3" t="s">
        <v>13501</v>
      </c>
    </row>
    <row r="1489" spans="1:59" ht="60" x14ac:dyDescent="0.25">
      <c r="A1489" s="2" t="s">
        <v>59</v>
      </c>
      <c r="B1489" s="2" t="s">
        <v>60</v>
      </c>
      <c r="C1489" s="2" t="s">
        <v>13502</v>
      </c>
      <c r="D1489" s="2" t="s">
        <v>13503</v>
      </c>
      <c r="E1489" s="2" t="s">
        <v>13504</v>
      </c>
      <c r="G1489" s="3" t="s">
        <v>63</v>
      </c>
      <c r="I1489" s="3" t="s">
        <v>62</v>
      </c>
      <c r="J1489" s="3" t="s">
        <v>63</v>
      </c>
      <c r="K1489" s="3" t="s">
        <v>64</v>
      </c>
      <c r="L1489" s="2" t="s">
        <v>13505</v>
      </c>
      <c r="M1489" s="2" t="s">
        <v>13506</v>
      </c>
      <c r="N1489" s="3" t="s">
        <v>362</v>
      </c>
      <c r="P1489" s="3" t="s">
        <v>66</v>
      </c>
      <c r="Q1489" s="2" t="s">
        <v>13507</v>
      </c>
      <c r="R1489" s="3" t="s">
        <v>67</v>
      </c>
      <c r="S1489" s="4">
        <v>0</v>
      </c>
      <c r="T1489" s="4">
        <v>13</v>
      </c>
      <c r="V1489" s="5" t="s">
        <v>10997</v>
      </c>
      <c r="W1489" s="5" t="s">
        <v>69</v>
      </c>
      <c r="X1489" s="5" t="s">
        <v>69</v>
      </c>
      <c r="Y1489" s="4">
        <v>129</v>
      </c>
      <c r="Z1489" s="4">
        <v>4</v>
      </c>
      <c r="AA1489" s="4">
        <v>10</v>
      </c>
      <c r="AB1489" s="4">
        <v>1</v>
      </c>
      <c r="AC1489" s="4">
        <v>1</v>
      </c>
      <c r="AD1489" s="4">
        <v>62</v>
      </c>
      <c r="AE1489" s="4">
        <v>80</v>
      </c>
      <c r="AF1489" s="4">
        <v>0</v>
      </c>
      <c r="AG1489" s="4">
        <v>0</v>
      </c>
      <c r="AH1489" s="4">
        <v>59</v>
      </c>
      <c r="AI1489" s="4">
        <v>74</v>
      </c>
      <c r="AJ1489" s="4">
        <v>3</v>
      </c>
      <c r="AK1489" s="4">
        <v>6</v>
      </c>
      <c r="AL1489" s="4">
        <v>31</v>
      </c>
      <c r="AM1489" s="4">
        <v>40</v>
      </c>
      <c r="AN1489" s="4">
        <v>0</v>
      </c>
      <c r="AO1489" s="4">
        <v>0</v>
      </c>
      <c r="AP1489" s="4">
        <v>3</v>
      </c>
      <c r="AQ1489" s="4">
        <v>7</v>
      </c>
      <c r="AR1489" s="3" t="s">
        <v>63</v>
      </c>
      <c r="AS1489" s="3" t="s">
        <v>63</v>
      </c>
      <c r="AT1489" s="3" t="s">
        <v>62</v>
      </c>
      <c r="AU1489" s="6" t="str">
        <f>HYPERLINK("http://catalog.hathitrust.org/Record/004166466","HathiTrust Record")</f>
        <v>HathiTrust Record</v>
      </c>
      <c r="AV1489" s="6" t="str">
        <f>HYPERLINK("http://mcgill.on.worldcat.org/oclc/46844980","Catalog Record")</f>
        <v>Catalog Record</v>
      </c>
      <c r="AW1489" s="6" t="str">
        <f>HYPERLINK("http://www.worldcat.org/oclc/46844980","WorldCat Record")</f>
        <v>WorldCat Record</v>
      </c>
      <c r="AX1489" s="3" t="s">
        <v>13508</v>
      </c>
      <c r="AY1489" s="3" t="s">
        <v>13509</v>
      </c>
      <c r="AZ1489" s="3" t="s">
        <v>13510</v>
      </c>
      <c r="BA1489" s="3" t="s">
        <v>13510</v>
      </c>
      <c r="BB1489" s="3" t="s">
        <v>13511</v>
      </c>
      <c r="BC1489" s="3" t="s">
        <v>82</v>
      </c>
      <c r="BD1489" s="3" t="s">
        <v>70</v>
      </c>
      <c r="BE1489" s="3" t="s">
        <v>13512</v>
      </c>
      <c r="BF1489" s="3" t="s">
        <v>13511</v>
      </c>
      <c r="BG1489" s="3" t="s">
        <v>13513</v>
      </c>
    </row>
    <row r="1490" spans="1:59" ht="60" x14ac:dyDescent="0.25">
      <c r="A1490" s="2" t="s">
        <v>59</v>
      </c>
      <c r="B1490" s="2" t="s">
        <v>60</v>
      </c>
      <c r="C1490" s="2" t="s">
        <v>13502</v>
      </c>
      <c r="D1490" s="2" t="s">
        <v>13503</v>
      </c>
      <c r="E1490" s="2" t="s">
        <v>13504</v>
      </c>
      <c r="G1490" s="3" t="s">
        <v>63</v>
      </c>
      <c r="I1490" s="3" t="s">
        <v>62</v>
      </c>
      <c r="J1490" s="3" t="s">
        <v>63</v>
      </c>
      <c r="K1490" s="3" t="s">
        <v>64</v>
      </c>
      <c r="L1490" s="2" t="s">
        <v>13505</v>
      </c>
      <c r="M1490" s="2" t="s">
        <v>13506</v>
      </c>
      <c r="N1490" s="3" t="s">
        <v>362</v>
      </c>
      <c r="P1490" s="3" t="s">
        <v>66</v>
      </c>
      <c r="Q1490" s="2" t="s">
        <v>13507</v>
      </c>
      <c r="R1490" s="3" t="s">
        <v>67</v>
      </c>
      <c r="S1490" s="4">
        <v>13</v>
      </c>
      <c r="T1490" s="4">
        <v>13</v>
      </c>
      <c r="U1490" s="5" t="s">
        <v>10997</v>
      </c>
      <c r="V1490" s="5" t="s">
        <v>10997</v>
      </c>
      <c r="W1490" s="5" t="s">
        <v>69</v>
      </c>
      <c r="X1490" s="5" t="s">
        <v>69</v>
      </c>
      <c r="Y1490" s="4">
        <v>129</v>
      </c>
      <c r="Z1490" s="4">
        <v>4</v>
      </c>
      <c r="AA1490" s="4">
        <v>10</v>
      </c>
      <c r="AB1490" s="4">
        <v>1</v>
      </c>
      <c r="AC1490" s="4">
        <v>1</v>
      </c>
      <c r="AD1490" s="4">
        <v>62</v>
      </c>
      <c r="AE1490" s="4">
        <v>80</v>
      </c>
      <c r="AF1490" s="4">
        <v>0</v>
      </c>
      <c r="AG1490" s="4">
        <v>0</v>
      </c>
      <c r="AH1490" s="4">
        <v>59</v>
      </c>
      <c r="AI1490" s="4">
        <v>74</v>
      </c>
      <c r="AJ1490" s="4">
        <v>3</v>
      </c>
      <c r="AK1490" s="4">
        <v>6</v>
      </c>
      <c r="AL1490" s="4">
        <v>31</v>
      </c>
      <c r="AM1490" s="4">
        <v>40</v>
      </c>
      <c r="AN1490" s="4">
        <v>0</v>
      </c>
      <c r="AO1490" s="4">
        <v>0</v>
      </c>
      <c r="AP1490" s="4">
        <v>3</v>
      </c>
      <c r="AQ1490" s="4">
        <v>7</v>
      </c>
      <c r="AR1490" s="3" t="s">
        <v>63</v>
      </c>
      <c r="AS1490" s="3" t="s">
        <v>63</v>
      </c>
      <c r="AT1490" s="3" t="s">
        <v>62</v>
      </c>
      <c r="AU1490" s="6" t="str">
        <f>HYPERLINK("http://catalog.hathitrust.org/Record/004166466","HathiTrust Record")</f>
        <v>HathiTrust Record</v>
      </c>
      <c r="AV1490" s="6" t="str">
        <f>HYPERLINK("http://mcgill.on.worldcat.org/oclc/46844980","Catalog Record")</f>
        <v>Catalog Record</v>
      </c>
      <c r="AW1490" s="6" t="str">
        <f>HYPERLINK("http://www.worldcat.org/oclc/46844980","WorldCat Record")</f>
        <v>WorldCat Record</v>
      </c>
      <c r="AX1490" s="3" t="s">
        <v>13508</v>
      </c>
      <c r="AY1490" s="3" t="s">
        <v>13509</v>
      </c>
      <c r="AZ1490" s="3" t="s">
        <v>13510</v>
      </c>
      <c r="BA1490" s="3" t="s">
        <v>13510</v>
      </c>
      <c r="BB1490" s="3" t="s">
        <v>13514</v>
      </c>
      <c r="BC1490" s="3" t="s">
        <v>82</v>
      </c>
      <c r="BD1490" s="3" t="s">
        <v>70</v>
      </c>
      <c r="BE1490" s="3" t="s">
        <v>13512</v>
      </c>
      <c r="BF1490" s="3" t="s">
        <v>13514</v>
      </c>
      <c r="BG1490" s="3" t="s">
        <v>13515</v>
      </c>
    </row>
    <row r="1491" spans="1:59" ht="60" x14ac:dyDescent="0.25">
      <c r="A1491" s="2" t="s">
        <v>59</v>
      </c>
      <c r="B1491" s="2" t="s">
        <v>60</v>
      </c>
      <c r="C1491" s="2" t="s">
        <v>13516</v>
      </c>
      <c r="D1491" s="2" t="s">
        <v>13517</v>
      </c>
      <c r="E1491" s="2" t="s">
        <v>13518</v>
      </c>
      <c r="G1491" s="3" t="s">
        <v>63</v>
      </c>
      <c r="I1491" s="3" t="s">
        <v>63</v>
      </c>
      <c r="J1491" s="3" t="s">
        <v>63</v>
      </c>
      <c r="K1491" s="3" t="s">
        <v>64</v>
      </c>
      <c r="L1491" s="2" t="s">
        <v>13519</v>
      </c>
      <c r="M1491" s="2" t="s">
        <v>4660</v>
      </c>
      <c r="N1491" s="3" t="s">
        <v>313</v>
      </c>
      <c r="P1491" s="3" t="s">
        <v>66</v>
      </c>
      <c r="Q1491" s="2" t="s">
        <v>3902</v>
      </c>
      <c r="R1491" s="3" t="s">
        <v>67</v>
      </c>
      <c r="S1491" s="4">
        <v>10</v>
      </c>
      <c r="T1491" s="4">
        <v>10</v>
      </c>
      <c r="U1491" s="5" t="s">
        <v>6849</v>
      </c>
      <c r="V1491" s="5" t="s">
        <v>6849</v>
      </c>
      <c r="W1491" s="5" t="s">
        <v>69</v>
      </c>
      <c r="X1491" s="5" t="s">
        <v>69</v>
      </c>
      <c r="Y1491" s="4">
        <v>178</v>
      </c>
      <c r="Z1491" s="4">
        <v>12</v>
      </c>
      <c r="AA1491" s="4">
        <v>18</v>
      </c>
      <c r="AB1491" s="4">
        <v>1</v>
      </c>
      <c r="AC1491" s="4">
        <v>5</v>
      </c>
      <c r="AD1491" s="4">
        <v>84</v>
      </c>
      <c r="AE1491" s="4">
        <v>92</v>
      </c>
      <c r="AF1491" s="4">
        <v>0</v>
      </c>
      <c r="AG1491" s="4">
        <v>1</v>
      </c>
      <c r="AH1491" s="4">
        <v>79</v>
      </c>
      <c r="AI1491" s="4">
        <v>84</v>
      </c>
      <c r="AJ1491" s="4">
        <v>9</v>
      </c>
      <c r="AK1491" s="4">
        <v>10</v>
      </c>
      <c r="AL1491" s="4">
        <v>52</v>
      </c>
      <c r="AM1491" s="4">
        <v>55</v>
      </c>
      <c r="AN1491" s="4">
        <v>0</v>
      </c>
      <c r="AO1491" s="4">
        <v>0</v>
      </c>
      <c r="AP1491" s="4">
        <v>9</v>
      </c>
      <c r="AQ1491" s="4">
        <v>12</v>
      </c>
      <c r="AR1491" s="3" t="s">
        <v>63</v>
      </c>
      <c r="AS1491" s="3" t="s">
        <v>63</v>
      </c>
      <c r="AT1491" s="3" t="s">
        <v>63</v>
      </c>
      <c r="AV1491" s="6" t="str">
        <f>HYPERLINK("http://mcgill.on.worldcat.org/oclc/449859328","Catalog Record")</f>
        <v>Catalog Record</v>
      </c>
      <c r="AW1491" s="6" t="str">
        <f>HYPERLINK("http://www.worldcat.org/oclc/449859328","WorldCat Record")</f>
        <v>WorldCat Record</v>
      </c>
      <c r="AX1491" s="3" t="s">
        <v>13520</v>
      </c>
      <c r="AY1491" s="3" t="s">
        <v>13521</v>
      </c>
      <c r="AZ1491" s="3" t="s">
        <v>13522</v>
      </c>
      <c r="BA1491" s="3" t="s">
        <v>13522</v>
      </c>
      <c r="BB1491" s="3" t="s">
        <v>13523</v>
      </c>
      <c r="BC1491" s="3" t="s">
        <v>82</v>
      </c>
      <c r="BD1491" s="3" t="s">
        <v>70</v>
      </c>
      <c r="BE1491" s="3" t="s">
        <v>13524</v>
      </c>
      <c r="BF1491" s="3" t="s">
        <v>13523</v>
      </c>
      <c r="BG1491" s="3" t="s">
        <v>13525</v>
      </c>
    </row>
    <row r="1492" spans="1:59" ht="60" x14ac:dyDescent="0.25">
      <c r="A1492" s="2" t="s">
        <v>59</v>
      </c>
      <c r="B1492" s="2" t="s">
        <v>60</v>
      </c>
      <c r="C1492" s="2" t="s">
        <v>13526</v>
      </c>
      <c r="D1492" s="2" t="s">
        <v>13527</v>
      </c>
      <c r="E1492" s="2" t="s">
        <v>13528</v>
      </c>
      <c r="G1492" s="3" t="s">
        <v>63</v>
      </c>
      <c r="I1492" s="3" t="s">
        <v>63</v>
      </c>
      <c r="J1492" s="3" t="s">
        <v>63</v>
      </c>
      <c r="K1492" s="3" t="s">
        <v>64</v>
      </c>
      <c r="L1492" s="2" t="s">
        <v>13529</v>
      </c>
      <c r="M1492" s="2" t="s">
        <v>13530</v>
      </c>
      <c r="N1492" s="3" t="s">
        <v>693</v>
      </c>
      <c r="P1492" s="3" t="s">
        <v>66</v>
      </c>
      <c r="Q1492" s="2" t="s">
        <v>13531</v>
      </c>
      <c r="R1492" s="3" t="s">
        <v>67</v>
      </c>
      <c r="S1492" s="4">
        <v>22</v>
      </c>
      <c r="T1492" s="4">
        <v>22</v>
      </c>
      <c r="U1492" s="5" t="s">
        <v>5434</v>
      </c>
      <c r="V1492" s="5" t="s">
        <v>5434</v>
      </c>
      <c r="W1492" s="5" t="s">
        <v>69</v>
      </c>
      <c r="X1492" s="5" t="s">
        <v>69</v>
      </c>
      <c r="Y1492" s="4">
        <v>146</v>
      </c>
      <c r="Z1492" s="4">
        <v>10</v>
      </c>
      <c r="AA1492" s="4">
        <v>59</v>
      </c>
      <c r="AB1492" s="4">
        <v>1</v>
      </c>
      <c r="AC1492" s="4">
        <v>17</v>
      </c>
      <c r="AD1492" s="4">
        <v>71</v>
      </c>
      <c r="AE1492" s="4">
        <v>112</v>
      </c>
      <c r="AF1492" s="4">
        <v>0</v>
      </c>
      <c r="AG1492" s="4">
        <v>8</v>
      </c>
      <c r="AH1492" s="4">
        <v>65</v>
      </c>
      <c r="AI1492" s="4">
        <v>73</v>
      </c>
      <c r="AJ1492" s="4">
        <v>8</v>
      </c>
      <c r="AK1492" s="4">
        <v>22</v>
      </c>
      <c r="AL1492" s="4">
        <v>45</v>
      </c>
      <c r="AM1492" s="4">
        <v>45</v>
      </c>
      <c r="AN1492" s="4">
        <v>0</v>
      </c>
      <c r="AO1492" s="4">
        <v>0</v>
      </c>
      <c r="AP1492" s="4">
        <v>8</v>
      </c>
      <c r="AQ1492" s="4">
        <v>46</v>
      </c>
      <c r="AR1492" s="3" t="s">
        <v>63</v>
      </c>
      <c r="AS1492" s="3" t="s">
        <v>63</v>
      </c>
      <c r="AT1492" s="3" t="s">
        <v>63</v>
      </c>
      <c r="AV1492" s="6" t="str">
        <f>HYPERLINK("http://mcgill.on.worldcat.org/oclc/51810760","Catalog Record")</f>
        <v>Catalog Record</v>
      </c>
      <c r="AW1492" s="6" t="str">
        <f>HYPERLINK("http://www.worldcat.org/oclc/51810760","WorldCat Record")</f>
        <v>WorldCat Record</v>
      </c>
      <c r="AX1492" s="3" t="s">
        <v>13532</v>
      </c>
      <c r="AY1492" s="3" t="s">
        <v>13533</v>
      </c>
      <c r="AZ1492" s="3" t="s">
        <v>13534</v>
      </c>
      <c r="BA1492" s="3" t="s">
        <v>13534</v>
      </c>
      <c r="BB1492" s="3" t="s">
        <v>13535</v>
      </c>
      <c r="BC1492" s="3" t="s">
        <v>82</v>
      </c>
      <c r="BD1492" s="3" t="s">
        <v>538</v>
      </c>
      <c r="BE1492" s="3" t="s">
        <v>13536</v>
      </c>
      <c r="BF1492" s="3" t="s">
        <v>13535</v>
      </c>
      <c r="BG1492" s="3" t="s">
        <v>13537</v>
      </c>
    </row>
    <row r="1493" spans="1:59" ht="60" x14ac:dyDescent="0.25">
      <c r="A1493" s="2" t="s">
        <v>59</v>
      </c>
      <c r="B1493" s="2" t="s">
        <v>60</v>
      </c>
      <c r="C1493" s="2" t="s">
        <v>13538</v>
      </c>
      <c r="D1493" s="2" t="s">
        <v>13539</v>
      </c>
      <c r="E1493" s="2" t="s">
        <v>13540</v>
      </c>
      <c r="G1493" s="3" t="s">
        <v>63</v>
      </c>
      <c r="I1493" s="3" t="s">
        <v>63</v>
      </c>
      <c r="J1493" s="3" t="s">
        <v>63</v>
      </c>
      <c r="K1493" s="3" t="s">
        <v>64</v>
      </c>
      <c r="L1493" s="2" t="s">
        <v>13541</v>
      </c>
      <c r="M1493" s="2" t="s">
        <v>1308</v>
      </c>
      <c r="N1493" s="3" t="s">
        <v>204</v>
      </c>
      <c r="P1493" s="3" t="s">
        <v>66</v>
      </c>
      <c r="Q1493" s="2" t="s">
        <v>3902</v>
      </c>
      <c r="R1493" s="3" t="s">
        <v>67</v>
      </c>
      <c r="S1493" s="4">
        <v>30</v>
      </c>
      <c r="T1493" s="4">
        <v>30</v>
      </c>
      <c r="U1493" s="5" t="s">
        <v>5434</v>
      </c>
      <c r="V1493" s="5" t="s">
        <v>5434</v>
      </c>
      <c r="W1493" s="5" t="s">
        <v>69</v>
      </c>
      <c r="X1493" s="5" t="s">
        <v>69</v>
      </c>
      <c r="Y1493" s="4">
        <v>238</v>
      </c>
      <c r="Z1493" s="4">
        <v>19</v>
      </c>
      <c r="AA1493" s="4">
        <v>32</v>
      </c>
      <c r="AB1493" s="4">
        <v>1</v>
      </c>
      <c r="AC1493" s="4">
        <v>6</v>
      </c>
      <c r="AD1493" s="4">
        <v>105</v>
      </c>
      <c r="AE1493" s="4">
        <v>117</v>
      </c>
      <c r="AF1493" s="4">
        <v>0</v>
      </c>
      <c r="AG1493" s="4">
        <v>3</v>
      </c>
      <c r="AH1493" s="4">
        <v>97</v>
      </c>
      <c r="AI1493" s="4">
        <v>100</v>
      </c>
      <c r="AJ1493" s="4">
        <v>15</v>
      </c>
      <c r="AK1493" s="4">
        <v>20</v>
      </c>
      <c r="AL1493" s="4">
        <v>53</v>
      </c>
      <c r="AM1493" s="4">
        <v>54</v>
      </c>
      <c r="AN1493" s="4">
        <v>0</v>
      </c>
      <c r="AO1493" s="4">
        <v>0</v>
      </c>
      <c r="AP1493" s="4">
        <v>17</v>
      </c>
      <c r="AQ1493" s="4">
        <v>25</v>
      </c>
      <c r="AR1493" s="3" t="s">
        <v>63</v>
      </c>
      <c r="AS1493" s="3" t="s">
        <v>63</v>
      </c>
      <c r="AT1493" s="3" t="s">
        <v>62</v>
      </c>
      <c r="AU1493" s="6" t="str">
        <f>HYPERLINK("http://catalog.hathitrust.org/Record/003104130","HathiTrust Record")</f>
        <v>HathiTrust Record</v>
      </c>
      <c r="AV1493" s="6" t="str">
        <f>HYPERLINK("http://mcgill.on.worldcat.org/oclc/34633338","Catalog Record")</f>
        <v>Catalog Record</v>
      </c>
      <c r="AW1493" s="6" t="str">
        <f>HYPERLINK("http://www.worldcat.org/oclc/34633338","WorldCat Record")</f>
        <v>WorldCat Record</v>
      </c>
      <c r="AX1493" s="3" t="s">
        <v>13542</v>
      </c>
      <c r="AY1493" s="3" t="s">
        <v>13543</v>
      </c>
      <c r="AZ1493" s="3" t="s">
        <v>13544</v>
      </c>
      <c r="BA1493" s="3" t="s">
        <v>13544</v>
      </c>
      <c r="BB1493" s="3" t="s">
        <v>13545</v>
      </c>
      <c r="BC1493" s="3" t="s">
        <v>82</v>
      </c>
      <c r="BD1493" s="3" t="s">
        <v>538</v>
      </c>
      <c r="BE1493" s="3" t="s">
        <v>13546</v>
      </c>
      <c r="BF1493" s="3" t="s">
        <v>13545</v>
      </c>
      <c r="BG1493" s="3" t="s">
        <v>13547</v>
      </c>
    </row>
    <row r="1494" spans="1:59" ht="60" x14ac:dyDescent="0.25">
      <c r="A1494" s="2" t="s">
        <v>59</v>
      </c>
      <c r="B1494" s="2" t="s">
        <v>60</v>
      </c>
      <c r="C1494" s="2" t="s">
        <v>13548</v>
      </c>
      <c r="D1494" s="2" t="s">
        <v>13549</v>
      </c>
      <c r="E1494" s="2" t="s">
        <v>13550</v>
      </c>
      <c r="G1494" s="3" t="s">
        <v>63</v>
      </c>
      <c r="I1494" s="3" t="s">
        <v>63</v>
      </c>
      <c r="J1494" s="3" t="s">
        <v>63</v>
      </c>
      <c r="K1494" s="3" t="s">
        <v>64</v>
      </c>
      <c r="L1494" s="2" t="s">
        <v>13551</v>
      </c>
      <c r="M1494" s="2" t="s">
        <v>13552</v>
      </c>
      <c r="N1494" s="3" t="s">
        <v>1113</v>
      </c>
      <c r="P1494" s="3" t="s">
        <v>66</v>
      </c>
      <c r="Q1494" s="2" t="s">
        <v>13553</v>
      </c>
      <c r="R1494" s="3" t="s">
        <v>67</v>
      </c>
      <c r="S1494" s="4">
        <v>9</v>
      </c>
      <c r="T1494" s="4">
        <v>9</v>
      </c>
      <c r="U1494" s="5" t="s">
        <v>249</v>
      </c>
      <c r="V1494" s="5" t="s">
        <v>249</v>
      </c>
      <c r="W1494" s="5" t="s">
        <v>69</v>
      </c>
      <c r="X1494" s="5" t="s">
        <v>69</v>
      </c>
      <c r="Y1494" s="4">
        <v>320</v>
      </c>
      <c r="Z1494" s="4">
        <v>18</v>
      </c>
      <c r="AA1494" s="4">
        <v>24</v>
      </c>
      <c r="AB1494" s="4">
        <v>1</v>
      </c>
      <c r="AC1494" s="4">
        <v>4</v>
      </c>
      <c r="AD1494" s="4">
        <v>108</v>
      </c>
      <c r="AE1494" s="4">
        <v>113</v>
      </c>
      <c r="AF1494" s="4">
        <v>0</v>
      </c>
      <c r="AG1494" s="4">
        <v>2</v>
      </c>
      <c r="AH1494" s="4">
        <v>101</v>
      </c>
      <c r="AI1494" s="4">
        <v>104</v>
      </c>
      <c r="AJ1494" s="4">
        <v>13</v>
      </c>
      <c r="AK1494" s="4">
        <v>15</v>
      </c>
      <c r="AL1494" s="4">
        <v>56</v>
      </c>
      <c r="AM1494" s="4">
        <v>57</v>
      </c>
      <c r="AN1494" s="4">
        <v>0</v>
      </c>
      <c r="AO1494" s="4">
        <v>0</v>
      </c>
      <c r="AP1494" s="4">
        <v>15</v>
      </c>
      <c r="AQ1494" s="4">
        <v>18</v>
      </c>
      <c r="AR1494" s="3" t="s">
        <v>63</v>
      </c>
      <c r="AS1494" s="3" t="s">
        <v>63</v>
      </c>
      <c r="AT1494" s="3" t="s">
        <v>62</v>
      </c>
      <c r="AU1494" s="6" t="str">
        <f>HYPERLINK("http://catalog.hathitrust.org/Record/003946186","HathiTrust Record")</f>
        <v>HathiTrust Record</v>
      </c>
      <c r="AV1494" s="6" t="str">
        <f>HYPERLINK("http://mcgill.on.worldcat.org/oclc/35593686","Catalog Record")</f>
        <v>Catalog Record</v>
      </c>
      <c r="AW1494" s="6" t="str">
        <f>HYPERLINK("http://www.worldcat.org/oclc/35593686","WorldCat Record")</f>
        <v>WorldCat Record</v>
      </c>
      <c r="AX1494" s="3" t="s">
        <v>13554</v>
      </c>
      <c r="AY1494" s="3" t="s">
        <v>13555</v>
      </c>
      <c r="AZ1494" s="3" t="s">
        <v>13556</v>
      </c>
      <c r="BA1494" s="3" t="s">
        <v>13556</v>
      </c>
      <c r="BB1494" s="3" t="s">
        <v>13557</v>
      </c>
      <c r="BC1494" s="3" t="s">
        <v>82</v>
      </c>
      <c r="BD1494" s="3" t="s">
        <v>70</v>
      </c>
      <c r="BE1494" s="3" t="s">
        <v>13558</v>
      </c>
      <c r="BF1494" s="3" t="s">
        <v>13557</v>
      </c>
      <c r="BG1494" s="3" t="s">
        <v>13559</v>
      </c>
    </row>
    <row r="1495" spans="1:59" ht="60" x14ac:dyDescent="0.25">
      <c r="A1495" s="2" t="s">
        <v>59</v>
      </c>
      <c r="B1495" s="2" t="s">
        <v>60</v>
      </c>
      <c r="C1495" s="2" t="s">
        <v>13560</v>
      </c>
      <c r="D1495" s="2" t="s">
        <v>13561</v>
      </c>
      <c r="E1495" s="2" t="s">
        <v>13562</v>
      </c>
      <c r="G1495" s="3" t="s">
        <v>63</v>
      </c>
      <c r="I1495" s="3" t="s">
        <v>63</v>
      </c>
      <c r="J1495" s="3" t="s">
        <v>63</v>
      </c>
      <c r="K1495" s="3" t="s">
        <v>64</v>
      </c>
      <c r="L1495" s="2" t="s">
        <v>13563</v>
      </c>
      <c r="M1495" s="2" t="s">
        <v>13564</v>
      </c>
      <c r="N1495" s="3" t="s">
        <v>362</v>
      </c>
      <c r="P1495" s="3" t="s">
        <v>66</v>
      </c>
      <c r="Q1495" s="2" t="s">
        <v>13565</v>
      </c>
      <c r="R1495" s="3" t="s">
        <v>67</v>
      </c>
      <c r="S1495" s="4">
        <v>14</v>
      </c>
      <c r="T1495" s="4">
        <v>14</v>
      </c>
      <c r="U1495" s="5" t="s">
        <v>13566</v>
      </c>
      <c r="V1495" s="5" t="s">
        <v>13566</v>
      </c>
      <c r="W1495" s="5" t="s">
        <v>69</v>
      </c>
      <c r="X1495" s="5" t="s">
        <v>69</v>
      </c>
      <c r="Y1495" s="4">
        <v>261</v>
      </c>
      <c r="Z1495" s="4">
        <v>25</v>
      </c>
      <c r="AA1495" s="4">
        <v>27</v>
      </c>
      <c r="AB1495" s="4">
        <v>1</v>
      </c>
      <c r="AC1495" s="4">
        <v>3</v>
      </c>
      <c r="AD1495" s="4">
        <v>101</v>
      </c>
      <c r="AE1495" s="4">
        <v>101</v>
      </c>
      <c r="AF1495" s="4">
        <v>0</v>
      </c>
      <c r="AG1495" s="4">
        <v>0</v>
      </c>
      <c r="AH1495" s="4">
        <v>90</v>
      </c>
      <c r="AI1495" s="4">
        <v>90</v>
      </c>
      <c r="AJ1495" s="4">
        <v>15</v>
      </c>
      <c r="AK1495" s="4">
        <v>15</v>
      </c>
      <c r="AL1495" s="4">
        <v>50</v>
      </c>
      <c r="AM1495" s="4">
        <v>50</v>
      </c>
      <c r="AN1495" s="4">
        <v>0</v>
      </c>
      <c r="AO1495" s="4">
        <v>0</v>
      </c>
      <c r="AP1495" s="4">
        <v>18</v>
      </c>
      <c r="AQ1495" s="4">
        <v>18</v>
      </c>
      <c r="AR1495" s="3" t="s">
        <v>63</v>
      </c>
      <c r="AS1495" s="3" t="s">
        <v>63</v>
      </c>
      <c r="AT1495" s="3" t="s">
        <v>62</v>
      </c>
      <c r="AU1495" s="6" t="str">
        <f>HYPERLINK("http://catalog.hathitrust.org/Record/004157351","HathiTrust Record")</f>
        <v>HathiTrust Record</v>
      </c>
      <c r="AV1495" s="6" t="str">
        <f>HYPERLINK("http://mcgill.on.worldcat.org/oclc/45363644","Catalog Record")</f>
        <v>Catalog Record</v>
      </c>
      <c r="AW1495" s="6" t="str">
        <f>HYPERLINK("http://www.worldcat.org/oclc/45363644","WorldCat Record")</f>
        <v>WorldCat Record</v>
      </c>
      <c r="AX1495" s="3" t="s">
        <v>13567</v>
      </c>
      <c r="AY1495" s="3" t="s">
        <v>13568</v>
      </c>
      <c r="AZ1495" s="3" t="s">
        <v>13569</v>
      </c>
      <c r="BA1495" s="3" t="s">
        <v>13569</v>
      </c>
      <c r="BB1495" s="3" t="s">
        <v>13570</v>
      </c>
      <c r="BC1495" s="3" t="s">
        <v>82</v>
      </c>
      <c r="BD1495" s="3" t="s">
        <v>70</v>
      </c>
      <c r="BE1495" s="3" t="s">
        <v>13571</v>
      </c>
      <c r="BF1495" s="3" t="s">
        <v>13570</v>
      </c>
      <c r="BG1495" s="3" t="s">
        <v>13572</v>
      </c>
    </row>
    <row r="1496" spans="1:59" ht="60" x14ac:dyDescent="0.25">
      <c r="A1496" s="2" t="s">
        <v>59</v>
      </c>
      <c r="B1496" s="2" t="s">
        <v>60</v>
      </c>
      <c r="C1496" s="2" t="s">
        <v>13573</v>
      </c>
      <c r="D1496" s="2" t="s">
        <v>13574</v>
      </c>
      <c r="E1496" s="2" t="s">
        <v>13575</v>
      </c>
      <c r="G1496" s="3" t="s">
        <v>63</v>
      </c>
      <c r="I1496" s="3" t="s">
        <v>63</v>
      </c>
      <c r="J1496" s="3" t="s">
        <v>63</v>
      </c>
      <c r="K1496" s="3" t="s">
        <v>64</v>
      </c>
      <c r="L1496" s="2" t="s">
        <v>13576</v>
      </c>
      <c r="M1496" s="2" t="s">
        <v>13577</v>
      </c>
      <c r="N1496" s="3" t="s">
        <v>2103</v>
      </c>
      <c r="P1496" s="3" t="s">
        <v>66</v>
      </c>
      <c r="R1496" s="3" t="s">
        <v>67</v>
      </c>
      <c r="S1496" s="4">
        <v>19</v>
      </c>
      <c r="T1496" s="4">
        <v>19</v>
      </c>
      <c r="U1496" s="5" t="s">
        <v>13578</v>
      </c>
      <c r="V1496" s="5" t="s">
        <v>13578</v>
      </c>
      <c r="W1496" s="5" t="s">
        <v>69</v>
      </c>
      <c r="X1496" s="5" t="s">
        <v>69</v>
      </c>
      <c r="Y1496" s="4">
        <v>663</v>
      </c>
      <c r="Z1496" s="4">
        <v>34</v>
      </c>
      <c r="AA1496" s="4">
        <v>35</v>
      </c>
      <c r="AB1496" s="4">
        <v>3</v>
      </c>
      <c r="AC1496" s="4">
        <v>4</v>
      </c>
      <c r="AD1496" s="4">
        <v>112</v>
      </c>
      <c r="AE1496" s="4">
        <v>113</v>
      </c>
      <c r="AF1496" s="4">
        <v>1</v>
      </c>
      <c r="AG1496" s="4">
        <v>2</v>
      </c>
      <c r="AH1496" s="4">
        <v>99</v>
      </c>
      <c r="AI1496" s="4">
        <v>99</v>
      </c>
      <c r="AJ1496" s="4">
        <v>15</v>
      </c>
      <c r="AK1496" s="4">
        <v>16</v>
      </c>
      <c r="AL1496" s="4">
        <v>55</v>
      </c>
      <c r="AM1496" s="4">
        <v>55</v>
      </c>
      <c r="AN1496" s="4">
        <v>0</v>
      </c>
      <c r="AO1496" s="4">
        <v>0</v>
      </c>
      <c r="AP1496" s="4">
        <v>19</v>
      </c>
      <c r="AQ1496" s="4">
        <v>19</v>
      </c>
      <c r="AR1496" s="3" t="s">
        <v>63</v>
      </c>
      <c r="AS1496" s="3" t="s">
        <v>63</v>
      </c>
      <c r="AT1496" s="3" t="s">
        <v>62</v>
      </c>
      <c r="AU1496" s="6" t="str">
        <f>HYPERLINK("http://catalog.hathitrust.org/Record/004248773","HathiTrust Record")</f>
        <v>HathiTrust Record</v>
      </c>
      <c r="AV1496" s="6" t="str">
        <f>HYPERLINK("http://mcgill.on.worldcat.org/oclc/48122907","Catalog Record")</f>
        <v>Catalog Record</v>
      </c>
      <c r="AW1496" s="6" t="str">
        <f>HYPERLINK("http://www.worldcat.org/oclc/48122907","WorldCat Record")</f>
        <v>WorldCat Record</v>
      </c>
      <c r="AX1496" s="3" t="s">
        <v>13579</v>
      </c>
      <c r="AY1496" s="3" t="s">
        <v>13580</v>
      </c>
      <c r="AZ1496" s="3" t="s">
        <v>13581</v>
      </c>
      <c r="BA1496" s="3" t="s">
        <v>13581</v>
      </c>
      <c r="BB1496" s="3" t="s">
        <v>13582</v>
      </c>
      <c r="BC1496" s="3" t="s">
        <v>82</v>
      </c>
      <c r="BD1496" s="3" t="s">
        <v>70</v>
      </c>
      <c r="BE1496" s="3" t="s">
        <v>13583</v>
      </c>
      <c r="BF1496" s="3" t="s">
        <v>13582</v>
      </c>
      <c r="BG1496" s="3" t="s">
        <v>13584</v>
      </c>
    </row>
    <row r="1497" spans="1:59" ht="60" x14ac:dyDescent="0.25">
      <c r="A1497" s="2" t="s">
        <v>59</v>
      </c>
      <c r="B1497" s="2" t="s">
        <v>60</v>
      </c>
      <c r="C1497" s="2" t="s">
        <v>13585</v>
      </c>
      <c r="D1497" s="2" t="s">
        <v>13586</v>
      </c>
      <c r="E1497" s="2" t="s">
        <v>13587</v>
      </c>
      <c r="G1497" s="3" t="s">
        <v>63</v>
      </c>
      <c r="I1497" s="3" t="s">
        <v>63</v>
      </c>
      <c r="J1497" s="3" t="s">
        <v>63</v>
      </c>
      <c r="K1497" s="3" t="s">
        <v>64</v>
      </c>
      <c r="L1497" s="2" t="s">
        <v>13209</v>
      </c>
      <c r="M1497" s="2" t="s">
        <v>13588</v>
      </c>
      <c r="N1497" s="3" t="s">
        <v>668</v>
      </c>
      <c r="P1497" s="3" t="s">
        <v>66</v>
      </c>
      <c r="R1497" s="3" t="s">
        <v>67</v>
      </c>
      <c r="S1497" s="4">
        <v>32</v>
      </c>
      <c r="T1497" s="4">
        <v>32</v>
      </c>
      <c r="U1497" s="5" t="s">
        <v>13078</v>
      </c>
      <c r="V1497" s="5" t="s">
        <v>13078</v>
      </c>
      <c r="W1497" s="5" t="s">
        <v>69</v>
      </c>
      <c r="X1497" s="5" t="s">
        <v>69</v>
      </c>
      <c r="Y1497" s="4">
        <v>376</v>
      </c>
      <c r="Z1497" s="4">
        <v>21</v>
      </c>
      <c r="AA1497" s="4">
        <v>24</v>
      </c>
      <c r="AB1497" s="4">
        <v>1</v>
      </c>
      <c r="AC1497" s="4">
        <v>4</v>
      </c>
      <c r="AD1497" s="4">
        <v>114</v>
      </c>
      <c r="AE1497" s="4">
        <v>116</v>
      </c>
      <c r="AF1497" s="4">
        <v>0</v>
      </c>
      <c r="AG1497" s="4">
        <v>2</v>
      </c>
      <c r="AH1497" s="4">
        <v>104</v>
      </c>
      <c r="AI1497" s="4">
        <v>105</v>
      </c>
      <c r="AJ1497" s="4">
        <v>17</v>
      </c>
      <c r="AK1497" s="4">
        <v>19</v>
      </c>
      <c r="AL1497" s="4">
        <v>57</v>
      </c>
      <c r="AM1497" s="4">
        <v>57</v>
      </c>
      <c r="AN1497" s="4">
        <v>0</v>
      </c>
      <c r="AO1497" s="4">
        <v>0</v>
      </c>
      <c r="AP1497" s="4">
        <v>18</v>
      </c>
      <c r="AQ1497" s="4">
        <v>19</v>
      </c>
      <c r="AR1497" s="3" t="s">
        <v>63</v>
      </c>
      <c r="AS1497" s="3" t="s">
        <v>63</v>
      </c>
      <c r="AT1497" s="3" t="s">
        <v>62</v>
      </c>
      <c r="AU1497" s="6" t="str">
        <f>HYPERLINK("http://catalog.hathitrust.org/Record/002430096","HathiTrust Record")</f>
        <v>HathiTrust Record</v>
      </c>
      <c r="AV1497" s="6" t="str">
        <f>HYPERLINK("http://mcgill.on.worldcat.org/oclc/20826271","Catalog Record")</f>
        <v>Catalog Record</v>
      </c>
      <c r="AW1497" s="6" t="str">
        <f>HYPERLINK("http://www.worldcat.org/oclc/20826271","WorldCat Record")</f>
        <v>WorldCat Record</v>
      </c>
      <c r="AX1497" s="3" t="s">
        <v>13589</v>
      </c>
      <c r="AY1497" s="3" t="s">
        <v>13590</v>
      </c>
      <c r="AZ1497" s="3" t="s">
        <v>13591</v>
      </c>
      <c r="BA1497" s="3" t="s">
        <v>13591</v>
      </c>
      <c r="BB1497" s="3" t="s">
        <v>13592</v>
      </c>
      <c r="BC1497" s="3" t="s">
        <v>82</v>
      </c>
      <c r="BD1497" s="3" t="s">
        <v>70</v>
      </c>
      <c r="BE1497" s="3" t="s">
        <v>13593</v>
      </c>
      <c r="BF1497" s="3" t="s">
        <v>13592</v>
      </c>
      <c r="BG1497" s="3" t="s">
        <v>13594</v>
      </c>
    </row>
    <row r="1498" spans="1:59" ht="60" x14ac:dyDescent="0.25">
      <c r="A1498" s="2" t="s">
        <v>59</v>
      </c>
      <c r="B1498" s="2" t="s">
        <v>60</v>
      </c>
      <c r="C1498" s="2" t="s">
        <v>13595</v>
      </c>
      <c r="D1498" s="2" t="s">
        <v>13596</v>
      </c>
      <c r="E1498" s="2" t="s">
        <v>13597</v>
      </c>
      <c r="G1498" s="3" t="s">
        <v>63</v>
      </c>
      <c r="I1498" s="3" t="s">
        <v>63</v>
      </c>
      <c r="J1498" s="3" t="s">
        <v>63</v>
      </c>
      <c r="K1498" s="3" t="s">
        <v>64</v>
      </c>
      <c r="L1498" s="2" t="s">
        <v>13598</v>
      </c>
      <c r="M1498" s="2" t="s">
        <v>13599</v>
      </c>
      <c r="N1498" s="3" t="s">
        <v>629</v>
      </c>
      <c r="P1498" s="3" t="s">
        <v>66</v>
      </c>
      <c r="Q1498" s="2" t="s">
        <v>2984</v>
      </c>
      <c r="R1498" s="3" t="s">
        <v>67</v>
      </c>
      <c r="S1498" s="4">
        <v>4</v>
      </c>
      <c r="T1498" s="4">
        <v>4</v>
      </c>
      <c r="U1498" s="5" t="s">
        <v>9858</v>
      </c>
      <c r="V1498" s="5" t="s">
        <v>9858</v>
      </c>
      <c r="W1498" s="5" t="s">
        <v>69</v>
      </c>
      <c r="X1498" s="5" t="s">
        <v>69</v>
      </c>
      <c r="Y1498" s="4">
        <v>127</v>
      </c>
      <c r="Z1498" s="4">
        <v>14</v>
      </c>
      <c r="AA1498" s="4">
        <v>54</v>
      </c>
      <c r="AB1498" s="4">
        <v>1</v>
      </c>
      <c r="AC1498" s="4">
        <v>8</v>
      </c>
      <c r="AD1498" s="4">
        <v>60</v>
      </c>
      <c r="AE1498" s="4">
        <v>96</v>
      </c>
      <c r="AF1498" s="4">
        <v>0</v>
      </c>
      <c r="AG1498" s="4">
        <v>1</v>
      </c>
      <c r="AH1498" s="4">
        <v>57</v>
      </c>
      <c r="AI1498" s="4">
        <v>79</v>
      </c>
      <c r="AJ1498" s="4">
        <v>10</v>
      </c>
      <c r="AK1498" s="4">
        <v>15</v>
      </c>
      <c r="AL1498" s="4">
        <v>37</v>
      </c>
      <c r="AM1498" s="4">
        <v>46</v>
      </c>
      <c r="AN1498" s="4">
        <v>0</v>
      </c>
      <c r="AO1498" s="4">
        <v>0</v>
      </c>
      <c r="AP1498" s="4">
        <v>10</v>
      </c>
      <c r="AQ1498" s="4">
        <v>24</v>
      </c>
      <c r="AR1498" s="3" t="s">
        <v>63</v>
      </c>
      <c r="AS1498" s="3" t="s">
        <v>63</v>
      </c>
      <c r="AT1498" s="3" t="s">
        <v>63</v>
      </c>
      <c r="AV1498" s="6" t="str">
        <f>HYPERLINK("http://mcgill.on.worldcat.org/oclc/691204074","Catalog Record")</f>
        <v>Catalog Record</v>
      </c>
      <c r="AW1498" s="6" t="str">
        <f>HYPERLINK("http://www.worldcat.org/oclc/691204074","WorldCat Record")</f>
        <v>WorldCat Record</v>
      </c>
      <c r="AX1498" s="3" t="s">
        <v>13600</v>
      </c>
      <c r="AY1498" s="3" t="s">
        <v>13601</v>
      </c>
      <c r="AZ1498" s="3" t="s">
        <v>13602</v>
      </c>
      <c r="BA1498" s="3" t="s">
        <v>13602</v>
      </c>
      <c r="BB1498" s="3" t="s">
        <v>13603</v>
      </c>
      <c r="BC1498" s="3" t="s">
        <v>82</v>
      </c>
      <c r="BD1498" s="3" t="s">
        <v>70</v>
      </c>
      <c r="BE1498" s="3" t="s">
        <v>13604</v>
      </c>
      <c r="BF1498" s="3" t="s">
        <v>13603</v>
      </c>
      <c r="BG1498" s="3" t="s">
        <v>13605</v>
      </c>
    </row>
    <row r="1499" spans="1:59" ht="60" x14ac:dyDescent="0.25">
      <c r="A1499" s="2" t="s">
        <v>59</v>
      </c>
      <c r="B1499" s="2" t="s">
        <v>60</v>
      </c>
      <c r="C1499" s="2" t="s">
        <v>13606</v>
      </c>
      <c r="D1499" s="2" t="s">
        <v>13607</v>
      </c>
      <c r="E1499" s="2" t="s">
        <v>13608</v>
      </c>
      <c r="G1499" s="3" t="s">
        <v>63</v>
      </c>
      <c r="I1499" s="3" t="s">
        <v>63</v>
      </c>
      <c r="J1499" s="3" t="s">
        <v>63</v>
      </c>
      <c r="K1499" s="3" t="s">
        <v>64</v>
      </c>
      <c r="M1499" s="2" t="s">
        <v>13609</v>
      </c>
      <c r="N1499" s="3" t="s">
        <v>362</v>
      </c>
      <c r="P1499" s="3" t="s">
        <v>66</v>
      </c>
      <c r="Q1499" s="2" t="s">
        <v>5294</v>
      </c>
      <c r="R1499" s="3" t="s">
        <v>67</v>
      </c>
      <c r="S1499" s="4">
        <v>28</v>
      </c>
      <c r="T1499" s="4">
        <v>28</v>
      </c>
      <c r="U1499" s="5" t="s">
        <v>5434</v>
      </c>
      <c r="V1499" s="5" t="s">
        <v>5434</v>
      </c>
      <c r="W1499" s="5" t="s">
        <v>69</v>
      </c>
      <c r="X1499" s="5" t="s">
        <v>69</v>
      </c>
      <c r="Y1499" s="4">
        <v>378</v>
      </c>
      <c r="Z1499" s="4">
        <v>25</v>
      </c>
      <c r="AA1499" s="4">
        <v>106</v>
      </c>
      <c r="AB1499" s="4">
        <v>2</v>
      </c>
      <c r="AC1499" s="4">
        <v>18</v>
      </c>
      <c r="AD1499" s="4">
        <v>106</v>
      </c>
      <c r="AE1499" s="4">
        <v>144</v>
      </c>
      <c r="AF1499" s="4">
        <v>0</v>
      </c>
      <c r="AG1499" s="4">
        <v>8</v>
      </c>
      <c r="AH1499" s="4">
        <v>95</v>
      </c>
      <c r="AI1499" s="4">
        <v>106</v>
      </c>
      <c r="AJ1499" s="4">
        <v>14</v>
      </c>
      <c r="AK1499" s="4">
        <v>23</v>
      </c>
      <c r="AL1499" s="4">
        <v>56</v>
      </c>
      <c r="AM1499" s="4">
        <v>60</v>
      </c>
      <c r="AN1499" s="4">
        <v>0</v>
      </c>
      <c r="AO1499" s="4">
        <v>0</v>
      </c>
      <c r="AP1499" s="4">
        <v>17</v>
      </c>
      <c r="AQ1499" s="4">
        <v>45</v>
      </c>
      <c r="AR1499" s="3" t="s">
        <v>63</v>
      </c>
      <c r="AS1499" s="3" t="s">
        <v>63</v>
      </c>
      <c r="AT1499" s="3" t="s">
        <v>62</v>
      </c>
      <c r="AU1499" s="6" t="str">
        <f>HYPERLINK("http://catalog.hathitrust.org/Record/004200114","HathiTrust Record")</f>
        <v>HathiTrust Record</v>
      </c>
      <c r="AV1499" s="6" t="str">
        <f>HYPERLINK("http://mcgill.on.worldcat.org/oclc/45603957","Catalog Record")</f>
        <v>Catalog Record</v>
      </c>
      <c r="AW1499" s="6" t="str">
        <f>HYPERLINK("http://www.worldcat.org/oclc/45603957","WorldCat Record")</f>
        <v>WorldCat Record</v>
      </c>
      <c r="AX1499" s="3" t="s">
        <v>13610</v>
      </c>
      <c r="AY1499" s="3" t="s">
        <v>13611</v>
      </c>
      <c r="AZ1499" s="3" t="s">
        <v>13612</v>
      </c>
      <c r="BA1499" s="3" t="s">
        <v>13612</v>
      </c>
      <c r="BB1499" s="3" t="s">
        <v>13613</v>
      </c>
      <c r="BC1499" s="3" t="s">
        <v>82</v>
      </c>
      <c r="BD1499" s="3" t="s">
        <v>538</v>
      </c>
      <c r="BE1499" s="3" t="s">
        <v>13614</v>
      </c>
      <c r="BF1499" s="3" t="s">
        <v>13613</v>
      </c>
      <c r="BG1499" s="3" t="s">
        <v>13615</v>
      </c>
    </row>
    <row r="1500" spans="1:59" ht="60" x14ac:dyDescent="0.25">
      <c r="A1500" s="2" t="s">
        <v>59</v>
      </c>
      <c r="B1500" s="2" t="s">
        <v>60</v>
      </c>
      <c r="C1500" s="2" t="s">
        <v>13616</v>
      </c>
      <c r="D1500" s="2" t="s">
        <v>13617</v>
      </c>
      <c r="E1500" s="2" t="s">
        <v>13618</v>
      </c>
      <c r="G1500" s="3" t="s">
        <v>63</v>
      </c>
      <c r="I1500" s="3" t="s">
        <v>62</v>
      </c>
      <c r="J1500" s="3" t="s">
        <v>63</v>
      </c>
      <c r="K1500" s="3" t="s">
        <v>64</v>
      </c>
      <c r="L1500" s="2" t="s">
        <v>13209</v>
      </c>
      <c r="M1500" s="2" t="s">
        <v>13619</v>
      </c>
      <c r="N1500" s="3" t="s">
        <v>190</v>
      </c>
      <c r="P1500" s="3" t="s">
        <v>66</v>
      </c>
      <c r="Q1500" s="2" t="s">
        <v>8585</v>
      </c>
      <c r="R1500" s="3" t="s">
        <v>67</v>
      </c>
      <c r="S1500" s="4">
        <v>13</v>
      </c>
      <c r="T1500" s="4">
        <v>18</v>
      </c>
      <c r="U1500" s="5" t="s">
        <v>9858</v>
      </c>
      <c r="V1500" s="5" t="s">
        <v>9858</v>
      </c>
      <c r="W1500" s="5" t="s">
        <v>69</v>
      </c>
      <c r="X1500" s="5" t="s">
        <v>69</v>
      </c>
      <c r="Y1500" s="4">
        <v>192</v>
      </c>
      <c r="Z1500" s="4">
        <v>16</v>
      </c>
      <c r="AA1500" s="4">
        <v>64</v>
      </c>
      <c r="AB1500" s="4">
        <v>1</v>
      </c>
      <c r="AC1500" s="4">
        <v>8</v>
      </c>
      <c r="AD1500" s="4">
        <v>86</v>
      </c>
      <c r="AE1500" s="4">
        <v>111</v>
      </c>
      <c r="AF1500" s="4">
        <v>0</v>
      </c>
      <c r="AG1500" s="4">
        <v>1</v>
      </c>
      <c r="AH1500" s="4">
        <v>80</v>
      </c>
      <c r="AI1500" s="4">
        <v>92</v>
      </c>
      <c r="AJ1500" s="4">
        <v>11</v>
      </c>
      <c r="AK1500" s="4">
        <v>15</v>
      </c>
      <c r="AL1500" s="4">
        <v>49</v>
      </c>
      <c r="AM1500" s="4">
        <v>52</v>
      </c>
      <c r="AN1500" s="4">
        <v>0</v>
      </c>
      <c r="AO1500" s="4">
        <v>0</v>
      </c>
      <c r="AP1500" s="4">
        <v>13</v>
      </c>
      <c r="AQ1500" s="4">
        <v>26</v>
      </c>
      <c r="AR1500" s="3" t="s">
        <v>63</v>
      </c>
      <c r="AS1500" s="3" t="s">
        <v>63</v>
      </c>
      <c r="AT1500" s="3" t="s">
        <v>62</v>
      </c>
      <c r="AU1500" s="6" t="str">
        <f>HYPERLINK("http://catalog.hathitrust.org/Record/005419180","HathiTrust Record")</f>
        <v>HathiTrust Record</v>
      </c>
      <c r="AV1500" s="6" t="str">
        <f>HYPERLINK("http://mcgill.on.worldcat.org/oclc/60741390","Catalog Record")</f>
        <v>Catalog Record</v>
      </c>
      <c r="AW1500" s="6" t="str">
        <f>HYPERLINK("http://www.worldcat.org/oclc/60741390","WorldCat Record")</f>
        <v>WorldCat Record</v>
      </c>
      <c r="AX1500" s="3" t="s">
        <v>13620</v>
      </c>
      <c r="AY1500" s="3" t="s">
        <v>13621</v>
      </c>
      <c r="AZ1500" s="3" t="s">
        <v>13622</v>
      </c>
      <c r="BA1500" s="3" t="s">
        <v>13622</v>
      </c>
      <c r="BB1500" s="3" t="s">
        <v>13623</v>
      </c>
      <c r="BC1500" s="3" t="s">
        <v>82</v>
      </c>
      <c r="BD1500" s="3" t="s">
        <v>70</v>
      </c>
      <c r="BE1500" s="3" t="s">
        <v>13624</v>
      </c>
      <c r="BF1500" s="3" t="s">
        <v>13623</v>
      </c>
      <c r="BG1500" s="3" t="s">
        <v>13625</v>
      </c>
    </row>
    <row r="1501" spans="1:59" ht="60" x14ac:dyDescent="0.25">
      <c r="A1501" s="2" t="s">
        <v>59</v>
      </c>
      <c r="B1501" s="2" t="s">
        <v>60</v>
      </c>
      <c r="C1501" s="2" t="s">
        <v>13616</v>
      </c>
      <c r="D1501" s="2" t="s">
        <v>13617</v>
      </c>
      <c r="E1501" s="2" t="s">
        <v>13618</v>
      </c>
      <c r="G1501" s="3" t="s">
        <v>63</v>
      </c>
      <c r="I1501" s="3" t="s">
        <v>62</v>
      </c>
      <c r="J1501" s="3" t="s">
        <v>63</v>
      </c>
      <c r="K1501" s="3" t="s">
        <v>64</v>
      </c>
      <c r="L1501" s="2" t="s">
        <v>13209</v>
      </c>
      <c r="M1501" s="2" t="s">
        <v>13619</v>
      </c>
      <c r="N1501" s="3" t="s">
        <v>190</v>
      </c>
      <c r="P1501" s="3" t="s">
        <v>66</v>
      </c>
      <c r="Q1501" s="2" t="s">
        <v>8585</v>
      </c>
      <c r="R1501" s="3" t="s">
        <v>67</v>
      </c>
      <c r="S1501" s="4">
        <v>5</v>
      </c>
      <c r="T1501" s="4">
        <v>18</v>
      </c>
      <c r="U1501" s="5" t="s">
        <v>5434</v>
      </c>
      <c r="V1501" s="5" t="s">
        <v>9858</v>
      </c>
      <c r="W1501" s="5" t="s">
        <v>69</v>
      </c>
      <c r="X1501" s="5" t="s">
        <v>69</v>
      </c>
      <c r="Y1501" s="4">
        <v>192</v>
      </c>
      <c r="Z1501" s="4">
        <v>16</v>
      </c>
      <c r="AA1501" s="4">
        <v>64</v>
      </c>
      <c r="AB1501" s="4">
        <v>1</v>
      </c>
      <c r="AC1501" s="4">
        <v>8</v>
      </c>
      <c r="AD1501" s="4">
        <v>86</v>
      </c>
      <c r="AE1501" s="4">
        <v>111</v>
      </c>
      <c r="AF1501" s="4">
        <v>0</v>
      </c>
      <c r="AG1501" s="4">
        <v>1</v>
      </c>
      <c r="AH1501" s="4">
        <v>80</v>
      </c>
      <c r="AI1501" s="4">
        <v>92</v>
      </c>
      <c r="AJ1501" s="4">
        <v>11</v>
      </c>
      <c r="AK1501" s="4">
        <v>15</v>
      </c>
      <c r="AL1501" s="4">
        <v>49</v>
      </c>
      <c r="AM1501" s="4">
        <v>52</v>
      </c>
      <c r="AN1501" s="4">
        <v>0</v>
      </c>
      <c r="AO1501" s="4">
        <v>0</v>
      </c>
      <c r="AP1501" s="4">
        <v>13</v>
      </c>
      <c r="AQ1501" s="4">
        <v>26</v>
      </c>
      <c r="AR1501" s="3" t="s">
        <v>63</v>
      </c>
      <c r="AS1501" s="3" t="s">
        <v>63</v>
      </c>
      <c r="AT1501" s="3" t="s">
        <v>62</v>
      </c>
      <c r="AU1501" s="6" t="str">
        <f>HYPERLINK("http://catalog.hathitrust.org/Record/005419180","HathiTrust Record")</f>
        <v>HathiTrust Record</v>
      </c>
      <c r="AV1501" s="6" t="str">
        <f>HYPERLINK("http://mcgill.on.worldcat.org/oclc/60741390","Catalog Record")</f>
        <v>Catalog Record</v>
      </c>
      <c r="AW1501" s="6" t="str">
        <f>HYPERLINK("http://www.worldcat.org/oclc/60741390","WorldCat Record")</f>
        <v>WorldCat Record</v>
      </c>
      <c r="AX1501" s="3" t="s">
        <v>13620</v>
      </c>
      <c r="AY1501" s="3" t="s">
        <v>13621</v>
      </c>
      <c r="AZ1501" s="3" t="s">
        <v>13622</v>
      </c>
      <c r="BA1501" s="3" t="s">
        <v>13622</v>
      </c>
      <c r="BB1501" s="3" t="s">
        <v>13626</v>
      </c>
      <c r="BC1501" s="3" t="s">
        <v>82</v>
      </c>
      <c r="BD1501" s="3" t="s">
        <v>538</v>
      </c>
      <c r="BE1501" s="3" t="s">
        <v>13624</v>
      </c>
      <c r="BF1501" s="3" t="s">
        <v>13626</v>
      </c>
      <c r="BG1501" s="3" t="s">
        <v>13627</v>
      </c>
    </row>
    <row r="1502" spans="1:59" ht="60" x14ac:dyDescent="0.25">
      <c r="A1502" s="2" t="s">
        <v>59</v>
      </c>
      <c r="B1502" s="2" t="s">
        <v>60</v>
      </c>
      <c r="C1502" s="2" t="s">
        <v>13628</v>
      </c>
      <c r="D1502" s="2" t="s">
        <v>13629</v>
      </c>
      <c r="E1502" s="2" t="s">
        <v>13630</v>
      </c>
      <c r="G1502" s="3" t="s">
        <v>63</v>
      </c>
      <c r="I1502" s="3" t="s">
        <v>63</v>
      </c>
      <c r="J1502" s="3" t="s">
        <v>63</v>
      </c>
      <c r="K1502" s="3" t="s">
        <v>64</v>
      </c>
      <c r="L1502" s="2" t="s">
        <v>13631</v>
      </c>
      <c r="M1502" s="2" t="s">
        <v>13632</v>
      </c>
      <c r="N1502" s="3" t="s">
        <v>313</v>
      </c>
      <c r="P1502" s="3" t="s">
        <v>90</v>
      </c>
      <c r="R1502" s="3" t="s">
        <v>67</v>
      </c>
      <c r="S1502" s="4">
        <v>1</v>
      </c>
      <c r="T1502" s="4">
        <v>1</v>
      </c>
      <c r="U1502" s="5" t="s">
        <v>13633</v>
      </c>
      <c r="V1502" s="5" t="s">
        <v>13633</v>
      </c>
      <c r="W1502" s="5" t="s">
        <v>69</v>
      </c>
      <c r="X1502" s="5" t="s">
        <v>69</v>
      </c>
      <c r="Y1502" s="4">
        <v>52</v>
      </c>
      <c r="Z1502" s="4">
        <v>5</v>
      </c>
      <c r="AA1502" s="4">
        <v>5</v>
      </c>
      <c r="AB1502" s="4">
        <v>1</v>
      </c>
      <c r="AC1502" s="4">
        <v>1</v>
      </c>
      <c r="AD1502" s="4">
        <v>43</v>
      </c>
      <c r="AE1502" s="4">
        <v>43</v>
      </c>
      <c r="AF1502" s="4">
        <v>0</v>
      </c>
      <c r="AG1502" s="4">
        <v>0</v>
      </c>
      <c r="AH1502" s="4">
        <v>41</v>
      </c>
      <c r="AI1502" s="4">
        <v>41</v>
      </c>
      <c r="AJ1502" s="4">
        <v>3</v>
      </c>
      <c r="AK1502" s="4">
        <v>3</v>
      </c>
      <c r="AL1502" s="4">
        <v>34</v>
      </c>
      <c r="AM1502" s="4">
        <v>34</v>
      </c>
      <c r="AN1502" s="4">
        <v>0</v>
      </c>
      <c r="AO1502" s="4">
        <v>0</v>
      </c>
      <c r="AP1502" s="4">
        <v>3</v>
      </c>
      <c r="AQ1502" s="4">
        <v>3</v>
      </c>
      <c r="AR1502" s="3" t="s">
        <v>63</v>
      </c>
      <c r="AS1502" s="3" t="s">
        <v>63</v>
      </c>
      <c r="AT1502" s="3" t="s">
        <v>63</v>
      </c>
      <c r="AV1502" s="6" t="str">
        <f>HYPERLINK("http://mcgill.on.worldcat.org/oclc/677979828","Catalog Record")</f>
        <v>Catalog Record</v>
      </c>
      <c r="AW1502" s="6" t="str">
        <f>HYPERLINK("http://www.worldcat.org/oclc/677979828","WorldCat Record")</f>
        <v>WorldCat Record</v>
      </c>
      <c r="AX1502" s="3" t="s">
        <v>13634</v>
      </c>
      <c r="AY1502" s="3" t="s">
        <v>13635</v>
      </c>
      <c r="AZ1502" s="3" t="s">
        <v>13636</v>
      </c>
      <c r="BA1502" s="3" t="s">
        <v>13636</v>
      </c>
      <c r="BB1502" s="3" t="s">
        <v>13637</v>
      </c>
      <c r="BC1502" s="3" t="s">
        <v>82</v>
      </c>
      <c r="BD1502" s="3" t="s">
        <v>70</v>
      </c>
      <c r="BE1502" s="3" t="s">
        <v>13638</v>
      </c>
      <c r="BF1502" s="3" t="s">
        <v>13637</v>
      </c>
      <c r="BG1502" s="3" t="s">
        <v>13639</v>
      </c>
    </row>
    <row r="1503" spans="1:59" ht="60" x14ac:dyDescent="0.25">
      <c r="A1503" s="2" t="s">
        <v>59</v>
      </c>
      <c r="B1503" s="2" t="s">
        <v>60</v>
      </c>
      <c r="C1503" s="2" t="s">
        <v>13640</v>
      </c>
      <c r="D1503" s="2" t="s">
        <v>13641</v>
      </c>
      <c r="E1503" s="2" t="s">
        <v>13642</v>
      </c>
      <c r="G1503" s="3" t="s">
        <v>63</v>
      </c>
      <c r="I1503" s="3" t="s">
        <v>63</v>
      </c>
      <c r="J1503" s="3" t="s">
        <v>63</v>
      </c>
      <c r="K1503" s="3" t="s">
        <v>64</v>
      </c>
      <c r="L1503" s="2" t="s">
        <v>13643</v>
      </c>
      <c r="M1503" s="2" t="s">
        <v>13644</v>
      </c>
      <c r="N1503" s="3" t="s">
        <v>190</v>
      </c>
      <c r="P1503" s="3" t="s">
        <v>66</v>
      </c>
      <c r="Q1503" s="2" t="s">
        <v>13645</v>
      </c>
      <c r="R1503" s="3" t="s">
        <v>67</v>
      </c>
      <c r="S1503" s="4">
        <v>11</v>
      </c>
      <c r="T1503" s="4">
        <v>11</v>
      </c>
      <c r="U1503" s="5" t="s">
        <v>12898</v>
      </c>
      <c r="V1503" s="5" t="s">
        <v>12898</v>
      </c>
      <c r="W1503" s="5" t="s">
        <v>69</v>
      </c>
      <c r="X1503" s="5" t="s">
        <v>69</v>
      </c>
      <c r="Y1503" s="4">
        <v>108</v>
      </c>
      <c r="Z1503" s="4">
        <v>6</v>
      </c>
      <c r="AA1503" s="4">
        <v>10</v>
      </c>
      <c r="AB1503" s="4">
        <v>1</v>
      </c>
      <c r="AC1503" s="4">
        <v>4</v>
      </c>
      <c r="AD1503" s="4">
        <v>41</v>
      </c>
      <c r="AE1503" s="4">
        <v>44</v>
      </c>
      <c r="AF1503" s="4">
        <v>0</v>
      </c>
      <c r="AG1503" s="4">
        <v>0</v>
      </c>
      <c r="AH1503" s="4">
        <v>39</v>
      </c>
      <c r="AI1503" s="4">
        <v>42</v>
      </c>
      <c r="AJ1503" s="4">
        <v>2</v>
      </c>
      <c r="AK1503" s="4">
        <v>3</v>
      </c>
      <c r="AL1503" s="4">
        <v>24</v>
      </c>
      <c r="AM1503" s="4">
        <v>25</v>
      </c>
      <c r="AN1503" s="4">
        <v>0</v>
      </c>
      <c r="AO1503" s="4">
        <v>0</v>
      </c>
      <c r="AP1503" s="4">
        <v>3</v>
      </c>
      <c r="AQ1503" s="4">
        <v>4</v>
      </c>
      <c r="AR1503" s="3" t="s">
        <v>63</v>
      </c>
      <c r="AS1503" s="3" t="s">
        <v>63</v>
      </c>
      <c r="AT1503" s="3" t="s">
        <v>63</v>
      </c>
      <c r="AV1503" s="6" t="str">
        <f>HYPERLINK("http://mcgill.on.worldcat.org/oclc/54479757","Catalog Record")</f>
        <v>Catalog Record</v>
      </c>
      <c r="AW1503" s="6" t="str">
        <f>HYPERLINK("http://www.worldcat.org/oclc/54479757","WorldCat Record")</f>
        <v>WorldCat Record</v>
      </c>
      <c r="AX1503" s="3" t="s">
        <v>13646</v>
      </c>
      <c r="AY1503" s="3" t="s">
        <v>13647</v>
      </c>
      <c r="AZ1503" s="3" t="s">
        <v>13648</v>
      </c>
      <c r="BA1503" s="3" t="s">
        <v>13648</v>
      </c>
      <c r="BB1503" s="3" t="s">
        <v>13649</v>
      </c>
      <c r="BC1503" s="3" t="s">
        <v>82</v>
      </c>
      <c r="BD1503" s="3" t="s">
        <v>70</v>
      </c>
      <c r="BE1503" s="3" t="s">
        <v>13650</v>
      </c>
      <c r="BF1503" s="3" t="s">
        <v>13649</v>
      </c>
      <c r="BG1503" s="3" t="s">
        <v>13651</v>
      </c>
    </row>
    <row r="1504" spans="1:59" ht="60" x14ac:dyDescent="0.25">
      <c r="A1504" s="2" t="s">
        <v>59</v>
      </c>
      <c r="B1504" s="2" t="s">
        <v>60</v>
      </c>
      <c r="C1504" s="2" t="s">
        <v>13652</v>
      </c>
      <c r="D1504" s="2" t="s">
        <v>13653</v>
      </c>
      <c r="E1504" s="2" t="s">
        <v>13654</v>
      </c>
      <c r="G1504" s="3" t="s">
        <v>63</v>
      </c>
      <c r="I1504" s="3" t="s">
        <v>63</v>
      </c>
      <c r="J1504" s="3" t="s">
        <v>63</v>
      </c>
      <c r="K1504" s="3" t="s">
        <v>64</v>
      </c>
      <c r="L1504" s="2" t="s">
        <v>13655</v>
      </c>
      <c r="M1504" s="2" t="s">
        <v>13656</v>
      </c>
      <c r="N1504" s="3" t="s">
        <v>2459</v>
      </c>
      <c r="P1504" s="3" t="s">
        <v>66</v>
      </c>
      <c r="Q1504" s="2" t="s">
        <v>13657</v>
      </c>
      <c r="R1504" s="3" t="s">
        <v>67</v>
      </c>
      <c r="S1504" s="4">
        <v>8</v>
      </c>
      <c r="T1504" s="4">
        <v>8</v>
      </c>
      <c r="U1504" s="5" t="s">
        <v>13658</v>
      </c>
      <c r="V1504" s="5" t="s">
        <v>13658</v>
      </c>
      <c r="W1504" s="5" t="s">
        <v>69</v>
      </c>
      <c r="X1504" s="5" t="s">
        <v>69</v>
      </c>
      <c r="Y1504" s="4">
        <v>490</v>
      </c>
      <c r="Z1504" s="4">
        <v>31</v>
      </c>
      <c r="AA1504" s="4">
        <v>35</v>
      </c>
      <c r="AB1504" s="4">
        <v>3</v>
      </c>
      <c r="AC1504" s="4">
        <v>3</v>
      </c>
      <c r="AD1504" s="4">
        <v>102</v>
      </c>
      <c r="AE1504" s="4">
        <v>106</v>
      </c>
      <c r="AF1504" s="4">
        <v>2</v>
      </c>
      <c r="AG1504" s="4">
        <v>2</v>
      </c>
      <c r="AH1504" s="4">
        <v>91</v>
      </c>
      <c r="AI1504" s="4">
        <v>92</v>
      </c>
      <c r="AJ1504" s="4">
        <v>12</v>
      </c>
      <c r="AK1504" s="4">
        <v>13</v>
      </c>
      <c r="AL1504" s="4">
        <v>55</v>
      </c>
      <c r="AM1504" s="4">
        <v>55</v>
      </c>
      <c r="AN1504" s="4">
        <v>0</v>
      </c>
      <c r="AO1504" s="4">
        <v>3</v>
      </c>
      <c r="AP1504" s="4">
        <v>17</v>
      </c>
      <c r="AQ1504" s="4">
        <v>20</v>
      </c>
      <c r="AR1504" s="3" t="s">
        <v>63</v>
      </c>
      <c r="AS1504" s="3" t="s">
        <v>63</v>
      </c>
      <c r="AT1504" s="3" t="s">
        <v>63</v>
      </c>
      <c r="AV1504" s="6" t="str">
        <f>HYPERLINK("http://mcgill.on.worldcat.org/oclc/191924251","Catalog Record")</f>
        <v>Catalog Record</v>
      </c>
      <c r="AW1504" s="6" t="str">
        <f>HYPERLINK("http://www.worldcat.org/oclc/191924251","WorldCat Record")</f>
        <v>WorldCat Record</v>
      </c>
      <c r="AX1504" s="3" t="s">
        <v>13659</v>
      </c>
      <c r="AY1504" s="3" t="s">
        <v>13660</v>
      </c>
      <c r="AZ1504" s="3" t="s">
        <v>13661</v>
      </c>
      <c r="BA1504" s="3" t="s">
        <v>13661</v>
      </c>
      <c r="BB1504" s="3" t="s">
        <v>13662</v>
      </c>
      <c r="BC1504" s="3" t="s">
        <v>82</v>
      </c>
      <c r="BD1504" s="3" t="s">
        <v>70</v>
      </c>
      <c r="BE1504" s="3" t="s">
        <v>13663</v>
      </c>
      <c r="BF1504" s="3" t="s">
        <v>13662</v>
      </c>
      <c r="BG1504" s="3" t="s">
        <v>13664</v>
      </c>
    </row>
    <row r="1505" spans="1:59" ht="60" x14ac:dyDescent="0.25">
      <c r="A1505" s="2" t="s">
        <v>59</v>
      </c>
      <c r="B1505" s="2" t="s">
        <v>60</v>
      </c>
      <c r="C1505" s="2" t="s">
        <v>13665</v>
      </c>
      <c r="D1505" s="2" t="s">
        <v>13666</v>
      </c>
      <c r="E1505" s="2" t="s">
        <v>13667</v>
      </c>
      <c r="G1505" s="3" t="s">
        <v>63</v>
      </c>
      <c r="I1505" s="3" t="s">
        <v>63</v>
      </c>
      <c r="J1505" s="3" t="s">
        <v>63</v>
      </c>
      <c r="K1505" s="3" t="s">
        <v>64</v>
      </c>
      <c r="L1505" s="2" t="s">
        <v>13668</v>
      </c>
      <c r="M1505" s="2" t="s">
        <v>13669</v>
      </c>
      <c r="N1505" s="3" t="s">
        <v>1226</v>
      </c>
      <c r="P1505" s="3" t="s">
        <v>66</v>
      </c>
      <c r="Q1505" s="2" t="s">
        <v>13670</v>
      </c>
      <c r="R1505" s="3" t="s">
        <v>67</v>
      </c>
      <c r="S1505" s="4">
        <v>4</v>
      </c>
      <c r="T1505" s="4">
        <v>4</v>
      </c>
      <c r="U1505" s="5" t="s">
        <v>8586</v>
      </c>
      <c r="V1505" s="5" t="s">
        <v>8586</v>
      </c>
      <c r="W1505" s="5" t="s">
        <v>69</v>
      </c>
      <c r="X1505" s="5" t="s">
        <v>69</v>
      </c>
      <c r="Y1505" s="4">
        <v>327</v>
      </c>
      <c r="Z1505" s="4">
        <v>17</v>
      </c>
      <c r="AA1505" s="4">
        <v>20</v>
      </c>
      <c r="AB1505" s="4">
        <v>1</v>
      </c>
      <c r="AC1505" s="4">
        <v>3</v>
      </c>
      <c r="AD1505" s="4">
        <v>103</v>
      </c>
      <c r="AE1505" s="4">
        <v>105</v>
      </c>
      <c r="AF1505" s="4">
        <v>0</v>
      </c>
      <c r="AG1505" s="4">
        <v>1</v>
      </c>
      <c r="AH1505" s="4">
        <v>94</v>
      </c>
      <c r="AI1505" s="4">
        <v>96</v>
      </c>
      <c r="AJ1505" s="4">
        <v>13</v>
      </c>
      <c r="AK1505" s="4">
        <v>14</v>
      </c>
      <c r="AL1505" s="4">
        <v>55</v>
      </c>
      <c r="AM1505" s="4">
        <v>55</v>
      </c>
      <c r="AN1505" s="4">
        <v>0</v>
      </c>
      <c r="AO1505" s="4">
        <v>0</v>
      </c>
      <c r="AP1505" s="4">
        <v>14</v>
      </c>
      <c r="AQ1505" s="4">
        <v>15</v>
      </c>
      <c r="AR1505" s="3" t="s">
        <v>63</v>
      </c>
      <c r="AS1505" s="3" t="s">
        <v>63</v>
      </c>
      <c r="AT1505" s="3" t="s">
        <v>62</v>
      </c>
      <c r="AU1505" s="6" t="str">
        <f>HYPERLINK("http://catalog.hathitrust.org/Record/004317541","HathiTrust Record")</f>
        <v>HathiTrust Record</v>
      </c>
      <c r="AV1505" s="6" t="str">
        <f>HYPERLINK("http://mcgill.on.worldcat.org/oclc/51041102","Catalog Record")</f>
        <v>Catalog Record</v>
      </c>
      <c r="AW1505" s="6" t="str">
        <f>HYPERLINK("http://www.worldcat.org/oclc/51041102","WorldCat Record")</f>
        <v>WorldCat Record</v>
      </c>
      <c r="AX1505" s="3" t="s">
        <v>13671</v>
      </c>
      <c r="AY1505" s="3" t="s">
        <v>13672</v>
      </c>
      <c r="AZ1505" s="3" t="s">
        <v>13673</v>
      </c>
      <c r="BA1505" s="3" t="s">
        <v>13673</v>
      </c>
      <c r="BB1505" s="3" t="s">
        <v>13674</v>
      </c>
      <c r="BC1505" s="3" t="s">
        <v>82</v>
      </c>
      <c r="BD1505" s="3" t="s">
        <v>70</v>
      </c>
      <c r="BE1505" s="3" t="s">
        <v>13675</v>
      </c>
      <c r="BF1505" s="3" t="s">
        <v>13674</v>
      </c>
      <c r="BG1505" s="3" t="s">
        <v>13676</v>
      </c>
    </row>
    <row r="1506" spans="1:59" ht="60" x14ac:dyDescent="0.25">
      <c r="A1506" s="2" t="s">
        <v>59</v>
      </c>
      <c r="B1506" s="2" t="s">
        <v>60</v>
      </c>
      <c r="C1506" s="2" t="s">
        <v>13677</v>
      </c>
      <c r="D1506" s="2" t="s">
        <v>13678</v>
      </c>
      <c r="E1506" s="2" t="s">
        <v>13679</v>
      </c>
      <c r="G1506" s="3" t="s">
        <v>63</v>
      </c>
      <c r="I1506" s="3" t="s">
        <v>63</v>
      </c>
      <c r="J1506" s="3" t="s">
        <v>63</v>
      </c>
      <c r="K1506" s="3" t="s">
        <v>64</v>
      </c>
      <c r="L1506" s="2" t="s">
        <v>13680</v>
      </c>
      <c r="M1506" s="2" t="s">
        <v>13681</v>
      </c>
      <c r="N1506" s="3" t="s">
        <v>1023</v>
      </c>
      <c r="P1506" s="3" t="s">
        <v>66</v>
      </c>
      <c r="R1506" s="3" t="s">
        <v>67</v>
      </c>
      <c r="S1506" s="4">
        <v>28</v>
      </c>
      <c r="T1506" s="4">
        <v>28</v>
      </c>
      <c r="U1506" s="5" t="s">
        <v>11291</v>
      </c>
      <c r="V1506" s="5" t="s">
        <v>11291</v>
      </c>
      <c r="W1506" s="5" t="s">
        <v>69</v>
      </c>
      <c r="X1506" s="5" t="s">
        <v>69</v>
      </c>
      <c r="Y1506" s="4">
        <v>394</v>
      </c>
      <c r="Z1506" s="4">
        <v>25</v>
      </c>
      <c r="AA1506" s="4">
        <v>26</v>
      </c>
      <c r="AB1506" s="4">
        <v>1</v>
      </c>
      <c r="AC1506" s="4">
        <v>1</v>
      </c>
      <c r="AD1506" s="4">
        <v>115</v>
      </c>
      <c r="AE1506" s="4">
        <v>117</v>
      </c>
      <c r="AF1506" s="4">
        <v>0</v>
      </c>
      <c r="AG1506" s="4">
        <v>0</v>
      </c>
      <c r="AH1506" s="4">
        <v>102</v>
      </c>
      <c r="AI1506" s="4">
        <v>104</v>
      </c>
      <c r="AJ1506" s="4">
        <v>15</v>
      </c>
      <c r="AK1506" s="4">
        <v>16</v>
      </c>
      <c r="AL1506" s="4">
        <v>54</v>
      </c>
      <c r="AM1506" s="4">
        <v>55</v>
      </c>
      <c r="AN1506" s="4">
        <v>0</v>
      </c>
      <c r="AO1506" s="4">
        <v>0</v>
      </c>
      <c r="AP1506" s="4">
        <v>20</v>
      </c>
      <c r="AQ1506" s="4">
        <v>21</v>
      </c>
      <c r="AR1506" s="3" t="s">
        <v>63</v>
      </c>
      <c r="AS1506" s="3" t="s">
        <v>63</v>
      </c>
      <c r="AT1506" s="3" t="s">
        <v>62</v>
      </c>
      <c r="AU1506" s="6" t="str">
        <f>HYPERLINK("http://catalog.hathitrust.org/Record/002882847","HathiTrust Record")</f>
        <v>HathiTrust Record</v>
      </c>
      <c r="AV1506" s="6" t="str">
        <f>HYPERLINK("http://mcgill.on.worldcat.org/oclc/29594457","Catalog Record")</f>
        <v>Catalog Record</v>
      </c>
      <c r="AW1506" s="6" t="str">
        <f>HYPERLINK("http://www.worldcat.org/oclc/29594457","WorldCat Record")</f>
        <v>WorldCat Record</v>
      </c>
      <c r="AX1506" s="3" t="s">
        <v>13682</v>
      </c>
      <c r="AY1506" s="3" t="s">
        <v>13683</v>
      </c>
      <c r="AZ1506" s="3" t="s">
        <v>13684</v>
      </c>
      <c r="BA1506" s="3" t="s">
        <v>13684</v>
      </c>
      <c r="BB1506" s="3" t="s">
        <v>13685</v>
      </c>
      <c r="BC1506" s="3" t="s">
        <v>82</v>
      </c>
      <c r="BD1506" s="3" t="s">
        <v>70</v>
      </c>
      <c r="BE1506" s="3" t="s">
        <v>13686</v>
      </c>
      <c r="BF1506" s="3" t="s">
        <v>13685</v>
      </c>
      <c r="BG1506" s="3" t="s">
        <v>13687</v>
      </c>
    </row>
    <row r="1507" spans="1:59" ht="60" x14ac:dyDescent="0.25">
      <c r="A1507" s="2" t="s">
        <v>59</v>
      </c>
      <c r="B1507" s="2" t="s">
        <v>60</v>
      </c>
      <c r="C1507" s="2" t="s">
        <v>13688</v>
      </c>
      <c r="D1507" s="2" t="s">
        <v>13689</v>
      </c>
      <c r="E1507" s="2" t="s">
        <v>13690</v>
      </c>
      <c r="G1507" s="3" t="s">
        <v>63</v>
      </c>
      <c r="I1507" s="3" t="s">
        <v>63</v>
      </c>
      <c r="J1507" s="3" t="s">
        <v>63</v>
      </c>
      <c r="K1507" s="3" t="s">
        <v>64</v>
      </c>
      <c r="L1507" s="2" t="s">
        <v>13691</v>
      </c>
      <c r="M1507" s="2" t="s">
        <v>13692</v>
      </c>
      <c r="N1507" s="3" t="s">
        <v>531</v>
      </c>
      <c r="P1507" s="3" t="s">
        <v>66</v>
      </c>
      <c r="Q1507" s="2" t="s">
        <v>4253</v>
      </c>
      <c r="R1507" s="3" t="s">
        <v>67</v>
      </c>
      <c r="S1507" s="4">
        <v>5</v>
      </c>
      <c r="T1507" s="4">
        <v>5</v>
      </c>
      <c r="U1507" s="5" t="s">
        <v>13693</v>
      </c>
      <c r="V1507" s="5" t="s">
        <v>13693</v>
      </c>
      <c r="W1507" s="5" t="s">
        <v>69</v>
      </c>
      <c r="X1507" s="5" t="s">
        <v>69</v>
      </c>
      <c r="Y1507" s="4">
        <v>186</v>
      </c>
      <c r="Z1507" s="4">
        <v>17</v>
      </c>
      <c r="AA1507" s="4">
        <v>17</v>
      </c>
      <c r="AB1507" s="4">
        <v>1</v>
      </c>
      <c r="AC1507" s="4">
        <v>1</v>
      </c>
      <c r="AD1507" s="4">
        <v>81</v>
      </c>
      <c r="AE1507" s="4">
        <v>81</v>
      </c>
      <c r="AF1507" s="4">
        <v>0</v>
      </c>
      <c r="AG1507" s="4">
        <v>0</v>
      </c>
      <c r="AH1507" s="4">
        <v>78</v>
      </c>
      <c r="AI1507" s="4">
        <v>78</v>
      </c>
      <c r="AJ1507" s="4">
        <v>10</v>
      </c>
      <c r="AK1507" s="4">
        <v>10</v>
      </c>
      <c r="AL1507" s="4">
        <v>46</v>
      </c>
      <c r="AM1507" s="4">
        <v>46</v>
      </c>
      <c r="AN1507" s="4">
        <v>0</v>
      </c>
      <c r="AO1507" s="4">
        <v>0</v>
      </c>
      <c r="AP1507" s="4">
        <v>11</v>
      </c>
      <c r="AQ1507" s="4">
        <v>11</v>
      </c>
      <c r="AR1507" s="3" t="s">
        <v>63</v>
      </c>
      <c r="AS1507" s="3" t="s">
        <v>63</v>
      </c>
      <c r="AT1507" s="3" t="s">
        <v>62</v>
      </c>
      <c r="AU1507" s="6" t="str">
        <f>HYPERLINK("http://catalog.hathitrust.org/Record/002600515","HathiTrust Record")</f>
        <v>HathiTrust Record</v>
      </c>
      <c r="AV1507" s="6" t="str">
        <f>HYPERLINK("http://mcgill.on.worldcat.org/oclc/25316787","Catalog Record")</f>
        <v>Catalog Record</v>
      </c>
      <c r="AW1507" s="6" t="str">
        <f>HYPERLINK("http://www.worldcat.org/oclc/25316787","WorldCat Record")</f>
        <v>WorldCat Record</v>
      </c>
      <c r="AX1507" s="3" t="s">
        <v>13694</v>
      </c>
      <c r="AY1507" s="3" t="s">
        <v>13695</v>
      </c>
      <c r="AZ1507" s="3" t="s">
        <v>13696</v>
      </c>
      <c r="BA1507" s="3" t="s">
        <v>13696</v>
      </c>
      <c r="BB1507" s="3" t="s">
        <v>13697</v>
      </c>
      <c r="BC1507" s="3" t="s">
        <v>82</v>
      </c>
      <c r="BD1507" s="3" t="s">
        <v>70</v>
      </c>
      <c r="BE1507" s="3" t="s">
        <v>13698</v>
      </c>
      <c r="BF1507" s="3" t="s">
        <v>13697</v>
      </c>
      <c r="BG1507" s="3" t="s">
        <v>13699</v>
      </c>
    </row>
    <row r="1508" spans="1:59" ht="60" x14ac:dyDescent="0.25">
      <c r="A1508" s="2" t="s">
        <v>59</v>
      </c>
      <c r="B1508" s="2" t="s">
        <v>60</v>
      </c>
      <c r="C1508" s="2" t="s">
        <v>13700</v>
      </c>
      <c r="D1508" s="2" t="s">
        <v>13701</v>
      </c>
      <c r="E1508" s="2" t="s">
        <v>13702</v>
      </c>
      <c r="F1508" s="3" t="s">
        <v>4427</v>
      </c>
      <c r="G1508" s="3" t="s">
        <v>62</v>
      </c>
      <c r="I1508" s="3" t="s">
        <v>63</v>
      </c>
      <c r="J1508" s="3" t="s">
        <v>63</v>
      </c>
      <c r="K1508" s="3" t="s">
        <v>64</v>
      </c>
      <c r="L1508" s="2" t="s">
        <v>13703</v>
      </c>
      <c r="M1508" s="2" t="s">
        <v>13704</v>
      </c>
      <c r="N1508" s="3" t="s">
        <v>13705</v>
      </c>
      <c r="P1508" s="3" t="s">
        <v>90</v>
      </c>
      <c r="R1508" s="3" t="s">
        <v>67</v>
      </c>
      <c r="S1508" s="4">
        <v>0</v>
      </c>
      <c r="T1508" s="4">
        <v>3</v>
      </c>
      <c r="V1508" s="5" t="s">
        <v>13706</v>
      </c>
      <c r="W1508" s="5" t="s">
        <v>69</v>
      </c>
      <c r="X1508" s="5" t="s">
        <v>69</v>
      </c>
      <c r="Y1508" s="4">
        <v>59</v>
      </c>
      <c r="Z1508" s="4">
        <v>1</v>
      </c>
      <c r="AA1508" s="4">
        <v>3</v>
      </c>
      <c r="AB1508" s="4">
        <v>1</v>
      </c>
      <c r="AC1508" s="4">
        <v>1</v>
      </c>
      <c r="AD1508" s="4">
        <v>34</v>
      </c>
      <c r="AE1508" s="4">
        <v>39</v>
      </c>
      <c r="AF1508" s="4">
        <v>0</v>
      </c>
      <c r="AG1508" s="4">
        <v>0</v>
      </c>
      <c r="AH1508" s="4">
        <v>32</v>
      </c>
      <c r="AI1508" s="4">
        <v>37</v>
      </c>
      <c r="AJ1508" s="4">
        <v>0</v>
      </c>
      <c r="AK1508" s="4">
        <v>2</v>
      </c>
      <c r="AL1508" s="4">
        <v>26</v>
      </c>
      <c r="AM1508" s="4">
        <v>29</v>
      </c>
      <c r="AN1508" s="4">
        <v>0</v>
      </c>
      <c r="AO1508" s="4">
        <v>0</v>
      </c>
      <c r="AP1508" s="4">
        <v>0</v>
      </c>
      <c r="AQ1508" s="4">
        <v>2</v>
      </c>
      <c r="AR1508" s="3" t="s">
        <v>63</v>
      </c>
      <c r="AS1508" s="3" t="s">
        <v>63</v>
      </c>
      <c r="AT1508" s="3" t="s">
        <v>62</v>
      </c>
      <c r="AU1508" s="6" t="str">
        <f>HYPERLINK("http://catalog.hathitrust.org/Record/004687120","HathiTrust Record")</f>
        <v>HathiTrust Record</v>
      </c>
      <c r="AV1508" s="6" t="str">
        <f>HYPERLINK("http://mcgill.on.worldcat.org/oclc/423600","Catalog Record")</f>
        <v>Catalog Record</v>
      </c>
      <c r="AW1508" s="6" t="str">
        <f>HYPERLINK("http://www.worldcat.org/oclc/423600","WorldCat Record")</f>
        <v>WorldCat Record</v>
      </c>
      <c r="AX1508" s="3" t="s">
        <v>13707</v>
      </c>
      <c r="AY1508" s="3" t="s">
        <v>13708</v>
      </c>
      <c r="AZ1508" s="3" t="s">
        <v>13709</v>
      </c>
      <c r="BA1508" s="3" t="s">
        <v>13709</v>
      </c>
      <c r="BB1508" s="3" t="s">
        <v>13710</v>
      </c>
      <c r="BC1508" s="3" t="s">
        <v>82</v>
      </c>
      <c r="BD1508" s="3" t="s">
        <v>70</v>
      </c>
      <c r="BF1508" s="3" t="s">
        <v>13710</v>
      </c>
      <c r="BG1508" s="3" t="s">
        <v>13711</v>
      </c>
    </row>
    <row r="1509" spans="1:59" ht="60" x14ac:dyDescent="0.25">
      <c r="A1509" s="2" t="s">
        <v>59</v>
      </c>
      <c r="B1509" s="2" t="s">
        <v>60</v>
      </c>
      <c r="C1509" s="2" t="s">
        <v>13700</v>
      </c>
      <c r="D1509" s="2" t="s">
        <v>13701</v>
      </c>
      <c r="E1509" s="2" t="s">
        <v>13702</v>
      </c>
      <c r="F1509" s="3" t="s">
        <v>4433</v>
      </c>
      <c r="G1509" s="3" t="s">
        <v>62</v>
      </c>
      <c r="I1509" s="3" t="s">
        <v>63</v>
      </c>
      <c r="J1509" s="3" t="s">
        <v>63</v>
      </c>
      <c r="K1509" s="3" t="s">
        <v>64</v>
      </c>
      <c r="L1509" s="2" t="s">
        <v>13703</v>
      </c>
      <c r="M1509" s="2" t="s">
        <v>13704</v>
      </c>
      <c r="N1509" s="3" t="s">
        <v>13705</v>
      </c>
      <c r="P1509" s="3" t="s">
        <v>90</v>
      </c>
      <c r="R1509" s="3" t="s">
        <v>67</v>
      </c>
      <c r="S1509" s="4">
        <v>0</v>
      </c>
      <c r="T1509" s="4">
        <v>3</v>
      </c>
      <c r="V1509" s="5" t="s">
        <v>13706</v>
      </c>
      <c r="W1509" s="5" t="s">
        <v>69</v>
      </c>
      <c r="X1509" s="5" t="s">
        <v>69</v>
      </c>
      <c r="Y1509" s="4">
        <v>59</v>
      </c>
      <c r="Z1509" s="4">
        <v>1</v>
      </c>
      <c r="AA1509" s="4">
        <v>3</v>
      </c>
      <c r="AB1509" s="4">
        <v>1</v>
      </c>
      <c r="AC1509" s="4">
        <v>1</v>
      </c>
      <c r="AD1509" s="4">
        <v>34</v>
      </c>
      <c r="AE1509" s="4">
        <v>39</v>
      </c>
      <c r="AF1509" s="4">
        <v>0</v>
      </c>
      <c r="AG1509" s="4">
        <v>0</v>
      </c>
      <c r="AH1509" s="4">
        <v>32</v>
      </c>
      <c r="AI1509" s="4">
        <v>37</v>
      </c>
      <c r="AJ1509" s="4">
        <v>0</v>
      </c>
      <c r="AK1509" s="4">
        <v>2</v>
      </c>
      <c r="AL1509" s="4">
        <v>26</v>
      </c>
      <c r="AM1509" s="4">
        <v>29</v>
      </c>
      <c r="AN1509" s="4">
        <v>0</v>
      </c>
      <c r="AO1509" s="4">
        <v>0</v>
      </c>
      <c r="AP1509" s="4">
        <v>0</v>
      </c>
      <c r="AQ1509" s="4">
        <v>2</v>
      </c>
      <c r="AR1509" s="3" t="s">
        <v>63</v>
      </c>
      <c r="AS1509" s="3" t="s">
        <v>63</v>
      </c>
      <c r="AT1509" s="3" t="s">
        <v>62</v>
      </c>
      <c r="AU1509" s="6" t="str">
        <f>HYPERLINK("http://catalog.hathitrust.org/Record/004687120","HathiTrust Record")</f>
        <v>HathiTrust Record</v>
      </c>
      <c r="AV1509" s="6" t="str">
        <f>HYPERLINK("http://mcgill.on.worldcat.org/oclc/423600","Catalog Record")</f>
        <v>Catalog Record</v>
      </c>
      <c r="AW1509" s="6" t="str">
        <f>HYPERLINK("http://www.worldcat.org/oclc/423600","WorldCat Record")</f>
        <v>WorldCat Record</v>
      </c>
      <c r="AX1509" s="3" t="s">
        <v>13707</v>
      </c>
      <c r="AY1509" s="3" t="s">
        <v>13708</v>
      </c>
      <c r="AZ1509" s="3" t="s">
        <v>13709</v>
      </c>
      <c r="BA1509" s="3" t="s">
        <v>13709</v>
      </c>
      <c r="BB1509" s="3" t="s">
        <v>13712</v>
      </c>
      <c r="BC1509" s="3" t="s">
        <v>82</v>
      </c>
      <c r="BD1509" s="3" t="s">
        <v>70</v>
      </c>
      <c r="BF1509" s="3" t="s">
        <v>13712</v>
      </c>
      <c r="BG1509" s="3" t="s">
        <v>13713</v>
      </c>
    </row>
    <row r="1510" spans="1:59" ht="60" x14ac:dyDescent="0.25">
      <c r="A1510" s="2" t="s">
        <v>59</v>
      </c>
      <c r="B1510" s="2" t="s">
        <v>60</v>
      </c>
      <c r="C1510" s="2" t="s">
        <v>13700</v>
      </c>
      <c r="D1510" s="2" t="s">
        <v>13701</v>
      </c>
      <c r="E1510" s="2" t="s">
        <v>13702</v>
      </c>
      <c r="F1510" s="3" t="s">
        <v>4434</v>
      </c>
      <c r="G1510" s="3" t="s">
        <v>62</v>
      </c>
      <c r="I1510" s="3" t="s">
        <v>63</v>
      </c>
      <c r="J1510" s="3" t="s">
        <v>63</v>
      </c>
      <c r="K1510" s="3" t="s">
        <v>64</v>
      </c>
      <c r="L1510" s="2" t="s">
        <v>13703</v>
      </c>
      <c r="M1510" s="2" t="s">
        <v>13704</v>
      </c>
      <c r="N1510" s="3" t="s">
        <v>13705</v>
      </c>
      <c r="P1510" s="3" t="s">
        <v>90</v>
      </c>
      <c r="R1510" s="3" t="s">
        <v>67</v>
      </c>
      <c r="S1510" s="4">
        <v>0</v>
      </c>
      <c r="T1510" s="4">
        <v>3</v>
      </c>
      <c r="V1510" s="5" t="s">
        <v>13706</v>
      </c>
      <c r="W1510" s="5" t="s">
        <v>69</v>
      </c>
      <c r="X1510" s="5" t="s">
        <v>69</v>
      </c>
      <c r="Y1510" s="4">
        <v>59</v>
      </c>
      <c r="Z1510" s="4">
        <v>1</v>
      </c>
      <c r="AA1510" s="4">
        <v>3</v>
      </c>
      <c r="AB1510" s="4">
        <v>1</v>
      </c>
      <c r="AC1510" s="4">
        <v>1</v>
      </c>
      <c r="AD1510" s="4">
        <v>34</v>
      </c>
      <c r="AE1510" s="4">
        <v>39</v>
      </c>
      <c r="AF1510" s="4">
        <v>0</v>
      </c>
      <c r="AG1510" s="4">
        <v>0</v>
      </c>
      <c r="AH1510" s="4">
        <v>32</v>
      </c>
      <c r="AI1510" s="4">
        <v>37</v>
      </c>
      <c r="AJ1510" s="4">
        <v>0</v>
      </c>
      <c r="AK1510" s="4">
        <v>2</v>
      </c>
      <c r="AL1510" s="4">
        <v>26</v>
      </c>
      <c r="AM1510" s="4">
        <v>29</v>
      </c>
      <c r="AN1510" s="4">
        <v>0</v>
      </c>
      <c r="AO1510" s="4">
        <v>0</v>
      </c>
      <c r="AP1510" s="4">
        <v>0</v>
      </c>
      <c r="AQ1510" s="4">
        <v>2</v>
      </c>
      <c r="AR1510" s="3" t="s">
        <v>63</v>
      </c>
      <c r="AS1510" s="3" t="s">
        <v>63</v>
      </c>
      <c r="AT1510" s="3" t="s">
        <v>62</v>
      </c>
      <c r="AU1510" s="6" t="str">
        <f>HYPERLINK("http://catalog.hathitrust.org/Record/004687120","HathiTrust Record")</f>
        <v>HathiTrust Record</v>
      </c>
      <c r="AV1510" s="6" t="str">
        <f>HYPERLINK("http://mcgill.on.worldcat.org/oclc/423600","Catalog Record")</f>
        <v>Catalog Record</v>
      </c>
      <c r="AW1510" s="6" t="str">
        <f>HYPERLINK("http://www.worldcat.org/oclc/423600","WorldCat Record")</f>
        <v>WorldCat Record</v>
      </c>
      <c r="AX1510" s="3" t="s">
        <v>13707</v>
      </c>
      <c r="AY1510" s="3" t="s">
        <v>13708</v>
      </c>
      <c r="AZ1510" s="3" t="s">
        <v>13709</v>
      </c>
      <c r="BA1510" s="3" t="s">
        <v>13709</v>
      </c>
      <c r="BB1510" s="3" t="s">
        <v>13714</v>
      </c>
      <c r="BC1510" s="3" t="s">
        <v>82</v>
      </c>
      <c r="BD1510" s="3" t="s">
        <v>70</v>
      </c>
      <c r="BF1510" s="3" t="s">
        <v>13714</v>
      </c>
      <c r="BG1510" s="3" t="s">
        <v>13715</v>
      </c>
    </row>
    <row r="1511" spans="1:59" ht="60" x14ac:dyDescent="0.25">
      <c r="A1511" s="2" t="s">
        <v>59</v>
      </c>
      <c r="B1511" s="2" t="s">
        <v>60</v>
      </c>
      <c r="C1511" s="2" t="s">
        <v>13700</v>
      </c>
      <c r="D1511" s="2" t="s">
        <v>13701</v>
      </c>
      <c r="E1511" s="2" t="s">
        <v>13702</v>
      </c>
      <c r="F1511" s="3" t="s">
        <v>4436</v>
      </c>
      <c r="G1511" s="3" t="s">
        <v>62</v>
      </c>
      <c r="I1511" s="3" t="s">
        <v>63</v>
      </c>
      <c r="J1511" s="3" t="s">
        <v>63</v>
      </c>
      <c r="K1511" s="3" t="s">
        <v>64</v>
      </c>
      <c r="L1511" s="2" t="s">
        <v>13703</v>
      </c>
      <c r="M1511" s="2" t="s">
        <v>13704</v>
      </c>
      <c r="N1511" s="3" t="s">
        <v>13705</v>
      </c>
      <c r="P1511" s="3" t="s">
        <v>90</v>
      </c>
      <c r="R1511" s="3" t="s">
        <v>67</v>
      </c>
      <c r="S1511" s="4">
        <v>0</v>
      </c>
      <c r="T1511" s="4">
        <v>3</v>
      </c>
      <c r="V1511" s="5" t="s">
        <v>13706</v>
      </c>
      <c r="W1511" s="5" t="s">
        <v>69</v>
      </c>
      <c r="X1511" s="5" t="s">
        <v>69</v>
      </c>
      <c r="Y1511" s="4">
        <v>59</v>
      </c>
      <c r="Z1511" s="4">
        <v>1</v>
      </c>
      <c r="AA1511" s="4">
        <v>3</v>
      </c>
      <c r="AB1511" s="4">
        <v>1</v>
      </c>
      <c r="AC1511" s="4">
        <v>1</v>
      </c>
      <c r="AD1511" s="4">
        <v>34</v>
      </c>
      <c r="AE1511" s="4">
        <v>39</v>
      </c>
      <c r="AF1511" s="4">
        <v>0</v>
      </c>
      <c r="AG1511" s="4">
        <v>0</v>
      </c>
      <c r="AH1511" s="4">
        <v>32</v>
      </c>
      <c r="AI1511" s="4">
        <v>37</v>
      </c>
      <c r="AJ1511" s="4">
        <v>0</v>
      </c>
      <c r="AK1511" s="4">
        <v>2</v>
      </c>
      <c r="AL1511" s="4">
        <v>26</v>
      </c>
      <c r="AM1511" s="4">
        <v>29</v>
      </c>
      <c r="AN1511" s="4">
        <v>0</v>
      </c>
      <c r="AO1511" s="4">
        <v>0</v>
      </c>
      <c r="AP1511" s="4">
        <v>0</v>
      </c>
      <c r="AQ1511" s="4">
        <v>2</v>
      </c>
      <c r="AR1511" s="3" t="s">
        <v>63</v>
      </c>
      <c r="AS1511" s="3" t="s">
        <v>63</v>
      </c>
      <c r="AT1511" s="3" t="s">
        <v>62</v>
      </c>
      <c r="AU1511" s="6" t="str">
        <f>HYPERLINK("http://catalog.hathitrust.org/Record/004687120","HathiTrust Record")</f>
        <v>HathiTrust Record</v>
      </c>
      <c r="AV1511" s="6" t="str">
        <f>HYPERLINK("http://mcgill.on.worldcat.org/oclc/423600","Catalog Record")</f>
        <v>Catalog Record</v>
      </c>
      <c r="AW1511" s="6" t="str">
        <f>HYPERLINK("http://www.worldcat.org/oclc/423600","WorldCat Record")</f>
        <v>WorldCat Record</v>
      </c>
      <c r="AX1511" s="3" t="s">
        <v>13707</v>
      </c>
      <c r="AY1511" s="3" t="s">
        <v>13708</v>
      </c>
      <c r="AZ1511" s="3" t="s">
        <v>13709</v>
      </c>
      <c r="BA1511" s="3" t="s">
        <v>13709</v>
      </c>
      <c r="BB1511" s="3" t="s">
        <v>13716</v>
      </c>
      <c r="BC1511" s="3" t="s">
        <v>82</v>
      </c>
      <c r="BD1511" s="3" t="s">
        <v>70</v>
      </c>
      <c r="BF1511" s="3" t="s">
        <v>13716</v>
      </c>
      <c r="BG1511" s="3" t="s">
        <v>13717</v>
      </c>
    </row>
    <row r="1512" spans="1:59" ht="60" x14ac:dyDescent="0.25">
      <c r="A1512" s="2" t="s">
        <v>59</v>
      </c>
      <c r="B1512" s="2" t="s">
        <v>60</v>
      </c>
      <c r="C1512" s="2" t="s">
        <v>13700</v>
      </c>
      <c r="D1512" s="2" t="s">
        <v>13701</v>
      </c>
      <c r="E1512" s="2" t="s">
        <v>13702</v>
      </c>
      <c r="F1512" s="3" t="s">
        <v>4032</v>
      </c>
      <c r="G1512" s="3" t="s">
        <v>62</v>
      </c>
      <c r="I1512" s="3" t="s">
        <v>63</v>
      </c>
      <c r="J1512" s="3" t="s">
        <v>63</v>
      </c>
      <c r="K1512" s="3" t="s">
        <v>64</v>
      </c>
      <c r="L1512" s="2" t="s">
        <v>13703</v>
      </c>
      <c r="M1512" s="2" t="s">
        <v>13704</v>
      </c>
      <c r="N1512" s="3" t="s">
        <v>13705</v>
      </c>
      <c r="P1512" s="3" t="s">
        <v>90</v>
      </c>
      <c r="R1512" s="3" t="s">
        <v>67</v>
      </c>
      <c r="S1512" s="4">
        <v>0</v>
      </c>
      <c r="T1512" s="4">
        <v>3</v>
      </c>
      <c r="V1512" s="5" t="s">
        <v>13706</v>
      </c>
      <c r="W1512" s="5" t="s">
        <v>69</v>
      </c>
      <c r="X1512" s="5" t="s">
        <v>69</v>
      </c>
      <c r="Y1512" s="4">
        <v>59</v>
      </c>
      <c r="Z1512" s="4">
        <v>1</v>
      </c>
      <c r="AA1512" s="4">
        <v>3</v>
      </c>
      <c r="AB1512" s="4">
        <v>1</v>
      </c>
      <c r="AC1512" s="4">
        <v>1</v>
      </c>
      <c r="AD1512" s="4">
        <v>34</v>
      </c>
      <c r="AE1512" s="4">
        <v>39</v>
      </c>
      <c r="AF1512" s="4">
        <v>0</v>
      </c>
      <c r="AG1512" s="4">
        <v>0</v>
      </c>
      <c r="AH1512" s="4">
        <v>32</v>
      </c>
      <c r="AI1512" s="4">
        <v>37</v>
      </c>
      <c r="AJ1512" s="4">
        <v>0</v>
      </c>
      <c r="AK1512" s="4">
        <v>2</v>
      </c>
      <c r="AL1512" s="4">
        <v>26</v>
      </c>
      <c r="AM1512" s="4">
        <v>29</v>
      </c>
      <c r="AN1512" s="4">
        <v>0</v>
      </c>
      <c r="AO1512" s="4">
        <v>0</v>
      </c>
      <c r="AP1512" s="4">
        <v>0</v>
      </c>
      <c r="AQ1512" s="4">
        <v>2</v>
      </c>
      <c r="AR1512" s="3" t="s">
        <v>63</v>
      </c>
      <c r="AS1512" s="3" t="s">
        <v>63</v>
      </c>
      <c r="AT1512" s="3" t="s">
        <v>62</v>
      </c>
      <c r="AU1512" s="6" t="str">
        <f>HYPERLINK("http://catalog.hathitrust.org/Record/004687120","HathiTrust Record")</f>
        <v>HathiTrust Record</v>
      </c>
      <c r="AV1512" s="6" t="str">
        <f>HYPERLINK("http://mcgill.on.worldcat.org/oclc/423600","Catalog Record")</f>
        <v>Catalog Record</v>
      </c>
      <c r="AW1512" s="6" t="str">
        <f>HYPERLINK("http://www.worldcat.org/oclc/423600","WorldCat Record")</f>
        <v>WorldCat Record</v>
      </c>
      <c r="AX1512" s="3" t="s">
        <v>13707</v>
      </c>
      <c r="AY1512" s="3" t="s">
        <v>13708</v>
      </c>
      <c r="AZ1512" s="3" t="s">
        <v>13709</v>
      </c>
      <c r="BA1512" s="3" t="s">
        <v>13709</v>
      </c>
      <c r="BB1512" s="3" t="s">
        <v>13718</v>
      </c>
      <c r="BC1512" s="3" t="s">
        <v>82</v>
      </c>
      <c r="BD1512" s="3" t="s">
        <v>70</v>
      </c>
      <c r="BF1512" s="3" t="s">
        <v>13718</v>
      </c>
      <c r="BG1512" s="3" t="s">
        <v>13719</v>
      </c>
    </row>
    <row r="1513" spans="1:59" ht="60" x14ac:dyDescent="0.25">
      <c r="A1513" s="2" t="s">
        <v>59</v>
      </c>
      <c r="B1513" s="2" t="s">
        <v>60</v>
      </c>
      <c r="C1513" s="2" t="s">
        <v>13700</v>
      </c>
      <c r="D1513" s="2" t="s">
        <v>13701</v>
      </c>
      <c r="E1513" s="2" t="s">
        <v>13702</v>
      </c>
      <c r="F1513" s="3" t="s">
        <v>582</v>
      </c>
      <c r="G1513" s="3" t="s">
        <v>62</v>
      </c>
      <c r="I1513" s="3" t="s">
        <v>63</v>
      </c>
      <c r="J1513" s="3" t="s">
        <v>63</v>
      </c>
      <c r="K1513" s="3" t="s">
        <v>64</v>
      </c>
      <c r="L1513" s="2" t="s">
        <v>13703</v>
      </c>
      <c r="M1513" s="2" t="s">
        <v>13704</v>
      </c>
      <c r="N1513" s="3" t="s">
        <v>13705</v>
      </c>
      <c r="P1513" s="3" t="s">
        <v>90</v>
      </c>
      <c r="R1513" s="3" t="s">
        <v>67</v>
      </c>
      <c r="S1513" s="4">
        <v>0</v>
      </c>
      <c r="T1513" s="4">
        <v>3</v>
      </c>
      <c r="V1513" s="5" t="s">
        <v>13706</v>
      </c>
      <c r="W1513" s="5" t="s">
        <v>69</v>
      </c>
      <c r="X1513" s="5" t="s">
        <v>69</v>
      </c>
      <c r="Y1513" s="4">
        <v>59</v>
      </c>
      <c r="Z1513" s="4">
        <v>1</v>
      </c>
      <c r="AA1513" s="4">
        <v>3</v>
      </c>
      <c r="AB1513" s="4">
        <v>1</v>
      </c>
      <c r="AC1513" s="4">
        <v>1</v>
      </c>
      <c r="AD1513" s="4">
        <v>34</v>
      </c>
      <c r="AE1513" s="4">
        <v>39</v>
      </c>
      <c r="AF1513" s="4">
        <v>0</v>
      </c>
      <c r="AG1513" s="4">
        <v>0</v>
      </c>
      <c r="AH1513" s="4">
        <v>32</v>
      </c>
      <c r="AI1513" s="4">
        <v>37</v>
      </c>
      <c r="AJ1513" s="4">
        <v>0</v>
      </c>
      <c r="AK1513" s="4">
        <v>2</v>
      </c>
      <c r="AL1513" s="4">
        <v>26</v>
      </c>
      <c r="AM1513" s="4">
        <v>29</v>
      </c>
      <c r="AN1513" s="4">
        <v>0</v>
      </c>
      <c r="AO1513" s="4">
        <v>0</v>
      </c>
      <c r="AP1513" s="4">
        <v>0</v>
      </c>
      <c r="AQ1513" s="4">
        <v>2</v>
      </c>
      <c r="AR1513" s="3" t="s">
        <v>63</v>
      </c>
      <c r="AS1513" s="3" t="s">
        <v>63</v>
      </c>
      <c r="AT1513" s="3" t="s">
        <v>62</v>
      </c>
      <c r="AU1513" s="6" t="str">
        <f>HYPERLINK("http://catalog.hathitrust.org/Record/004687120","HathiTrust Record")</f>
        <v>HathiTrust Record</v>
      </c>
      <c r="AV1513" s="6" t="str">
        <f>HYPERLINK("http://mcgill.on.worldcat.org/oclc/423600","Catalog Record")</f>
        <v>Catalog Record</v>
      </c>
      <c r="AW1513" s="6" t="str">
        <f>HYPERLINK("http://www.worldcat.org/oclc/423600","WorldCat Record")</f>
        <v>WorldCat Record</v>
      </c>
      <c r="AX1513" s="3" t="s">
        <v>13707</v>
      </c>
      <c r="AY1513" s="3" t="s">
        <v>13708</v>
      </c>
      <c r="AZ1513" s="3" t="s">
        <v>13709</v>
      </c>
      <c r="BA1513" s="3" t="s">
        <v>13709</v>
      </c>
      <c r="BB1513" s="3" t="s">
        <v>13720</v>
      </c>
      <c r="BC1513" s="3" t="s">
        <v>82</v>
      </c>
      <c r="BD1513" s="3" t="s">
        <v>70</v>
      </c>
      <c r="BF1513" s="3" t="s">
        <v>13720</v>
      </c>
      <c r="BG1513" s="3" t="s">
        <v>13721</v>
      </c>
    </row>
    <row r="1514" spans="1:59" ht="60" x14ac:dyDescent="0.25">
      <c r="A1514" s="2" t="s">
        <v>59</v>
      </c>
      <c r="B1514" s="2" t="s">
        <v>60</v>
      </c>
      <c r="C1514" s="2" t="s">
        <v>13700</v>
      </c>
      <c r="D1514" s="2" t="s">
        <v>13701</v>
      </c>
      <c r="E1514" s="2" t="s">
        <v>13702</v>
      </c>
      <c r="F1514" s="3" t="s">
        <v>9085</v>
      </c>
      <c r="G1514" s="3" t="s">
        <v>62</v>
      </c>
      <c r="I1514" s="3" t="s">
        <v>63</v>
      </c>
      <c r="J1514" s="3" t="s">
        <v>63</v>
      </c>
      <c r="K1514" s="3" t="s">
        <v>64</v>
      </c>
      <c r="L1514" s="2" t="s">
        <v>13703</v>
      </c>
      <c r="M1514" s="2" t="s">
        <v>13704</v>
      </c>
      <c r="N1514" s="3" t="s">
        <v>13705</v>
      </c>
      <c r="P1514" s="3" t="s">
        <v>90</v>
      </c>
      <c r="R1514" s="3" t="s">
        <v>67</v>
      </c>
      <c r="S1514" s="4">
        <v>0</v>
      </c>
      <c r="T1514" s="4">
        <v>3</v>
      </c>
      <c r="V1514" s="5" t="s">
        <v>13706</v>
      </c>
      <c r="W1514" s="5" t="s">
        <v>69</v>
      </c>
      <c r="X1514" s="5" t="s">
        <v>69</v>
      </c>
      <c r="Y1514" s="4">
        <v>59</v>
      </c>
      <c r="Z1514" s="4">
        <v>1</v>
      </c>
      <c r="AA1514" s="4">
        <v>3</v>
      </c>
      <c r="AB1514" s="4">
        <v>1</v>
      </c>
      <c r="AC1514" s="4">
        <v>1</v>
      </c>
      <c r="AD1514" s="4">
        <v>34</v>
      </c>
      <c r="AE1514" s="4">
        <v>39</v>
      </c>
      <c r="AF1514" s="4">
        <v>0</v>
      </c>
      <c r="AG1514" s="4">
        <v>0</v>
      </c>
      <c r="AH1514" s="4">
        <v>32</v>
      </c>
      <c r="AI1514" s="4">
        <v>37</v>
      </c>
      <c r="AJ1514" s="4">
        <v>0</v>
      </c>
      <c r="AK1514" s="4">
        <v>2</v>
      </c>
      <c r="AL1514" s="4">
        <v>26</v>
      </c>
      <c r="AM1514" s="4">
        <v>29</v>
      </c>
      <c r="AN1514" s="4">
        <v>0</v>
      </c>
      <c r="AO1514" s="4">
        <v>0</v>
      </c>
      <c r="AP1514" s="4">
        <v>0</v>
      </c>
      <c r="AQ1514" s="4">
        <v>2</v>
      </c>
      <c r="AR1514" s="3" t="s">
        <v>63</v>
      </c>
      <c r="AS1514" s="3" t="s">
        <v>63</v>
      </c>
      <c r="AT1514" s="3" t="s">
        <v>62</v>
      </c>
      <c r="AU1514" s="6" t="str">
        <f>HYPERLINK("http://catalog.hathitrust.org/Record/004687120","HathiTrust Record")</f>
        <v>HathiTrust Record</v>
      </c>
      <c r="AV1514" s="6" t="str">
        <f>HYPERLINK("http://mcgill.on.worldcat.org/oclc/423600","Catalog Record")</f>
        <v>Catalog Record</v>
      </c>
      <c r="AW1514" s="6" t="str">
        <f>HYPERLINK("http://www.worldcat.org/oclc/423600","WorldCat Record")</f>
        <v>WorldCat Record</v>
      </c>
      <c r="AX1514" s="3" t="s">
        <v>13707</v>
      </c>
      <c r="AY1514" s="3" t="s">
        <v>13708</v>
      </c>
      <c r="AZ1514" s="3" t="s">
        <v>13709</v>
      </c>
      <c r="BA1514" s="3" t="s">
        <v>13709</v>
      </c>
      <c r="BB1514" s="3" t="s">
        <v>13722</v>
      </c>
      <c r="BC1514" s="3" t="s">
        <v>82</v>
      </c>
      <c r="BD1514" s="3" t="s">
        <v>70</v>
      </c>
      <c r="BF1514" s="3" t="s">
        <v>13722</v>
      </c>
      <c r="BG1514" s="3" t="s">
        <v>13723</v>
      </c>
    </row>
    <row r="1515" spans="1:59" ht="60" x14ac:dyDescent="0.25">
      <c r="A1515" s="2" t="s">
        <v>59</v>
      </c>
      <c r="B1515" s="2" t="s">
        <v>60</v>
      </c>
      <c r="C1515" s="2" t="s">
        <v>13700</v>
      </c>
      <c r="D1515" s="2" t="s">
        <v>13701</v>
      </c>
      <c r="E1515" s="2" t="s">
        <v>13702</v>
      </c>
      <c r="F1515" s="3" t="s">
        <v>4435</v>
      </c>
      <c r="G1515" s="3" t="s">
        <v>62</v>
      </c>
      <c r="I1515" s="3" t="s">
        <v>63</v>
      </c>
      <c r="J1515" s="3" t="s">
        <v>63</v>
      </c>
      <c r="K1515" s="3" t="s">
        <v>64</v>
      </c>
      <c r="L1515" s="2" t="s">
        <v>13703</v>
      </c>
      <c r="M1515" s="2" t="s">
        <v>13704</v>
      </c>
      <c r="N1515" s="3" t="s">
        <v>13705</v>
      </c>
      <c r="P1515" s="3" t="s">
        <v>90</v>
      </c>
      <c r="R1515" s="3" t="s">
        <v>67</v>
      </c>
      <c r="S1515" s="4">
        <v>0</v>
      </c>
      <c r="T1515" s="4">
        <v>3</v>
      </c>
      <c r="V1515" s="5" t="s">
        <v>13706</v>
      </c>
      <c r="W1515" s="5" t="s">
        <v>69</v>
      </c>
      <c r="X1515" s="5" t="s">
        <v>69</v>
      </c>
      <c r="Y1515" s="4">
        <v>59</v>
      </c>
      <c r="Z1515" s="4">
        <v>1</v>
      </c>
      <c r="AA1515" s="4">
        <v>3</v>
      </c>
      <c r="AB1515" s="4">
        <v>1</v>
      </c>
      <c r="AC1515" s="4">
        <v>1</v>
      </c>
      <c r="AD1515" s="4">
        <v>34</v>
      </c>
      <c r="AE1515" s="4">
        <v>39</v>
      </c>
      <c r="AF1515" s="4">
        <v>0</v>
      </c>
      <c r="AG1515" s="4">
        <v>0</v>
      </c>
      <c r="AH1515" s="4">
        <v>32</v>
      </c>
      <c r="AI1515" s="4">
        <v>37</v>
      </c>
      <c r="AJ1515" s="4">
        <v>0</v>
      </c>
      <c r="AK1515" s="4">
        <v>2</v>
      </c>
      <c r="AL1515" s="4">
        <v>26</v>
      </c>
      <c r="AM1515" s="4">
        <v>29</v>
      </c>
      <c r="AN1515" s="4">
        <v>0</v>
      </c>
      <c r="AO1515" s="4">
        <v>0</v>
      </c>
      <c r="AP1515" s="4">
        <v>0</v>
      </c>
      <c r="AQ1515" s="4">
        <v>2</v>
      </c>
      <c r="AR1515" s="3" t="s">
        <v>63</v>
      </c>
      <c r="AS1515" s="3" t="s">
        <v>63</v>
      </c>
      <c r="AT1515" s="3" t="s">
        <v>62</v>
      </c>
      <c r="AU1515" s="6" t="str">
        <f>HYPERLINK("http://catalog.hathitrust.org/Record/004687120","HathiTrust Record")</f>
        <v>HathiTrust Record</v>
      </c>
      <c r="AV1515" s="6" t="str">
        <f>HYPERLINK("http://mcgill.on.worldcat.org/oclc/423600","Catalog Record")</f>
        <v>Catalog Record</v>
      </c>
      <c r="AW1515" s="6" t="str">
        <f>HYPERLINK("http://www.worldcat.org/oclc/423600","WorldCat Record")</f>
        <v>WorldCat Record</v>
      </c>
      <c r="AX1515" s="3" t="s">
        <v>13707</v>
      </c>
      <c r="AY1515" s="3" t="s">
        <v>13708</v>
      </c>
      <c r="AZ1515" s="3" t="s">
        <v>13709</v>
      </c>
      <c r="BA1515" s="3" t="s">
        <v>13709</v>
      </c>
      <c r="BB1515" s="3" t="s">
        <v>13724</v>
      </c>
      <c r="BC1515" s="3" t="s">
        <v>82</v>
      </c>
      <c r="BD1515" s="3" t="s">
        <v>70</v>
      </c>
      <c r="BF1515" s="3" t="s">
        <v>13724</v>
      </c>
      <c r="BG1515" s="3" t="s">
        <v>13725</v>
      </c>
    </row>
    <row r="1516" spans="1:59" ht="60" x14ac:dyDescent="0.25">
      <c r="A1516" s="2" t="s">
        <v>59</v>
      </c>
      <c r="B1516" s="2" t="s">
        <v>60</v>
      </c>
      <c r="C1516" s="2" t="s">
        <v>13700</v>
      </c>
      <c r="D1516" s="2" t="s">
        <v>13701</v>
      </c>
      <c r="E1516" s="2" t="s">
        <v>13702</v>
      </c>
      <c r="F1516" s="3" t="s">
        <v>9069</v>
      </c>
      <c r="G1516" s="3" t="s">
        <v>62</v>
      </c>
      <c r="I1516" s="3" t="s">
        <v>63</v>
      </c>
      <c r="J1516" s="3" t="s">
        <v>63</v>
      </c>
      <c r="K1516" s="3" t="s">
        <v>64</v>
      </c>
      <c r="L1516" s="2" t="s">
        <v>13703</v>
      </c>
      <c r="M1516" s="2" t="s">
        <v>13704</v>
      </c>
      <c r="N1516" s="3" t="s">
        <v>13705</v>
      </c>
      <c r="P1516" s="3" t="s">
        <v>90</v>
      </c>
      <c r="R1516" s="3" t="s">
        <v>67</v>
      </c>
      <c r="S1516" s="4">
        <v>0</v>
      </c>
      <c r="T1516" s="4">
        <v>3</v>
      </c>
      <c r="V1516" s="5" t="s">
        <v>13706</v>
      </c>
      <c r="W1516" s="5" t="s">
        <v>69</v>
      </c>
      <c r="X1516" s="5" t="s">
        <v>69</v>
      </c>
      <c r="Y1516" s="4">
        <v>59</v>
      </c>
      <c r="Z1516" s="4">
        <v>1</v>
      </c>
      <c r="AA1516" s="4">
        <v>3</v>
      </c>
      <c r="AB1516" s="4">
        <v>1</v>
      </c>
      <c r="AC1516" s="4">
        <v>1</v>
      </c>
      <c r="AD1516" s="4">
        <v>34</v>
      </c>
      <c r="AE1516" s="4">
        <v>39</v>
      </c>
      <c r="AF1516" s="4">
        <v>0</v>
      </c>
      <c r="AG1516" s="4">
        <v>0</v>
      </c>
      <c r="AH1516" s="4">
        <v>32</v>
      </c>
      <c r="AI1516" s="4">
        <v>37</v>
      </c>
      <c r="AJ1516" s="4">
        <v>0</v>
      </c>
      <c r="AK1516" s="4">
        <v>2</v>
      </c>
      <c r="AL1516" s="4">
        <v>26</v>
      </c>
      <c r="AM1516" s="4">
        <v>29</v>
      </c>
      <c r="AN1516" s="4">
        <v>0</v>
      </c>
      <c r="AO1516" s="4">
        <v>0</v>
      </c>
      <c r="AP1516" s="4">
        <v>0</v>
      </c>
      <c r="AQ1516" s="4">
        <v>2</v>
      </c>
      <c r="AR1516" s="3" t="s">
        <v>63</v>
      </c>
      <c r="AS1516" s="3" t="s">
        <v>63</v>
      </c>
      <c r="AT1516" s="3" t="s">
        <v>62</v>
      </c>
      <c r="AU1516" s="6" t="str">
        <f>HYPERLINK("http://catalog.hathitrust.org/Record/004687120","HathiTrust Record")</f>
        <v>HathiTrust Record</v>
      </c>
      <c r="AV1516" s="6" t="str">
        <f>HYPERLINK("http://mcgill.on.worldcat.org/oclc/423600","Catalog Record")</f>
        <v>Catalog Record</v>
      </c>
      <c r="AW1516" s="6" t="str">
        <f>HYPERLINK("http://www.worldcat.org/oclc/423600","WorldCat Record")</f>
        <v>WorldCat Record</v>
      </c>
      <c r="AX1516" s="3" t="s">
        <v>13707</v>
      </c>
      <c r="AY1516" s="3" t="s">
        <v>13708</v>
      </c>
      <c r="AZ1516" s="3" t="s">
        <v>13709</v>
      </c>
      <c r="BA1516" s="3" t="s">
        <v>13709</v>
      </c>
      <c r="BB1516" s="3" t="s">
        <v>13726</v>
      </c>
      <c r="BC1516" s="3" t="s">
        <v>82</v>
      </c>
      <c r="BD1516" s="3" t="s">
        <v>70</v>
      </c>
      <c r="BF1516" s="3" t="s">
        <v>13726</v>
      </c>
      <c r="BG1516" s="3" t="s">
        <v>13727</v>
      </c>
    </row>
    <row r="1517" spans="1:59" ht="60" x14ac:dyDescent="0.25">
      <c r="A1517" s="2" t="s">
        <v>59</v>
      </c>
      <c r="B1517" s="2" t="s">
        <v>60</v>
      </c>
      <c r="C1517" s="2" t="s">
        <v>13700</v>
      </c>
      <c r="D1517" s="2" t="s">
        <v>13701</v>
      </c>
      <c r="E1517" s="2" t="s">
        <v>13702</v>
      </c>
      <c r="F1517" s="3" t="s">
        <v>571</v>
      </c>
      <c r="G1517" s="3" t="s">
        <v>62</v>
      </c>
      <c r="I1517" s="3" t="s">
        <v>63</v>
      </c>
      <c r="J1517" s="3" t="s">
        <v>63</v>
      </c>
      <c r="K1517" s="3" t="s">
        <v>64</v>
      </c>
      <c r="L1517" s="2" t="s">
        <v>13703</v>
      </c>
      <c r="M1517" s="2" t="s">
        <v>13704</v>
      </c>
      <c r="N1517" s="3" t="s">
        <v>13705</v>
      </c>
      <c r="P1517" s="3" t="s">
        <v>90</v>
      </c>
      <c r="R1517" s="3" t="s">
        <v>67</v>
      </c>
      <c r="S1517" s="4">
        <v>3</v>
      </c>
      <c r="T1517" s="4">
        <v>3</v>
      </c>
      <c r="U1517" s="5" t="s">
        <v>13706</v>
      </c>
      <c r="V1517" s="5" t="s">
        <v>13706</v>
      </c>
      <c r="W1517" s="5" t="s">
        <v>69</v>
      </c>
      <c r="X1517" s="5" t="s">
        <v>69</v>
      </c>
      <c r="Y1517" s="4">
        <v>59</v>
      </c>
      <c r="Z1517" s="4">
        <v>1</v>
      </c>
      <c r="AA1517" s="4">
        <v>3</v>
      </c>
      <c r="AB1517" s="4">
        <v>1</v>
      </c>
      <c r="AC1517" s="4">
        <v>1</v>
      </c>
      <c r="AD1517" s="4">
        <v>34</v>
      </c>
      <c r="AE1517" s="4">
        <v>39</v>
      </c>
      <c r="AF1517" s="4">
        <v>0</v>
      </c>
      <c r="AG1517" s="4">
        <v>0</v>
      </c>
      <c r="AH1517" s="4">
        <v>32</v>
      </c>
      <c r="AI1517" s="4">
        <v>37</v>
      </c>
      <c r="AJ1517" s="4">
        <v>0</v>
      </c>
      <c r="AK1517" s="4">
        <v>2</v>
      </c>
      <c r="AL1517" s="4">
        <v>26</v>
      </c>
      <c r="AM1517" s="4">
        <v>29</v>
      </c>
      <c r="AN1517" s="4">
        <v>0</v>
      </c>
      <c r="AO1517" s="4">
        <v>0</v>
      </c>
      <c r="AP1517" s="4">
        <v>0</v>
      </c>
      <c r="AQ1517" s="4">
        <v>2</v>
      </c>
      <c r="AR1517" s="3" t="s">
        <v>63</v>
      </c>
      <c r="AS1517" s="3" t="s">
        <v>63</v>
      </c>
      <c r="AT1517" s="3" t="s">
        <v>62</v>
      </c>
      <c r="AU1517" s="6" t="str">
        <f>HYPERLINK("http://catalog.hathitrust.org/Record/004687120","HathiTrust Record")</f>
        <v>HathiTrust Record</v>
      </c>
      <c r="AV1517" s="6" t="str">
        <f>HYPERLINK("http://mcgill.on.worldcat.org/oclc/423600","Catalog Record")</f>
        <v>Catalog Record</v>
      </c>
      <c r="AW1517" s="6" t="str">
        <f>HYPERLINK("http://www.worldcat.org/oclc/423600","WorldCat Record")</f>
        <v>WorldCat Record</v>
      </c>
      <c r="AX1517" s="3" t="s">
        <v>13707</v>
      </c>
      <c r="AY1517" s="3" t="s">
        <v>13708</v>
      </c>
      <c r="AZ1517" s="3" t="s">
        <v>13709</v>
      </c>
      <c r="BA1517" s="3" t="s">
        <v>13709</v>
      </c>
      <c r="BB1517" s="3" t="s">
        <v>13728</v>
      </c>
      <c r="BC1517" s="3" t="s">
        <v>82</v>
      </c>
      <c r="BD1517" s="3" t="s">
        <v>70</v>
      </c>
      <c r="BF1517" s="3" t="s">
        <v>13728</v>
      </c>
      <c r="BG1517" s="3" t="s">
        <v>13729</v>
      </c>
    </row>
    <row r="1518" spans="1:59" ht="60" x14ac:dyDescent="0.25">
      <c r="A1518" s="2" t="s">
        <v>59</v>
      </c>
      <c r="B1518" s="2" t="s">
        <v>60</v>
      </c>
      <c r="C1518" s="2" t="s">
        <v>13700</v>
      </c>
      <c r="D1518" s="2" t="s">
        <v>13701</v>
      </c>
      <c r="E1518" s="2" t="s">
        <v>13702</v>
      </c>
      <c r="F1518" s="3" t="s">
        <v>4432</v>
      </c>
      <c r="G1518" s="3" t="s">
        <v>62</v>
      </c>
      <c r="I1518" s="3" t="s">
        <v>63</v>
      </c>
      <c r="J1518" s="3" t="s">
        <v>63</v>
      </c>
      <c r="K1518" s="3" t="s">
        <v>64</v>
      </c>
      <c r="L1518" s="2" t="s">
        <v>13703</v>
      </c>
      <c r="M1518" s="2" t="s">
        <v>13704</v>
      </c>
      <c r="N1518" s="3" t="s">
        <v>13705</v>
      </c>
      <c r="P1518" s="3" t="s">
        <v>90</v>
      </c>
      <c r="R1518" s="3" t="s">
        <v>67</v>
      </c>
      <c r="S1518" s="4">
        <v>0</v>
      </c>
      <c r="T1518" s="4">
        <v>3</v>
      </c>
      <c r="V1518" s="5" t="s">
        <v>13706</v>
      </c>
      <c r="W1518" s="5" t="s">
        <v>69</v>
      </c>
      <c r="X1518" s="5" t="s">
        <v>69</v>
      </c>
      <c r="Y1518" s="4">
        <v>59</v>
      </c>
      <c r="Z1518" s="4">
        <v>1</v>
      </c>
      <c r="AA1518" s="4">
        <v>3</v>
      </c>
      <c r="AB1518" s="4">
        <v>1</v>
      </c>
      <c r="AC1518" s="4">
        <v>1</v>
      </c>
      <c r="AD1518" s="4">
        <v>34</v>
      </c>
      <c r="AE1518" s="4">
        <v>39</v>
      </c>
      <c r="AF1518" s="4">
        <v>0</v>
      </c>
      <c r="AG1518" s="4">
        <v>0</v>
      </c>
      <c r="AH1518" s="4">
        <v>32</v>
      </c>
      <c r="AI1518" s="4">
        <v>37</v>
      </c>
      <c r="AJ1518" s="4">
        <v>0</v>
      </c>
      <c r="AK1518" s="4">
        <v>2</v>
      </c>
      <c r="AL1518" s="4">
        <v>26</v>
      </c>
      <c r="AM1518" s="4">
        <v>29</v>
      </c>
      <c r="AN1518" s="4">
        <v>0</v>
      </c>
      <c r="AO1518" s="4">
        <v>0</v>
      </c>
      <c r="AP1518" s="4">
        <v>0</v>
      </c>
      <c r="AQ1518" s="4">
        <v>2</v>
      </c>
      <c r="AR1518" s="3" t="s">
        <v>63</v>
      </c>
      <c r="AS1518" s="3" t="s">
        <v>63</v>
      </c>
      <c r="AT1518" s="3" t="s">
        <v>62</v>
      </c>
      <c r="AU1518" s="6" t="str">
        <f>HYPERLINK("http://catalog.hathitrust.org/Record/004687120","HathiTrust Record")</f>
        <v>HathiTrust Record</v>
      </c>
      <c r="AV1518" s="6" t="str">
        <f>HYPERLINK("http://mcgill.on.worldcat.org/oclc/423600","Catalog Record")</f>
        <v>Catalog Record</v>
      </c>
      <c r="AW1518" s="6" t="str">
        <f>HYPERLINK("http://www.worldcat.org/oclc/423600","WorldCat Record")</f>
        <v>WorldCat Record</v>
      </c>
      <c r="AX1518" s="3" t="s">
        <v>13707</v>
      </c>
      <c r="AY1518" s="3" t="s">
        <v>13708</v>
      </c>
      <c r="AZ1518" s="3" t="s">
        <v>13709</v>
      </c>
      <c r="BA1518" s="3" t="s">
        <v>13709</v>
      </c>
      <c r="BB1518" s="3" t="s">
        <v>13730</v>
      </c>
      <c r="BC1518" s="3" t="s">
        <v>82</v>
      </c>
      <c r="BD1518" s="3" t="s">
        <v>70</v>
      </c>
      <c r="BF1518" s="3" t="s">
        <v>13730</v>
      </c>
      <c r="BG1518" s="3" t="s">
        <v>13731</v>
      </c>
    </row>
    <row r="1519" spans="1:59" ht="60" x14ac:dyDescent="0.25">
      <c r="A1519" s="2" t="s">
        <v>59</v>
      </c>
      <c r="B1519" s="2" t="s">
        <v>60</v>
      </c>
      <c r="C1519" s="2" t="s">
        <v>13700</v>
      </c>
      <c r="D1519" s="2" t="s">
        <v>13701</v>
      </c>
      <c r="E1519" s="2" t="s">
        <v>13702</v>
      </c>
      <c r="F1519" s="3" t="s">
        <v>4428</v>
      </c>
      <c r="G1519" s="3" t="s">
        <v>62</v>
      </c>
      <c r="I1519" s="3" t="s">
        <v>63</v>
      </c>
      <c r="J1519" s="3" t="s">
        <v>63</v>
      </c>
      <c r="K1519" s="3" t="s">
        <v>64</v>
      </c>
      <c r="L1519" s="2" t="s">
        <v>13703</v>
      </c>
      <c r="M1519" s="2" t="s">
        <v>13704</v>
      </c>
      <c r="N1519" s="3" t="s">
        <v>13705</v>
      </c>
      <c r="P1519" s="3" t="s">
        <v>90</v>
      </c>
      <c r="R1519" s="3" t="s">
        <v>67</v>
      </c>
      <c r="S1519" s="4">
        <v>0</v>
      </c>
      <c r="T1519" s="4">
        <v>3</v>
      </c>
      <c r="V1519" s="5" t="s">
        <v>13706</v>
      </c>
      <c r="W1519" s="5" t="s">
        <v>69</v>
      </c>
      <c r="X1519" s="5" t="s">
        <v>69</v>
      </c>
      <c r="Y1519" s="4">
        <v>59</v>
      </c>
      <c r="Z1519" s="4">
        <v>1</v>
      </c>
      <c r="AA1519" s="4">
        <v>3</v>
      </c>
      <c r="AB1519" s="4">
        <v>1</v>
      </c>
      <c r="AC1519" s="4">
        <v>1</v>
      </c>
      <c r="AD1519" s="4">
        <v>34</v>
      </c>
      <c r="AE1519" s="4">
        <v>39</v>
      </c>
      <c r="AF1519" s="4">
        <v>0</v>
      </c>
      <c r="AG1519" s="4">
        <v>0</v>
      </c>
      <c r="AH1519" s="4">
        <v>32</v>
      </c>
      <c r="AI1519" s="4">
        <v>37</v>
      </c>
      <c r="AJ1519" s="4">
        <v>0</v>
      </c>
      <c r="AK1519" s="4">
        <v>2</v>
      </c>
      <c r="AL1519" s="4">
        <v>26</v>
      </c>
      <c r="AM1519" s="4">
        <v>29</v>
      </c>
      <c r="AN1519" s="4">
        <v>0</v>
      </c>
      <c r="AO1519" s="4">
        <v>0</v>
      </c>
      <c r="AP1519" s="4">
        <v>0</v>
      </c>
      <c r="AQ1519" s="4">
        <v>2</v>
      </c>
      <c r="AR1519" s="3" t="s">
        <v>63</v>
      </c>
      <c r="AS1519" s="3" t="s">
        <v>63</v>
      </c>
      <c r="AT1519" s="3" t="s">
        <v>62</v>
      </c>
      <c r="AU1519" s="6" t="str">
        <f>HYPERLINK("http://catalog.hathitrust.org/Record/004687120","HathiTrust Record")</f>
        <v>HathiTrust Record</v>
      </c>
      <c r="AV1519" s="6" t="str">
        <f>HYPERLINK("http://mcgill.on.worldcat.org/oclc/423600","Catalog Record")</f>
        <v>Catalog Record</v>
      </c>
      <c r="AW1519" s="6" t="str">
        <f>HYPERLINK("http://www.worldcat.org/oclc/423600","WorldCat Record")</f>
        <v>WorldCat Record</v>
      </c>
      <c r="AX1519" s="3" t="s">
        <v>13707</v>
      </c>
      <c r="AY1519" s="3" t="s">
        <v>13708</v>
      </c>
      <c r="AZ1519" s="3" t="s">
        <v>13709</v>
      </c>
      <c r="BA1519" s="3" t="s">
        <v>13709</v>
      </c>
      <c r="BB1519" s="3" t="s">
        <v>13732</v>
      </c>
      <c r="BC1519" s="3" t="s">
        <v>82</v>
      </c>
      <c r="BD1519" s="3" t="s">
        <v>70</v>
      </c>
      <c r="BF1519" s="3" t="s">
        <v>13732</v>
      </c>
      <c r="BG1519" s="3" t="s">
        <v>13733</v>
      </c>
    </row>
    <row r="1520" spans="1:59" ht="60" x14ac:dyDescent="0.25">
      <c r="A1520" s="2" t="s">
        <v>59</v>
      </c>
      <c r="B1520" s="2" t="s">
        <v>60</v>
      </c>
      <c r="C1520" s="2" t="s">
        <v>13700</v>
      </c>
      <c r="D1520" s="2" t="s">
        <v>13701</v>
      </c>
      <c r="E1520" s="2" t="s">
        <v>13702</v>
      </c>
      <c r="F1520" s="3" t="s">
        <v>4439</v>
      </c>
      <c r="G1520" s="3" t="s">
        <v>62</v>
      </c>
      <c r="I1520" s="3" t="s">
        <v>63</v>
      </c>
      <c r="J1520" s="3" t="s">
        <v>63</v>
      </c>
      <c r="K1520" s="3" t="s">
        <v>64</v>
      </c>
      <c r="L1520" s="2" t="s">
        <v>13703</v>
      </c>
      <c r="M1520" s="2" t="s">
        <v>13704</v>
      </c>
      <c r="N1520" s="3" t="s">
        <v>13705</v>
      </c>
      <c r="P1520" s="3" t="s">
        <v>90</v>
      </c>
      <c r="R1520" s="3" t="s">
        <v>67</v>
      </c>
      <c r="S1520" s="4">
        <v>0</v>
      </c>
      <c r="T1520" s="4">
        <v>3</v>
      </c>
      <c r="V1520" s="5" t="s">
        <v>13706</v>
      </c>
      <c r="W1520" s="5" t="s">
        <v>69</v>
      </c>
      <c r="X1520" s="5" t="s">
        <v>69</v>
      </c>
      <c r="Y1520" s="4">
        <v>59</v>
      </c>
      <c r="Z1520" s="4">
        <v>1</v>
      </c>
      <c r="AA1520" s="4">
        <v>3</v>
      </c>
      <c r="AB1520" s="4">
        <v>1</v>
      </c>
      <c r="AC1520" s="4">
        <v>1</v>
      </c>
      <c r="AD1520" s="4">
        <v>34</v>
      </c>
      <c r="AE1520" s="4">
        <v>39</v>
      </c>
      <c r="AF1520" s="4">
        <v>0</v>
      </c>
      <c r="AG1520" s="4">
        <v>0</v>
      </c>
      <c r="AH1520" s="4">
        <v>32</v>
      </c>
      <c r="AI1520" s="4">
        <v>37</v>
      </c>
      <c r="AJ1520" s="4">
        <v>0</v>
      </c>
      <c r="AK1520" s="4">
        <v>2</v>
      </c>
      <c r="AL1520" s="4">
        <v>26</v>
      </c>
      <c r="AM1520" s="4">
        <v>29</v>
      </c>
      <c r="AN1520" s="4">
        <v>0</v>
      </c>
      <c r="AO1520" s="4">
        <v>0</v>
      </c>
      <c r="AP1520" s="4">
        <v>0</v>
      </c>
      <c r="AQ1520" s="4">
        <v>2</v>
      </c>
      <c r="AR1520" s="3" t="s">
        <v>63</v>
      </c>
      <c r="AS1520" s="3" t="s">
        <v>63</v>
      </c>
      <c r="AT1520" s="3" t="s">
        <v>62</v>
      </c>
      <c r="AU1520" s="6" t="str">
        <f>HYPERLINK("http://catalog.hathitrust.org/Record/004687120","HathiTrust Record")</f>
        <v>HathiTrust Record</v>
      </c>
      <c r="AV1520" s="6" t="str">
        <f>HYPERLINK("http://mcgill.on.worldcat.org/oclc/423600","Catalog Record")</f>
        <v>Catalog Record</v>
      </c>
      <c r="AW1520" s="6" t="str">
        <f>HYPERLINK("http://www.worldcat.org/oclc/423600","WorldCat Record")</f>
        <v>WorldCat Record</v>
      </c>
      <c r="AX1520" s="3" t="s">
        <v>13707</v>
      </c>
      <c r="AY1520" s="3" t="s">
        <v>13708</v>
      </c>
      <c r="AZ1520" s="3" t="s">
        <v>13709</v>
      </c>
      <c r="BA1520" s="3" t="s">
        <v>13709</v>
      </c>
      <c r="BB1520" s="3" t="s">
        <v>13734</v>
      </c>
      <c r="BC1520" s="3" t="s">
        <v>82</v>
      </c>
      <c r="BD1520" s="3" t="s">
        <v>70</v>
      </c>
      <c r="BF1520" s="3" t="s">
        <v>13734</v>
      </c>
      <c r="BG1520" s="3" t="s">
        <v>13735</v>
      </c>
    </row>
    <row r="1521" spans="1:59" ht="60" x14ac:dyDescent="0.25">
      <c r="A1521" s="2" t="s">
        <v>59</v>
      </c>
      <c r="B1521" s="2" t="s">
        <v>60</v>
      </c>
      <c r="C1521" s="2" t="s">
        <v>13700</v>
      </c>
      <c r="D1521" s="2" t="s">
        <v>13701</v>
      </c>
      <c r="E1521" s="2" t="s">
        <v>13702</v>
      </c>
      <c r="F1521" s="3" t="s">
        <v>4437</v>
      </c>
      <c r="G1521" s="3" t="s">
        <v>62</v>
      </c>
      <c r="I1521" s="3" t="s">
        <v>63</v>
      </c>
      <c r="J1521" s="3" t="s">
        <v>63</v>
      </c>
      <c r="K1521" s="3" t="s">
        <v>64</v>
      </c>
      <c r="L1521" s="2" t="s">
        <v>13703</v>
      </c>
      <c r="M1521" s="2" t="s">
        <v>13704</v>
      </c>
      <c r="N1521" s="3" t="s">
        <v>13705</v>
      </c>
      <c r="P1521" s="3" t="s">
        <v>90</v>
      </c>
      <c r="R1521" s="3" t="s">
        <v>67</v>
      </c>
      <c r="S1521" s="4">
        <v>0</v>
      </c>
      <c r="T1521" s="4">
        <v>3</v>
      </c>
      <c r="V1521" s="5" t="s">
        <v>13706</v>
      </c>
      <c r="W1521" s="5" t="s">
        <v>69</v>
      </c>
      <c r="X1521" s="5" t="s">
        <v>69</v>
      </c>
      <c r="Y1521" s="4">
        <v>59</v>
      </c>
      <c r="Z1521" s="4">
        <v>1</v>
      </c>
      <c r="AA1521" s="4">
        <v>3</v>
      </c>
      <c r="AB1521" s="4">
        <v>1</v>
      </c>
      <c r="AC1521" s="4">
        <v>1</v>
      </c>
      <c r="AD1521" s="4">
        <v>34</v>
      </c>
      <c r="AE1521" s="4">
        <v>39</v>
      </c>
      <c r="AF1521" s="4">
        <v>0</v>
      </c>
      <c r="AG1521" s="4">
        <v>0</v>
      </c>
      <c r="AH1521" s="4">
        <v>32</v>
      </c>
      <c r="AI1521" s="4">
        <v>37</v>
      </c>
      <c r="AJ1521" s="4">
        <v>0</v>
      </c>
      <c r="AK1521" s="4">
        <v>2</v>
      </c>
      <c r="AL1521" s="4">
        <v>26</v>
      </c>
      <c r="AM1521" s="4">
        <v>29</v>
      </c>
      <c r="AN1521" s="4">
        <v>0</v>
      </c>
      <c r="AO1521" s="4">
        <v>0</v>
      </c>
      <c r="AP1521" s="4">
        <v>0</v>
      </c>
      <c r="AQ1521" s="4">
        <v>2</v>
      </c>
      <c r="AR1521" s="3" t="s">
        <v>63</v>
      </c>
      <c r="AS1521" s="3" t="s">
        <v>63</v>
      </c>
      <c r="AT1521" s="3" t="s">
        <v>62</v>
      </c>
      <c r="AU1521" s="6" t="str">
        <f>HYPERLINK("http://catalog.hathitrust.org/Record/004687120","HathiTrust Record")</f>
        <v>HathiTrust Record</v>
      </c>
      <c r="AV1521" s="6" t="str">
        <f>HYPERLINK("http://mcgill.on.worldcat.org/oclc/423600","Catalog Record")</f>
        <v>Catalog Record</v>
      </c>
      <c r="AW1521" s="6" t="str">
        <f>HYPERLINK("http://www.worldcat.org/oclc/423600","WorldCat Record")</f>
        <v>WorldCat Record</v>
      </c>
      <c r="AX1521" s="3" t="s">
        <v>13707</v>
      </c>
      <c r="AY1521" s="3" t="s">
        <v>13708</v>
      </c>
      <c r="AZ1521" s="3" t="s">
        <v>13709</v>
      </c>
      <c r="BA1521" s="3" t="s">
        <v>13709</v>
      </c>
      <c r="BB1521" s="3" t="s">
        <v>13736</v>
      </c>
      <c r="BC1521" s="3" t="s">
        <v>82</v>
      </c>
      <c r="BD1521" s="3" t="s">
        <v>70</v>
      </c>
      <c r="BF1521" s="3" t="s">
        <v>13736</v>
      </c>
      <c r="BG1521" s="3" t="s">
        <v>13737</v>
      </c>
    </row>
    <row r="1522" spans="1:59" ht="60" x14ac:dyDescent="0.25">
      <c r="A1522" s="2" t="s">
        <v>59</v>
      </c>
      <c r="B1522" s="2" t="s">
        <v>60</v>
      </c>
      <c r="C1522" s="2" t="s">
        <v>13738</v>
      </c>
      <c r="D1522" s="2" t="s">
        <v>13739</v>
      </c>
      <c r="E1522" s="2" t="s">
        <v>13740</v>
      </c>
      <c r="F1522" s="3" t="s">
        <v>4437</v>
      </c>
      <c r="G1522" s="3" t="s">
        <v>62</v>
      </c>
      <c r="I1522" s="3" t="s">
        <v>63</v>
      </c>
      <c r="J1522" s="3" t="s">
        <v>63</v>
      </c>
      <c r="K1522" s="3" t="s">
        <v>64</v>
      </c>
      <c r="L1522" s="2" t="s">
        <v>13741</v>
      </c>
      <c r="M1522" s="2" t="s">
        <v>13742</v>
      </c>
      <c r="N1522" s="3" t="s">
        <v>5468</v>
      </c>
      <c r="P1522" s="3" t="s">
        <v>90</v>
      </c>
      <c r="Q1522" s="2" t="s">
        <v>13743</v>
      </c>
      <c r="R1522" s="3" t="s">
        <v>67</v>
      </c>
      <c r="S1522" s="4">
        <v>1</v>
      </c>
      <c r="T1522" s="4">
        <v>1</v>
      </c>
      <c r="U1522" s="5" t="s">
        <v>1929</v>
      </c>
      <c r="V1522" s="5" t="s">
        <v>1929</v>
      </c>
      <c r="W1522" s="5" t="s">
        <v>69</v>
      </c>
      <c r="X1522" s="5" t="s">
        <v>69</v>
      </c>
      <c r="Y1522" s="4">
        <v>50</v>
      </c>
      <c r="Z1522" s="4">
        <v>2</v>
      </c>
      <c r="AA1522" s="4">
        <v>10</v>
      </c>
      <c r="AB1522" s="4">
        <v>1</v>
      </c>
      <c r="AC1522" s="4">
        <v>1</v>
      </c>
      <c r="AD1522" s="4">
        <v>21</v>
      </c>
      <c r="AE1522" s="4">
        <v>31</v>
      </c>
      <c r="AF1522" s="4">
        <v>0</v>
      </c>
      <c r="AG1522" s="4">
        <v>0</v>
      </c>
      <c r="AH1522" s="4">
        <v>20</v>
      </c>
      <c r="AI1522" s="4">
        <v>29</v>
      </c>
      <c r="AJ1522" s="4">
        <v>0</v>
      </c>
      <c r="AK1522" s="4">
        <v>6</v>
      </c>
      <c r="AL1522" s="4">
        <v>17</v>
      </c>
      <c r="AM1522" s="4">
        <v>20</v>
      </c>
      <c r="AN1522" s="4">
        <v>0</v>
      </c>
      <c r="AO1522" s="4">
        <v>0</v>
      </c>
      <c r="AP1522" s="4">
        <v>0</v>
      </c>
      <c r="AQ1522" s="4">
        <v>6</v>
      </c>
      <c r="AR1522" s="3" t="s">
        <v>63</v>
      </c>
      <c r="AS1522" s="3" t="s">
        <v>63</v>
      </c>
      <c r="AT1522" s="3" t="s">
        <v>62</v>
      </c>
      <c r="AU1522" s="6" t="str">
        <f>HYPERLINK("http://catalog.hathitrust.org/Record/001224705","HathiTrust Record")</f>
        <v>HathiTrust Record</v>
      </c>
      <c r="AV1522" s="6" t="str">
        <f>HYPERLINK("http://mcgill.on.worldcat.org/oclc/11165164","Catalog Record")</f>
        <v>Catalog Record</v>
      </c>
      <c r="AW1522" s="6" t="str">
        <f>HYPERLINK("http://www.worldcat.org/oclc/11165164","WorldCat Record")</f>
        <v>WorldCat Record</v>
      </c>
      <c r="AX1522" s="3" t="s">
        <v>13744</v>
      </c>
      <c r="AY1522" s="3" t="s">
        <v>13745</v>
      </c>
      <c r="AZ1522" s="3" t="s">
        <v>13746</v>
      </c>
      <c r="BA1522" s="3" t="s">
        <v>13746</v>
      </c>
      <c r="BB1522" s="3" t="s">
        <v>13747</v>
      </c>
      <c r="BC1522" s="3" t="s">
        <v>82</v>
      </c>
      <c r="BD1522" s="3" t="s">
        <v>70</v>
      </c>
      <c r="BF1522" s="3" t="s">
        <v>13747</v>
      </c>
      <c r="BG1522" s="3" t="s">
        <v>13748</v>
      </c>
    </row>
    <row r="1523" spans="1:59" ht="60" x14ac:dyDescent="0.25">
      <c r="A1523" s="2" t="s">
        <v>59</v>
      </c>
      <c r="B1523" s="2" t="s">
        <v>60</v>
      </c>
      <c r="C1523" s="2" t="s">
        <v>13749</v>
      </c>
      <c r="D1523" s="2" t="s">
        <v>13750</v>
      </c>
      <c r="E1523" s="2" t="s">
        <v>13751</v>
      </c>
      <c r="F1523" s="3" t="s">
        <v>4032</v>
      </c>
      <c r="G1523" s="3" t="s">
        <v>62</v>
      </c>
      <c r="I1523" s="3" t="s">
        <v>63</v>
      </c>
      <c r="J1523" s="3" t="s">
        <v>63</v>
      </c>
      <c r="K1523" s="3" t="s">
        <v>64</v>
      </c>
      <c r="L1523" s="2" t="s">
        <v>13703</v>
      </c>
      <c r="M1523" s="2" t="s">
        <v>13752</v>
      </c>
      <c r="N1523" s="3" t="s">
        <v>9114</v>
      </c>
      <c r="P1523" s="3" t="s">
        <v>90</v>
      </c>
      <c r="R1523" s="3" t="s">
        <v>67</v>
      </c>
      <c r="S1523" s="4">
        <v>0</v>
      </c>
      <c r="T1523" s="4">
        <v>8</v>
      </c>
      <c r="V1523" s="5" t="s">
        <v>10010</v>
      </c>
      <c r="W1523" s="5" t="s">
        <v>69</v>
      </c>
      <c r="X1523" s="5" t="s">
        <v>69</v>
      </c>
      <c r="Y1523" s="4">
        <v>8</v>
      </c>
      <c r="Z1523" s="4">
        <v>3</v>
      </c>
      <c r="AA1523" s="4">
        <v>8</v>
      </c>
      <c r="AB1523" s="4">
        <v>2</v>
      </c>
      <c r="AC1523" s="4">
        <v>3</v>
      </c>
      <c r="AD1523" s="4">
        <v>5</v>
      </c>
      <c r="AE1523" s="4">
        <v>37</v>
      </c>
      <c r="AF1523" s="4">
        <v>0</v>
      </c>
      <c r="AG1523" s="4">
        <v>1</v>
      </c>
      <c r="AH1523" s="4">
        <v>4</v>
      </c>
      <c r="AI1523" s="4">
        <v>33</v>
      </c>
      <c r="AJ1523" s="4">
        <v>1</v>
      </c>
      <c r="AK1523" s="4">
        <v>6</v>
      </c>
      <c r="AL1523" s="4">
        <v>4</v>
      </c>
      <c r="AM1523" s="4">
        <v>21</v>
      </c>
      <c r="AN1523" s="4">
        <v>0</v>
      </c>
      <c r="AO1523" s="4">
        <v>0</v>
      </c>
      <c r="AP1523" s="4">
        <v>1</v>
      </c>
      <c r="AQ1523" s="4">
        <v>6</v>
      </c>
      <c r="AR1523" s="3" t="s">
        <v>63</v>
      </c>
      <c r="AS1523" s="3" t="s">
        <v>63</v>
      </c>
      <c r="AT1523" s="3" t="s">
        <v>62</v>
      </c>
      <c r="AU1523" s="6" t="str">
        <f>HYPERLINK("http://catalog.hathitrust.org/Record/001224706","HathiTrust Record")</f>
        <v>HathiTrust Record</v>
      </c>
      <c r="AV1523" s="6" t="str">
        <f>HYPERLINK("http://mcgill.on.worldcat.org/oclc/44658807","Catalog Record")</f>
        <v>Catalog Record</v>
      </c>
      <c r="AW1523" s="6" t="str">
        <f>HYPERLINK("http://www.worldcat.org/oclc/44658807","WorldCat Record")</f>
        <v>WorldCat Record</v>
      </c>
      <c r="AX1523" s="3" t="s">
        <v>13753</v>
      </c>
      <c r="AY1523" s="3" t="s">
        <v>13754</v>
      </c>
      <c r="AZ1523" s="3" t="s">
        <v>13755</v>
      </c>
      <c r="BA1523" s="3" t="s">
        <v>13755</v>
      </c>
      <c r="BB1523" s="3" t="s">
        <v>13756</v>
      </c>
      <c r="BC1523" s="3" t="s">
        <v>82</v>
      </c>
      <c r="BD1523" s="3" t="s">
        <v>70</v>
      </c>
      <c r="BF1523" s="3" t="s">
        <v>13756</v>
      </c>
      <c r="BG1523" s="3" t="s">
        <v>13757</v>
      </c>
    </row>
    <row r="1524" spans="1:59" ht="60" x14ac:dyDescent="0.25">
      <c r="A1524" s="2" t="s">
        <v>59</v>
      </c>
      <c r="B1524" s="2" t="s">
        <v>60</v>
      </c>
      <c r="C1524" s="2" t="s">
        <v>13749</v>
      </c>
      <c r="D1524" s="2" t="s">
        <v>13750</v>
      </c>
      <c r="E1524" s="2" t="s">
        <v>13751</v>
      </c>
      <c r="F1524" s="3" t="s">
        <v>4439</v>
      </c>
      <c r="G1524" s="3" t="s">
        <v>62</v>
      </c>
      <c r="I1524" s="3" t="s">
        <v>63</v>
      </c>
      <c r="J1524" s="3" t="s">
        <v>63</v>
      </c>
      <c r="K1524" s="3" t="s">
        <v>64</v>
      </c>
      <c r="L1524" s="2" t="s">
        <v>13703</v>
      </c>
      <c r="M1524" s="2" t="s">
        <v>13752</v>
      </c>
      <c r="N1524" s="3" t="s">
        <v>9114</v>
      </c>
      <c r="P1524" s="3" t="s">
        <v>90</v>
      </c>
      <c r="R1524" s="3" t="s">
        <v>67</v>
      </c>
      <c r="S1524" s="4">
        <v>3</v>
      </c>
      <c r="T1524" s="4">
        <v>8</v>
      </c>
      <c r="U1524" s="5" t="s">
        <v>10010</v>
      </c>
      <c r="V1524" s="5" t="s">
        <v>10010</v>
      </c>
      <c r="W1524" s="5" t="s">
        <v>69</v>
      </c>
      <c r="X1524" s="5" t="s">
        <v>69</v>
      </c>
      <c r="Y1524" s="4">
        <v>8</v>
      </c>
      <c r="Z1524" s="4">
        <v>3</v>
      </c>
      <c r="AA1524" s="4">
        <v>8</v>
      </c>
      <c r="AB1524" s="4">
        <v>2</v>
      </c>
      <c r="AC1524" s="4">
        <v>3</v>
      </c>
      <c r="AD1524" s="4">
        <v>5</v>
      </c>
      <c r="AE1524" s="4">
        <v>37</v>
      </c>
      <c r="AF1524" s="4">
        <v>0</v>
      </c>
      <c r="AG1524" s="4">
        <v>1</v>
      </c>
      <c r="AH1524" s="4">
        <v>4</v>
      </c>
      <c r="AI1524" s="4">
        <v>33</v>
      </c>
      <c r="AJ1524" s="4">
        <v>1</v>
      </c>
      <c r="AK1524" s="4">
        <v>6</v>
      </c>
      <c r="AL1524" s="4">
        <v>4</v>
      </c>
      <c r="AM1524" s="4">
        <v>21</v>
      </c>
      <c r="AN1524" s="4">
        <v>0</v>
      </c>
      <c r="AO1524" s="4">
        <v>0</v>
      </c>
      <c r="AP1524" s="4">
        <v>1</v>
      </c>
      <c r="AQ1524" s="4">
        <v>6</v>
      </c>
      <c r="AR1524" s="3" t="s">
        <v>63</v>
      </c>
      <c r="AS1524" s="3" t="s">
        <v>63</v>
      </c>
      <c r="AT1524" s="3" t="s">
        <v>62</v>
      </c>
      <c r="AU1524" s="6" t="str">
        <f>HYPERLINK("http://catalog.hathitrust.org/Record/001224706","HathiTrust Record")</f>
        <v>HathiTrust Record</v>
      </c>
      <c r="AV1524" s="6" t="str">
        <f>HYPERLINK("http://mcgill.on.worldcat.org/oclc/44658807","Catalog Record")</f>
        <v>Catalog Record</v>
      </c>
      <c r="AW1524" s="6" t="str">
        <f>HYPERLINK("http://www.worldcat.org/oclc/44658807","WorldCat Record")</f>
        <v>WorldCat Record</v>
      </c>
      <c r="AX1524" s="3" t="s">
        <v>13753</v>
      </c>
      <c r="AY1524" s="3" t="s">
        <v>13754</v>
      </c>
      <c r="AZ1524" s="3" t="s">
        <v>13755</v>
      </c>
      <c r="BA1524" s="3" t="s">
        <v>13755</v>
      </c>
      <c r="BB1524" s="3" t="s">
        <v>13758</v>
      </c>
      <c r="BC1524" s="3" t="s">
        <v>82</v>
      </c>
      <c r="BD1524" s="3" t="s">
        <v>70</v>
      </c>
      <c r="BF1524" s="3" t="s">
        <v>13758</v>
      </c>
      <c r="BG1524" s="3" t="s">
        <v>13759</v>
      </c>
    </row>
    <row r="1525" spans="1:59" ht="60" x14ac:dyDescent="0.25">
      <c r="A1525" s="2" t="s">
        <v>59</v>
      </c>
      <c r="B1525" s="2" t="s">
        <v>60</v>
      </c>
      <c r="C1525" s="2" t="s">
        <v>13749</v>
      </c>
      <c r="D1525" s="2" t="s">
        <v>13750</v>
      </c>
      <c r="E1525" s="2" t="s">
        <v>13751</v>
      </c>
      <c r="F1525" s="3" t="s">
        <v>4437</v>
      </c>
      <c r="G1525" s="3" t="s">
        <v>62</v>
      </c>
      <c r="I1525" s="3" t="s">
        <v>63</v>
      </c>
      <c r="J1525" s="3" t="s">
        <v>63</v>
      </c>
      <c r="K1525" s="3" t="s">
        <v>64</v>
      </c>
      <c r="L1525" s="2" t="s">
        <v>13703</v>
      </c>
      <c r="M1525" s="2" t="s">
        <v>13752</v>
      </c>
      <c r="N1525" s="3" t="s">
        <v>9114</v>
      </c>
      <c r="P1525" s="3" t="s">
        <v>90</v>
      </c>
      <c r="R1525" s="3" t="s">
        <v>67</v>
      </c>
      <c r="S1525" s="4">
        <v>3</v>
      </c>
      <c r="T1525" s="4">
        <v>8</v>
      </c>
      <c r="U1525" s="5" t="s">
        <v>10010</v>
      </c>
      <c r="V1525" s="5" t="s">
        <v>10010</v>
      </c>
      <c r="W1525" s="5" t="s">
        <v>69</v>
      </c>
      <c r="X1525" s="5" t="s">
        <v>69</v>
      </c>
      <c r="Y1525" s="4">
        <v>8</v>
      </c>
      <c r="Z1525" s="4">
        <v>3</v>
      </c>
      <c r="AA1525" s="4">
        <v>8</v>
      </c>
      <c r="AB1525" s="4">
        <v>2</v>
      </c>
      <c r="AC1525" s="4">
        <v>3</v>
      </c>
      <c r="AD1525" s="4">
        <v>5</v>
      </c>
      <c r="AE1525" s="4">
        <v>37</v>
      </c>
      <c r="AF1525" s="4">
        <v>0</v>
      </c>
      <c r="AG1525" s="4">
        <v>1</v>
      </c>
      <c r="AH1525" s="4">
        <v>4</v>
      </c>
      <c r="AI1525" s="4">
        <v>33</v>
      </c>
      <c r="AJ1525" s="4">
        <v>1</v>
      </c>
      <c r="AK1525" s="4">
        <v>6</v>
      </c>
      <c r="AL1525" s="4">
        <v>4</v>
      </c>
      <c r="AM1525" s="4">
        <v>21</v>
      </c>
      <c r="AN1525" s="4">
        <v>0</v>
      </c>
      <c r="AO1525" s="4">
        <v>0</v>
      </c>
      <c r="AP1525" s="4">
        <v>1</v>
      </c>
      <c r="AQ1525" s="4">
        <v>6</v>
      </c>
      <c r="AR1525" s="3" t="s">
        <v>63</v>
      </c>
      <c r="AS1525" s="3" t="s">
        <v>63</v>
      </c>
      <c r="AT1525" s="3" t="s">
        <v>62</v>
      </c>
      <c r="AU1525" s="6" t="str">
        <f>HYPERLINK("http://catalog.hathitrust.org/Record/001224706","HathiTrust Record")</f>
        <v>HathiTrust Record</v>
      </c>
      <c r="AV1525" s="6" t="str">
        <f>HYPERLINK("http://mcgill.on.worldcat.org/oclc/44658807","Catalog Record")</f>
        <v>Catalog Record</v>
      </c>
      <c r="AW1525" s="6" t="str">
        <f>HYPERLINK("http://www.worldcat.org/oclc/44658807","WorldCat Record")</f>
        <v>WorldCat Record</v>
      </c>
      <c r="AX1525" s="3" t="s">
        <v>13753</v>
      </c>
      <c r="AY1525" s="3" t="s">
        <v>13754</v>
      </c>
      <c r="AZ1525" s="3" t="s">
        <v>13755</v>
      </c>
      <c r="BA1525" s="3" t="s">
        <v>13755</v>
      </c>
      <c r="BB1525" s="3" t="s">
        <v>13760</v>
      </c>
      <c r="BC1525" s="3" t="s">
        <v>82</v>
      </c>
      <c r="BD1525" s="3" t="s">
        <v>70</v>
      </c>
      <c r="BF1525" s="3" t="s">
        <v>13760</v>
      </c>
      <c r="BG1525" s="3" t="s">
        <v>13761</v>
      </c>
    </row>
    <row r="1526" spans="1:59" ht="60" x14ac:dyDescent="0.25">
      <c r="A1526" s="2" t="s">
        <v>59</v>
      </c>
      <c r="B1526" s="2" t="s">
        <v>60</v>
      </c>
      <c r="C1526" s="2" t="s">
        <v>13749</v>
      </c>
      <c r="D1526" s="2" t="s">
        <v>13750</v>
      </c>
      <c r="E1526" s="2" t="s">
        <v>13751</v>
      </c>
      <c r="F1526" s="3" t="s">
        <v>582</v>
      </c>
      <c r="G1526" s="3" t="s">
        <v>62</v>
      </c>
      <c r="I1526" s="3" t="s">
        <v>63</v>
      </c>
      <c r="J1526" s="3" t="s">
        <v>63</v>
      </c>
      <c r="K1526" s="3" t="s">
        <v>64</v>
      </c>
      <c r="L1526" s="2" t="s">
        <v>13703</v>
      </c>
      <c r="M1526" s="2" t="s">
        <v>13752</v>
      </c>
      <c r="N1526" s="3" t="s">
        <v>9114</v>
      </c>
      <c r="P1526" s="3" t="s">
        <v>90</v>
      </c>
      <c r="R1526" s="3" t="s">
        <v>67</v>
      </c>
      <c r="S1526" s="4">
        <v>0</v>
      </c>
      <c r="T1526" s="4">
        <v>8</v>
      </c>
      <c r="V1526" s="5" t="s">
        <v>10010</v>
      </c>
      <c r="W1526" s="5" t="s">
        <v>69</v>
      </c>
      <c r="X1526" s="5" t="s">
        <v>69</v>
      </c>
      <c r="Y1526" s="4">
        <v>8</v>
      </c>
      <c r="Z1526" s="4">
        <v>3</v>
      </c>
      <c r="AA1526" s="4">
        <v>8</v>
      </c>
      <c r="AB1526" s="4">
        <v>2</v>
      </c>
      <c r="AC1526" s="4">
        <v>3</v>
      </c>
      <c r="AD1526" s="4">
        <v>5</v>
      </c>
      <c r="AE1526" s="4">
        <v>37</v>
      </c>
      <c r="AF1526" s="4">
        <v>0</v>
      </c>
      <c r="AG1526" s="4">
        <v>1</v>
      </c>
      <c r="AH1526" s="4">
        <v>4</v>
      </c>
      <c r="AI1526" s="4">
        <v>33</v>
      </c>
      <c r="AJ1526" s="4">
        <v>1</v>
      </c>
      <c r="AK1526" s="4">
        <v>6</v>
      </c>
      <c r="AL1526" s="4">
        <v>4</v>
      </c>
      <c r="AM1526" s="4">
        <v>21</v>
      </c>
      <c r="AN1526" s="4">
        <v>0</v>
      </c>
      <c r="AO1526" s="4">
        <v>0</v>
      </c>
      <c r="AP1526" s="4">
        <v>1</v>
      </c>
      <c r="AQ1526" s="4">
        <v>6</v>
      </c>
      <c r="AR1526" s="3" t="s">
        <v>63</v>
      </c>
      <c r="AS1526" s="3" t="s">
        <v>63</v>
      </c>
      <c r="AT1526" s="3" t="s">
        <v>62</v>
      </c>
      <c r="AU1526" s="6" t="str">
        <f>HYPERLINK("http://catalog.hathitrust.org/Record/001224706","HathiTrust Record")</f>
        <v>HathiTrust Record</v>
      </c>
      <c r="AV1526" s="6" t="str">
        <f>HYPERLINK("http://mcgill.on.worldcat.org/oclc/44658807","Catalog Record")</f>
        <v>Catalog Record</v>
      </c>
      <c r="AW1526" s="6" t="str">
        <f>HYPERLINK("http://www.worldcat.org/oclc/44658807","WorldCat Record")</f>
        <v>WorldCat Record</v>
      </c>
      <c r="AX1526" s="3" t="s">
        <v>13753</v>
      </c>
      <c r="AY1526" s="3" t="s">
        <v>13754</v>
      </c>
      <c r="AZ1526" s="3" t="s">
        <v>13755</v>
      </c>
      <c r="BA1526" s="3" t="s">
        <v>13755</v>
      </c>
      <c r="BB1526" s="3" t="s">
        <v>13762</v>
      </c>
      <c r="BC1526" s="3" t="s">
        <v>82</v>
      </c>
      <c r="BD1526" s="3" t="s">
        <v>70</v>
      </c>
      <c r="BF1526" s="3" t="s">
        <v>13762</v>
      </c>
      <c r="BG1526" s="3" t="s">
        <v>13763</v>
      </c>
    </row>
    <row r="1527" spans="1:59" ht="60" x14ac:dyDescent="0.25">
      <c r="A1527" s="2" t="s">
        <v>59</v>
      </c>
      <c r="B1527" s="2" t="s">
        <v>60</v>
      </c>
      <c r="C1527" s="2" t="s">
        <v>13749</v>
      </c>
      <c r="D1527" s="2" t="s">
        <v>13750</v>
      </c>
      <c r="E1527" s="2" t="s">
        <v>13751</v>
      </c>
      <c r="F1527" s="3" t="s">
        <v>571</v>
      </c>
      <c r="G1527" s="3" t="s">
        <v>62</v>
      </c>
      <c r="I1527" s="3" t="s">
        <v>63</v>
      </c>
      <c r="J1527" s="3" t="s">
        <v>63</v>
      </c>
      <c r="K1527" s="3" t="s">
        <v>64</v>
      </c>
      <c r="L1527" s="2" t="s">
        <v>13703</v>
      </c>
      <c r="M1527" s="2" t="s">
        <v>13752</v>
      </c>
      <c r="N1527" s="3" t="s">
        <v>9114</v>
      </c>
      <c r="P1527" s="3" t="s">
        <v>90</v>
      </c>
      <c r="R1527" s="3" t="s">
        <v>67</v>
      </c>
      <c r="S1527" s="4">
        <v>2</v>
      </c>
      <c r="T1527" s="4">
        <v>8</v>
      </c>
      <c r="U1527" s="5" t="s">
        <v>13764</v>
      </c>
      <c r="V1527" s="5" t="s">
        <v>10010</v>
      </c>
      <c r="W1527" s="5" t="s">
        <v>69</v>
      </c>
      <c r="X1527" s="5" t="s">
        <v>69</v>
      </c>
      <c r="Y1527" s="4">
        <v>8</v>
      </c>
      <c r="Z1527" s="4">
        <v>3</v>
      </c>
      <c r="AA1527" s="4">
        <v>8</v>
      </c>
      <c r="AB1527" s="4">
        <v>2</v>
      </c>
      <c r="AC1527" s="4">
        <v>3</v>
      </c>
      <c r="AD1527" s="4">
        <v>5</v>
      </c>
      <c r="AE1527" s="4">
        <v>37</v>
      </c>
      <c r="AF1527" s="4">
        <v>0</v>
      </c>
      <c r="AG1527" s="4">
        <v>1</v>
      </c>
      <c r="AH1527" s="4">
        <v>4</v>
      </c>
      <c r="AI1527" s="4">
        <v>33</v>
      </c>
      <c r="AJ1527" s="4">
        <v>1</v>
      </c>
      <c r="AK1527" s="4">
        <v>6</v>
      </c>
      <c r="AL1527" s="4">
        <v>4</v>
      </c>
      <c r="AM1527" s="4">
        <v>21</v>
      </c>
      <c r="AN1527" s="4">
        <v>0</v>
      </c>
      <c r="AO1527" s="4">
        <v>0</v>
      </c>
      <c r="AP1527" s="4">
        <v>1</v>
      </c>
      <c r="AQ1527" s="4">
        <v>6</v>
      </c>
      <c r="AR1527" s="3" t="s">
        <v>63</v>
      </c>
      <c r="AS1527" s="3" t="s">
        <v>63</v>
      </c>
      <c r="AT1527" s="3" t="s">
        <v>62</v>
      </c>
      <c r="AU1527" s="6" t="str">
        <f>HYPERLINK("http://catalog.hathitrust.org/Record/001224706","HathiTrust Record")</f>
        <v>HathiTrust Record</v>
      </c>
      <c r="AV1527" s="6" t="str">
        <f>HYPERLINK("http://mcgill.on.worldcat.org/oclc/44658807","Catalog Record")</f>
        <v>Catalog Record</v>
      </c>
      <c r="AW1527" s="6" t="str">
        <f>HYPERLINK("http://www.worldcat.org/oclc/44658807","WorldCat Record")</f>
        <v>WorldCat Record</v>
      </c>
      <c r="AX1527" s="3" t="s">
        <v>13753</v>
      </c>
      <c r="AY1527" s="3" t="s">
        <v>13754</v>
      </c>
      <c r="AZ1527" s="3" t="s">
        <v>13755</v>
      </c>
      <c r="BA1527" s="3" t="s">
        <v>13755</v>
      </c>
      <c r="BB1527" s="3" t="s">
        <v>13765</v>
      </c>
      <c r="BC1527" s="3" t="s">
        <v>82</v>
      </c>
      <c r="BD1527" s="3" t="s">
        <v>70</v>
      </c>
      <c r="BF1527" s="3" t="s">
        <v>13765</v>
      </c>
      <c r="BG1527" s="3" t="s">
        <v>13766</v>
      </c>
    </row>
    <row r="1528" spans="1:59" ht="60" x14ac:dyDescent="0.25">
      <c r="A1528" s="2" t="s">
        <v>59</v>
      </c>
      <c r="B1528" s="2" t="s">
        <v>60</v>
      </c>
      <c r="C1528" s="2" t="s">
        <v>13767</v>
      </c>
      <c r="D1528" s="2" t="s">
        <v>13768</v>
      </c>
      <c r="E1528" s="2" t="s">
        <v>10452</v>
      </c>
      <c r="F1528" s="3" t="s">
        <v>4032</v>
      </c>
      <c r="G1528" s="3" t="s">
        <v>62</v>
      </c>
      <c r="I1528" s="3" t="s">
        <v>63</v>
      </c>
      <c r="J1528" s="3" t="s">
        <v>63</v>
      </c>
      <c r="K1528" s="3" t="s">
        <v>64</v>
      </c>
      <c r="L1528" s="2" t="s">
        <v>13703</v>
      </c>
      <c r="M1528" s="2" t="s">
        <v>13769</v>
      </c>
      <c r="N1528" s="3" t="s">
        <v>837</v>
      </c>
      <c r="P1528" s="3" t="s">
        <v>90</v>
      </c>
      <c r="R1528" s="3" t="s">
        <v>67</v>
      </c>
      <c r="S1528" s="4">
        <v>0</v>
      </c>
      <c r="T1528" s="4">
        <v>5</v>
      </c>
      <c r="V1528" s="5" t="s">
        <v>1128</v>
      </c>
      <c r="W1528" s="5" t="s">
        <v>69</v>
      </c>
      <c r="X1528" s="5" t="s">
        <v>69</v>
      </c>
      <c r="Y1528" s="4">
        <v>1</v>
      </c>
      <c r="Z1528" s="4">
        <v>1</v>
      </c>
      <c r="AA1528" s="4">
        <v>1</v>
      </c>
      <c r="AB1528" s="4">
        <v>1</v>
      </c>
      <c r="AC1528" s="4">
        <v>1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3" t="s">
        <v>63</v>
      </c>
      <c r="AS1528" s="3" t="s">
        <v>63</v>
      </c>
      <c r="AT1528" s="3" t="s">
        <v>63</v>
      </c>
      <c r="AV1528" s="6" t="str">
        <f>HYPERLINK("http://mcgill.on.worldcat.org/oclc/427854664","Catalog Record")</f>
        <v>Catalog Record</v>
      </c>
      <c r="AW1528" s="6" t="str">
        <f>HYPERLINK("http://www.worldcat.org/oclc/427854664","WorldCat Record")</f>
        <v>WorldCat Record</v>
      </c>
      <c r="AX1528" s="3" t="s">
        <v>13770</v>
      </c>
      <c r="AY1528" s="3" t="s">
        <v>13771</v>
      </c>
      <c r="AZ1528" s="3" t="s">
        <v>13772</v>
      </c>
      <c r="BA1528" s="3" t="s">
        <v>13772</v>
      </c>
      <c r="BB1528" s="3" t="s">
        <v>13773</v>
      </c>
      <c r="BC1528" s="3" t="s">
        <v>82</v>
      </c>
      <c r="BD1528" s="3" t="s">
        <v>70</v>
      </c>
      <c r="BF1528" s="3" t="s">
        <v>13773</v>
      </c>
      <c r="BG1528" s="3" t="s">
        <v>13774</v>
      </c>
    </row>
    <row r="1529" spans="1:59" ht="60" x14ac:dyDescent="0.25">
      <c r="A1529" s="2" t="s">
        <v>59</v>
      </c>
      <c r="B1529" s="2" t="s">
        <v>60</v>
      </c>
      <c r="C1529" s="2" t="s">
        <v>13767</v>
      </c>
      <c r="D1529" s="2" t="s">
        <v>13768</v>
      </c>
      <c r="E1529" s="2" t="s">
        <v>10452</v>
      </c>
      <c r="F1529" s="3" t="s">
        <v>571</v>
      </c>
      <c r="G1529" s="3" t="s">
        <v>62</v>
      </c>
      <c r="I1529" s="3" t="s">
        <v>63</v>
      </c>
      <c r="J1529" s="3" t="s">
        <v>63</v>
      </c>
      <c r="K1529" s="3" t="s">
        <v>64</v>
      </c>
      <c r="L1529" s="2" t="s">
        <v>13703</v>
      </c>
      <c r="M1529" s="2" t="s">
        <v>13769</v>
      </c>
      <c r="N1529" s="3" t="s">
        <v>837</v>
      </c>
      <c r="P1529" s="3" t="s">
        <v>90</v>
      </c>
      <c r="R1529" s="3" t="s">
        <v>67</v>
      </c>
      <c r="S1529" s="4">
        <v>0</v>
      </c>
      <c r="T1529" s="4">
        <v>5</v>
      </c>
      <c r="V1529" s="5" t="s">
        <v>1128</v>
      </c>
      <c r="W1529" s="5" t="s">
        <v>69</v>
      </c>
      <c r="X1529" s="5" t="s">
        <v>69</v>
      </c>
      <c r="Y1529" s="4">
        <v>1</v>
      </c>
      <c r="Z1529" s="4">
        <v>1</v>
      </c>
      <c r="AA1529" s="4">
        <v>1</v>
      </c>
      <c r="AB1529" s="4">
        <v>1</v>
      </c>
      <c r="AC1529" s="4">
        <v>1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3" t="s">
        <v>63</v>
      </c>
      <c r="AS1529" s="3" t="s">
        <v>63</v>
      </c>
      <c r="AT1529" s="3" t="s">
        <v>63</v>
      </c>
      <c r="AV1529" s="6" t="str">
        <f>HYPERLINK("http://mcgill.on.worldcat.org/oclc/427854664","Catalog Record")</f>
        <v>Catalog Record</v>
      </c>
      <c r="AW1529" s="6" t="str">
        <f>HYPERLINK("http://www.worldcat.org/oclc/427854664","WorldCat Record")</f>
        <v>WorldCat Record</v>
      </c>
      <c r="AX1529" s="3" t="s">
        <v>13770</v>
      </c>
      <c r="AY1529" s="3" t="s">
        <v>13771</v>
      </c>
      <c r="AZ1529" s="3" t="s">
        <v>13772</v>
      </c>
      <c r="BA1529" s="3" t="s">
        <v>13772</v>
      </c>
      <c r="BB1529" s="3" t="s">
        <v>13775</v>
      </c>
      <c r="BC1529" s="3" t="s">
        <v>82</v>
      </c>
      <c r="BD1529" s="3" t="s">
        <v>70</v>
      </c>
      <c r="BF1529" s="3" t="s">
        <v>13775</v>
      </c>
      <c r="BG1529" s="3" t="s">
        <v>13776</v>
      </c>
    </row>
    <row r="1530" spans="1:59" ht="60" x14ac:dyDescent="0.25">
      <c r="A1530" s="2" t="s">
        <v>59</v>
      </c>
      <c r="B1530" s="2" t="s">
        <v>60</v>
      </c>
      <c r="C1530" s="2" t="s">
        <v>13767</v>
      </c>
      <c r="D1530" s="2" t="s">
        <v>13768</v>
      </c>
      <c r="E1530" s="2" t="s">
        <v>10452</v>
      </c>
      <c r="F1530" s="3" t="s">
        <v>4437</v>
      </c>
      <c r="G1530" s="3" t="s">
        <v>62</v>
      </c>
      <c r="I1530" s="3" t="s">
        <v>63</v>
      </c>
      <c r="J1530" s="3" t="s">
        <v>63</v>
      </c>
      <c r="K1530" s="3" t="s">
        <v>64</v>
      </c>
      <c r="L1530" s="2" t="s">
        <v>13703</v>
      </c>
      <c r="M1530" s="2" t="s">
        <v>13769</v>
      </c>
      <c r="N1530" s="3" t="s">
        <v>837</v>
      </c>
      <c r="P1530" s="3" t="s">
        <v>90</v>
      </c>
      <c r="R1530" s="3" t="s">
        <v>67</v>
      </c>
      <c r="S1530" s="4">
        <v>2</v>
      </c>
      <c r="T1530" s="4">
        <v>5</v>
      </c>
      <c r="U1530" s="5" t="s">
        <v>1128</v>
      </c>
      <c r="V1530" s="5" t="s">
        <v>1128</v>
      </c>
      <c r="W1530" s="5" t="s">
        <v>69</v>
      </c>
      <c r="X1530" s="5" t="s">
        <v>69</v>
      </c>
      <c r="Y1530" s="4">
        <v>1</v>
      </c>
      <c r="Z1530" s="4">
        <v>1</v>
      </c>
      <c r="AA1530" s="4">
        <v>1</v>
      </c>
      <c r="AB1530" s="4">
        <v>1</v>
      </c>
      <c r="AC1530" s="4">
        <v>1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0</v>
      </c>
      <c r="AK1530" s="4">
        <v>0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3" t="s">
        <v>63</v>
      </c>
      <c r="AS1530" s="3" t="s">
        <v>63</v>
      </c>
      <c r="AT1530" s="3" t="s">
        <v>63</v>
      </c>
      <c r="AV1530" s="6" t="str">
        <f>HYPERLINK("http://mcgill.on.worldcat.org/oclc/427854664","Catalog Record")</f>
        <v>Catalog Record</v>
      </c>
      <c r="AW1530" s="6" t="str">
        <f>HYPERLINK("http://www.worldcat.org/oclc/427854664","WorldCat Record")</f>
        <v>WorldCat Record</v>
      </c>
      <c r="AX1530" s="3" t="s">
        <v>13770</v>
      </c>
      <c r="AY1530" s="3" t="s">
        <v>13771</v>
      </c>
      <c r="AZ1530" s="3" t="s">
        <v>13772</v>
      </c>
      <c r="BA1530" s="3" t="s">
        <v>13772</v>
      </c>
      <c r="BB1530" s="3" t="s">
        <v>13777</v>
      </c>
      <c r="BC1530" s="3" t="s">
        <v>82</v>
      </c>
      <c r="BD1530" s="3" t="s">
        <v>70</v>
      </c>
      <c r="BF1530" s="3" t="s">
        <v>13777</v>
      </c>
      <c r="BG1530" s="3" t="s">
        <v>13778</v>
      </c>
    </row>
    <row r="1531" spans="1:59" ht="60" x14ac:dyDescent="0.25">
      <c r="A1531" s="2" t="s">
        <v>59</v>
      </c>
      <c r="B1531" s="2" t="s">
        <v>60</v>
      </c>
      <c r="C1531" s="2" t="s">
        <v>13767</v>
      </c>
      <c r="D1531" s="2" t="s">
        <v>13768</v>
      </c>
      <c r="E1531" s="2" t="s">
        <v>10452</v>
      </c>
      <c r="F1531" s="3" t="s">
        <v>582</v>
      </c>
      <c r="G1531" s="3" t="s">
        <v>62</v>
      </c>
      <c r="I1531" s="3" t="s">
        <v>63</v>
      </c>
      <c r="J1531" s="3" t="s">
        <v>63</v>
      </c>
      <c r="K1531" s="3" t="s">
        <v>64</v>
      </c>
      <c r="L1531" s="2" t="s">
        <v>13703</v>
      </c>
      <c r="M1531" s="2" t="s">
        <v>13769</v>
      </c>
      <c r="N1531" s="3" t="s">
        <v>837</v>
      </c>
      <c r="P1531" s="3" t="s">
        <v>90</v>
      </c>
      <c r="R1531" s="3" t="s">
        <v>67</v>
      </c>
      <c r="S1531" s="4">
        <v>3</v>
      </c>
      <c r="T1531" s="4">
        <v>5</v>
      </c>
      <c r="U1531" s="5" t="s">
        <v>1128</v>
      </c>
      <c r="V1531" s="5" t="s">
        <v>1128</v>
      </c>
      <c r="W1531" s="5" t="s">
        <v>69</v>
      </c>
      <c r="X1531" s="5" t="s">
        <v>69</v>
      </c>
      <c r="Y1531" s="4">
        <v>1</v>
      </c>
      <c r="Z1531" s="4">
        <v>1</v>
      </c>
      <c r="AA1531" s="4">
        <v>1</v>
      </c>
      <c r="AB1531" s="4">
        <v>1</v>
      </c>
      <c r="AC1531" s="4">
        <v>1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3" t="s">
        <v>63</v>
      </c>
      <c r="AS1531" s="3" t="s">
        <v>63</v>
      </c>
      <c r="AT1531" s="3" t="s">
        <v>63</v>
      </c>
      <c r="AV1531" s="6" t="str">
        <f>HYPERLINK("http://mcgill.on.worldcat.org/oclc/427854664","Catalog Record")</f>
        <v>Catalog Record</v>
      </c>
      <c r="AW1531" s="6" t="str">
        <f>HYPERLINK("http://www.worldcat.org/oclc/427854664","WorldCat Record")</f>
        <v>WorldCat Record</v>
      </c>
      <c r="AX1531" s="3" t="s">
        <v>13770</v>
      </c>
      <c r="AY1531" s="3" t="s">
        <v>13771</v>
      </c>
      <c r="AZ1531" s="3" t="s">
        <v>13772</v>
      </c>
      <c r="BA1531" s="3" t="s">
        <v>13772</v>
      </c>
      <c r="BB1531" s="3" t="s">
        <v>13779</v>
      </c>
      <c r="BC1531" s="3" t="s">
        <v>82</v>
      </c>
      <c r="BD1531" s="3" t="s">
        <v>70</v>
      </c>
      <c r="BF1531" s="3" t="s">
        <v>13779</v>
      </c>
      <c r="BG1531" s="3" t="s">
        <v>13780</v>
      </c>
    </row>
    <row r="1532" spans="1:59" ht="60" x14ac:dyDescent="0.25">
      <c r="A1532" s="2" t="s">
        <v>59</v>
      </c>
      <c r="B1532" s="2" t="s">
        <v>60</v>
      </c>
      <c r="C1532" s="2" t="s">
        <v>13767</v>
      </c>
      <c r="D1532" s="2" t="s">
        <v>13768</v>
      </c>
      <c r="E1532" s="2" t="s">
        <v>10452</v>
      </c>
      <c r="F1532" s="3" t="s">
        <v>4435</v>
      </c>
      <c r="G1532" s="3" t="s">
        <v>62</v>
      </c>
      <c r="I1532" s="3" t="s">
        <v>63</v>
      </c>
      <c r="J1532" s="3" t="s">
        <v>63</v>
      </c>
      <c r="K1532" s="3" t="s">
        <v>64</v>
      </c>
      <c r="L1532" s="2" t="s">
        <v>13703</v>
      </c>
      <c r="M1532" s="2" t="s">
        <v>13769</v>
      </c>
      <c r="N1532" s="3" t="s">
        <v>837</v>
      </c>
      <c r="P1532" s="3" t="s">
        <v>90</v>
      </c>
      <c r="R1532" s="3" t="s">
        <v>67</v>
      </c>
      <c r="S1532" s="4">
        <v>0</v>
      </c>
      <c r="T1532" s="4">
        <v>5</v>
      </c>
      <c r="V1532" s="5" t="s">
        <v>1128</v>
      </c>
      <c r="W1532" s="5" t="s">
        <v>69</v>
      </c>
      <c r="X1532" s="5" t="s">
        <v>69</v>
      </c>
      <c r="Y1532" s="4">
        <v>1</v>
      </c>
      <c r="Z1532" s="4">
        <v>1</v>
      </c>
      <c r="AA1532" s="4">
        <v>1</v>
      </c>
      <c r="AB1532" s="4">
        <v>1</v>
      </c>
      <c r="AC1532" s="4">
        <v>1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3" t="s">
        <v>63</v>
      </c>
      <c r="AS1532" s="3" t="s">
        <v>63</v>
      </c>
      <c r="AT1532" s="3" t="s">
        <v>63</v>
      </c>
      <c r="AV1532" s="6" t="str">
        <f>HYPERLINK("http://mcgill.on.worldcat.org/oclc/427854664","Catalog Record")</f>
        <v>Catalog Record</v>
      </c>
      <c r="AW1532" s="6" t="str">
        <f>HYPERLINK("http://www.worldcat.org/oclc/427854664","WorldCat Record")</f>
        <v>WorldCat Record</v>
      </c>
      <c r="AX1532" s="3" t="s">
        <v>13770</v>
      </c>
      <c r="AY1532" s="3" t="s">
        <v>13771</v>
      </c>
      <c r="AZ1532" s="3" t="s">
        <v>13772</v>
      </c>
      <c r="BA1532" s="3" t="s">
        <v>13772</v>
      </c>
      <c r="BB1532" s="3" t="s">
        <v>13781</v>
      </c>
      <c r="BC1532" s="3" t="s">
        <v>82</v>
      </c>
      <c r="BD1532" s="3" t="s">
        <v>70</v>
      </c>
      <c r="BF1532" s="3" t="s">
        <v>13781</v>
      </c>
      <c r="BG1532" s="3" t="s">
        <v>13782</v>
      </c>
    </row>
    <row r="1533" spans="1:59" ht="60" x14ac:dyDescent="0.25">
      <c r="A1533" s="2" t="s">
        <v>59</v>
      </c>
      <c r="B1533" s="2" t="s">
        <v>60</v>
      </c>
      <c r="C1533" s="2" t="s">
        <v>13767</v>
      </c>
      <c r="D1533" s="2" t="s">
        <v>13768</v>
      </c>
      <c r="E1533" s="2" t="s">
        <v>10452</v>
      </c>
      <c r="F1533" s="3" t="s">
        <v>4439</v>
      </c>
      <c r="G1533" s="3" t="s">
        <v>62</v>
      </c>
      <c r="I1533" s="3" t="s">
        <v>63</v>
      </c>
      <c r="J1533" s="3" t="s">
        <v>63</v>
      </c>
      <c r="K1533" s="3" t="s">
        <v>64</v>
      </c>
      <c r="L1533" s="2" t="s">
        <v>13703</v>
      </c>
      <c r="M1533" s="2" t="s">
        <v>13769</v>
      </c>
      <c r="N1533" s="3" t="s">
        <v>837</v>
      </c>
      <c r="P1533" s="3" t="s">
        <v>90</v>
      </c>
      <c r="R1533" s="3" t="s">
        <v>67</v>
      </c>
      <c r="S1533" s="4">
        <v>0</v>
      </c>
      <c r="T1533" s="4">
        <v>5</v>
      </c>
      <c r="V1533" s="5" t="s">
        <v>1128</v>
      </c>
      <c r="W1533" s="5" t="s">
        <v>69</v>
      </c>
      <c r="X1533" s="5" t="s">
        <v>69</v>
      </c>
      <c r="Y1533" s="4">
        <v>1</v>
      </c>
      <c r="Z1533" s="4">
        <v>1</v>
      </c>
      <c r="AA1533" s="4">
        <v>1</v>
      </c>
      <c r="AB1533" s="4">
        <v>1</v>
      </c>
      <c r="AC1533" s="4">
        <v>1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3" t="s">
        <v>63</v>
      </c>
      <c r="AS1533" s="3" t="s">
        <v>63</v>
      </c>
      <c r="AT1533" s="3" t="s">
        <v>63</v>
      </c>
      <c r="AV1533" s="6" t="str">
        <f>HYPERLINK("http://mcgill.on.worldcat.org/oclc/427854664","Catalog Record")</f>
        <v>Catalog Record</v>
      </c>
      <c r="AW1533" s="6" t="str">
        <f>HYPERLINK("http://www.worldcat.org/oclc/427854664","WorldCat Record")</f>
        <v>WorldCat Record</v>
      </c>
      <c r="AX1533" s="3" t="s">
        <v>13770</v>
      </c>
      <c r="AY1533" s="3" t="s">
        <v>13771</v>
      </c>
      <c r="AZ1533" s="3" t="s">
        <v>13772</v>
      </c>
      <c r="BA1533" s="3" t="s">
        <v>13772</v>
      </c>
      <c r="BB1533" s="3" t="s">
        <v>13783</v>
      </c>
      <c r="BC1533" s="3" t="s">
        <v>82</v>
      </c>
      <c r="BD1533" s="3" t="s">
        <v>70</v>
      </c>
      <c r="BF1533" s="3" t="s">
        <v>13783</v>
      </c>
      <c r="BG1533" s="3" t="s">
        <v>13784</v>
      </c>
    </row>
    <row r="1534" spans="1:59" ht="60" x14ac:dyDescent="0.25">
      <c r="A1534" s="2" t="s">
        <v>59</v>
      </c>
      <c r="B1534" s="2" t="s">
        <v>60</v>
      </c>
      <c r="C1534" s="2" t="s">
        <v>13785</v>
      </c>
      <c r="D1534" s="2" t="s">
        <v>13786</v>
      </c>
      <c r="E1534" s="2" t="s">
        <v>13787</v>
      </c>
      <c r="F1534" s="3" t="s">
        <v>13788</v>
      </c>
      <c r="G1534" s="3" t="s">
        <v>62</v>
      </c>
      <c r="I1534" s="3" t="s">
        <v>63</v>
      </c>
      <c r="J1534" s="3" t="s">
        <v>63</v>
      </c>
      <c r="K1534" s="3" t="s">
        <v>64</v>
      </c>
      <c r="L1534" s="2" t="s">
        <v>13703</v>
      </c>
      <c r="M1534" s="2" t="s">
        <v>13789</v>
      </c>
      <c r="N1534" s="3" t="s">
        <v>455</v>
      </c>
      <c r="P1534" s="3" t="s">
        <v>90</v>
      </c>
      <c r="R1534" s="3" t="s">
        <v>67</v>
      </c>
      <c r="S1534" s="4">
        <v>21</v>
      </c>
      <c r="T1534" s="4">
        <v>101</v>
      </c>
      <c r="U1534" s="5" t="s">
        <v>10804</v>
      </c>
      <c r="V1534" s="5" t="s">
        <v>2044</v>
      </c>
      <c r="W1534" s="5" t="s">
        <v>69</v>
      </c>
      <c r="X1534" s="5" t="s">
        <v>69</v>
      </c>
      <c r="Y1534" s="4">
        <v>4</v>
      </c>
      <c r="Z1534" s="4">
        <v>2</v>
      </c>
      <c r="AA1534" s="4">
        <v>18</v>
      </c>
      <c r="AB1534" s="4">
        <v>1</v>
      </c>
      <c r="AC1534" s="4">
        <v>1</v>
      </c>
      <c r="AD1534" s="4">
        <v>2</v>
      </c>
      <c r="AE1534" s="4">
        <v>95</v>
      </c>
      <c r="AF1534" s="4">
        <v>0</v>
      </c>
      <c r="AG1534" s="4">
        <v>0</v>
      </c>
      <c r="AH1534" s="4">
        <v>2</v>
      </c>
      <c r="AI1534" s="4">
        <v>87</v>
      </c>
      <c r="AJ1534" s="4">
        <v>1</v>
      </c>
      <c r="AK1534" s="4">
        <v>11</v>
      </c>
      <c r="AL1534" s="4">
        <v>0</v>
      </c>
      <c r="AM1534" s="4">
        <v>46</v>
      </c>
      <c r="AN1534" s="4">
        <v>0</v>
      </c>
      <c r="AO1534" s="4">
        <v>0</v>
      </c>
      <c r="AP1534" s="4">
        <v>1</v>
      </c>
      <c r="AQ1534" s="4">
        <v>13</v>
      </c>
      <c r="AR1534" s="3" t="s">
        <v>63</v>
      </c>
      <c r="AS1534" s="3" t="s">
        <v>63</v>
      </c>
      <c r="AT1534" s="3" t="s">
        <v>63</v>
      </c>
      <c r="AV1534" s="6" t="str">
        <f>HYPERLINK("http://mcgill.on.worldcat.org/oclc/263461124","Catalog Record")</f>
        <v>Catalog Record</v>
      </c>
      <c r="AW1534" s="6" t="str">
        <f>HYPERLINK("http://www.worldcat.org/oclc/263461124","WorldCat Record")</f>
        <v>WorldCat Record</v>
      </c>
      <c r="AX1534" s="3" t="s">
        <v>13790</v>
      </c>
      <c r="AY1534" s="3" t="s">
        <v>13791</v>
      </c>
      <c r="AZ1534" s="3" t="s">
        <v>13792</v>
      </c>
      <c r="BA1534" s="3" t="s">
        <v>13792</v>
      </c>
      <c r="BB1534" s="3" t="s">
        <v>13793</v>
      </c>
      <c r="BC1534" s="3" t="s">
        <v>82</v>
      </c>
      <c r="BD1534" s="3" t="s">
        <v>70</v>
      </c>
      <c r="BF1534" s="3" t="s">
        <v>13793</v>
      </c>
      <c r="BG1534" s="3" t="s">
        <v>13794</v>
      </c>
    </row>
    <row r="1535" spans="1:59" ht="60" x14ac:dyDescent="0.25">
      <c r="A1535" s="2" t="s">
        <v>59</v>
      </c>
      <c r="B1535" s="2" t="s">
        <v>60</v>
      </c>
      <c r="C1535" s="2" t="s">
        <v>13785</v>
      </c>
      <c r="D1535" s="2" t="s">
        <v>13786</v>
      </c>
      <c r="E1535" s="2" t="s">
        <v>13787</v>
      </c>
      <c r="F1535" s="3" t="s">
        <v>13795</v>
      </c>
      <c r="G1535" s="3" t="s">
        <v>62</v>
      </c>
      <c r="I1535" s="3" t="s">
        <v>63</v>
      </c>
      <c r="J1535" s="3" t="s">
        <v>63</v>
      </c>
      <c r="K1535" s="3" t="s">
        <v>64</v>
      </c>
      <c r="L1535" s="2" t="s">
        <v>13703</v>
      </c>
      <c r="M1535" s="2" t="s">
        <v>13789</v>
      </c>
      <c r="N1535" s="3" t="s">
        <v>455</v>
      </c>
      <c r="P1535" s="3" t="s">
        <v>90</v>
      </c>
      <c r="R1535" s="3" t="s">
        <v>67</v>
      </c>
      <c r="S1535" s="4">
        <v>6</v>
      </c>
      <c r="T1535" s="4">
        <v>101</v>
      </c>
      <c r="U1535" s="5" t="s">
        <v>13796</v>
      </c>
      <c r="V1535" s="5" t="s">
        <v>2044</v>
      </c>
      <c r="W1535" s="5" t="s">
        <v>69</v>
      </c>
      <c r="X1535" s="5" t="s">
        <v>69</v>
      </c>
      <c r="Y1535" s="4">
        <v>4</v>
      </c>
      <c r="Z1535" s="4">
        <v>2</v>
      </c>
      <c r="AA1535" s="4">
        <v>18</v>
      </c>
      <c r="AB1535" s="4">
        <v>1</v>
      </c>
      <c r="AC1535" s="4">
        <v>1</v>
      </c>
      <c r="AD1535" s="4">
        <v>2</v>
      </c>
      <c r="AE1535" s="4">
        <v>95</v>
      </c>
      <c r="AF1535" s="4">
        <v>0</v>
      </c>
      <c r="AG1535" s="4">
        <v>0</v>
      </c>
      <c r="AH1535" s="4">
        <v>2</v>
      </c>
      <c r="AI1535" s="4">
        <v>87</v>
      </c>
      <c r="AJ1535" s="4">
        <v>1</v>
      </c>
      <c r="AK1535" s="4">
        <v>11</v>
      </c>
      <c r="AL1535" s="4">
        <v>0</v>
      </c>
      <c r="AM1535" s="4">
        <v>46</v>
      </c>
      <c r="AN1535" s="4">
        <v>0</v>
      </c>
      <c r="AO1535" s="4">
        <v>0</v>
      </c>
      <c r="AP1535" s="4">
        <v>1</v>
      </c>
      <c r="AQ1535" s="4">
        <v>13</v>
      </c>
      <c r="AR1535" s="3" t="s">
        <v>63</v>
      </c>
      <c r="AS1535" s="3" t="s">
        <v>63</v>
      </c>
      <c r="AT1535" s="3" t="s">
        <v>63</v>
      </c>
      <c r="AV1535" s="6" t="str">
        <f>HYPERLINK("http://mcgill.on.worldcat.org/oclc/263461124","Catalog Record")</f>
        <v>Catalog Record</v>
      </c>
      <c r="AW1535" s="6" t="str">
        <f>HYPERLINK("http://www.worldcat.org/oclc/263461124","WorldCat Record")</f>
        <v>WorldCat Record</v>
      </c>
      <c r="AX1535" s="3" t="s">
        <v>13790</v>
      </c>
      <c r="AY1535" s="3" t="s">
        <v>13791</v>
      </c>
      <c r="AZ1535" s="3" t="s">
        <v>13792</v>
      </c>
      <c r="BA1535" s="3" t="s">
        <v>13792</v>
      </c>
      <c r="BB1535" s="3" t="s">
        <v>13797</v>
      </c>
      <c r="BC1535" s="3" t="s">
        <v>82</v>
      </c>
      <c r="BD1535" s="3" t="s">
        <v>70</v>
      </c>
      <c r="BF1535" s="3" t="s">
        <v>13797</v>
      </c>
      <c r="BG1535" s="3" t="s">
        <v>13798</v>
      </c>
    </row>
    <row r="1536" spans="1:59" ht="60" x14ac:dyDescent="0.25">
      <c r="A1536" s="2" t="s">
        <v>59</v>
      </c>
      <c r="B1536" s="2" t="s">
        <v>60</v>
      </c>
      <c r="C1536" s="2" t="s">
        <v>13785</v>
      </c>
      <c r="D1536" s="2" t="s">
        <v>13786</v>
      </c>
      <c r="E1536" s="2" t="s">
        <v>13787</v>
      </c>
      <c r="F1536" s="3" t="s">
        <v>13799</v>
      </c>
      <c r="G1536" s="3" t="s">
        <v>62</v>
      </c>
      <c r="I1536" s="3" t="s">
        <v>63</v>
      </c>
      <c r="J1536" s="3" t="s">
        <v>63</v>
      </c>
      <c r="K1536" s="3" t="s">
        <v>64</v>
      </c>
      <c r="L1536" s="2" t="s">
        <v>13703</v>
      </c>
      <c r="M1536" s="2" t="s">
        <v>13789</v>
      </c>
      <c r="N1536" s="3" t="s">
        <v>455</v>
      </c>
      <c r="P1536" s="3" t="s">
        <v>90</v>
      </c>
      <c r="R1536" s="3" t="s">
        <v>67</v>
      </c>
      <c r="S1536" s="4">
        <v>0</v>
      </c>
      <c r="T1536" s="4">
        <v>101</v>
      </c>
      <c r="V1536" s="5" t="s">
        <v>2044</v>
      </c>
      <c r="W1536" s="5" t="s">
        <v>69</v>
      </c>
      <c r="X1536" s="5" t="s">
        <v>69</v>
      </c>
      <c r="Y1536" s="4">
        <v>4</v>
      </c>
      <c r="Z1536" s="4">
        <v>2</v>
      </c>
      <c r="AA1536" s="4">
        <v>18</v>
      </c>
      <c r="AB1536" s="4">
        <v>1</v>
      </c>
      <c r="AC1536" s="4">
        <v>1</v>
      </c>
      <c r="AD1536" s="4">
        <v>2</v>
      </c>
      <c r="AE1536" s="4">
        <v>95</v>
      </c>
      <c r="AF1536" s="4">
        <v>0</v>
      </c>
      <c r="AG1536" s="4">
        <v>0</v>
      </c>
      <c r="AH1536" s="4">
        <v>2</v>
      </c>
      <c r="AI1536" s="4">
        <v>87</v>
      </c>
      <c r="AJ1536" s="4">
        <v>1</v>
      </c>
      <c r="AK1536" s="4">
        <v>11</v>
      </c>
      <c r="AL1536" s="4">
        <v>0</v>
      </c>
      <c r="AM1536" s="4">
        <v>46</v>
      </c>
      <c r="AN1536" s="4">
        <v>0</v>
      </c>
      <c r="AO1536" s="4">
        <v>0</v>
      </c>
      <c r="AP1536" s="4">
        <v>1</v>
      </c>
      <c r="AQ1536" s="4">
        <v>13</v>
      </c>
      <c r="AR1536" s="3" t="s">
        <v>63</v>
      </c>
      <c r="AS1536" s="3" t="s">
        <v>63</v>
      </c>
      <c r="AT1536" s="3" t="s">
        <v>63</v>
      </c>
      <c r="AV1536" s="6" t="str">
        <f>HYPERLINK("http://mcgill.on.worldcat.org/oclc/263461124","Catalog Record")</f>
        <v>Catalog Record</v>
      </c>
      <c r="AW1536" s="6" t="str">
        <f>HYPERLINK("http://www.worldcat.org/oclc/263461124","WorldCat Record")</f>
        <v>WorldCat Record</v>
      </c>
      <c r="AX1536" s="3" t="s">
        <v>13790</v>
      </c>
      <c r="AY1536" s="3" t="s">
        <v>13791</v>
      </c>
      <c r="AZ1536" s="3" t="s">
        <v>13792</v>
      </c>
      <c r="BA1536" s="3" t="s">
        <v>13792</v>
      </c>
      <c r="BB1536" s="3" t="s">
        <v>13800</v>
      </c>
      <c r="BC1536" s="3" t="s">
        <v>82</v>
      </c>
      <c r="BD1536" s="3" t="s">
        <v>70</v>
      </c>
      <c r="BF1536" s="3" t="s">
        <v>13800</v>
      </c>
      <c r="BG1536" s="3" t="s">
        <v>13801</v>
      </c>
    </row>
    <row r="1537" spans="1:59" ht="60" x14ac:dyDescent="0.25">
      <c r="A1537" s="2" t="s">
        <v>59</v>
      </c>
      <c r="B1537" s="2" t="s">
        <v>60</v>
      </c>
      <c r="C1537" s="2" t="s">
        <v>13785</v>
      </c>
      <c r="D1537" s="2" t="s">
        <v>13786</v>
      </c>
      <c r="E1537" s="2" t="s">
        <v>13787</v>
      </c>
      <c r="F1537" s="3" t="s">
        <v>3650</v>
      </c>
      <c r="G1537" s="3" t="s">
        <v>62</v>
      </c>
      <c r="I1537" s="3" t="s">
        <v>63</v>
      </c>
      <c r="J1537" s="3" t="s">
        <v>63</v>
      </c>
      <c r="K1537" s="3" t="s">
        <v>64</v>
      </c>
      <c r="L1537" s="2" t="s">
        <v>13703</v>
      </c>
      <c r="M1537" s="2" t="s">
        <v>13789</v>
      </c>
      <c r="N1537" s="3" t="s">
        <v>455</v>
      </c>
      <c r="P1537" s="3" t="s">
        <v>90</v>
      </c>
      <c r="R1537" s="3" t="s">
        <v>67</v>
      </c>
      <c r="S1537" s="4">
        <v>30</v>
      </c>
      <c r="T1537" s="4">
        <v>101</v>
      </c>
      <c r="U1537" s="5" t="s">
        <v>2044</v>
      </c>
      <c r="V1537" s="5" t="s">
        <v>2044</v>
      </c>
      <c r="W1537" s="5" t="s">
        <v>69</v>
      </c>
      <c r="X1537" s="5" t="s">
        <v>69</v>
      </c>
      <c r="Y1537" s="4">
        <v>4</v>
      </c>
      <c r="Z1537" s="4">
        <v>2</v>
      </c>
      <c r="AA1537" s="4">
        <v>18</v>
      </c>
      <c r="AB1537" s="4">
        <v>1</v>
      </c>
      <c r="AC1537" s="4">
        <v>1</v>
      </c>
      <c r="AD1537" s="4">
        <v>2</v>
      </c>
      <c r="AE1537" s="4">
        <v>95</v>
      </c>
      <c r="AF1537" s="4">
        <v>0</v>
      </c>
      <c r="AG1537" s="4">
        <v>0</v>
      </c>
      <c r="AH1537" s="4">
        <v>2</v>
      </c>
      <c r="AI1537" s="4">
        <v>87</v>
      </c>
      <c r="AJ1537" s="4">
        <v>1</v>
      </c>
      <c r="AK1537" s="4">
        <v>11</v>
      </c>
      <c r="AL1537" s="4">
        <v>0</v>
      </c>
      <c r="AM1537" s="4">
        <v>46</v>
      </c>
      <c r="AN1537" s="4">
        <v>0</v>
      </c>
      <c r="AO1537" s="4">
        <v>0</v>
      </c>
      <c r="AP1537" s="4">
        <v>1</v>
      </c>
      <c r="AQ1537" s="4">
        <v>13</v>
      </c>
      <c r="AR1537" s="3" t="s">
        <v>63</v>
      </c>
      <c r="AS1537" s="3" t="s">
        <v>63</v>
      </c>
      <c r="AT1537" s="3" t="s">
        <v>63</v>
      </c>
      <c r="AV1537" s="6" t="str">
        <f>HYPERLINK("http://mcgill.on.worldcat.org/oclc/263461124","Catalog Record")</f>
        <v>Catalog Record</v>
      </c>
      <c r="AW1537" s="6" t="str">
        <f>HYPERLINK("http://www.worldcat.org/oclc/263461124","WorldCat Record")</f>
        <v>WorldCat Record</v>
      </c>
      <c r="AX1537" s="3" t="s">
        <v>13790</v>
      </c>
      <c r="AY1537" s="3" t="s">
        <v>13791</v>
      </c>
      <c r="AZ1537" s="3" t="s">
        <v>13792</v>
      </c>
      <c r="BA1537" s="3" t="s">
        <v>13792</v>
      </c>
      <c r="BB1537" s="3" t="s">
        <v>13802</v>
      </c>
      <c r="BC1537" s="3" t="s">
        <v>82</v>
      </c>
      <c r="BD1537" s="3" t="s">
        <v>70</v>
      </c>
      <c r="BF1537" s="3" t="s">
        <v>13802</v>
      </c>
      <c r="BG1537" s="3" t="s">
        <v>13803</v>
      </c>
    </row>
    <row r="1538" spans="1:59" ht="60" x14ac:dyDescent="0.25">
      <c r="A1538" s="2" t="s">
        <v>59</v>
      </c>
      <c r="B1538" s="2" t="s">
        <v>60</v>
      </c>
      <c r="C1538" s="2" t="s">
        <v>13785</v>
      </c>
      <c r="D1538" s="2" t="s">
        <v>13786</v>
      </c>
      <c r="E1538" s="2" t="s">
        <v>13787</v>
      </c>
      <c r="F1538" s="3" t="s">
        <v>3647</v>
      </c>
      <c r="G1538" s="3" t="s">
        <v>62</v>
      </c>
      <c r="I1538" s="3" t="s">
        <v>63</v>
      </c>
      <c r="J1538" s="3" t="s">
        <v>63</v>
      </c>
      <c r="K1538" s="3" t="s">
        <v>64</v>
      </c>
      <c r="L1538" s="2" t="s">
        <v>13703</v>
      </c>
      <c r="M1538" s="2" t="s">
        <v>13789</v>
      </c>
      <c r="N1538" s="3" t="s">
        <v>455</v>
      </c>
      <c r="P1538" s="3" t="s">
        <v>90</v>
      </c>
      <c r="R1538" s="3" t="s">
        <v>67</v>
      </c>
      <c r="S1538" s="4">
        <v>12</v>
      </c>
      <c r="T1538" s="4">
        <v>101</v>
      </c>
      <c r="U1538" s="5" t="s">
        <v>13804</v>
      </c>
      <c r="V1538" s="5" t="s">
        <v>2044</v>
      </c>
      <c r="W1538" s="5" t="s">
        <v>69</v>
      </c>
      <c r="X1538" s="5" t="s">
        <v>69</v>
      </c>
      <c r="Y1538" s="4">
        <v>4</v>
      </c>
      <c r="Z1538" s="4">
        <v>2</v>
      </c>
      <c r="AA1538" s="4">
        <v>18</v>
      </c>
      <c r="AB1538" s="4">
        <v>1</v>
      </c>
      <c r="AC1538" s="4">
        <v>1</v>
      </c>
      <c r="AD1538" s="4">
        <v>2</v>
      </c>
      <c r="AE1538" s="4">
        <v>95</v>
      </c>
      <c r="AF1538" s="4">
        <v>0</v>
      </c>
      <c r="AG1538" s="4">
        <v>0</v>
      </c>
      <c r="AH1538" s="4">
        <v>2</v>
      </c>
      <c r="AI1538" s="4">
        <v>87</v>
      </c>
      <c r="AJ1538" s="4">
        <v>1</v>
      </c>
      <c r="AK1538" s="4">
        <v>11</v>
      </c>
      <c r="AL1538" s="4">
        <v>0</v>
      </c>
      <c r="AM1538" s="4">
        <v>46</v>
      </c>
      <c r="AN1538" s="4">
        <v>0</v>
      </c>
      <c r="AO1538" s="4">
        <v>0</v>
      </c>
      <c r="AP1538" s="4">
        <v>1</v>
      </c>
      <c r="AQ1538" s="4">
        <v>13</v>
      </c>
      <c r="AR1538" s="3" t="s">
        <v>63</v>
      </c>
      <c r="AS1538" s="3" t="s">
        <v>63</v>
      </c>
      <c r="AT1538" s="3" t="s">
        <v>63</v>
      </c>
      <c r="AV1538" s="6" t="str">
        <f>HYPERLINK("http://mcgill.on.worldcat.org/oclc/263461124","Catalog Record")</f>
        <v>Catalog Record</v>
      </c>
      <c r="AW1538" s="6" t="str">
        <f>HYPERLINK("http://www.worldcat.org/oclc/263461124","WorldCat Record")</f>
        <v>WorldCat Record</v>
      </c>
      <c r="AX1538" s="3" t="s">
        <v>13790</v>
      </c>
      <c r="AY1538" s="3" t="s">
        <v>13791</v>
      </c>
      <c r="AZ1538" s="3" t="s">
        <v>13792</v>
      </c>
      <c r="BA1538" s="3" t="s">
        <v>13792</v>
      </c>
      <c r="BB1538" s="3" t="s">
        <v>13805</v>
      </c>
      <c r="BC1538" s="3" t="s">
        <v>82</v>
      </c>
      <c r="BD1538" s="3" t="s">
        <v>70</v>
      </c>
      <c r="BF1538" s="3" t="s">
        <v>13805</v>
      </c>
      <c r="BG1538" s="3" t="s">
        <v>13806</v>
      </c>
    </row>
    <row r="1539" spans="1:59" ht="60" x14ac:dyDescent="0.25">
      <c r="A1539" s="2" t="s">
        <v>59</v>
      </c>
      <c r="B1539" s="2" t="s">
        <v>60</v>
      </c>
      <c r="C1539" s="2" t="s">
        <v>13785</v>
      </c>
      <c r="D1539" s="2" t="s">
        <v>13786</v>
      </c>
      <c r="E1539" s="2" t="s">
        <v>13787</v>
      </c>
      <c r="F1539" s="3" t="s">
        <v>3653</v>
      </c>
      <c r="G1539" s="3" t="s">
        <v>62</v>
      </c>
      <c r="I1539" s="3" t="s">
        <v>63</v>
      </c>
      <c r="J1539" s="3" t="s">
        <v>63</v>
      </c>
      <c r="K1539" s="3" t="s">
        <v>64</v>
      </c>
      <c r="L1539" s="2" t="s">
        <v>13703</v>
      </c>
      <c r="M1539" s="2" t="s">
        <v>13789</v>
      </c>
      <c r="N1539" s="3" t="s">
        <v>455</v>
      </c>
      <c r="P1539" s="3" t="s">
        <v>90</v>
      </c>
      <c r="R1539" s="3" t="s">
        <v>67</v>
      </c>
      <c r="S1539" s="4">
        <v>21</v>
      </c>
      <c r="T1539" s="4">
        <v>101</v>
      </c>
      <c r="U1539" s="5" t="s">
        <v>13807</v>
      </c>
      <c r="V1539" s="5" t="s">
        <v>2044</v>
      </c>
      <c r="W1539" s="5" t="s">
        <v>69</v>
      </c>
      <c r="X1539" s="5" t="s">
        <v>69</v>
      </c>
      <c r="Y1539" s="4">
        <v>4</v>
      </c>
      <c r="Z1539" s="4">
        <v>2</v>
      </c>
      <c r="AA1539" s="4">
        <v>18</v>
      </c>
      <c r="AB1539" s="4">
        <v>1</v>
      </c>
      <c r="AC1539" s="4">
        <v>1</v>
      </c>
      <c r="AD1539" s="4">
        <v>2</v>
      </c>
      <c r="AE1539" s="4">
        <v>95</v>
      </c>
      <c r="AF1539" s="4">
        <v>0</v>
      </c>
      <c r="AG1539" s="4">
        <v>0</v>
      </c>
      <c r="AH1539" s="4">
        <v>2</v>
      </c>
      <c r="AI1539" s="4">
        <v>87</v>
      </c>
      <c r="AJ1539" s="4">
        <v>1</v>
      </c>
      <c r="AK1539" s="4">
        <v>11</v>
      </c>
      <c r="AL1539" s="4">
        <v>0</v>
      </c>
      <c r="AM1539" s="4">
        <v>46</v>
      </c>
      <c r="AN1539" s="4">
        <v>0</v>
      </c>
      <c r="AO1539" s="4">
        <v>0</v>
      </c>
      <c r="AP1539" s="4">
        <v>1</v>
      </c>
      <c r="AQ1539" s="4">
        <v>13</v>
      </c>
      <c r="AR1539" s="3" t="s">
        <v>63</v>
      </c>
      <c r="AS1539" s="3" t="s">
        <v>63</v>
      </c>
      <c r="AT1539" s="3" t="s">
        <v>63</v>
      </c>
      <c r="AV1539" s="6" t="str">
        <f>HYPERLINK("http://mcgill.on.worldcat.org/oclc/263461124","Catalog Record")</f>
        <v>Catalog Record</v>
      </c>
      <c r="AW1539" s="6" t="str">
        <f>HYPERLINK("http://www.worldcat.org/oclc/263461124","WorldCat Record")</f>
        <v>WorldCat Record</v>
      </c>
      <c r="AX1539" s="3" t="s">
        <v>13790</v>
      </c>
      <c r="AY1539" s="3" t="s">
        <v>13791</v>
      </c>
      <c r="AZ1539" s="3" t="s">
        <v>13792</v>
      </c>
      <c r="BA1539" s="3" t="s">
        <v>13792</v>
      </c>
      <c r="BB1539" s="3" t="s">
        <v>13808</v>
      </c>
      <c r="BC1539" s="3" t="s">
        <v>82</v>
      </c>
      <c r="BD1539" s="3" t="s">
        <v>70</v>
      </c>
      <c r="BF1539" s="3" t="s">
        <v>13808</v>
      </c>
      <c r="BG1539" s="3" t="s">
        <v>13809</v>
      </c>
    </row>
    <row r="1540" spans="1:59" ht="60" x14ac:dyDescent="0.25">
      <c r="A1540" s="2" t="s">
        <v>59</v>
      </c>
      <c r="B1540" s="2" t="s">
        <v>60</v>
      </c>
      <c r="C1540" s="2" t="s">
        <v>13785</v>
      </c>
      <c r="D1540" s="2" t="s">
        <v>13786</v>
      </c>
      <c r="E1540" s="2" t="s">
        <v>13787</v>
      </c>
      <c r="F1540" s="3" t="s">
        <v>3638</v>
      </c>
      <c r="G1540" s="3" t="s">
        <v>62</v>
      </c>
      <c r="I1540" s="3" t="s">
        <v>63</v>
      </c>
      <c r="J1540" s="3" t="s">
        <v>63</v>
      </c>
      <c r="K1540" s="3" t="s">
        <v>64</v>
      </c>
      <c r="L1540" s="2" t="s">
        <v>13703</v>
      </c>
      <c r="M1540" s="2" t="s">
        <v>13789</v>
      </c>
      <c r="N1540" s="3" t="s">
        <v>455</v>
      </c>
      <c r="P1540" s="3" t="s">
        <v>90</v>
      </c>
      <c r="R1540" s="3" t="s">
        <v>67</v>
      </c>
      <c r="S1540" s="4">
        <v>11</v>
      </c>
      <c r="T1540" s="4">
        <v>101</v>
      </c>
      <c r="U1540" s="5" t="s">
        <v>13810</v>
      </c>
      <c r="V1540" s="5" t="s">
        <v>2044</v>
      </c>
      <c r="W1540" s="5" t="s">
        <v>69</v>
      </c>
      <c r="X1540" s="5" t="s">
        <v>69</v>
      </c>
      <c r="Y1540" s="4">
        <v>4</v>
      </c>
      <c r="Z1540" s="4">
        <v>2</v>
      </c>
      <c r="AA1540" s="4">
        <v>18</v>
      </c>
      <c r="AB1540" s="4">
        <v>1</v>
      </c>
      <c r="AC1540" s="4">
        <v>1</v>
      </c>
      <c r="AD1540" s="4">
        <v>2</v>
      </c>
      <c r="AE1540" s="4">
        <v>95</v>
      </c>
      <c r="AF1540" s="4">
        <v>0</v>
      </c>
      <c r="AG1540" s="4">
        <v>0</v>
      </c>
      <c r="AH1540" s="4">
        <v>2</v>
      </c>
      <c r="AI1540" s="4">
        <v>87</v>
      </c>
      <c r="AJ1540" s="4">
        <v>1</v>
      </c>
      <c r="AK1540" s="4">
        <v>11</v>
      </c>
      <c r="AL1540" s="4">
        <v>0</v>
      </c>
      <c r="AM1540" s="4">
        <v>46</v>
      </c>
      <c r="AN1540" s="4">
        <v>0</v>
      </c>
      <c r="AO1540" s="4">
        <v>0</v>
      </c>
      <c r="AP1540" s="4">
        <v>1</v>
      </c>
      <c r="AQ1540" s="4">
        <v>13</v>
      </c>
      <c r="AR1540" s="3" t="s">
        <v>63</v>
      </c>
      <c r="AS1540" s="3" t="s">
        <v>63</v>
      </c>
      <c r="AT1540" s="3" t="s">
        <v>63</v>
      </c>
      <c r="AV1540" s="6" t="str">
        <f>HYPERLINK("http://mcgill.on.worldcat.org/oclc/263461124","Catalog Record")</f>
        <v>Catalog Record</v>
      </c>
      <c r="AW1540" s="6" t="str">
        <f>HYPERLINK("http://www.worldcat.org/oclc/263461124","WorldCat Record")</f>
        <v>WorldCat Record</v>
      </c>
      <c r="AX1540" s="3" t="s">
        <v>13790</v>
      </c>
      <c r="AY1540" s="3" t="s">
        <v>13791</v>
      </c>
      <c r="AZ1540" s="3" t="s">
        <v>13792</v>
      </c>
      <c r="BA1540" s="3" t="s">
        <v>13792</v>
      </c>
      <c r="BB1540" s="3" t="s">
        <v>13811</v>
      </c>
      <c r="BC1540" s="3" t="s">
        <v>82</v>
      </c>
      <c r="BD1540" s="3" t="s">
        <v>70</v>
      </c>
      <c r="BF1540" s="3" t="s">
        <v>13811</v>
      </c>
      <c r="BG1540" s="3" t="s">
        <v>13812</v>
      </c>
    </row>
    <row r="1541" spans="1:59" ht="60" x14ac:dyDescent="0.25">
      <c r="A1541" s="2" t="s">
        <v>59</v>
      </c>
      <c r="B1541" s="2" t="s">
        <v>60</v>
      </c>
      <c r="C1541" s="2" t="s">
        <v>13813</v>
      </c>
      <c r="D1541" s="2" t="s">
        <v>13814</v>
      </c>
      <c r="E1541" s="2" t="s">
        <v>13815</v>
      </c>
      <c r="G1541" s="3" t="s">
        <v>63</v>
      </c>
      <c r="I1541" s="3" t="s">
        <v>63</v>
      </c>
      <c r="J1541" s="3" t="s">
        <v>62</v>
      </c>
      <c r="K1541" s="3" t="s">
        <v>64</v>
      </c>
      <c r="L1541" s="2" t="s">
        <v>13703</v>
      </c>
      <c r="M1541" s="2" t="s">
        <v>13816</v>
      </c>
      <c r="N1541" s="3" t="s">
        <v>731</v>
      </c>
      <c r="P1541" s="3" t="s">
        <v>90</v>
      </c>
      <c r="R1541" s="3" t="s">
        <v>67</v>
      </c>
      <c r="S1541" s="4">
        <v>4</v>
      </c>
      <c r="T1541" s="4">
        <v>4</v>
      </c>
      <c r="U1541" s="5" t="s">
        <v>2044</v>
      </c>
      <c r="V1541" s="5" t="s">
        <v>2044</v>
      </c>
      <c r="W1541" s="5" t="s">
        <v>69</v>
      </c>
      <c r="X1541" s="5" t="s">
        <v>69</v>
      </c>
      <c r="Y1541" s="4">
        <v>4</v>
      </c>
      <c r="Z1541" s="4">
        <v>1</v>
      </c>
      <c r="AA1541" s="4">
        <v>12</v>
      </c>
      <c r="AB1541" s="4">
        <v>1</v>
      </c>
      <c r="AC1541" s="4">
        <v>1</v>
      </c>
      <c r="AD1541" s="4">
        <v>2</v>
      </c>
      <c r="AE1541" s="4">
        <v>87</v>
      </c>
      <c r="AF1541" s="4">
        <v>0</v>
      </c>
      <c r="AG1541" s="4">
        <v>0</v>
      </c>
      <c r="AH1541" s="4">
        <v>2</v>
      </c>
      <c r="AI1541" s="4">
        <v>80</v>
      </c>
      <c r="AJ1541" s="4">
        <v>0</v>
      </c>
      <c r="AK1541" s="4">
        <v>7</v>
      </c>
      <c r="AL1541" s="4">
        <v>1</v>
      </c>
      <c r="AM1541" s="4">
        <v>51</v>
      </c>
      <c r="AN1541" s="4">
        <v>0</v>
      </c>
      <c r="AO1541" s="4">
        <v>2</v>
      </c>
      <c r="AP1541" s="4">
        <v>0</v>
      </c>
      <c r="AQ1541" s="4">
        <v>9</v>
      </c>
      <c r="AR1541" s="3" t="s">
        <v>63</v>
      </c>
      <c r="AS1541" s="3" t="s">
        <v>63</v>
      </c>
      <c r="AT1541" s="3" t="s">
        <v>63</v>
      </c>
      <c r="AV1541" s="6" t="str">
        <f>HYPERLINK("http://mcgill.on.worldcat.org/oclc/40322223","Catalog Record")</f>
        <v>Catalog Record</v>
      </c>
      <c r="AW1541" s="6" t="str">
        <f>HYPERLINK("http://www.worldcat.org/oclc/40322223","WorldCat Record")</f>
        <v>WorldCat Record</v>
      </c>
      <c r="AX1541" s="3" t="s">
        <v>13817</v>
      </c>
      <c r="AY1541" s="3" t="s">
        <v>13818</v>
      </c>
      <c r="AZ1541" s="3" t="s">
        <v>13819</v>
      </c>
      <c r="BA1541" s="3" t="s">
        <v>13819</v>
      </c>
      <c r="BB1541" s="3" t="s">
        <v>13820</v>
      </c>
      <c r="BC1541" s="3" t="s">
        <v>82</v>
      </c>
      <c r="BD1541" s="3" t="s">
        <v>70</v>
      </c>
      <c r="BF1541" s="3" t="s">
        <v>13820</v>
      </c>
      <c r="BG1541" s="3" t="s">
        <v>13821</v>
      </c>
    </row>
    <row r="1542" spans="1:59" ht="60" x14ac:dyDescent="0.25">
      <c r="A1542" s="2" t="s">
        <v>59</v>
      </c>
      <c r="B1542" s="2" t="s">
        <v>60</v>
      </c>
      <c r="C1542" s="2" t="s">
        <v>13822</v>
      </c>
      <c r="D1542" s="2" t="s">
        <v>13823</v>
      </c>
      <c r="E1542" s="2" t="s">
        <v>13815</v>
      </c>
      <c r="F1542" s="3" t="s">
        <v>13824</v>
      </c>
      <c r="G1542" s="3" t="s">
        <v>62</v>
      </c>
      <c r="I1542" s="3" t="s">
        <v>63</v>
      </c>
      <c r="J1542" s="3" t="s">
        <v>62</v>
      </c>
      <c r="K1542" s="3" t="s">
        <v>64</v>
      </c>
      <c r="L1542" s="2" t="s">
        <v>13703</v>
      </c>
      <c r="M1542" s="2" t="s">
        <v>13825</v>
      </c>
      <c r="N1542" s="3" t="s">
        <v>629</v>
      </c>
      <c r="P1542" s="3" t="s">
        <v>90</v>
      </c>
      <c r="R1542" s="3" t="s">
        <v>67</v>
      </c>
      <c r="S1542" s="4">
        <v>3</v>
      </c>
      <c r="T1542" s="4">
        <v>3</v>
      </c>
      <c r="U1542" s="5" t="s">
        <v>13826</v>
      </c>
      <c r="V1542" s="5" t="s">
        <v>13826</v>
      </c>
      <c r="W1542" s="5" t="s">
        <v>69</v>
      </c>
      <c r="X1542" s="5" t="s">
        <v>69</v>
      </c>
      <c r="Y1542" s="4">
        <v>4</v>
      </c>
      <c r="Z1542" s="4">
        <v>1</v>
      </c>
      <c r="AA1542" s="4">
        <v>12</v>
      </c>
      <c r="AB1542" s="4">
        <v>1</v>
      </c>
      <c r="AC1542" s="4">
        <v>1</v>
      </c>
      <c r="AD1542" s="4">
        <v>0</v>
      </c>
      <c r="AE1542" s="4">
        <v>87</v>
      </c>
      <c r="AF1542" s="4">
        <v>0</v>
      </c>
      <c r="AG1542" s="4">
        <v>0</v>
      </c>
      <c r="AH1542" s="4">
        <v>0</v>
      </c>
      <c r="AI1542" s="4">
        <v>80</v>
      </c>
      <c r="AJ1542" s="4">
        <v>0</v>
      </c>
      <c r="AK1542" s="4">
        <v>7</v>
      </c>
      <c r="AL1542" s="4">
        <v>0</v>
      </c>
      <c r="AM1542" s="4">
        <v>51</v>
      </c>
      <c r="AN1542" s="4">
        <v>0</v>
      </c>
      <c r="AO1542" s="4">
        <v>2</v>
      </c>
      <c r="AP1542" s="4">
        <v>0</v>
      </c>
      <c r="AQ1542" s="4">
        <v>9</v>
      </c>
      <c r="AR1542" s="3" t="s">
        <v>63</v>
      </c>
      <c r="AS1542" s="3" t="s">
        <v>63</v>
      </c>
      <c r="AT1542" s="3" t="s">
        <v>63</v>
      </c>
      <c r="AV1542" s="6" t="str">
        <f>HYPERLINK("http://mcgill.on.worldcat.org/oclc/747111965","Catalog Record")</f>
        <v>Catalog Record</v>
      </c>
      <c r="AW1542" s="6" t="str">
        <f>HYPERLINK("http://www.worldcat.org/oclc/747111965","WorldCat Record")</f>
        <v>WorldCat Record</v>
      </c>
      <c r="AX1542" s="3" t="s">
        <v>13817</v>
      </c>
      <c r="AY1542" s="3" t="s">
        <v>13827</v>
      </c>
      <c r="AZ1542" s="3" t="s">
        <v>13828</v>
      </c>
      <c r="BA1542" s="3" t="s">
        <v>13828</v>
      </c>
      <c r="BB1542" s="3" t="s">
        <v>13829</v>
      </c>
      <c r="BC1542" s="3" t="s">
        <v>82</v>
      </c>
      <c r="BD1542" s="3" t="s">
        <v>538</v>
      </c>
      <c r="BE1542" s="3" t="s">
        <v>13830</v>
      </c>
      <c r="BF1542" s="3" t="s">
        <v>13829</v>
      </c>
      <c r="BG1542" s="3" t="s">
        <v>13831</v>
      </c>
    </row>
    <row r="1543" spans="1:59" ht="75" x14ac:dyDescent="0.25">
      <c r="A1543" s="2" t="s">
        <v>59</v>
      </c>
      <c r="B1543" s="2" t="s">
        <v>60</v>
      </c>
      <c r="C1543" s="2" t="s">
        <v>13832</v>
      </c>
      <c r="D1543" s="2" t="s">
        <v>13833</v>
      </c>
      <c r="E1543" s="2" t="s">
        <v>13834</v>
      </c>
      <c r="G1543" s="3" t="s">
        <v>63</v>
      </c>
      <c r="I1543" s="3" t="s">
        <v>63</v>
      </c>
      <c r="J1543" s="3" t="s">
        <v>63</v>
      </c>
      <c r="K1543" s="3" t="s">
        <v>64</v>
      </c>
      <c r="L1543" s="2" t="s">
        <v>13835</v>
      </c>
      <c r="M1543" s="2" t="s">
        <v>13836</v>
      </c>
      <c r="N1543" s="3" t="s">
        <v>313</v>
      </c>
      <c r="P1543" s="3" t="s">
        <v>90</v>
      </c>
      <c r="Q1543" s="2" t="s">
        <v>13837</v>
      </c>
      <c r="R1543" s="3" t="s">
        <v>67</v>
      </c>
      <c r="S1543" s="4">
        <v>1</v>
      </c>
      <c r="T1543" s="4">
        <v>1</v>
      </c>
      <c r="U1543" s="5" t="s">
        <v>10846</v>
      </c>
      <c r="V1543" s="5" t="s">
        <v>10846</v>
      </c>
      <c r="W1543" s="5" t="s">
        <v>69</v>
      </c>
      <c r="X1543" s="5" t="s">
        <v>69</v>
      </c>
      <c r="Y1543" s="4">
        <v>4</v>
      </c>
      <c r="Z1543" s="4">
        <v>1</v>
      </c>
      <c r="AA1543" s="4">
        <v>1</v>
      </c>
      <c r="AB1543" s="4">
        <v>1</v>
      </c>
      <c r="AC1543" s="4">
        <v>1</v>
      </c>
      <c r="AD1543" s="4">
        <v>2</v>
      </c>
      <c r="AE1543" s="4">
        <v>2</v>
      </c>
      <c r="AF1543" s="4">
        <v>0</v>
      </c>
      <c r="AG1543" s="4">
        <v>0</v>
      </c>
      <c r="AH1543" s="4">
        <v>2</v>
      </c>
      <c r="AI1543" s="4">
        <v>2</v>
      </c>
      <c r="AJ1543" s="4">
        <v>0</v>
      </c>
      <c r="AK1543" s="4">
        <v>0</v>
      </c>
      <c r="AL1543" s="4">
        <v>2</v>
      </c>
      <c r="AM1543" s="4">
        <v>2</v>
      </c>
      <c r="AN1543" s="4">
        <v>0</v>
      </c>
      <c r="AO1543" s="4">
        <v>0</v>
      </c>
      <c r="AP1543" s="4">
        <v>0</v>
      </c>
      <c r="AQ1543" s="4">
        <v>0</v>
      </c>
      <c r="AR1543" s="3" t="s">
        <v>63</v>
      </c>
      <c r="AS1543" s="3" t="s">
        <v>63</v>
      </c>
      <c r="AT1543" s="3" t="s">
        <v>63</v>
      </c>
      <c r="AV1543" s="6" t="str">
        <f>HYPERLINK("http://mcgill.on.worldcat.org/oclc/691857792","Catalog Record")</f>
        <v>Catalog Record</v>
      </c>
      <c r="AW1543" s="6" t="str">
        <f>HYPERLINK("http://www.worldcat.org/oclc/691857792","WorldCat Record")</f>
        <v>WorldCat Record</v>
      </c>
      <c r="AX1543" s="3" t="s">
        <v>13838</v>
      </c>
      <c r="AY1543" s="3" t="s">
        <v>13839</v>
      </c>
      <c r="AZ1543" s="3" t="s">
        <v>13840</v>
      </c>
      <c r="BA1543" s="3" t="s">
        <v>13840</v>
      </c>
      <c r="BB1543" s="3" t="s">
        <v>13841</v>
      </c>
      <c r="BC1543" s="3" t="s">
        <v>82</v>
      </c>
      <c r="BD1543" s="3" t="s">
        <v>70</v>
      </c>
      <c r="BE1543" s="3" t="s">
        <v>13842</v>
      </c>
      <c r="BF1543" s="3" t="s">
        <v>13841</v>
      </c>
      <c r="BG1543" s="3" t="s">
        <v>13843</v>
      </c>
    </row>
    <row r="1544" spans="1:59" ht="75" x14ac:dyDescent="0.25">
      <c r="A1544" s="2" t="s">
        <v>59</v>
      </c>
      <c r="B1544" s="2" t="s">
        <v>60</v>
      </c>
      <c r="C1544" s="2" t="s">
        <v>13844</v>
      </c>
      <c r="D1544" s="2" t="s">
        <v>13845</v>
      </c>
      <c r="E1544" s="2" t="s">
        <v>13846</v>
      </c>
      <c r="G1544" s="3" t="s">
        <v>63</v>
      </c>
      <c r="I1544" s="3" t="s">
        <v>63</v>
      </c>
      <c r="J1544" s="3" t="s">
        <v>63</v>
      </c>
      <c r="K1544" s="3" t="s">
        <v>64</v>
      </c>
      <c r="L1544" s="2" t="s">
        <v>13847</v>
      </c>
      <c r="M1544" s="2" t="s">
        <v>7954</v>
      </c>
      <c r="N1544" s="3" t="s">
        <v>220</v>
      </c>
      <c r="P1544" s="3" t="s">
        <v>66</v>
      </c>
      <c r="R1544" s="3" t="s">
        <v>67</v>
      </c>
      <c r="S1544" s="4">
        <v>27</v>
      </c>
      <c r="T1544" s="4">
        <v>27</v>
      </c>
      <c r="U1544" s="5" t="s">
        <v>12287</v>
      </c>
      <c r="V1544" s="5" t="s">
        <v>12287</v>
      </c>
      <c r="W1544" s="5" t="s">
        <v>69</v>
      </c>
      <c r="X1544" s="5" t="s">
        <v>69</v>
      </c>
      <c r="Y1544" s="4">
        <v>330</v>
      </c>
      <c r="Z1544" s="4">
        <v>19</v>
      </c>
      <c r="AA1544" s="4">
        <v>21</v>
      </c>
      <c r="AB1544" s="4">
        <v>1</v>
      </c>
      <c r="AC1544" s="4">
        <v>3</v>
      </c>
      <c r="AD1544" s="4">
        <v>112</v>
      </c>
      <c r="AE1544" s="4">
        <v>113</v>
      </c>
      <c r="AF1544" s="4">
        <v>0</v>
      </c>
      <c r="AG1544" s="4">
        <v>1</v>
      </c>
      <c r="AH1544" s="4">
        <v>104</v>
      </c>
      <c r="AI1544" s="4">
        <v>105</v>
      </c>
      <c r="AJ1544" s="4">
        <v>14</v>
      </c>
      <c r="AK1544" s="4">
        <v>15</v>
      </c>
      <c r="AL1544" s="4">
        <v>57</v>
      </c>
      <c r="AM1544" s="4">
        <v>57</v>
      </c>
      <c r="AN1544" s="4">
        <v>0</v>
      </c>
      <c r="AO1544" s="4">
        <v>0</v>
      </c>
      <c r="AP1544" s="4">
        <v>15</v>
      </c>
      <c r="AQ1544" s="4">
        <v>16</v>
      </c>
      <c r="AR1544" s="3" t="s">
        <v>63</v>
      </c>
      <c r="AS1544" s="3" t="s">
        <v>63</v>
      </c>
      <c r="AT1544" s="3" t="s">
        <v>62</v>
      </c>
      <c r="AU1544" s="6" t="str">
        <f>HYPERLINK("http://catalog.hathitrust.org/Record/002698406","HathiTrust Record")</f>
        <v>HathiTrust Record</v>
      </c>
      <c r="AV1544" s="6" t="str">
        <f>HYPERLINK("http://mcgill.on.worldcat.org/oclc/26095374","Catalog Record")</f>
        <v>Catalog Record</v>
      </c>
      <c r="AW1544" s="6" t="str">
        <f>HYPERLINK("http://www.worldcat.org/oclc/26095374","WorldCat Record")</f>
        <v>WorldCat Record</v>
      </c>
      <c r="AX1544" s="3" t="s">
        <v>13848</v>
      </c>
      <c r="AY1544" s="3" t="s">
        <v>13849</v>
      </c>
      <c r="AZ1544" s="3" t="s">
        <v>13850</v>
      </c>
      <c r="BA1544" s="3" t="s">
        <v>13850</v>
      </c>
      <c r="BB1544" s="3" t="s">
        <v>13851</v>
      </c>
      <c r="BC1544" s="3" t="s">
        <v>82</v>
      </c>
      <c r="BD1544" s="3" t="s">
        <v>70</v>
      </c>
      <c r="BE1544" s="3" t="s">
        <v>13852</v>
      </c>
      <c r="BF1544" s="3" t="s">
        <v>13851</v>
      </c>
      <c r="BG1544" s="3" t="s">
        <v>13853</v>
      </c>
    </row>
    <row r="1545" spans="1:59" ht="75" x14ac:dyDescent="0.25">
      <c r="A1545" s="2" t="s">
        <v>59</v>
      </c>
      <c r="B1545" s="2" t="s">
        <v>60</v>
      </c>
      <c r="C1545" s="2" t="s">
        <v>13854</v>
      </c>
      <c r="D1545" s="2" t="s">
        <v>13855</v>
      </c>
      <c r="E1545" s="2" t="s">
        <v>13856</v>
      </c>
      <c r="G1545" s="3" t="s">
        <v>63</v>
      </c>
      <c r="I1545" s="3" t="s">
        <v>63</v>
      </c>
      <c r="J1545" s="3" t="s">
        <v>63</v>
      </c>
      <c r="K1545" s="3" t="s">
        <v>64</v>
      </c>
      <c r="L1545" s="2" t="s">
        <v>13857</v>
      </c>
      <c r="M1545" s="2" t="s">
        <v>13858</v>
      </c>
      <c r="N1545" s="3" t="s">
        <v>668</v>
      </c>
      <c r="P1545" s="3" t="s">
        <v>66</v>
      </c>
      <c r="Q1545" s="2" t="s">
        <v>4253</v>
      </c>
      <c r="R1545" s="3" t="s">
        <v>67</v>
      </c>
      <c r="S1545" s="4">
        <v>7</v>
      </c>
      <c r="T1545" s="4">
        <v>7</v>
      </c>
      <c r="U1545" s="5" t="s">
        <v>1173</v>
      </c>
      <c r="V1545" s="5" t="s">
        <v>1173</v>
      </c>
      <c r="W1545" s="5" t="s">
        <v>69</v>
      </c>
      <c r="X1545" s="5" t="s">
        <v>69</v>
      </c>
      <c r="Y1545" s="4">
        <v>294</v>
      </c>
      <c r="Z1545" s="4">
        <v>22</v>
      </c>
      <c r="AA1545" s="4">
        <v>22</v>
      </c>
      <c r="AB1545" s="4">
        <v>1</v>
      </c>
      <c r="AC1545" s="4">
        <v>1</v>
      </c>
      <c r="AD1545" s="4">
        <v>108</v>
      </c>
      <c r="AE1545" s="4">
        <v>108</v>
      </c>
      <c r="AF1545" s="4">
        <v>0</v>
      </c>
      <c r="AG1545" s="4">
        <v>0</v>
      </c>
      <c r="AH1545" s="4">
        <v>97</v>
      </c>
      <c r="AI1545" s="4">
        <v>97</v>
      </c>
      <c r="AJ1545" s="4">
        <v>17</v>
      </c>
      <c r="AK1545" s="4">
        <v>17</v>
      </c>
      <c r="AL1545" s="4">
        <v>56</v>
      </c>
      <c r="AM1545" s="4">
        <v>56</v>
      </c>
      <c r="AN1545" s="4">
        <v>0</v>
      </c>
      <c r="AO1545" s="4">
        <v>0</v>
      </c>
      <c r="AP1545" s="4">
        <v>18</v>
      </c>
      <c r="AQ1545" s="4">
        <v>18</v>
      </c>
      <c r="AR1545" s="3" t="s">
        <v>63</v>
      </c>
      <c r="AS1545" s="3" t="s">
        <v>63</v>
      </c>
      <c r="AT1545" s="3" t="s">
        <v>62</v>
      </c>
      <c r="AU1545" s="6" t="str">
        <f>HYPERLINK("http://catalog.hathitrust.org/Record/002231840","HathiTrust Record")</f>
        <v>HathiTrust Record</v>
      </c>
      <c r="AV1545" s="6" t="str">
        <f>HYPERLINK("http://mcgill.on.worldcat.org/oclc/21195258","Catalog Record")</f>
        <v>Catalog Record</v>
      </c>
      <c r="AW1545" s="6" t="str">
        <f>HYPERLINK("http://www.worldcat.org/oclc/21195258","WorldCat Record")</f>
        <v>WorldCat Record</v>
      </c>
      <c r="AX1545" s="3" t="s">
        <v>13859</v>
      </c>
      <c r="AY1545" s="3" t="s">
        <v>13860</v>
      </c>
      <c r="AZ1545" s="3" t="s">
        <v>13861</v>
      </c>
      <c r="BA1545" s="3" t="s">
        <v>13861</v>
      </c>
      <c r="BB1545" s="3" t="s">
        <v>13862</v>
      </c>
      <c r="BC1545" s="3" t="s">
        <v>82</v>
      </c>
      <c r="BD1545" s="3" t="s">
        <v>70</v>
      </c>
      <c r="BE1545" s="3" t="s">
        <v>13863</v>
      </c>
      <c r="BF1545" s="3" t="s">
        <v>13862</v>
      </c>
      <c r="BG1545" s="3" t="s">
        <v>13864</v>
      </c>
    </row>
    <row r="1546" spans="1:59" ht="75" x14ac:dyDescent="0.25">
      <c r="A1546" s="2" t="s">
        <v>59</v>
      </c>
      <c r="B1546" s="2" t="s">
        <v>60</v>
      </c>
      <c r="C1546" s="2" t="s">
        <v>13865</v>
      </c>
      <c r="D1546" s="2" t="s">
        <v>13866</v>
      </c>
      <c r="E1546" s="2" t="s">
        <v>13867</v>
      </c>
      <c r="G1546" s="3" t="s">
        <v>63</v>
      </c>
      <c r="I1546" s="3" t="s">
        <v>62</v>
      </c>
      <c r="J1546" s="3" t="s">
        <v>63</v>
      </c>
      <c r="K1546" s="3" t="s">
        <v>64</v>
      </c>
      <c r="L1546" s="2" t="s">
        <v>13868</v>
      </c>
      <c r="M1546" s="2" t="s">
        <v>13869</v>
      </c>
      <c r="N1546" s="3" t="s">
        <v>939</v>
      </c>
      <c r="P1546" s="3" t="s">
        <v>66</v>
      </c>
      <c r="Q1546" s="2" t="s">
        <v>13870</v>
      </c>
      <c r="R1546" s="3" t="s">
        <v>67</v>
      </c>
      <c r="S1546" s="4">
        <v>9</v>
      </c>
      <c r="T1546" s="4">
        <v>20</v>
      </c>
      <c r="U1546" s="5" t="s">
        <v>10605</v>
      </c>
      <c r="V1546" s="5" t="s">
        <v>10605</v>
      </c>
      <c r="W1546" s="5" t="s">
        <v>69</v>
      </c>
      <c r="X1546" s="5" t="s">
        <v>69</v>
      </c>
      <c r="Y1546" s="4">
        <v>237</v>
      </c>
      <c r="Z1546" s="4">
        <v>15</v>
      </c>
      <c r="AA1546" s="4">
        <v>27</v>
      </c>
      <c r="AB1546" s="4">
        <v>2</v>
      </c>
      <c r="AC1546" s="4">
        <v>3</v>
      </c>
      <c r="AD1546" s="4">
        <v>92</v>
      </c>
      <c r="AE1546" s="4">
        <v>105</v>
      </c>
      <c r="AF1546" s="4">
        <v>1</v>
      </c>
      <c r="AG1546" s="4">
        <v>2</v>
      </c>
      <c r="AH1546" s="4">
        <v>80</v>
      </c>
      <c r="AI1546" s="4">
        <v>89</v>
      </c>
      <c r="AJ1546" s="4">
        <v>11</v>
      </c>
      <c r="AK1546" s="4">
        <v>21</v>
      </c>
      <c r="AL1546" s="4">
        <v>49</v>
      </c>
      <c r="AM1546" s="4">
        <v>50</v>
      </c>
      <c r="AN1546" s="4">
        <v>0</v>
      </c>
      <c r="AO1546" s="4">
        <v>0</v>
      </c>
      <c r="AP1546" s="4">
        <v>12</v>
      </c>
      <c r="AQ1546" s="4">
        <v>23</v>
      </c>
      <c r="AR1546" s="3" t="s">
        <v>63</v>
      </c>
      <c r="AS1546" s="3" t="s">
        <v>63</v>
      </c>
      <c r="AT1546" s="3" t="s">
        <v>62</v>
      </c>
      <c r="AU1546" s="6" t="str">
        <f>HYPERLINK("http://catalog.hathitrust.org/Record/001224717","HathiTrust Record")</f>
        <v>HathiTrust Record</v>
      </c>
      <c r="AV1546" s="6" t="str">
        <f>HYPERLINK("http://mcgill.on.worldcat.org/oclc/926449","Catalog Record")</f>
        <v>Catalog Record</v>
      </c>
      <c r="AW1546" s="6" t="str">
        <f>HYPERLINK("http://www.worldcat.org/oclc/926449","WorldCat Record")</f>
        <v>WorldCat Record</v>
      </c>
      <c r="AX1546" s="3" t="s">
        <v>13871</v>
      </c>
      <c r="AY1546" s="3" t="s">
        <v>13872</v>
      </c>
      <c r="AZ1546" s="3" t="s">
        <v>13873</v>
      </c>
      <c r="BA1546" s="3" t="s">
        <v>13873</v>
      </c>
      <c r="BB1546" s="3" t="s">
        <v>13874</v>
      </c>
      <c r="BC1546" s="3" t="s">
        <v>82</v>
      </c>
      <c r="BD1546" s="3" t="s">
        <v>70</v>
      </c>
      <c r="BF1546" s="3" t="s">
        <v>13874</v>
      </c>
      <c r="BG1546" s="3" t="s">
        <v>13875</v>
      </c>
    </row>
    <row r="1547" spans="1:59" ht="75" x14ac:dyDescent="0.25">
      <c r="A1547" s="2" t="s">
        <v>59</v>
      </c>
      <c r="B1547" s="2" t="s">
        <v>60</v>
      </c>
      <c r="C1547" s="2" t="s">
        <v>13865</v>
      </c>
      <c r="D1547" s="2" t="s">
        <v>13866</v>
      </c>
      <c r="E1547" s="2" t="s">
        <v>13867</v>
      </c>
      <c r="G1547" s="3" t="s">
        <v>63</v>
      </c>
      <c r="I1547" s="3" t="s">
        <v>62</v>
      </c>
      <c r="J1547" s="3" t="s">
        <v>63</v>
      </c>
      <c r="K1547" s="3" t="s">
        <v>64</v>
      </c>
      <c r="L1547" s="2" t="s">
        <v>13868</v>
      </c>
      <c r="M1547" s="2" t="s">
        <v>13869</v>
      </c>
      <c r="N1547" s="3" t="s">
        <v>939</v>
      </c>
      <c r="P1547" s="3" t="s">
        <v>66</v>
      </c>
      <c r="Q1547" s="2" t="s">
        <v>13870</v>
      </c>
      <c r="R1547" s="3" t="s">
        <v>67</v>
      </c>
      <c r="S1547" s="4">
        <v>11</v>
      </c>
      <c r="T1547" s="4">
        <v>20</v>
      </c>
      <c r="U1547" s="5" t="s">
        <v>5722</v>
      </c>
      <c r="V1547" s="5" t="s">
        <v>10605</v>
      </c>
      <c r="W1547" s="5" t="s">
        <v>69</v>
      </c>
      <c r="X1547" s="5" t="s">
        <v>69</v>
      </c>
      <c r="Y1547" s="4">
        <v>237</v>
      </c>
      <c r="Z1547" s="4">
        <v>15</v>
      </c>
      <c r="AA1547" s="4">
        <v>27</v>
      </c>
      <c r="AB1547" s="4">
        <v>2</v>
      </c>
      <c r="AC1547" s="4">
        <v>3</v>
      </c>
      <c r="AD1547" s="4">
        <v>92</v>
      </c>
      <c r="AE1547" s="4">
        <v>105</v>
      </c>
      <c r="AF1547" s="4">
        <v>1</v>
      </c>
      <c r="AG1547" s="4">
        <v>2</v>
      </c>
      <c r="AH1547" s="4">
        <v>80</v>
      </c>
      <c r="AI1547" s="4">
        <v>89</v>
      </c>
      <c r="AJ1547" s="4">
        <v>11</v>
      </c>
      <c r="AK1547" s="4">
        <v>21</v>
      </c>
      <c r="AL1547" s="4">
        <v>49</v>
      </c>
      <c r="AM1547" s="4">
        <v>50</v>
      </c>
      <c r="AN1547" s="4">
        <v>0</v>
      </c>
      <c r="AO1547" s="4">
        <v>0</v>
      </c>
      <c r="AP1547" s="4">
        <v>12</v>
      </c>
      <c r="AQ1547" s="4">
        <v>23</v>
      </c>
      <c r="AR1547" s="3" t="s">
        <v>63</v>
      </c>
      <c r="AS1547" s="3" t="s">
        <v>63</v>
      </c>
      <c r="AT1547" s="3" t="s">
        <v>62</v>
      </c>
      <c r="AU1547" s="6" t="str">
        <f>HYPERLINK("http://catalog.hathitrust.org/Record/001224717","HathiTrust Record")</f>
        <v>HathiTrust Record</v>
      </c>
      <c r="AV1547" s="6" t="str">
        <f>HYPERLINK("http://mcgill.on.worldcat.org/oclc/926449","Catalog Record")</f>
        <v>Catalog Record</v>
      </c>
      <c r="AW1547" s="6" t="str">
        <f>HYPERLINK("http://www.worldcat.org/oclc/926449","WorldCat Record")</f>
        <v>WorldCat Record</v>
      </c>
      <c r="AX1547" s="3" t="s">
        <v>13871</v>
      </c>
      <c r="AY1547" s="3" t="s">
        <v>13872</v>
      </c>
      <c r="AZ1547" s="3" t="s">
        <v>13873</v>
      </c>
      <c r="BA1547" s="3" t="s">
        <v>13873</v>
      </c>
      <c r="BB1547" s="3" t="s">
        <v>13876</v>
      </c>
      <c r="BC1547" s="3" t="s">
        <v>82</v>
      </c>
      <c r="BD1547" s="3" t="s">
        <v>70</v>
      </c>
      <c r="BF1547" s="3" t="s">
        <v>13876</v>
      </c>
      <c r="BG1547" s="3" t="s">
        <v>13877</v>
      </c>
    </row>
    <row r="1548" spans="1:59" ht="75" x14ac:dyDescent="0.25">
      <c r="A1548" s="2" t="s">
        <v>59</v>
      </c>
      <c r="B1548" s="2" t="s">
        <v>60</v>
      </c>
      <c r="C1548" s="2" t="s">
        <v>13878</v>
      </c>
      <c r="D1548" s="2" t="s">
        <v>13879</v>
      </c>
      <c r="E1548" s="2" t="s">
        <v>13880</v>
      </c>
      <c r="G1548" s="3" t="s">
        <v>63</v>
      </c>
      <c r="I1548" s="3" t="s">
        <v>62</v>
      </c>
      <c r="J1548" s="3" t="s">
        <v>63</v>
      </c>
      <c r="K1548" s="3" t="s">
        <v>64</v>
      </c>
      <c r="L1548" s="2" t="s">
        <v>13881</v>
      </c>
      <c r="M1548" s="2" t="s">
        <v>13882</v>
      </c>
      <c r="N1548" s="3" t="s">
        <v>814</v>
      </c>
      <c r="P1548" s="3" t="s">
        <v>66</v>
      </c>
      <c r="R1548" s="3" t="s">
        <v>67</v>
      </c>
      <c r="S1548" s="4">
        <v>16</v>
      </c>
      <c r="T1548" s="4">
        <v>66</v>
      </c>
      <c r="U1548" s="5" t="s">
        <v>13883</v>
      </c>
      <c r="V1548" s="5" t="s">
        <v>12287</v>
      </c>
      <c r="W1548" s="5" t="s">
        <v>69</v>
      </c>
      <c r="X1548" s="5" t="s">
        <v>69</v>
      </c>
      <c r="Y1548" s="4">
        <v>478</v>
      </c>
      <c r="Z1548" s="4">
        <v>28</v>
      </c>
      <c r="AA1548" s="4">
        <v>88</v>
      </c>
      <c r="AB1548" s="4">
        <v>2</v>
      </c>
      <c r="AC1548" s="4">
        <v>15</v>
      </c>
      <c r="AD1548" s="4">
        <v>115</v>
      </c>
      <c r="AE1548" s="4">
        <v>147</v>
      </c>
      <c r="AF1548" s="4">
        <v>1</v>
      </c>
      <c r="AG1548" s="4">
        <v>8</v>
      </c>
      <c r="AH1548" s="4">
        <v>101</v>
      </c>
      <c r="AI1548" s="4">
        <v>110</v>
      </c>
      <c r="AJ1548" s="4">
        <v>17</v>
      </c>
      <c r="AK1548" s="4">
        <v>25</v>
      </c>
      <c r="AL1548" s="4">
        <v>54</v>
      </c>
      <c r="AM1548" s="4">
        <v>58</v>
      </c>
      <c r="AN1548" s="4">
        <v>0</v>
      </c>
      <c r="AO1548" s="4">
        <v>0</v>
      </c>
      <c r="AP1548" s="4">
        <v>21</v>
      </c>
      <c r="AQ1548" s="4">
        <v>46</v>
      </c>
      <c r="AR1548" s="3" t="s">
        <v>63</v>
      </c>
      <c r="AS1548" s="3" t="s">
        <v>63</v>
      </c>
      <c r="AT1548" s="3" t="s">
        <v>62</v>
      </c>
      <c r="AU1548" s="6" t="str">
        <f>HYPERLINK("http://catalog.hathitrust.org/Record/002482723","HathiTrust Record")</f>
        <v>HathiTrust Record</v>
      </c>
      <c r="AV1548" s="6" t="str">
        <f>HYPERLINK("http://mcgill.on.worldcat.org/oclc/3480472","Catalog Record")</f>
        <v>Catalog Record</v>
      </c>
      <c r="AW1548" s="6" t="str">
        <f>HYPERLINK("http://www.worldcat.org/oclc/3480472","WorldCat Record")</f>
        <v>WorldCat Record</v>
      </c>
      <c r="AX1548" s="3" t="s">
        <v>13884</v>
      </c>
      <c r="AY1548" s="3" t="s">
        <v>13885</v>
      </c>
      <c r="AZ1548" s="3" t="s">
        <v>13886</v>
      </c>
      <c r="BA1548" s="3" t="s">
        <v>13886</v>
      </c>
      <c r="BB1548" s="3" t="s">
        <v>13887</v>
      </c>
      <c r="BC1548" s="3" t="s">
        <v>82</v>
      </c>
      <c r="BD1548" s="3" t="s">
        <v>70</v>
      </c>
      <c r="BE1548" s="3" t="s">
        <v>13888</v>
      </c>
      <c r="BF1548" s="3" t="s">
        <v>13887</v>
      </c>
      <c r="BG1548" s="3" t="s">
        <v>13889</v>
      </c>
    </row>
    <row r="1549" spans="1:59" ht="75" x14ac:dyDescent="0.25">
      <c r="A1549" s="2" t="s">
        <v>59</v>
      </c>
      <c r="B1549" s="2" t="s">
        <v>60</v>
      </c>
      <c r="C1549" s="2" t="s">
        <v>13878</v>
      </c>
      <c r="D1549" s="2" t="s">
        <v>13879</v>
      </c>
      <c r="E1549" s="2" t="s">
        <v>13880</v>
      </c>
      <c r="G1549" s="3" t="s">
        <v>63</v>
      </c>
      <c r="I1549" s="3" t="s">
        <v>62</v>
      </c>
      <c r="J1549" s="3" t="s">
        <v>63</v>
      </c>
      <c r="K1549" s="3" t="s">
        <v>64</v>
      </c>
      <c r="L1549" s="2" t="s">
        <v>13881</v>
      </c>
      <c r="M1549" s="2" t="s">
        <v>13882</v>
      </c>
      <c r="N1549" s="3" t="s">
        <v>814</v>
      </c>
      <c r="P1549" s="3" t="s">
        <v>66</v>
      </c>
      <c r="R1549" s="3" t="s">
        <v>67</v>
      </c>
      <c r="S1549" s="4">
        <v>26</v>
      </c>
      <c r="T1549" s="4">
        <v>66</v>
      </c>
      <c r="U1549" s="5" t="s">
        <v>12287</v>
      </c>
      <c r="V1549" s="5" t="s">
        <v>12287</v>
      </c>
      <c r="W1549" s="5" t="s">
        <v>69</v>
      </c>
      <c r="X1549" s="5" t="s">
        <v>69</v>
      </c>
      <c r="Y1549" s="4">
        <v>478</v>
      </c>
      <c r="Z1549" s="4">
        <v>28</v>
      </c>
      <c r="AA1549" s="4">
        <v>88</v>
      </c>
      <c r="AB1549" s="4">
        <v>2</v>
      </c>
      <c r="AC1549" s="4">
        <v>15</v>
      </c>
      <c r="AD1549" s="4">
        <v>115</v>
      </c>
      <c r="AE1549" s="4">
        <v>147</v>
      </c>
      <c r="AF1549" s="4">
        <v>1</v>
      </c>
      <c r="AG1549" s="4">
        <v>8</v>
      </c>
      <c r="AH1549" s="4">
        <v>101</v>
      </c>
      <c r="AI1549" s="4">
        <v>110</v>
      </c>
      <c r="AJ1549" s="4">
        <v>17</v>
      </c>
      <c r="AK1549" s="4">
        <v>25</v>
      </c>
      <c r="AL1549" s="4">
        <v>54</v>
      </c>
      <c r="AM1549" s="4">
        <v>58</v>
      </c>
      <c r="AN1549" s="4">
        <v>0</v>
      </c>
      <c r="AO1549" s="4">
        <v>0</v>
      </c>
      <c r="AP1549" s="4">
        <v>21</v>
      </c>
      <c r="AQ1549" s="4">
        <v>46</v>
      </c>
      <c r="AR1549" s="3" t="s">
        <v>63</v>
      </c>
      <c r="AS1549" s="3" t="s">
        <v>63</v>
      </c>
      <c r="AT1549" s="3" t="s">
        <v>62</v>
      </c>
      <c r="AU1549" s="6" t="str">
        <f>HYPERLINK("http://catalog.hathitrust.org/Record/002482723","HathiTrust Record")</f>
        <v>HathiTrust Record</v>
      </c>
      <c r="AV1549" s="6" t="str">
        <f>HYPERLINK("http://mcgill.on.worldcat.org/oclc/3480472","Catalog Record")</f>
        <v>Catalog Record</v>
      </c>
      <c r="AW1549" s="6" t="str">
        <f>HYPERLINK("http://www.worldcat.org/oclc/3480472","WorldCat Record")</f>
        <v>WorldCat Record</v>
      </c>
      <c r="AX1549" s="3" t="s">
        <v>13884</v>
      </c>
      <c r="AY1549" s="3" t="s">
        <v>13885</v>
      </c>
      <c r="AZ1549" s="3" t="s">
        <v>13886</v>
      </c>
      <c r="BA1549" s="3" t="s">
        <v>13886</v>
      </c>
      <c r="BB1549" s="3" t="s">
        <v>13890</v>
      </c>
      <c r="BC1549" s="3" t="s">
        <v>82</v>
      </c>
      <c r="BD1549" s="3" t="s">
        <v>70</v>
      </c>
      <c r="BE1549" s="3" t="s">
        <v>13888</v>
      </c>
      <c r="BF1549" s="3" t="s">
        <v>13890</v>
      </c>
      <c r="BG1549" s="3" t="s">
        <v>13891</v>
      </c>
    </row>
    <row r="1550" spans="1:59" ht="75" x14ac:dyDescent="0.25">
      <c r="A1550" s="2" t="s">
        <v>59</v>
      </c>
      <c r="B1550" s="2" t="s">
        <v>60</v>
      </c>
      <c r="C1550" s="2" t="s">
        <v>13878</v>
      </c>
      <c r="D1550" s="2" t="s">
        <v>13879</v>
      </c>
      <c r="E1550" s="2" t="s">
        <v>13880</v>
      </c>
      <c r="G1550" s="3" t="s">
        <v>63</v>
      </c>
      <c r="I1550" s="3" t="s">
        <v>62</v>
      </c>
      <c r="J1550" s="3" t="s">
        <v>63</v>
      </c>
      <c r="K1550" s="3" t="s">
        <v>64</v>
      </c>
      <c r="L1550" s="2" t="s">
        <v>13881</v>
      </c>
      <c r="M1550" s="2" t="s">
        <v>13882</v>
      </c>
      <c r="N1550" s="3" t="s">
        <v>814</v>
      </c>
      <c r="P1550" s="3" t="s">
        <v>66</v>
      </c>
      <c r="R1550" s="3" t="s">
        <v>67</v>
      </c>
      <c r="S1550" s="4">
        <v>24</v>
      </c>
      <c r="T1550" s="4">
        <v>66</v>
      </c>
      <c r="U1550" s="5" t="s">
        <v>13892</v>
      </c>
      <c r="V1550" s="5" t="s">
        <v>12287</v>
      </c>
      <c r="W1550" s="5" t="s">
        <v>69</v>
      </c>
      <c r="X1550" s="5" t="s">
        <v>69</v>
      </c>
      <c r="Y1550" s="4">
        <v>478</v>
      </c>
      <c r="Z1550" s="4">
        <v>28</v>
      </c>
      <c r="AA1550" s="4">
        <v>88</v>
      </c>
      <c r="AB1550" s="4">
        <v>2</v>
      </c>
      <c r="AC1550" s="4">
        <v>15</v>
      </c>
      <c r="AD1550" s="4">
        <v>115</v>
      </c>
      <c r="AE1550" s="4">
        <v>147</v>
      </c>
      <c r="AF1550" s="4">
        <v>1</v>
      </c>
      <c r="AG1550" s="4">
        <v>8</v>
      </c>
      <c r="AH1550" s="4">
        <v>101</v>
      </c>
      <c r="AI1550" s="4">
        <v>110</v>
      </c>
      <c r="AJ1550" s="4">
        <v>17</v>
      </c>
      <c r="AK1550" s="4">
        <v>25</v>
      </c>
      <c r="AL1550" s="4">
        <v>54</v>
      </c>
      <c r="AM1550" s="4">
        <v>58</v>
      </c>
      <c r="AN1550" s="4">
        <v>0</v>
      </c>
      <c r="AO1550" s="4">
        <v>0</v>
      </c>
      <c r="AP1550" s="4">
        <v>21</v>
      </c>
      <c r="AQ1550" s="4">
        <v>46</v>
      </c>
      <c r="AR1550" s="3" t="s">
        <v>63</v>
      </c>
      <c r="AS1550" s="3" t="s">
        <v>63</v>
      </c>
      <c r="AT1550" s="3" t="s">
        <v>62</v>
      </c>
      <c r="AU1550" s="6" t="str">
        <f>HYPERLINK("http://catalog.hathitrust.org/Record/002482723","HathiTrust Record")</f>
        <v>HathiTrust Record</v>
      </c>
      <c r="AV1550" s="6" t="str">
        <f>HYPERLINK("http://mcgill.on.worldcat.org/oclc/3480472","Catalog Record")</f>
        <v>Catalog Record</v>
      </c>
      <c r="AW1550" s="6" t="str">
        <f>HYPERLINK("http://www.worldcat.org/oclc/3480472","WorldCat Record")</f>
        <v>WorldCat Record</v>
      </c>
      <c r="AX1550" s="3" t="s">
        <v>13884</v>
      </c>
      <c r="AY1550" s="3" t="s">
        <v>13885</v>
      </c>
      <c r="AZ1550" s="3" t="s">
        <v>13886</v>
      </c>
      <c r="BA1550" s="3" t="s">
        <v>13886</v>
      </c>
      <c r="BB1550" s="3" t="s">
        <v>13893</v>
      </c>
      <c r="BC1550" s="3" t="s">
        <v>82</v>
      </c>
      <c r="BD1550" s="3" t="s">
        <v>70</v>
      </c>
      <c r="BE1550" s="3" t="s">
        <v>13888</v>
      </c>
      <c r="BF1550" s="3" t="s">
        <v>13893</v>
      </c>
      <c r="BG1550" s="3" t="s">
        <v>13894</v>
      </c>
    </row>
    <row r="1551" spans="1:59" ht="60" x14ac:dyDescent="0.25">
      <c r="A1551" s="2" t="s">
        <v>59</v>
      </c>
      <c r="B1551" s="2" t="s">
        <v>60</v>
      </c>
      <c r="C1551" s="2" t="s">
        <v>13895</v>
      </c>
      <c r="D1551" s="2" t="s">
        <v>13896</v>
      </c>
      <c r="E1551" s="2" t="s">
        <v>13897</v>
      </c>
      <c r="G1551" s="3" t="s">
        <v>63</v>
      </c>
      <c r="I1551" s="3" t="s">
        <v>63</v>
      </c>
      <c r="J1551" s="3" t="s">
        <v>63</v>
      </c>
      <c r="K1551" s="3" t="s">
        <v>64</v>
      </c>
      <c r="L1551" s="2" t="s">
        <v>13898</v>
      </c>
      <c r="M1551" s="2" t="s">
        <v>13899</v>
      </c>
      <c r="N1551" s="3" t="s">
        <v>1113</v>
      </c>
      <c r="P1551" s="3" t="s">
        <v>66</v>
      </c>
      <c r="Q1551" s="2" t="s">
        <v>13900</v>
      </c>
      <c r="R1551" s="3" t="s">
        <v>67</v>
      </c>
      <c r="S1551" s="4">
        <v>21</v>
      </c>
      <c r="T1551" s="4">
        <v>21</v>
      </c>
      <c r="U1551" s="5" t="s">
        <v>6758</v>
      </c>
      <c r="V1551" s="5" t="s">
        <v>6758</v>
      </c>
      <c r="W1551" s="5" t="s">
        <v>69</v>
      </c>
      <c r="X1551" s="5" t="s">
        <v>69</v>
      </c>
      <c r="Y1551" s="4">
        <v>92</v>
      </c>
      <c r="Z1551" s="4">
        <v>8</v>
      </c>
      <c r="AA1551" s="4">
        <v>9</v>
      </c>
      <c r="AB1551" s="4">
        <v>1</v>
      </c>
      <c r="AC1551" s="4">
        <v>1</v>
      </c>
      <c r="AD1551" s="4">
        <v>38</v>
      </c>
      <c r="AE1551" s="4">
        <v>39</v>
      </c>
      <c r="AF1551" s="4">
        <v>0</v>
      </c>
      <c r="AG1551" s="4">
        <v>0</v>
      </c>
      <c r="AH1551" s="4">
        <v>35</v>
      </c>
      <c r="AI1551" s="4">
        <v>36</v>
      </c>
      <c r="AJ1551" s="4">
        <v>6</v>
      </c>
      <c r="AK1551" s="4">
        <v>7</v>
      </c>
      <c r="AL1551" s="4">
        <v>20</v>
      </c>
      <c r="AM1551" s="4">
        <v>20</v>
      </c>
      <c r="AN1551" s="4">
        <v>0</v>
      </c>
      <c r="AO1551" s="4">
        <v>0</v>
      </c>
      <c r="AP1551" s="4">
        <v>6</v>
      </c>
      <c r="AQ1551" s="4">
        <v>7</v>
      </c>
      <c r="AR1551" s="3" t="s">
        <v>63</v>
      </c>
      <c r="AS1551" s="3" t="s">
        <v>63</v>
      </c>
      <c r="AT1551" s="3" t="s">
        <v>62</v>
      </c>
      <c r="AU1551" s="6" t="str">
        <f>HYPERLINK("http://catalog.hathitrust.org/Record/007134094","HathiTrust Record")</f>
        <v>HathiTrust Record</v>
      </c>
      <c r="AV1551" s="6" t="str">
        <f>HYPERLINK("http://mcgill.on.worldcat.org/oclc/37503598","Catalog Record")</f>
        <v>Catalog Record</v>
      </c>
      <c r="AW1551" s="6" t="str">
        <f>HYPERLINK("http://www.worldcat.org/oclc/37503598","WorldCat Record")</f>
        <v>WorldCat Record</v>
      </c>
      <c r="AX1551" s="3" t="s">
        <v>13901</v>
      </c>
      <c r="AY1551" s="3" t="s">
        <v>13902</v>
      </c>
      <c r="AZ1551" s="3" t="s">
        <v>13903</v>
      </c>
      <c r="BA1551" s="3" t="s">
        <v>13903</v>
      </c>
      <c r="BB1551" s="3" t="s">
        <v>13904</v>
      </c>
      <c r="BC1551" s="3" t="s">
        <v>82</v>
      </c>
      <c r="BD1551" s="3" t="s">
        <v>70</v>
      </c>
      <c r="BE1551" s="3" t="s">
        <v>13905</v>
      </c>
      <c r="BF1551" s="3" t="s">
        <v>13904</v>
      </c>
      <c r="BG1551" s="3" t="s">
        <v>13906</v>
      </c>
    </row>
    <row r="1552" spans="1:59" ht="60" x14ac:dyDescent="0.25">
      <c r="A1552" s="2" t="s">
        <v>59</v>
      </c>
      <c r="B1552" s="2" t="s">
        <v>60</v>
      </c>
      <c r="C1552" s="2" t="s">
        <v>13907</v>
      </c>
      <c r="D1552" s="2" t="s">
        <v>13908</v>
      </c>
      <c r="E1552" s="2" t="s">
        <v>13909</v>
      </c>
      <c r="G1552" s="3" t="s">
        <v>63</v>
      </c>
      <c r="I1552" s="3" t="s">
        <v>62</v>
      </c>
      <c r="J1552" s="3" t="s">
        <v>63</v>
      </c>
      <c r="K1552" s="3" t="s">
        <v>64</v>
      </c>
      <c r="M1552" s="2" t="s">
        <v>11567</v>
      </c>
      <c r="N1552" s="3" t="s">
        <v>247</v>
      </c>
      <c r="P1552" s="3" t="s">
        <v>66</v>
      </c>
      <c r="R1552" s="3" t="s">
        <v>67</v>
      </c>
      <c r="S1552" s="4">
        <v>27</v>
      </c>
      <c r="T1552" s="4">
        <v>58</v>
      </c>
      <c r="U1552" s="5" t="s">
        <v>8682</v>
      </c>
      <c r="V1552" s="5" t="s">
        <v>5434</v>
      </c>
      <c r="W1552" s="5" t="s">
        <v>69</v>
      </c>
      <c r="X1552" s="5" t="s">
        <v>69</v>
      </c>
      <c r="Y1552" s="4">
        <v>389</v>
      </c>
      <c r="Z1552" s="4">
        <v>28</v>
      </c>
      <c r="AA1552" s="4">
        <v>30</v>
      </c>
      <c r="AB1552" s="4">
        <v>2</v>
      </c>
      <c r="AC1552" s="4">
        <v>4</v>
      </c>
      <c r="AD1552" s="4">
        <v>110</v>
      </c>
      <c r="AE1552" s="4">
        <v>112</v>
      </c>
      <c r="AF1552" s="4">
        <v>1</v>
      </c>
      <c r="AG1552" s="4">
        <v>3</v>
      </c>
      <c r="AH1552" s="4">
        <v>98</v>
      </c>
      <c r="AI1552" s="4">
        <v>98</v>
      </c>
      <c r="AJ1552" s="4">
        <v>20</v>
      </c>
      <c r="AK1552" s="4">
        <v>22</v>
      </c>
      <c r="AL1552" s="4">
        <v>52</v>
      </c>
      <c r="AM1552" s="4">
        <v>52</v>
      </c>
      <c r="AN1552" s="4">
        <v>0</v>
      </c>
      <c r="AO1552" s="4">
        <v>0</v>
      </c>
      <c r="AP1552" s="4">
        <v>21</v>
      </c>
      <c r="AQ1552" s="4">
        <v>22</v>
      </c>
      <c r="AR1552" s="3" t="s">
        <v>63</v>
      </c>
      <c r="AS1552" s="3" t="s">
        <v>63</v>
      </c>
      <c r="AT1552" s="3" t="s">
        <v>62</v>
      </c>
      <c r="AU1552" s="6" t="str">
        <f>HYPERLINK("http://catalog.hathitrust.org/Record/000104084","HathiTrust Record")</f>
        <v>HathiTrust Record</v>
      </c>
      <c r="AV1552" s="6" t="str">
        <f>HYPERLINK("http://mcgill.on.worldcat.org/oclc/8282942","Catalog Record")</f>
        <v>Catalog Record</v>
      </c>
      <c r="AW1552" s="6" t="str">
        <f>HYPERLINK("http://www.worldcat.org/oclc/8282942","WorldCat Record")</f>
        <v>WorldCat Record</v>
      </c>
      <c r="AX1552" s="3" t="s">
        <v>13910</v>
      </c>
      <c r="AY1552" s="3" t="s">
        <v>13911</v>
      </c>
      <c r="AZ1552" s="3" t="s">
        <v>13912</v>
      </c>
      <c r="BA1552" s="3" t="s">
        <v>13912</v>
      </c>
      <c r="BB1552" s="3" t="s">
        <v>13913</v>
      </c>
      <c r="BC1552" s="3" t="s">
        <v>82</v>
      </c>
      <c r="BD1552" s="3" t="s">
        <v>70</v>
      </c>
      <c r="BE1552" s="3" t="s">
        <v>13914</v>
      </c>
      <c r="BF1552" s="3" t="s">
        <v>13913</v>
      </c>
      <c r="BG1552" s="3" t="s">
        <v>13915</v>
      </c>
    </row>
    <row r="1553" spans="1:59" ht="60" x14ac:dyDescent="0.25">
      <c r="A1553" s="2" t="s">
        <v>59</v>
      </c>
      <c r="B1553" s="2" t="s">
        <v>60</v>
      </c>
      <c r="C1553" s="2" t="s">
        <v>13907</v>
      </c>
      <c r="D1553" s="2" t="s">
        <v>13908</v>
      </c>
      <c r="E1553" s="2" t="s">
        <v>13909</v>
      </c>
      <c r="G1553" s="3" t="s">
        <v>63</v>
      </c>
      <c r="I1553" s="3" t="s">
        <v>62</v>
      </c>
      <c r="J1553" s="3" t="s">
        <v>63</v>
      </c>
      <c r="K1553" s="3" t="s">
        <v>64</v>
      </c>
      <c r="M1553" s="2" t="s">
        <v>11567</v>
      </c>
      <c r="N1553" s="3" t="s">
        <v>247</v>
      </c>
      <c r="P1553" s="3" t="s">
        <v>66</v>
      </c>
      <c r="R1553" s="3" t="s">
        <v>67</v>
      </c>
      <c r="S1553" s="4">
        <v>31</v>
      </c>
      <c r="T1553" s="4">
        <v>58</v>
      </c>
      <c r="U1553" s="5" t="s">
        <v>5434</v>
      </c>
      <c r="V1553" s="5" t="s">
        <v>5434</v>
      </c>
      <c r="W1553" s="5" t="s">
        <v>69</v>
      </c>
      <c r="X1553" s="5" t="s">
        <v>69</v>
      </c>
      <c r="Y1553" s="4">
        <v>389</v>
      </c>
      <c r="Z1553" s="4">
        <v>28</v>
      </c>
      <c r="AA1553" s="4">
        <v>30</v>
      </c>
      <c r="AB1553" s="4">
        <v>2</v>
      </c>
      <c r="AC1553" s="4">
        <v>4</v>
      </c>
      <c r="AD1553" s="4">
        <v>110</v>
      </c>
      <c r="AE1553" s="4">
        <v>112</v>
      </c>
      <c r="AF1553" s="4">
        <v>1</v>
      </c>
      <c r="AG1553" s="4">
        <v>3</v>
      </c>
      <c r="AH1553" s="4">
        <v>98</v>
      </c>
      <c r="AI1553" s="4">
        <v>98</v>
      </c>
      <c r="AJ1553" s="4">
        <v>20</v>
      </c>
      <c r="AK1553" s="4">
        <v>22</v>
      </c>
      <c r="AL1553" s="4">
        <v>52</v>
      </c>
      <c r="AM1553" s="4">
        <v>52</v>
      </c>
      <c r="AN1553" s="4">
        <v>0</v>
      </c>
      <c r="AO1553" s="4">
        <v>0</v>
      </c>
      <c r="AP1553" s="4">
        <v>21</v>
      </c>
      <c r="AQ1553" s="4">
        <v>22</v>
      </c>
      <c r="AR1553" s="3" t="s">
        <v>63</v>
      </c>
      <c r="AS1553" s="3" t="s">
        <v>63</v>
      </c>
      <c r="AT1553" s="3" t="s">
        <v>62</v>
      </c>
      <c r="AU1553" s="6" t="str">
        <f>HYPERLINK("http://catalog.hathitrust.org/Record/000104084","HathiTrust Record")</f>
        <v>HathiTrust Record</v>
      </c>
      <c r="AV1553" s="6" t="str">
        <f>HYPERLINK("http://mcgill.on.worldcat.org/oclc/8282942","Catalog Record")</f>
        <v>Catalog Record</v>
      </c>
      <c r="AW1553" s="6" t="str">
        <f>HYPERLINK("http://www.worldcat.org/oclc/8282942","WorldCat Record")</f>
        <v>WorldCat Record</v>
      </c>
      <c r="AX1553" s="3" t="s">
        <v>13910</v>
      </c>
      <c r="AY1553" s="3" t="s">
        <v>13911</v>
      </c>
      <c r="AZ1553" s="3" t="s">
        <v>13912</v>
      </c>
      <c r="BA1553" s="3" t="s">
        <v>13912</v>
      </c>
      <c r="BB1553" s="3" t="s">
        <v>13916</v>
      </c>
      <c r="BC1553" s="3" t="s">
        <v>82</v>
      </c>
      <c r="BD1553" s="3" t="s">
        <v>538</v>
      </c>
      <c r="BE1553" s="3" t="s">
        <v>13914</v>
      </c>
      <c r="BF1553" s="3" t="s">
        <v>13916</v>
      </c>
      <c r="BG1553" s="3" t="s">
        <v>13917</v>
      </c>
    </row>
    <row r="1554" spans="1:59" ht="60" x14ac:dyDescent="0.25">
      <c r="A1554" s="2" t="s">
        <v>59</v>
      </c>
      <c r="B1554" s="2" t="s">
        <v>60</v>
      </c>
      <c r="C1554" s="2" t="s">
        <v>13918</v>
      </c>
      <c r="D1554" s="2" t="s">
        <v>13919</v>
      </c>
      <c r="E1554" s="2" t="s">
        <v>13920</v>
      </c>
      <c r="G1554" s="3" t="s">
        <v>63</v>
      </c>
      <c r="I1554" s="3" t="s">
        <v>63</v>
      </c>
      <c r="J1554" s="3" t="s">
        <v>63</v>
      </c>
      <c r="K1554" s="3" t="s">
        <v>64</v>
      </c>
      <c r="L1554" s="2" t="s">
        <v>13921</v>
      </c>
      <c r="M1554" s="2" t="s">
        <v>13922</v>
      </c>
      <c r="N1554" s="3" t="s">
        <v>1343</v>
      </c>
      <c r="P1554" s="3" t="s">
        <v>66</v>
      </c>
      <c r="Q1554" s="2" t="s">
        <v>13900</v>
      </c>
      <c r="R1554" s="3" t="s">
        <v>67</v>
      </c>
      <c r="S1554" s="4">
        <v>22</v>
      </c>
      <c r="T1554" s="4">
        <v>22</v>
      </c>
      <c r="U1554" s="5" t="s">
        <v>8682</v>
      </c>
      <c r="V1554" s="5" t="s">
        <v>8682</v>
      </c>
      <c r="W1554" s="5" t="s">
        <v>69</v>
      </c>
      <c r="X1554" s="5" t="s">
        <v>69</v>
      </c>
      <c r="Y1554" s="4">
        <v>88</v>
      </c>
      <c r="Z1554" s="4">
        <v>11</v>
      </c>
      <c r="AA1554" s="4">
        <v>11</v>
      </c>
      <c r="AB1554" s="4">
        <v>1</v>
      </c>
      <c r="AC1554" s="4">
        <v>1</v>
      </c>
      <c r="AD1554" s="4">
        <v>43</v>
      </c>
      <c r="AE1554" s="4">
        <v>43</v>
      </c>
      <c r="AF1554" s="4">
        <v>0</v>
      </c>
      <c r="AG1554" s="4">
        <v>0</v>
      </c>
      <c r="AH1554" s="4">
        <v>40</v>
      </c>
      <c r="AI1554" s="4">
        <v>40</v>
      </c>
      <c r="AJ1554" s="4">
        <v>9</v>
      </c>
      <c r="AK1554" s="4">
        <v>9</v>
      </c>
      <c r="AL1554" s="4">
        <v>29</v>
      </c>
      <c r="AM1554" s="4">
        <v>29</v>
      </c>
      <c r="AN1554" s="4">
        <v>0</v>
      </c>
      <c r="AO1554" s="4">
        <v>0</v>
      </c>
      <c r="AP1554" s="4">
        <v>9</v>
      </c>
      <c r="AQ1554" s="4">
        <v>9</v>
      </c>
      <c r="AR1554" s="3" t="s">
        <v>63</v>
      </c>
      <c r="AS1554" s="3" t="s">
        <v>63</v>
      </c>
      <c r="AT1554" s="3" t="s">
        <v>62</v>
      </c>
      <c r="AU1554" s="6" t="str">
        <f>HYPERLINK("http://catalog.hathitrust.org/Record/004126612","HathiTrust Record")</f>
        <v>HathiTrust Record</v>
      </c>
      <c r="AV1554" s="6" t="str">
        <f>HYPERLINK("http://mcgill.on.worldcat.org/oclc/45737802","Catalog Record")</f>
        <v>Catalog Record</v>
      </c>
      <c r="AW1554" s="6" t="str">
        <f>HYPERLINK("http://www.worldcat.org/oclc/45737802","WorldCat Record")</f>
        <v>WorldCat Record</v>
      </c>
      <c r="AX1554" s="3" t="s">
        <v>13923</v>
      </c>
      <c r="AY1554" s="3" t="s">
        <v>13924</v>
      </c>
      <c r="AZ1554" s="3" t="s">
        <v>13925</v>
      </c>
      <c r="BA1554" s="3" t="s">
        <v>13925</v>
      </c>
      <c r="BB1554" s="3" t="s">
        <v>13926</v>
      </c>
      <c r="BC1554" s="3" t="s">
        <v>82</v>
      </c>
      <c r="BD1554" s="3" t="s">
        <v>70</v>
      </c>
      <c r="BE1554" s="3" t="s">
        <v>13927</v>
      </c>
      <c r="BF1554" s="3" t="s">
        <v>13926</v>
      </c>
      <c r="BG1554" s="3" t="s">
        <v>13928</v>
      </c>
    </row>
    <row r="1555" spans="1:59" ht="60" x14ac:dyDescent="0.25">
      <c r="A1555" s="2" t="s">
        <v>59</v>
      </c>
      <c r="B1555" s="2" t="s">
        <v>60</v>
      </c>
      <c r="C1555" s="2" t="s">
        <v>13929</v>
      </c>
      <c r="D1555" s="2" t="s">
        <v>13930</v>
      </c>
      <c r="E1555" s="2" t="s">
        <v>13931</v>
      </c>
      <c r="G1555" s="3" t="s">
        <v>63</v>
      </c>
      <c r="I1555" s="3" t="s">
        <v>62</v>
      </c>
      <c r="J1555" s="3" t="s">
        <v>63</v>
      </c>
      <c r="K1555" s="3" t="s">
        <v>64</v>
      </c>
      <c r="L1555" s="2" t="s">
        <v>13932</v>
      </c>
      <c r="M1555" s="2" t="s">
        <v>13933</v>
      </c>
      <c r="N1555" s="3" t="s">
        <v>247</v>
      </c>
      <c r="P1555" s="3" t="s">
        <v>66</v>
      </c>
      <c r="R1555" s="3" t="s">
        <v>67</v>
      </c>
      <c r="S1555" s="4">
        <v>29</v>
      </c>
      <c r="T1555" s="4">
        <v>58</v>
      </c>
      <c r="U1555" s="5" t="s">
        <v>13934</v>
      </c>
      <c r="V1555" s="5" t="s">
        <v>8682</v>
      </c>
      <c r="W1555" s="5" t="s">
        <v>69</v>
      </c>
      <c r="X1555" s="5" t="s">
        <v>69</v>
      </c>
      <c r="Y1555" s="4">
        <v>28</v>
      </c>
      <c r="Z1555" s="4">
        <v>11</v>
      </c>
      <c r="AA1555" s="4">
        <v>11</v>
      </c>
      <c r="AB1555" s="4">
        <v>1</v>
      </c>
      <c r="AC1555" s="4">
        <v>1</v>
      </c>
      <c r="AD1555" s="4">
        <v>16</v>
      </c>
      <c r="AE1555" s="4">
        <v>16</v>
      </c>
      <c r="AF1555" s="4">
        <v>0</v>
      </c>
      <c r="AG1555" s="4">
        <v>0</v>
      </c>
      <c r="AH1555" s="4">
        <v>12</v>
      </c>
      <c r="AI1555" s="4">
        <v>12</v>
      </c>
      <c r="AJ1555" s="4">
        <v>7</v>
      </c>
      <c r="AK1555" s="4">
        <v>7</v>
      </c>
      <c r="AL1555" s="4">
        <v>8</v>
      </c>
      <c r="AM1555" s="4">
        <v>8</v>
      </c>
      <c r="AN1555" s="4">
        <v>0</v>
      </c>
      <c r="AO1555" s="4">
        <v>0</v>
      </c>
      <c r="AP1555" s="4">
        <v>7</v>
      </c>
      <c r="AQ1555" s="4">
        <v>7</v>
      </c>
      <c r="AR1555" s="3" t="s">
        <v>63</v>
      </c>
      <c r="AS1555" s="3" t="s">
        <v>63</v>
      </c>
      <c r="AT1555" s="3" t="s">
        <v>62</v>
      </c>
      <c r="AU1555" s="6" t="str">
        <f>HYPERLINK("http://catalog.hathitrust.org/Record/007117504","HathiTrust Record")</f>
        <v>HathiTrust Record</v>
      </c>
      <c r="AV1555" s="6" t="str">
        <f>HYPERLINK("http://mcgill.on.worldcat.org/oclc/213793313","Catalog Record")</f>
        <v>Catalog Record</v>
      </c>
      <c r="AW1555" s="6" t="str">
        <f>HYPERLINK("http://www.worldcat.org/oclc/213793313","WorldCat Record")</f>
        <v>WorldCat Record</v>
      </c>
      <c r="AX1555" s="3" t="s">
        <v>13935</v>
      </c>
      <c r="AY1555" s="3" t="s">
        <v>13936</v>
      </c>
      <c r="AZ1555" s="3" t="s">
        <v>13937</v>
      </c>
      <c r="BA1555" s="3" t="s">
        <v>13937</v>
      </c>
      <c r="BB1555" s="3" t="s">
        <v>13938</v>
      </c>
      <c r="BC1555" s="3" t="s">
        <v>82</v>
      </c>
      <c r="BD1555" s="3" t="s">
        <v>70</v>
      </c>
      <c r="BE1555" s="3" t="s">
        <v>13939</v>
      </c>
      <c r="BF1555" s="3" t="s">
        <v>13938</v>
      </c>
      <c r="BG1555" s="3" t="s">
        <v>13940</v>
      </c>
    </row>
    <row r="1556" spans="1:59" ht="60" x14ac:dyDescent="0.25">
      <c r="A1556" s="2" t="s">
        <v>59</v>
      </c>
      <c r="B1556" s="2" t="s">
        <v>60</v>
      </c>
      <c r="C1556" s="2" t="s">
        <v>13929</v>
      </c>
      <c r="D1556" s="2" t="s">
        <v>13930</v>
      </c>
      <c r="E1556" s="2" t="s">
        <v>13931</v>
      </c>
      <c r="G1556" s="3" t="s">
        <v>63</v>
      </c>
      <c r="I1556" s="3" t="s">
        <v>62</v>
      </c>
      <c r="J1556" s="3" t="s">
        <v>63</v>
      </c>
      <c r="K1556" s="3" t="s">
        <v>64</v>
      </c>
      <c r="L1556" s="2" t="s">
        <v>13932</v>
      </c>
      <c r="M1556" s="2" t="s">
        <v>13933</v>
      </c>
      <c r="N1556" s="3" t="s">
        <v>247</v>
      </c>
      <c r="P1556" s="3" t="s">
        <v>66</v>
      </c>
      <c r="R1556" s="3" t="s">
        <v>67</v>
      </c>
      <c r="S1556" s="4">
        <v>29</v>
      </c>
      <c r="T1556" s="4">
        <v>58</v>
      </c>
      <c r="U1556" s="5" t="s">
        <v>8682</v>
      </c>
      <c r="V1556" s="5" t="s">
        <v>8682</v>
      </c>
      <c r="W1556" s="5" t="s">
        <v>69</v>
      </c>
      <c r="X1556" s="5" t="s">
        <v>69</v>
      </c>
      <c r="Y1556" s="4">
        <v>28</v>
      </c>
      <c r="Z1556" s="4">
        <v>11</v>
      </c>
      <c r="AA1556" s="4">
        <v>11</v>
      </c>
      <c r="AB1556" s="4">
        <v>1</v>
      </c>
      <c r="AC1556" s="4">
        <v>1</v>
      </c>
      <c r="AD1556" s="4">
        <v>16</v>
      </c>
      <c r="AE1556" s="4">
        <v>16</v>
      </c>
      <c r="AF1556" s="4">
        <v>0</v>
      </c>
      <c r="AG1556" s="4">
        <v>0</v>
      </c>
      <c r="AH1556" s="4">
        <v>12</v>
      </c>
      <c r="AI1556" s="4">
        <v>12</v>
      </c>
      <c r="AJ1556" s="4">
        <v>7</v>
      </c>
      <c r="AK1556" s="4">
        <v>7</v>
      </c>
      <c r="AL1556" s="4">
        <v>8</v>
      </c>
      <c r="AM1556" s="4">
        <v>8</v>
      </c>
      <c r="AN1556" s="4">
        <v>0</v>
      </c>
      <c r="AO1556" s="4">
        <v>0</v>
      </c>
      <c r="AP1556" s="4">
        <v>7</v>
      </c>
      <c r="AQ1556" s="4">
        <v>7</v>
      </c>
      <c r="AR1556" s="3" t="s">
        <v>63</v>
      </c>
      <c r="AS1556" s="3" t="s">
        <v>63</v>
      </c>
      <c r="AT1556" s="3" t="s">
        <v>62</v>
      </c>
      <c r="AU1556" s="6" t="str">
        <f>HYPERLINK("http://catalog.hathitrust.org/Record/007117504","HathiTrust Record")</f>
        <v>HathiTrust Record</v>
      </c>
      <c r="AV1556" s="6" t="str">
        <f>HYPERLINK("http://mcgill.on.worldcat.org/oclc/213793313","Catalog Record")</f>
        <v>Catalog Record</v>
      </c>
      <c r="AW1556" s="6" t="str">
        <f>HYPERLINK("http://www.worldcat.org/oclc/213793313","WorldCat Record")</f>
        <v>WorldCat Record</v>
      </c>
      <c r="AX1556" s="3" t="s">
        <v>13935</v>
      </c>
      <c r="AY1556" s="3" t="s">
        <v>13936</v>
      </c>
      <c r="AZ1556" s="3" t="s">
        <v>13937</v>
      </c>
      <c r="BA1556" s="3" t="s">
        <v>13937</v>
      </c>
      <c r="BB1556" s="3" t="s">
        <v>13941</v>
      </c>
      <c r="BC1556" s="3" t="s">
        <v>82</v>
      </c>
      <c r="BD1556" s="3" t="s">
        <v>70</v>
      </c>
      <c r="BE1556" s="3" t="s">
        <v>13939</v>
      </c>
      <c r="BF1556" s="3" t="s">
        <v>13941</v>
      </c>
      <c r="BG1556" s="3" t="s">
        <v>13942</v>
      </c>
    </row>
    <row r="1557" spans="1:59" ht="60" x14ac:dyDescent="0.25">
      <c r="A1557" s="2" t="s">
        <v>59</v>
      </c>
      <c r="B1557" s="2" t="s">
        <v>60</v>
      </c>
      <c r="C1557" s="2" t="s">
        <v>13943</v>
      </c>
      <c r="D1557" s="2" t="s">
        <v>13944</v>
      </c>
      <c r="E1557" s="2" t="s">
        <v>13945</v>
      </c>
      <c r="G1557" s="3" t="s">
        <v>63</v>
      </c>
      <c r="I1557" s="3" t="s">
        <v>62</v>
      </c>
      <c r="J1557" s="3" t="s">
        <v>63</v>
      </c>
      <c r="K1557" s="3" t="s">
        <v>64</v>
      </c>
      <c r="L1557" s="2" t="s">
        <v>13703</v>
      </c>
      <c r="M1557" s="2" t="s">
        <v>13946</v>
      </c>
      <c r="N1557" s="3" t="s">
        <v>1296</v>
      </c>
      <c r="P1557" s="3" t="s">
        <v>66</v>
      </c>
      <c r="R1557" s="3" t="s">
        <v>67</v>
      </c>
      <c r="S1557" s="4">
        <v>2</v>
      </c>
      <c r="T1557" s="4">
        <v>15</v>
      </c>
      <c r="U1557" s="5" t="s">
        <v>1173</v>
      </c>
      <c r="V1557" s="5" t="s">
        <v>1173</v>
      </c>
      <c r="W1557" s="5" t="s">
        <v>69</v>
      </c>
      <c r="X1557" s="5" t="s">
        <v>69</v>
      </c>
      <c r="Y1557" s="4">
        <v>651</v>
      </c>
      <c r="Z1557" s="4">
        <v>35</v>
      </c>
      <c r="AA1557" s="4">
        <v>65</v>
      </c>
      <c r="AB1557" s="4">
        <v>2</v>
      </c>
      <c r="AC1557" s="4">
        <v>7</v>
      </c>
      <c r="AD1557" s="4">
        <v>122</v>
      </c>
      <c r="AE1557" s="4">
        <v>131</v>
      </c>
      <c r="AF1557" s="4">
        <v>0</v>
      </c>
      <c r="AG1557" s="4">
        <v>1</v>
      </c>
      <c r="AH1557" s="4">
        <v>101</v>
      </c>
      <c r="AI1557" s="4">
        <v>107</v>
      </c>
      <c r="AJ1557" s="4">
        <v>19</v>
      </c>
      <c r="AK1557" s="4">
        <v>22</v>
      </c>
      <c r="AL1557" s="4">
        <v>59</v>
      </c>
      <c r="AM1557" s="4">
        <v>60</v>
      </c>
      <c r="AN1557" s="4">
        <v>0</v>
      </c>
      <c r="AO1557" s="4">
        <v>0</v>
      </c>
      <c r="AP1557" s="4">
        <v>26</v>
      </c>
      <c r="AQ1557" s="4">
        <v>32</v>
      </c>
      <c r="AR1557" s="3" t="s">
        <v>63</v>
      </c>
      <c r="AS1557" s="3" t="s">
        <v>63</v>
      </c>
      <c r="AT1557" s="3" t="s">
        <v>62</v>
      </c>
      <c r="AU1557" s="6" t="str">
        <f>HYPERLINK("http://catalog.hathitrust.org/Record/000980820","HathiTrust Record")</f>
        <v>HathiTrust Record</v>
      </c>
      <c r="AV1557" s="6" t="str">
        <f>HYPERLINK("http://mcgill.on.worldcat.org/oclc/36216","Catalog Record")</f>
        <v>Catalog Record</v>
      </c>
      <c r="AW1557" s="6" t="str">
        <f>HYPERLINK("http://www.worldcat.org/oclc/36216","WorldCat Record")</f>
        <v>WorldCat Record</v>
      </c>
      <c r="AX1557" s="3" t="s">
        <v>13947</v>
      </c>
      <c r="AY1557" s="3" t="s">
        <v>13948</v>
      </c>
      <c r="AZ1557" s="3" t="s">
        <v>13949</v>
      </c>
      <c r="BA1557" s="3" t="s">
        <v>13949</v>
      </c>
      <c r="BB1557" s="3" t="s">
        <v>13950</v>
      </c>
      <c r="BC1557" s="3" t="s">
        <v>82</v>
      </c>
      <c r="BD1557" s="3" t="s">
        <v>70</v>
      </c>
      <c r="BE1557" s="3" t="s">
        <v>13951</v>
      </c>
      <c r="BF1557" s="3" t="s">
        <v>13950</v>
      </c>
      <c r="BG1557" s="3" t="s">
        <v>13952</v>
      </c>
    </row>
    <row r="1558" spans="1:59" ht="60" x14ac:dyDescent="0.25">
      <c r="A1558" s="2" t="s">
        <v>59</v>
      </c>
      <c r="B1558" s="2" t="s">
        <v>60</v>
      </c>
      <c r="C1558" s="2" t="s">
        <v>13943</v>
      </c>
      <c r="D1558" s="2" t="s">
        <v>13944</v>
      </c>
      <c r="E1558" s="2" t="s">
        <v>13945</v>
      </c>
      <c r="G1558" s="3" t="s">
        <v>63</v>
      </c>
      <c r="I1558" s="3" t="s">
        <v>62</v>
      </c>
      <c r="J1558" s="3" t="s">
        <v>63</v>
      </c>
      <c r="K1558" s="3" t="s">
        <v>64</v>
      </c>
      <c r="L1558" s="2" t="s">
        <v>13703</v>
      </c>
      <c r="M1558" s="2" t="s">
        <v>13946</v>
      </c>
      <c r="N1558" s="3" t="s">
        <v>1296</v>
      </c>
      <c r="P1558" s="3" t="s">
        <v>66</v>
      </c>
      <c r="R1558" s="3" t="s">
        <v>67</v>
      </c>
      <c r="S1558" s="4">
        <v>13</v>
      </c>
      <c r="T1558" s="4">
        <v>15</v>
      </c>
      <c r="U1558" s="5" t="s">
        <v>13953</v>
      </c>
      <c r="V1558" s="5" t="s">
        <v>1173</v>
      </c>
      <c r="W1558" s="5" t="s">
        <v>69</v>
      </c>
      <c r="X1558" s="5" t="s">
        <v>69</v>
      </c>
      <c r="Y1558" s="4">
        <v>651</v>
      </c>
      <c r="Z1558" s="4">
        <v>35</v>
      </c>
      <c r="AA1558" s="4">
        <v>65</v>
      </c>
      <c r="AB1558" s="4">
        <v>2</v>
      </c>
      <c r="AC1558" s="4">
        <v>7</v>
      </c>
      <c r="AD1558" s="4">
        <v>122</v>
      </c>
      <c r="AE1558" s="4">
        <v>131</v>
      </c>
      <c r="AF1558" s="4">
        <v>0</v>
      </c>
      <c r="AG1558" s="4">
        <v>1</v>
      </c>
      <c r="AH1558" s="4">
        <v>101</v>
      </c>
      <c r="AI1558" s="4">
        <v>107</v>
      </c>
      <c r="AJ1558" s="4">
        <v>19</v>
      </c>
      <c r="AK1558" s="4">
        <v>22</v>
      </c>
      <c r="AL1558" s="4">
        <v>59</v>
      </c>
      <c r="AM1558" s="4">
        <v>60</v>
      </c>
      <c r="AN1558" s="4">
        <v>0</v>
      </c>
      <c r="AO1558" s="4">
        <v>0</v>
      </c>
      <c r="AP1558" s="4">
        <v>26</v>
      </c>
      <c r="AQ1558" s="4">
        <v>32</v>
      </c>
      <c r="AR1558" s="3" t="s">
        <v>63</v>
      </c>
      <c r="AS1558" s="3" t="s">
        <v>63</v>
      </c>
      <c r="AT1558" s="3" t="s">
        <v>62</v>
      </c>
      <c r="AU1558" s="6" t="str">
        <f>HYPERLINK("http://catalog.hathitrust.org/Record/000980820","HathiTrust Record")</f>
        <v>HathiTrust Record</v>
      </c>
      <c r="AV1558" s="6" t="str">
        <f>HYPERLINK("http://mcgill.on.worldcat.org/oclc/36216","Catalog Record")</f>
        <v>Catalog Record</v>
      </c>
      <c r="AW1558" s="6" t="str">
        <f>HYPERLINK("http://www.worldcat.org/oclc/36216","WorldCat Record")</f>
        <v>WorldCat Record</v>
      </c>
      <c r="AX1558" s="3" t="s">
        <v>13947</v>
      </c>
      <c r="AY1558" s="3" t="s">
        <v>13948</v>
      </c>
      <c r="AZ1558" s="3" t="s">
        <v>13949</v>
      </c>
      <c r="BA1558" s="3" t="s">
        <v>13949</v>
      </c>
      <c r="BB1558" s="3" t="s">
        <v>13954</v>
      </c>
      <c r="BC1558" s="3" t="s">
        <v>82</v>
      </c>
      <c r="BD1558" s="3" t="s">
        <v>70</v>
      </c>
      <c r="BE1558" s="3" t="s">
        <v>13951</v>
      </c>
      <c r="BF1558" s="3" t="s">
        <v>13954</v>
      </c>
      <c r="BG1558" s="3" t="s">
        <v>13955</v>
      </c>
    </row>
    <row r="1559" spans="1:59" ht="60" x14ac:dyDescent="0.25">
      <c r="A1559" s="2" t="s">
        <v>59</v>
      </c>
      <c r="B1559" s="2" t="s">
        <v>60</v>
      </c>
      <c r="C1559" s="2" t="s">
        <v>13956</v>
      </c>
      <c r="D1559" s="2" t="s">
        <v>13957</v>
      </c>
      <c r="E1559" s="2" t="s">
        <v>13958</v>
      </c>
      <c r="G1559" s="3" t="s">
        <v>63</v>
      </c>
      <c r="I1559" s="3" t="s">
        <v>63</v>
      </c>
      <c r="J1559" s="3" t="s">
        <v>63</v>
      </c>
      <c r="K1559" s="3" t="s">
        <v>64</v>
      </c>
      <c r="L1559" s="2" t="s">
        <v>13703</v>
      </c>
      <c r="M1559" s="2" t="s">
        <v>13959</v>
      </c>
      <c r="N1559" s="3" t="s">
        <v>1113</v>
      </c>
      <c r="P1559" s="3" t="s">
        <v>90</v>
      </c>
      <c r="Q1559" s="2" t="s">
        <v>2556</v>
      </c>
      <c r="R1559" s="3" t="s">
        <v>67</v>
      </c>
      <c r="S1559" s="4">
        <v>3</v>
      </c>
      <c r="T1559" s="4">
        <v>3</v>
      </c>
      <c r="U1559" s="5" t="s">
        <v>6758</v>
      </c>
      <c r="V1559" s="5" t="s">
        <v>6758</v>
      </c>
      <c r="W1559" s="5" t="s">
        <v>69</v>
      </c>
      <c r="X1559" s="5" t="s">
        <v>69</v>
      </c>
      <c r="Y1559" s="4">
        <v>64</v>
      </c>
      <c r="Z1559" s="4">
        <v>6</v>
      </c>
      <c r="AA1559" s="4">
        <v>18</v>
      </c>
      <c r="AB1559" s="4">
        <v>1</v>
      </c>
      <c r="AC1559" s="4">
        <v>3</v>
      </c>
      <c r="AD1559" s="4">
        <v>36</v>
      </c>
      <c r="AE1559" s="4">
        <v>76</v>
      </c>
      <c r="AF1559" s="4">
        <v>0</v>
      </c>
      <c r="AG1559" s="4">
        <v>1</v>
      </c>
      <c r="AH1559" s="4">
        <v>35</v>
      </c>
      <c r="AI1559" s="4">
        <v>67</v>
      </c>
      <c r="AJ1559" s="4">
        <v>5</v>
      </c>
      <c r="AK1559" s="4">
        <v>13</v>
      </c>
      <c r="AL1559" s="4">
        <v>23</v>
      </c>
      <c r="AM1559" s="4">
        <v>44</v>
      </c>
      <c r="AN1559" s="4">
        <v>0</v>
      </c>
      <c r="AO1559" s="4">
        <v>0</v>
      </c>
      <c r="AP1559" s="4">
        <v>5</v>
      </c>
      <c r="AQ1559" s="4">
        <v>13</v>
      </c>
      <c r="AR1559" s="3" t="s">
        <v>63</v>
      </c>
      <c r="AS1559" s="3" t="s">
        <v>63</v>
      </c>
      <c r="AT1559" s="3" t="s">
        <v>63</v>
      </c>
      <c r="AV1559" s="6" t="str">
        <f>HYPERLINK("http://mcgill.on.worldcat.org/oclc/38302912","Catalog Record")</f>
        <v>Catalog Record</v>
      </c>
      <c r="AW1559" s="6" t="str">
        <f>HYPERLINK("http://www.worldcat.org/oclc/38302912","WorldCat Record")</f>
        <v>WorldCat Record</v>
      </c>
      <c r="AX1559" s="3" t="s">
        <v>13960</v>
      </c>
      <c r="AY1559" s="3" t="s">
        <v>13961</v>
      </c>
      <c r="AZ1559" s="3" t="s">
        <v>13962</v>
      </c>
      <c r="BA1559" s="3" t="s">
        <v>13962</v>
      </c>
      <c r="BB1559" s="3" t="s">
        <v>13963</v>
      </c>
      <c r="BC1559" s="3" t="s">
        <v>82</v>
      </c>
      <c r="BD1559" s="3" t="s">
        <v>70</v>
      </c>
      <c r="BE1559" s="3" t="s">
        <v>13964</v>
      </c>
      <c r="BF1559" s="3" t="s">
        <v>13963</v>
      </c>
      <c r="BG1559" s="3" t="s">
        <v>13965</v>
      </c>
    </row>
    <row r="1560" spans="1:59" ht="60" x14ac:dyDescent="0.25">
      <c r="A1560" s="2" t="s">
        <v>59</v>
      </c>
      <c r="B1560" s="2" t="s">
        <v>60</v>
      </c>
      <c r="C1560" s="2" t="s">
        <v>13966</v>
      </c>
      <c r="D1560" s="2" t="s">
        <v>13967</v>
      </c>
      <c r="E1560" s="2" t="s">
        <v>13968</v>
      </c>
      <c r="G1560" s="3" t="s">
        <v>63</v>
      </c>
      <c r="I1560" s="3" t="s">
        <v>63</v>
      </c>
      <c r="J1560" s="3" t="s">
        <v>63</v>
      </c>
      <c r="K1560" s="3" t="s">
        <v>64</v>
      </c>
      <c r="L1560" s="2" t="s">
        <v>13703</v>
      </c>
      <c r="M1560" s="2" t="s">
        <v>13969</v>
      </c>
      <c r="N1560" s="3" t="s">
        <v>1046</v>
      </c>
      <c r="P1560" s="3" t="s">
        <v>66</v>
      </c>
      <c r="Q1560" s="2" t="s">
        <v>13970</v>
      </c>
      <c r="R1560" s="3" t="s">
        <v>67</v>
      </c>
      <c r="S1560" s="4">
        <v>34</v>
      </c>
      <c r="T1560" s="4">
        <v>34</v>
      </c>
      <c r="U1560" s="5" t="s">
        <v>13971</v>
      </c>
      <c r="V1560" s="5" t="s">
        <v>13971</v>
      </c>
      <c r="W1560" s="5" t="s">
        <v>69</v>
      </c>
      <c r="X1560" s="5" t="s">
        <v>69</v>
      </c>
      <c r="Y1560" s="4">
        <v>405</v>
      </c>
      <c r="Z1560" s="4">
        <v>17</v>
      </c>
      <c r="AA1560" s="4">
        <v>22</v>
      </c>
      <c r="AB1560" s="4">
        <v>3</v>
      </c>
      <c r="AC1560" s="4">
        <v>3</v>
      </c>
      <c r="AD1560" s="4">
        <v>46</v>
      </c>
      <c r="AE1560" s="4">
        <v>52</v>
      </c>
      <c r="AF1560" s="4">
        <v>1</v>
      </c>
      <c r="AG1560" s="4">
        <v>1</v>
      </c>
      <c r="AH1560" s="4">
        <v>38</v>
      </c>
      <c r="AI1560" s="4">
        <v>42</v>
      </c>
      <c r="AJ1560" s="4">
        <v>8</v>
      </c>
      <c r="AK1560" s="4">
        <v>9</v>
      </c>
      <c r="AL1560" s="4">
        <v>22</v>
      </c>
      <c r="AM1560" s="4">
        <v>24</v>
      </c>
      <c r="AN1560" s="4">
        <v>0</v>
      </c>
      <c r="AO1560" s="4">
        <v>0</v>
      </c>
      <c r="AP1560" s="4">
        <v>10</v>
      </c>
      <c r="AQ1560" s="4">
        <v>13</v>
      </c>
      <c r="AR1560" s="3" t="s">
        <v>63</v>
      </c>
      <c r="AS1560" s="3" t="s">
        <v>63</v>
      </c>
      <c r="AT1560" s="3" t="s">
        <v>62</v>
      </c>
      <c r="AU1560" s="6" t="str">
        <f>HYPERLINK("http://catalog.hathitrust.org/Record/000980819","HathiTrust Record")</f>
        <v>HathiTrust Record</v>
      </c>
      <c r="AV1560" s="6" t="str">
        <f>HYPERLINK("http://mcgill.on.worldcat.org/oclc/3998766","Catalog Record")</f>
        <v>Catalog Record</v>
      </c>
      <c r="AW1560" s="6" t="str">
        <f>HYPERLINK("http://www.worldcat.org/oclc/3998766","WorldCat Record")</f>
        <v>WorldCat Record</v>
      </c>
      <c r="AX1560" s="3" t="s">
        <v>13972</v>
      </c>
      <c r="AY1560" s="3" t="s">
        <v>13973</v>
      </c>
      <c r="AZ1560" s="3" t="s">
        <v>13974</v>
      </c>
      <c r="BA1560" s="3" t="s">
        <v>13974</v>
      </c>
      <c r="BB1560" s="3" t="s">
        <v>13975</v>
      </c>
      <c r="BC1560" s="3" t="s">
        <v>82</v>
      </c>
      <c r="BD1560" s="3" t="s">
        <v>70</v>
      </c>
      <c r="BF1560" s="3" t="s">
        <v>13975</v>
      </c>
      <c r="BG1560" s="3" t="s">
        <v>13976</v>
      </c>
    </row>
    <row r="1561" spans="1:59" ht="60" x14ac:dyDescent="0.25">
      <c r="A1561" s="2" t="s">
        <v>59</v>
      </c>
      <c r="B1561" s="2" t="s">
        <v>60</v>
      </c>
      <c r="C1561" s="2" t="s">
        <v>13977</v>
      </c>
      <c r="D1561" s="2" t="s">
        <v>13978</v>
      </c>
      <c r="E1561" s="2" t="s">
        <v>13979</v>
      </c>
      <c r="G1561" s="3" t="s">
        <v>63</v>
      </c>
      <c r="I1561" s="3" t="s">
        <v>63</v>
      </c>
      <c r="J1561" s="3" t="s">
        <v>62</v>
      </c>
      <c r="K1561" s="3" t="s">
        <v>64</v>
      </c>
      <c r="L1561" s="2" t="s">
        <v>13741</v>
      </c>
      <c r="M1561" s="2" t="s">
        <v>13980</v>
      </c>
      <c r="N1561" s="3" t="s">
        <v>2225</v>
      </c>
      <c r="P1561" s="3" t="s">
        <v>66</v>
      </c>
      <c r="Q1561" s="2" t="s">
        <v>13981</v>
      </c>
      <c r="R1561" s="3" t="s">
        <v>67</v>
      </c>
      <c r="S1561" s="4">
        <v>51</v>
      </c>
      <c r="T1561" s="4">
        <v>51</v>
      </c>
      <c r="U1561" s="5" t="s">
        <v>13982</v>
      </c>
      <c r="V1561" s="5" t="s">
        <v>13982</v>
      </c>
      <c r="W1561" s="5" t="s">
        <v>69</v>
      </c>
      <c r="X1561" s="5" t="s">
        <v>69</v>
      </c>
      <c r="Y1561" s="4">
        <v>585</v>
      </c>
      <c r="Z1561" s="4">
        <v>34</v>
      </c>
      <c r="AA1561" s="4">
        <v>64</v>
      </c>
      <c r="AB1561" s="4">
        <v>3</v>
      </c>
      <c r="AC1561" s="4">
        <v>6</v>
      </c>
      <c r="AD1561" s="4">
        <v>75</v>
      </c>
      <c r="AE1561" s="4">
        <v>129</v>
      </c>
      <c r="AF1561" s="4">
        <v>1</v>
      </c>
      <c r="AG1561" s="4">
        <v>2</v>
      </c>
      <c r="AH1561" s="4">
        <v>62</v>
      </c>
      <c r="AI1561" s="4">
        <v>101</v>
      </c>
      <c r="AJ1561" s="4">
        <v>14</v>
      </c>
      <c r="AK1561" s="4">
        <v>21</v>
      </c>
      <c r="AL1561" s="4">
        <v>36</v>
      </c>
      <c r="AM1561" s="4">
        <v>56</v>
      </c>
      <c r="AN1561" s="4">
        <v>0</v>
      </c>
      <c r="AO1561" s="4">
        <v>10</v>
      </c>
      <c r="AP1561" s="4">
        <v>17</v>
      </c>
      <c r="AQ1561" s="4">
        <v>31</v>
      </c>
      <c r="AR1561" s="3" t="s">
        <v>63</v>
      </c>
      <c r="AS1561" s="3" t="s">
        <v>63</v>
      </c>
      <c r="AT1561" s="3" t="s">
        <v>63</v>
      </c>
      <c r="AV1561" s="6" t="str">
        <f>HYPERLINK("http://mcgill.on.worldcat.org/oclc/6205281","Catalog Record")</f>
        <v>Catalog Record</v>
      </c>
      <c r="AW1561" s="6" t="str">
        <f>HYPERLINK("http://www.worldcat.org/oclc/6205281","WorldCat Record")</f>
        <v>WorldCat Record</v>
      </c>
      <c r="AX1561" s="3" t="s">
        <v>13983</v>
      </c>
      <c r="AY1561" s="3" t="s">
        <v>13984</v>
      </c>
      <c r="AZ1561" s="3" t="s">
        <v>13985</v>
      </c>
      <c r="BA1561" s="3" t="s">
        <v>13985</v>
      </c>
      <c r="BB1561" s="3" t="s">
        <v>13986</v>
      </c>
      <c r="BC1561" s="3" t="s">
        <v>82</v>
      </c>
      <c r="BD1561" s="3" t="s">
        <v>70</v>
      </c>
      <c r="BE1561" s="3" t="s">
        <v>13987</v>
      </c>
      <c r="BF1561" s="3" t="s">
        <v>13986</v>
      </c>
      <c r="BG1561" s="3" t="s">
        <v>13988</v>
      </c>
    </row>
    <row r="1562" spans="1:59" ht="60" x14ac:dyDescent="0.25">
      <c r="A1562" s="2" t="s">
        <v>59</v>
      </c>
      <c r="B1562" s="2" t="s">
        <v>60</v>
      </c>
      <c r="C1562" s="2" t="s">
        <v>13989</v>
      </c>
      <c r="D1562" s="2" t="s">
        <v>13990</v>
      </c>
      <c r="E1562" s="2" t="s">
        <v>13991</v>
      </c>
      <c r="G1562" s="3" t="s">
        <v>63</v>
      </c>
      <c r="I1562" s="3" t="s">
        <v>63</v>
      </c>
      <c r="J1562" s="3" t="s">
        <v>62</v>
      </c>
      <c r="K1562" s="3" t="s">
        <v>64</v>
      </c>
      <c r="M1562" s="2" t="s">
        <v>13992</v>
      </c>
      <c r="N1562" s="3" t="s">
        <v>743</v>
      </c>
      <c r="P1562" s="3" t="s">
        <v>66</v>
      </c>
      <c r="Q1562" s="2" t="s">
        <v>9341</v>
      </c>
      <c r="R1562" s="3" t="s">
        <v>67</v>
      </c>
      <c r="S1562" s="4">
        <v>66</v>
      </c>
      <c r="T1562" s="4">
        <v>66</v>
      </c>
      <c r="U1562" s="5" t="s">
        <v>550</v>
      </c>
      <c r="V1562" s="5" t="s">
        <v>550</v>
      </c>
      <c r="W1562" s="5" t="s">
        <v>69</v>
      </c>
      <c r="X1562" s="5" t="s">
        <v>69</v>
      </c>
      <c r="Y1562" s="4">
        <v>567</v>
      </c>
      <c r="Z1562" s="4">
        <v>19</v>
      </c>
      <c r="AA1562" s="4">
        <v>43</v>
      </c>
      <c r="AB1562" s="4">
        <v>1</v>
      </c>
      <c r="AC1562" s="4">
        <v>3</v>
      </c>
      <c r="AD1562" s="4">
        <v>57</v>
      </c>
      <c r="AE1562" s="4">
        <v>115</v>
      </c>
      <c r="AF1562" s="4">
        <v>0</v>
      </c>
      <c r="AG1562" s="4">
        <v>1</v>
      </c>
      <c r="AH1562" s="4">
        <v>48</v>
      </c>
      <c r="AI1562" s="4">
        <v>94</v>
      </c>
      <c r="AJ1562" s="4">
        <v>10</v>
      </c>
      <c r="AK1562" s="4">
        <v>17</v>
      </c>
      <c r="AL1562" s="4">
        <v>29</v>
      </c>
      <c r="AM1562" s="4">
        <v>57</v>
      </c>
      <c r="AN1562" s="4">
        <v>0</v>
      </c>
      <c r="AO1562" s="4">
        <v>0</v>
      </c>
      <c r="AP1562" s="4">
        <v>13</v>
      </c>
      <c r="AQ1562" s="4">
        <v>24</v>
      </c>
      <c r="AR1562" s="3" t="s">
        <v>63</v>
      </c>
      <c r="AS1562" s="3" t="s">
        <v>63</v>
      </c>
      <c r="AT1562" s="3" t="s">
        <v>63</v>
      </c>
      <c r="AV1562" s="6" t="str">
        <f>HYPERLINK("http://mcgill.on.worldcat.org/oclc/605933","Catalog Record")</f>
        <v>Catalog Record</v>
      </c>
      <c r="AW1562" s="6" t="str">
        <f>HYPERLINK("http://www.worldcat.org/oclc/605933","WorldCat Record")</f>
        <v>WorldCat Record</v>
      </c>
      <c r="AX1562" s="3" t="s">
        <v>13993</v>
      </c>
      <c r="AY1562" s="3" t="s">
        <v>13994</v>
      </c>
      <c r="AZ1562" s="3" t="s">
        <v>13995</v>
      </c>
      <c r="BA1562" s="3" t="s">
        <v>13995</v>
      </c>
      <c r="BB1562" s="3" t="s">
        <v>13996</v>
      </c>
      <c r="BC1562" s="3" t="s">
        <v>82</v>
      </c>
      <c r="BD1562" s="3" t="s">
        <v>70</v>
      </c>
      <c r="BE1562" s="3" t="s">
        <v>13997</v>
      </c>
      <c r="BF1562" s="3" t="s">
        <v>13996</v>
      </c>
      <c r="BG1562" s="3" t="s">
        <v>13998</v>
      </c>
    </row>
    <row r="1563" spans="1:59" ht="60" x14ac:dyDescent="0.25">
      <c r="A1563" s="2" t="s">
        <v>59</v>
      </c>
      <c r="B1563" s="2" t="s">
        <v>60</v>
      </c>
      <c r="C1563" s="2" t="s">
        <v>13999</v>
      </c>
      <c r="D1563" s="2" t="s">
        <v>14000</v>
      </c>
      <c r="E1563" s="2" t="s">
        <v>14001</v>
      </c>
      <c r="G1563" s="3" t="s">
        <v>63</v>
      </c>
      <c r="I1563" s="3" t="s">
        <v>63</v>
      </c>
      <c r="J1563" s="3" t="s">
        <v>62</v>
      </c>
      <c r="K1563" s="3" t="s">
        <v>64</v>
      </c>
      <c r="L1563" s="2" t="s">
        <v>13703</v>
      </c>
      <c r="M1563" s="2" t="s">
        <v>14002</v>
      </c>
      <c r="N1563" s="3" t="s">
        <v>849</v>
      </c>
      <c r="P1563" s="3" t="s">
        <v>66</v>
      </c>
      <c r="R1563" s="3" t="s">
        <v>67</v>
      </c>
      <c r="S1563" s="4">
        <v>65</v>
      </c>
      <c r="T1563" s="4">
        <v>65</v>
      </c>
      <c r="U1563" s="5" t="s">
        <v>14003</v>
      </c>
      <c r="V1563" s="5" t="s">
        <v>14003</v>
      </c>
      <c r="W1563" s="5" t="s">
        <v>69</v>
      </c>
      <c r="X1563" s="5" t="s">
        <v>69</v>
      </c>
      <c r="Y1563" s="4">
        <v>231</v>
      </c>
      <c r="Z1563" s="4">
        <v>7</v>
      </c>
      <c r="AA1563" s="4">
        <v>64</v>
      </c>
      <c r="AB1563" s="4">
        <v>1</v>
      </c>
      <c r="AC1563" s="4">
        <v>6</v>
      </c>
      <c r="AD1563" s="4">
        <v>23</v>
      </c>
      <c r="AE1563" s="4">
        <v>129</v>
      </c>
      <c r="AF1563" s="4">
        <v>0</v>
      </c>
      <c r="AG1563" s="4">
        <v>2</v>
      </c>
      <c r="AH1563" s="4">
        <v>22</v>
      </c>
      <c r="AI1563" s="4">
        <v>101</v>
      </c>
      <c r="AJ1563" s="4">
        <v>0</v>
      </c>
      <c r="AK1563" s="4">
        <v>21</v>
      </c>
      <c r="AL1563" s="4">
        <v>13</v>
      </c>
      <c r="AM1563" s="4">
        <v>56</v>
      </c>
      <c r="AN1563" s="4">
        <v>5</v>
      </c>
      <c r="AO1563" s="4">
        <v>10</v>
      </c>
      <c r="AP1563" s="4">
        <v>0</v>
      </c>
      <c r="AQ1563" s="4">
        <v>31</v>
      </c>
      <c r="AR1563" s="3" t="s">
        <v>63</v>
      </c>
      <c r="AS1563" s="3" t="s">
        <v>63</v>
      </c>
      <c r="AT1563" s="3" t="s">
        <v>62</v>
      </c>
      <c r="AU1563" s="6" t="str">
        <f>HYPERLINK("http://catalog.hathitrust.org/Record/101958602","HathiTrust Record")</f>
        <v>HathiTrust Record</v>
      </c>
      <c r="AV1563" s="6" t="str">
        <f>HYPERLINK("http://mcgill.on.worldcat.org/oclc/5196831","Catalog Record")</f>
        <v>Catalog Record</v>
      </c>
      <c r="AW1563" s="6" t="str">
        <f>HYPERLINK("http://www.worldcat.org/oclc/5196831","WorldCat Record")</f>
        <v>WorldCat Record</v>
      </c>
      <c r="AX1563" s="3" t="s">
        <v>13983</v>
      </c>
      <c r="AY1563" s="3" t="s">
        <v>14004</v>
      </c>
      <c r="AZ1563" s="3" t="s">
        <v>14005</v>
      </c>
      <c r="BA1563" s="3" t="s">
        <v>14005</v>
      </c>
      <c r="BB1563" s="3" t="s">
        <v>14006</v>
      </c>
      <c r="BC1563" s="3" t="s">
        <v>82</v>
      </c>
      <c r="BD1563" s="3" t="s">
        <v>70</v>
      </c>
      <c r="BE1563" s="3" t="s">
        <v>14007</v>
      </c>
      <c r="BF1563" s="3" t="s">
        <v>14006</v>
      </c>
      <c r="BG1563" s="3" t="s">
        <v>14008</v>
      </c>
    </row>
    <row r="1564" spans="1:59" ht="60" x14ac:dyDescent="0.25">
      <c r="A1564" s="2" t="s">
        <v>59</v>
      </c>
      <c r="B1564" s="2" t="s">
        <v>60</v>
      </c>
      <c r="C1564" s="2" t="s">
        <v>14009</v>
      </c>
      <c r="D1564" s="2" t="s">
        <v>14010</v>
      </c>
      <c r="E1564" s="2" t="s">
        <v>14011</v>
      </c>
      <c r="G1564" s="3" t="s">
        <v>63</v>
      </c>
      <c r="I1564" s="3" t="s">
        <v>63</v>
      </c>
      <c r="J1564" s="3" t="s">
        <v>63</v>
      </c>
      <c r="K1564" s="3" t="s">
        <v>64</v>
      </c>
      <c r="L1564" s="2" t="s">
        <v>13703</v>
      </c>
      <c r="M1564" s="2" t="s">
        <v>8784</v>
      </c>
      <c r="N1564" s="3" t="s">
        <v>1023</v>
      </c>
      <c r="P1564" s="3" t="s">
        <v>66</v>
      </c>
      <c r="Q1564" s="2" t="s">
        <v>11968</v>
      </c>
      <c r="R1564" s="3" t="s">
        <v>67</v>
      </c>
      <c r="S1564" s="4">
        <v>43</v>
      </c>
      <c r="T1564" s="4">
        <v>43</v>
      </c>
      <c r="U1564" s="5" t="s">
        <v>10861</v>
      </c>
      <c r="V1564" s="5" t="s">
        <v>10861</v>
      </c>
      <c r="W1564" s="5" t="s">
        <v>69</v>
      </c>
      <c r="X1564" s="5" t="s">
        <v>69</v>
      </c>
      <c r="Y1564" s="4">
        <v>96</v>
      </c>
      <c r="Z1564" s="4">
        <v>1</v>
      </c>
      <c r="AA1564" s="4">
        <v>1</v>
      </c>
      <c r="AB1564" s="4">
        <v>1</v>
      </c>
      <c r="AC1564" s="4">
        <v>1</v>
      </c>
      <c r="AD1564" s="4">
        <v>34</v>
      </c>
      <c r="AE1564" s="4">
        <v>34</v>
      </c>
      <c r="AF1564" s="4">
        <v>0</v>
      </c>
      <c r="AG1564" s="4">
        <v>0</v>
      </c>
      <c r="AH1564" s="4">
        <v>34</v>
      </c>
      <c r="AI1564" s="4">
        <v>34</v>
      </c>
      <c r="AJ1564" s="4">
        <v>0</v>
      </c>
      <c r="AK1564" s="4">
        <v>0</v>
      </c>
      <c r="AL1564" s="4">
        <v>26</v>
      </c>
      <c r="AM1564" s="4">
        <v>26</v>
      </c>
      <c r="AN1564" s="4">
        <v>0</v>
      </c>
      <c r="AO1564" s="4">
        <v>0</v>
      </c>
      <c r="AP1564" s="4">
        <v>0</v>
      </c>
      <c r="AQ1564" s="4">
        <v>0</v>
      </c>
      <c r="AR1564" s="3" t="s">
        <v>63</v>
      </c>
      <c r="AS1564" s="3" t="s">
        <v>63</v>
      </c>
      <c r="AT1564" s="3" t="s">
        <v>63</v>
      </c>
      <c r="AV1564" s="6" t="str">
        <f>HYPERLINK("http://mcgill.on.worldcat.org/oclc/29598702","Catalog Record")</f>
        <v>Catalog Record</v>
      </c>
      <c r="AW1564" s="6" t="str">
        <f>HYPERLINK("http://www.worldcat.org/oclc/29598702","WorldCat Record")</f>
        <v>WorldCat Record</v>
      </c>
      <c r="AX1564" s="3" t="s">
        <v>14012</v>
      </c>
      <c r="AY1564" s="3" t="s">
        <v>14013</v>
      </c>
      <c r="AZ1564" s="3" t="s">
        <v>14014</v>
      </c>
      <c r="BA1564" s="3" t="s">
        <v>14014</v>
      </c>
      <c r="BB1564" s="3" t="s">
        <v>14015</v>
      </c>
      <c r="BC1564" s="3" t="s">
        <v>82</v>
      </c>
      <c r="BD1564" s="3" t="s">
        <v>70</v>
      </c>
      <c r="BE1564" s="3" t="s">
        <v>14016</v>
      </c>
      <c r="BF1564" s="3" t="s">
        <v>14015</v>
      </c>
      <c r="BG1564" s="3" t="s">
        <v>14017</v>
      </c>
    </row>
    <row r="1565" spans="1:59" ht="75" x14ac:dyDescent="0.25">
      <c r="A1565" s="2" t="s">
        <v>59</v>
      </c>
      <c r="B1565" s="2" t="s">
        <v>60</v>
      </c>
      <c r="C1565" s="2" t="s">
        <v>14018</v>
      </c>
      <c r="D1565" s="2" t="s">
        <v>14019</v>
      </c>
      <c r="E1565" s="2" t="s">
        <v>14020</v>
      </c>
      <c r="G1565" s="3" t="s">
        <v>63</v>
      </c>
      <c r="I1565" s="3" t="s">
        <v>63</v>
      </c>
      <c r="J1565" s="3" t="s">
        <v>63</v>
      </c>
      <c r="K1565" s="3" t="s">
        <v>64</v>
      </c>
      <c r="L1565" s="2" t="s">
        <v>13741</v>
      </c>
      <c r="M1565" s="2" t="s">
        <v>14021</v>
      </c>
      <c r="N1565" s="3" t="s">
        <v>374</v>
      </c>
      <c r="P1565" s="3" t="s">
        <v>66</v>
      </c>
      <c r="Q1565" s="2" t="s">
        <v>11721</v>
      </c>
      <c r="R1565" s="3" t="s">
        <v>67</v>
      </c>
      <c r="S1565" s="4">
        <v>77</v>
      </c>
      <c r="T1565" s="4">
        <v>77</v>
      </c>
      <c r="U1565" s="5" t="s">
        <v>14022</v>
      </c>
      <c r="V1565" s="5" t="s">
        <v>14022</v>
      </c>
      <c r="W1565" s="5" t="s">
        <v>69</v>
      </c>
      <c r="X1565" s="5" t="s">
        <v>69</v>
      </c>
      <c r="Y1565" s="4">
        <v>239</v>
      </c>
      <c r="Z1565" s="4">
        <v>11</v>
      </c>
      <c r="AA1565" s="4">
        <v>13</v>
      </c>
      <c r="AB1565" s="4">
        <v>2</v>
      </c>
      <c r="AC1565" s="4">
        <v>2</v>
      </c>
      <c r="AD1565" s="4">
        <v>70</v>
      </c>
      <c r="AE1565" s="4">
        <v>76</v>
      </c>
      <c r="AF1565" s="4">
        <v>1</v>
      </c>
      <c r="AG1565" s="4">
        <v>1</v>
      </c>
      <c r="AH1565" s="4">
        <v>62</v>
      </c>
      <c r="AI1565" s="4">
        <v>68</v>
      </c>
      <c r="AJ1565" s="4">
        <v>6</v>
      </c>
      <c r="AK1565" s="4">
        <v>7</v>
      </c>
      <c r="AL1565" s="4">
        <v>46</v>
      </c>
      <c r="AM1565" s="4">
        <v>48</v>
      </c>
      <c r="AN1565" s="4">
        <v>0</v>
      </c>
      <c r="AO1565" s="4">
        <v>0</v>
      </c>
      <c r="AP1565" s="4">
        <v>7</v>
      </c>
      <c r="AQ1565" s="4">
        <v>8</v>
      </c>
      <c r="AR1565" s="3" t="s">
        <v>63</v>
      </c>
      <c r="AS1565" s="3" t="s">
        <v>63</v>
      </c>
      <c r="AT1565" s="3" t="s">
        <v>63</v>
      </c>
      <c r="AV1565" s="6" t="str">
        <f>HYPERLINK("http://mcgill.on.worldcat.org/oclc/32665661","Catalog Record")</f>
        <v>Catalog Record</v>
      </c>
      <c r="AW1565" s="6" t="str">
        <f>HYPERLINK("http://www.worldcat.org/oclc/32665661","WorldCat Record")</f>
        <v>WorldCat Record</v>
      </c>
      <c r="AX1565" s="3" t="s">
        <v>14023</v>
      </c>
      <c r="AY1565" s="3" t="s">
        <v>14024</v>
      </c>
      <c r="AZ1565" s="3" t="s">
        <v>14025</v>
      </c>
      <c r="BA1565" s="3" t="s">
        <v>14025</v>
      </c>
      <c r="BB1565" s="3" t="s">
        <v>14026</v>
      </c>
      <c r="BC1565" s="3" t="s">
        <v>82</v>
      </c>
      <c r="BD1565" s="3" t="s">
        <v>70</v>
      </c>
      <c r="BE1565" s="3" t="s">
        <v>14027</v>
      </c>
      <c r="BF1565" s="3" t="s">
        <v>14026</v>
      </c>
      <c r="BG1565" s="3" t="s">
        <v>14028</v>
      </c>
    </row>
    <row r="1566" spans="1:59" ht="60" x14ac:dyDescent="0.25">
      <c r="A1566" s="2" t="s">
        <v>59</v>
      </c>
      <c r="B1566" s="2" t="s">
        <v>60</v>
      </c>
      <c r="C1566" s="2" t="s">
        <v>14029</v>
      </c>
      <c r="D1566" s="2" t="s">
        <v>14030</v>
      </c>
      <c r="E1566" s="2" t="s">
        <v>14031</v>
      </c>
      <c r="G1566" s="3" t="s">
        <v>63</v>
      </c>
      <c r="I1566" s="3" t="s">
        <v>63</v>
      </c>
      <c r="J1566" s="3" t="s">
        <v>63</v>
      </c>
      <c r="K1566" s="3" t="s">
        <v>64</v>
      </c>
      <c r="L1566" s="2" t="s">
        <v>13703</v>
      </c>
      <c r="M1566" s="2" t="s">
        <v>14032</v>
      </c>
      <c r="N1566" s="3" t="s">
        <v>176</v>
      </c>
      <c r="O1566" s="2" t="s">
        <v>590</v>
      </c>
      <c r="P1566" s="3" t="s">
        <v>66</v>
      </c>
      <c r="R1566" s="3" t="s">
        <v>67</v>
      </c>
      <c r="S1566" s="4">
        <v>89</v>
      </c>
      <c r="T1566" s="4">
        <v>89</v>
      </c>
      <c r="U1566" s="5" t="s">
        <v>14033</v>
      </c>
      <c r="V1566" s="5" t="s">
        <v>14033</v>
      </c>
      <c r="W1566" s="5" t="s">
        <v>69</v>
      </c>
      <c r="X1566" s="5" t="s">
        <v>69</v>
      </c>
      <c r="Y1566" s="4">
        <v>427</v>
      </c>
      <c r="Z1566" s="4">
        <v>16</v>
      </c>
      <c r="AA1566" s="4">
        <v>25</v>
      </c>
      <c r="AB1566" s="4">
        <v>1</v>
      </c>
      <c r="AC1566" s="4">
        <v>4</v>
      </c>
      <c r="AD1566" s="4">
        <v>85</v>
      </c>
      <c r="AE1566" s="4">
        <v>96</v>
      </c>
      <c r="AF1566" s="4">
        <v>0</v>
      </c>
      <c r="AG1566" s="4">
        <v>0</v>
      </c>
      <c r="AH1566" s="4">
        <v>78</v>
      </c>
      <c r="AI1566" s="4">
        <v>88</v>
      </c>
      <c r="AJ1566" s="4">
        <v>9</v>
      </c>
      <c r="AK1566" s="4">
        <v>10</v>
      </c>
      <c r="AL1566" s="4">
        <v>46</v>
      </c>
      <c r="AM1566" s="4">
        <v>52</v>
      </c>
      <c r="AN1566" s="4">
        <v>0</v>
      </c>
      <c r="AO1566" s="4">
        <v>0</v>
      </c>
      <c r="AP1566" s="4">
        <v>10</v>
      </c>
      <c r="AQ1566" s="4">
        <v>11</v>
      </c>
      <c r="AR1566" s="3" t="s">
        <v>63</v>
      </c>
      <c r="AS1566" s="3" t="s">
        <v>63</v>
      </c>
      <c r="AT1566" s="3" t="s">
        <v>62</v>
      </c>
      <c r="AU1566" s="6" t="str">
        <f>HYPERLINK("http://catalog.hathitrust.org/Record/007135643","HathiTrust Record")</f>
        <v>HathiTrust Record</v>
      </c>
      <c r="AV1566" s="6" t="str">
        <f>HYPERLINK("http://mcgill.on.worldcat.org/oclc/37567325","Catalog Record")</f>
        <v>Catalog Record</v>
      </c>
      <c r="AW1566" s="6" t="str">
        <f>HYPERLINK("http://www.worldcat.org/oclc/37567325","WorldCat Record")</f>
        <v>WorldCat Record</v>
      </c>
      <c r="AX1566" s="3" t="s">
        <v>14034</v>
      </c>
      <c r="AY1566" s="3" t="s">
        <v>14035</v>
      </c>
      <c r="AZ1566" s="3" t="s">
        <v>14036</v>
      </c>
      <c r="BA1566" s="3" t="s">
        <v>14036</v>
      </c>
      <c r="BB1566" s="3" t="s">
        <v>14037</v>
      </c>
      <c r="BC1566" s="3" t="s">
        <v>82</v>
      </c>
      <c r="BD1566" s="3" t="s">
        <v>70</v>
      </c>
      <c r="BE1566" s="3" t="s">
        <v>14038</v>
      </c>
      <c r="BF1566" s="3" t="s">
        <v>14037</v>
      </c>
      <c r="BG1566" s="3" t="s">
        <v>14039</v>
      </c>
    </row>
    <row r="1567" spans="1:59" ht="75" x14ac:dyDescent="0.25">
      <c r="A1567" s="2" t="s">
        <v>59</v>
      </c>
      <c r="B1567" s="2" t="s">
        <v>60</v>
      </c>
      <c r="C1567" s="2" t="s">
        <v>14040</v>
      </c>
      <c r="D1567" s="2" t="s">
        <v>14041</v>
      </c>
      <c r="E1567" s="2" t="s">
        <v>14042</v>
      </c>
      <c r="G1567" s="3" t="s">
        <v>63</v>
      </c>
      <c r="I1567" s="3" t="s">
        <v>63</v>
      </c>
      <c r="J1567" s="3" t="s">
        <v>62</v>
      </c>
      <c r="K1567" s="3" t="s">
        <v>64</v>
      </c>
      <c r="L1567" s="2" t="s">
        <v>13703</v>
      </c>
      <c r="M1567" s="2" t="s">
        <v>14043</v>
      </c>
      <c r="N1567" s="3" t="s">
        <v>190</v>
      </c>
      <c r="P1567" s="3" t="s">
        <v>66</v>
      </c>
      <c r="Q1567" s="2" t="s">
        <v>9341</v>
      </c>
      <c r="R1567" s="3" t="s">
        <v>67</v>
      </c>
      <c r="S1567" s="4">
        <v>27</v>
      </c>
      <c r="T1567" s="4">
        <v>27</v>
      </c>
      <c r="U1567" s="5" t="s">
        <v>9925</v>
      </c>
      <c r="V1567" s="5" t="s">
        <v>9925</v>
      </c>
      <c r="W1567" s="5" t="s">
        <v>69</v>
      </c>
      <c r="X1567" s="5" t="s">
        <v>69</v>
      </c>
      <c r="Y1567" s="4">
        <v>276</v>
      </c>
      <c r="Z1567" s="4">
        <v>8</v>
      </c>
      <c r="AA1567" s="4">
        <v>43</v>
      </c>
      <c r="AB1567" s="4">
        <v>1</v>
      </c>
      <c r="AC1567" s="4">
        <v>3</v>
      </c>
      <c r="AD1567" s="4">
        <v>45</v>
      </c>
      <c r="AE1567" s="4">
        <v>115</v>
      </c>
      <c r="AF1567" s="4">
        <v>0</v>
      </c>
      <c r="AG1567" s="4">
        <v>1</v>
      </c>
      <c r="AH1567" s="4">
        <v>43</v>
      </c>
      <c r="AI1567" s="4">
        <v>94</v>
      </c>
      <c r="AJ1567" s="4">
        <v>2</v>
      </c>
      <c r="AK1567" s="4">
        <v>17</v>
      </c>
      <c r="AL1567" s="4">
        <v>31</v>
      </c>
      <c r="AM1567" s="4">
        <v>57</v>
      </c>
      <c r="AN1567" s="4">
        <v>0</v>
      </c>
      <c r="AO1567" s="4">
        <v>0</v>
      </c>
      <c r="AP1567" s="4">
        <v>2</v>
      </c>
      <c r="AQ1567" s="4">
        <v>24</v>
      </c>
      <c r="AR1567" s="3" t="s">
        <v>63</v>
      </c>
      <c r="AS1567" s="3" t="s">
        <v>63</v>
      </c>
      <c r="AT1567" s="3" t="s">
        <v>63</v>
      </c>
      <c r="AV1567" s="6" t="str">
        <f>HYPERLINK("http://mcgill.on.worldcat.org/oclc/61702129","Catalog Record")</f>
        <v>Catalog Record</v>
      </c>
      <c r="AW1567" s="6" t="str">
        <f>HYPERLINK("http://www.worldcat.org/oclc/61702129","WorldCat Record")</f>
        <v>WorldCat Record</v>
      </c>
      <c r="AX1567" s="3" t="s">
        <v>13993</v>
      </c>
      <c r="AY1567" s="3" t="s">
        <v>14044</v>
      </c>
      <c r="AZ1567" s="3" t="s">
        <v>14045</v>
      </c>
      <c r="BA1567" s="3" t="s">
        <v>14045</v>
      </c>
      <c r="BB1567" s="3" t="s">
        <v>14046</v>
      </c>
      <c r="BC1567" s="3" t="s">
        <v>82</v>
      </c>
      <c r="BD1567" s="3" t="s">
        <v>70</v>
      </c>
      <c r="BE1567" s="3" t="s">
        <v>14047</v>
      </c>
      <c r="BF1567" s="3" t="s">
        <v>14046</v>
      </c>
      <c r="BG1567" s="3" t="s">
        <v>14048</v>
      </c>
    </row>
    <row r="1568" spans="1:59" ht="60" x14ac:dyDescent="0.25">
      <c r="A1568" s="2" t="s">
        <v>59</v>
      </c>
      <c r="B1568" s="2" t="s">
        <v>60</v>
      </c>
      <c r="C1568" s="2" t="s">
        <v>14049</v>
      </c>
      <c r="D1568" s="2" t="s">
        <v>14050</v>
      </c>
      <c r="E1568" s="2" t="s">
        <v>14051</v>
      </c>
      <c r="G1568" s="3" t="s">
        <v>63</v>
      </c>
      <c r="I1568" s="3" t="s">
        <v>63</v>
      </c>
      <c r="J1568" s="3" t="s">
        <v>63</v>
      </c>
      <c r="K1568" s="3" t="s">
        <v>64</v>
      </c>
      <c r="L1568" s="2" t="s">
        <v>13703</v>
      </c>
      <c r="M1568" s="2" t="s">
        <v>14052</v>
      </c>
      <c r="N1568" s="3" t="s">
        <v>629</v>
      </c>
      <c r="P1568" s="3" t="s">
        <v>66</v>
      </c>
      <c r="R1568" s="3" t="s">
        <v>67</v>
      </c>
      <c r="S1568" s="4">
        <v>4</v>
      </c>
      <c r="T1568" s="4">
        <v>4</v>
      </c>
      <c r="U1568" s="5" t="s">
        <v>14053</v>
      </c>
      <c r="V1568" s="5" t="s">
        <v>14053</v>
      </c>
      <c r="W1568" s="5" t="s">
        <v>69</v>
      </c>
      <c r="X1568" s="5" t="s">
        <v>69</v>
      </c>
      <c r="Y1568" s="4">
        <v>49</v>
      </c>
      <c r="Z1568" s="4">
        <v>3</v>
      </c>
      <c r="AA1568" s="4">
        <v>6</v>
      </c>
      <c r="AB1568" s="4">
        <v>1</v>
      </c>
      <c r="AC1568" s="4">
        <v>2</v>
      </c>
      <c r="AD1568" s="4">
        <v>10</v>
      </c>
      <c r="AE1568" s="4">
        <v>24</v>
      </c>
      <c r="AF1568" s="4">
        <v>0</v>
      </c>
      <c r="AG1568" s="4">
        <v>0</v>
      </c>
      <c r="AH1568" s="4">
        <v>10</v>
      </c>
      <c r="AI1568" s="4">
        <v>23</v>
      </c>
      <c r="AJ1568" s="4">
        <v>1</v>
      </c>
      <c r="AK1568" s="4">
        <v>2</v>
      </c>
      <c r="AL1568" s="4">
        <v>6</v>
      </c>
      <c r="AM1568" s="4">
        <v>14</v>
      </c>
      <c r="AN1568" s="4">
        <v>0</v>
      </c>
      <c r="AO1568" s="4">
        <v>0</v>
      </c>
      <c r="AP1568" s="4">
        <v>1</v>
      </c>
      <c r="AQ1568" s="4">
        <v>2</v>
      </c>
      <c r="AR1568" s="3" t="s">
        <v>63</v>
      </c>
      <c r="AS1568" s="3" t="s">
        <v>63</v>
      </c>
      <c r="AT1568" s="3" t="s">
        <v>63</v>
      </c>
      <c r="AV1568" s="6" t="str">
        <f>HYPERLINK("http://mcgill.on.worldcat.org/oclc/716834497","Catalog Record")</f>
        <v>Catalog Record</v>
      </c>
      <c r="AW1568" s="6" t="str">
        <f>HYPERLINK("http://www.worldcat.org/oclc/716834497","WorldCat Record")</f>
        <v>WorldCat Record</v>
      </c>
      <c r="AX1568" s="3" t="s">
        <v>14054</v>
      </c>
      <c r="AY1568" s="3" t="s">
        <v>14055</v>
      </c>
      <c r="AZ1568" s="3" t="s">
        <v>14056</v>
      </c>
      <c r="BA1568" s="3" t="s">
        <v>14056</v>
      </c>
      <c r="BB1568" s="3" t="s">
        <v>14057</v>
      </c>
      <c r="BC1568" s="3" t="s">
        <v>82</v>
      </c>
      <c r="BD1568" s="3" t="s">
        <v>538</v>
      </c>
      <c r="BE1568" s="3" t="s">
        <v>14058</v>
      </c>
      <c r="BF1568" s="3" t="s">
        <v>14057</v>
      </c>
      <c r="BG1568" s="3" t="s">
        <v>14059</v>
      </c>
    </row>
    <row r="1569" spans="1:59" ht="60" x14ac:dyDescent="0.25">
      <c r="A1569" s="2" t="s">
        <v>59</v>
      </c>
      <c r="B1569" s="2" t="s">
        <v>60</v>
      </c>
      <c r="C1569" s="2" t="s">
        <v>14060</v>
      </c>
      <c r="D1569" s="2" t="s">
        <v>14061</v>
      </c>
      <c r="E1569" s="2" t="s">
        <v>14062</v>
      </c>
      <c r="G1569" s="3" t="s">
        <v>63</v>
      </c>
      <c r="I1569" s="3" t="s">
        <v>62</v>
      </c>
      <c r="J1569" s="3" t="s">
        <v>63</v>
      </c>
      <c r="K1569" s="3" t="s">
        <v>64</v>
      </c>
      <c r="L1569" s="2" t="s">
        <v>13703</v>
      </c>
      <c r="M1569" s="2" t="s">
        <v>11567</v>
      </c>
      <c r="N1569" s="3" t="s">
        <v>247</v>
      </c>
      <c r="P1569" s="3" t="s">
        <v>66</v>
      </c>
      <c r="R1569" s="3" t="s">
        <v>67</v>
      </c>
      <c r="S1569" s="4">
        <v>24</v>
      </c>
      <c r="T1569" s="4">
        <v>45</v>
      </c>
      <c r="U1569" s="5" t="s">
        <v>14063</v>
      </c>
      <c r="V1569" s="5" t="s">
        <v>14064</v>
      </c>
      <c r="W1569" s="5" t="s">
        <v>69</v>
      </c>
      <c r="X1569" s="5" t="s">
        <v>69</v>
      </c>
      <c r="Y1569" s="4">
        <v>370</v>
      </c>
      <c r="Z1569" s="4">
        <v>24</v>
      </c>
      <c r="AA1569" s="4">
        <v>30</v>
      </c>
      <c r="AB1569" s="4">
        <v>1</v>
      </c>
      <c r="AC1569" s="4">
        <v>1</v>
      </c>
      <c r="AD1569" s="4">
        <v>105</v>
      </c>
      <c r="AE1569" s="4">
        <v>117</v>
      </c>
      <c r="AF1569" s="4">
        <v>0</v>
      </c>
      <c r="AG1569" s="4">
        <v>0</v>
      </c>
      <c r="AH1569" s="4">
        <v>92</v>
      </c>
      <c r="AI1569" s="4">
        <v>102</v>
      </c>
      <c r="AJ1569" s="4">
        <v>11</v>
      </c>
      <c r="AK1569" s="4">
        <v>17</v>
      </c>
      <c r="AL1569" s="4">
        <v>51</v>
      </c>
      <c r="AM1569" s="4">
        <v>55</v>
      </c>
      <c r="AN1569" s="4">
        <v>0</v>
      </c>
      <c r="AO1569" s="4">
        <v>0</v>
      </c>
      <c r="AP1569" s="4">
        <v>15</v>
      </c>
      <c r="AQ1569" s="4">
        <v>21</v>
      </c>
      <c r="AR1569" s="3" t="s">
        <v>63</v>
      </c>
      <c r="AS1569" s="3" t="s">
        <v>63</v>
      </c>
      <c r="AT1569" s="3" t="s">
        <v>62</v>
      </c>
      <c r="AU1569" s="6" t="str">
        <f>HYPERLINK("http://catalog.hathitrust.org/Record/000763208","HathiTrust Record")</f>
        <v>HathiTrust Record</v>
      </c>
      <c r="AV1569" s="6" t="str">
        <f>HYPERLINK("http://mcgill.on.worldcat.org/oclc/7795604","Catalog Record")</f>
        <v>Catalog Record</v>
      </c>
      <c r="AW1569" s="6" t="str">
        <f>HYPERLINK("http://www.worldcat.org/oclc/7795604","WorldCat Record")</f>
        <v>WorldCat Record</v>
      </c>
      <c r="AX1569" s="3" t="s">
        <v>14065</v>
      </c>
      <c r="AY1569" s="3" t="s">
        <v>14066</v>
      </c>
      <c r="AZ1569" s="3" t="s">
        <v>14067</v>
      </c>
      <c r="BA1569" s="3" t="s">
        <v>14067</v>
      </c>
      <c r="BB1569" s="3" t="s">
        <v>14068</v>
      </c>
      <c r="BC1569" s="3" t="s">
        <v>82</v>
      </c>
      <c r="BD1569" s="3" t="s">
        <v>70</v>
      </c>
      <c r="BE1569" s="3" t="s">
        <v>14069</v>
      </c>
      <c r="BF1569" s="3" t="s">
        <v>14068</v>
      </c>
      <c r="BG1569" s="3" t="s">
        <v>14070</v>
      </c>
    </row>
    <row r="1570" spans="1:59" ht="60" x14ac:dyDescent="0.25">
      <c r="A1570" s="2" t="s">
        <v>59</v>
      </c>
      <c r="B1570" s="2" t="s">
        <v>60</v>
      </c>
      <c r="C1570" s="2" t="s">
        <v>14060</v>
      </c>
      <c r="D1570" s="2" t="s">
        <v>14061</v>
      </c>
      <c r="E1570" s="2" t="s">
        <v>14062</v>
      </c>
      <c r="G1570" s="3" t="s">
        <v>63</v>
      </c>
      <c r="I1570" s="3" t="s">
        <v>62</v>
      </c>
      <c r="J1570" s="3" t="s">
        <v>63</v>
      </c>
      <c r="K1570" s="3" t="s">
        <v>64</v>
      </c>
      <c r="L1570" s="2" t="s">
        <v>13703</v>
      </c>
      <c r="M1570" s="2" t="s">
        <v>11567</v>
      </c>
      <c r="N1570" s="3" t="s">
        <v>247</v>
      </c>
      <c r="P1570" s="3" t="s">
        <v>66</v>
      </c>
      <c r="R1570" s="3" t="s">
        <v>67</v>
      </c>
      <c r="S1570" s="4">
        <v>21</v>
      </c>
      <c r="T1570" s="4">
        <v>45</v>
      </c>
      <c r="U1570" s="5" t="s">
        <v>14064</v>
      </c>
      <c r="V1570" s="5" t="s">
        <v>14064</v>
      </c>
      <c r="W1570" s="5" t="s">
        <v>69</v>
      </c>
      <c r="X1570" s="5" t="s">
        <v>69</v>
      </c>
      <c r="Y1570" s="4">
        <v>370</v>
      </c>
      <c r="Z1570" s="4">
        <v>24</v>
      </c>
      <c r="AA1570" s="4">
        <v>30</v>
      </c>
      <c r="AB1570" s="4">
        <v>1</v>
      </c>
      <c r="AC1570" s="4">
        <v>1</v>
      </c>
      <c r="AD1570" s="4">
        <v>105</v>
      </c>
      <c r="AE1570" s="4">
        <v>117</v>
      </c>
      <c r="AF1570" s="4">
        <v>0</v>
      </c>
      <c r="AG1570" s="4">
        <v>0</v>
      </c>
      <c r="AH1570" s="4">
        <v>92</v>
      </c>
      <c r="AI1570" s="4">
        <v>102</v>
      </c>
      <c r="AJ1570" s="4">
        <v>11</v>
      </c>
      <c r="AK1570" s="4">
        <v>17</v>
      </c>
      <c r="AL1570" s="4">
        <v>51</v>
      </c>
      <c r="AM1570" s="4">
        <v>55</v>
      </c>
      <c r="AN1570" s="4">
        <v>0</v>
      </c>
      <c r="AO1570" s="4">
        <v>0</v>
      </c>
      <c r="AP1570" s="4">
        <v>15</v>
      </c>
      <c r="AQ1570" s="4">
        <v>21</v>
      </c>
      <c r="AR1570" s="3" t="s">
        <v>63</v>
      </c>
      <c r="AS1570" s="3" t="s">
        <v>63</v>
      </c>
      <c r="AT1570" s="3" t="s">
        <v>62</v>
      </c>
      <c r="AU1570" s="6" t="str">
        <f>HYPERLINK("http://catalog.hathitrust.org/Record/000763208","HathiTrust Record")</f>
        <v>HathiTrust Record</v>
      </c>
      <c r="AV1570" s="6" t="str">
        <f>HYPERLINK("http://mcgill.on.worldcat.org/oclc/7795604","Catalog Record")</f>
        <v>Catalog Record</v>
      </c>
      <c r="AW1570" s="6" t="str">
        <f>HYPERLINK("http://www.worldcat.org/oclc/7795604","WorldCat Record")</f>
        <v>WorldCat Record</v>
      </c>
      <c r="AX1570" s="3" t="s">
        <v>14065</v>
      </c>
      <c r="AY1570" s="3" t="s">
        <v>14066</v>
      </c>
      <c r="AZ1570" s="3" t="s">
        <v>14067</v>
      </c>
      <c r="BA1570" s="3" t="s">
        <v>14067</v>
      </c>
      <c r="BB1570" s="3" t="s">
        <v>14071</v>
      </c>
      <c r="BC1570" s="3" t="s">
        <v>82</v>
      </c>
      <c r="BD1570" s="3" t="s">
        <v>70</v>
      </c>
      <c r="BE1570" s="3" t="s">
        <v>14069</v>
      </c>
      <c r="BF1570" s="3" t="s">
        <v>14071</v>
      </c>
      <c r="BG1570" s="3" t="s">
        <v>14072</v>
      </c>
    </row>
    <row r="1571" spans="1:59" ht="60" x14ac:dyDescent="0.25">
      <c r="A1571" s="2" t="s">
        <v>59</v>
      </c>
      <c r="B1571" s="2" t="s">
        <v>60</v>
      </c>
      <c r="C1571" s="2" t="s">
        <v>14073</v>
      </c>
      <c r="D1571" s="2" t="s">
        <v>14074</v>
      </c>
      <c r="E1571" s="2" t="s">
        <v>14075</v>
      </c>
      <c r="G1571" s="3" t="s">
        <v>63</v>
      </c>
      <c r="I1571" s="3" t="s">
        <v>63</v>
      </c>
      <c r="J1571" s="3" t="s">
        <v>62</v>
      </c>
      <c r="K1571" s="3" t="s">
        <v>64</v>
      </c>
      <c r="L1571" s="2" t="s">
        <v>13703</v>
      </c>
      <c r="M1571" s="2" t="s">
        <v>14076</v>
      </c>
      <c r="N1571" s="3" t="s">
        <v>1916</v>
      </c>
      <c r="P1571" s="3" t="s">
        <v>66</v>
      </c>
      <c r="Q1571" s="2" t="s">
        <v>11108</v>
      </c>
      <c r="R1571" s="3" t="s">
        <v>67</v>
      </c>
      <c r="S1571" s="4">
        <v>48</v>
      </c>
      <c r="T1571" s="4">
        <v>48</v>
      </c>
      <c r="U1571" s="5" t="s">
        <v>694</v>
      </c>
      <c r="V1571" s="5" t="s">
        <v>694</v>
      </c>
      <c r="W1571" s="5" t="s">
        <v>69</v>
      </c>
      <c r="X1571" s="5" t="s">
        <v>69</v>
      </c>
      <c r="Y1571" s="4">
        <v>480</v>
      </c>
      <c r="Z1571" s="4">
        <v>24</v>
      </c>
      <c r="AA1571" s="4">
        <v>203</v>
      </c>
      <c r="AB1571" s="4">
        <v>3</v>
      </c>
      <c r="AC1571" s="4">
        <v>28</v>
      </c>
      <c r="AD1571" s="4">
        <v>92</v>
      </c>
      <c r="AE1571" s="4">
        <v>171</v>
      </c>
      <c r="AF1571" s="4">
        <v>1</v>
      </c>
      <c r="AG1571" s="4">
        <v>9</v>
      </c>
      <c r="AH1571" s="4">
        <v>79</v>
      </c>
      <c r="AI1571" s="4">
        <v>116</v>
      </c>
      <c r="AJ1571" s="4">
        <v>15</v>
      </c>
      <c r="AK1571" s="4">
        <v>28</v>
      </c>
      <c r="AL1571" s="4">
        <v>46</v>
      </c>
      <c r="AM1571" s="4">
        <v>64</v>
      </c>
      <c r="AN1571" s="4">
        <v>0</v>
      </c>
      <c r="AO1571" s="4">
        <v>0</v>
      </c>
      <c r="AP1571" s="4">
        <v>18</v>
      </c>
      <c r="AQ1571" s="4">
        <v>60</v>
      </c>
      <c r="AR1571" s="3" t="s">
        <v>63</v>
      </c>
      <c r="AS1571" s="3" t="s">
        <v>63</v>
      </c>
      <c r="AT1571" s="3" t="s">
        <v>62</v>
      </c>
      <c r="AU1571" s="6" t="str">
        <f>HYPERLINK("http://catalog.hathitrust.org/Record/000587508","HathiTrust Record")</f>
        <v>HathiTrust Record</v>
      </c>
      <c r="AV1571" s="6" t="str">
        <f>HYPERLINK("http://mcgill.on.worldcat.org/oclc/10725927","Catalog Record")</f>
        <v>Catalog Record</v>
      </c>
      <c r="AW1571" s="6" t="str">
        <f>HYPERLINK("http://www.worldcat.org/oclc/10725927","WorldCat Record")</f>
        <v>WorldCat Record</v>
      </c>
      <c r="AX1571" s="3" t="s">
        <v>14077</v>
      </c>
      <c r="AY1571" s="3" t="s">
        <v>14078</v>
      </c>
      <c r="AZ1571" s="3" t="s">
        <v>14079</v>
      </c>
      <c r="BA1571" s="3" t="s">
        <v>14079</v>
      </c>
      <c r="BB1571" s="3" t="s">
        <v>14080</v>
      </c>
      <c r="BC1571" s="3" t="s">
        <v>82</v>
      </c>
      <c r="BD1571" s="3" t="s">
        <v>70</v>
      </c>
      <c r="BE1571" s="3" t="s">
        <v>14081</v>
      </c>
      <c r="BF1571" s="3" t="s">
        <v>14080</v>
      </c>
      <c r="BG1571" s="3" t="s">
        <v>14082</v>
      </c>
    </row>
    <row r="1572" spans="1:59" ht="60" x14ac:dyDescent="0.25">
      <c r="A1572" s="2" t="s">
        <v>59</v>
      </c>
      <c r="B1572" s="2" t="s">
        <v>60</v>
      </c>
      <c r="C1572" s="2" t="s">
        <v>14083</v>
      </c>
      <c r="D1572" s="2" t="s">
        <v>14084</v>
      </c>
      <c r="E1572" s="2" t="s">
        <v>14085</v>
      </c>
      <c r="G1572" s="3" t="s">
        <v>63</v>
      </c>
      <c r="I1572" s="3" t="s">
        <v>63</v>
      </c>
      <c r="J1572" s="3" t="s">
        <v>62</v>
      </c>
      <c r="K1572" s="3" t="s">
        <v>64</v>
      </c>
      <c r="L1572" s="2" t="s">
        <v>13703</v>
      </c>
      <c r="M1572" s="2" t="s">
        <v>14086</v>
      </c>
      <c r="N1572" s="3" t="s">
        <v>204</v>
      </c>
      <c r="O1572" s="2" t="s">
        <v>590</v>
      </c>
      <c r="P1572" s="3" t="s">
        <v>66</v>
      </c>
      <c r="R1572" s="3" t="s">
        <v>67</v>
      </c>
      <c r="S1572" s="4">
        <v>48</v>
      </c>
      <c r="T1572" s="4">
        <v>48</v>
      </c>
      <c r="U1572" s="5" t="s">
        <v>14063</v>
      </c>
      <c r="V1572" s="5" t="s">
        <v>14063</v>
      </c>
      <c r="W1572" s="5" t="s">
        <v>69</v>
      </c>
      <c r="X1572" s="5" t="s">
        <v>69</v>
      </c>
      <c r="Y1572" s="4">
        <v>355</v>
      </c>
      <c r="Z1572" s="4">
        <v>14</v>
      </c>
      <c r="AA1572" s="4">
        <v>203</v>
      </c>
      <c r="AB1572" s="4">
        <v>1</v>
      </c>
      <c r="AC1572" s="4">
        <v>28</v>
      </c>
      <c r="AD1572" s="4">
        <v>92</v>
      </c>
      <c r="AE1572" s="4">
        <v>171</v>
      </c>
      <c r="AF1572" s="4">
        <v>0</v>
      </c>
      <c r="AG1572" s="4">
        <v>9</v>
      </c>
      <c r="AH1572" s="4">
        <v>87</v>
      </c>
      <c r="AI1572" s="4">
        <v>116</v>
      </c>
      <c r="AJ1572" s="4">
        <v>7</v>
      </c>
      <c r="AK1572" s="4">
        <v>28</v>
      </c>
      <c r="AL1572" s="4">
        <v>52</v>
      </c>
      <c r="AM1572" s="4">
        <v>64</v>
      </c>
      <c r="AN1572" s="4">
        <v>0</v>
      </c>
      <c r="AO1572" s="4">
        <v>0</v>
      </c>
      <c r="AP1572" s="4">
        <v>7</v>
      </c>
      <c r="AQ1572" s="4">
        <v>60</v>
      </c>
      <c r="AR1572" s="3" t="s">
        <v>63</v>
      </c>
      <c r="AS1572" s="3" t="s">
        <v>63</v>
      </c>
      <c r="AT1572" s="3" t="s">
        <v>62</v>
      </c>
      <c r="AU1572" s="6" t="str">
        <f>HYPERLINK("http://catalog.hathitrust.org/Record/003065026","HathiTrust Record")</f>
        <v>HathiTrust Record</v>
      </c>
      <c r="AV1572" s="6" t="str">
        <f>HYPERLINK("http://mcgill.on.worldcat.org/oclc/32778450","Catalog Record")</f>
        <v>Catalog Record</v>
      </c>
      <c r="AW1572" s="6" t="str">
        <f>HYPERLINK("http://www.worldcat.org/oclc/32778450","WorldCat Record")</f>
        <v>WorldCat Record</v>
      </c>
      <c r="AX1572" s="3" t="s">
        <v>14077</v>
      </c>
      <c r="AY1572" s="3" t="s">
        <v>14087</v>
      </c>
      <c r="AZ1572" s="3" t="s">
        <v>14088</v>
      </c>
      <c r="BA1572" s="3" t="s">
        <v>14088</v>
      </c>
      <c r="BB1572" s="3" t="s">
        <v>14089</v>
      </c>
      <c r="BC1572" s="3" t="s">
        <v>82</v>
      </c>
      <c r="BD1572" s="3" t="s">
        <v>70</v>
      </c>
      <c r="BE1572" s="3" t="s">
        <v>14090</v>
      </c>
      <c r="BF1572" s="3" t="s">
        <v>14089</v>
      </c>
      <c r="BG1572" s="3" t="s">
        <v>14091</v>
      </c>
    </row>
    <row r="1573" spans="1:59" ht="60" x14ac:dyDescent="0.25">
      <c r="A1573" s="2" t="s">
        <v>59</v>
      </c>
      <c r="B1573" s="2" t="s">
        <v>60</v>
      </c>
      <c r="C1573" s="2" t="s">
        <v>14092</v>
      </c>
      <c r="D1573" s="2" t="s">
        <v>14093</v>
      </c>
      <c r="E1573" s="2" t="s">
        <v>14094</v>
      </c>
      <c r="G1573" s="3" t="s">
        <v>63</v>
      </c>
      <c r="I1573" s="3" t="s">
        <v>63</v>
      </c>
      <c r="J1573" s="3" t="s">
        <v>62</v>
      </c>
      <c r="K1573" s="3" t="s">
        <v>64</v>
      </c>
      <c r="L1573" s="2" t="s">
        <v>13703</v>
      </c>
      <c r="M1573" s="2" t="s">
        <v>3169</v>
      </c>
      <c r="N1573" s="3" t="s">
        <v>204</v>
      </c>
      <c r="P1573" s="3" t="s">
        <v>66</v>
      </c>
      <c r="R1573" s="3" t="s">
        <v>67</v>
      </c>
      <c r="S1573" s="4">
        <v>49</v>
      </c>
      <c r="T1573" s="4">
        <v>49</v>
      </c>
      <c r="U1573" s="5" t="s">
        <v>3885</v>
      </c>
      <c r="V1573" s="5" t="s">
        <v>3885</v>
      </c>
      <c r="W1573" s="5" t="s">
        <v>69</v>
      </c>
      <c r="X1573" s="5" t="s">
        <v>69</v>
      </c>
      <c r="Y1573" s="4">
        <v>410</v>
      </c>
      <c r="Z1573" s="4">
        <v>19</v>
      </c>
      <c r="AA1573" s="4">
        <v>203</v>
      </c>
      <c r="AB1573" s="4">
        <v>1</v>
      </c>
      <c r="AC1573" s="4">
        <v>28</v>
      </c>
      <c r="AD1573" s="4">
        <v>84</v>
      </c>
      <c r="AE1573" s="4">
        <v>171</v>
      </c>
      <c r="AF1573" s="4">
        <v>0</v>
      </c>
      <c r="AG1573" s="4">
        <v>9</v>
      </c>
      <c r="AH1573" s="4">
        <v>78</v>
      </c>
      <c r="AI1573" s="4">
        <v>116</v>
      </c>
      <c r="AJ1573" s="4">
        <v>8</v>
      </c>
      <c r="AK1573" s="4">
        <v>28</v>
      </c>
      <c r="AL1573" s="4">
        <v>46</v>
      </c>
      <c r="AM1573" s="4">
        <v>64</v>
      </c>
      <c r="AN1573" s="4">
        <v>0</v>
      </c>
      <c r="AO1573" s="4">
        <v>0</v>
      </c>
      <c r="AP1573" s="4">
        <v>10</v>
      </c>
      <c r="AQ1573" s="4">
        <v>60</v>
      </c>
      <c r="AR1573" s="3" t="s">
        <v>63</v>
      </c>
      <c r="AS1573" s="3" t="s">
        <v>63</v>
      </c>
      <c r="AT1573" s="3" t="s">
        <v>62</v>
      </c>
      <c r="AU1573" s="6" t="str">
        <f>HYPERLINK("http://catalog.hathitrust.org/Record/003067108","HathiTrust Record")</f>
        <v>HathiTrust Record</v>
      </c>
      <c r="AV1573" s="6" t="str">
        <f>HYPERLINK("http://mcgill.on.worldcat.org/oclc/33009576","Catalog Record")</f>
        <v>Catalog Record</v>
      </c>
      <c r="AW1573" s="6" t="str">
        <f>HYPERLINK("http://www.worldcat.org/oclc/33009576","WorldCat Record")</f>
        <v>WorldCat Record</v>
      </c>
      <c r="AX1573" s="3" t="s">
        <v>14077</v>
      </c>
      <c r="AY1573" s="3" t="s">
        <v>14095</v>
      </c>
      <c r="AZ1573" s="3" t="s">
        <v>14096</v>
      </c>
      <c r="BA1573" s="3" t="s">
        <v>14096</v>
      </c>
      <c r="BB1573" s="3" t="s">
        <v>14097</v>
      </c>
      <c r="BC1573" s="3" t="s">
        <v>82</v>
      </c>
      <c r="BD1573" s="3" t="s">
        <v>538</v>
      </c>
      <c r="BE1573" s="3" t="s">
        <v>14098</v>
      </c>
      <c r="BF1573" s="3" t="s">
        <v>14097</v>
      </c>
      <c r="BG1573" s="3" t="s">
        <v>14099</v>
      </c>
    </row>
    <row r="1574" spans="1:59" ht="60" x14ac:dyDescent="0.25">
      <c r="A1574" s="2" t="s">
        <v>59</v>
      </c>
      <c r="B1574" s="2" t="s">
        <v>60</v>
      </c>
      <c r="C1574" s="2" t="s">
        <v>14100</v>
      </c>
      <c r="D1574" s="2" t="s">
        <v>14101</v>
      </c>
      <c r="E1574" s="2" t="s">
        <v>14102</v>
      </c>
      <c r="G1574" s="3" t="s">
        <v>63</v>
      </c>
      <c r="I1574" s="3" t="s">
        <v>63</v>
      </c>
      <c r="J1574" s="3" t="s">
        <v>62</v>
      </c>
      <c r="K1574" s="3" t="s">
        <v>64</v>
      </c>
      <c r="L1574" s="2" t="s">
        <v>13703</v>
      </c>
      <c r="M1574" s="2" t="s">
        <v>14103</v>
      </c>
      <c r="N1574" s="3" t="s">
        <v>176</v>
      </c>
      <c r="P1574" s="3" t="s">
        <v>66</v>
      </c>
      <c r="Q1574" s="2" t="s">
        <v>327</v>
      </c>
      <c r="R1574" s="3" t="s">
        <v>67</v>
      </c>
      <c r="S1574" s="4">
        <v>52</v>
      </c>
      <c r="T1574" s="4">
        <v>52</v>
      </c>
      <c r="U1574" s="5" t="s">
        <v>14104</v>
      </c>
      <c r="V1574" s="5" t="s">
        <v>14104</v>
      </c>
      <c r="W1574" s="5" t="s">
        <v>69</v>
      </c>
      <c r="X1574" s="5" t="s">
        <v>69</v>
      </c>
      <c r="Y1574" s="4">
        <v>190</v>
      </c>
      <c r="Z1574" s="4">
        <v>10</v>
      </c>
      <c r="AA1574" s="4">
        <v>203</v>
      </c>
      <c r="AB1574" s="4">
        <v>2</v>
      </c>
      <c r="AC1574" s="4">
        <v>28</v>
      </c>
      <c r="AD1574" s="4">
        <v>62</v>
      </c>
      <c r="AE1574" s="4">
        <v>171</v>
      </c>
      <c r="AF1574" s="4">
        <v>0</v>
      </c>
      <c r="AG1574" s="4">
        <v>9</v>
      </c>
      <c r="AH1574" s="4">
        <v>59</v>
      </c>
      <c r="AI1574" s="4">
        <v>116</v>
      </c>
      <c r="AJ1574" s="4">
        <v>5</v>
      </c>
      <c r="AK1574" s="4">
        <v>28</v>
      </c>
      <c r="AL1574" s="4">
        <v>38</v>
      </c>
      <c r="AM1574" s="4">
        <v>64</v>
      </c>
      <c r="AN1574" s="4">
        <v>0</v>
      </c>
      <c r="AO1574" s="4">
        <v>0</v>
      </c>
      <c r="AP1574" s="4">
        <v>6</v>
      </c>
      <c r="AQ1574" s="4">
        <v>60</v>
      </c>
      <c r="AR1574" s="3" t="s">
        <v>63</v>
      </c>
      <c r="AS1574" s="3" t="s">
        <v>63</v>
      </c>
      <c r="AT1574" s="3" t="s">
        <v>63</v>
      </c>
      <c r="AV1574" s="6" t="str">
        <f>HYPERLINK("http://mcgill.on.worldcat.org/oclc/38311639","Catalog Record")</f>
        <v>Catalog Record</v>
      </c>
      <c r="AW1574" s="6" t="str">
        <f>HYPERLINK("http://www.worldcat.org/oclc/38311639","WorldCat Record")</f>
        <v>WorldCat Record</v>
      </c>
      <c r="AX1574" s="3" t="s">
        <v>14077</v>
      </c>
      <c r="AY1574" s="3" t="s">
        <v>14105</v>
      </c>
      <c r="AZ1574" s="3" t="s">
        <v>14106</v>
      </c>
      <c r="BA1574" s="3" t="s">
        <v>14106</v>
      </c>
      <c r="BB1574" s="3" t="s">
        <v>14107</v>
      </c>
      <c r="BC1574" s="3" t="s">
        <v>82</v>
      </c>
      <c r="BD1574" s="3" t="s">
        <v>70</v>
      </c>
      <c r="BE1574" s="3" t="s">
        <v>14108</v>
      </c>
      <c r="BF1574" s="3" t="s">
        <v>14107</v>
      </c>
      <c r="BG1574" s="3" t="s">
        <v>14109</v>
      </c>
    </row>
    <row r="1575" spans="1:59" ht="60" x14ac:dyDescent="0.25">
      <c r="A1575" s="2" t="s">
        <v>59</v>
      </c>
      <c r="B1575" s="2" t="s">
        <v>60</v>
      </c>
      <c r="C1575" s="2" t="s">
        <v>14110</v>
      </c>
      <c r="D1575" s="2" t="s">
        <v>14111</v>
      </c>
      <c r="E1575" s="2" t="s">
        <v>14112</v>
      </c>
      <c r="G1575" s="3" t="s">
        <v>63</v>
      </c>
      <c r="I1575" s="3" t="s">
        <v>62</v>
      </c>
      <c r="J1575" s="3" t="s">
        <v>62</v>
      </c>
      <c r="K1575" s="3" t="s">
        <v>64</v>
      </c>
      <c r="L1575" s="2" t="s">
        <v>13703</v>
      </c>
      <c r="M1575" s="2" t="s">
        <v>14113</v>
      </c>
      <c r="N1575" s="3" t="s">
        <v>693</v>
      </c>
      <c r="P1575" s="3" t="s">
        <v>66</v>
      </c>
      <c r="R1575" s="3" t="s">
        <v>67</v>
      </c>
      <c r="S1575" s="4">
        <v>4</v>
      </c>
      <c r="T1575" s="4">
        <v>11</v>
      </c>
      <c r="U1575" s="5" t="s">
        <v>7991</v>
      </c>
      <c r="V1575" s="5" t="s">
        <v>2195</v>
      </c>
      <c r="W1575" s="5" t="s">
        <v>69</v>
      </c>
      <c r="X1575" s="5" t="s">
        <v>69</v>
      </c>
      <c r="Y1575" s="4">
        <v>305</v>
      </c>
      <c r="Z1575" s="4">
        <v>11</v>
      </c>
      <c r="AA1575" s="4">
        <v>203</v>
      </c>
      <c r="AB1575" s="4">
        <v>3</v>
      </c>
      <c r="AC1575" s="4">
        <v>28</v>
      </c>
      <c r="AD1575" s="4">
        <v>17</v>
      </c>
      <c r="AE1575" s="4">
        <v>171</v>
      </c>
      <c r="AF1575" s="4">
        <v>0</v>
      </c>
      <c r="AG1575" s="4">
        <v>9</v>
      </c>
      <c r="AH1575" s="4">
        <v>16</v>
      </c>
      <c r="AI1575" s="4">
        <v>116</v>
      </c>
      <c r="AJ1575" s="4">
        <v>1</v>
      </c>
      <c r="AK1575" s="4">
        <v>28</v>
      </c>
      <c r="AL1575" s="4">
        <v>7</v>
      </c>
      <c r="AM1575" s="4">
        <v>64</v>
      </c>
      <c r="AN1575" s="4">
        <v>0</v>
      </c>
      <c r="AO1575" s="4">
        <v>0</v>
      </c>
      <c r="AP1575" s="4">
        <v>2</v>
      </c>
      <c r="AQ1575" s="4">
        <v>60</v>
      </c>
      <c r="AR1575" s="3" t="s">
        <v>63</v>
      </c>
      <c r="AS1575" s="3" t="s">
        <v>63</v>
      </c>
      <c r="AT1575" s="3" t="s">
        <v>63</v>
      </c>
      <c r="AV1575" s="6" t="str">
        <f>HYPERLINK("http://mcgill.on.worldcat.org/oclc/55511405","Catalog Record")</f>
        <v>Catalog Record</v>
      </c>
      <c r="AW1575" s="6" t="str">
        <f>HYPERLINK("http://www.worldcat.org/oclc/55511405","WorldCat Record")</f>
        <v>WorldCat Record</v>
      </c>
      <c r="AX1575" s="3" t="s">
        <v>14077</v>
      </c>
      <c r="AY1575" s="3" t="s">
        <v>14114</v>
      </c>
      <c r="AZ1575" s="3" t="s">
        <v>14115</v>
      </c>
      <c r="BA1575" s="3" t="s">
        <v>14115</v>
      </c>
      <c r="BB1575" s="3" t="s">
        <v>14116</v>
      </c>
      <c r="BC1575" s="3" t="s">
        <v>82</v>
      </c>
      <c r="BD1575" s="3" t="s">
        <v>70</v>
      </c>
      <c r="BE1575" s="3" t="s">
        <v>14117</v>
      </c>
      <c r="BF1575" s="3" t="s">
        <v>14116</v>
      </c>
      <c r="BG1575" s="3" t="s">
        <v>14118</v>
      </c>
    </row>
    <row r="1576" spans="1:59" ht="60" x14ac:dyDescent="0.25">
      <c r="A1576" s="2" t="s">
        <v>59</v>
      </c>
      <c r="B1576" s="2" t="s">
        <v>60</v>
      </c>
      <c r="C1576" s="2" t="s">
        <v>14110</v>
      </c>
      <c r="D1576" s="2" t="s">
        <v>14111</v>
      </c>
      <c r="E1576" s="2" t="s">
        <v>14112</v>
      </c>
      <c r="G1576" s="3" t="s">
        <v>63</v>
      </c>
      <c r="I1576" s="3" t="s">
        <v>62</v>
      </c>
      <c r="J1576" s="3" t="s">
        <v>62</v>
      </c>
      <c r="K1576" s="3" t="s">
        <v>64</v>
      </c>
      <c r="L1576" s="2" t="s">
        <v>13703</v>
      </c>
      <c r="M1576" s="2" t="s">
        <v>14113</v>
      </c>
      <c r="N1576" s="3" t="s">
        <v>693</v>
      </c>
      <c r="P1576" s="3" t="s">
        <v>66</v>
      </c>
      <c r="R1576" s="3" t="s">
        <v>67</v>
      </c>
      <c r="S1576" s="4">
        <v>7</v>
      </c>
      <c r="T1576" s="4">
        <v>11</v>
      </c>
      <c r="U1576" s="5" t="s">
        <v>2195</v>
      </c>
      <c r="V1576" s="5" t="s">
        <v>2195</v>
      </c>
      <c r="W1576" s="5" t="s">
        <v>69</v>
      </c>
      <c r="X1576" s="5" t="s">
        <v>69</v>
      </c>
      <c r="Y1576" s="4">
        <v>305</v>
      </c>
      <c r="Z1576" s="4">
        <v>11</v>
      </c>
      <c r="AA1576" s="4">
        <v>203</v>
      </c>
      <c r="AB1576" s="4">
        <v>3</v>
      </c>
      <c r="AC1576" s="4">
        <v>28</v>
      </c>
      <c r="AD1576" s="4">
        <v>17</v>
      </c>
      <c r="AE1576" s="4">
        <v>171</v>
      </c>
      <c r="AF1576" s="4">
        <v>0</v>
      </c>
      <c r="AG1576" s="4">
        <v>9</v>
      </c>
      <c r="AH1576" s="4">
        <v>16</v>
      </c>
      <c r="AI1576" s="4">
        <v>116</v>
      </c>
      <c r="AJ1576" s="4">
        <v>1</v>
      </c>
      <c r="AK1576" s="4">
        <v>28</v>
      </c>
      <c r="AL1576" s="4">
        <v>7</v>
      </c>
      <c r="AM1576" s="4">
        <v>64</v>
      </c>
      <c r="AN1576" s="4">
        <v>0</v>
      </c>
      <c r="AO1576" s="4">
        <v>0</v>
      </c>
      <c r="AP1576" s="4">
        <v>2</v>
      </c>
      <c r="AQ1576" s="4">
        <v>60</v>
      </c>
      <c r="AR1576" s="3" t="s">
        <v>63</v>
      </c>
      <c r="AS1576" s="3" t="s">
        <v>63</v>
      </c>
      <c r="AT1576" s="3" t="s">
        <v>63</v>
      </c>
      <c r="AV1576" s="6" t="str">
        <f>HYPERLINK("http://mcgill.on.worldcat.org/oclc/55511405","Catalog Record")</f>
        <v>Catalog Record</v>
      </c>
      <c r="AW1576" s="6" t="str">
        <f>HYPERLINK("http://www.worldcat.org/oclc/55511405","WorldCat Record")</f>
        <v>WorldCat Record</v>
      </c>
      <c r="AX1576" s="3" t="s">
        <v>14077</v>
      </c>
      <c r="AY1576" s="3" t="s">
        <v>14114</v>
      </c>
      <c r="AZ1576" s="3" t="s">
        <v>14115</v>
      </c>
      <c r="BA1576" s="3" t="s">
        <v>14115</v>
      </c>
      <c r="BB1576" s="3" t="s">
        <v>14119</v>
      </c>
      <c r="BC1576" s="3" t="s">
        <v>82</v>
      </c>
      <c r="BD1576" s="3" t="s">
        <v>70</v>
      </c>
      <c r="BE1576" s="3" t="s">
        <v>14117</v>
      </c>
      <c r="BF1576" s="3" t="s">
        <v>14119</v>
      </c>
      <c r="BG1576" s="3" t="s">
        <v>14120</v>
      </c>
    </row>
    <row r="1577" spans="1:59" ht="60" x14ac:dyDescent="0.25">
      <c r="A1577" s="2" t="s">
        <v>59</v>
      </c>
      <c r="B1577" s="2" t="s">
        <v>60</v>
      </c>
      <c r="C1577" s="2" t="s">
        <v>14121</v>
      </c>
      <c r="D1577" s="2" t="s">
        <v>14122</v>
      </c>
      <c r="E1577" s="2" t="s">
        <v>14123</v>
      </c>
      <c r="G1577" s="3" t="s">
        <v>63</v>
      </c>
      <c r="I1577" s="3" t="s">
        <v>63</v>
      </c>
      <c r="J1577" s="3" t="s">
        <v>62</v>
      </c>
      <c r="K1577" s="3" t="s">
        <v>64</v>
      </c>
      <c r="L1577" s="2" t="s">
        <v>13703</v>
      </c>
      <c r="M1577" s="2" t="s">
        <v>14124</v>
      </c>
      <c r="N1577" s="3" t="s">
        <v>693</v>
      </c>
      <c r="P1577" s="3" t="s">
        <v>66</v>
      </c>
      <c r="Q1577" s="2" t="s">
        <v>9341</v>
      </c>
      <c r="R1577" s="3" t="s">
        <v>67</v>
      </c>
      <c r="S1577" s="4">
        <v>8</v>
      </c>
      <c r="T1577" s="4">
        <v>8</v>
      </c>
      <c r="U1577" s="5" t="s">
        <v>14125</v>
      </c>
      <c r="V1577" s="5" t="s">
        <v>14125</v>
      </c>
      <c r="W1577" s="5" t="s">
        <v>69</v>
      </c>
      <c r="X1577" s="5" t="s">
        <v>69</v>
      </c>
      <c r="Y1577" s="4">
        <v>302</v>
      </c>
      <c r="Z1577" s="4">
        <v>13</v>
      </c>
      <c r="AA1577" s="4">
        <v>203</v>
      </c>
      <c r="AB1577" s="4">
        <v>1</v>
      </c>
      <c r="AC1577" s="4">
        <v>28</v>
      </c>
      <c r="AD1577" s="4">
        <v>62</v>
      </c>
      <c r="AE1577" s="4">
        <v>171</v>
      </c>
      <c r="AF1577" s="4">
        <v>0</v>
      </c>
      <c r="AG1577" s="4">
        <v>9</v>
      </c>
      <c r="AH1577" s="4">
        <v>57</v>
      </c>
      <c r="AI1577" s="4">
        <v>116</v>
      </c>
      <c r="AJ1577" s="4">
        <v>4</v>
      </c>
      <c r="AK1577" s="4">
        <v>28</v>
      </c>
      <c r="AL1577" s="4">
        <v>37</v>
      </c>
      <c r="AM1577" s="4">
        <v>64</v>
      </c>
      <c r="AN1577" s="4">
        <v>0</v>
      </c>
      <c r="AO1577" s="4">
        <v>0</v>
      </c>
      <c r="AP1577" s="4">
        <v>4</v>
      </c>
      <c r="AQ1577" s="4">
        <v>60</v>
      </c>
      <c r="AR1577" s="3" t="s">
        <v>63</v>
      </c>
      <c r="AS1577" s="3" t="s">
        <v>63</v>
      </c>
      <c r="AT1577" s="3" t="s">
        <v>62</v>
      </c>
      <c r="AU1577" s="6" t="str">
        <f>HYPERLINK("http://catalog.hathitrust.org/Record/004756883","HathiTrust Record")</f>
        <v>HathiTrust Record</v>
      </c>
      <c r="AV1577" s="6" t="str">
        <f>HYPERLINK("http://mcgill.on.worldcat.org/oclc/56466515","Catalog Record")</f>
        <v>Catalog Record</v>
      </c>
      <c r="AW1577" s="6" t="str">
        <f>HYPERLINK("http://www.worldcat.org/oclc/56466515","WorldCat Record")</f>
        <v>WorldCat Record</v>
      </c>
      <c r="AX1577" s="3" t="s">
        <v>14077</v>
      </c>
      <c r="AY1577" s="3" t="s">
        <v>14126</v>
      </c>
      <c r="AZ1577" s="3" t="s">
        <v>14127</v>
      </c>
      <c r="BA1577" s="3" t="s">
        <v>14127</v>
      </c>
      <c r="BB1577" s="3" t="s">
        <v>14128</v>
      </c>
      <c r="BC1577" s="3" t="s">
        <v>82</v>
      </c>
      <c r="BD1577" s="3" t="s">
        <v>70</v>
      </c>
      <c r="BE1577" s="3" t="s">
        <v>14129</v>
      </c>
      <c r="BF1577" s="3" t="s">
        <v>14128</v>
      </c>
      <c r="BG1577" s="3" t="s">
        <v>14130</v>
      </c>
    </row>
    <row r="1578" spans="1:59" ht="75" x14ac:dyDescent="0.25">
      <c r="A1578" s="2" t="s">
        <v>59</v>
      </c>
      <c r="B1578" s="2" t="s">
        <v>60</v>
      </c>
      <c r="C1578" s="2" t="s">
        <v>14131</v>
      </c>
      <c r="D1578" s="2" t="s">
        <v>14132</v>
      </c>
      <c r="E1578" s="2" t="s">
        <v>14133</v>
      </c>
      <c r="G1578" s="3" t="s">
        <v>63</v>
      </c>
      <c r="I1578" s="3" t="s">
        <v>63</v>
      </c>
      <c r="J1578" s="3" t="s">
        <v>63</v>
      </c>
      <c r="K1578" s="3" t="s">
        <v>64</v>
      </c>
      <c r="L1578" s="2" t="s">
        <v>13703</v>
      </c>
      <c r="M1578" s="2" t="s">
        <v>14134</v>
      </c>
      <c r="N1578" s="3" t="s">
        <v>939</v>
      </c>
      <c r="P1578" s="3" t="s">
        <v>66</v>
      </c>
      <c r="R1578" s="3" t="s">
        <v>67</v>
      </c>
      <c r="S1578" s="4">
        <v>25</v>
      </c>
      <c r="T1578" s="4">
        <v>25</v>
      </c>
      <c r="U1578" s="5" t="s">
        <v>953</v>
      </c>
      <c r="V1578" s="5" t="s">
        <v>953</v>
      </c>
      <c r="W1578" s="5" t="s">
        <v>69</v>
      </c>
      <c r="X1578" s="5" t="s">
        <v>69</v>
      </c>
      <c r="Y1578" s="4">
        <v>107</v>
      </c>
      <c r="Z1578" s="4">
        <v>4</v>
      </c>
      <c r="AA1578" s="4">
        <v>39</v>
      </c>
      <c r="AB1578" s="4">
        <v>1</v>
      </c>
      <c r="AC1578" s="4">
        <v>3</v>
      </c>
      <c r="AD1578" s="4">
        <v>26</v>
      </c>
      <c r="AE1578" s="4">
        <v>120</v>
      </c>
      <c r="AF1578" s="4">
        <v>0</v>
      </c>
      <c r="AG1578" s="4">
        <v>2</v>
      </c>
      <c r="AH1578" s="4">
        <v>26</v>
      </c>
      <c r="AI1578" s="4">
        <v>98</v>
      </c>
      <c r="AJ1578" s="4">
        <v>2</v>
      </c>
      <c r="AK1578" s="4">
        <v>19</v>
      </c>
      <c r="AL1578" s="4">
        <v>15</v>
      </c>
      <c r="AM1578" s="4">
        <v>50</v>
      </c>
      <c r="AN1578" s="4">
        <v>0</v>
      </c>
      <c r="AO1578" s="4">
        <v>0</v>
      </c>
      <c r="AP1578" s="4">
        <v>2</v>
      </c>
      <c r="AQ1578" s="4">
        <v>30</v>
      </c>
      <c r="AR1578" s="3" t="s">
        <v>63</v>
      </c>
      <c r="AS1578" s="3" t="s">
        <v>63</v>
      </c>
      <c r="AT1578" s="3" t="s">
        <v>62</v>
      </c>
      <c r="AU1578" s="6" t="str">
        <f>HYPERLINK("http://catalog.hathitrust.org/Record/009917402","HathiTrust Record")</f>
        <v>HathiTrust Record</v>
      </c>
      <c r="AV1578" s="6" t="str">
        <f>HYPERLINK("http://mcgill.on.worldcat.org/oclc/31161","Catalog Record")</f>
        <v>Catalog Record</v>
      </c>
      <c r="AW1578" s="6" t="str">
        <f>HYPERLINK("http://www.worldcat.org/oclc/31161","WorldCat Record")</f>
        <v>WorldCat Record</v>
      </c>
      <c r="AX1578" s="3" t="s">
        <v>14135</v>
      </c>
      <c r="AY1578" s="3" t="s">
        <v>14136</v>
      </c>
      <c r="AZ1578" s="3" t="s">
        <v>14137</v>
      </c>
      <c r="BA1578" s="3" t="s">
        <v>14137</v>
      </c>
      <c r="BB1578" s="3" t="s">
        <v>14138</v>
      </c>
      <c r="BC1578" s="3" t="s">
        <v>82</v>
      </c>
      <c r="BD1578" s="3" t="s">
        <v>70</v>
      </c>
      <c r="BF1578" s="3" t="s">
        <v>14138</v>
      </c>
      <c r="BG1578" s="3" t="s">
        <v>14139</v>
      </c>
    </row>
    <row r="1579" spans="1:59" ht="60" x14ac:dyDescent="0.25">
      <c r="A1579" s="2" t="s">
        <v>59</v>
      </c>
      <c r="B1579" s="2" t="s">
        <v>60</v>
      </c>
      <c r="C1579" s="2" t="s">
        <v>14140</v>
      </c>
      <c r="D1579" s="2" t="s">
        <v>14141</v>
      </c>
      <c r="E1579" s="2" t="s">
        <v>14142</v>
      </c>
      <c r="G1579" s="3" t="s">
        <v>63</v>
      </c>
      <c r="I1579" s="3" t="s">
        <v>63</v>
      </c>
      <c r="J1579" s="3" t="s">
        <v>63</v>
      </c>
      <c r="K1579" s="3" t="s">
        <v>64</v>
      </c>
      <c r="L1579" s="2" t="s">
        <v>13703</v>
      </c>
      <c r="M1579" s="2" t="s">
        <v>14143</v>
      </c>
      <c r="N1579" s="3" t="s">
        <v>629</v>
      </c>
      <c r="P1579" s="3" t="s">
        <v>66</v>
      </c>
      <c r="Q1579" s="2" t="s">
        <v>14144</v>
      </c>
      <c r="R1579" s="3" t="s">
        <v>67</v>
      </c>
      <c r="S1579" s="4">
        <v>0</v>
      </c>
      <c r="T1579" s="4">
        <v>0</v>
      </c>
      <c r="W1579" s="5" t="s">
        <v>69</v>
      </c>
      <c r="X1579" s="5" t="s">
        <v>69</v>
      </c>
      <c r="Y1579" s="4">
        <v>77</v>
      </c>
      <c r="Z1579" s="4">
        <v>7</v>
      </c>
      <c r="AA1579" s="4">
        <v>13</v>
      </c>
      <c r="AB1579" s="4">
        <v>2</v>
      </c>
      <c r="AC1579" s="4">
        <v>3</v>
      </c>
      <c r="AD1579" s="4">
        <v>27</v>
      </c>
      <c r="AE1579" s="4">
        <v>37</v>
      </c>
      <c r="AF1579" s="4">
        <v>0</v>
      </c>
      <c r="AG1579" s="4">
        <v>1</v>
      </c>
      <c r="AH1579" s="4">
        <v>25</v>
      </c>
      <c r="AI1579" s="4">
        <v>34</v>
      </c>
      <c r="AJ1579" s="4">
        <v>3</v>
      </c>
      <c r="AK1579" s="4">
        <v>5</v>
      </c>
      <c r="AL1579" s="4">
        <v>16</v>
      </c>
      <c r="AM1579" s="4">
        <v>19</v>
      </c>
      <c r="AN1579" s="4">
        <v>0</v>
      </c>
      <c r="AO1579" s="4">
        <v>0</v>
      </c>
      <c r="AP1579" s="4">
        <v>3</v>
      </c>
      <c r="AQ1579" s="4">
        <v>6</v>
      </c>
      <c r="AR1579" s="3" t="s">
        <v>63</v>
      </c>
      <c r="AS1579" s="3" t="s">
        <v>63</v>
      </c>
      <c r="AT1579" s="3" t="s">
        <v>63</v>
      </c>
      <c r="AV1579" s="6" t="str">
        <f>HYPERLINK("http://mcgill.on.worldcat.org/oclc/711051753","Catalog Record")</f>
        <v>Catalog Record</v>
      </c>
      <c r="AW1579" s="6" t="str">
        <f>HYPERLINK("http://www.worldcat.org/oclc/711051753","WorldCat Record")</f>
        <v>WorldCat Record</v>
      </c>
      <c r="AX1579" s="3" t="s">
        <v>14145</v>
      </c>
      <c r="AY1579" s="3" t="s">
        <v>14146</v>
      </c>
      <c r="AZ1579" s="3" t="s">
        <v>14147</v>
      </c>
      <c r="BA1579" s="3" t="s">
        <v>14147</v>
      </c>
      <c r="BB1579" s="3" t="s">
        <v>14148</v>
      </c>
      <c r="BC1579" s="3" t="s">
        <v>82</v>
      </c>
      <c r="BD1579" s="3" t="s">
        <v>70</v>
      </c>
      <c r="BE1579" s="3" t="s">
        <v>14149</v>
      </c>
      <c r="BF1579" s="3" t="s">
        <v>14148</v>
      </c>
      <c r="BG1579" s="3" t="s">
        <v>14150</v>
      </c>
    </row>
    <row r="1580" spans="1:59" ht="60" x14ac:dyDescent="0.25">
      <c r="A1580" s="2" t="s">
        <v>59</v>
      </c>
      <c r="B1580" s="2" t="s">
        <v>60</v>
      </c>
      <c r="C1580" s="2" t="s">
        <v>14151</v>
      </c>
      <c r="D1580" s="2" t="s">
        <v>14152</v>
      </c>
      <c r="E1580" s="2" t="s">
        <v>14153</v>
      </c>
      <c r="G1580" s="3" t="s">
        <v>63</v>
      </c>
      <c r="I1580" s="3" t="s">
        <v>63</v>
      </c>
      <c r="J1580" s="3" t="s">
        <v>62</v>
      </c>
      <c r="K1580" s="3" t="s">
        <v>215</v>
      </c>
      <c r="L1580" s="2" t="s">
        <v>13703</v>
      </c>
      <c r="M1580" s="2" t="s">
        <v>14154</v>
      </c>
      <c r="N1580" s="3" t="s">
        <v>1402</v>
      </c>
      <c r="P1580" s="3" t="s">
        <v>66</v>
      </c>
      <c r="Q1580" s="2" t="s">
        <v>14155</v>
      </c>
      <c r="R1580" s="3" t="s">
        <v>67</v>
      </c>
      <c r="S1580" s="4">
        <v>14</v>
      </c>
      <c r="T1580" s="4">
        <v>14</v>
      </c>
      <c r="U1580" s="5" t="s">
        <v>14156</v>
      </c>
      <c r="V1580" s="5" t="s">
        <v>14156</v>
      </c>
      <c r="W1580" s="5" t="s">
        <v>69</v>
      </c>
      <c r="X1580" s="5" t="s">
        <v>69</v>
      </c>
      <c r="Y1580" s="4">
        <v>4</v>
      </c>
      <c r="Z1580" s="4">
        <v>4</v>
      </c>
      <c r="AA1580" s="4">
        <v>74</v>
      </c>
      <c r="AB1580" s="4">
        <v>1</v>
      </c>
      <c r="AC1580" s="4">
        <v>6</v>
      </c>
      <c r="AD1580" s="4">
        <v>1</v>
      </c>
      <c r="AE1580" s="4">
        <v>149</v>
      </c>
      <c r="AF1580" s="4">
        <v>0</v>
      </c>
      <c r="AG1580" s="4">
        <v>2</v>
      </c>
      <c r="AH1580" s="4">
        <v>1</v>
      </c>
      <c r="AI1580" s="4">
        <v>113</v>
      </c>
      <c r="AJ1580" s="4">
        <v>1</v>
      </c>
      <c r="AK1580" s="4">
        <v>22</v>
      </c>
      <c r="AL1580" s="4">
        <v>1</v>
      </c>
      <c r="AM1580" s="4">
        <v>63</v>
      </c>
      <c r="AN1580" s="4">
        <v>0</v>
      </c>
      <c r="AO1580" s="4">
        <v>15</v>
      </c>
      <c r="AP1580" s="4">
        <v>1</v>
      </c>
      <c r="AQ1580" s="4">
        <v>42</v>
      </c>
      <c r="AR1580" s="3" t="s">
        <v>63</v>
      </c>
      <c r="AS1580" s="3" t="s">
        <v>63</v>
      </c>
      <c r="AT1580" s="3" t="s">
        <v>62</v>
      </c>
      <c r="AU1580" s="6" t="str">
        <f>HYPERLINK("http://catalog.hathitrust.org/Record/000966002","HathiTrust Record")</f>
        <v>HathiTrust Record</v>
      </c>
      <c r="AV1580" s="6" t="str">
        <f>HYPERLINK("http://mcgill.on.worldcat.org/oclc/427854675","Catalog Record")</f>
        <v>Catalog Record</v>
      </c>
      <c r="AW1580" s="6" t="str">
        <f>HYPERLINK("http://www.worldcat.org/oclc/427854675","WorldCat Record")</f>
        <v>WorldCat Record</v>
      </c>
      <c r="AX1580" s="3" t="s">
        <v>14157</v>
      </c>
      <c r="AY1580" s="3" t="s">
        <v>14158</v>
      </c>
      <c r="AZ1580" s="3" t="s">
        <v>14159</v>
      </c>
      <c r="BA1580" s="3" t="s">
        <v>14159</v>
      </c>
      <c r="BB1580" s="3" t="s">
        <v>14160</v>
      </c>
      <c r="BC1580" s="3" t="s">
        <v>82</v>
      </c>
      <c r="BD1580" s="3" t="s">
        <v>70</v>
      </c>
      <c r="BF1580" s="3" t="s">
        <v>14160</v>
      </c>
      <c r="BG1580" s="3" t="s">
        <v>14161</v>
      </c>
    </row>
    <row r="1581" spans="1:59" ht="60" x14ac:dyDescent="0.25">
      <c r="A1581" s="2" t="s">
        <v>59</v>
      </c>
      <c r="B1581" s="2" t="s">
        <v>60</v>
      </c>
      <c r="C1581" s="2" t="s">
        <v>14162</v>
      </c>
      <c r="D1581" s="2" t="s">
        <v>14163</v>
      </c>
      <c r="E1581" s="2" t="s">
        <v>14164</v>
      </c>
      <c r="G1581" s="3" t="s">
        <v>63</v>
      </c>
      <c r="I1581" s="3" t="s">
        <v>63</v>
      </c>
      <c r="J1581" s="3" t="s">
        <v>62</v>
      </c>
      <c r="K1581" s="3" t="s">
        <v>215</v>
      </c>
      <c r="L1581" s="2" t="s">
        <v>13703</v>
      </c>
      <c r="M1581" s="2" t="s">
        <v>11844</v>
      </c>
      <c r="N1581" s="3" t="s">
        <v>1226</v>
      </c>
      <c r="O1581" s="2" t="s">
        <v>14165</v>
      </c>
      <c r="P1581" s="3" t="s">
        <v>66</v>
      </c>
      <c r="R1581" s="3" t="s">
        <v>67</v>
      </c>
      <c r="S1581" s="4">
        <v>4</v>
      </c>
      <c r="T1581" s="4">
        <v>4</v>
      </c>
      <c r="U1581" s="5" t="s">
        <v>7236</v>
      </c>
      <c r="V1581" s="5" t="s">
        <v>7236</v>
      </c>
      <c r="W1581" s="5" t="s">
        <v>69</v>
      </c>
      <c r="X1581" s="5" t="s">
        <v>69</v>
      </c>
      <c r="Y1581" s="4">
        <v>220</v>
      </c>
      <c r="Z1581" s="4">
        <v>13</v>
      </c>
      <c r="AA1581" s="4">
        <v>67</v>
      </c>
      <c r="AB1581" s="4">
        <v>1</v>
      </c>
      <c r="AC1581" s="4">
        <v>6</v>
      </c>
      <c r="AD1581" s="4">
        <v>74</v>
      </c>
      <c r="AE1581" s="4">
        <v>132</v>
      </c>
      <c r="AF1581" s="4">
        <v>0</v>
      </c>
      <c r="AG1581" s="4">
        <v>2</v>
      </c>
      <c r="AH1581" s="4">
        <v>70</v>
      </c>
      <c r="AI1581" s="4">
        <v>110</v>
      </c>
      <c r="AJ1581" s="4">
        <v>7</v>
      </c>
      <c r="AK1581" s="4">
        <v>19</v>
      </c>
      <c r="AL1581" s="4">
        <v>43</v>
      </c>
      <c r="AM1581" s="4">
        <v>58</v>
      </c>
      <c r="AN1581" s="4">
        <v>0</v>
      </c>
      <c r="AO1581" s="4">
        <v>12</v>
      </c>
      <c r="AP1581" s="4">
        <v>7</v>
      </c>
      <c r="AQ1581" s="4">
        <v>31</v>
      </c>
      <c r="AR1581" s="3" t="s">
        <v>63</v>
      </c>
      <c r="AS1581" s="3" t="s">
        <v>63</v>
      </c>
      <c r="AT1581" s="3" t="s">
        <v>62</v>
      </c>
      <c r="AU1581" s="6" t="str">
        <f>HYPERLINK("http://catalog.hathitrust.org/Record/004317474","HathiTrust Record")</f>
        <v>HathiTrust Record</v>
      </c>
      <c r="AV1581" s="6" t="str">
        <f>HYPERLINK("http://mcgill.on.worldcat.org/oclc/50339644","Catalog Record")</f>
        <v>Catalog Record</v>
      </c>
      <c r="AW1581" s="6" t="str">
        <f>HYPERLINK("http://www.worldcat.org/oclc/50339644","WorldCat Record")</f>
        <v>WorldCat Record</v>
      </c>
      <c r="AX1581" s="3" t="s">
        <v>14166</v>
      </c>
      <c r="AY1581" s="3" t="s">
        <v>14167</v>
      </c>
      <c r="AZ1581" s="3" t="s">
        <v>14168</v>
      </c>
      <c r="BA1581" s="3" t="s">
        <v>14168</v>
      </c>
      <c r="BB1581" s="3" t="s">
        <v>14169</v>
      </c>
      <c r="BC1581" s="3" t="s">
        <v>82</v>
      </c>
      <c r="BD1581" s="3" t="s">
        <v>70</v>
      </c>
      <c r="BE1581" s="3" t="s">
        <v>14170</v>
      </c>
      <c r="BF1581" s="3" t="s">
        <v>14169</v>
      </c>
      <c r="BG1581" s="3" t="s">
        <v>14171</v>
      </c>
    </row>
    <row r="1582" spans="1:59" ht="60" x14ac:dyDescent="0.25">
      <c r="A1582" s="2" t="s">
        <v>59</v>
      </c>
      <c r="B1582" s="2" t="s">
        <v>60</v>
      </c>
      <c r="C1582" s="2" t="s">
        <v>14172</v>
      </c>
      <c r="D1582" s="2" t="s">
        <v>14173</v>
      </c>
      <c r="E1582" s="2" t="s">
        <v>14174</v>
      </c>
      <c r="G1582" s="3" t="s">
        <v>63</v>
      </c>
      <c r="I1582" s="3" t="s">
        <v>63</v>
      </c>
      <c r="J1582" s="3" t="s">
        <v>63</v>
      </c>
      <c r="K1582" s="3" t="s">
        <v>64</v>
      </c>
      <c r="L1582" s="2" t="s">
        <v>13703</v>
      </c>
      <c r="M1582" s="2" t="s">
        <v>14175</v>
      </c>
      <c r="N1582" s="3" t="s">
        <v>668</v>
      </c>
      <c r="P1582" s="3" t="s">
        <v>548</v>
      </c>
      <c r="Q1582" s="2" t="s">
        <v>14176</v>
      </c>
      <c r="R1582" s="3" t="s">
        <v>67</v>
      </c>
      <c r="S1582" s="4">
        <v>42</v>
      </c>
      <c r="T1582" s="4">
        <v>42</v>
      </c>
      <c r="U1582" s="5" t="s">
        <v>14177</v>
      </c>
      <c r="V1582" s="5" t="s">
        <v>14177</v>
      </c>
      <c r="W1582" s="5" t="s">
        <v>69</v>
      </c>
      <c r="X1582" s="5" t="s">
        <v>69</v>
      </c>
      <c r="Y1582" s="4">
        <v>0</v>
      </c>
      <c r="Z1582" s="4">
        <v>0</v>
      </c>
      <c r="AA1582" s="4">
        <v>11</v>
      </c>
      <c r="AB1582" s="4">
        <v>0</v>
      </c>
      <c r="AC1582" s="4">
        <v>5</v>
      </c>
      <c r="AD1582" s="4">
        <v>0</v>
      </c>
      <c r="AE1582" s="4">
        <v>31</v>
      </c>
      <c r="AF1582" s="4">
        <v>0</v>
      </c>
      <c r="AG1582" s="4">
        <v>3</v>
      </c>
      <c r="AH1582" s="4">
        <v>0</v>
      </c>
      <c r="AI1582" s="4">
        <v>27</v>
      </c>
      <c r="AJ1582" s="4">
        <v>0</v>
      </c>
      <c r="AK1582" s="4">
        <v>6</v>
      </c>
      <c r="AL1582" s="4">
        <v>0</v>
      </c>
      <c r="AM1582" s="4">
        <v>17</v>
      </c>
      <c r="AN1582" s="4">
        <v>0</v>
      </c>
      <c r="AO1582" s="4">
        <v>0</v>
      </c>
      <c r="AP1582" s="4">
        <v>0</v>
      </c>
      <c r="AQ1582" s="4">
        <v>7</v>
      </c>
      <c r="AR1582" s="3" t="s">
        <v>63</v>
      </c>
      <c r="AS1582" s="3" t="s">
        <v>63</v>
      </c>
      <c r="AT1582" s="3" t="s">
        <v>63</v>
      </c>
      <c r="AV1582" s="6" t="str">
        <f>HYPERLINK("http://mcgill.on.worldcat.org/oclc/427232721","Catalog Record")</f>
        <v>Catalog Record</v>
      </c>
      <c r="AW1582" s="6" t="str">
        <f>HYPERLINK("http://www.worldcat.org/oclc/427232721","WorldCat Record")</f>
        <v>WorldCat Record</v>
      </c>
      <c r="AX1582" s="3" t="s">
        <v>14178</v>
      </c>
      <c r="AY1582" s="3" t="s">
        <v>14179</v>
      </c>
      <c r="AZ1582" s="3" t="s">
        <v>14180</v>
      </c>
      <c r="BA1582" s="3" t="s">
        <v>14180</v>
      </c>
      <c r="BB1582" s="3" t="s">
        <v>14181</v>
      </c>
      <c r="BC1582" s="3" t="s">
        <v>82</v>
      </c>
      <c r="BD1582" s="3" t="s">
        <v>538</v>
      </c>
      <c r="BE1582" s="3" t="s">
        <v>14182</v>
      </c>
      <c r="BF1582" s="3" t="s">
        <v>14181</v>
      </c>
      <c r="BG1582" s="3" t="s">
        <v>14183</v>
      </c>
    </row>
    <row r="1583" spans="1:59" ht="60" x14ac:dyDescent="0.25">
      <c r="A1583" s="2" t="s">
        <v>59</v>
      </c>
      <c r="B1583" s="2" t="s">
        <v>60</v>
      </c>
      <c r="C1583" s="2" t="s">
        <v>14184</v>
      </c>
      <c r="D1583" s="2" t="s">
        <v>14185</v>
      </c>
      <c r="E1583" s="2" t="s">
        <v>14186</v>
      </c>
      <c r="G1583" s="3" t="s">
        <v>63</v>
      </c>
      <c r="I1583" s="3" t="s">
        <v>63</v>
      </c>
      <c r="J1583" s="3" t="s">
        <v>63</v>
      </c>
      <c r="K1583" s="3" t="s">
        <v>64</v>
      </c>
      <c r="L1583" s="2" t="s">
        <v>14187</v>
      </c>
      <c r="M1583" s="2" t="s">
        <v>14188</v>
      </c>
      <c r="N1583" s="3" t="s">
        <v>374</v>
      </c>
      <c r="P1583" s="3" t="s">
        <v>66</v>
      </c>
      <c r="Q1583" s="2" t="s">
        <v>14189</v>
      </c>
      <c r="R1583" s="3" t="s">
        <v>67</v>
      </c>
      <c r="S1583" s="4">
        <v>20</v>
      </c>
      <c r="T1583" s="4">
        <v>20</v>
      </c>
      <c r="U1583" s="5" t="s">
        <v>3117</v>
      </c>
      <c r="V1583" s="5" t="s">
        <v>3117</v>
      </c>
      <c r="W1583" s="5" t="s">
        <v>69</v>
      </c>
      <c r="X1583" s="5" t="s">
        <v>69</v>
      </c>
      <c r="Y1583" s="4">
        <v>125</v>
      </c>
      <c r="Z1583" s="4">
        <v>14</v>
      </c>
      <c r="AA1583" s="4">
        <v>15</v>
      </c>
      <c r="AB1583" s="4">
        <v>1</v>
      </c>
      <c r="AC1583" s="4">
        <v>2</v>
      </c>
      <c r="AD1583" s="4">
        <v>69</v>
      </c>
      <c r="AE1583" s="4">
        <v>70</v>
      </c>
      <c r="AF1583" s="4">
        <v>0</v>
      </c>
      <c r="AG1583" s="4">
        <v>1</v>
      </c>
      <c r="AH1583" s="4">
        <v>64</v>
      </c>
      <c r="AI1583" s="4">
        <v>65</v>
      </c>
      <c r="AJ1583" s="4">
        <v>12</v>
      </c>
      <c r="AK1583" s="4">
        <v>13</v>
      </c>
      <c r="AL1583" s="4">
        <v>37</v>
      </c>
      <c r="AM1583" s="4">
        <v>37</v>
      </c>
      <c r="AN1583" s="4">
        <v>0</v>
      </c>
      <c r="AO1583" s="4">
        <v>0</v>
      </c>
      <c r="AP1583" s="4">
        <v>12</v>
      </c>
      <c r="AQ1583" s="4">
        <v>13</v>
      </c>
      <c r="AR1583" s="3" t="s">
        <v>63</v>
      </c>
      <c r="AS1583" s="3" t="s">
        <v>63</v>
      </c>
      <c r="AT1583" s="3" t="s">
        <v>62</v>
      </c>
      <c r="AU1583" s="6" t="str">
        <f>HYPERLINK("http://catalog.hathitrust.org/Record/003066737","HathiTrust Record")</f>
        <v>HathiTrust Record</v>
      </c>
      <c r="AV1583" s="6" t="str">
        <f>HYPERLINK("http://mcgill.on.worldcat.org/oclc/30738982","Catalog Record")</f>
        <v>Catalog Record</v>
      </c>
      <c r="AW1583" s="6" t="str">
        <f>HYPERLINK("http://www.worldcat.org/oclc/30738982","WorldCat Record")</f>
        <v>WorldCat Record</v>
      </c>
      <c r="AX1583" s="3" t="s">
        <v>14190</v>
      </c>
      <c r="AY1583" s="3" t="s">
        <v>14191</v>
      </c>
      <c r="AZ1583" s="3" t="s">
        <v>14192</v>
      </c>
      <c r="BA1583" s="3" t="s">
        <v>14192</v>
      </c>
      <c r="BB1583" s="3" t="s">
        <v>14193</v>
      </c>
      <c r="BC1583" s="3" t="s">
        <v>82</v>
      </c>
      <c r="BD1583" s="3" t="s">
        <v>70</v>
      </c>
      <c r="BE1583" s="3" t="s">
        <v>14194</v>
      </c>
      <c r="BF1583" s="3" t="s">
        <v>14193</v>
      </c>
      <c r="BG1583" s="3" t="s">
        <v>14195</v>
      </c>
    </row>
    <row r="1584" spans="1:59" ht="60" x14ac:dyDescent="0.25">
      <c r="A1584" s="2" t="s">
        <v>59</v>
      </c>
      <c r="B1584" s="2" t="s">
        <v>60</v>
      </c>
      <c r="C1584" s="2" t="s">
        <v>14196</v>
      </c>
      <c r="D1584" s="2" t="s">
        <v>14197</v>
      </c>
      <c r="E1584" s="2" t="s">
        <v>14198</v>
      </c>
      <c r="G1584" s="3" t="s">
        <v>63</v>
      </c>
      <c r="I1584" s="3" t="s">
        <v>62</v>
      </c>
      <c r="J1584" s="3" t="s">
        <v>63</v>
      </c>
      <c r="K1584" s="3" t="s">
        <v>64</v>
      </c>
      <c r="L1584" s="2" t="s">
        <v>7750</v>
      </c>
      <c r="M1584" s="2" t="s">
        <v>14199</v>
      </c>
      <c r="N1584" s="3" t="s">
        <v>468</v>
      </c>
      <c r="P1584" s="3" t="s">
        <v>66</v>
      </c>
      <c r="R1584" s="3" t="s">
        <v>67</v>
      </c>
      <c r="S1584" s="4">
        <v>31</v>
      </c>
      <c r="T1584" s="4">
        <v>54</v>
      </c>
      <c r="U1584" s="5" t="s">
        <v>13892</v>
      </c>
      <c r="V1584" s="5" t="s">
        <v>13892</v>
      </c>
      <c r="W1584" s="5" t="s">
        <v>69</v>
      </c>
      <c r="X1584" s="5" t="s">
        <v>69</v>
      </c>
      <c r="Y1584" s="4">
        <v>582</v>
      </c>
      <c r="Z1584" s="4">
        <v>33</v>
      </c>
      <c r="AA1584" s="4">
        <v>35</v>
      </c>
      <c r="AB1584" s="4">
        <v>3</v>
      </c>
      <c r="AC1584" s="4">
        <v>4</v>
      </c>
      <c r="AD1584" s="4">
        <v>120</v>
      </c>
      <c r="AE1584" s="4">
        <v>125</v>
      </c>
      <c r="AF1584" s="4">
        <v>1</v>
      </c>
      <c r="AG1584" s="4">
        <v>2</v>
      </c>
      <c r="AH1584" s="4">
        <v>106</v>
      </c>
      <c r="AI1584" s="4">
        <v>109</v>
      </c>
      <c r="AJ1584" s="4">
        <v>20</v>
      </c>
      <c r="AK1584" s="4">
        <v>21</v>
      </c>
      <c r="AL1584" s="4">
        <v>55</v>
      </c>
      <c r="AM1584" s="4">
        <v>58</v>
      </c>
      <c r="AN1584" s="4">
        <v>0</v>
      </c>
      <c r="AO1584" s="4">
        <v>0</v>
      </c>
      <c r="AP1584" s="4">
        <v>23</v>
      </c>
      <c r="AQ1584" s="4">
        <v>24</v>
      </c>
      <c r="AR1584" s="3" t="s">
        <v>63</v>
      </c>
      <c r="AS1584" s="3" t="s">
        <v>63</v>
      </c>
      <c r="AT1584" s="3" t="s">
        <v>62</v>
      </c>
      <c r="AU1584" s="6" t="str">
        <f>HYPERLINK("http://catalog.hathitrust.org/Record/000706739","HathiTrust Record")</f>
        <v>HathiTrust Record</v>
      </c>
      <c r="AV1584" s="6" t="str">
        <f>HYPERLINK("http://mcgill.on.worldcat.org/oclc/2225044","Catalog Record")</f>
        <v>Catalog Record</v>
      </c>
      <c r="AW1584" s="6" t="str">
        <f>HYPERLINK("http://www.worldcat.org/oclc/2225044","WorldCat Record")</f>
        <v>WorldCat Record</v>
      </c>
      <c r="AX1584" s="3" t="s">
        <v>14200</v>
      </c>
      <c r="AY1584" s="3" t="s">
        <v>14201</v>
      </c>
      <c r="AZ1584" s="3" t="s">
        <v>14202</v>
      </c>
      <c r="BA1584" s="3" t="s">
        <v>14202</v>
      </c>
      <c r="BB1584" s="3" t="s">
        <v>14203</v>
      </c>
      <c r="BC1584" s="3" t="s">
        <v>82</v>
      </c>
      <c r="BD1584" s="3" t="s">
        <v>70</v>
      </c>
      <c r="BE1584" s="3" t="s">
        <v>14204</v>
      </c>
      <c r="BF1584" s="3" t="s">
        <v>14203</v>
      </c>
      <c r="BG1584" s="3" t="s">
        <v>14205</v>
      </c>
    </row>
    <row r="1585" spans="1:59" ht="60" x14ac:dyDescent="0.25">
      <c r="A1585" s="2" t="s">
        <v>59</v>
      </c>
      <c r="B1585" s="2" t="s">
        <v>60</v>
      </c>
      <c r="C1585" s="2" t="s">
        <v>14196</v>
      </c>
      <c r="D1585" s="2" t="s">
        <v>14197</v>
      </c>
      <c r="E1585" s="2" t="s">
        <v>14198</v>
      </c>
      <c r="G1585" s="3" t="s">
        <v>63</v>
      </c>
      <c r="I1585" s="3" t="s">
        <v>62</v>
      </c>
      <c r="J1585" s="3" t="s">
        <v>63</v>
      </c>
      <c r="K1585" s="3" t="s">
        <v>64</v>
      </c>
      <c r="L1585" s="2" t="s">
        <v>7750</v>
      </c>
      <c r="M1585" s="2" t="s">
        <v>14199</v>
      </c>
      <c r="N1585" s="3" t="s">
        <v>468</v>
      </c>
      <c r="P1585" s="3" t="s">
        <v>66</v>
      </c>
      <c r="R1585" s="3" t="s">
        <v>67</v>
      </c>
      <c r="S1585" s="4">
        <v>23</v>
      </c>
      <c r="T1585" s="4">
        <v>54</v>
      </c>
      <c r="U1585" s="5" t="s">
        <v>14206</v>
      </c>
      <c r="V1585" s="5" t="s">
        <v>13892</v>
      </c>
      <c r="W1585" s="5" t="s">
        <v>69</v>
      </c>
      <c r="X1585" s="5" t="s">
        <v>69</v>
      </c>
      <c r="Y1585" s="4">
        <v>582</v>
      </c>
      <c r="Z1585" s="4">
        <v>33</v>
      </c>
      <c r="AA1585" s="4">
        <v>35</v>
      </c>
      <c r="AB1585" s="4">
        <v>3</v>
      </c>
      <c r="AC1585" s="4">
        <v>4</v>
      </c>
      <c r="AD1585" s="4">
        <v>120</v>
      </c>
      <c r="AE1585" s="4">
        <v>125</v>
      </c>
      <c r="AF1585" s="4">
        <v>1</v>
      </c>
      <c r="AG1585" s="4">
        <v>2</v>
      </c>
      <c r="AH1585" s="4">
        <v>106</v>
      </c>
      <c r="AI1585" s="4">
        <v>109</v>
      </c>
      <c r="AJ1585" s="4">
        <v>20</v>
      </c>
      <c r="AK1585" s="4">
        <v>21</v>
      </c>
      <c r="AL1585" s="4">
        <v>55</v>
      </c>
      <c r="AM1585" s="4">
        <v>58</v>
      </c>
      <c r="AN1585" s="4">
        <v>0</v>
      </c>
      <c r="AO1585" s="4">
        <v>0</v>
      </c>
      <c r="AP1585" s="4">
        <v>23</v>
      </c>
      <c r="AQ1585" s="4">
        <v>24</v>
      </c>
      <c r="AR1585" s="3" t="s">
        <v>63</v>
      </c>
      <c r="AS1585" s="3" t="s">
        <v>63</v>
      </c>
      <c r="AT1585" s="3" t="s">
        <v>62</v>
      </c>
      <c r="AU1585" s="6" t="str">
        <f>HYPERLINK("http://catalog.hathitrust.org/Record/000706739","HathiTrust Record")</f>
        <v>HathiTrust Record</v>
      </c>
      <c r="AV1585" s="6" t="str">
        <f>HYPERLINK("http://mcgill.on.worldcat.org/oclc/2225044","Catalog Record")</f>
        <v>Catalog Record</v>
      </c>
      <c r="AW1585" s="6" t="str">
        <f>HYPERLINK("http://www.worldcat.org/oclc/2225044","WorldCat Record")</f>
        <v>WorldCat Record</v>
      </c>
      <c r="AX1585" s="3" t="s">
        <v>14200</v>
      </c>
      <c r="AY1585" s="3" t="s">
        <v>14201</v>
      </c>
      <c r="AZ1585" s="3" t="s">
        <v>14202</v>
      </c>
      <c r="BA1585" s="3" t="s">
        <v>14202</v>
      </c>
      <c r="BB1585" s="3" t="s">
        <v>14207</v>
      </c>
      <c r="BC1585" s="3" t="s">
        <v>82</v>
      </c>
      <c r="BD1585" s="3" t="s">
        <v>70</v>
      </c>
      <c r="BE1585" s="3" t="s">
        <v>14204</v>
      </c>
      <c r="BF1585" s="3" t="s">
        <v>14207</v>
      </c>
      <c r="BG1585" s="3" t="s">
        <v>14208</v>
      </c>
    </row>
    <row r="1586" spans="1:59" ht="60" x14ac:dyDescent="0.25">
      <c r="A1586" s="2" t="s">
        <v>59</v>
      </c>
      <c r="B1586" s="2" t="s">
        <v>60</v>
      </c>
      <c r="C1586" s="2" t="s">
        <v>14209</v>
      </c>
      <c r="D1586" s="2" t="s">
        <v>14210</v>
      </c>
      <c r="E1586" s="2" t="s">
        <v>14211</v>
      </c>
      <c r="G1586" s="3" t="s">
        <v>63</v>
      </c>
      <c r="I1586" s="3" t="s">
        <v>63</v>
      </c>
      <c r="J1586" s="3" t="s">
        <v>63</v>
      </c>
      <c r="K1586" s="3" t="s">
        <v>64</v>
      </c>
      <c r="L1586" s="2" t="s">
        <v>14212</v>
      </c>
      <c r="M1586" s="2" t="s">
        <v>14213</v>
      </c>
      <c r="N1586" s="3" t="s">
        <v>2393</v>
      </c>
      <c r="P1586" s="3" t="s">
        <v>66</v>
      </c>
      <c r="Q1586" s="2" t="s">
        <v>14214</v>
      </c>
      <c r="R1586" s="3" t="s">
        <v>67</v>
      </c>
      <c r="S1586" s="4">
        <v>48</v>
      </c>
      <c r="T1586" s="4">
        <v>48</v>
      </c>
      <c r="U1586" s="5" t="s">
        <v>10605</v>
      </c>
      <c r="V1586" s="5" t="s">
        <v>10605</v>
      </c>
      <c r="W1586" s="5" t="s">
        <v>69</v>
      </c>
      <c r="X1586" s="5" t="s">
        <v>69</v>
      </c>
      <c r="Y1586" s="4">
        <v>830</v>
      </c>
      <c r="Z1586" s="4">
        <v>36</v>
      </c>
      <c r="AA1586" s="4">
        <v>44</v>
      </c>
      <c r="AB1586" s="4">
        <v>2</v>
      </c>
      <c r="AC1586" s="4">
        <v>4</v>
      </c>
      <c r="AD1586" s="4">
        <v>107</v>
      </c>
      <c r="AE1586" s="4">
        <v>118</v>
      </c>
      <c r="AF1586" s="4">
        <v>1</v>
      </c>
      <c r="AG1586" s="4">
        <v>2</v>
      </c>
      <c r="AH1586" s="4">
        <v>91</v>
      </c>
      <c r="AI1586" s="4">
        <v>98</v>
      </c>
      <c r="AJ1586" s="4">
        <v>14</v>
      </c>
      <c r="AK1586" s="4">
        <v>20</v>
      </c>
      <c r="AL1586" s="4">
        <v>51</v>
      </c>
      <c r="AM1586" s="4">
        <v>52</v>
      </c>
      <c r="AN1586" s="4">
        <v>0</v>
      </c>
      <c r="AO1586" s="4">
        <v>0</v>
      </c>
      <c r="AP1586" s="4">
        <v>21</v>
      </c>
      <c r="AQ1586" s="4">
        <v>27</v>
      </c>
      <c r="AR1586" s="3" t="s">
        <v>63</v>
      </c>
      <c r="AS1586" s="3" t="s">
        <v>63</v>
      </c>
      <c r="AT1586" s="3" t="s">
        <v>62</v>
      </c>
      <c r="AU1586" s="6" t="str">
        <f>HYPERLINK("http://catalog.hathitrust.org/Record/001227903","HathiTrust Record")</f>
        <v>HathiTrust Record</v>
      </c>
      <c r="AV1586" s="6" t="str">
        <f>HYPERLINK("http://mcgill.on.worldcat.org/oclc/730791","Catalog Record")</f>
        <v>Catalog Record</v>
      </c>
      <c r="AW1586" s="6" t="str">
        <f>HYPERLINK("http://www.worldcat.org/oclc/730791","WorldCat Record")</f>
        <v>WorldCat Record</v>
      </c>
      <c r="AX1586" s="3" t="s">
        <v>14215</v>
      </c>
      <c r="AY1586" s="3" t="s">
        <v>14216</v>
      </c>
      <c r="AZ1586" s="3" t="s">
        <v>14217</v>
      </c>
      <c r="BA1586" s="3" t="s">
        <v>14217</v>
      </c>
      <c r="BB1586" s="3" t="s">
        <v>14218</v>
      </c>
      <c r="BC1586" s="3" t="s">
        <v>82</v>
      </c>
      <c r="BD1586" s="3" t="s">
        <v>70</v>
      </c>
      <c r="BE1586" s="3" t="s">
        <v>14219</v>
      </c>
      <c r="BF1586" s="3" t="s">
        <v>14218</v>
      </c>
      <c r="BG1586" s="3" t="s">
        <v>14220</v>
      </c>
    </row>
    <row r="1587" spans="1:59" ht="60" x14ac:dyDescent="0.25">
      <c r="A1587" s="2" t="s">
        <v>59</v>
      </c>
      <c r="B1587" s="2" t="s">
        <v>60</v>
      </c>
      <c r="C1587" s="2" t="s">
        <v>14221</v>
      </c>
      <c r="D1587" s="2" t="s">
        <v>14222</v>
      </c>
      <c r="E1587" s="2" t="s">
        <v>14223</v>
      </c>
      <c r="G1587" s="3" t="s">
        <v>63</v>
      </c>
      <c r="I1587" s="3" t="s">
        <v>63</v>
      </c>
      <c r="J1587" s="3" t="s">
        <v>63</v>
      </c>
      <c r="K1587" s="3" t="s">
        <v>64</v>
      </c>
      <c r="L1587" s="2" t="s">
        <v>14224</v>
      </c>
      <c r="M1587" s="2" t="s">
        <v>6807</v>
      </c>
      <c r="N1587" s="3" t="s">
        <v>2103</v>
      </c>
      <c r="P1587" s="3" t="s">
        <v>66</v>
      </c>
      <c r="Q1587" s="2" t="s">
        <v>7327</v>
      </c>
      <c r="R1587" s="3" t="s">
        <v>67</v>
      </c>
      <c r="S1587" s="4">
        <v>9</v>
      </c>
      <c r="T1587" s="4">
        <v>9</v>
      </c>
      <c r="U1587" s="5" t="s">
        <v>1173</v>
      </c>
      <c r="V1587" s="5" t="s">
        <v>1173</v>
      </c>
      <c r="W1587" s="5" t="s">
        <v>69</v>
      </c>
      <c r="X1587" s="5" t="s">
        <v>69</v>
      </c>
      <c r="Y1587" s="4">
        <v>208</v>
      </c>
      <c r="Z1587" s="4">
        <v>16</v>
      </c>
      <c r="AA1587" s="4">
        <v>21</v>
      </c>
      <c r="AB1587" s="4">
        <v>1</v>
      </c>
      <c r="AC1587" s="4">
        <v>4</v>
      </c>
      <c r="AD1587" s="4">
        <v>97</v>
      </c>
      <c r="AE1587" s="4">
        <v>101</v>
      </c>
      <c r="AF1587" s="4">
        <v>0</v>
      </c>
      <c r="AG1587" s="4">
        <v>0</v>
      </c>
      <c r="AH1587" s="4">
        <v>89</v>
      </c>
      <c r="AI1587" s="4">
        <v>91</v>
      </c>
      <c r="AJ1587" s="4">
        <v>12</v>
      </c>
      <c r="AK1587" s="4">
        <v>12</v>
      </c>
      <c r="AL1587" s="4">
        <v>53</v>
      </c>
      <c r="AM1587" s="4">
        <v>54</v>
      </c>
      <c r="AN1587" s="4">
        <v>0</v>
      </c>
      <c r="AO1587" s="4">
        <v>0</v>
      </c>
      <c r="AP1587" s="4">
        <v>13</v>
      </c>
      <c r="AQ1587" s="4">
        <v>15</v>
      </c>
      <c r="AR1587" s="3" t="s">
        <v>63</v>
      </c>
      <c r="AS1587" s="3" t="s">
        <v>63</v>
      </c>
      <c r="AT1587" s="3" t="s">
        <v>62</v>
      </c>
      <c r="AU1587" s="6" t="str">
        <f>HYPERLINK("http://catalog.hathitrust.org/Record/004303509","HathiTrust Record")</f>
        <v>HathiTrust Record</v>
      </c>
      <c r="AV1587" s="6" t="str">
        <f>HYPERLINK("http://mcgill.on.worldcat.org/oclc/49602467","Catalog Record")</f>
        <v>Catalog Record</v>
      </c>
      <c r="AW1587" s="6" t="str">
        <f>HYPERLINK("http://www.worldcat.org/oclc/49602467","WorldCat Record")</f>
        <v>WorldCat Record</v>
      </c>
      <c r="AX1587" s="3" t="s">
        <v>14225</v>
      </c>
      <c r="AY1587" s="3" t="s">
        <v>14226</v>
      </c>
      <c r="AZ1587" s="3" t="s">
        <v>14227</v>
      </c>
      <c r="BA1587" s="3" t="s">
        <v>14227</v>
      </c>
      <c r="BB1587" s="3" t="s">
        <v>14228</v>
      </c>
      <c r="BC1587" s="3" t="s">
        <v>82</v>
      </c>
      <c r="BD1587" s="3" t="s">
        <v>70</v>
      </c>
      <c r="BE1587" s="3" t="s">
        <v>14229</v>
      </c>
      <c r="BF1587" s="3" t="s">
        <v>14228</v>
      </c>
      <c r="BG1587" s="3" t="s">
        <v>14230</v>
      </c>
    </row>
    <row r="1588" spans="1:59" ht="60" x14ac:dyDescent="0.25">
      <c r="A1588" s="2" t="s">
        <v>59</v>
      </c>
      <c r="B1588" s="2" t="s">
        <v>60</v>
      </c>
      <c r="C1588" s="2" t="s">
        <v>14231</v>
      </c>
      <c r="D1588" s="2" t="s">
        <v>14232</v>
      </c>
      <c r="E1588" s="2" t="s">
        <v>14233</v>
      </c>
      <c r="G1588" s="3" t="s">
        <v>63</v>
      </c>
      <c r="I1588" s="3" t="s">
        <v>63</v>
      </c>
      <c r="J1588" s="3" t="s">
        <v>62</v>
      </c>
      <c r="K1588" s="3" t="s">
        <v>64</v>
      </c>
      <c r="L1588" s="2" t="s">
        <v>14234</v>
      </c>
      <c r="M1588" s="2" t="s">
        <v>14235</v>
      </c>
      <c r="N1588" s="3" t="s">
        <v>2144</v>
      </c>
      <c r="P1588" s="3" t="s">
        <v>66</v>
      </c>
      <c r="Q1588" s="2" t="s">
        <v>14236</v>
      </c>
      <c r="R1588" s="3" t="s">
        <v>67</v>
      </c>
      <c r="S1588" s="4">
        <v>36</v>
      </c>
      <c r="T1588" s="4">
        <v>36</v>
      </c>
      <c r="U1588" s="5" t="s">
        <v>14237</v>
      </c>
      <c r="V1588" s="5" t="s">
        <v>14237</v>
      </c>
      <c r="W1588" s="5" t="s">
        <v>69</v>
      </c>
      <c r="X1588" s="5" t="s">
        <v>69</v>
      </c>
      <c r="Y1588" s="4">
        <v>485</v>
      </c>
      <c r="Z1588" s="4">
        <v>22</v>
      </c>
      <c r="AA1588" s="4">
        <v>52</v>
      </c>
      <c r="AB1588" s="4">
        <v>2</v>
      </c>
      <c r="AC1588" s="4">
        <v>6</v>
      </c>
      <c r="AD1588" s="4">
        <v>79</v>
      </c>
      <c r="AE1588" s="4">
        <v>138</v>
      </c>
      <c r="AF1588" s="4">
        <v>1</v>
      </c>
      <c r="AG1588" s="4">
        <v>3</v>
      </c>
      <c r="AH1588" s="4">
        <v>63</v>
      </c>
      <c r="AI1588" s="4">
        <v>109</v>
      </c>
      <c r="AJ1588" s="4">
        <v>10</v>
      </c>
      <c r="AK1588" s="4">
        <v>25</v>
      </c>
      <c r="AL1588" s="4">
        <v>41</v>
      </c>
      <c r="AM1588" s="4">
        <v>59</v>
      </c>
      <c r="AN1588" s="4">
        <v>0</v>
      </c>
      <c r="AO1588" s="4">
        <v>0</v>
      </c>
      <c r="AP1588" s="4">
        <v>15</v>
      </c>
      <c r="AQ1588" s="4">
        <v>34</v>
      </c>
      <c r="AR1588" s="3" t="s">
        <v>63</v>
      </c>
      <c r="AS1588" s="3" t="s">
        <v>63</v>
      </c>
      <c r="AT1588" s="3" t="s">
        <v>63</v>
      </c>
      <c r="AU1588" s="6" t="str">
        <f>HYPERLINK("http://catalog.hathitrust.org/Record/001353372","HathiTrust Record")</f>
        <v>HathiTrust Record</v>
      </c>
      <c r="AV1588" s="6" t="str">
        <f>HYPERLINK("http://mcgill.on.worldcat.org/oclc/321599","Catalog Record")</f>
        <v>Catalog Record</v>
      </c>
      <c r="AW1588" s="6" t="str">
        <f>HYPERLINK("http://www.worldcat.org/oclc/321599","WorldCat Record")</f>
        <v>WorldCat Record</v>
      </c>
      <c r="AX1588" s="3" t="s">
        <v>14238</v>
      </c>
      <c r="AY1588" s="3" t="s">
        <v>14239</v>
      </c>
      <c r="AZ1588" s="3" t="s">
        <v>14240</v>
      </c>
      <c r="BA1588" s="3" t="s">
        <v>14240</v>
      </c>
      <c r="BB1588" s="3" t="s">
        <v>14241</v>
      </c>
      <c r="BC1588" s="3" t="s">
        <v>82</v>
      </c>
      <c r="BD1588" s="3" t="s">
        <v>70</v>
      </c>
      <c r="BE1588" s="3" t="s">
        <v>14242</v>
      </c>
      <c r="BF1588" s="3" t="s">
        <v>14241</v>
      </c>
      <c r="BG1588" s="3" t="s">
        <v>14243</v>
      </c>
    </row>
    <row r="1589" spans="1:59" ht="60" x14ac:dyDescent="0.25">
      <c r="A1589" s="2" t="s">
        <v>59</v>
      </c>
      <c r="B1589" s="2" t="s">
        <v>60</v>
      </c>
      <c r="C1589" s="2" t="s">
        <v>14244</v>
      </c>
      <c r="D1589" s="2" t="s">
        <v>14245</v>
      </c>
      <c r="E1589" s="2" t="s">
        <v>14246</v>
      </c>
      <c r="G1589" s="3" t="s">
        <v>63</v>
      </c>
      <c r="I1589" s="3" t="s">
        <v>63</v>
      </c>
      <c r="J1589" s="3" t="s">
        <v>63</v>
      </c>
      <c r="K1589" s="3" t="s">
        <v>64</v>
      </c>
      <c r="L1589" s="2" t="s">
        <v>14247</v>
      </c>
      <c r="M1589" s="2" t="s">
        <v>14248</v>
      </c>
      <c r="N1589" s="3" t="s">
        <v>2225</v>
      </c>
      <c r="P1589" s="3" t="s">
        <v>66</v>
      </c>
      <c r="R1589" s="3" t="s">
        <v>67</v>
      </c>
      <c r="S1589" s="4">
        <v>27</v>
      </c>
      <c r="T1589" s="4">
        <v>27</v>
      </c>
      <c r="U1589" s="5" t="s">
        <v>12287</v>
      </c>
      <c r="V1589" s="5" t="s">
        <v>12287</v>
      </c>
      <c r="W1589" s="5" t="s">
        <v>69</v>
      </c>
      <c r="X1589" s="5" t="s">
        <v>69</v>
      </c>
      <c r="Y1589" s="4">
        <v>803</v>
      </c>
      <c r="Z1589" s="4">
        <v>35</v>
      </c>
      <c r="AA1589" s="4">
        <v>42</v>
      </c>
      <c r="AB1589" s="4">
        <v>1</v>
      </c>
      <c r="AC1589" s="4">
        <v>3</v>
      </c>
      <c r="AD1589" s="4">
        <v>120</v>
      </c>
      <c r="AE1589" s="4">
        <v>126</v>
      </c>
      <c r="AF1589" s="4">
        <v>0</v>
      </c>
      <c r="AG1589" s="4">
        <v>2</v>
      </c>
      <c r="AH1589" s="4">
        <v>102</v>
      </c>
      <c r="AI1589" s="4">
        <v>104</v>
      </c>
      <c r="AJ1589" s="4">
        <v>18</v>
      </c>
      <c r="AK1589" s="4">
        <v>22</v>
      </c>
      <c r="AL1589" s="4">
        <v>57</v>
      </c>
      <c r="AM1589" s="4">
        <v>58</v>
      </c>
      <c r="AN1589" s="4">
        <v>0</v>
      </c>
      <c r="AO1589" s="4">
        <v>0</v>
      </c>
      <c r="AP1589" s="4">
        <v>23</v>
      </c>
      <c r="AQ1589" s="4">
        <v>27</v>
      </c>
      <c r="AR1589" s="3" t="s">
        <v>63</v>
      </c>
      <c r="AS1589" s="3" t="s">
        <v>63</v>
      </c>
      <c r="AT1589" s="3" t="s">
        <v>62</v>
      </c>
      <c r="AU1589" s="6" t="str">
        <f>HYPERLINK("http://catalog.hathitrust.org/Record/001224757","HathiTrust Record")</f>
        <v>HathiTrust Record</v>
      </c>
      <c r="AV1589" s="6" t="str">
        <f>HYPERLINK("http://mcgill.on.worldcat.org/oclc/40697465","Catalog Record")</f>
        <v>Catalog Record</v>
      </c>
      <c r="AW1589" s="6" t="str">
        <f>HYPERLINK("http://www.worldcat.org/oclc/40697465","WorldCat Record")</f>
        <v>WorldCat Record</v>
      </c>
      <c r="AX1589" s="3" t="s">
        <v>14249</v>
      </c>
      <c r="AY1589" s="3" t="s">
        <v>14250</v>
      </c>
      <c r="AZ1589" s="3" t="s">
        <v>14251</v>
      </c>
      <c r="BA1589" s="3" t="s">
        <v>14251</v>
      </c>
      <c r="BB1589" s="3" t="s">
        <v>14252</v>
      </c>
      <c r="BC1589" s="3" t="s">
        <v>82</v>
      </c>
      <c r="BD1589" s="3" t="s">
        <v>70</v>
      </c>
      <c r="BF1589" s="3" t="s">
        <v>14252</v>
      </c>
      <c r="BG1589" s="3" t="s">
        <v>14253</v>
      </c>
    </row>
    <row r="1590" spans="1:59" ht="60" x14ac:dyDescent="0.25">
      <c r="A1590" s="2" t="s">
        <v>59</v>
      </c>
      <c r="B1590" s="2" t="s">
        <v>60</v>
      </c>
      <c r="C1590" s="2" t="s">
        <v>14254</v>
      </c>
      <c r="D1590" s="2" t="s">
        <v>14255</v>
      </c>
      <c r="E1590" s="2" t="s">
        <v>14256</v>
      </c>
      <c r="G1590" s="3" t="s">
        <v>63</v>
      </c>
      <c r="I1590" s="3" t="s">
        <v>63</v>
      </c>
      <c r="J1590" s="3" t="s">
        <v>63</v>
      </c>
      <c r="K1590" s="3" t="s">
        <v>64</v>
      </c>
      <c r="L1590" s="2" t="s">
        <v>14257</v>
      </c>
      <c r="M1590" s="2" t="s">
        <v>14258</v>
      </c>
      <c r="N1590" s="3" t="s">
        <v>849</v>
      </c>
      <c r="P1590" s="3" t="s">
        <v>90</v>
      </c>
      <c r="Q1590" s="2" t="s">
        <v>14259</v>
      </c>
      <c r="R1590" s="3" t="s">
        <v>67</v>
      </c>
      <c r="S1590" s="4">
        <v>3</v>
      </c>
      <c r="T1590" s="4">
        <v>3</v>
      </c>
      <c r="U1590" s="5" t="s">
        <v>14260</v>
      </c>
      <c r="V1590" s="5" t="s">
        <v>14260</v>
      </c>
      <c r="W1590" s="5" t="s">
        <v>69</v>
      </c>
      <c r="X1590" s="5" t="s">
        <v>69</v>
      </c>
      <c r="Y1590" s="4">
        <v>108</v>
      </c>
      <c r="Z1590" s="4">
        <v>13</v>
      </c>
      <c r="AA1590" s="4">
        <v>19</v>
      </c>
      <c r="AB1590" s="4">
        <v>2</v>
      </c>
      <c r="AC1590" s="4">
        <v>2</v>
      </c>
      <c r="AD1590" s="4">
        <v>61</v>
      </c>
      <c r="AE1590" s="4">
        <v>81</v>
      </c>
      <c r="AF1590" s="4">
        <v>1</v>
      </c>
      <c r="AG1590" s="4">
        <v>1</v>
      </c>
      <c r="AH1590" s="4">
        <v>56</v>
      </c>
      <c r="AI1590" s="4">
        <v>74</v>
      </c>
      <c r="AJ1590" s="4">
        <v>9</v>
      </c>
      <c r="AK1590" s="4">
        <v>14</v>
      </c>
      <c r="AL1590" s="4">
        <v>36</v>
      </c>
      <c r="AM1590" s="4">
        <v>48</v>
      </c>
      <c r="AN1590" s="4">
        <v>0</v>
      </c>
      <c r="AO1590" s="4">
        <v>3</v>
      </c>
      <c r="AP1590" s="4">
        <v>9</v>
      </c>
      <c r="AQ1590" s="4">
        <v>14</v>
      </c>
      <c r="AR1590" s="3" t="s">
        <v>63</v>
      </c>
      <c r="AS1590" s="3" t="s">
        <v>63</v>
      </c>
      <c r="AT1590" s="3" t="s">
        <v>62</v>
      </c>
      <c r="AU1590" s="6" t="str">
        <f>HYPERLINK("http://catalog.hathitrust.org/Record/000096238","HathiTrust Record")</f>
        <v>HathiTrust Record</v>
      </c>
      <c r="AV1590" s="6" t="str">
        <f>HYPERLINK("http://mcgill.on.worldcat.org/oclc/6277612","Catalog Record")</f>
        <v>Catalog Record</v>
      </c>
      <c r="AW1590" s="6" t="str">
        <f>HYPERLINK("http://www.worldcat.org/oclc/6277612","WorldCat Record")</f>
        <v>WorldCat Record</v>
      </c>
      <c r="AX1590" s="3" t="s">
        <v>14261</v>
      </c>
      <c r="AY1590" s="3" t="s">
        <v>14262</v>
      </c>
      <c r="AZ1590" s="3" t="s">
        <v>14263</v>
      </c>
      <c r="BA1590" s="3" t="s">
        <v>14263</v>
      </c>
      <c r="BB1590" s="3" t="s">
        <v>14264</v>
      </c>
      <c r="BC1590" s="3" t="s">
        <v>82</v>
      </c>
      <c r="BD1590" s="3" t="s">
        <v>70</v>
      </c>
      <c r="BF1590" s="3" t="s">
        <v>14264</v>
      </c>
      <c r="BG1590" s="3" t="s">
        <v>14265</v>
      </c>
    </row>
    <row r="1591" spans="1:59" ht="60" x14ac:dyDescent="0.25">
      <c r="A1591" s="2" t="s">
        <v>59</v>
      </c>
      <c r="B1591" s="2" t="s">
        <v>60</v>
      </c>
      <c r="C1591" s="2" t="s">
        <v>14266</v>
      </c>
      <c r="D1591" s="2" t="s">
        <v>14267</v>
      </c>
      <c r="E1591" s="2" t="s">
        <v>14268</v>
      </c>
      <c r="G1591" s="3" t="s">
        <v>63</v>
      </c>
      <c r="I1591" s="3" t="s">
        <v>63</v>
      </c>
      <c r="J1591" s="3" t="s">
        <v>63</v>
      </c>
      <c r="K1591" s="3" t="s">
        <v>64</v>
      </c>
      <c r="M1591" s="2" t="s">
        <v>5199</v>
      </c>
      <c r="N1591" s="3" t="s">
        <v>143</v>
      </c>
      <c r="P1591" s="3" t="s">
        <v>90</v>
      </c>
      <c r="R1591" s="3" t="s">
        <v>67</v>
      </c>
      <c r="S1591" s="4">
        <v>0</v>
      </c>
      <c r="T1591" s="4">
        <v>0</v>
      </c>
      <c r="W1591" s="5" t="s">
        <v>69</v>
      </c>
      <c r="X1591" s="5" t="s">
        <v>69</v>
      </c>
      <c r="Y1591" s="4">
        <v>37</v>
      </c>
      <c r="Z1591" s="4">
        <v>5</v>
      </c>
      <c r="AA1591" s="4">
        <v>5</v>
      </c>
      <c r="AB1591" s="4">
        <v>1</v>
      </c>
      <c r="AC1591" s="4">
        <v>1</v>
      </c>
      <c r="AD1591" s="4">
        <v>29</v>
      </c>
      <c r="AE1591" s="4">
        <v>29</v>
      </c>
      <c r="AF1591" s="4">
        <v>0</v>
      </c>
      <c r="AG1591" s="4">
        <v>0</v>
      </c>
      <c r="AH1591" s="4">
        <v>28</v>
      </c>
      <c r="AI1591" s="4">
        <v>28</v>
      </c>
      <c r="AJ1591" s="4">
        <v>3</v>
      </c>
      <c r="AK1591" s="4">
        <v>3</v>
      </c>
      <c r="AL1591" s="4">
        <v>23</v>
      </c>
      <c r="AM1591" s="4">
        <v>23</v>
      </c>
      <c r="AN1591" s="4">
        <v>0</v>
      </c>
      <c r="AO1591" s="4">
        <v>0</v>
      </c>
      <c r="AP1591" s="4">
        <v>3</v>
      </c>
      <c r="AQ1591" s="4">
        <v>3</v>
      </c>
      <c r="AR1591" s="3" t="s">
        <v>63</v>
      </c>
      <c r="AS1591" s="3" t="s">
        <v>63</v>
      </c>
      <c r="AT1591" s="3" t="s">
        <v>63</v>
      </c>
      <c r="AV1591" s="6" t="str">
        <f>HYPERLINK("http://mcgill.on.worldcat.org/oclc/891174947","Catalog Record")</f>
        <v>Catalog Record</v>
      </c>
      <c r="AW1591" s="6" t="str">
        <f>HYPERLINK("http://www.worldcat.org/oclc/891174947","WorldCat Record")</f>
        <v>WorldCat Record</v>
      </c>
      <c r="AX1591" s="3" t="s">
        <v>14269</v>
      </c>
      <c r="AY1591" s="3" t="s">
        <v>14270</v>
      </c>
      <c r="AZ1591" s="3" t="s">
        <v>14271</v>
      </c>
      <c r="BA1591" s="3" t="s">
        <v>14271</v>
      </c>
      <c r="BB1591" s="3" t="s">
        <v>14272</v>
      </c>
      <c r="BC1591" s="3" t="s">
        <v>82</v>
      </c>
      <c r="BD1591" s="3" t="s">
        <v>70</v>
      </c>
      <c r="BE1591" s="3" t="s">
        <v>14273</v>
      </c>
      <c r="BF1591" s="3" t="s">
        <v>14272</v>
      </c>
      <c r="BG1591" s="3" t="s">
        <v>14274</v>
      </c>
    </row>
    <row r="1592" spans="1:59" ht="75" x14ac:dyDescent="0.25">
      <c r="A1592" s="2" t="s">
        <v>59</v>
      </c>
      <c r="B1592" s="2" t="s">
        <v>60</v>
      </c>
      <c r="C1592" s="2" t="s">
        <v>14275</v>
      </c>
      <c r="D1592" s="2" t="s">
        <v>14276</v>
      </c>
      <c r="E1592" s="2" t="s">
        <v>14277</v>
      </c>
      <c r="G1592" s="3" t="s">
        <v>63</v>
      </c>
      <c r="I1592" s="3" t="s">
        <v>63</v>
      </c>
      <c r="J1592" s="3" t="s">
        <v>63</v>
      </c>
      <c r="K1592" s="3" t="s">
        <v>64</v>
      </c>
      <c r="L1592" s="2" t="s">
        <v>14278</v>
      </c>
      <c r="M1592" s="2" t="s">
        <v>14279</v>
      </c>
      <c r="N1592" s="3" t="s">
        <v>326</v>
      </c>
      <c r="P1592" s="3" t="s">
        <v>66</v>
      </c>
      <c r="R1592" s="3" t="s">
        <v>67</v>
      </c>
      <c r="S1592" s="4">
        <v>6</v>
      </c>
      <c r="T1592" s="4">
        <v>6</v>
      </c>
      <c r="U1592" s="5" t="s">
        <v>14280</v>
      </c>
      <c r="V1592" s="5" t="s">
        <v>14280</v>
      </c>
      <c r="W1592" s="5" t="s">
        <v>69</v>
      </c>
      <c r="X1592" s="5" t="s">
        <v>69</v>
      </c>
      <c r="Y1592" s="4">
        <v>171</v>
      </c>
      <c r="Z1592" s="4">
        <v>15</v>
      </c>
      <c r="AA1592" s="4">
        <v>16</v>
      </c>
      <c r="AB1592" s="4">
        <v>2</v>
      </c>
      <c r="AC1592" s="4">
        <v>2</v>
      </c>
      <c r="AD1592" s="4">
        <v>81</v>
      </c>
      <c r="AE1592" s="4">
        <v>82</v>
      </c>
      <c r="AF1592" s="4">
        <v>0</v>
      </c>
      <c r="AG1592" s="4">
        <v>0</v>
      </c>
      <c r="AH1592" s="4">
        <v>75</v>
      </c>
      <c r="AI1592" s="4">
        <v>75</v>
      </c>
      <c r="AJ1592" s="4">
        <v>9</v>
      </c>
      <c r="AK1592" s="4">
        <v>10</v>
      </c>
      <c r="AL1592" s="4">
        <v>53</v>
      </c>
      <c r="AM1592" s="4">
        <v>53</v>
      </c>
      <c r="AN1592" s="4">
        <v>0</v>
      </c>
      <c r="AO1592" s="4">
        <v>0</v>
      </c>
      <c r="AP1592" s="4">
        <v>9</v>
      </c>
      <c r="AQ1592" s="4">
        <v>10</v>
      </c>
      <c r="AR1592" s="3" t="s">
        <v>63</v>
      </c>
      <c r="AS1592" s="3" t="s">
        <v>63</v>
      </c>
      <c r="AT1592" s="3" t="s">
        <v>63</v>
      </c>
      <c r="AV1592" s="6" t="str">
        <f>HYPERLINK("http://mcgill.on.worldcat.org/oclc/268787864","Catalog Record")</f>
        <v>Catalog Record</v>
      </c>
      <c r="AW1592" s="6" t="str">
        <f>HYPERLINK("http://www.worldcat.org/oclc/268787864","WorldCat Record")</f>
        <v>WorldCat Record</v>
      </c>
      <c r="AX1592" s="3" t="s">
        <v>14281</v>
      </c>
      <c r="AY1592" s="3" t="s">
        <v>14282</v>
      </c>
      <c r="AZ1592" s="3" t="s">
        <v>14283</v>
      </c>
      <c r="BA1592" s="3" t="s">
        <v>14283</v>
      </c>
      <c r="BB1592" s="3" t="s">
        <v>14284</v>
      </c>
      <c r="BC1592" s="3" t="s">
        <v>82</v>
      </c>
      <c r="BD1592" s="3" t="s">
        <v>70</v>
      </c>
      <c r="BE1592" s="3" t="s">
        <v>14285</v>
      </c>
      <c r="BF1592" s="3" t="s">
        <v>14284</v>
      </c>
      <c r="BG1592" s="3" t="s">
        <v>14286</v>
      </c>
    </row>
    <row r="1593" spans="1:59" ht="60" x14ac:dyDescent="0.25">
      <c r="A1593" s="2" t="s">
        <v>59</v>
      </c>
      <c r="B1593" s="2" t="s">
        <v>60</v>
      </c>
      <c r="C1593" s="2" t="s">
        <v>14287</v>
      </c>
      <c r="D1593" s="2" t="s">
        <v>14288</v>
      </c>
      <c r="E1593" s="2" t="s">
        <v>14289</v>
      </c>
      <c r="G1593" s="3" t="s">
        <v>63</v>
      </c>
      <c r="I1593" s="3" t="s">
        <v>63</v>
      </c>
      <c r="J1593" s="3" t="s">
        <v>63</v>
      </c>
      <c r="K1593" s="3" t="s">
        <v>64</v>
      </c>
      <c r="L1593" s="2" t="s">
        <v>14290</v>
      </c>
      <c r="M1593" s="2" t="s">
        <v>14291</v>
      </c>
      <c r="N1593" s="3" t="s">
        <v>76</v>
      </c>
      <c r="O1593" s="2" t="s">
        <v>14292</v>
      </c>
      <c r="P1593" s="3" t="s">
        <v>90</v>
      </c>
      <c r="R1593" s="3" t="s">
        <v>67</v>
      </c>
      <c r="S1593" s="4">
        <v>0</v>
      </c>
      <c r="T1593" s="4">
        <v>0</v>
      </c>
      <c r="W1593" s="5" t="s">
        <v>69</v>
      </c>
      <c r="X1593" s="5" t="s">
        <v>69</v>
      </c>
      <c r="Y1593" s="4">
        <v>23</v>
      </c>
      <c r="Z1593" s="4">
        <v>4</v>
      </c>
      <c r="AA1593" s="4">
        <v>6</v>
      </c>
      <c r="AB1593" s="4">
        <v>1</v>
      </c>
      <c r="AC1593" s="4">
        <v>1</v>
      </c>
      <c r="AD1593" s="4">
        <v>18</v>
      </c>
      <c r="AE1593" s="4">
        <v>29</v>
      </c>
      <c r="AF1593" s="4">
        <v>0</v>
      </c>
      <c r="AG1593" s="4">
        <v>0</v>
      </c>
      <c r="AH1593" s="4">
        <v>17</v>
      </c>
      <c r="AI1593" s="4">
        <v>28</v>
      </c>
      <c r="AJ1593" s="4">
        <v>2</v>
      </c>
      <c r="AK1593" s="4">
        <v>4</v>
      </c>
      <c r="AL1593" s="4">
        <v>16</v>
      </c>
      <c r="AM1593" s="4">
        <v>23</v>
      </c>
      <c r="AN1593" s="4">
        <v>0</v>
      </c>
      <c r="AO1593" s="4">
        <v>0</v>
      </c>
      <c r="AP1593" s="4">
        <v>2</v>
      </c>
      <c r="AQ1593" s="4">
        <v>4</v>
      </c>
      <c r="AR1593" s="3" t="s">
        <v>63</v>
      </c>
      <c r="AS1593" s="3" t="s">
        <v>63</v>
      </c>
      <c r="AT1593" s="3" t="s">
        <v>63</v>
      </c>
      <c r="AV1593" s="6" t="str">
        <f>HYPERLINK("http://mcgill.on.worldcat.org/oclc/794819819","Catalog Record")</f>
        <v>Catalog Record</v>
      </c>
      <c r="AW1593" s="6" t="str">
        <f>HYPERLINK("http://www.worldcat.org/oclc/794819819","WorldCat Record")</f>
        <v>WorldCat Record</v>
      </c>
      <c r="AX1593" s="3" t="s">
        <v>14293</v>
      </c>
      <c r="AY1593" s="3" t="s">
        <v>14294</v>
      </c>
      <c r="AZ1593" s="3" t="s">
        <v>14295</v>
      </c>
      <c r="BA1593" s="3" t="s">
        <v>14295</v>
      </c>
      <c r="BB1593" s="3" t="s">
        <v>14296</v>
      </c>
      <c r="BC1593" s="3" t="s">
        <v>82</v>
      </c>
      <c r="BD1593" s="3" t="s">
        <v>70</v>
      </c>
      <c r="BE1593" s="3" t="s">
        <v>14297</v>
      </c>
      <c r="BF1593" s="3" t="s">
        <v>14296</v>
      </c>
      <c r="BG1593" s="3" t="s">
        <v>14298</v>
      </c>
    </row>
    <row r="1594" spans="1:59" ht="60" x14ac:dyDescent="0.25">
      <c r="A1594" s="2" t="s">
        <v>59</v>
      </c>
      <c r="B1594" s="2" t="s">
        <v>60</v>
      </c>
      <c r="C1594" s="2" t="s">
        <v>14299</v>
      </c>
      <c r="D1594" s="2" t="s">
        <v>14300</v>
      </c>
      <c r="E1594" s="2" t="s">
        <v>14301</v>
      </c>
      <c r="G1594" s="3" t="s">
        <v>63</v>
      </c>
      <c r="I1594" s="3" t="s">
        <v>63</v>
      </c>
      <c r="J1594" s="3" t="s">
        <v>63</v>
      </c>
      <c r="K1594" s="3" t="s">
        <v>64</v>
      </c>
      <c r="L1594" s="2" t="s">
        <v>14302</v>
      </c>
      <c r="M1594" s="2" t="s">
        <v>14303</v>
      </c>
      <c r="N1594" s="3" t="s">
        <v>261</v>
      </c>
      <c r="P1594" s="3" t="s">
        <v>66</v>
      </c>
      <c r="Q1594" s="2" t="s">
        <v>14304</v>
      </c>
      <c r="R1594" s="3" t="s">
        <v>67</v>
      </c>
      <c r="S1594" s="4">
        <v>5</v>
      </c>
      <c r="T1594" s="4">
        <v>5</v>
      </c>
      <c r="U1594" s="5" t="s">
        <v>8252</v>
      </c>
      <c r="V1594" s="5" t="s">
        <v>8252</v>
      </c>
      <c r="W1594" s="5" t="s">
        <v>69</v>
      </c>
      <c r="X1594" s="5" t="s">
        <v>69</v>
      </c>
      <c r="Y1594" s="4">
        <v>247</v>
      </c>
      <c r="Z1594" s="4">
        <v>17</v>
      </c>
      <c r="AA1594" s="4">
        <v>19</v>
      </c>
      <c r="AB1594" s="4">
        <v>1</v>
      </c>
      <c r="AC1594" s="4">
        <v>1</v>
      </c>
      <c r="AD1594" s="4">
        <v>102</v>
      </c>
      <c r="AE1594" s="4">
        <v>104</v>
      </c>
      <c r="AF1594" s="4">
        <v>0</v>
      </c>
      <c r="AG1594" s="4">
        <v>0</v>
      </c>
      <c r="AH1594" s="4">
        <v>94</v>
      </c>
      <c r="AI1594" s="4">
        <v>95</v>
      </c>
      <c r="AJ1594" s="4">
        <v>14</v>
      </c>
      <c r="AK1594" s="4">
        <v>14</v>
      </c>
      <c r="AL1594" s="4">
        <v>55</v>
      </c>
      <c r="AM1594" s="4">
        <v>56</v>
      </c>
      <c r="AN1594" s="4">
        <v>0</v>
      </c>
      <c r="AO1594" s="4">
        <v>0</v>
      </c>
      <c r="AP1594" s="4">
        <v>15</v>
      </c>
      <c r="AQ1594" s="4">
        <v>16</v>
      </c>
      <c r="AR1594" s="3" t="s">
        <v>63</v>
      </c>
      <c r="AS1594" s="3" t="s">
        <v>63</v>
      </c>
      <c r="AT1594" s="3" t="s">
        <v>62</v>
      </c>
      <c r="AU1594" s="6" t="str">
        <f>HYPERLINK("http://catalog.hathitrust.org/Record/005558553","HathiTrust Record")</f>
        <v>HathiTrust Record</v>
      </c>
      <c r="AV1594" s="6" t="str">
        <f>HYPERLINK("http://mcgill.on.worldcat.org/oclc/74523502","Catalog Record")</f>
        <v>Catalog Record</v>
      </c>
      <c r="AW1594" s="6" t="str">
        <f>HYPERLINK("http://www.worldcat.org/oclc/74523502","WorldCat Record")</f>
        <v>WorldCat Record</v>
      </c>
      <c r="AX1594" s="3" t="s">
        <v>14305</v>
      </c>
      <c r="AY1594" s="3" t="s">
        <v>14306</v>
      </c>
      <c r="AZ1594" s="3" t="s">
        <v>14307</v>
      </c>
      <c r="BA1594" s="3" t="s">
        <v>14307</v>
      </c>
      <c r="BB1594" s="3" t="s">
        <v>14308</v>
      </c>
      <c r="BC1594" s="3" t="s">
        <v>82</v>
      </c>
      <c r="BD1594" s="3" t="s">
        <v>70</v>
      </c>
      <c r="BE1594" s="3" t="s">
        <v>14309</v>
      </c>
      <c r="BF1594" s="3" t="s">
        <v>14308</v>
      </c>
      <c r="BG1594" s="3" t="s">
        <v>14310</v>
      </c>
    </row>
    <row r="1595" spans="1:59" ht="60" x14ac:dyDescent="0.25">
      <c r="A1595" s="2" t="s">
        <v>59</v>
      </c>
      <c r="B1595" s="2" t="s">
        <v>60</v>
      </c>
      <c r="C1595" s="2" t="s">
        <v>14311</v>
      </c>
      <c r="D1595" s="2" t="s">
        <v>14312</v>
      </c>
      <c r="E1595" s="2" t="s">
        <v>14313</v>
      </c>
      <c r="G1595" s="3" t="s">
        <v>63</v>
      </c>
      <c r="I1595" s="3" t="s">
        <v>63</v>
      </c>
      <c r="J1595" s="3" t="s">
        <v>63</v>
      </c>
      <c r="K1595" s="3" t="s">
        <v>64</v>
      </c>
      <c r="L1595" s="2" t="s">
        <v>14314</v>
      </c>
      <c r="M1595" s="2" t="s">
        <v>3116</v>
      </c>
      <c r="N1595" s="3" t="s">
        <v>1023</v>
      </c>
      <c r="P1595" s="3" t="s">
        <v>66</v>
      </c>
      <c r="Q1595" s="2" t="s">
        <v>5152</v>
      </c>
      <c r="R1595" s="3" t="s">
        <v>67</v>
      </c>
      <c r="S1595" s="4">
        <v>52</v>
      </c>
      <c r="T1595" s="4">
        <v>52</v>
      </c>
      <c r="U1595" s="5" t="s">
        <v>14315</v>
      </c>
      <c r="V1595" s="5" t="s">
        <v>14315</v>
      </c>
      <c r="W1595" s="5" t="s">
        <v>69</v>
      </c>
      <c r="X1595" s="5" t="s">
        <v>69</v>
      </c>
      <c r="Y1595" s="4">
        <v>457</v>
      </c>
      <c r="Z1595" s="4">
        <v>24</v>
      </c>
      <c r="AA1595" s="4">
        <v>27</v>
      </c>
      <c r="AB1595" s="4">
        <v>1</v>
      </c>
      <c r="AC1595" s="4">
        <v>3</v>
      </c>
      <c r="AD1595" s="4">
        <v>111</v>
      </c>
      <c r="AE1595" s="4">
        <v>112</v>
      </c>
      <c r="AF1595" s="4">
        <v>0</v>
      </c>
      <c r="AG1595" s="4">
        <v>0</v>
      </c>
      <c r="AH1595" s="4">
        <v>99</v>
      </c>
      <c r="AI1595" s="4">
        <v>100</v>
      </c>
      <c r="AJ1595" s="4">
        <v>16</v>
      </c>
      <c r="AK1595" s="4">
        <v>16</v>
      </c>
      <c r="AL1595" s="4">
        <v>54</v>
      </c>
      <c r="AM1595" s="4">
        <v>55</v>
      </c>
      <c r="AN1595" s="4">
        <v>0</v>
      </c>
      <c r="AO1595" s="4">
        <v>0</v>
      </c>
      <c r="AP1595" s="4">
        <v>19</v>
      </c>
      <c r="AQ1595" s="4">
        <v>19</v>
      </c>
      <c r="AR1595" s="3" t="s">
        <v>63</v>
      </c>
      <c r="AS1595" s="3" t="s">
        <v>63</v>
      </c>
      <c r="AT1595" s="3" t="s">
        <v>62</v>
      </c>
      <c r="AU1595" s="6" t="str">
        <f>HYPERLINK("http://catalog.hathitrust.org/Record/002971034","HathiTrust Record")</f>
        <v>HathiTrust Record</v>
      </c>
      <c r="AV1595" s="6" t="str">
        <f>HYPERLINK("http://mcgill.on.worldcat.org/oclc/30076944","Catalog Record")</f>
        <v>Catalog Record</v>
      </c>
      <c r="AW1595" s="6" t="str">
        <f>HYPERLINK("http://www.worldcat.org/oclc/30076944","WorldCat Record")</f>
        <v>WorldCat Record</v>
      </c>
      <c r="AX1595" s="3" t="s">
        <v>14316</v>
      </c>
      <c r="AY1595" s="3" t="s">
        <v>14317</v>
      </c>
      <c r="AZ1595" s="3" t="s">
        <v>14318</v>
      </c>
      <c r="BA1595" s="3" t="s">
        <v>14318</v>
      </c>
      <c r="BB1595" s="3" t="s">
        <v>14319</v>
      </c>
      <c r="BC1595" s="3" t="s">
        <v>82</v>
      </c>
      <c r="BD1595" s="3" t="s">
        <v>70</v>
      </c>
      <c r="BE1595" s="3" t="s">
        <v>14320</v>
      </c>
      <c r="BF1595" s="3" t="s">
        <v>14319</v>
      </c>
      <c r="BG1595" s="3" t="s">
        <v>14321</v>
      </c>
    </row>
    <row r="1596" spans="1:59" ht="60" x14ac:dyDescent="0.25">
      <c r="A1596" s="2" t="s">
        <v>59</v>
      </c>
      <c r="B1596" s="2" t="s">
        <v>60</v>
      </c>
      <c r="C1596" s="2" t="s">
        <v>14322</v>
      </c>
      <c r="D1596" s="2" t="s">
        <v>14323</v>
      </c>
      <c r="E1596" s="2" t="s">
        <v>14324</v>
      </c>
      <c r="G1596" s="3" t="s">
        <v>63</v>
      </c>
      <c r="I1596" s="3" t="s">
        <v>63</v>
      </c>
      <c r="J1596" s="3" t="s">
        <v>63</v>
      </c>
      <c r="K1596" s="3" t="s">
        <v>64</v>
      </c>
      <c r="L1596" s="2" t="s">
        <v>14325</v>
      </c>
      <c r="M1596" s="2" t="s">
        <v>14326</v>
      </c>
      <c r="N1596" s="3" t="s">
        <v>2393</v>
      </c>
      <c r="P1596" s="3" t="s">
        <v>66</v>
      </c>
      <c r="Q1596" s="2" t="s">
        <v>6895</v>
      </c>
      <c r="R1596" s="3" t="s">
        <v>67</v>
      </c>
      <c r="S1596" s="4">
        <v>44</v>
      </c>
      <c r="T1596" s="4">
        <v>44</v>
      </c>
      <c r="U1596" s="5" t="s">
        <v>1173</v>
      </c>
      <c r="V1596" s="5" t="s">
        <v>1173</v>
      </c>
      <c r="W1596" s="5" t="s">
        <v>69</v>
      </c>
      <c r="X1596" s="5" t="s">
        <v>69</v>
      </c>
      <c r="Y1596" s="4">
        <v>921</v>
      </c>
      <c r="Z1596" s="4">
        <v>46</v>
      </c>
      <c r="AA1596" s="4">
        <v>47</v>
      </c>
      <c r="AB1596" s="4">
        <v>2</v>
      </c>
      <c r="AC1596" s="4">
        <v>3</v>
      </c>
      <c r="AD1596" s="4">
        <v>133</v>
      </c>
      <c r="AE1596" s="4">
        <v>138</v>
      </c>
      <c r="AF1596" s="4">
        <v>1</v>
      </c>
      <c r="AG1596" s="4">
        <v>2</v>
      </c>
      <c r="AH1596" s="4">
        <v>105</v>
      </c>
      <c r="AI1596" s="4">
        <v>109</v>
      </c>
      <c r="AJ1596" s="4">
        <v>23</v>
      </c>
      <c r="AK1596" s="4">
        <v>24</v>
      </c>
      <c r="AL1596" s="4">
        <v>56</v>
      </c>
      <c r="AM1596" s="4">
        <v>60</v>
      </c>
      <c r="AN1596" s="4">
        <v>0</v>
      </c>
      <c r="AO1596" s="4">
        <v>0</v>
      </c>
      <c r="AP1596" s="4">
        <v>36</v>
      </c>
      <c r="AQ1596" s="4">
        <v>37</v>
      </c>
      <c r="AR1596" s="3" t="s">
        <v>63</v>
      </c>
      <c r="AS1596" s="3" t="s">
        <v>63</v>
      </c>
      <c r="AT1596" s="3" t="s">
        <v>62</v>
      </c>
      <c r="AU1596" s="6" t="str">
        <f>HYPERLINK("http://catalog.hathitrust.org/Record/000966004","HathiTrust Record")</f>
        <v>HathiTrust Record</v>
      </c>
      <c r="AV1596" s="6" t="str">
        <f>HYPERLINK("http://mcgill.on.worldcat.org/oclc/865972","Catalog Record")</f>
        <v>Catalog Record</v>
      </c>
      <c r="AW1596" s="6" t="str">
        <f>HYPERLINK("http://www.worldcat.org/oclc/865972","WorldCat Record")</f>
        <v>WorldCat Record</v>
      </c>
      <c r="AX1596" s="3" t="s">
        <v>14327</v>
      </c>
      <c r="AY1596" s="3" t="s">
        <v>14328</v>
      </c>
      <c r="AZ1596" s="3" t="s">
        <v>14329</v>
      </c>
      <c r="BA1596" s="3" t="s">
        <v>14329</v>
      </c>
      <c r="BB1596" s="3" t="s">
        <v>14330</v>
      </c>
      <c r="BC1596" s="3" t="s">
        <v>82</v>
      </c>
      <c r="BD1596" s="3" t="s">
        <v>70</v>
      </c>
      <c r="BE1596" s="3" t="s">
        <v>14331</v>
      </c>
      <c r="BF1596" s="3" t="s">
        <v>14330</v>
      </c>
      <c r="BG1596" s="3" t="s">
        <v>14332</v>
      </c>
    </row>
    <row r="1597" spans="1:59" ht="60" x14ac:dyDescent="0.25">
      <c r="A1597" s="2" t="s">
        <v>59</v>
      </c>
      <c r="B1597" s="2" t="s">
        <v>60</v>
      </c>
      <c r="C1597" s="2" t="s">
        <v>14333</v>
      </c>
      <c r="D1597" s="2" t="s">
        <v>14334</v>
      </c>
      <c r="E1597" s="2" t="s">
        <v>14335</v>
      </c>
      <c r="G1597" s="3" t="s">
        <v>63</v>
      </c>
      <c r="I1597" s="3" t="s">
        <v>63</v>
      </c>
      <c r="J1597" s="3" t="s">
        <v>63</v>
      </c>
      <c r="K1597" s="3" t="s">
        <v>64</v>
      </c>
      <c r="L1597" s="2" t="s">
        <v>14336</v>
      </c>
      <c r="M1597" s="2" t="s">
        <v>14337</v>
      </c>
      <c r="N1597" s="3" t="s">
        <v>76</v>
      </c>
      <c r="P1597" s="3" t="s">
        <v>90</v>
      </c>
      <c r="R1597" s="3" t="s">
        <v>67</v>
      </c>
      <c r="S1597" s="4">
        <v>0</v>
      </c>
      <c r="T1597" s="4">
        <v>0</v>
      </c>
      <c r="W1597" s="5" t="s">
        <v>69</v>
      </c>
      <c r="X1597" s="5" t="s">
        <v>69</v>
      </c>
      <c r="Y1597" s="4">
        <v>41</v>
      </c>
      <c r="Z1597" s="4">
        <v>5</v>
      </c>
      <c r="AA1597" s="4">
        <v>5</v>
      </c>
      <c r="AB1597" s="4">
        <v>1</v>
      </c>
      <c r="AC1597" s="4">
        <v>1</v>
      </c>
      <c r="AD1597" s="4">
        <v>26</v>
      </c>
      <c r="AE1597" s="4">
        <v>26</v>
      </c>
      <c r="AF1597" s="4">
        <v>0</v>
      </c>
      <c r="AG1597" s="4">
        <v>0</v>
      </c>
      <c r="AH1597" s="4">
        <v>25</v>
      </c>
      <c r="AI1597" s="4">
        <v>25</v>
      </c>
      <c r="AJ1597" s="4">
        <v>3</v>
      </c>
      <c r="AK1597" s="4">
        <v>3</v>
      </c>
      <c r="AL1597" s="4">
        <v>21</v>
      </c>
      <c r="AM1597" s="4">
        <v>21</v>
      </c>
      <c r="AN1597" s="4">
        <v>0</v>
      </c>
      <c r="AO1597" s="4">
        <v>0</v>
      </c>
      <c r="AP1597" s="4">
        <v>3</v>
      </c>
      <c r="AQ1597" s="4">
        <v>3</v>
      </c>
      <c r="AR1597" s="3" t="s">
        <v>63</v>
      </c>
      <c r="AS1597" s="3" t="s">
        <v>63</v>
      </c>
      <c r="AT1597" s="3" t="s">
        <v>63</v>
      </c>
      <c r="AV1597" s="6" t="str">
        <f>HYPERLINK("http://mcgill.on.worldcat.org/oclc/823895034","Catalog Record")</f>
        <v>Catalog Record</v>
      </c>
      <c r="AW1597" s="6" t="str">
        <f>HYPERLINK("http://www.worldcat.org/oclc/823895034","WorldCat Record")</f>
        <v>WorldCat Record</v>
      </c>
      <c r="AX1597" s="3" t="s">
        <v>14338</v>
      </c>
      <c r="AY1597" s="3" t="s">
        <v>14339</v>
      </c>
      <c r="AZ1597" s="3" t="s">
        <v>14340</v>
      </c>
      <c r="BA1597" s="3" t="s">
        <v>14340</v>
      </c>
      <c r="BB1597" s="3" t="s">
        <v>14341</v>
      </c>
      <c r="BC1597" s="3" t="s">
        <v>82</v>
      </c>
      <c r="BD1597" s="3" t="s">
        <v>70</v>
      </c>
      <c r="BE1597" s="3" t="s">
        <v>14342</v>
      </c>
      <c r="BF1597" s="3" t="s">
        <v>14341</v>
      </c>
      <c r="BG1597" s="3" t="s">
        <v>14343</v>
      </c>
    </row>
    <row r="1598" spans="1:59" ht="60" x14ac:dyDescent="0.25">
      <c r="A1598" s="2" t="s">
        <v>59</v>
      </c>
      <c r="B1598" s="2" t="s">
        <v>60</v>
      </c>
      <c r="C1598" s="2" t="s">
        <v>14344</v>
      </c>
      <c r="D1598" s="2" t="s">
        <v>14345</v>
      </c>
      <c r="E1598" s="2" t="s">
        <v>14346</v>
      </c>
      <c r="G1598" s="3" t="s">
        <v>63</v>
      </c>
      <c r="I1598" s="3" t="s">
        <v>63</v>
      </c>
      <c r="J1598" s="3" t="s">
        <v>63</v>
      </c>
      <c r="K1598" s="3" t="s">
        <v>64</v>
      </c>
      <c r="L1598" s="2" t="s">
        <v>14347</v>
      </c>
      <c r="M1598" s="2" t="s">
        <v>14348</v>
      </c>
      <c r="N1598" s="3" t="s">
        <v>326</v>
      </c>
      <c r="O1598" s="2" t="s">
        <v>590</v>
      </c>
      <c r="P1598" s="3" t="s">
        <v>66</v>
      </c>
      <c r="R1598" s="3" t="s">
        <v>67</v>
      </c>
      <c r="S1598" s="4">
        <v>4</v>
      </c>
      <c r="T1598" s="4">
        <v>4</v>
      </c>
      <c r="U1598" s="5" t="s">
        <v>14237</v>
      </c>
      <c r="V1598" s="5" t="s">
        <v>14237</v>
      </c>
      <c r="W1598" s="5" t="s">
        <v>69</v>
      </c>
      <c r="X1598" s="5" t="s">
        <v>69</v>
      </c>
      <c r="Y1598" s="4">
        <v>128</v>
      </c>
      <c r="Z1598" s="4">
        <v>12</v>
      </c>
      <c r="AA1598" s="4">
        <v>12</v>
      </c>
      <c r="AB1598" s="4">
        <v>1</v>
      </c>
      <c r="AC1598" s="4">
        <v>1</v>
      </c>
      <c r="AD1598" s="4">
        <v>70</v>
      </c>
      <c r="AE1598" s="4">
        <v>70</v>
      </c>
      <c r="AF1598" s="4">
        <v>0</v>
      </c>
      <c r="AG1598" s="4">
        <v>0</v>
      </c>
      <c r="AH1598" s="4">
        <v>68</v>
      </c>
      <c r="AI1598" s="4">
        <v>68</v>
      </c>
      <c r="AJ1598" s="4">
        <v>8</v>
      </c>
      <c r="AK1598" s="4">
        <v>8</v>
      </c>
      <c r="AL1598" s="4">
        <v>46</v>
      </c>
      <c r="AM1598" s="4">
        <v>46</v>
      </c>
      <c r="AN1598" s="4">
        <v>0</v>
      </c>
      <c r="AO1598" s="4">
        <v>0</v>
      </c>
      <c r="AP1598" s="4">
        <v>8</v>
      </c>
      <c r="AQ1598" s="4">
        <v>8</v>
      </c>
      <c r="AR1598" s="3" t="s">
        <v>63</v>
      </c>
      <c r="AS1598" s="3" t="s">
        <v>63</v>
      </c>
      <c r="AT1598" s="3" t="s">
        <v>63</v>
      </c>
      <c r="AV1598" s="6" t="str">
        <f>HYPERLINK("http://mcgill.on.worldcat.org/oclc/228374556","Catalog Record")</f>
        <v>Catalog Record</v>
      </c>
      <c r="AW1598" s="6" t="str">
        <f>HYPERLINK("http://www.worldcat.org/oclc/228374556","WorldCat Record")</f>
        <v>WorldCat Record</v>
      </c>
      <c r="AX1598" s="3" t="s">
        <v>14349</v>
      </c>
      <c r="AY1598" s="3" t="s">
        <v>14350</v>
      </c>
      <c r="AZ1598" s="3" t="s">
        <v>14351</v>
      </c>
      <c r="BA1598" s="3" t="s">
        <v>14351</v>
      </c>
      <c r="BB1598" s="3" t="s">
        <v>14352</v>
      </c>
      <c r="BC1598" s="3" t="s">
        <v>82</v>
      </c>
      <c r="BD1598" s="3" t="s">
        <v>70</v>
      </c>
      <c r="BE1598" s="3" t="s">
        <v>14353</v>
      </c>
      <c r="BF1598" s="3" t="s">
        <v>14352</v>
      </c>
      <c r="BG1598" s="3" t="s">
        <v>14354</v>
      </c>
    </row>
    <row r="1599" spans="1:59" ht="60" x14ac:dyDescent="0.25">
      <c r="A1599" s="2" t="s">
        <v>59</v>
      </c>
      <c r="B1599" s="2" t="s">
        <v>60</v>
      </c>
      <c r="C1599" s="2" t="s">
        <v>14355</v>
      </c>
      <c r="D1599" s="2" t="s">
        <v>14356</v>
      </c>
      <c r="E1599" s="2" t="s">
        <v>14357</v>
      </c>
      <c r="G1599" s="3" t="s">
        <v>63</v>
      </c>
      <c r="I1599" s="3" t="s">
        <v>63</v>
      </c>
      <c r="J1599" s="3" t="s">
        <v>63</v>
      </c>
      <c r="K1599" s="3" t="s">
        <v>64</v>
      </c>
      <c r="M1599" s="2" t="s">
        <v>14358</v>
      </c>
      <c r="N1599" s="3" t="s">
        <v>313</v>
      </c>
      <c r="P1599" s="3" t="s">
        <v>90</v>
      </c>
      <c r="R1599" s="3" t="s">
        <v>67</v>
      </c>
      <c r="S1599" s="4">
        <v>0</v>
      </c>
      <c r="T1599" s="4">
        <v>0</v>
      </c>
      <c r="W1599" s="5" t="s">
        <v>69</v>
      </c>
      <c r="X1599" s="5" t="s">
        <v>69</v>
      </c>
      <c r="Y1599" s="4">
        <v>35</v>
      </c>
      <c r="Z1599" s="4">
        <v>5</v>
      </c>
      <c r="AA1599" s="4">
        <v>5</v>
      </c>
      <c r="AB1599" s="4">
        <v>1</v>
      </c>
      <c r="AC1599" s="4">
        <v>1</v>
      </c>
      <c r="AD1599" s="4">
        <v>25</v>
      </c>
      <c r="AE1599" s="4">
        <v>25</v>
      </c>
      <c r="AF1599" s="4">
        <v>0</v>
      </c>
      <c r="AG1599" s="4">
        <v>0</v>
      </c>
      <c r="AH1599" s="4">
        <v>24</v>
      </c>
      <c r="AI1599" s="4">
        <v>24</v>
      </c>
      <c r="AJ1599" s="4">
        <v>3</v>
      </c>
      <c r="AK1599" s="4">
        <v>3</v>
      </c>
      <c r="AL1599" s="4">
        <v>17</v>
      </c>
      <c r="AM1599" s="4">
        <v>17</v>
      </c>
      <c r="AN1599" s="4">
        <v>0</v>
      </c>
      <c r="AO1599" s="4">
        <v>0</v>
      </c>
      <c r="AP1599" s="4">
        <v>3</v>
      </c>
      <c r="AQ1599" s="4">
        <v>3</v>
      </c>
      <c r="AR1599" s="3" t="s">
        <v>63</v>
      </c>
      <c r="AS1599" s="3" t="s">
        <v>63</v>
      </c>
      <c r="AT1599" s="3" t="s">
        <v>63</v>
      </c>
      <c r="AV1599" s="6" t="str">
        <f>HYPERLINK("http://mcgill.on.worldcat.org/oclc/646591147","Catalog Record")</f>
        <v>Catalog Record</v>
      </c>
      <c r="AW1599" s="6" t="str">
        <f>HYPERLINK("http://www.worldcat.org/oclc/646591147","WorldCat Record")</f>
        <v>WorldCat Record</v>
      </c>
      <c r="AX1599" s="3" t="s">
        <v>14359</v>
      </c>
      <c r="AY1599" s="3" t="s">
        <v>14360</v>
      </c>
      <c r="AZ1599" s="3" t="s">
        <v>14361</v>
      </c>
      <c r="BA1599" s="3" t="s">
        <v>14361</v>
      </c>
      <c r="BB1599" s="3" t="s">
        <v>14362</v>
      </c>
      <c r="BC1599" s="3" t="s">
        <v>82</v>
      </c>
      <c r="BD1599" s="3" t="s">
        <v>70</v>
      </c>
      <c r="BE1599" s="3" t="s">
        <v>14363</v>
      </c>
      <c r="BF1599" s="3" t="s">
        <v>14362</v>
      </c>
      <c r="BG1599" s="3" t="s">
        <v>14364</v>
      </c>
    </row>
    <row r="1600" spans="1:59" ht="60" x14ac:dyDescent="0.25">
      <c r="A1600" s="2" t="s">
        <v>59</v>
      </c>
      <c r="B1600" s="2" t="s">
        <v>60</v>
      </c>
      <c r="C1600" s="2" t="s">
        <v>14365</v>
      </c>
      <c r="D1600" s="2" t="s">
        <v>14366</v>
      </c>
      <c r="E1600" s="2" t="s">
        <v>14367</v>
      </c>
      <c r="G1600" s="3" t="s">
        <v>63</v>
      </c>
      <c r="I1600" s="3" t="s">
        <v>62</v>
      </c>
      <c r="J1600" s="3" t="s">
        <v>63</v>
      </c>
      <c r="K1600" s="3" t="s">
        <v>64</v>
      </c>
      <c r="L1600" s="2" t="s">
        <v>13408</v>
      </c>
      <c r="M1600" s="2" t="s">
        <v>14368</v>
      </c>
      <c r="N1600" s="3" t="s">
        <v>468</v>
      </c>
      <c r="P1600" s="3" t="s">
        <v>66</v>
      </c>
      <c r="R1600" s="3" t="s">
        <v>67</v>
      </c>
      <c r="S1600" s="4">
        <v>47</v>
      </c>
      <c r="T1600" s="4">
        <v>86</v>
      </c>
      <c r="U1600" s="5" t="s">
        <v>1173</v>
      </c>
      <c r="V1600" s="5" t="s">
        <v>1173</v>
      </c>
      <c r="W1600" s="5" t="s">
        <v>69</v>
      </c>
      <c r="X1600" s="5" t="s">
        <v>69</v>
      </c>
      <c r="Y1600" s="4">
        <v>477</v>
      </c>
      <c r="Z1600" s="4">
        <v>28</v>
      </c>
      <c r="AA1600" s="4">
        <v>30</v>
      </c>
      <c r="AB1600" s="4">
        <v>2</v>
      </c>
      <c r="AC1600" s="4">
        <v>3</v>
      </c>
      <c r="AD1600" s="4">
        <v>113</v>
      </c>
      <c r="AE1600" s="4">
        <v>117</v>
      </c>
      <c r="AF1600" s="4">
        <v>1</v>
      </c>
      <c r="AG1600" s="4">
        <v>2</v>
      </c>
      <c r="AH1600" s="4">
        <v>100</v>
      </c>
      <c r="AI1600" s="4">
        <v>102</v>
      </c>
      <c r="AJ1600" s="4">
        <v>17</v>
      </c>
      <c r="AK1600" s="4">
        <v>18</v>
      </c>
      <c r="AL1600" s="4">
        <v>55</v>
      </c>
      <c r="AM1600" s="4">
        <v>55</v>
      </c>
      <c r="AN1600" s="4">
        <v>0</v>
      </c>
      <c r="AO1600" s="4">
        <v>0</v>
      </c>
      <c r="AP1600" s="4">
        <v>21</v>
      </c>
      <c r="AQ1600" s="4">
        <v>22</v>
      </c>
      <c r="AR1600" s="3" t="s">
        <v>63</v>
      </c>
      <c r="AS1600" s="3" t="s">
        <v>63</v>
      </c>
      <c r="AT1600" s="3" t="s">
        <v>62</v>
      </c>
      <c r="AU1600" s="6" t="str">
        <f>HYPERLINK("http://catalog.hathitrust.org/Record/000695045","HathiTrust Record")</f>
        <v>HathiTrust Record</v>
      </c>
      <c r="AV1600" s="6" t="str">
        <f>HYPERLINK("http://mcgill.on.worldcat.org/oclc/1859672","Catalog Record")</f>
        <v>Catalog Record</v>
      </c>
      <c r="AW1600" s="6" t="str">
        <f>HYPERLINK("http://www.worldcat.org/oclc/1859672","WorldCat Record")</f>
        <v>WorldCat Record</v>
      </c>
      <c r="AX1600" s="3" t="s">
        <v>14369</v>
      </c>
      <c r="AY1600" s="3" t="s">
        <v>14370</v>
      </c>
      <c r="AZ1600" s="3" t="s">
        <v>14371</v>
      </c>
      <c r="BA1600" s="3" t="s">
        <v>14371</v>
      </c>
      <c r="BB1600" s="3" t="s">
        <v>14372</v>
      </c>
      <c r="BC1600" s="3" t="s">
        <v>82</v>
      </c>
      <c r="BD1600" s="3" t="s">
        <v>70</v>
      </c>
      <c r="BE1600" s="3" t="s">
        <v>14373</v>
      </c>
      <c r="BF1600" s="3" t="s">
        <v>14372</v>
      </c>
      <c r="BG1600" s="3" t="s">
        <v>14374</v>
      </c>
    </row>
    <row r="1601" spans="1:59" ht="60" x14ac:dyDescent="0.25">
      <c r="A1601" s="2" t="s">
        <v>59</v>
      </c>
      <c r="B1601" s="2" t="s">
        <v>60</v>
      </c>
      <c r="C1601" s="2" t="s">
        <v>14365</v>
      </c>
      <c r="D1601" s="2" t="s">
        <v>14366</v>
      </c>
      <c r="E1601" s="2" t="s">
        <v>14367</v>
      </c>
      <c r="G1601" s="3" t="s">
        <v>63</v>
      </c>
      <c r="I1601" s="3" t="s">
        <v>62</v>
      </c>
      <c r="J1601" s="3" t="s">
        <v>63</v>
      </c>
      <c r="K1601" s="3" t="s">
        <v>64</v>
      </c>
      <c r="L1601" s="2" t="s">
        <v>13408</v>
      </c>
      <c r="M1601" s="2" t="s">
        <v>14368</v>
      </c>
      <c r="N1601" s="3" t="s">
        <v>468</v>
      </c>
      <c r="P1601" s="3" t="s">
        <v>66</v>
      </c>
      <c r="R1601" s="3" t="s">
        <v>67</v>
      </c>
      <c r="S1601" s="4">
        <v>39</v>
      </c>
      <c r="T1601" s="4">
        <v>86</v>
      </c>
      <c r="U1601" s="5" t="s">
        <v>13883</v>
      </c>
      <c r="V1601" s="5" t="s">
        <v>1173</v>
      </c>
      <c r="W1601" s="5" t="s">
        <v>69</v>
      </c>
      <c r="X1601" s="5" t="s">
        <v>69</v>
      </c>
      <c r="Y1601" s="4">
        <v>477</v>
      </c>
      <c r="Z1601" s="4">
        <v>28</v>
      </c>
      <c r="AA1601" s="4">
        <v>30</v>
      </c>
      <c r="AB1601" s="4">
        <v>2</v>
      </c>
      <c r="AC1601" s="4">
        <v>3</v>
      </c>
      <c r="AD1601" s="4">
        <v>113</v>
      </c>
      <c r="AE1601" s="4">
        <v>117</v>
      </c>
      <c r="AF1601" s="4">
        <v>1</v>
      </c>
      <c r="AG1601" s="4">
        <v>2</v>
      </c>
      <c r="AH1601" s="4">
        <v>100</v>
      </c>
      <c r="AI1601" s="4">
        <v>102</v>
      </c>
      <c r="AJ1601" s="4">
        <v>17</v>
      </c>
      <c r="AK1601" s="4">
        <v>18</v>
      </c>
      <c r="AL1601" s="4">
        <v>55</v>
      </c>
      <c r="AM1601" s="4">
        <v>55</v>
      </c>
      <c r="AN1601" s="4">
        <v>0</v>
      </c>
      <c r="AO1601" s="4">
        <v>0</v>
      </c>
      <c r="AP1601" s="4">
        <v>21</v>
      </c>
      <c r="AQ1601" s="4">
        <v>22</v>
      </c>
      <c r="AR1601" s="3" t="s">
        <v>63</v>
      </c>
      <c r="AS1601" s="3" t="s">
        <v>63</v>
      </c>
      <c r="AT1601" s="3" t="s">
        <v>62</v>
      </c>
      <c r="AU1601" s="6" t="str">
        <f>HYPERLINK("http://catalog.hathitrust.org/Record/000695045","HathiTrust Record")</f>
        <v>HathiTrust Record</v>
      </c>
      <c r="AV1601" s="6" t="str">
        <f>HYPERLINK("http://mcgill.on.worldcat.org/oclc/1859672","Catalog Record")</f>
        <v>Catalog Record</v>
      </c>
      <c r="AW1601" s="6" t="str">
        <f>HYPERLINK("http://www.worldcat.org/oclc/1859672","WorldCat Record")</f>
        <v>WorldCat Record</v>
      </c>
      <c r="AX1601" s="3" t="s">
        <v>14369</v>
      </c>
      <c r="AY1601" s="3" t="s">
        <v>14370</v>
      </c>
      <c r="AZ1601" s="3" t="s">
        <v>14371</v>
      </c>
      <c r="BA1601" s="3" t="s">
        <v>14371</v>
      </c>
      <c r="BB1601" s="3" t="s">
        <v>14375</v>
      </c>
      <c r="BC1601" s="3" t="s">
        <v>82</v>
      </c>
      <c r="BD1601" s="3" t="s">
        <v>70</v>
      </c>
      <c r="BE1601" s="3" t="s">
        <v>14373</v>
      </c>
      <c r="BF1601" s="3" t="s">
        <v>14375</v>
      </c>
      <c r="BG1601" s="3" t="s">
        <v>14376</v>
      </c>
    </row>
    <row r="1602" spans="1:59" ht="60" x14ac:dyDescent="0.25">
      <c r="A1602" s="2" t="s">
        <v>59</v>
      </c>
      <c r="B1602" s="2" t="s">
        <v>60</v>
      </c>
      <c r="C1602" s="2" t="s">
        <v>14377</v>
      </c>
      <c r="D1602" s="2" t="s">
        <v>14378</v>
      </c>
      <c r="E1602" s="2" t="s">
        <v>14379</v>
      </c>
      <c r="G1602" s="3" t="s">
        <v>63</v>
      </c>
      <c r="I1602" s="3" t="s">
        <v>63</v>
      </c>
      <c r="J1602" s="3" t="s">
        <v>63</v>
      </c>
      <c r="K1602" s="3" t="s">
        <v>64</v>
      </c>
      <c r="L1602" s="2" t="s">
        <v>14380</v>
      </c>
      <c r="M1602" s="2" t="s">
        <v>14381</v>
      </c>
      <c r="N1602" s="3" t="s">
        <v>220</v>
      </c>
      <c r="P1602" s="3" t="s">
        <v>66</v>
      </c>
      <c r="R1602" s="3" t="s">
        <v>67</v>
      </c>
      <c r="S1602" s="4">
        <v>14</v>
      </c>
      <c r="T1602" s="4">
        <v>14</v>
      </c>
      <c r="U1602" s="5" t="s">
        <v>1173</v>
      </c>
      <c r="V1602" s="5" t="s">
        <v>1173</v>
      </c>
      <c r="W1602" s="5" t="s">
        <v>69</v>
      </c>
      <c r="X1602" s="5" t="s">
        <v>69</v>
      </c>
      <c r="Y1602" s="4">
        <v>364</v>
      </c>
      <c r="Z1602" s="4">
        <v>24</v>
      </c>
      <c r="AA1602" s="4">
        <v>26</v>
      </c>
      <c r="AB1602" s="4">
        <v>1</v>
      </c>
      <c r="AC1602" s="4">
        <v>2</v>
      </c>
      <c r="AD1602" s="4">
        <v>112</v>
      </c>
      <c r="AE1602" s="4">
        <v>116</v>
      </c>
      <c r="AF1602" s="4">
        <v>0</v>
      </c>
      <c r="AG1602" s="4">
        <v>1</v>
      </c>
      <c r="AH1602" s="4">
        <v>101</v>
      </c>
      <c r="AI1602" s="4">
        <v>105</v>
      </c>
      <c r="AJ1602" s="4">
        <v>16</v>
      </c>
      <c r="AK1602" s="4">
        <v>18</v>
      </c>
      <c r="AL1602" s="4">
        <v>52</v>
      </c>
      <c r="AM1602" s="4">
        <v>54</v>
      </c>
      <c r="AN1602" s="4">
        <v>0</v>
      </c>
      <c r="AO1602" s="4">
        <v>0</v>
      </c>
      <c r="AP1602" s="4">
        <v>19</v>
      </c>
      <c r="AQ1602" s="4">
        <v>21</v>
      </c>
      <c r="AR1602" s="3" t="s">
        <v>63</v>
      </c>
      <c r="AS1602" s="3" t="s">
        <v>63</v>
      </c>
      <c r="AT1602" s="3" t="s">
        <v>62</v>
      </c>
      <c r="AU1602" s="6" t="str">
        <f>HYPERLINK("http://catalog.hathitrust.org/Record/002706305","HathiTrust Record")</f>
        <v>HathiTrust Record</v>
      </c>
      <c r="AV1602" s="6" t="str">
        <f>HYPERLINK("http://mcgill.on.worldcat.org/oclc/25095007","Catalog Record")</f>
        <v>Catalog Record</v>
      </c>
      <c r="AW1602" s="6" t="str">
        <f>HYPERLINK("http://www.worldcat.org/oclc/25095007","WorldCat Record")</f>
        <v>WorldCat Record</v>
      </c>
      <c r="AX1602" s="3" t="s">
        <v>14382</v>
      </c>
      <c r="AY1602" s="3" t="s">
        <v>14383</v>
      </c>
      <c r="AZ1602" s="3" t="s">
        <v>14384</v>
      </c>
      <c r="BA1602" s="3" t="s">
        <v>14384</v>
      </c>
      <c r="BB1602" s="3" t="s">
        <v>14385</v>
      </c>
      <c r="BC1602" s="3" t="s">
        <v>82</v>
      </c>
      <c r="BD1602" s="3" t="s">
        <v>70</v>
      </c>
      <c r="BE1602" s="3" t="s">
        <v>14386</v>
      </c>
      <c r="BF1602" s="3" t="s">
        <v>14385</v>
      </c>
      <c r="BG1602" s="3" t="s">
        <v>14387</v>
      </c>
    </row>
    <row r="1603" spans="1:59" ht="60" x14ac:dyDescent="0.25">
      <c r="A1603" s="2" t="s">
        <v>59</v>
      </c>
      <c r="B1603" s="2" t="s">
        <v>60</v>
      </c>
      <c r="C1603" s="2" t="s">
        <v>14388</v>
      </c>
      <c r="D1603" s="2" t="s">
        <v>14389</v>
      </c>
      <c r="E1603" s="2" t="s">
        <v>14390</v>
      </c>
      <c r="G1603" s="3" t="s">
        <v>63</v>
      </c>
      <c r="I1603" s="3" t="s">
        <v>63</v>
      </c>
      <c r="J1603" s="3" t="s">
        <v>63</v>
      </c>
      <c r="K1603" s="3" t="s">
        <v>64</v>
      </c>
      <c r="L1603" s="2" t="s">
        <v>14391</v>
      </c>
      <c r="M1603" s="2" t="s">
        <v>14392</v>
      </c>
      <c r="N1603" s="3" t="s">
        <v>2271</v>
      </c>
      <c r="P1603" s="3" t="s">
        <v>90</v>
      </c>
      <c r="Q1603" s="2" t="s">
        <v>14393</v>
      </c>
      <c r="R1603" s="3" t="s">
        <v>67</v>
      </c>
      <c r="S1603" s="4">
        <v>3</v>
      </c>
      <c r="T1603" s="4">
        <v>3</v>
      </c>
      <c r="U1603" s="5" t="s">
        <v>3117</v>
      </c>
      <c r="V1603" s="5" t="s">
        <v>3117</v>
      </c>
      <c r="W1603" s="5" t="s">
        <v>69</v>
      </c>
      <c r="X1603" s="5" t="s">
        <v>69</v>
      </c>
      <c r="Y1603" s="4">
        <v>189</v>
      </c>
      <c r="Z1603" s="4">
        <v>9</v>
      </c>
      <c r="AA1603" s="4">
        <v>16</v>
      </c>
      <c r="AB1603" s="4">
        <v>2</v>
      </c>
      <c r="AC1603" s="4">
        <v>2</v>
      </c>
      <c r="AD1603" s="4">
        <v>75</v>
      </c>
      <c r="AE1603" s="4">
        <v>103</v>
      </c>
      <c r="AF1603" s="4">
        <v>1</v>
      </c>
      <c r="AG1603" s="4">
        <v>1</v>
      </c>
      <c r="AH1603" s="4">
        <v>70</v>
      </c>
      <c r="AI1603" s="4">
        <v>95</v>
      </c>
      <c r="AJ1603" s="4">
        <v>6</v>
      </c>
      <c r="AK1603" s="4">
        <v>13</v>
      </c>
      <c r="AL1603" s="4">
        <v>45</v>
      </c>
      <c r="AM1603" s="4">
        <v>56</v>
      </c>
      <c r="AN1603" s="4">
        <v>0</v>
      </c>
      <c r="AO1603" s="4">
        <v>0</v>
      </c>
      <c r="AP1603" s="4">
        <v>6</v>
      </c>
      <c r="AQ1603" s="4">
        <v>13</v>
      </c>
      <c r="AR1603" s="3" t="s">
        <v>63</v>
      </c>
      <c r="AS1603" s="3" t="s">
        <v>63</v>
      </c>
      <c r="AT1603" s="3" t="s">
        <v>62</v>
      </c>
      <c r="AU1603" s="6" t="str">
        <f>HYPERLINK("http://catalog.hathitrust.org/Record/003569674","HathiTrust Record")</f>
        <v>HathiTrust Record</v>
      </c>
      <c r="AV1603" s="6" t="str">
        <f>HYPERLINK("http://mcgill.on.worldcat.org/oclc/917716","Catalog Record")</f>
        <v>Catalog Record</v>
      </c>
      <c r="AW1603" s="6" t="str">
        <f>HYPERLINK("http://www.worldcat.org/oclc/917716","WorldCat Record")</f>
        <v>WorldCat Record</v>
      </c>
      <c r="AX1603" s="3" t="s">
        <v>14394</v>
      </c>
      <c r="AY1603" s="3" t="s">
        <v>14395</v>
      </c>
      <c r="AZ1603" s="3" t="s">
        <v>14396</v>
      </c>
      <c r="BA1603" s="3" t="s">
        <v>14396</v>
      </c>
      <c r="BB1603" s="3" t="s">
        <v>14397</v>
      </c>
      <c r="BC1603" s="3" t="s">
        <v>82</v>
      </c>
      <c r="BD1603" s="3" t="s">
        <v>70</v>
      </c>
      <c r="BF1603" s="3" t="s">
        <v>14397</v>
      </c>
      <c r="BG1603" s="3" t="s">
        <v>14398</v>
      </c>
    </row>
    <row r="1604" spans="1:59" ht="60" x14ac:dyDescent="0.25">
      <c r="A1604" s="2" t="s">
        <v>59</v>
      </c>
      <c r="B1604" s="2" t="s">
        <v>60</v>
      </c>
      <c r="C1604" s="2" t="s">
        <v>14399</v>
      </c>
      <c r="D1604" s="2" t="s">
        <v>14400</v>
      </c>
      <c r="E1604" s="2" t="s">
        <v>14401</v>
      </c>
      <c r="G1604" s="3" t="s">
        <v>63</v>
      </c>
      <c r="I1604" s="3" t="s">
        <v>63</v>
      </c>
      <c r="J1604" s="3" t="s">
        <v>63</v>
      </c>
      <c r="K1604" s="3" t="s">
        <v>64</v>
      </c>
      <c r="L1604" s="2" t="s">
        <v>13881</v>
      </c>
      <c r="M1604" s="2" t="s">
        <v>14402</v>
      </c>
      <c r="N1604" s="3" t="s">
        <v>247</v>
      </c>
      <c r="P1604" s="3" t="s">
        <v>66</v>
      </c>
      <c r="R1604" s="3" t="s">
        <v>67</v>
      </c>
      <c r="S1604" s="4">
        <v>39</v>
      </c>
      <c r="T1604" s="4">
        <v>39</v>
      </c>
      <c r="U1604" s="5" t="s">
        <v>13078</v>
      </c>
      <c r="V1604" s="5" t="s">
        <v>13078</v>
      </c>
      <c r="W1604" s="5" t="s">
        <v>69</v>
      </c>
      <c r="X1604" s="5" t="s">
        <v>69</v>
      </c>
      <c r="Y1604" s="4">
        <v>474</v>
      </c>
      <c r="Z1604" s="4">
        <v>26</v>
      </c>
      <c r="AA1604" s="4">
        <v>29</v>
      </c>
      <c r="AB1604" s="4">
        <v>1</v>
      </c>
      <c r="AC1604" s="4">
        <v>2</v>
      </c>
      <c r="AD1604" s="4">
        <v>111</v>
      </c>
      <c r="AE1604" s="4">
        <v>114</v>
      </c>
      <c r="AF1604" s="4">
        <v>0</v>
      </c>
      <c r="AG1604" s="4">
        <v>1</v>
      </c>
      <c r="AH1604" s="4">
        <v>100</v>
      </c>
      <c r="AI1604" s="4">
        <v>100</v>
      </c>
      <c r="AJ1604" s="4">
        <v>18</v>
      </c>
      <c r="AK1604" s="4">
        <v>21</v>
      </c>
      <c r="AL1604" s="4">
        <v>54</v>
      </c>
      <c r="AM1604" s="4">
        <v>54</v>
      </c>
      <c r="AN1604" s="4">
        <v>0</v>
      </c>
      <c r="AO1604" s="4">
        <v>0</v>
      </c>
      <c r="AP1604" s="4">
        <v>20</v>
      </c>
      <c r="AQ1604" s="4">
        <v>22</v>
      </c>
      <c r="AR1604" s="3" t="s">
        <v>63</v>
      </c>
      <c r="AS1604" s="3" t="s">
        <v>63</v>
      </c>
      <c r="AT1604" s="3" t="s">
        <v>62</v>
      </c>
      <c r="AU1604" s="6" t="str">
        <f>HYPERLINK("http://catalog.hathitrust.org/Record/000109686","HathiTrust Record")</f>
        <v>HathiTrust Record</v>
      </c>
      <c r="AV1604" s="6" t="str">
        <f>HYPERLINK("http://mcgill.on.worldcat.org/oclc/10019246","Catalog Record")</f>
        <v>Catalog Record</v>
      </c>
      <c r="AW1604" s="6" t="str">
        <f>HYPERLINK("http://www.worldcat.org/oclc/10019246","WorldCat Record")</f>
        <v>WorldCat Record</v>
      </c>
      <c r="AX1604" s="3" t="s">
        <v>14403</v>
      </c>
      <c r="AY1604" s="3" t="s">
        <v>14404</v>
      </c>
      <c r="AZ1604" s="3" t="s">
        <v>14405</v>
      </c>
      <c r="BA1604" s="3" t="s">
        <v>14405</v>
      </c>
      <c r="BB1604" s="3" t="s">
        <v>14406</v>
      </c>
      <c r="BC1604" s="3" t="s">
        <v>82</v>
      </c>
      <c r="BD1604" s="3" t="s">
        <v>70</v>
      </c>
      <c r="BE1604" s="3" t="s">
        <v>14407</v>
      </c>
      <c r="BF1604" s="3" t="s">
        <v>14406</v>
      </c>
      <c r="BG1604" s="3" t="s">
        <v>14408</v>
      </c>
    </row>
    <row r="1605" spans="1:59" ht="75" x14ac:dyDescent="0.25">
      <c r="A1605" s="2" t="s">
        <v>59</v>
      </c>
      <c r="B1605" s="2" t="s">
        <v>60</v>
      </c>
      <c r="C1605" s="2" t="s">
        <v>14589</v>
      </c>
      <c r="D1605" s="2" t="s">
        <v>14558</v>
      </c>
      <c r="E1605" s="2" t="s">
        <v>14559</v>
      </c>
      <c r="F1605" s="3" t="s">
        <v>14590</v>
      </c>
      <c r="G1605" s="3" t="s">
        <v>62</v>
      </c>
      <c r="I1605" s="3" t="s">
        <v>63</v>
      </c>
      <c r="J1605" s="3" t="s">
        <v>63</v>
      </c>
      <c r="K1605" s="3" t="s">
        <v>64</v>
      </c>
      <c r="L1605" s="2" t="s">
        <v>14560</v>
      </c>
      <c r="M1605" s="2" t="s">
        <v>14561</v>
      </c>
      <c r="N1605" s="3" t="s">
        <v>1113</v>
      </c>
      <c r="P1605" s="3" t="s">
        <v>90</v>
      </c>
      <c r="R1605" s="3" t="s">
        <v>67</v>
      </c>
      <c r="S1605" s="4">
        <v>0</v>
      </c>
      <c r="T1605" s="4">
        <v>16</v>
      </c>
      <c r="V1605" s="5" t="s">
        <v>2227</v>
      </c>
      <c r="W1605" s="5" t="s">
        <v>69</v>
      </c>
      <c r="X1605" s="5" t="s">
        <v>69</v>
      </c>
      <c r="Y1605" s="4">
        <v>69</v>
      </c>
      <c r="Z1605" s="4">
        <v>4</v>
      </c>
      <c r="AA1605" s="4">
        <v>4</v>
      </c>
      <c r="AB1605" s="4">
        <v>1</v>
      </c>
      <c r="AC1605" s="4">
        <v>1</v>
      </c>
      <c r="AD1605" s="4">
        <v>46</v>
      </c>
      <c r="AE1605" s="4">
        <v>46</v>
      </c>
      <c r="AF1605" s="4">
        <v>0</v>
      </c>
      <c r="AG1605" s="4">
        <v>0</v>
      </c>
      <c r="AH1605" s="4">
        <v>45</v>
      </c>
      <c r="AI1605" s="4">
        <v>45</v>
      </c>
      <c r="AJ1605" s="4">
        <v>2</v>
      </c>
      <c r="AK1605" s="4">
        <v>2</v>
      </c>
      <c r="AL1605" s="4">
        <v>35</v>
      </c>
      <c r="AM1605" s="4">
        <v>35</v>
      </c>
      <c r="AN1605" s="4">
        <v>0</v>
      </c>
      <c r="AO1605" s="4">
        <v>0</v>
      </c>
      <c r="AP1605" s="4">
        <v>2</v>
      </c>
      <c r="AQ1605" s="4">
        <v>2</v>
      </c>
      <c r="AR1605" s="3" t="s">
        <v>63</v>
      </c>
      <c r="AS1605" s="3" t="s">
        <v>63</v>
      </c>
      <c r="AT1605" s="3" t="s">
        <v>62</v>
      </c>
      <c r="AU1605" s="6" t="str">
        <f>HYPERLINK("http://catalog.hathitrust.org/Record/004011625","HathiTrust Record")</f>
        <v>HathiTrust Record</v>
      </c>
      <c r="AV1605" s="6" t="str">
        <f>HYPERLINK("http://mcgill.on.worldcat.org/oclc/39328454","Catalog Record")</f>
        <v>Catalog Record</v>
      </c>
      <c r="AW1605" s="6" t="str">
        <f>HYPERLINK("http://www.worldcat.org/oclc/39328454","WorldCat Record")</f>
        <v>WorldCat Record</v>
      </c>
      <c r="AX1605" s="3" t="s">
        <v>14562</v>
      </c>
      <c r="AY1605" s="3" t="s">
        <v>14563</v>
      </c>
      <c r="AZ1605" s="3" t="s">
        <v>14564</v>
      </c>
      <c r="BA1605" s="3" t="s">
        <v>14564</v>
      </c>
      <c r="BB1605" s="3" t="s">
        <v>14591</v>
      </c>
      <c r="BC1605" s="3" t="s">
        <v>82</v>
      </c>
      <c r="BD1605" s="3" t="s">
        <v>70</v>
      </c>
      <c r="BE1605" s="3" t="s">
        <v>14566</v>
      </c>
      <c r="BF1605" s="3" t="s">
        <v>14591</v>
      </c>
      <c r="BG1605" s="3" t="s">
        <v>14592</v>
      </c>
    </row>
    <row r="1606" spans="1:59" ht="60" x14ac:dyDescent="0.25">
      <c r="A1606" s="2" t="s">
        <v>59</v>
      </c>
      <c r="B1606" s="2" t="s">
        <v>60</v>
      </c>
      <c r="C1606" s="2" t="s">
        <v>14538</v>
      </c>
      <c r="D1606" s="2" t="s">
        <v>14539</v>
      </c>
      <c r="E1606" s="2" t="s">
        <v>14540</v>
      </c>
      <c r="F1606" s="3" t="s">
        <v>1379</v>
      </c>
      <c r="G1606" s="3" t="s">
        <v>62</v>
      </c>
      <c r="I1606" s="3" t="s">
        <v>63</v>
      </c>
      <c r="J1606" s="3" t="s">
        <v>63</v>
      </c>
      <c r="K1606" s="3" t="s">
        <v>64</v>
      </c>
      <c r="L1606" s="2" t="s">
        <v>14412</v>
      </c>
      <c r="M1606" s="2" t="s">
        <v>14541</v>
      </c>
      <c r="N1606" s="3" t="s">
        <v>1010</v>
      </c>
      <c r="P1606" s="3" t="s">
        <v>90</v>
      </c>
      <c r="Q1606" s="2" t="s">
        <v>14542</v>
      </c>
      <c r="R1606" s="3" t="s">
        <v>67</v>
      </c>
      <c r="S1606" s="4">
        <v>3</v>
      </c>
      <c r="T1606" s="4">
        <v>7</v>
      </c>
      <c r="U1606" s="5" t="s">
        <v>4457</v>
      </c>
      <c r="V1606" s="5" t="s">
        <v>4457</v>
      </c>
      <c r="W1606" s="5" t="s">
        <v>69</v>
      </c>
      <c r="X1606" s="5" t="s">
        <v>69</v>
      </c>
      <c r="Y1606" s="4">
        <v>1</v>
      </c>
      <c r="Z1606" s="4">
        <v>1</v>
      </c>
      <c r="AA1606" s="4">
        <v>1</v>
      </c>
      <c r="AB1606" s="4">
        <v>1</v>
      </c>
      <c r="AC1606" s="4">
        <v>1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3" t="s">
        <v>63</v>
      </c>
      <c r="AS1606" s="3" t="s">
        <v>63</v>
      </c>
      <c r="AT1606" s="3" t="s">
        <v>63</v>
      </c>
      <c r="AV1606" s="6" t="str">
        <f>HYPERLINK("http://mcgill.on.worldcat.org/oclc/427854681","Catalog Record")</f>
        <v>Catalog Record</v>
      </c>
      <c r="AW1606" s="6" t="str">
        <f>HYPERLINK("http://www.worldcat.org/oclc/427854681","WorldCat Record")</f>
        <v>WorldCat Record</v>
      </c>
      <c r="AX1606" s="3" t="s">
        <v>14543</v>
      </c>
      <c r="AY1606" s="3" t="s">
        <v>14544</v>
      </c>
      <c r="AZ1606" s="3" t="s">
        <v>14545</v>
      </c>
      <c r="BA1606" s="3" t="s">
        <v>14545</v>
      </c>
      <c r="BB1606" s="3" t="s">
        <v>14546</v>
      </c>
      <c r="BC1606" s="3" t="s">
        <v>82</v>
      </c>
      <c r="BD1606" s="3" t="s">
        <v>70</v>
      </c>
      <c r="BF1606" s="3" t="s">
        <v>14546</v>
      </c>
      <c r="BG1606" s="3" t="s">
        <v>14547</v>
      </c>
    </row>
    <row r="1607" spans="1:59" ht="60" x14ac:dyDescent="0.25">
      <c r="A1607" s="2" t="s">
        <v>59</v>
      </c>
      <c r="B1607" s="2" t="s">
        <v>60</v>
      </c>
      <c r="C1607" s="2" t="s">
        <v>14538</v>
      </c>
      <c r="D1607" s="2" t="s">
        <v>14539</v>
      </c>
      <c r="E1607" s="2" t="s">
        <v>14540</v>
      </c>
      <c r="F1607" s="3" t="s">
        <v>1095</v>
      </c>
      <c r="G1607" s="3" t="s">
        <v>62</v>
      </c>
      <c r="I1607" s="3" t="s">
        <v>63</v>
      </c>
      <c r="J1607" s="3" t="s">
        <v>63</v>
      </c>
      <c r="K1607" s="3" t="s">
        <v>64</v>
      </c>
      <c r="L1607" s="2" t="s">
        <v>14412</v>
      </c>
      <c r="M1607" s="2" t="s">
        <v>14541</v>
      </c>
      <c r="N1607" s="3" t="s">
        <v>1010</v>
      </c>
      <c r="P1607" s="3" t="s">
        <v>90</v>
      </c>
      <c r="Q1607" s="2" t="s">
        <v>14542</v>
      </c>
      <c r="R1607" s="3" t="s">
        <v>67</v>
      </c>
      <c r="S1607" s="4">
        <v>1</v>
      </c>
      <c r="T1607" s="4">
        <v>7</v>
      </c>
      <c r="U1607" s="5" t="s">
        <v>14548</v>
      </c>
      <c r="V1607" s="5" t="s">
        <v>4457</v>
      </c>
      <c r="W1607" s="5" t="s">
        <v>69</v>
      </c>
      <c r="X1607" s="5" t="s">
        <v>69</v>
      </c>
      <c r="Y1607" s="4">
        <v>1</v>
      </c>
      <c r="Z1607" s="4">
        <v>1</v>
      </c>
      <c r="AA1607" s="4">
        <v>1</v>
      </c>
      <c r="AB1607" s="4">
        <v>1</v>
      </c>
      <c r="AC1607" s="4">
        <v>1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3" t="s">
        <v>63</v>
      </c>
      <c r="AS1607" s="3" t="s">
        <v>63</v>
      </c>
      <c r="AT1607" s="3" t="s">
        <v>63</v>
      </c>
      <c r="AV1607" s="6" t="str">
        <f>HYPERLINK("http://mcgill.on.worldcat.org/oclc/427854681","Catalog Record")</f>
        <v>Catalog Record</v>
      </c>
      <c r="AW1607" s="6" t="str">
        <f>HYPERLINK("http://www.worldcat.org/oclc/427854681","WorldCat Record")</f>
        <v>WorldCat Record</v>
      </c>
      <c r="AX1607" s="3" t="s">
        <v>14543</v>
      </c>
      <c r="AY1607" s="3" t="s">
        <v>14544</v>
      </c>
      <c r="AZ1607" s="3" t="s">
        <v>14545</v>
      </c>
      <c r="BA1607" s="3" t="s">
        <v>14545</v>
      </c>
      <c r="BB1607" s="3" t="s">
        <v>14549</v>
      </c>
      <c r="BC1607" s="3" t="s">
        <v>82</v>
      </c>
      <c r="BD1607" s="3" t="s">
        <v>70</v>
      </c>
      <c r="BF1607" s="3" t="s">
        <v>14549</v>
      </c>
      <c r="BG1607" s="3" t="s">
        <v>14550</v>
      </c>
    </row>
    <row r="1608" spans="1:59" ht="60" x14ac:dyDescent="0.25">
      <c r="A1608" s="2" t="s">
        <v>59</v>
      </c>
      <c r="B1608" s="2" t="s">
        <v>60</v>
      </c>
      <c r="C1608" s="2" t="s">
        <v>14538</v>
      </c>
      <c r="D1608" s="2" t="s">
        <v>14539</v>
      </c>
      <c r="E1608" s="2" t="s">
        <v>14540</v>
      </c>
      <c r="F1608" s="3" t="s">
        <v>1390</v>
      </c>
      <c r="G1608" s="3" t="s">
        <v>62</v>
      </c>
      <c r="I1608" s="3" t="s">
        <v>63</v>
      </c>
      <c r="J1608" s="3" t="s">
        <v>63</v>
      </c>
      <c r="K1608" s="3" t="s">
        <v>64</v>
      </c>
      <c r="L1608" s="2" t="s">
        <v>14412</v>
      </c>
      <c r="M1608" s="2" t="s">
        <v>14541</v>
      </c>
      <c r="N1608" s="3" t="s">
        <v>1010</v>
      </c>
      <c r="P1608" s="3" t="s">
        <v>90</v>
      </c>
      <c r="Q1608" s="2" t="s">
        <v>14542</v>
      </c>
      <c r="R1608" s="3" t="s">
        <v>67</v>
      </c>
      <c r="S1608" s="4">
        <v>0</v>
      </c>
      <c r="T1608" s="4">
        <v>7</v>
      </c>
      <c r="V1608" s="5" t="s">
        <v>4457</v>
      </c>
      <c r="W1608" s="5" t="s">
        <v>69</v>
      </c>
      <c r="X1608" s="5" t="s">
        <v>69</v>
      </c>
      <c r="Y1608" s="4">
        <v>1</v>
      </c>
      <c r="Z1608" s="4">
        <v>1</v>
      </c>
      <c r="AA1608" s="4">
        <v>1</v>
      </c>
      <c r="AB1608" s="4">
        <v>1</v>
      </c>
      <c r="AC1608" s="4">
        <v>1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3" t="s">
        <v>63</v>
      </c>
      <c r="AS1608" s="3" t="s">
        <v>63</v>
      </c>
      <c r="AT1608" s="3" t="s">
        <v>63</v>
      </c>
      <c r="AV1608" s="6" t="str">
        <f>HYPERLINK("http://mcgill.on.worldcat.org/oclc/427854681","Catalog Record")</f>
        <v>Catalog Record</v>
      </c>
      <c r="AW1608" s="6" t="str">
        <f>HYPERLINK("http://www.worldcat.org/oclc/427854681","WorldCat Record")</f>
        <v>WorldCat Record</v>
      </c>
      <c r="AX1608" s="3" t="s">
        <v>14543</v>
      </c>
      <c r="AY1608" s="3" t="s">
        <v>14544</v>
      </c>
      <c r="AZ1608" s="3" t="s">
        <v>14545</v>
      </c>
      <c r="BA1608" s="3" t="s">
        <v>14545</v>
      </c>
      <c r="BB1608" s="3" t="s">
        <v>14551</v>
      </c>
      <c r="BC1608" s="3" t="s">
        <v>82</v>
      </c>
      <c r="BD1608" s="3" t="s">
        <v>70</v>
      </c>
      <c r="BF1608" s="3" t="s">
        <v>14551</v>
      </c>
      <c r="BG1608" s="3" t="s">
        <v>14552</v>
      </c>
    </row>
    <row r="1609" spans="1:59" ht="60" x14ac:dyDescent="0.25">
      <c r="A1609" s="2" t="s">
        <v>59</v>
      </c>
      <c r="B1609" s="2" t="s">
        <v>60</v>
      </c>
      <c r="C1609" s="2" t="s">
        <v>14538</v>
      </c>
      <c r="D1609" s="2" t="s">
        <v>14539</v>
      </c>
      <c r="E1609" s="2" t="s">
        <v>14540</v>
      </c>
      <c r="F1609" s="3" t="s">
        <v>1105</v>
      </c>
      <c r="G1609" s="3" t="s">
        <v>62</v>
      </c>
      <c r="I1609" s="3" t="s">
        <v>63</v>
      </c>
      <c r="J1609" s="3" t="s">
        <v>63</v>
      </c>
      <c r="K1609" s="3" t="s">
        <v>64</v>
      </c>
      <c r="L1609" s="2" t="s">
        <v>14412</v>
      </c>
      <c r="M1609" s="2" t="s">
        <v>14541</v>
      </c>
      <c r="N1609" s="3" t="s">
        <v>1010</v>
      </c>
      <c r="P1609" s="3" t="s">
        <v>90</v>
      </c>
      <c r="Q1609" s="2" t="s">
        <v>14542</v>
      </c>
      <c r="R1609" s="3" t="s">
        <v>67</v>
      </c>
      <c r="S1609" s="4">
        <v>0</v>
      </c>
      <c r="T1609" s="4">
        <v>7</v>
      </c>
      <c r="V1609" s="5" t="s">
        <v>4457</v>
      </c>
      <c r="W1609" s="5" t="s">
        <v>69</v>
      </c>
      <c r="X1609" s="5" t="s">
        <v>69</v>
      </c>
      <c r="Y1609" s="4">
        <v>1</v>
      </c>
      <c r="Z1609" s="4">
        <v>1</v>
      </c>
      <c r="AA1609" s="4">
        <v>1</v>
      </c>
      <c r="AB1609" s="4">
        <v>1</v>
      </c>
      <c r="AC1609" s="4">
        <v>1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3" t="s">
        <v>63</v>
      </c>
      <c r="AS1609" s="3" t="s">
        <v>63</v>
      </c>
      <c r="AT1609" s="3" t="s">
        <v>63</v>
      </c>
      <c r="AV1609" s="6" t="str">
        <f>HYPERLINK("http://mcgill.on.worldcat.org/oclc/427854681","Catalog Record")</f>
        <v>Catalog Record</v>
      </c>
      <c r="AW1609" s="6" t="str">
        <f>HYPERLINK("http://www.worldcat.org/oclc/427854681","WorldCat Record")</f>
        <v>WorldCat Record</v>
      </c>
      <c r="AX1609" s="3" t="s">
        <v>14543</v>
      </c>
      <c r="AY1609" s="3" t="s">
        <v>14544</v>
      </c>
      <c r="AZ1609" s="3" t="s">
        <v>14545</v>
      </c>
      <c r="BA1609" s="3" t="s">
        <v>14545</v>
      </c>
      <c r="BB1609" s="3" t="s">
        <v>14553</v>
      </c>
      <c r="BC1609" s="3" t="s">
        <v>82</v>
      </c>
      <c r="BD1609" s="3" t="s">
        <v>70</v>
      </c>
      <c r="BF1609" s="3" t="s">
        <v>14553</v>
      </c>
      <c r="BG1609" s="3" t="s">
        <v>14554</v>
      </c>
    </row>
    <row r="1610" spans="1:59" ht="60" x14ac:dyDescent="0.25">
      <c r="A1610" s="2" t="s">
        <v>59</v>
      </c>
      <c r="B1610" s="2" t="s">
        <v>60</v>
      </c>
      <c r="C1610" s="2" t="s">
        <v>14538</v>
      </c>
      <c r="D1610" s="2" t="s">
        <v>14539</v>
      </c>
      <c r="E1610" s="2" t="s">
        <v>14540</v>
      </c>
      <c r="F1610" s="3" t="s">
        <v>61</v>
      </c>
      <c r="G1610" s="3" t="s">
        <v>62</v>
      </c>
      <c r="I1610" s="3" t="s">
        <v>63</v>
      </c>
      <c r="J1610" s="3" t="s">
        <v>63</v>
      </c>
      <c r="K1610" s="3" t="s">
        <v>64</v>
      </c>
      <c r="L1610" s="2" t="s">
        <v>14412</v>
      </c>
      <c r="M1610" s="2" t="s">
        <v>14541</v>
      </c>
      <c r="N1610" s="3" t="s">
        <v>1010</v>
      </c>
      <c r="P1610" s="3" t="s">
        <v>90</v>
      </c>
      <c r="Q1610" s="2" t="s">
        <v>14542</v>
      </c>
      <c r="R1610" s="3" t="s">
        <v>67</v>
      </c>
      <c r="S1610" s="4">
        <v>3</v>
      </c>
      <c r="T1610" s="4">
        <v>7</v>
      </c>
      <c r="U1610" s="5" t="s">
        <v>4457</v>
      </c>
      <c r="V1610" s="5" t="s">
        <v>4457</v>
      </c>
      <c r="W1610" s="5" t="s">
        <v>69</v>
      </c>
      <c r="X1610" s="5" t="s">
        <v>69</v>
      </c>
      <c r="Y1610" s="4">
        <v>1</v>
      </c>
      <c r="Z1610" s="4">
        <v>1</v>
      </c>
      <c r="AA1610" s="4">
        <v>1</v>
      </c>
      <c r="AB1610" s="4">
        <v>1</v>
      </c>
      <c r="AC1610" s="4">
        <v>1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3" t="s">
        <v>63</v>
      </c>
      <c r="AS1610" s="3" t="s">
        <v>63</v>
      </c>
      <c r="AT1610" s="3" t="s">
        <v>63</v>
      </c>
      <c r="AV1610" s="6" t="str">
        <f>HYPERLINK("http://mcgill.on.worldcat.org/oclc/427854681","Catalog Record")</f>
        <v>Catalog Record</v>
      </c>
      <c r="AW1610" s="6" t="str">
        <f>HYPERLINK("http://www.worldcat.org/oclc/427854681","WorldCat Record")</f>
        <v>WorldCat Record</v>
      </c>
      <c r="AX1610" s="3" t="s">
        <v>14543</v>
      </c>
      <c r="AY1610" s="3" t="s">
        <v>14544</v>
      </c>
      <c r="AZ1610" s="3" t="s">
        <v>14545</v>
      </c>
      <c r="BA1610" s="3" t="s">
        <v>14545</v>
      </c>
      <c r="BB1610" s="3" t="s">
        <v>14555</v>
      </c>
      <c r="BC1610" s="3" t="s">
        <v>82</v>
      </c>
      <c r="BD1610" s="3" t="s">
        <v>70</v>
      </c>
      <c r="BF1610" s="3" t="s">
        <v>14555</v>
      </c>
      <c r="BG1610" s="3" t="s">
        <v>14556</v>
      </c>
    </row>
    <row r="1611" spans="1:59" ht="75" x14ac:dyDescent="0.25">
      <c r="A1611" s="2" t="s">
        <v>59</v>
      </c>
      <c r="B1611" s="2" t="s">
        <v>60</v>
      </c>
      <c r="C1611" s="2" t="s">
        <v>14557</v>
      </c>
      <c r="D1611" s="2" t="s">
        <v>14558</v>
      </c>
      <c r="E1611" s="2" t="s">
        <v>14559</v>
      </c>
      <c r="F1611" s="3" t="s">
        <v>4428</v>
      </c>
      <c r="G1611" s="3" t="s">
        <v>62</v>
      </c>
      <c r="I1611" s="3" t="s">
        <v>63</v>
      </c>
      <c r="J1611" s="3" t="s">
        <v>63</v>
      </c>
      <c r="K1611" s="3" t="s">
        <v>64</v>
      </c>
      <c r="L1611" s="2" t="s">
        <v>14560</v>
      </c>
      <c r="M1611" s="2" t="s">
        <v>14561</v>
      </c>
      <c r="N1611" s="3" t="s">
        <v>1113</v>
      </c>
      <c r="P1611" s="3" t="s">
        <v>90</v>
      </c>
      <c r="R1611" s="3" t="s">
        <v>67</v>
      </c>
      <c r="S1611" s="4">
        <v>0</v>
      </c>
      <c r="T1611" s="4">
        <v>16</v>
      </c>
      <c r="V1611" s="5" t="s">
        <v>2227</v>
      </c>
      <c r="W1611" s="5" t="s">
        <v>69</v>
      </c>
      <c r="X1611" s="5" t="s">
        <v>69</v>
      </c>
      <c r="Y1611" s="4">
        <v>69</v>
      </c>
      <c r="Z1611" s="4">
        <v>4</v>
      </c>
      <c r="AA1611" s="4">
        <v>4</v>
      </c>
      <c r="AB1611" s="4">
        <v>1</v>
      </c>
      <c r="AC1611" s="4">
        <v>1</v>
      </c>
      <c r="AD1611" s="4">
        <v>46</v>
      </c>
      <c r="AE1611" s="4">
        <v>46</v>
      </c>
      <c r="AF1611" s="4">
        <v>0</v>
      </c>
      <c r="AG1611" s="4">
        <v>0</v>
      </c>
      <c r="AH1611" s="4">
        <v>45</v>
      </c>
      <c r="AI1611" s="4">
        <v>45</v>
      </c>
      <c r="AJ1611" s="4">
        <v>2</v>
      </c>
      <c r="AK1611" s="4">
        <v>2</v>
      </c>
      <c r="AL1611" s="4">
        <v>35</v>
      </c>
      <c r="AM1611" s="4">
        <v>35</v>
      </c>
      <c r="AN1611" s="4">
        <v>0</v>
      </c>
      <c r="AO1611" s="4">
        <v>0</v>
      </c>
      <c r="AP1611" s="4">
        <v>2</v>
      </c>
      <c r="AQ1611" s="4">
        <v>2</v>
      </c>
      <c r="AR1611" s="3" t="s">
        <v>63</v>
      </c>
      <c r="AS1611" s="3" t="s">
        <v>63</v>
      </c>
      <c r="AT1611" s="3" t="s">
        <v>62</v>
      </c>
      <c r="AU1611" s="6" t="str">
        <f>HYPERLINK("http://catalog.hathitrust.org/Record/004011625","HathiTrust Record")</f>
        <v>HathiTrust Record</v>
      </c>
      <c r="AV1611" s="6" t="str">
        <f>HYPERLINK("http://mcgill.on.worldcat.org/oclc/39328454","Catalog Record")</f>
        <v>Catalog Record</v>
      </c>
      <c r="AW1611" s="6" t="str">
        <f>HYPERLINK("http://www.worldcat.org/oclc/39328454","WorldCat Record")</f>
        <v>WorldCat Record</v>
      </c>
      <c r="AX1611" s="3" t="s">
        <v>14562</v>
      </c>
      <c r="AY1611" s="3" t="s">
        <v>14563</v>
      </c>
      <c r="AZ1611" s="3" t="s">
        <v>14564</v>
      </c>
      <c r="BA1611" s="3" t="s">
        <v>14564</v>
      </c>
      <c r="BB1611" s="3" t="s">
        <v>14565</v>
      </c>
      <c r="BC1611" s="3" t="s">
        <v>82</v>
      </c>
      <c r="BD1611" s="3" t="s">
        <v>70</v>
      </c>
      <c r="BE1611" s="3" t="s">
        <v>14566</v>
      </c>
      <c r="BF1611" s="3" t="s">
        <v>14565</v>
      </c>
      <c r="BG1611" s="3" t="s">
        <v>14567</v>
      </c>
    </row>
    <row r="1612" spans="1:59" ht="75" x14ac:dyDescent="0.25">
      <c r="A1612" s="2" t="s">
        <v>59</v>
      </c>
      <c r="B1612" s="2" t="s">
        <v>60</v>
      </c>
      <c r="C1612" s="2" t="s">
        <v>14557</v>
      </c>
      <c r="D1612" s="2" t="s">
        <v>14558</v>
      </c>
      <c r="E1612" s="2" t="s">
        <v>14559</v>
      </c>
      <c r="F1612" s="3" t="s">
        <v>571</v>
      </c>
      <c r="G1612" s="3" t="s">
        <v>62</v>
      </c>
      <c r="I1612" s="3" t="s">
        <v>63</v>
      </c>
      <c r="J1612" s="3" t="s">
        <v>63</v>
      </c>
      <c r="K1612" s="3" t="s">
        <v>64</v>
      </c>
      <c r="L1612" s="2" t="s">
        <v>14560</v>
      </c>
      <c r="M1612" s="2" t="s">
        <v>14561</v>
      </c>
      <c r="N1612" s="3" t="s">
        <v>1113</v>
      </c>
      <c r="P1612" s="3" t="s">
        <v>90</v>
      </c>
      <c r="R1612" s="3" t="s">
        <v>67</v>
      </c>
      <c r="S1612" s="4">
        <v>3</v>
      </c>
      <c r="T1612" s="4">
        <v>16</v>
      </c>
      <c r="U1612" s="5" t="s">
        <v>14568</v>
      </c>
      <c r="V1612" s="5" t="s">
        <v>2227</v>
      </c>
      <c r="W1612" s="5" t="s">
        <v>69</v>
      </c>
      <c r="X1612" s="5" t="s">
        <v>69</v>
      </c>
      <c r="Y1612" s="4">
        <v>69</v>
      </c>
      <c r="Z1612" s="4">
        <v>4</v>
      </c>
      <c r="AA1612" s="4">
        <v>4</v>
      </c>
      <c r="AB1612" s="4">
        <v>1</v>
      </c>
      <c r="AC1612" s="4">
        <v>1</v>
      </c>
      <c r="AD1612" s="4">
        <v>46</v>
      </c>
      <c r="AE1612" s="4">
        <v>46</v>
      </c>
      <c r="AF1612" s="4">
        <v>0</v>
      </c>
      <c r="AG1612" s="4">
        <v>0</v>
      </c>
      <c r="AH1612" s="4">
        <v>45</v>
      </c>
      <c r="AI1612" s="4">
        <v>45</v>
      </c>
      <c r="AJ1612" s="4">
        <v>2</v>
      </c>
      <c r="AK1612" s="4">
        <v>2</v>
      </c>
      <c r="AL1612" s="4">
        <v>35</v>
      </c>
      <c r="AM1612" s="4">
        <v>35</v>
      </c>
      <c r="AN1612" s="4">
        <v>0</v>
      </c>
      <c r="AO1612" s="4">
        <v>0</v>
      </c>
      <c r="AP1612" s="4">
        <v>2</v>
      </c>
      <c r="AQ1612" s="4">
        <v>2</v>
      </c>
      <c r="AR1612" s="3" t="s">
        <v>63</v>
      </c>
      <c r="AS1612" s="3" t="s">
        <v>63</v>
      </c>
      <c r="AT1612" s="3" t="s">
        <v>62</v>
      </c>
      <c r="AU1612" s="6" t="str">
        <f>HYPERLINK("http://catalog.hathitrust.org/Record/004011625","HathiTrust Record")</f>
        <v>HathiTrust Record</v>
      </c>
      <c r="AV1612" s="6" t="str">
        <f>HYPERLINK("http://mcgill.on.worldcat.org/oclc/39328454","Catalog Record")</f>
        <v>Catalog Record</v>
      </c>
      <c r="AW1612" s="6" t="str">
        <f>HYPERLINK("http://www.worldcat.org/oclc/39328454","WorldCat Record")</f>
        <v>WorldCat Record</v>
      </c>
      <c r="AX1612" s="3" t="s">
        <v>14562</v>
      </c>
      <c r="AY1612" s="3" t="s">
        <v>14563</v>
      </c>
      <c r="AZ1612" s="3" t="s">
        <v>14564</v>
      </c>
      <c r="BA1612" s="3" t="s">
        <v>14564</v>
      </c>
      <c r="BB1612" s="3" t="s">
        <v>14569</v>
      </c>
      <c r="BC1612" s="3" t="s">
        <v>82</v>
      </c>
      <c r="BD1612" s="3" t="s">
        <v>70</v>
      </c>
      <c r="BE1612" s="3" t="s">
        <v>14566</v>
      </c>
      <c r="BF1612" s="3" t="s">
        <v>14569</v>
      </c>
      <c r="BG1612" s="3" t="s">
        <v>14570</v>
      </c>
    </row>
    <row r="1613" spans="1:59" ht="75" x14ac:dyDescent="0.25">
      <c r="A1613" s="2" t="s">
        <v>59</v>
      </c>
      <c r="B1613" s="2" t="s">
        <v>60</v>
      </c>
      <c r="C1613" s="2" t="s">
        <v>14557</v>
      </c>
      <c r="D1613" s="2" t="s">
        <v>14558</v>
      </c>
      <c r="E1613" s="2" t="s">
        <v>14559</v>
      </c>
      <c r="F1613" s="3" t="s">
        <v>4439</v>
      </c>
      <c r="G1613" s="3" t="s">
        <v>62</v>
      </c>
      <c r="I1613" s="3" t="s">
        <v>63</v>
      </c>
      <c r="J1613" s="3" t="s">
        <v>63</v>
      </c>
      <c r="K1613" s="3" t="s">
        <v>64</v>
      </c>
      <c r="L1613" s="2" t="s">
        <v>14560</v>
      </c>
      <c r="M1613" s="2" t="s">
        <v>14561</v>
      </c>
      <c r="N1613" s="3" t="s">
        <v>1113</v>
      </c>
      <c r="P1613" s="3" t="s">
        <v>90</v>
      </c>
      <c r="R1613" s="3" t="s">
        <v>67</v>
      </c>
      <c r="S1613" s="4">
        <v>5</v>
      </c>
      <c r="T1613" s="4">
        <v>16</v>
      </c>
      <c r="U1613" s="5" t="s">
        <v>14571</v>
      </c>
      <c r="V1613" s="5" t="s">
        <v>2227</v>
      </c>
      <c r="W1613" s="5" t="s">
        <v>69</v>
      </c>
      <c r="X1613" s="5" t="s">
        <v>69</v>
      </c>
      <c r="Y1613" s="4">
        <v>69</v>
      </c>
      <c r="Z1613" s="4">
        <v>4</v>
      </c>
      <c r="AA1613" s="4">
        <v>4</v>
      </c>
      <c r="AB1613" s="4">
        <v>1</v>
      </c>
      <c r="AC1613" s="4">
        <v>1</v>
      </c>
      <c r="AD1613" s="4">
        <v>46</v>
      </c>
      <c r="AE1613" s="4">
        <v>46</v>
      </c>
      <c r="AF1613" s="4">
        <v>0</v>
      </c>
      <c r="AG1613" s="4">
        <v>0</v>
      </c>
      <c r="AH1613" s="4">
        <v>45</v>
      </c>
      <c r="AI1613" s="4">
        <v>45</v>
      </c>
      <c r="AJ1613" s="4">
        <v>2</v>
      </c>
      <c r="AK1613" s="4">
        <v>2</v>
      </c>
      <c r="AL1613" s="4">
        <v>35</v>
      </c>
      <c r="AM1613" s="4">
        <v>35</v>
      </c>
      <c r="AN1613" s="4">
        <v>0</v>
      </c>
      <c r="AO1613" s="4">
        <v>0</v>
      </c>
      <c r="AP1613" s="4">
        <v>2</v>
      </c>
      <c r="AQ1613" s="4">
        <v>2</v>
      </c>
      <c r="AR1613" s="3" t="s">
        <v>63</v>
      </c>
      <c r="AS1613" s="3" t="s">
        <v>63</v>
      </c>
      <c r="AT1613" s="3" t="s">
        <v>62</v>
      </c>
      <c r="AU1613" s="6" t="str">
        <f>HYPERLINK("http://catalog.hathitrust.org/Record/004011625","HathiTrust Record")</f>
        <v>HathiTrust Record</v>
      </c>
      <c r="AV1613" s="6" t="str">
        <f>HYPERLINK("http://mcgill.on.worldcat.org/oclc/39328454","Catalog Record")</f>
        <v>Catalog Record</v>
      </c>
      <c r="AW1613" s="6" t="str">
        <f>HYPERLINK("http://www.worldcat.org/oclc/39328454","WorldCat Record")</f>
        <v>WorldCat Record</v>
      </c>
      <c r="AX1613" s="3" t="s">
        <v>14562</v>
      </c>
      <c r="AY1613" s="3" t="s">
        <v>14563</v>
      </c>
      <c r="AZ1613" s="3" t="s">
        <v>14564</v>
      </c>
      <c r="BA1613" s="3" t="s">
        <v>14564</v>
      </c>
      <c r="BB1613" s="3" t="s">
        <v>14572</v>
      </c>
      <c r="BC1613" s="3" t="s">
        <v>82</v>
      </c>
      <c r="BD1613" s="3" t="s">
        <v>70</v>
      </c>
      <c r="BE1613" s="3" t="s">
        <v>14566</v>
      </c>
      <c r="BF1613" s="3" t="s">
        <v>14572</v>
      </c>
      <c r="BG1613" s="3" t="s">
        <v>14573</v>
      </c>
    </row>
    <row r="1614" spans="1:59" ht="75" x14ac:dyDescent="0.25">
      <c r="A1614" s="2" t="s">
        <v>59</v>
      </c>
      <c r="B1614" s="2" t="s">
        <v>60</v>
      </c>
      <c r="C1614" s="2" t="s">
        <v>14557</v>
      </c>
      <c r="D1614" s="2" t="s">
        <v>14558</v>
      </c>
      <c r="E1614" s="2" t="s">
        <v>14559</v>
      </c>
      <c r="F1614" s="3" t="s">
        <v>14574</v>
      </c>
      <c r="G1614" s="3" t="s">
        <v>62</v>
      </c>
      <c r="I1614" s="3" t="s">
        <v>63</v>
      </c>
      <c r="J1614" s="3" t="s">
        <v>63</v>
      </c>
      <c r="K1614" s="3" t="s">
        <v>64</v>
      </c>
      <c r="L1614" s="2" t="s">
        <v>14560</v>
      </c>
      <c r="M1614" s="2" t="s">
        <v>14561</v>
      </c>
      <c r="N1614" s="3" t="s">
        <v>1113</v>
      </c>
      <c r="P1614" s="3" t="s">
        <v>90</v>
      </c>
      <c r="R1614" s="3" t="s">
        <v>67</v>
      </c>
      <c r="S1614" s="4">
        <v>0</v>
      </c>
      <c r="T1614" s="4">
        <v>16</v>
      </c>
      <c r="V1614" s="5" t="s">
        <v>2227</v>
      </c>
      <c r="W1614" s="5" t="s">
        <v>69</v>
      </c>
      <c r="X1614" s="5" t="s">
        <v>69</v>
      </c>
      <c r="Y1614" s="4">
        <v>69</v>
      </c>
      <c r="Z1614" s="4">
        <v>4</v>
      </c>
      <c r="AA1614" s="4">
        <v>4</v>
      </c>
      <c r="AB1614" s="4">
        <v>1</v>
      </c>
      <c r="AC1614" s="4">
        <v>1</v>
      </c>
      <c r="AD1614" s="4">
        <v>46</v>
      </c>
      <c r="AE1614" s="4">
        <v>46</v>
      </c>
      <c r="AF1614" s="4">
        <v>0</v>
      </c>
      <c r="AG1614" s="4">
        <v>0</v>
      </c>
      <c r="AH1614" s="4">
        <v>45</v>
      </c>
      <c r="AI1614" s="4">
        <v>45</v>
      </c>
      <c r="AJ1614" s="4">
        <v>2</v>
      </c>
      <c r="AK1614" s="4">
        <v>2</v>
      </c>
      <c r="AL1614" s="4">
        <v>35</v>
      </c>
      <c r="AM1614" s="4">
        <v>35</v>
      </c>
      <c r="AN1614" s="4">
        <v>0</v>
      </c>
      <c r="AO1614" s="4">
        <v>0</v>
      </c>
      <c r="AP1614" s="4">
        <v>2</v>
      </c>
      <c r="AQ1614" s="4">
        <v>2</v>
      </c>
      <c r="AR1614" s="3" t="s">
        <v>63</v>
      </c>
      <c r="AS1614" s="3" t="s">
        <v>63</v>
      </c>
      <c r="AT1614" s="3" t="s">
        <v>62</v>
      </c>
      <c r="AU1614" s="6" t="str">
        <f>HYPERLINK("http://catalog.hathitrust.org/Record/004011625","HathiTrust Record")</f>
        <v>HathiTrust Record</v>
      </c>
      <c r="AV1614" s="6" t="str">
        <f>HYPERLINK("http://mcgill.on.worldcat.org/oclc/39328454","Catalog Record")</f>
        <v>Catalog Record</v>
      </c>
      <c r="AW1614" s="6" t="str">
        <f>HYPERLINK("http://www.worldcat.org/oclc/39328454","WorldCat Record")</f>
        <v>WorldCat Record</v>
      </c>
      <c r="AX1614" s="3" t="s">
        <v>14562</v>
      </c>
      <c r="AY1614" s="3" t="s">
        <v>14563</v>
      </c>
      <c r="AZ1614" s="3" t="s">
        <v>14564</v>
      </c>
      <c r="BA1614" s="3" t="s">
        <v>14564</v>
      </c>
      <c r="BB1614" s="3" t="s">
        <v>14575</v>
      </c>
      <c r="BC1614" s="3" t="s">
        <v>82</v>
      </c>
      <c r="BD1614" s="3" t="s">
        <v>70</v>
      </c>
      <c r="BE1614" s="3" t="s">
        <v>14566</v>
      </c>
      <c r="BF1614" s="3" t="s">
        <v>14575</v>
      </c>
      <c r="BG1614" s="3" t="s">
        <v>14576</v>
      </c>
    </row>
    <row r="1615" spans="1:59" ht="75" x14ac:dyDescent="0.25">
      <c r="A1615" s="2" t="s">
        <v>59</v>
      </c>
      <c r="B1615" s="2" t="s">
        <v>60</v>
      </c>
      <c r="C1615" s="2" t="s">
        <v>14557</v>
      </c>
      <c r="D1615" s="2" t="s">
        <v>14558</v>
      </c>
      <c r="E1615" s="2" t="s">
        <v>14559</v>
      </c>
      <c r="F1615" s="3" t="s">
        <v>4435</v>
      </c>
      <c r="G1615" s="3" t="s">
        <v>62</v>
      </c>
      <c r="I1615" s="3" t="s">
        <v>63</v>
      </c>
      <c r="J1615" s="3" t="s">
        <v>63</v>
      </c>
      <c r="K1615" s="3" t="s">
        <v>64</v>
      </c>
      <c r="L1615" s="2" t="s">
        <v>14560</v>
      </c>
      <c r="M1615" s="2" t="s">
        <v>14561</v>
      </c>
      <c r="N1615" s="3" t="s">
        <v>1113</v>
      </c>
      <c r="P1615" s="3" t="s">
        <v>90</v>
      </c>
      <c r="R1615" s="3" t="s">
        <v>67</v>
      </c>
      <c r="S1615" s="4">
        <v>1</v>
      </c>
      <c r="T1615" s="4">
        <v>16</v>
      </c>
      <c r="U1615" s="5" t="s">
        <v>14577</v>
      </c>
      <c r="V1615" s="5" t="s">
        <v>2227</v>
      </c>
      <c r="W1615" s="5" t="s">
        <v>69</v>
      </c>
      <c r="X1615" s="5" t="s">
        <v>69</v>
      </c>
      <c r="Y1615" s="4">
        <v>69</v>
      </c>
      <c r="Z1615" s="4">
        <v>4</v>
      </c>
      <c r="AA1615" s="4">
        <v>4</v>
      </c>
      <c r="AB1615" s="4">
        <v>1</v>
      </c>
      <c r="AC1615" s="4">
        <v>1</v>
      </c>
      <c r="AD1615" s="4">
        <v>46</v>
      </c>
      <c r="AE1615" s="4">
        <v>46</v>
      </c>
      <c r="AF1615" s="4">
        <v>0</v>
      </c>
      <c r="AG1615" s="4">
        <v>0</v>
      </c>
      <c r="AH1615" s="4">
        <v>45</v>
      </c>
      <c r="AI1615" s="4">
        <v>45</v>
      </c>
      <c r="AJ1615" s="4">
        <v>2</v>
      </c>
      <c r="AK1615" s="4">
        <v>2</v>
      </c>
      <c r="AL1615" s="4">
        <v>35</v>
      </c>
      <c r="AM1615" s="4">
        <v>35</v>
      </c>
      <c r="AN1615" s="4">
        <v>0</v>
      </c>
      <c r="AO1615" s="4">
        <v>0</v>
      </c>
      <c r="AP1615" s="4">
        <v>2</v>
      </c>
      <c r="AQ1615" s="4">
        <v>2</v>
      </c>
      <c r="AR1615" s="3" t="s">
        <v>63</v>
      </c>
      <c r="AS1615" s="3" t="s">
        <v>63</v>
      </c>
      <c r="AT1615" s="3" t="s">
        <v>62</v>
      </c>
      <c r="AU1615" s="6" t="str">
        <f>HYPERLINK("http://catalog.hathitrust.org/Record/004011625","HathiTrust Record")</f>
        <v>HathiTrust Record</v>
      </c>
      <c r="AV1615" s="6" t="str">
        <f>HYPERLINK("http://mcgill.on.worldcat.org/oclc/39328454","Catalog Record")</f>
        <v>Catalog Record</v>
      </c>
      <c r="AW1615" s="6" t="str">
        <f>HYPERLINK("http://www.worldcat.org/oclc/39328454","WorldCat Record")</f>
        <v>WorldCat Record</v>
      </c>
      <c r="AX1615" s="3" t="s">
        <v>14562</v>
      </c>
      <c r="AY1615" s="3" t="s">
        <v>14563</v>
      </c>
      <c r="AZ1615" s="3" t="s">
        <v>14564</v>
      </c>
      <c r="BA1615" s="3" t="s">
        <v>14564</v>
      </c>
      <c r="BB1615" s="3" t="s">
        <v>14578</v>
      </c>
      <c r="BC1615" s="3" t="s">
        <v>82</v>
      </c>
      <c r="BD1615" s="3" t="s">
        <v>70</v>
      </c>
      <c r="BE1615" s="3" t="s">
        <v>14566</v>
      </c>
      <c r="BF1615" s="3" t="s">
        <v>14578</v>
      </c>
      <c r="BG1615" s="3" t="s">
        <v>14579</v>
      </c>
    </row>
    <row r="1616" spans="1:59" ht="75" x14ac:dyDescent="0.25">
      <c r="A1616" s="2" t="s">
        <v>59</v>
      </c>
      <c r="B1616" s="2" t="s">
        <v>60</v>
      </c>
      <c r="C1616" s="2" t="s">
        <v>14557</v>
      </c>
      <c r="D1616" s="2" t="s">
        <v>14558</v>
      </c>
      <c r="E1616" s="2" t="s">
        <v>14559</v>
      </c>
      <c r="F1616" s="3" t="s">
        <v>4437</v>
      </c>
      <c r="G1616" s="3" t="s">
        <v>62</v>
      </c>
      <c r="I1616" s="3" t="s">
        <v>63</v>
      </c>
      <c r="J1616" s="3" t="s">
        <v>63</v>
      </c>
      <c r="K1616" s="3" t="s">
        <v>64</v>
      </c>
      <c r="L1616" s="2" t="s">
        <v>14560</v>
      </c>
      <c r="M1616" s="2" t="s">
        <v>14561</v>
      </c>
      <c r="N1616" s="3" t="s">
        <v>1113</v>
      </c>
      <c r="P1616" s="3" t="s">
        <v>90</v>
      </c>
      <c r="R1616" s="3" t="s">
        <v>67</v>
      </c>
      <c r="S1616" s="4">
        <v>2</v>
      </c>
      <c r="T1616" s="4">
        <v>16</v>
      </c>
      <c r="V1616" s="5" t="s">
        <v>2227</v>
      </c>
      <c r="W1616" s="5" t="s">
        <v>69</v>
      </c>
      <c r="X1616" s="5" t="s">
        <v>69</v>
      </c>
      <c r="Y1616" s="4">
        <v>69</v>
      </c>
      <c r="Z1616" s="4">
        <v>4</v>
      </c>
      <c r="AA1616" s="4">
        <v>4</v>
      </c>
      <c r="AB1616" s="4">
        <v>1</v>
      </c>
      <c r="AC1616" s="4">
        <v>1</v>
      </c>
      <c r="AD1616" s="4">
        <v>46</v>
      </c>
      <c r="AE1616" s="4">
        <v>46</v>
      </c>
      <c r="AF1616" s="4">
        <v>0</v>
      </c>
      <c r="AG1616" s="4">
        <v>0</v>
      </c>
      <c r="AH1616" s="4">
        <v>45</v>
      </c>
      <c r="AI1616" s="4">
        <v>45</v>
      </c>
      <c r="AJ1616" s="4">
        <v>2</v>
      </c>
      <c r="AK1616" s="4">
        <v>2</v>
      </c>
      <c r="AL1616" s="4">
        <v>35</v>
      </c>
      <c r="AM1616" s="4">
        <v>35</v>
      </c>
      <c r="AN1616" s="4">
        <v>0</v>
      </c>
      <c r="AO1616" s="4">
        <v>0</v>
      </c>
      <c r="AP1616" s="4">
        <v>2</v>
      </c>
      <c r="AQ1616" s="4">
        <v>2</v>
      </c>
      <c r="AR1616" s="3" t="s">
        <v>63</v>
      </c>
      <c r="AS1616" s="3" t="s">
        <v>63</v>
      </c>
      <c r="AT1616" s="3" t="s">
        <v>62</v>
      </c>
      <c r="AU1616" s="6" t="str">
        <f>HYPERLINK("http://catalog.hathitrust.org/Record/004011625","HathiTrust Record")</f>
        <v>HathiTrust Record</v>
      </c>
      <c r="AV1616" s="6" t="str">
        <f>HYPERLINK("http://mcgill.on.worldcat.org/oclc/39328454","Catalog Record")</f>
        <v>Catalog Record</v>
      </c>
      <c r="AW1616" s="6" t="str">
        <f>HYPERLINK("http://www.worldcat.org/oclc/39328454","WorldCat Record")</f>
        <v>WorldCat Record</v>
      </c>
      <c r="AX1616" s="3" t="s">
        <v>14562</v>
      </c>
      <c r="AY1616" s="3" t="s">
        <v>14563</v>
      </c>
      <c r="AZ1616" s="3" t="s">
        <v>14564</v>
      </c>
      <c r="BA1616" s="3" t="s">
        <v>14564</v>
      </c>
      <c r="BB1616" s="3" t="s">
        <v>14580</v>
      </c>
      <c r="BC1616" s="3" t="s">
        <v>82</v>
      </c>
      <c r="BD1616" s="3" t="s">
        <v>538</v>
      </c>
      <c r="BE1616" s="3" t="s">
        <v>14566</v>
      </c>
      <c r="BF1616" s="3" t="s">
        <v>14580</v>
      </c>
      <c r="BG1616" s="3" t="s">
        <v>14581</v>
      </c>
    </row>
    <row r="1617" spans="1:59" ht="75" x14ac:dyDescent="0.25">
      <c r="A1617" s="2" t="s">
        <v>59</v>
      </c>
      <c r="B1617" s="2" t="s">
        <v>60</v>
      </c>
      <c r="C1617" s="2" t="s">
        <v>14557</v>
      </c>
      <c r="D1617" s="2" t="s">
        <v>14558</v>
      </c>
      <c r="E1617" s="2" t="s">
        <v>14559</v>
      </c>
      <c r="F1617" s="3" t="s">
        <v>4431</v>
      </c>
      <c r="G1617" s="3" t="s">
        <v>62</v>
      </c>
      <c r="I1617" s="3" t="s">
        <v>63</v>
      </c>
      <c r="J1617" s="3" t="s">
        <v>63</v>
      </c>
      <c r="K1617" s="3" t="s">
        <v>64</v>
      </c>
      <c r="L1617" s="2" t="s">
        <v>14560</v>
      </c>
      <c r="M1617" s="2" t="s">
        <v>14561</v>
      </c>
      <c r="N1617" s="3" t="s">
        <v>1113</v>
      </c>
      <c r="P1617" s="3" t="s">
        <v>90</v>
      </c>
      <c r="R1617" s="3" t="s">
        <v>67</v>
      </c>
      <c r="S1617" s="4">
        <v>0</v>
      </c>
      <c r="T1617" s="4">
        <v>16</v>
      </c>
      <c r="V1617" s="5" t="s">
        <v>2227</v>
      </c>
      <c r="W1617" s="5" t="s">
        <v>69</v>
      </c>
      <c r="X1617" s="5" t="s">
        <v>69</v>
      </c>
      <c r="Y1617" s="4">
        <v>69</v>
      </c>
      <c r="Z1617" s="4">
        <v>4</v>
      </c>
      <c r="AA1617" s="4">
        <v>4</v>
      </c>
      <c r="AB1617" s="4">
        <v>1</v>
      </c>
      <c r="AC1617" s="4">
        <v>1</v>
      </c>
      <c r="AD1617" s="4">
        <v>46</v>
      </c>
      <c r="AE1617" s="4">
        <v>46</v>
      </c>
      <c r="AF1617" s="4">
        <v>0</v>
      </c>
      <c r="AG1617" s="4">
        <v>0</v>
      </c>
      <c r="AH1617" s="4">
        <v>45</v>
      </c>
      <c r="AI1617" s="4">
        <v>45</v>
      </c>
      <c r="AJ1617" s="4">
        <v>2</v>
      </c>
      <c r="AK1617" s="4">
        <v>2</v>
      </c>
      <c r="AL1617" s="4">
        <v>35</v>
      </c>
      <c r="AM1617" s="4">
        <v>35</v>
      </c>
      <c r="AN1617" s="4">
        <v>0</v>
      </c>
      <c r="AO1617" s="4">
        <v>0</v>
      </c>
      <c r="AP1617" s="4">
        <v>2</v>
      </c>
      <c r="AQ1617" s="4">
        <v>2</v>
      </c>
      <c r="AR1617" s="3" t="s">
        <v>63</v>
      </c>
      <c r="AS1617" s="3" t="s">
        <v>63</v>
      </c>
      <c r="AT1617" s="3" t="s">
        <v>62</v>
      </c>
      <c r="AU1617" s="6" t="str">
        <f>HYPERLINK("http://catalog.hathitrust.org/Record/004011625","HathiTrust Record")</f>
        <v>HathiTrust Record</v>
      </c>
      <c r="AV1617" s="6" t="str">
        <f>HYPERLINK("http://mcgill.on.worldcat.org/oclc/39328454","Catalog Record")</f>
        <v>Catalog Record</v>
      </c>
      <c r="AW1617" s="6" t="str">
        <f>HYPERLINK("http://www.worldcat.org/oclc/39328454","WorldCat Record")</f>
        <v>WorldCat Record</v>
      </c>
      <c r="AX1617" s="3" t="s">
        <v>14562</v>
      </c>
      <c r="AY1617" s="3" t="s">
        <v>14563</v>
      </c>
      <c r="AZ1617" s="3" t="s">
        <v>14564</v>
      </c>
      <c r="BA1617" s="3" t="s">
        <v>14564</v>
      </c>
      <c r="BB1617" s="3" t="s">
        <v>14582</v>
      </c>
      <c r="BC1617" s="3" t="s">
        <v>82</v>
      </c>
      <c r="BD1617" s="3" t="s">
        <v>70</v>
      </c>
      <c r="BE1617" s="3" t="s">
        <v>14566</v>
      </c>
      <c r="BF1617" s="3" t="s">
        <v>14582</v>
      </c>
      <c r="BG1617" s="3" t="s">
        <v>14583</v>
      </c>
    </row>
    <row r="1618" spans="1:59" ht="75" x14ac:dyDescent="0.25">
      <c r="A1618" s="2" t="s">
        <v>59</v>
      </c>
      <c r="B1618" s="2" t="s">
        <v>60</v>
      </c>
      <c r="C1618" s="2" t="s">
        <v>14557</v>
      </c>
      <c r="D1618" s="2" t="s">
        <v>14558</v>
      </c>
      <c r="E1618" s="2" t="s">
        <v>14559</v>
      </c>
      <c r="F1618" s="3" t="s">
        <v>4032</v>
      </c>
      <c r="G1618" s="3" t="s">
        <v>62</v>
      </c>
      <c r="I1618" s="3" t="s">
        <v>63</v>
      </c>
      <c r="J1618" s="3" t="s">
        <v>63</v>
      </c>
      <c r="K1618" s="3" t="s">
        <v>64</v>
      </c>
      <c r="L1618" s="2" t="s">
        <v>14560</v>
      </c>
      <c r="M1618" s="2" t="s">
        <v>14561</v>
      </c>
      <c r="N1618" s="3" t="s">
        <v>1113</v>
      </c>
      <c r="P1618" s="3" t="s">
        <v>90</v>
      </c>
      <c r="R1618" s="3" t="s">
        <v>67</v>
      </c>
      <c r="S1618" s="4">
        <v>0</v>
      </c>
      <c r="T1618" s="4">
        <v>16</v>
      </c>
      <c r="V1618" s="5" t="s">
        <v>2227</v>
      </c>
      <c r="W1618" s="5" t="s">
        <v>69</v>
      </c>
      <c r="X1618" s="5" t="s">
        <v>69</v>
      </c>
      <c r="Y1618" s="4">
        <v>69</v>
      </c>
      <c r="Z1618" s="4">
        <v>4</v>
      </c>
      <c r="AA1618" s="4">
        <v>4</v>
      </c>
      <c r="AB1618" s="4">
        <v>1</v>
      </c>
      <c r="AC1618" s="4">
        <v>1</v>
      </c>
      <c r="AD1618" s="4">
        <v>46</v>
      </c>
      <c r="AE1618" s="4">
        <v>46</v>
      </c>
      <c r="AF1618" s="4">
        <v>0</v>
      </c>
      <c r="AG1618" s="4">
        <v>0</v>
      </c>
      <c r="AH1618" s="4">
        <v>45</v>
      </c>
      <c r="AI1618" s="4">
        <v>45</v>
      </c>
      <c r="AJ1618" s="4">
        <v>2</v>
      </c>
      <c r="AK1618" s="4">
        <v>2</v>
      </c>
      <c r="AL1618" s="4">
        <v>35</v>
      </c>
      <c r="AM1618" s="4">
        <v>35</v>
      </c>
      <c r="AN1618" s="4">
        <v>0</v>
      </c>
      <c r="AO1618" s="4">
        <v>0</v>
      </c>
      <c r="AP1618" s="4">
        <v>2</v>
      </c>
      <c r="AQ1618" s="4">
        <v>2</v>
      </c>
      <c r="AR1618" s="3" t="s">
        <v>63</v>
      </c>
      <c r="AS1618" s="3" t="s">
        <v>63</v>
      </c>
      <c r="AT1618" s="3" t="s">
        <v>62</v>
      </c>
      <c r="AU1618" s="6" t="str">
        <f>HYPERLINK("http://catalog.hathitrust.org/Record/004011625","HathiTrust Record")</f>
        <v>HathiTrust Record</v>
      </c>
      <c r="AV1618" s="6" t="str">
        <f>HYPERLINK("http://mcgill.on.worldcat.org/oclc/39328454","Catalog Record")</f>
        <v>Catalog Record</v>
      </c>
      <c r="AW1618" s="6" t="str">
        <f>HYPERLINK("http://www.worldcat.org/oclc/39328454","WorldCat Record")</f>
        <v>WorldCat Record</v>
      </c>
      <c r="AX1618" s="3" t="s">
        <v>14562</v>
      </c>
      <c r="AY1618" s="3" t="s">
        <v>14563</v>
      </c>
      <c r="AZ1618" s="3" t="s">
        <v>14564</v>
      </c>
      <c r="BA1618" s="3" t="s">
        <v>14564</v>
      </c>
      <c r="BB1618" s="3" t="s">
        <v>14584</v>
      </c>
      <c r="BC1618" s="3" t="s">
        <v>82</v>
      </c>
      <c r="BD1618" s="3" t="s">
        <v>70</v>
      </c>
      <c r="BE1618" s="3" t="s">
        <v>14566</v>
      </c>
      <c r="BF1618" s="3" t="s">
        <v>14584</v>
      </c>
      <c r="BG1618" s="3" t="s">
        <v>14585</v>
      </c>
    </row>
    <row r="1619" spans="1:59" ht="75" x14ac:dyDescent="0.25">
      <c r="A1619" s="2" t="s">
        <v>59</v>
      </c>
      <c r="B1619" s="2" t="s">
        <v>60</v>
      </c>
      <c r="C1619" s="2" t="s">
        <v>14557</v>
      </c>
      <c r="D1619" s="2" t="s">
        <v>14558</v>
      </c>
      <c r="E1619" s="2" t="s">
        <v>14559</v>
      </c>
      <c r="F1619" s="3" t="s">
        <v>14586</v>
      </c>
      <c r="G1619" s="3" t="s">
        <v>62</v>
      </c>
      <c r="I1619" s="3" t="s">
        <v>63</v>
      </c>
      <c r="J1619" s="3" t="s">
        <v>63</v>
      </c>
      <c r="K1619" s="3" t="s">
        <v>64</v>
      </c>
      <c r="L1619" s="2" t="s">
        <v>14560</v>
      </c>
      <c r="M1619" s="2" t="s">
        <v>14561</v>
      </c>
      <c r="N1619" s="3" t="s">
        <v>1113</v>
      </c>
      <c r="P1619" s="3" t="s">
        <v>90</v>
      </c>
      <c r="R1619" s="3" t="s">
        <v>67</v>
      </c>
      <c r="S1619" s="4">
        <v>0</v>
      </c>
      <c r="T1619" s="4">
        <v>16</v>
      </c>
      <c r="V1619" s="5" t="s">
        <v>2227</v>
      </c>
      <c r="W1619" s="5" t="s">
        <v>69</v>
      </c>
      <c r="X1619" s="5" t="s">
        <v>69</v>
      </c>
      <c r="Y1619" s="4">
        <v>69</v>
      </c>
      <c r="Z1619" s="4">
        <v>4</v>
      </c>
      <c r="AA1619" s="4">
        <v>4</v>
      </c>
      <c r="AB1619" s="4">
        <v>1</v>
      </c>
      <c r="AC1619" s="4">
        <v>1</v>
      </c>
      <c r="AD1619" s="4">
        <v>46</v>
      </c>
      <c r="AE1619" s="4">
        <v>46</v>
      </c>
      <c r="AF1619" s="4">
        <v>0</v>
      </c>
      <c r="AG1619" s="4">
        <v>0</v>
      </c>
      <c r="AH1619" s="4">
        <v>45</v>
      </c>
      <c r="AI1619" s="4">
        <v>45</v>
      </c>
      <c r="AJ1619" s="4">
        <v>2</v>
      </c>
      <c r="AK1619" s="4">
        <v>2</v>
      </c>
      <c r="AL1619" s="4">
        <v>35</v>
      </c>
      <c r="AM1619" s="4">
        <v>35</v>
      </c>
      <c r="AN1619" s="4">
        <v>0</v>
      </c>
      <c r="AO1619" s="4">
        <v>0</v>
      </c>
      <c r="AP1619" s="4">
        <v>2</v>
      </c>
      <c r="AQ1619" s="4">
        <v>2</v>
      </c>
      <c r="AR1619" s="3" t="s">
        <v>63</v>
      </c>
      <c r="AS1619" s="3" t="s">
        <v>63</v>
      </c>
      <c r="AT1619" s="3" t="s">
        <v>62</v>
      </c>
      <c r="AU1619" s="6" t="str">
        <f>HYPERLINK("http://catalog.hathitrust.org/Record/004011625","HathiTrust Record")</f>
        <v>HathiTrust Record</v>
      </c>
      <c r="AV1619" s="6" t="str">
        <f>HYPERLINK("http://mcgill.on.worldcat.org/oclc/39328454","Catalog Record")</f>
        <v>Catalog Record</v>
      </c>
      <c r="AW1619" s="6" t="str">
        <f>HYPERLINK("http://www.worldcat.org/oclc/39328454","WorldCat Record")</f>
        <v>WorldCat Record</v>
      </c>
      <c r="AX1619" s="3" t="s">
        <v>14562</v>
      </c>
      <c r="AY1619" s="3" t="s">
        <v>14563</v>
      </c>
      <c r="AZ1619" s="3" t="s">
        <v>14564</v>
      </c>
      <c r="BA1619" s="3" t="s">
        <v>14564</v>
      </c>
      <c r="BB1619" s="3" t="s">
        <v>14587</v>
      </c>
      <c r="BC1619" s="3" t="s">
        <v>82</v>
      </c>
      <c r="BD1619" s="3" t="s">
        <v>70</v>
      </c>
      <c r="BE1619" s="3" t="s">
        <v>14566</v>
      </c>
      <c r="BF1619" s="3" t="s">
        <v>14587</v>
      </c>
      <c r="BG1619" s="3" t="s">
        <v>14588</v>
      </c>
    </row>
    <row r="1620" spans="1:59" ht="75" x14ac:dyDescent="0.25">
      <c r="A1620" s="2" t="s">
        <v>59</v>
      </c>
      <c r="B1620" s="2" t="s">
        <v>60</v>
      </c>
      <c r="C1620" s="2" t="s">
        <v>14557</v>
      </c>
      <c r="D1620" s="2" t="s">
        <v>14558</v>
      </c>
      <c r="E1620" s="2" t="s">
        <v>14559</v>
      </c>
      <c r="F1620" s="3" t="s">
        <v>582</v>
      </c>
      <c r="G1620" s="3" t="s">
        <v>62</v>
      </c>
      <c r="I1620" s="3" t="s">
        <v>63</v>
      </c>
      <c r="J1620" s="3" t="s">
        <v>63</v>
      </c>
      <c r="K1620" s="3" t="s">
        <v>64</v>
      </c>
      <c r="L1620" s="2" t="s">
        <v>14560</v>
      </c>
      <c r="M1620" s="2" t="s">
        <v>14561</v>
      </c>
      <c r="N1620" s="3" t="s">
        <v>1113</v>
      </c>
      <c r="P1620" s="3" t="s">
        <v>90</v>
      </c>
      <c r="R1620" s="3" t="s">
        <v>67</v>
      </c>
      <c r="S1620" s="4">
        <v>2</v>
      </c>
      <c r="T1620" s="4">
        <v>16</v>
      </c>
      <c r="U1620" s="5" t="s">
        <v>2227</v>
      </c>
      <c r="V1620" s="5" t="s">
        <v>2227</v>
      </c>
      <c r="W1620" s="5" t="s">
        <v>69</v>
      </c>
      <c r="X1620" s="5" t="s">
        <v>69</v>
      </c>
      <c r="Y1620" s="4">
        <v>69</v>
      </c>
      <c r="Z1620" s="4">
        <v>4</v>
      </c>
      <c r="AA1620" s="4">
        <v>4</v>
      </c>
      <c r="AB1620" s="4">
        <v>1</v>
      </c>
      <c r="AC1620" s="4">
        <v>1</v>
      </c>
      <c r="AD1620" s="4">
        <v>46</v>
      </c>
      <c r="AE1620" s="4">
        <v>46</v>
      </c>
      <c r="AF1620" s="4">
        <v>0</v>
      </c>
      <c r="AG1620" s="4">
        <v>0</v>
      </c>
      <c r="AH1620" s="4">
        <v>45</v>
      </c>
      <c r="AI1620" s="4">
        <v>45</v>
      </c>
      <c r="AJ1620" s="4">
        <v>2</v>
      </c>
      <c r="AK1620" s="4">
        <v>2</v>
      </c>
      <c r="AL1620" s="4">
        <v>35</v>
      </c>
      <c r="AM1620" s="4">
        <v>35</v>
      </c>
      <c r="AN1620" s="4">
        <v>0</v>
      </c>
      <c r="AO1620" s="4">
        <v>0</v>
      </c>
      <c r="AP1620" s="4">
        <v>2</v>
      </c>
      <c r="AQ1620" s="4">
        <v>2</v>
      </c>
      <c r="AR1620" s="3" t="s">
        <v>63</v>
      </c>
      <c r="AS1620" s="3" t="s">
        <v>63</v>
      </c>
      <c r="AT1620" s="3" t="s">
        <v>62</v>
      </c>
      <c r="AU1620" s="6" t="str">
        <f>HYPERLINK("http://catalog.hathitrust.org/Record/004011625","HathiTrust Record")</f>
        <v>HathiTrust Record</v>
      </c>
      <c r="AV1620" s="6" t="str">
        <f>HYPERLINK("http://mcgill.on.worldcat.org/oclc/39328454","Catalog Record")</f>
        <v>Catalog Record</v>
      </c>
      <c r="AW1620" s="6" t="str">
        <f>HYPERLINK("http://www.worldcat.org/oclc/39328454","WorldCat Record")</f>
        <v>WorldCat Record</v>
      </c>
      <c r="AX1620" s="3" t="s">
        <v>14562</v>
      </c>
      <c r="AY1620" s="3" t="s">
        <v>14563</v>
      </c>
      <c r="AZ1620" s="3" t="s">
        <v>14564</v>
      </c>
      <c r="BA1620" s="3" t="s">
        <v>14564</v>
      </c>
      <c r="BB1620" s="3" t="s">
        <v>14593</v>
      </c>
      <c r="BC1620" s="3" t="s">
        <v>82</v>
      </c>
      <c r="BD1620" s="3" t="s">
        <v>538</v>
      </c>
      <c r="BE1620" s="3" t="s">
        <v>14566</v>
      </c>
      <c r="BF1620" s="3" t="s">
        <v>14593</v>
      </c>
      <c r="BG1620" s="3" t="s">
        <v>14594</v>
      </c>
    </row>
    <row r="1621" spans="1:59" ht="75" x14ac:dyDescent="0.25">
      <c r="A1621" s="2" t="s">
        <v>59</v>
      </c>
      <c r="B1621" s="2" t="s">
        <v>60</v>
      </c>
      <c r="C1621" s="2" t="s">
        <v>14557</v>
      </c>
      <c r="D1621" s="2" t="s">
        <v>14558</v>
      </c>
      <c r="E1621" s="2" t="s">
        <v>14559</v>
      </c>
      <c r="F1621" s="3" t="s">
        <v>4434</v>
      </c>
      <c r="G1621" s="3" t="s">
        <v>62</v>
      </c>
      <c r="I1621" s="3" t="s">
        <v>63</v>
      </c>
      <c r="J1621" s="3" t="s">
        <v>63</v>
      </c>
      <c r="K1621" s="3" t="s">
        <v>64</v>
      </c>
      <c r="L1621" s="2" t="s">
        <v>14560</v>
      </c>
      <c r="M1621" s="2" t="s">
        <v>14561</v>
      </c>
      <c r="N1621" s="3" t="s">
        <v>1113</v>
      </c>
      <c r="P1621" s="3" t="s">
        <v>90</v>
      </c>
      <c r="R1621" s="3" t="s">
        <v>67</v>
      </c>
      <c r="S1621" s="4">
        <v>3</v>
      </c>
      <c r="T1621" s="4">
        <v>16</v>
      </c>
      <c r="U1621" s="5" t="s">
        <v>14595</v>
      </c>
      <c r="V1621" s="5" t="s">
        <v>2227</v>
      </c>
      <c r="W1621" s="5" t="s">
        <v>69</v>
      </c>
      <c r="X1621" s="5" t="s">
        <v>69</v>
      </c>
      <c r="Y1621" s="4">
        <v>69</v>
      </c>
      <c r="Z1621" s="4">
        <v>4</v>
      </c>
      <c r="AA1621" s="4">
        <v>4</v>
      </c>
      <c r="AB1621" s="4">
        <v>1</v>
      </c>
      <c r="AC1621" s="4">
        <v>1</v>
      </c>
      <c r="AD1621" s="4">
        <v>46</v>
      </c>
      <c r="AE1621" s="4">
        <v>46</v>
      </c>
      <c r="AF1621" s="4">
        <v>0</v>
      </c>
      <c r="AG1621" s="4">
        <v>0</v>
      </c>
      <c r="AH1621" s="4">
        <v>45</v>
      </c>
      <c r="AI1621" s="4">
        <v>45</v>
      </c>
      <c r="AJ1621" s="4">
        <v>2</v>
      </c>
      <c r="AK1621" s="4">
        <v>2</v>
      </c>
      <c r="AL1621" s="4">
        <v>35</v>
      </c>
      <c r="AM1621" s="4">
        <v>35</v>
      </c>
      <c r="AN1621" s="4">
        <v>0</v>
      </c>
      <c r="AO1621" s="4">
        <v>0</v>
      </c>
      <c r="AP1621" s="4">
        <v>2</v>
      </c>
      <c r="AQ1621" s="4">
        <v>2</v>
      </c>
      <c r="AR1621" s="3" t="s">
        <v>63</v>
      </c>
      <c r="AS1621" s="3" t="s">
        <v>63</v>
      </c>
      <c r="AT1621" s="3" t="s">
        <v>62</v>
      </c>
      <c r="AU1621" s="6" t="str">
        <f>HYPERLINK("http://catalog.hathitrust.org/Record/004011625","HathiTrust Record")</f>
        <v>HathiTrust Record</v>
      </c>
      <c r="AV1621" s="6" t="str">
        <f>HYPERLINK("http://mcgill.on.worldcat.org/oclc/39328454","Catalog Record")</f>
        <v>Catalog Record</v>
      </c>
      <c r="AW1621" s="6" t="str">
        <f>HYPERLINK("http://www.worldcat.org/oclc/39328454","WorldCat Record")</f>
        <v>WorldCat Record</v>
      </c>
      <c r="AX1621" s="3" t="s">
        <v>14562</v>
      </c>
      <c r="AY1621" s="3" t="s">
        <v>14563</v>
      </c>
      <c r="AZ1621" s="3" t="s">
        <v>14564</v>
      </c>
      <c r="BA1621" s="3" t="s">
        <v>14564</v>
      </c>
      <c r="BB1621" s="3" t="s">
        <v>14596</v>
      </c>
      <c r="BC1621" s="3" t="s">
        <v>82</v>
      </c>
      <c r="BD1621" s="3" t="s">
        <v>70</v>
      </c>
      <c r="BE1621" s="3" t="s">
        <v>14566</v>
      </c>
      <c r="BF1621" s="3" t="s">
        <v>14596</v>
      </c>
      <c r="BG1621" s="3" t="s">
        <v>14597</v>
      </c>
    </row>
    <row r="1622" spans="1:59" ht="60" x14ac:dyDescent="0.25">
      <c r="A1622" s="2" t="s">
        <v>59</v>
      </c>
      <c r="B1622" s="2" t="s">
        <v>60</v>
      </c>
      <c r="C1622" s="2" t="s">
        <v>14409</v>
      </c>
      <c r="D1622" s="2" t="s">
        <v>14410</v>
      </c>
      <c r="E1622" s="2" t="s">
        <v>14411</v>
      </c>
      <c r="G1622" s="3" t="s">
        <v>63</v>
      </c>
      <c r="I1622" s="3" t="s">
        <v>63</v>
      </c>
      <c r="J1622" s="3" t="s">
        <v>62</v>
      </c>
      <c r="K1622" s="3" t="s">
        <v>64</v>
      </c>
      <c r="L1622" s="2" t="s">
        <v>14412</v>
      </c>
      <c r="M1622" s="2" t="s">
        <v>14413</v>
      </c>
      <c r="N1622" s="3" t="s">
        <v>190</v>
      </c>
      <c r="P1622" s="3" t="s">
        <v>66</v>
      </c>
      <c r="Q1622" s="2" t="s">
        <v>9341</v>
      </c>
      <c r="R1622" s="3" t="s">
        <v>67</v>
      </c>
      <c r="S1622" s="4">
        <v>11</v>
      </c>
      <c r="T1622" s="4">
        <v>11</v>
      </c>
      <c r="U1622" s="5" t="s">
        <v>14414</v>
      </c>
      <c r="V1622" s="5" t="s">
        <v>14414</v>
      </c>
      <c r="W1622" s="5" t="s">
        <v>69</v>
      </c>
      <c r="X1622" s="5" t="s">
        <v>69</v>
      </c>
      <c r="Y1622" s="4">
        <v>118</v>
      </c>
      <c r="Z1622" s="4">
        <v>6</v>
      </c>
      <c r="AA1622" s="4">
        <v>87</v>
      </c>
      <c r="AB1622" s="4">
        <v>1</v>
      </c>
      <c r="AC1622" s="4">
        <v>10</v>
      </c>
      <c r="AD1622" s="4">
        <v>28</v>
      </c>
      <c r="AE1622" s="4">
        <v>150</v>
      </c>
      <c r="AF1622" s="4">
        <v>0</v>
      </c>
      <c r="AG1622" s="4">
        <v>3</v>
      </c>
      <c r="AH1622" s="4">
        <v>26</v>
      </c>
      <c r="AI1622" s="4">
        <v>114</v>
      </c>
      <c r="AJ1622" s="4">
        <v>1</v>
      </c>
      <c r="AK1622" s="4">
        <v>25</v>
      </c>
      <c r="AL1622" s="4">
        <v>17</v>
      </c>
      <c r="AM1622" s="4">
        <v>62</v>
      </c>
      <c r="AN1622" s="4">
        <v>0</v>
      </c>
      <c r="AO1622" s="4">
        <v>8</v>
      </c>
      <c r="AP1622" s="4">
        <v>1</v>
      </c>
      <c r="AQ1622" s="4">
        <v>43</v>
      </c>
      <c r="AR1622" s="3" t="s">
        <v>63</v>
      </c>
      <c r="AS1622" s="3" t="s">
        <v>63</v>
      </c>
      <c r="AT1622" s="3" t="s">
        <v>62</v>
      </c>
      <c r="AU1622" s="6" t="str">
        <f>HYPERLINK("http://catalog.hathitrust.org/Record/005148859","HathiTrust Record")</f>
        <v>HathiTrust Record</v>
      </c>
      <c r="AV1622" s="6" t="str">
        <f>HYPERLINK("http://mcgill.on.worldcat.org/oclc/62103847","Catalog Record")</f>
        <v>Catalog Record</v>
      </c>
      <c r="AW1622" s="6" t="str">
        <f>HYPERLINK("http://www.worldcat.org/oclc/62103847","WorldCat Record")</f>
        <v>WorldCat Record</v>
      </c>
      <c r="AX1622" s="3" t="s">
        <v>14415</v>
      </c>
      <c r="AY1622" s="3" t="s">
        <v>14416</v>
      </c>
      <c r="AZ1622" s="3" t="s">
        <v>14417</v>
      </c>
      <c r="BA1622" s="3" t="s">
        <v>14417</v>
      </c>
      <c r="BB1622" s="3" t="s">
        <v>14418</v>
      </c>
      <c r="BC1622" s="3" t="s">
        <v>82</v>
      </c>
      <c r="BD1622" s="3" t="s">
        <v>70</v>
      </c>
      <c r="BE1622" s="3" t="s">
        <v>14419</v>
      </c>
      <c r="BF1622" s="3" t="s">
        <v>14418</v>
      </c>
      <c r="BG1622" s="3" t="s">
        <v>14420</v>
      </c>
    </row>
    <row r="1623" spans="1:59" ht="60" x14ac:dyDescent="0.25">
      <c r="A1623" s="2" t="s">
        <v>59</v>
      </c>
      <c r="B1623" s="2" t="s">
        <v>60</v>
      </c>
      <c r="C1623" s="2" t="s">
        <v>14421</v>
      </c>
      <c r="D1623" s="2" t="s">
        <v>14422</v>
      </c>
      <c r="E1623" s="2" t="s">
        <v>14423</v>
      </c>
      <c r="G1623" s="3" t="s">
        <v>63</v>
      </c>
      <c r="I1623" s="3" t="s">
        <v>63</v>
      </c>
      <c r="J1623" s="3" t="s">
        <v>63</v>
      </c>
      <c r="K1623" s="3" t="s">
        <v>64</v>
      </c>
      <c r="L1623" s="2" t="s">
        <v>14424</v>
      </c>
      <c r="M1623" s="2" t="s">
        <v>14425</v>
      </c>
      <c r="N1623" s="3" t="s">
        <v>12157</v>
      </c>
      <c r="P1623" s="3" t="s">
        <v>90</v>
      </c>
      <c r="R1623" s="3" t="s">
        <v>67</v>
      </c>
      <c r="S1623" s="4">
        <v>29</v>
      </c>
      <c r="T1623" s="4">
        <v>29</v>
      </c>
      <c r="U1623" s="5" t="s">
        <v>328</v>
      </c>
      <c r="V1623" s="5" t="s">
        <v>328</v>
      </c>
      <c r="W1623" s="5" t="s">
        <v>69</v>
      </c>
      <c r="X1623" s="5" t="s">
        <v>69</v>
      </c>
      <c r="Y1623" s="4">
        <v>4</v>
      </c>
      <c r="Z1623" s="4">
        <v>1</v>
      </c>
      <c r="AA1623" s="4">
        <v>2</v>
      </c>
      <c r="AB1623" s="4">
        <v>1</v>
      </c>
      <c r="AC1623" s="4">
        <v>2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3" t="s">
        <v>63</v>
      </c>
      <c r="AS1623" s="3" t="s">
        <v>63</v>
      </c>
      <c r="AT1623" s="3" t="s">
        <v>63</v>
      </c>
      <c r="AV1623" s="6" t="str">
        <f>HYPERLINK("http://mcgill.on.worldcat.org/oclc/221103610","Catalog Record")</f>
        <v>Catalog Record</v>
      </c>
      <c r="AW1623" s="6" t="str">
        <f>HYPERLINK("http://www.worldcat.org/oclc/221103610","WorldCat Record")</f>
        <v>WorldCat Record</v>
      </c>
      <c r="AX1623" s="3" t="s">
        <v>14426</v>
      </c>
      <c r="AY1623" s="3" t="s">
        <v>14427</v>
      </c>
      <c r="AZ1623" s="3" t="s">
        <v>14428</v>
      </c>
      <c r="BA1623" s="3" t="s">
        <v>14428</v>
      </c>
      <c r="BB1623" s="3" t="s">
        <v>14429</v>
      </c>
      <c r="BC1623" s="3" t="s">
        <v>82</v>
      </c>
      <c r="BD1623" s="3" t="s">
        <v>70</v>
      </c>
      <c r="BF1623" s="3" t="s">
        <v>14429</v>
      </c>
      <c r="BG1623" s="3" t="s">
        <v>14430</v>
      </c>
    </row>
    <row r="1624" spans="1:59" ht="60" x14ac:dyDescent="0.25">
      <c r="A1624" s="2" t="s">
        <v>59</v>
      </c>
      <c r="B1624" s="2" t="s">
        <v>60</v>
      </c>
      <c r="C1624" s="2" t="s">
        <v>14431</v>
      </c>
      <c r="D1624" s="2" t="s">
        <v>14432</v>
      </c>
      <c r="E1624" s="2" t="s">
        <v>14433</v>
      </c>
      <c r="G1624" s="3" t="s">
        <v>63</v>
      </c>
      <c r="I1624" s="3" t="s">
        <v>63</v>
      </c>
      <c r="J1624" s="3" t="s">
        <v>63</v>
      </c>
      <c r="K1624" s="3" t="s">
        <v>64</v>
      </c>
      <c r="L1624" s="2" t="s">
        <v>5787</v>
      </c>
      <c r="M1624" s="2" t="s">
        <v>14434</v>
      </c>
      <c r="N1624" s="3" t="s">
        <v>313</v>
      </c>
      <c r="P1624" s="3" t="s">
        <v>90</v>
      </c>
      <c r="Q1624" s="2" t="s">
        <v>13837</v>
      </c>
      <c r="R1624" s="3" t="s">
        <v>67</v>
      </c>
      <c r="S1624" s="4">
        <v>0</v>
      </c>
      <c r="T1624" s="4">
        <v>0</v>
      </c>
      <c r="W1624" s="5" t="s">
        <v>69</v>
      </c>
      <c r="X1624" s="5" t="s">
        <v>69</v>
      </c>
      <c r="Y1624" s="4">
        <v>11</v>
      </c>
      <c r="Z1624" s="4">
        <v>1</v>
      </c>
      <c r="AA1624" s="4">
        <v>1</v>
      </c>
      <c r="AB1624" s="4">
        <v>1</v>
      </c>
      <c r="AC1624" s="4">
        <v>1</v>
      </c>
      <c r="AD1624" s="4">
        <v>7</v>
      </c>
      <c r="AE1624" s="4">
        <v>7</v>
      </c>
      <c r="AF1624" s="4">
        <v>0</v>
      </c>
      <c r="AG1624" s="4">
        <v>0</v>
      </c>
      <c r="AH1624" s="4">
        <v>6</v>
      </c>
      <c r="AI1624" s="4">
        <v>6</v>
      </c>
      <c r="AJ1624" s="4">
        <v>0</v>
      </c>
      <c r="AK1624" s="4">
        <v>0</v>
      </c>
      <c r="AL1624" s="4">
        <v>7</v>
      </c>
      <c r="AM1624" s="4">
        <v>7</v>
      </c>
      <c r="AN1624" s="4">
        <v>0</v>
      </c>
      <c r="AO1624" s="4">
        <v>0</v>
      </c>
      <c r="AP1624" s="4">
        <v>0</v>
      </c>
      <c r="AQ1624" s="4">
        <v>0</v>
      </c>
      <c r="AR1624" s="3" t="s">
        <v>63</v>
      </c>
      <c r="AS1624" s="3" t="s">
        <v>63</v>
      </c>
      <c r="AT1624" s="3" t="s">
        <v>63</v>
      </c>
      <c r="AV1624" s="6" t="str">
        <f>HYPERLINK("http://mcgill.on.worldcat.org/oclc/739733064","Catalog Record")</f>
        <v>Catalog Record</v>
      </c>
      <c r="AW1624" s="6" t="str">
        <f>HYPERLINK("http://www.worldcat.org/oclc/739733064","WorldCat Record")</f>
        <v>WorldCat Record</v>
      </c>
      <c r="AX1624" s="3" t="s">
        <v>14435</v>
      </c>
      <c r="AY1624" s="3" t="s">
        <v>14436</v>
      </c>
      <c r="AZ1624" s="3" t="s">
        <v>14437</v>
      </c>
      <c r="BA1624" s="3" t="s">
        <v>14437</v>
      </c>
      <c r="BB1624" s="3" t="s">
        <v>14438</v>
      </c>
      <c r="BC1624" s="3" t="s">
        <v>82</v>
      </c>
      <c r="BD1624" s="3" t="s">
        <v>70</v>
      </c>
      <c r="BE1624" s="3" t="s">
        <v>14439</v>
      </c>
      <c r="BF1624" s="3" t="s">
        <v>14438</v>
      </c>
      <c r="BG1624" s="3" t="s">
        <v>14440</v>
      </c>
    </row>
    <row r="1625" spans="1:59" ht="105" x14ac:dyDescent="0.25">
      <c r="A1625" s="2" t="s">
        <v>59</v>
      </c>
      <c r="B1625" s="2" t="s">
        <v>60</v>
      </c>
      <c r="C1625" s="2" t="s">
        <v>14441</v>
      </c>
      <c r="D1625" s="2" t="s">
        <v>14442</v>
      </c>
      <c r="E1625" s="2" t="s">
        <v>14443</v>
      </c>
      <c r="G1625" s="3" t="s">
        <v>63</v>
      </c>
      <c r="I1625" s="3" t="s">
        <v>63</v>
      </c>
      <c r="J1625" s="3" t="s">
        <v>63</v>
      </c>
      <c r="K1625" s="3" t="s">
        <v>64</v>
      </c>
      <c r="L1625" s="2" t="s">
        <v>14444</v>
      </c>
      <c r="M1625" s="2" t="s">
        <v>14445</v>
      </c>
      <c r="N1625" s="3" t="s">
        <v>668</v>
      </c>
      <c r="P1625" s="3" t="s">
        <v>66</v>
      </c>
      <c r="Q1625" s="2" t="s">
        <v>14446</v>
      </c>
      <c r="R1625" s="3" t="s">
        <v>67</v>
      </c>
      <c r="S1625" s="4">
        <v>13</v>
      </c>
      <c r="T1625" s="4">
        <v>13</v>
      </c>
      <c r="U1625" s="5" t="s">
        <v>14447</v>
      </c>
      <c r="V1625" s="5" t="s">
        <v>14447</v>
      </c>
      <c r="W1625" s="5" t="s">
        <v>69</v>
      </c>
      <c r="X1625" s="5" t="s">
        <v>69</v>
      </c>
      <c r="Y1625" s="4">
        <v>58</v>
      </c>
      <c r="Z1625" s="4">
        <v>10</v>
      </c>
      <c r="AA1625" s="4">
        <v>12</v>
      </c>
      <c r="AB1625" s="4">
        <v>2</v>
      </c>
      <c r="AC1625" s="4">
        <v>4</v>
      </c>
      <c r="AD1625" s="4">
        <v>31</v>
      </c>
      <c r="AE1625" s="4">
        <v>33</v>
      </c>
      <c r="AF1625" s="4">
        <v>0</v>
      </c>
      <c r="AG1625" s="4">
        <v>2</v>
      </c>
      <c r="AH1625" s="4">
        <v>29</v>
      </c>
      <c r="AI1625" s="4">
        <v>29</v>
      </c>
      <c r="AJ1625" s="4">
        <v>7</v>
      </c>
      <c r="AK1625" s="4">
        <v>9</v>
      </c>
      <c r="AL1625" s="4">
        <v>20</v>
      </c>
      <c r="AM1625" s="4">
        <v>20</v>
      </c>
      <c r="AN1625" s="4">
        <v>0</v>
      </c>
      <c r="AO1625" s="4">
        <v>0</v>
      </c>
      <c r="AP1625" s="4">
        <v>7</v>
      </c>
      <c r="AQ1625" s="4">
        <v>8</v>
      </c>
      <c r="AR1625" s="3" t="s">
        <v>63</v>
      </c>
      <c r="AS1625" s="3" t="s">
        <v>63</v>
      </c>
      <c r="AT1625" s="3" t="s">
        <v>63</v>
      </c>
      <c r="AV1625" s="6" t="str">
        <f>HYPERLINK("http://mcgill.on.worldcat.org/oclc/22741154","Catalog Record")</f>
        <v>Catalog Record</v>
      </c>
      <c r="AW1625" s="6" t="str">
        <f>HYPERLINK("http://www.worldcat.org/oclc/22741154","WorldCat Record")</f>
        <v>WorldCat Record</v>
      </c>
      <c r="AX1625" s="3" t="s">
        <v>14448</v>
      </c>
      <c r="AY1625" s="3" t="s">
        <v>14449</v>
      </c>
      <c r="AZ1625" s="3" t="s">
        <v>14450</v>
      </c>
      <c r="BA1625" s="3" t="s">
        <v>14450</v>
      </c>
      <c r="BB1625" s="3" t="s">
        <v>14451</v>
      </c>
      <c r="BC1625" s="3" t="s">
        <v>82</v>
      </c>
      <c r="BD1625" s="3" t="s">
        <v>70</v>
      </c>
      <c r="BE1625" s="3" t="s">
        <v>14452</v>
      </c>
      <c r="BF1625" s="3" t="s">
        <v>14451</v>
      </c>
      <c r="BG1625" s="3" t="s">
        <v>14453</v>
      </c>
    </row>
    <row r="1626" spans="1:59" ht="75" x14ac:dyDescent="0.25">
      <c r="A1626" s="2" t="s">
        <v>59</v>
      </c>
      <c r="B1626" s="2" t="s">
        <v>60</v>
      </c>
      <c r="C1626" s="2" t="s">
        <v>14454</v>
      </c>
      <c r="D1626" s="2" t="s">
        <v>14455</v>
      </c>
      <c r="E1626" s="2" t="s">
        <v>14456</v>
      </c>
      <c r="G1626" s="3" t="s">
        <v>63</v>
      </c>
      <c r="I1626" s="3" t="s">
        <v>63</v>
      </c>
      <c r="J1626" s="3" t="s">
        <v>63</v>
      </c>
      <c r="K1626" s="3" t="s">
        <v>64</v>
      </c>
      <c r="L1626" s="2" t="s">
        <v>13331</v>
      </c>
      <c r="M1626" s="2" t="s">
        <v>14457</v>
      </c>
      <c r="N1626" s="3" t="s">
        <v>480</v>
      </c>
      <c r="P1626" s="3" t="s">
        <v>66</v>
      </c>
      <c r="Q1626" s="2" t="s">
        <v>14458</v>
      </c>
      <c r="R1626" s="3" t="s">
        <v>67</v>
      </c>
      <c r="S1626" s="4">
        <v>4</v>
      </c>
      <c r="T1626" s="4">
        <v>4</v>
      </c>
      <c r="U1626" s="5" t="s">
        <v>14447</v>
      </c>
      <c r="V1626" s="5" t="s">
        <v>14447</v>
      </c>
      <c r="W1626" s="5" t="s">
        <v>69</v>
      </c>
      <c r="X1626" s="5" t="s">
        <v>69</v>
      </c>
      <c r="Y1626" s="4">
        <v>114</v>
      </c>
      <c r="Z1626" s="4">
        <v>15</v>
      </c>
      <c r="AA1626" s="4">
        <v>15</v>
      </c>
      <c r="AB1626" s="4">
        <v>1</v>
      </c>
      <c r="AC1626" s="4">
        <v>1</v>
      </c>
      <c r="AD1626" s="4">
        <v>62</v>
      </c>
      <c r="AE1626" s="4">
        <v>62</v>
      </c>
      <c r="AF1626" s="4">
        <v>0</v>
      </c>
      <c r="AG1626" s="4">
        <v>0</v>
      </c>
      <c r="AH1626" s="4">
        <v>56</v>
      </c>
      <c r="AI1626" s="4">
        <v>56</v>
      </c>
      <c r="AJ1626" s="4">
        <v>11</v>
      </c>
      <c r="AK1626" s="4">
        <v>11</v>
      </c>
      <c r="AL1626" s="4">
        <v>36</v>
      </c>
      <c r="AM1626" s="4">
        <v>36</v>
      </c>
      <c r="AN1626" s="4">
        <v>0</v>
      </c>
      <c r="AO1626" s="4">
        <v>0</v>
      </c>
      <c r="AP1626" s="4">
        <v>13</v>
      </c>
      <c r="AQ1626" s="4">
        <v>13</v>
      </c>
      <c r="AR1626" s="3" t="s">
        <v>63</v>
      </c>
      <c r="AS1626" s="3" t="s">
        <v>63</v>
      </c>
      <c r="AT1626" s="3" t="s">
        <v>62</v>
      </c>
      <c r="AU1626" s="6" t="str">
        <f>HYPERLINK("http://catalog.hathitrust.org/Record/002561193","HathiTrust Record")</f>
        <v>HathiTrust Record</v>
      </c>
      <c r="AV1626" s="6" t="str">
        <f>HYPERLINK("http://mcgill.on.worldcat.org/oclc/25724852","Catalog Record")</f>
        <v>Catalog Record</v>
      </c>
      <c r="AW1626" s="6" t="str">
        <f>HYPERLINK("http://www.worldcat.org/oclc/25724852","WorldCat Record")</f>
        <v>WorldCat Record</v>
      </c>
      <c r="AX1626" s="3" t="s">
        <v>14459</v>
      </c>
      <c r="AY1626" s="3" t="s">
        <v>14460</v>
      </c>
      <c r="AZ1626" s="3" t="s">
        <v>14461</v>
      </c>
      <c r="BA1626" s="3" t="s">
        <v>14461</v>
      </c>
      <c r="BB1626" s="3" t="s">
        <v>14462</v>
      </c>
      <c r="BC1626" s="3" t="s">
        <v>82</v>
      </c>
      <c r="BD1626" s="3" t="s">
        <v>70</v>
      </c>
      <c r="BE1626" s="3" t="s">
        <v>14463</v>
      </c>
      <c r="BF1626" s="3" t="s">
        <v>14462</v>
      </c>
      <c r="BG1626" s="3" t="s">
        <v>14464</v>
      </c>
    </row>
    <row r="1627" spans="1:59" ht="60" x14ac:dyDescent="0.25">
      <c r="A1627" s="2" t="s">
        <v>59</v>
      </c>
      <c r="B1627" s="2" t="s">
        <v>60</v>
      </c>
      <c r="C1627" s="2" t="s">
        <v>14465</v>
      </c>
      <c r="D1627" s="2" t="s">
        <v>14466</v>
      </c>
      <c r="E1627" s="2" t="s">
        <v>14467</v>
      </c>
      <c r="G1627" s="3" t="s">
        <v>63</v>
      </c>
      <c r="I1627" s="3" t="s">
        <v>63</v>
      </c>
      <c r="J1627" s="3" t="s">
        <v>63</v>
      </c>
      <c r="K1627" s="3" t="s">
        <v>64</v>
      </c>
      <c r="M1627" s="2" t="s">
        <v>11119</v>
      </c>
      <c r="N1627" s="3" t="s">
        <v>176</v>
      </c>
      <c r="P1627" s="3" t="s">
        <v>66</v>
      </c>
      <c r="Q1627" s="2" t="s">
        <v>10845</v>
      </c>
      <c r="R1627" s="3" t="s">
        <v>67</v>
      </c>
      <c r="S1627" s="4">
        <v>14</v>
      </c>
      <c r="T1627" s="4">
        <v>14</v>
      </c>
      <c r="U1627" s="5" t="s">
        <v>14447</v>
      </c>
      <c r="V1627" s="5" t="s">
        <v>14447</v>
      </c>
      <c r="W1627" s="5" t="s">
        <v>69</v>
      </c>
      <c r="X1627" s="5" t="s">
        <v>69</v>
      </c>
      <c r="Y1627" s="4">
        <v>220</v>
      </c>
      <c r="Z1627" s="4">
        <v>15</v>
      </c>
      <c r="AA1627" s="4">
        <v>16</v>
      </c>
      <c r="AB1627" s="4">
        <v>1</v>
      </c>
      <c r="AC1627" s="4">
        <v>2</v>
      </c>
      <c r="AD1627" s="4">
        <v>88</v>
      </c>
      <c r="AE1627" s="4">
        <v>89</v>
      </c>
      <c r="AF1627" s="4">
        <v>0</v>
      </c>
      <c r="AG1627" s="4">
        <v>1</v>
      </c>
      <c r="AH1627" s="4">
        <v>81</v>
      </c>
      <c r="AI1627" s="4">
        <v>82</v>
      </c>
      <c r="AJ1627" s="4">
        <v>11</v>
      </c>
      <c r="AK1627" s="4">
        <v>12</v>
      </c>
      <c r="AL1627" s="4">
        <v>51</v>
      </c>
      <c r="AM1627" s="4">
        <v>51</v>
      </c>
      <c r="AN1627" s="4">
        <v>0</v>
      </c>
      <c r="AO1627" s="4">
        <v>0</v>
      </c>
      <c r="AP1627" s="4">
        <v>13</v>
      </c>
      <c r="AQ1627" s="4">
        <v>14</v>
      </c>
      <c r="AR1627" s="3" t="s">
        <v>63</v>
      </c>
      <c r="AS1627" s="3" t="s">
        <v>63</v>
      </c>
      <c r="AT1627" s="3" t="s">
        <v>62</v>
      </c>
      <c r="AU1627" s="6" t="str">
        <f>HYPERLINK("http://catalog.hathitrust.org/Record/003972675","HathiTrust Record")</f>
        <v>HathiTrust Record</v>
      </c>
      <c r="AV1627" s="6" t="str">
        <f>HYPERLINK("http://mcgill.on.worldcat.org/oclc/38055987","Catalog Record")</f>
        <v>Catalog Record</v>
      </c>
      <c r="AW1627" s="6" t="str">
        <f>HYPERLINK("http://www.worldcat.org/oclc/38055987","WorldCat Record")</f>
        <v>WorldCat Record</v>
      </c>
      <c r="AX1627" s="3" t="s">
        <v>14468</v>
      </c>
      <c r="AY1627" s="3" t="s">
        <v>14469</v>
      </c>
      <c r="AZ1627" s="3" t="s">
        <v>14470</v>
      </c>
      <c r="BA1627" s="3" t="s">
        <v>14470</v>
      </c>
      <c r="BB1627" s="3" t="s">
        <v>14471</v>
      </c>
      <c r="BC1627" s="3" t="s">
        <v>82</v>
      </c>
      <c r="BD1627" s="3" t="s">
        <v>70</v>
      </c>
      <c r="BE1627" s="3" t="s">
        <v>14472</v>
      </c>
      <c r="BF1627" s="3" t="s">
        <v>14471</v>
      </c>
      <c r="BG1627" s="3" t="s">
        <v>14473</v>
      </c>
    </row>
    <row r="1628" spans="1:59" ht="60" x14ac:dyDescent="0.25">
      <c r="A1628" s="2" t="s">
        <v>59</v>
      </c>
      <c r="B1628" s="2" t="s">
        <v>60</v>
      </c>
      <c r="C1628" s="2" t="s">
        <v>14474</v>
      </c>
      <c r="D1628" s="2" t="s">
        <v>14475</v>
      </c>
      <c r="E1628" s="2" t="s">
        <v>14476</v>
      </c>
      <c r="G1628" s="3" t="s">
        <v>63</v>
      </c>
      <c r="I1628" s="3" t="s">
        <v>63</v>
      </c>
      <c r="J1628" s="3" t="s">
        <v>63</v>
      </c>
      <c r="K1628" s="3" t="s">
        <v>64</v>
      </c>
      <c r="L1628" s="2" t="s">
        <v>14412</v>
      </c>
      <c r="M1628" s="2" t="s">
        <v>14477</v>
      </c>
      <c r="N1628" s="3" t="s">
        <v>849</v>
      </c>
      <c r="P1628" s="3" t="s">
        <v>90</v>
      </c>
      <c r="R1628" s="3" t="s">
        <v>67</v>
      </c>
      <c r="S1628" s="4">
        <v>8</v>
      </c>
      <c r="T1628" s="4">
        <v>8</v>
      </c>
      <c r="U1628" s="5" t="s">
        <v>3102</v>
      </c>
      <c r="V1628" s="5" t="s">
        <v>3102</v>
      </c>
      <c r="W1628" s="5" t="s">
        <v>69</v>
      </c>
      <c r="X1628" s="5" t="s">
        <v>69</v>
      </c>
      <c r="Y1628" s="4">
        <v>1</v>
      </c>
      <c r="Z1628" s="4">
        <v>1</v>
      </c>
      <c r="AA1628" s="4">
        <v>1</v>
      </c>
      <c r="AB1628" s="4">
        <v>1</v>
      </c>
      <c r="AC1628" s="4">
        <v>1</v>
      </c>
      <c r="AD1628" s="4">
        <v>0</v>
      </c>
      <c r="AE1628" s="4">
        <v>10</v>
      </c>
      <c r="AF1628" s="4">
        <v>0</v>
      </c>
      <c r="AG1628" s="4">
        <v>0</v>
      </c>
      <c r="AH1628" s="4">
        <v>0</v>
      </c>
      <c r="AI1628" s="4">
        <v>9</v>
      </c>
      <c r="AJ1628" s="4">
        <v>0</v>
      </c>
      <c r="AK1628" s="4">
        <v>0</v>
      </c>
      <c r="AL1628" s="4">
        <v>0</v>
      </c>
      <c r="AM1628" s="4">
        <v>6</v>
      </c>
      <c r="AN1628" s="4">
        <v>0</v>
      </c>
      <c r="AO1628" s="4">
        <v>0</v>
      </c>
      <c r="AP1628" s="4">
        <v>0</v>
      </c>
      <c r="AQ1628" s="4">
        <v>0</v>
      </c>
      <c r="AR1628" s="3" t="s">
        <v>63</v>
      </c>
      <c r="AS1628" s="3" t="s">
        <v>63</v>
      </c>
      <c r="AT1628" s="3" t="s">
        <v>63</v>
      </c>
      <c r="AV1628" s="6" t="str">
        <f>HYPERLINK("http://mcgill.on.worldcat.org/oclc/61538270","Catalog Record")</f>
        <v>Catalog Record</v>
      </c>
      <c r="AW1628" s="6" t="str">
        <f>HYPERLINK("http://www.worldcat.org/oclc/61538270","WorldCat Record")</f>
        <v>WorldCat Record</v>
      </c>
      <c r="AX1628" s="3" t="s">
        <v>14478</v>
      </c>
      <c r="AY1628" s="3" t="s">
        <v>14479</v>
      </c>
      <c r="AZ1628" s="3" t="s">
        <v>14480</v>
      </c>
      <c r="BA1628" s="3" t="s">
        <v>14480</v>
      </c>
      <c r="BB1628" s="3" t="s">
        <v>14481</v>
      </c>
      <c r="BC1628" s="3" t="s">
        <v>82</v>
      </c>
      <c r="BD1628" s="3" t="s">
        <v>70</v>
      </c>
      <c r="BF1628" s="3" t="s">
        <v>14481</v>
      </c>
      <c r="BG1628" s="3" t="s">
        <v>14482</v>
      </c>
    </row>
    <row r="1629" spans="1:59" ht="75" x14ac:dyDescent="0.25">
      <c r="A1629" s="2" t="s">
        <v>59</v>
      </c>
      <c r="B1629" s="2" t="s">
        <v>60</v>
      </c>
      <c r="C1629" s="2" t="s">
        <v>14483</v>
      </c>
      <c r="D1629" s="2" t="s">
        <v>14484</v>
      </c>
      <c r="E1629" s="2" t="s">
        <v>14485</v>
      </c>
      <c r="G1629" s="3" t="s">
        <v>63</v>
      </c>
      <c r="I1629" s="3" t="s">
        <v>63</v>
      </c>
      <c r="J1629" s="3" t="s">
        <v>63</v>
      </c>
      <c r="K1629" s="3" t="s">
        <v>64</v>
      </c>
      <c r="L1629" s="2" t="s">
        <v>14412</v>
      </c>
      <c r="M1629" s="2" t="s">
        <v>14486</v>
      </c>
      <c r="N1629" s="3" t="s">
        <v>2765</v>
      </c>
      <c r="P1629" s="3" t="s">
        <v>66</v>
      </c>
      <c r="R1629" s="3" t="s">
        <v>67</v>
      </c>
      <c r="S1629" s="4">
        <v>4</v>
      </c>
      <c r="T1629" s="4">
        <v>4</v>
      </c>
      <c r="U1629" s="5" t="s">
        <v>14487</v>
      </c>
      <c r="V1629" s="5" t="s">
        <v>14487</v>
      </c>
      <c r="W1629" s="5" t="s">
        <v>69</v>
      </c>
      <c r="X1629" s="5" t="s">
        <v>69</v>
      </c>
      <c r="Y1629" s="4">
        <v>27</v>
      </c>
      <c r="Z1629" s="4">
        <v>2</v>
      </c>
      <c r="AA1629" s="4">
        <v>3</v>
      </c>
      <c r="AB1629" s="4">
        <v>1</v>
      </c>
      <c r="AC1629" s="4">
        <v>1</v>
      </c>
      <c r="AD1629" s="4">
        <v>10</v>
      </c>
      <c r="AE1629" s="4">
        <v>13</v>
      </c>
      <c r="AF1629" s="4">
        <v>0</v>
      </c>
      <c r="AG1629" s="4">
        <v>0</v>
      </c>
      <c r="AH1629" s="4">
        <v>9</v>
      </c>
      <c r="AI1629" s="4">
        <v>11</v>
      </c>
      <c r="AJ1629" s="4">
        <v>0</v>
      </c>
      <c r="AK1629" s="4">
        <v>1</v>
      </c>
      <c r="AL1629" s="4">
        <v>7</v>
      </c>
      <c r="AM1629" s="4">
        <v>9</v>
      </c>
      <c r="AN1629" s="4">
        <v>0</v>
      </c>
      <c r="AO1629" s="4">
        <v>0</v>
      </c>
      <c r="AP1629" s="4">
        <v>0</v>
      </c>
      <c r="AQ1629" s="4">
        <v>1</v>
      </c>
      <c r="AR1629" s="3" t="s">
        <v>63</v>
      </c>
      <c r="AS1629" s="3" t="s">
        <v>63</v>
      </c>
      <c r="AT1629" s="3" t="s">
        <v>63</v>
      </c>
      <c r="AV1629" s="6" t="str">
        <f>HYPERLINK("http://mcgill.on.worldcat.org/oclc/889642497","Catalog Record")</f>
        <v>Catalog Record</v>
      </c>
      <c r="AW1629" s="6" t="str">
        <f>HYPERLINK("http://www.worldcat.org/oclc/889642497","WorldCat Record")</f>
        <v>WorldCat Record</v>
      </c>
      <c r="AX1629" s="3" t="s">
        <v>14488</v>
      </c>
      <c r="AY1629" s="3" t="s">
        <v>14489</v>
      </c>
      <c r="AZ1629" s="3" t="s">
        <v>14490</v>
      </c>
      <c r="BA1629" s="3" t="s">
        <v>14490</v>
      </c>
      <c r="BB1629" s="3" t="s">
        <v>14491</v>
      </c>
      <c r="BC1629" s="3" t="s">
        <v>82</v>
      </c>
      <c r="BD1629" s="3" t="s">
        <v>70</v>
      </c>
      <c r="BE1629" s="3" t="s">
        <v>14492</v>
      </c>
      <c r="BF1629" s="3" t="s">
        <v>14491</v>
      </c>
      <c r="BG1629" s="3" t="s">
        <v>14493</v>
      </c>
    </row>
    <row r="1630" spans="1:59" ht="60" x14ac:dyDescent="0.25">
      <c r="A1630" s="2" t="s">
        <v>59</v>
      </c>
      <c r="B1630" s="2" t="s">
        <v>60</v>
      </c>
      <c r="C1630" s="2" t="s">
        <v>14494</v>
      </c>
      <c r="D1630" s="2" t="s">
        <v>14495</v>
      </c>
      <c r="E1630" s="2" t="s">
        <v>14496</v>
      </c>
      <c r="G1630" s="3" t="s">
        <v>63</v>
      </c>
      <c r="I1630" s="3" t="s">
        <v>63</v>
      </c>
      <c r="J1630" s="3" t="s">
        <v>62</v>
      </c>
      <c r="K1630" s="3" t="s">
        <v>64</v>
      </c>
      <c r="L1630" s="2" t="s">
        <v>14412</v>
      </c>
      <c r="M1630" s="2" t="s">
        <v>14497</v>
      </c>
      <c r="N1630" s="3" t="s">
        <v>2103</v>
      </c>
      <c r="P1630" s="3" t="s">
        <v>90</v>
      </c>
      <c r="Q1630" s="2" t="s">
        <v>14498</v>
      </c>
      <c r="R1630" s="3" t="s">
        <v>67</v>
      </c>
      <c r="S1630" s="4">
        <v>11</v>
      </c>
      <c r="T1630" s="4">
        <v>11</v>
      </c>
      <c r="U1630" s="5" t="s">
        <v>1420</v>
      </c>
      <c r="V1630" s="5" t="s">
        <v>1420</v>
      </c>
      <c r="W1630" s="5" t="s">
        <v>69</v>
      </c>
      <c r="X1630" s="5" t="s">
        <v>69</v>
      </c>
      <c r="Y1630" s="4">
        <v>9</v>
      </c>
      <c r="Z1630" s="4">
        <v>1</v>
      </c>
      <c r="AA1630" s="4">
        <v>10</v>
      </c>
      <c r="AB1630" s="4">
        <v>1</v>
      </c>
      <c r="AC1630" s="4">
        <v>1</v>
      </c>
      <c r="AD1630" s="4">
        <v>1</v>
      </c>
      <c r="AE1630" s="4">
        <v>73</v>
      </c>
      <c r="AF1630" s="4">
        <v>0</v>
      </c>
      <c r="AG1630" s="4">
        <v>0</v>
      </c>
      <c r="AH1630" s="4">
        <v>1</v>
      </c>
      <c r="AI1630" s="4">
        <v>70</v>
      </c>
      <c r="AJ1630" s="4">
        <v>0</v>
      </c>
      <c r="AK1630" s="4">
        <v>5</v>
      </c>
      <c r="AL1630" s="4">
        <v>1</v>
      </c>
      <c r="AM1630" s="4">
        <v>44</v>
      </c>
      <c r="AN1630" s="4">
        <v>0</v>
      </c>
      <c r="AO1630" s="4">
        <v>0</v>
      </c>
      <c r="AP1630" s="4">
        <v>0</v>
      </c>
      <c r="AQ1630" s="4">
        <v>5</v>
      </c>
      <c r="AR1630" s="3" t="s">
        <v>63</v>
      </c>
      <c r="AS1630" s="3" t="s">
        <v>63</v>
      </c>
      <c r="AT1630" s="3" t="s">
        <v>63</v>
      </c>
      <c r="AV1630" s="6" t="str">
        <f>HYPERLINK("http://mcgill.on.worldcat.org/oclc/52148290","Catalog Record")</f>
        <v>Catalog Record</v>
      </c>
      <c r="AW1630" s="6" t="str">
        <f>HYPERLINK("http://www.worldcat.org/oclc/52148290","WorldCat Record")</f>
        <v>WorldCat Record</v>
      </c>
      <c r="AX1630" s="3" t="s">
        <v>14499</v>
      </c>
      <c r="AY1630" s="3" t="s">
        <v>14500</v>
      </c>
      <c r="AZ1630" s="3" t="s">
        <v>14501</v>
      </c>
      <c r="BA1630" s="3" t="s">
        <v>14501</v>
      </c>
      <c r="BB1630" s="3" t="s">
        <v>14502</v>
      </c>
      <c r="BC1630" s="3" t="s">
        <v>82</v>
      </c>
      <c r="BD1630" s="3" t="s">
        <v>70</v>
      </c>
      <c r="BE1630" s="3" t="s">
        <v>14503</v>
      </c>
      <c r="BF1630" s="3" t="s">
        <v>14502</v>
      </c>
      <c r="BG1630" s="3" t="s">
        <v>14504</v>
      </c>
    </row>
    <row r="1631" spans="1:59" ht="60" x14ac:dyDescent="0.25">
      <c r="A1631" s="2" t="s">
        <v>59</v>
      </c>
      <c r="B1631" s="2" t="s">
        <v>60</v>
      </c>
      <c r="C1631" s="2" t="s">
        <v>14505</v>
      </c>
      <c r="D1631" s="2" t="s">
        <v>14506</v>
      </c>
      <c r="E1631" s="2" t="s">
        <v>14507</v>
      </c>
      <c r="G1631" s="3" t="s">
        <v>63</v>
      </c>
      <c r="I1631" s="3" t="s">
        <v>63</v>
      </c>
      <c r="J1631" s="3" t="s">
        <v>63</v>
      </c>
      <c r="K1631" s="3" t="s">
        <v>64</v>
      </c>
      <c r="L1631" s="2" t="s">
        <v>14508</v>
      </c>
      <c r="M1631" s="2" t="s">
        <v>14509</v>
      </c>
      <c r="N1631" s="3" t="s">
        <v>1113</v>
      </c>
      <c r="P1631" s="3" t="s">
        <v>90</v>
      </c>
      <c r="R1631" s="3" t="s">
        <v>67</v>
      </c>
      <c r="S1631" s="4">
        <v>3</v>
      </c>
      <c r="T1631" s="4">
        <v>3</v>
      </c>
      <c r="U1631" s="5" t="s">
        <v>2227</v>
      </c>
      <c r="V1631" s="5" t="s">
        <v>2227</v>
      </c>
      <c r="W1631" s="5" t="s">
        <v>69</v>
      </c>
      <c r="X1631" s="5" t="s">
        <v>69</v>
      </c>
      <c r="Y1631" s="4">
        <v>71</v>
      </c>
      <c r="Z1631" s="4">
        <v>5</v>
      </c>
      <c r="AA1631" s="4">
        <v>7</v>
      </c>
      <c r="AB1631" s="4">
        <v>1</v>
      </c>
      <c r="AC1631" s="4">
        <v>1</v>
      </c>
      <c r="AD1631" s="4">
        <v>44</v>
      </c>
      <c r="AE1631" s="4">
        <v>48</v>
      </c>
      <c r="AF1631" s="4">
        <v>0</v>
      </c>
      <c r="AG1631" s="4">
        <v>0</v>
      </c>
      <c r="AH1631" s="4">
        <v>43</v>
      </c>
      <c r="AI1631" s="4">
        <v>47</v>
      </c>
      <c r="AJ1631" s="4">
        <v>4</v>
      </c>
      <c r="AK1631" s="4">
        <v>5</v>
      </c>
      <c r="AL1631" s="4">
        <v>30</v>
      </c>
      <c r="AM1631" s="4">
        <v>33</v>
      </c>
      <c r="AN1631" s="4">
        <v>0</v>
      </c>
      <c r="AO1631" s="4">
        <v>0</v>
      </c>
      <c r="AP1631" s="4">
        <v>4</v>
      </c>
      <c r="AQ1631" s="4">
        <v>5</v>
      </c>
      <c r="AR1631" s="3" t="s">
        <v>63</v>
      </c>
      <c r="AS1631" s="3" t="s">
        <v>63</v>
      </c>
      <c r="AT1631" s="3" t="s">
        <v>63</v>
      </c>
      <c r="AV1631" s="6" t="str">
        <f>HYPERLINK("http://mcgill.on.worldcat.org/oclc/39272249","Catalog Record")</f>
        <v>Catalog Record</v>
      </c>
      <c r="AW1631" s="6" t="str">
        <f>HYPERLINK("http://www.worldcat.org/oclc/39272249","WorldCat Record")</f>
        <v>WorldCat Record</v>
      </c>
      <c r="AX1631" s="3" t="s">
        <v>14510</v>
      </c>
      <c r="AY1631" s="3" t="s">
        <v>14511</v>
      </c>
      <c r="AZ1631" s="3" t="s">
        <v>14512</v>
      </c>
      <c r="BA1631" s="3" t="s">
        <v>14512</v>
      </c>
      <c r="BB1631" s="3" t="s">
        <v>14513</v>
      </c>
      <c r="BC1631" s="3" t="s">
        <v>82</v>
      </c>
      <c r="BD1631" s="3" t="s">
        <v>538</v>
      </c>
      <c r="BE1631" s="3" t="s">
        <v>14514</v>
      </c>
      <c r="BF1631" s="3" t="s">
        <v>14513</v>
      </c>
      <c r="BG1631" s="3" t="s">
        <v>14515</v>
      </c>
    </row>
    <row r="1632" spans="1:59" ht="60" x14ac:dyDescent="0.25">
      <c r="A1632" s="2" t="s">
        <v>59</v>
      </c>
      <c r="B1632" s="2" t="s">
        <v>60</v>
      </c>
      <c r="C1632" s="2" t="s">
        <v>14516</v>
      </c>
      <c r="D1632" s="2" t="s">
        <v>14517</v>
      </c>
      <c r="E1632" s="2" t="s">
        <v>14518</v>
      </c>
      <c r="G1632" s="3" t="s">
        <v>63</v>
      </c>
      <c r="I1632" s="3" t="s">
        <v>63</v>
      </c>
      <c r="J1632" s="3" t="s">
        <v>63</v>
      </c>
      <c r="K1632" s="3" t="s">
        <v>64</v>
      </c>
      <c r="L1632" s="2" t="s">
        <v>14519</v>
      </c>
      <c r="M1632" s="2" t="s">
        <v>14520</v>
      </c>
      <c r="N1632" s="3" t="s">
        <v>826</v>
      </c>
      <c r="P1632" s="3" t="s">
        <v>66</v>
      </c>
      <c r="Q1632" s="2" t="s">
        <v>14521</v>
      </c>
      <c r="R1632" s="3" t="s">
        <v>67</v>
      </c>
      <c r="S1632" s="4">
        <v>4</v>
      </c>
      <c r="T1632" s="4">
        <v>4</v>
      </c>
      <c r="U1632" s="5" t="s">
        <v>6170</v>
      </c>
      <c r="V1632" s="5" t="s">
        <v>6170</v>
      </c>
      <c r="W1632" s="5" t="s">
        <v>69</v>
      </c>
      <c r="X1632" s="5" t="s">
        <v>69</v>
      </c>
      <c r="Y1632" s="4">
        <v>659</v>
      </c>
      <c r="Z1632" s="4">
        <v>31</v>
      </c>
      <c r="AA1632" s="4">
        <v>35</v>
      </c>
      <c r="AB1632" s="4">
        <v>3</v>
      </c>
      <c r="AC1632" s="4">
        <v>4</v>
      </c>
      <c r="AD1632" s="4">
        <v>119</v>
      </c>
      <c r="AE1632" s="4">
        <v>123</v>
      </c>
      <c r="AF1632" s="4">
        <v>2</v>
      </c>
      <c r="AG1632" s="4">
        <v>2</v>
      </c>
      <c r="AH1632" s="4">
        <v>99</v>
      </c>
      <c r="AI1632" s="4">
        <v>102</v>
      </c>
      <c r="AJ1632" s="4">
        <v>18</v>
      </c>
      <c r="AK1632" s="4">
        <v>20</v>
      </c>
      <c r="AL1632" s="4">
        <v>51</v>
      </c>
      <c r="AM1632" s="4">
        <v>51</v>
      </c>
      <c r="AN1632" s="4">
        <v>0</v>
      </c>
      <c r="AO1632" s="4">
        <v>0</v>
      </c>
      <c r="AP1632" s="4">
        <v>26</v>
      </c>
      <c r="AQ1632" s="4">
        <v>29</v>
      </c>
      <c r="AR1632" s="3" t="s">
        <v>63</v>
      </c>
      <c r="AS1632" s="3" t="s">
        <v>63</v>
      </c>
      <c r="AT1632" s="3" t="s">
        <v>62</v>
      </c>
      <c r="AU1632" s="6" t="str">
        <f>HYPERLINK("http://catalog.hathitrust.org/Record/001224784","HathiTrust Record")</f>
        <v>HathiTrust Record</v>
      </c>
      <c r="AV1632" s="6" t="str">
        <f>HYPERLINK("http://mcgill.on.worldcat.org/oclc/354704","Catalog Record")</f>
        <v>Catalog Record</v>
      </c>
      <c r="AW1632" s="6" t="str">
        <f>HYPERLINK("http://www.worldcat.org/oclc/354704","WorldCat Record")</f>
        <v>WorldCat Record</v>
      </c>
      <c r="AX1632" s="3" t="s">
        <v>14522</v>
      </c>
      <c r="AY1632" s="3" t="s">
        <v>14523</v>
      </c>
      <c r="AZ1632" s="3" t="s">
        <v>14524</v>
      </c>
      <c r="BA1632" s="3" t="s">
        <v>14524</v>
      </c>
      <c r="BB1632" s="3" t="s">
        <v>14525</v>
      </c>
      <c r="BC1632" s="3" t="s">
        <v>82</v>
      </c>
      <c r="BD1632" s="3" t="s">
        <v>70</v>
      </c>
      <c r="BF1632" s="3" t="s">
        <v>14525</v>
      </c>
      <c r="BG1632" s="3" t="s">
        <v>14526</v>
      </c>
    </row>
    <row r="1633" spans="1:59" ht="60" x14ac:dyDescent="0.25">
      <c r="A1633" s="2" t="s">
        <v>59</v>
      </c>
      <c r="B1633" s="2" t="s">
        <v>60</v>
      </c>
      <c r="C1633" s="2" t="s">
        <v>14527</v>
      </c>
      <c r="D1633" s="2" t="s">
        <v>14528</v>
      </c>
      <c r="E1633" s="2" t="s">
        <v>14529</v>
      </c>
      <c r="G1633" s="3" t="s">
        <v>63</v>
      </c>
      <c r="I1633" s="3" t="s">
        <v>63</v>
      </c>
      <c r="J1633" s="3" t="s">
        <v>63</v>
      </c>
      <c r="K1633" s="3" t="s">
        <v>64</v>
      </c>
      <c r="L1633" s="2" t="s">
        <v>14247</v>
      </c>
      <c r="M1633" s="2" t="s">
        <v>14530</v>
      </c>
      <c r="N1633" s="3" t="s">
        <v>2393</v>
      </c>
      <c r="P1633" s="3" t="s">
        <v>66</v>
      </c>
      <c r="Q1633" s="2" t="s">
        <v>14531</v>
      </c>
      <c r="R1633" s="3" t="s">
        <v>67</v>
      </c>
      <c r="S1633" s="4">
        <v>5</v>
      </c>
      <c r="T1633" s="4">
        <v>5</v>
      </c>
      <c r="U1633" s="5" t="s">
        <v>4396</v>
      </c>
      <c r="V1633" s="5" t="s">
        <v>4396</v>
      </c>
      <c r="W1633" s="5" t="s">
        <v>69</v>
      </c>
      <c r="X1633" s="5" t="s">
        <v>69</v>
      </c>
      <c r="Y1633" s="4">
        <v>261</v>
      </c>
      <c r="Z1633" s="4">
        <v>18</v>
      </c>
      <c r="AA1633" s="4">
        <v>20</v>
      </c>
      <c r="AB1633" s="4">
        <v>1</v>
      </c>
      <c r="AC1633" s="4">
        <v>2</v>
      </c>
      <c r="AD1633" s="4">
        <v>93</v>
      </c>
      <c r="AE1633" s="4">
        <v>95</v>
      </c>
      <c r="AF1633" s="4">
        <v>0</v>
      </c>
      <c r="AG1633" s="4">
        <v>1</v>
      </c>
      <c r="AH1633" s="4">
        <v>84</v>
      </c>
      <c r="AI1633" s="4">
        <v>84</v>
      </c>
      <c r="AJ1633" s="4">
        <v>13</v>
      </c>
      <c r="AK1633" s="4">
        <v>15</v>
      </c>
      <c r="AL1633" s="4">
        <v>51</v>
      </c>
      <c r="AM1633" s="4">
        <v>51</v>
      </c>
      <c r="AN1633" s="4">
        <v>0</v>
      </c>
      <c r="AO1633" s="4">
        <v>0</v>
      </c>
      <c r="AP1633" s="4">
        <v>14</v>
      </c>
      <c r="AQ1633" s="4">
        <v>15</v>
      </c>
      <c r="AR1633" s="3" t="s">
        <v>63</v>
      </c>
      <c r="AS1633" s="3" t="s">
        <v>63</v>
      </c>
      <c r="AT1633" s="3" t="s">
        <v>62</v>
      </c>
      <c r="AU1633" s="6" t="str">
        <f>HYPERLINK("http://catalog.hathitrust.org/Record/001224786","HathiTrust Record")</f>
        <v>HathiTrust Record</v>
      </c>
      <c r="AV1633" s="6" t="str">
        <f>HYPERLINK("http://mcgill.on.worldcat.org/oclc/1057390","Catalog Record")</f>
        <v>Catalog Record</v>
      </c>
      <c r="AW1633" s="6" t="str">
        <f>HYPERLINK("http://www.worldcat.org/oclc/1057390","WorldCat Record")</f>
        <v>WorldCat Record</v>
      </c>
      <c r="AX1633" s="3" t="s">
        <v>14532</v>
      </c>
      <c r="AY1633" s="3" t="s">
        <v>14533</v>
      </c>
      <c r="AZ1633" s="3" t="s">
        <v>14534</v>
      </c>
      <c r="BA1633" s="3" t="s">
        <v>14534</v>
      </c>
      <c r="BB1633" s="3" t="s">
        <v>14535</v>
      </c>
      <c r="BC1633" s="3" t="s">
        <v>82</v>
      </c>
      <c r="BD1633" s="3" t="s">
        <v>538</v>
      </c>
      <c r="BE1633" s="3" t="s">
        <v>14536</v>
      </c>
      <c r="BF1633" s="3" t="s">
        <v>14535</v>
      </c>
      <c r="BG1633" s="3" t="s">
        <v>14537</v>
      </c>
    </row>
    <row r="1634" spans="1:59" ht="60" x14ac:dyDescent="0.25">
      <c r="A1634" s="2" t="s">
        <v>59</v>
      </c>
      <c r="B1634" s="2" t="s">
        <v>60</v>
      </c>
      <c r="C1634" s="2" t="s">
        <v>14598</v>
      </c>
      <c r="D1634" s="2" t="s">
        <v>14599</v>
      </c>
      <c r="E1634" s="2" t="s">
        <v>14600</v>
      </c>
      <c r="G1634" s="3" t="s">
        <v>63</v>
      </c>
      <c r="I1634" s="3" t="s">
        <v>63</v>
      </c>
      <c r="J1634" s="3" t="s">
        <v>62</v>
      </c>
      <c r="K1634" s="3" t="s">
        <v>64</v>
      </c>
      <c r="L1634" s="2" t="s">
        <v>14601</v>
      </c>
      <c r="M1634" s="2" t="s">
        <v>14602</v>
      </c>
      <c r="N1634" s="3" t="s">
        <v>2144</v>
      </c>
      <c r="P1634" s="3" t="s">
        <v>90</v>
      </c>
      <c r="R1634" s="3" t="s">
        <v>67</v>
      </c>
      <c r="S1634" s="4">
        <v>9</v>
      </c>
      <c r="T1634" s="4">
        <v>9</v>
      </c>
      <c r="U1634" s="5" t="s">
        <v>907</v>
      </c>
      <c r="V1634" s="5" t="s">
        <v>907</v>
      </c>
      <c r="W1634" s="5" t="s">
        <v>69</v>
      </c>
      <c r="X1634" s="5" t="s">
        <v>69</v>
      </c>
      <c r="Y1634" s="4">
        <v>44</v>
      </c>
      <c r="Z1634" s="4">
        <v>2</v>
      </c>
      <c r="AA1634" s="4">
        <v>22</v>
      </c>
      <c r="AB1634" s="4">
        <v>1</v>
      </c>
      <c r="AC1634" s="4">
        <v>4</v>
      </c>
      <c r="AD1634" s="4">
        <v>18</v>
      </c>
      <c r="AE1634" s="4">
        <v>80</v>
      </c>
      <c r="AF1634" s="4">
        <v>0</v>
      </c>
      <c r="AG1634" s="4">
        <v>1</v>
      </c>
      <c r="AH1634" s="4">
        <v>17</v>
      </c>
      <c r="AI1634" s="4">
        <v>71</v>
      </c>
      <c r="AJ1634" s="4">
        <v>1</v>
      </c>
      <c r="AK1634" s="4">
        <v>13</v>
      </c>
      <c r="AL1634" s="4">
        <v>12</v>
      </c>
      <c r="AM1634" s="4">
        <v>41</v>
      </c>
      <c r="AN1634" s="4">
        <v>0</v>
      </c>
      <c r="AO1634" s="4">
        <v>1</v>
      </c>
      <c r="AP1634" s="4">
        <v>1</v>
      </c>
      <c r="AQ1634" s="4">
        <v>14</v>
      </c>
      <c r="AR1634" s="3" t="s">
        <v>63</v>
      </c>
      <c r="AS1634" s="3" t="s">
        <v>63</v>
      </c>
      <c r="AT1634" s="3" t="s">
        <v>62</v>
      </c>
      <c r="AU1634" s="6" t="str">
        <f>HYPERLINK("http://catalog.hathitrust.org/Record/102406106","HathiTrust Record")</f>
        <v>HathiTrust Record</v>
      </c>
      <c r="AV1634" s="6" t="str">
        <f>HYPERLINK("http://mcgill.on.worldcat.org/oclc/2847158","Catalog Record")</f>
        <v>Catalog Record</v>
      </c>
      <c r="AW1634" s="6" t="str">
        <f>HYPERLINK("http://www.worldcat.org/oclc/2847158","WorldCat Record")</f>
        <v>WorldCat Record</v>
      </c>
      <c r="AX1634" s="3" t="s">
        <v>14603</v>
      </c>
      <c r="AY1634" s="3" t="s">
        <v>14604</v>
      </c>
      <c r="AZ1634" s="3" t="s">
        <v>14605</v>
      </c>
      <c r="BA1634" s="3" t="s">
        <v>14605</v>
      </c>
      <c r="BB1634" s="3" t="s">
        <v>14606</v>
      </c>
      <c r="BC1634" s="3" t="s">
        <v>82</v>
      </c>
      <c r="BD1634" s="3" t="s">
        <v>70</v>
      </c>
      <c r="BF1634" s="3" t="s">
        <v>14606</v>
      </c>
      <c r="BG1634" s="3" t="s">
        <v>14607</v>
      </c>
    </row>
    <row r="1635" spans="1:59" ht="60" x14ac:dyDescent="0.25">
      <c r="A1635" s="2" t="s">
        <v>59</v>
      </c>
      <c r="B1635" s="2" t="s">
        <v>60</v>
      </c>
      <c r="C1635" s="2" t="s">
        <v>14608</v>
      </c>
      <c r="D1635" s="2" t="s">
        <v>14609</v>
      </c>
      <c r="E1635" s="2" t="s">
        <v>14610</v>
      </c>
      <c r="G1635" s="3" t="s">
        <v>63</v>
      </c>
      <c r="I1635" s="3" t="s">
        <v>63</v>
      </c>
      <c r="J1635" s="3" t="s">
        <v>63</v>
      </c>
      <c r="K1635" s="3" t="s">
        <v>64</v>
      </c>
      <c r="L1635" s="2" t="s">
        <v>14611</v>
      </c>
      <c r="M1635" s="2" t="s">
        <v>14612</v>
      </c>
      <c r="N1635" s="3" t="s">
        <v>190</v>
      </c>
      <c r="P1635" s="3" t="s">
        <v>66</v>
      </c>
      <c r="Q1635" s="2" t="s">
        <v>14613</v>
      </c>
      <c r="R1635" s="3" t="s">
        <v>67</v>
      </c>
      <c r="S1635" s="4">
        <v>7</v>
      </c>
      <c r="T1635" s="4">
        <v>7</v>
      </c>
      <c r="U1635" s="5" t="s">
        <v>14614</v>
      </c>
      <c r="V1635" s="5" t="s">
        <v>14614</v>
      </c>
      <c r="W1635" s="5" t="s">
        <v>69</v>
      </c>
      <c r="X1635" s="5" t="s">
        <v>69</v>
      </c>
      <c r="Y1635" s="4">
        <v>54</v>
      </c>
      <c r="Z1635" s="4">
        <v>2</v>
      </c>
      <c r="AA1635" s="4">
        <v>2</v>
      </c>
      <c r="AB1635" s="4">
        <v>1</v>
      </c>
      <c r="AC1635" s="4">
        <v>1</v>
      </c>
      <c r="AD1635" s="4">
        <v>25</v>
      </c>
      <c r="AE1635" s="4">
        <v>25</v>
      </c>
      <c r="AF1635" s="4">
        <v>0</v>
      </c>
      <c r="AG1635" s="4">
        <v>0</v>
      </c>
      <c r="AH1635" s="4">
        <v>24</v>
      </c>
      <c r="AI1635" s="4">
        <v>24</v>
      </c>
      <c r="AJ1635" s="4">
        <v>1</v>
      </c>
      <c r="AK1635" s="4">
        <v>1</v>
      </c>
      <c r="AL1635" s="4">
        <v>17</v>
      </c>
      <c r="AM1635" s="4">
        <v>17</v>
      </c>
      <c r="AN1635" s="4">
        <v>0</v>
      </c>
      <c r="AO1635" s="4">
        <v>0</v>
      </c>
      <c r="AP1635" s="4">
        <v>1</v>
      </c>
      <c r="AQ1635" s="4">
        <v>1</v>
      </c>
      <c r="AR1635" s="3" t="s">
        <v>63</v>
      </c>
      <c r="AS1635" s="3" t="s">
        <v>63</v>
      </c>
      <c r="AT1635" s="3" t="s">
        <v>62</v>
      </c>
      <c r="AU1635" s="6" t="str">
        <f>HYPERLINK("http://catalog.hathitrust.org/Record/005060318","HathiTrust Record")</f>
        <v>HathiTrust Record</v>
      </c>
      <c r="AV1635" s="6" t="str">
        <f>HYPERLINK("http://mcgill.on.worldcat.org/oclc/59360208","Catalog Record")</f>
        <v>Catalog Record</v>
      </c>
      <c r="AW1635" s="6" t="str">
        <f>HYPERLINK("http://www.worldcat.org/oclc/59360208","WorldCat Record")</f>
        <v>WorldCat Record</v>
      </c>
      <c r="AX1635" s="3" t="s">
        <v>14615</v>
      </c>
      <c r="AY1635" s="3" t="s">
        <v>14616</v>
      </c>
      <c r="AZ1635" s="3" t="s">
        <v>14617</v>
      </c>
      <c r="BA1635" s="3" t="s">
        <v>14617</v>
      </c>
      <c r="BB1635" s="3" t="s">
        <v>14618</v>
      </c>
      <c r="BC1635" s="3" t="s">
        <v>82</v>
      </c>
      <c r="BD1635" s="3" t="s">
        <v>70</v>
      </c>
      <c r="BE1635" s="3" t="s">
        <v>14619</v>
      </c>
      <c r="BF1635" s="3" t="s">
        <v>14618</v>
      </c>
      <c r="BG1635" s="3" t="s">
        <v>14620</v>
      </c>
    </row>
    <row r="1636" spans="1:59" ht="75" x14ac:dyDescent="0.25">
      <c r="A1636" s="2" t="s">
        <v>59</v>
      </c>
      <c r="B1636" s="2" t="s">
        <v>60</v>
      </c>
      <c r="C1636" s="2" t="s">
        <v>14621</v>
      </c>
      <c r="D1636" s="2" t="s">
        <v>14622</v>
      </c>
      <c r="E1636" s="2" t="s">
        <v>14623</v>
      </c>
      <c r="G1636" s="3" t="s">
        <v>63</v>
      </c>
      <c r="I1636" s="3" t="s">
        <v>63</v>
      </c>
      <c r="J1636" s="3" t="s">
        <v>62</v>
      </c>
      <c r="K1636" s="3" t="s">
        <v>64</v>
      </c>
      <c r="L1636" s="2" t="s">
        <v>14601</v>
      </c>
      <c r="M1636" s="2" t="s">
        <v>14624</v>
      </c>
      <c r="N1636" s="3" t="s">
        <v>2459</v>
      </c>
      <c r="P1636" s="3" t="s">
        <v>90</v>
      </c>
      <c r="Q1636" s="2" t="s">
        <v>14625</v>
      </c>
      <c r="R1636" s="3" t="s">
        <v>67</v>
      </c>
      <c r="S1636" s="4">
        <v>2</v>
      </c>
      <c r="T1636" s="4">
        <v>2</v>
      </c>
      <c r="U1636" s="5" t="s">
        <v>14571</v>
      </c>
      <c r="V1636" s="5" t="s">
        <v>14571</v>
      </c>
      <c r="W1636" s="5" t="s">
        <v>69</v>
      </c>
      <c r="X1636" s="5" t="s">
        <v>69</v>
      </c>
      <c r="Y1636" s="4">
        <v>22</v>
      </c>
      <c r="Z1636" s="4">
        <v>5</v>
      </c>
      <c r="AA1636" s="4">
        <v>21</v>
      </c>
      <c r="AB1636" s="4">
        <v>2</v>
      </c>
      <c r="AC1636" s="4">
        <v>3</v>
      </c>
      <c r="AD1636" s="4">
        <v>11</v>
      </c>
      <c r="AE1636" s="4">
        <v>95</v>
      </c>
      <c r="AF1636" s="4">
        <v>0</v>
      </c>
      <c r="AG1636" s="4">
        <v>1</v>
      </c>
      <c r="AH1636" s="4">
        <v>11</v>
      </c>
      <c r="AI1636" s="4">
        <v>84</v>
      </c>
      <c r="AJ1636" s="4">
        <v>2</v>
      </c>
      <c r="AK1636" s="4">
        <v>14</v>
      </c>
      <c r="AL1636" s="4">
        <v>10</v>
      </c>
      <c r="AM1636" s="4">
        <v>56</v>
      </c>
      <c r="AN1636" s="4">
        <v>0</v>
      </c>
      <c r="AO1636" s="4">
        <v>4</v>
      </c>
      <c r="AP1636" s="4">
        <v>2</v>
      </c>
      <c r="AQ1636" s="4">
        <v>14</v>
      </c>
      <c r="AR1636" s="3" t="s">
        <v>63</v>
      </c>
      <c r="AS1636" s="3" t="s">
        <v>63</v>
      </c>
      <c r="AT1636" s="3" t="s">
        <v>63</v>
      </c>
      <c r="AV1636" s="6" t="str">
        <f>HYPERLINK("http://mcgill.on.worldcat.org/oclc/288916609","Catalog Record")</f>
        <v>Catalog Record</v>
      </c>
      <c r="AW1636" s="6" t="str">
        <f>HYPERLINK("http://www.worldcat.org/oclc/288916609","WorldCat Record")</f>
        <v>WorldCat Record</v>
      </c>
      <c r="AX1636" s="3" t="s">
        <v>14626</v>
      </c>
      <c r="AY1636" s="3" t="s">
        <v>14627</v>
      </c>
      <c r="AZ1636" s="3" t="s">
        <v>14628</v>
      </c>
      <c r="BA1636" s="3" t="s">
        <v>14628</v>
      </c>
      <c r="BB1636" s="3" t="s">
        <v>14629</v>
      </c>
      <c r="BC1636" s="3" t="s">
        <v>82</v>
      </c>
      <c r="BD1636" s="3" t="s">
        <v>70</v>
      </c>
      <c r="BE1636" s="3" t="s">
        <v>14630</v>
      </c>
      <c r="BF1636" s="3" t="s">
        <v>14629</v>
      </c>
      <c r="BG1636" s="3" t="s">
        <v>14631</v>
      </c>
    </row>
    <row r="1637" spans="1:59" ht="60" x14ac:dyDescent="0.25">
      <c r="A1637" s="2" t="s">
        <v>59</v>
      </c>
      <c r="B1637" s="2" t="s">
        <v>60</v>
      </c>
      <c r="C1637" s="2" t="s">
        <v>14632</v>
      </c>
      <c r="D1637" s="2" t="s">
        <v>14633</v>
      </c>
      <c r="E1637" s="2" t="s">
        <v>14634</v>
      </c>
      <c r="G1637" s="3" t="s">
        <v>63</v>
      </c>
      <c r="I1637" s="3" t="s">
        <v>63</v>
      </c>
      <c r="J1637" s="3" t="s">
        <v>63</v>
      </c>
      <c r="K1637" s="3" t="s">
        <v>64</v>
      </c>
      <c r="L1637" s="2" t="s">
        <v>14635</v>
      </c>
      <c r="M1637" s="2" t="s">
        <v>14636</v>
      </c>
      <c r="N1637" s="3" t="s">
        <v>2951</v>
      </c>
      <c r="P1637" s="3" t="s">
        <v>90</v>
      </c>
      <c r="R1637" s="3" t="s">
        <v>67</v>
      </c>
      <c r="S1637" s="4">
        <v>2</v>
      </c>
      <c r="T1637" s="4">
        <v>2</v>
      </c>
      <c r="U1637" s="5" t="s">
        <v>14637</v>
      </c>
      <c r="V1637" s="5" t="s">
        <v>14637</v>
      </c>
      <c r="W1637" s="5" t="s">
        <v>69</v>
      </c>
      <c r="X1637" s="5" t="s">
        <v>69</v>
      </c>
      <c r="Y1637" s="4">
        <v>91</v>
      </c>
      <c r="Z1637" s="4">
        <v>9</v>
      </c>
      <c r="AA1637" s="4">
        <v>10</v>
      </c>
      <c r="AB1637" s="4">
        <v>1</v>
      </c>
      <c r="AC1637" s="4">
        <v>2</v>
      </c>
      <c r="AD1637" s="4">
        <v>52</v>
      </c>
      <c r="AE1637" s="4">
        <v>53</v>
      </c>
      <c r="AF1637" s="4">
        <v>0</v>
      </c>
      <c r="AG1637" s="4">
        <v>1</v>
      </c>
      <c r="AH1637" s="4">
        <v>49</v>
      </c>
      <c r="AI1637" s="4">
        <v>49</v>
      </c>
      <c r="AJ1637" s="4">
        <v>7</v>
      </c>
      <c r="AK1637" s="4">
        <v>8</v>
      </c>
      <c r="AL1637" s="4">
        <v>32</v>
      </c>
      <c r="AM1637" s="4">
        <v>32</v>
      </c>
      <c r="AN1637" s="4">
        <v>0</v>
      </c>
      <c r="AO1637" s="4">
        <v>0</v>
      </c>
      <c r="AP1637" s="4">
        <v>7</v>
      </c>
      <c r="AQ1637" s="4">
        <v>7</v>
      </c>
      <c r="AR1637" s="3" t="s">
        <v>63</v>
      </c>
      <c r="AS1637" s="3" t="s">
        <v>63</v>
      </c>
      <c r="AT1637" s="3" t="s">
        <v>62</v>
      </c>
      <c r="AU1637" s="6" t="str">
        <f>HYPERLINK("http://catalog.hathitrust.org/Record/000711622","HathiTrust Record")</f>
        <v>HathiTrust Record</v>
      </c>
      <c r="AV1637" s="6" t="str">
        <f>HYPERLINK("http://mcgill.on.worldcat.org/oclc/7196996","Catalog Record")</f>
        <v>Catalog Record</v>
      </c>
      <c r="AW1637" s="6" t="str">
        <f>HYPERLINK("http://www.worldcat.org/oclc/7196996","WorldCat Record")</f>
        <v>WorldCat Record</v>
      </c>
      <c r="AX1637" s="3" t="s">
        <v>14638</v>
      </c>
      <c r="AY1637" s="3" t="s">
        <v>14639</v>
      </c>
      <c r="AZ1637" s="3" t="s">
        <v>14640</v>
      </c>
      <c r="BA1637" s="3" t="s">
        <v>14640</v>
      </c>
      <c r="BB1637" s="3" t="s">
        <v>14641</v>
      </c>
      <c r="BC1637" s="3" t="s">
        <v>82</v>
      </c>
      <c r="BD1637" s="3" t="s">
        <v>70</v>
      </c>
      <c r="BF1637" s="3" t="s">
        <v>14641</v>
      </c>
      <c r="BG1637" s="3" t="s">
        <v>14642</v>
      </c>
    </row>
    <row r="1638" spans="1:59" ht="75" x14ac:dyDescent="0.25">
      <c r="A1638" s="2" t="s">
        <v>59</v>
      </c>
      <c r="B1638" s="2" t="s">
        <v>60</v>
      </c>
      <c r="C1638" s="2" t="s">
        <v>14653</v>
      </c>
      <c r="D1638" s="2" t="s">
        <v>14654</v>
      </c>
      <c r="E1638" s="2" t="s">
        <v>14655</v>
      </c>
      <c r="F1638" s="3" t="s">
        <v>5705</v>
      </c>
      <c r="G1638" s="3" t="s">
        <v>62</v>
      </c>
      <c r="I1638" s="3" t="s">
        <v>63</v>
      </c>
      <c r="J1638" s="3" t="s">
        <v>63</v>
      </c>
      <c r="K1638" s="3" t="s">
        <v>64</v>
      </c>
      <c r="L1638" s="2" t="s">
        <v>14646</v>
      </c>
      <c r="M1638" s="2" t="s">
        <v>14656</v>
      </c>
      <c r="N1638" s="3" t="s">
        <v>1368</v>
      </c>
      <c r="O1638" s="2" t="s">
        <v>14657</v>
      </c>
      <c r="P1638" s="3" t="s">
        <v>90</v>
      </c>
      <c r="R1638" s="3" t="s">
        <v>67</v>
      </c>
      <c r="S1638" s="4">
        <v>0</v>
      </c>
      <c r="T1638" s="4">
        <v>1</v>
      </c>
      <c r="V1638" s="5" t="s">
        <v>10804</v>
      </c>
      <c r="W1638" s="5" t="s">
        <v>69</v>
      </c>
      <c r="X1638" s="5" t="s">
        <v>69</v>
      </c>
      <c r="Y1638" s="4">
        <v>75</v>
      </c>
      <c r="Z1638" s="4">
        <v>3</v>
      </c>
      <c r="AA1638" s="4">
        <v>3</v>
      </c>
      <c r="AB1638" s="4">
        <v>1</v>
      </c>
      <c r="AC1638" s="4">
        <v>1</v>
      </c>
      <c r="AD1638" s="4">
        <v>49</v>
      </c>
      <c r="AE1638" s="4">
        <v>50</v>
      </c>
      <c r="AF1638" s="4">
        <v>0</v>
      </c>
      <c r="AG1638" s="4">
        <v>0</v>
      </c>
      <c r="AH1638" s="4">
        <v>48</v>
      </c>
      <c r="AI1638" s="4">
        <v>49</v>
      </c>
      <c r="AJ1638" s="4">
        <v>2</v>
      </c>
      <c r="AK1638" s="4">
        <v>2</v>
      </c>
      <c r="AL1638" s="4">
        <v>37</v>
      </c>
      <c r="AM1638" s="4">
        <v>37</v>
      </c>
      <c r="AN1638" s="4">
        <v>0</v>
      </c>
      <c r="AO1638" s="4">
        <v>0</v>
      </c>
      <c r="AP1638" s="4">
        <v>2</v>
      </c>
      <c r="AQ1638" s="4">
        <v>2</v>
      </c>
      <c r="AR1638" s="3" t="s">
        <v>63</v>
      </c>
      <c r="AS1638" s="3" t="s">
        <v>63</v>
      </c>
      <c r="AT1638" s="3" t="s">
        <v>63</v>
      </c>
      <c r="AU1638" s="6" t="str">
        <f>HYPERLINK("http://catalog.hathitrust.org/Record/007021809","HathiTrust Record")</f>
        <v>HathiTrust Record</v>
      </c>
      <c r="AV1638" s="6" t="str">
        <f>HYPERLINK("http://mcgill.on.worldcat.org/oclc/5232230","Catalog Record")</f>
        <v>Catalog Record</v>
      </c>
      <c r="AW1638" s="6" t="str">
        <f>HYPERLINK("http://www.worldcat.org/oclc/5232230","WorldCat Record")</f>
        <v>WorldCat Record</v>
      </c>
      <c r="AX1638" s="3" t="s">
        <v>14658</v>
      </c>
      <c r="AY1638" s="3" t="s">
        <v>14659</v>
      </c>
      <c r="AZ1638" s="3" t="s">
        <v>14660</v>
      </c>
      <c r="BA1638" s="3" t="s">
        <v>14660</v>
      </c>
      <c r="BB1638" s="3" t="s">
        <v>14661</v>
      </c>
      <c r="BC1638" s="3" t="s">
        <v>82</v>
      </c>
      <c r="BD1638" s="3" t="s">
        <v>70</v>
      </c>
      <c r="BF1638" s="3" t="s">
        <v>14661</v>
      </c>
      <c r="BG1638" s="3" t="s">
        <v>14662</v>
      </c>
    </row>
    <row r="1639" spans="1:59" ht="75" x14ac:dyDescent="0.25">
      <c r="A1639" s="2" t="s">
        <v>59</v>
      </c>
      <c r="B1639" s="2" t="s">
        <v>60</v>
      </c>
      <c r="C1639" s="2" t="s">
        <v>14653</v>
      </c>
      <c r="D1639" s="2" t="s">
        <v>14654</v>
      </c>
      <c r="E1639" s="2" t="s">
        <v>14655</v>
      </c>
      <c r="F1639" s="3" t="s">
        <v>5684</v>
      </c>
      <c r="G1639" s="3" t="s">
        <v>62</v>
      </c>
      <c r="I1639" s="3" t="s">
        <v>63</v>
      </c>
      <c r="J1639" s="3" t="s">
        <v>63</v>
      </c>
      <c r="K1639" s="3" t="s">
        <v>64</v>
      </c>
      <c r="L1639" s="2" t="s">
        <v>14646</v>
      </c>
      <c r="M1639" s="2" t="s">
        <v>14656</v>
      </c>
      <c r="N1639" s="3" t="s">
        <v>1368</v>
      </c>
      <c r="O1639" s="2" t="s">
        <v>14657</v>
      </c>
      <c r="P1639" s="3" t="s">
        <v>90</v>
      </c>
      <c r="R1639" s="3" t="s">
        <v>67</v>
      </c>
      <c r="S1639" s="4">
        <v>1</v>
      </c>
      <c r="T1639" s="4">
        <v>1</v>
      </c>
      <c r="U1639" s="5" t="s">
        <v>10804</v>
      </c>
      <c r="V1639" s="5" t="s">
        <v>10804</v>
      </c>
      <c r="W1639" s="5" t="s">
        <v>69</v>
      </c>
      <c r="X1639" s="5" t="s">
        <v>69</v>
      </c>
      <c r="Y1639" s="4">
        <v>75</v>
      </c>
      <c r="Z1639" s="4">
        <v>3</v>
      </c>
      <c r="AA1639" s="4">
        <v>3</v>
      </c>
      <c r="AB1639" s="4">
        <v>1</v>
      </c>
      <c r="AC1639" s="4">
        <v>1</v>
      </c>
      <c r="AD1639" s="4">
        <v>49</v>
      </c>
      <c r="AE1639" s="4">
        <v>50</v>
      </c>
      <c r="AF1639" s="4">
        <v>0</v>
      </c>
      <c r="AG1639" s="4">
        <v>0</v>
      </c>
      <c r="AH1639" s="4">
        <v>48</v>
      </c>
      <c r="AI1639" s="4">
        <v>49</v>
      </c>
      <c r="AJ1639" s="4">
        <v>2</v>
      </c>
      <c r="AK1639" s="4">
        <v>2</v>
      </c>
      <c r="AL1639" s="4">
        <v>37</v>
      </c>
      <c r="AM1639" s="4">
        <v>37</v>
      </c>
      <c r="AN1639" s="4">
        <v>0</v>
      </c>
      <c r="AO1639" s="4">
        <v>0</v>
      </c>
      <c r="AP1639" s="4">
        <v>2</v>
      </c>
      <c r="AQ1639" s="4">
        <v>2</v>
      </c>
      <c r="AR1639" s="3" t="s">
        <v>63</v>
      </c>
      <c r="AS1639" s="3" t="s">
        <v>63</v>
      </c>
      <c r="AT1639" s="3" t="s">
        <v>63</v>
      </c>
      <c r="AU1639" s="6" t="str">
        <f>HYPERLINK("http://catalog.hathitrust.org/Record/007021809","HathiTrust Record")</f>
        <v>HathiTrust Record</v>
      </c>
      <c r="AV1639" s="6" t="str">
        <f>HYPERLINK("http://mcgill.on.worldcat.org/oclc/5232230","Catalog Record")</f>
        <v>Catalog Record</v>
      </c>
      <c r="AW1639" s="6" t="str">
        <f>HYPERLINK("http://www.worldcat.org/oclc/5232230","WorldCat Record")</f>
        <v>WorldCat Record</v>
      </c>
      <c r="AX1639" s="3" t="s">
        <v>14658</v>
      </c>
      <c r="AY1639" s="3" t="s">
        <v>14659</v>
      </c>
      <c r="AZ1639" s="3" t="s">
        <v>14660</v>
      </c>
      <c r="BA1639" s="3" t="s">
        <v>14660</v>
      </c>
      <c r="BB1639" s="3" t="s">
        <v>14663</v>
      </c>
      <c r="BC1639" s="3" t="s">
        <v>82</v>
      </c>
      <c r="BD1639" s="3" t="s">
        <v>70</v>
      </c>
      <c r="BF1639" s="3" t="s">
        <v>14663</v>
      </c>
      <c r="BG1639" s="3" t="s">
        <v>14664</v>
      </c>
    </row>
    <row r="1640" spans="1:59" ht="75" x14ac:dyDescent="0.25">
      <c r="A1640" s="2" t="s">
        <v>59</v>
      </c>
      <c r="B1640" s="2" t="s">
        <v>60</v>
      </c>
      <c r="C1640" s="2" t="s">
        <v>14653</v>
      </c>
      <c r="D1640" s="2" t="s">
        <v>14654</v>
      </c>
      <c r="E1640" s="2" t="s">
        <v>14655</v>
      </c>
      <c r="F1640" s="3" t="s">
        <v>5693</v>
      </c>
      <c r="G1640" s="3" t="s">
        <v>62</v>
      </c>
      <c r="I1640" s="3" t="s">
        <v>63</v>
      </c>
      <c r="J1640" s="3" t="s">
        <v>63</v>
      </c>
      <c r="K1640" s="3" t="s">
        <v>64</v>
      </c>
      <c r="L1640" s="2" t="s">
        <v>14646</v>
      </c>
      <c r="M1640" s="2" t="s">
        <v>14656</v>
      </c>
      <c r="N1640" s="3" t="s">
        <v>1368</v>
      </c>
      <c r="O1640" s="2" t="s">
        <v>14657</v>
      </c>
      <c r="P1640" s="3" t="s">
        <v>90</v>
      </c>
      <c r="R1640" s="3" t="s">
        <v>67</v>
      </c>
      <c r="S1640" s="4">
        <v>0</v>
      </c>
      <c r="T1640" s="4">
        <v>1</v>
      </c>
      <c r="V1640" s="5" t="s">
        <v>10804</v>
      </c>
      <c r="W1640" s="5" t="s">
        <v>69</v>
      </c>
      <c r="X1640" s="5" t="s">
        <v>69</v>
      </c>
      <c r="Y1640" s="4">
        <v>75</v>
      </c>
      <c r="Z1640" s="4">
        <v>3</v>
      </c>
      <c r="AA1640" s="4">
        <v>3</v>
      </c>
      <c r="AB1640" s="4">
        <v>1</v>
      </c>
      <c r="AC1640" s="4">
        <v>1</v>
      </c>
      <c r="AD1640" s="4">
        <v>49</v>
      </c>
      <c r="AE1640" s="4">
        <v>50</v>
      </c>
      <c r="AF1640" s="4">
        <v>0</v>
      </c>
      <c r="AG1640" s="4">
        <v>0</v>
      </c>
      <c r="AH1640" s="4">
        <v>48</v>
      </c>
      <c r="AI1640" s="4">
        <v>49</v>
      </c>
      <c r="AJ1640" s="4">
        <v>2</v>
      </c>
      <c r="AK1640" s="4">
        <v>2</v>
      </c>
      <c r="AL1640" s="4">
        <v>37</v>
      </c>
      <c r="AM1640" s="4">
        <v>37</v>
      </c>
      <c r="AN1640" s="4">
        <v>0</v>
      </c>
      <c r="AO1640" s="4">
        <v>0</v>
      </c>
      <c r="AP1640" s="4">
        <v>2</v>
      </c>
      <c r="AQ1640" s="4">
        <v>2</v>
      </c>
      <c r="AR1640" s="3" t="s">
        <v>63</v>
      </c>
      <c r="AS1640" s="3" t="s">
        <v>63</v>
      </c>
      <c r="AT1640" s="3" t="s">
        <v>63</v>
      </c>
      <c r="AU1640" s="6" t="str">
        <f>HYPERLINK("http://catalog.hathitrust.org/Record/007021809","HathiTrust Record")</f>
        <v>HathiTrust Record</v>
      </c>
      <c r="AV1640" s="6" t="str">
        <f>HYPERLINK("http://mcgill.on.worldcat.org/oclc/5232230","Catalog Record")</f>
        <v>Catalog Record</v>
      </c>
      <c r="AW1640" s="6" t="str">
        <f>HYPERLINK("http://www.worldcat.org/oclc/5232230","WorldCat Record")</f>
        <v>WorldCat Record</v>
      </c>
      <c r="AX1640" s="3" t="s">
        <v>14658</v>
      </c>
      <c r="AY1640" s="3" t="s">
        <v>14659</v>
      </c>
      <c r="AZ1640" s="3" t="s">
        <v>14660</v>
      </c>
      <c r="BA1640" s="3" t="s">
        <v>14660</v>
      </c>
      <c r="BB1640" s="3" t="s">
        <v>14665</v>
      </c>
      <c r="BC1640" s="3" t="s">
        <v>82</v>
      </c>
      <c r="BD1640" s="3" t="s">
        <v>70</v>
      </c>
      <c r="BF1640" s="3" t="s">
        <v>14665</v>
      </c>
      <c r="BG1640" s="3" t="s">
        <v>14666</v>
      </c>
    </row>
    <row r="1641" spans="1:59" ht="75" x14ac:dyDescent="0.25">
      <c r="A1641" s="2" t="s">
        <v>59</v>
      </c>
      <c r="B1641" s="2" t="s">
        <v>60</v>
      </c>
      <c r="C1641" s="2" t="s">
        <v>14653</v>
      </c>
      <c r="D1641" s="2" t="s">
        <v>14654</v>
      </c>
      <c r="E1641" s="2" t="s">
        <v>14655</v>
      </c>
      <c r="F1641" s="3" t="s">
        <v>5714</v>
      </c>
      <c r="G1641" s="3" t="s">
        <v>62</v>
      </c>
      <c r="I1641" s="3" t="s">
        <v>63</v>
      </c>
      <c r="J1641" s="3" t="s">
        <v>63</v>
      </c>
      <c r="K1641" s="3" t="s">
        <v>64</v>
      </c>
      <c r="L1641" s="2" t="s">
        <v>14646</v>
      </c>
      <c r="M1641" s="2" t="s">
        <v>14656</v>
      </c>
      <c r="N1641" s="3" t="s">
        <v>1368</v>
      </c>
      <c r="O1641" s="2" t="s">
        <v>14657</v>
      </c>
      <c r="P1641" s="3" t="s">
        <v>90</v>
      </c>
      <c r="R1641" s="3" t="s">
        <v>67</v>
      </c>
      <c r="S1641" s="4">
        <v>0</v>
      </c>
      <c r="T1641" s="4">
        <v>1</v>
      </c>
      <c r="V1641" s="5" t="s">
        <v>10804</v>
      </c>
      <c r="W1641" s="5" t="s">
        <v>69</v>
      </c>
      <c r="X1641" s="5" t="s">
        <v>69</v>
      </c>
      <c r="Y1641" s="4">
        <v>75</v>
      </c>
      <c r="Z1641" s="4">
        <v>3</v>
      </c>
      <c r="AA1641" s="4">
        <v>3</v>
      </c>
      <c r="AB1641" s="4">
        <v>1</v>
      </c>
      <c r="AC1641" s="4">
        <v>1</v>
      </c>
      <c r="AD1641" s="4">
        <v>49</v>
      </c>
      <c r="AE1641" s="4">
        <v>50</v>
      </c>
      <c r="AF1641" s="4">
        <v>0</v>
      </c>
      <c r="AG1641" s="4">
        <v>0</v>
      </c>
      <c r="AH1641" s="4">
        <v>48</v>
      </c>
      <c r="AI1641" s="4">
        <v>49</v>
      </c>
      <c r="AJ1641" s="4">
        <v>2</v>
      </c>
      <c r="AK1641" s="4">
        <v>2</v>
      </c>
      <c r="AL1641" s="4">
        <v>37</v>
      </c>
      <c r="AM1641" s="4">
        <v>37</v>
      </c>
      <c r="AN1641" s="4">
        <v>0</v>
      </c>
      <c r="AO1641" s="4">
        <v>0</v>
      </c>
      <c r="AP1641" s="4">
        <v>2</v>
      </c>
      <c r="AQ1641" s="4">
        <v>2</v>
      </c>
      <c r="AR1641" s="3" t="s">
        <v>63</v>
      </c>
      <c r="AS1641" s="3" t="s">
        <v>63</v>
      </c>
      <c r="AT1641" s="3" t="s">
        <v>63</v>
      </c>
      <c r="AU1641" s="6" t="str">
        <f>HYPERLINK("http://catalog.hathitrust.org/Record/007021809","HathiTrust Record")</f>
        <v>HathiTrust Record</v>
      </c>
      <c r="AV1641" s="6" t="str">
        <f>HYPERLINK("http://mcgill.on.worldcat.org/oclc/5232230","Catalog Record")</f>
        <v>Catalog Record</v>
      </c>
      <c r="AW1641" s="6" t="str">
        <f>HYPERLINK("http://www.worldcat.org/oclc/5232230","WorldCat Record")</f>
        <v>WorldCat Record</v>
      </c>
      <c r="AX1641" s="3" t="s">
        <v>14658</v>
      </c>
      <c r="AY1641" s="3" t="s">
        <v>14659</v>
      </c>
      <c r="AZ1641" s="3" t="s">
        <v>14660</v>
      </c>
      <c r="BA1641" s="3" t="s">
        <v>14660</v>
      </c>
      <c r="BB1641" s="3" t="s">
        <v>14667</v>
      </c>
      <c r="BC1641" s="3" t="s">
        <v>82</v>
      </c>
      <c r="BD1641" s="3" t="s">
        <v>70</v>
      </c>
      <c r="BF1641" s="3" t="s">
        <v>14667</v>
      </c>
      <c r="BG1641" s="3" t="s">
        <v>14668</v>
      </c>
    </row>
    <row r="1642" spans="1:59" ht="75" x14ac:dyDescent="0.25">
      <c r="A1642" s="2" t="s">
        <v>59</v>
      </c>
      <c r="B1642" s="2" t="s">
        <v>60</v>
      </c>
      <c r="C1642" s="2" t="s">
        <v>14653</v>
      </c>
      <c r="D1642" s="2" t="s">
        <v>14654</v>
      </c>
      <c r="E1642" s="2" t="s">
        <v>14655</v>
      </c>
      <c r="F1642" s="3" t="s">
        <v>5696</v>
      </c>
      <c r="G1642" s="3" t="s">
        <v>62</v>
      </c>
      <c r="I1642" s="3" t="s">
        <v>63</v>
      </c>
      <c r="J1642" s="3" t="s">
        <v>63</v>
      </c>
      <c r="K1642" s="3" t="s">
        <v>64</v>
      </c>
      <c r="L1642" s="2" t="s">
        <v>14646</v>
      </c>
      <c r="M1642" s="2" t="s">
        <v>14656</v>
      </c>
      <c r="N1642" s="3" t="s">
        <v>1368</v>
      </c>
      <c r="O1642" s="2" t="s">
        <v>14657</v>
      </c>
      <c r="P1642" s="3" t="s">
        <v>90</v>
      </c>
      <c r="R1642" s="3" t="s">
        <v>67</v>
      </c>
      <c r="S1642" s="4">
        <v>0</v>
      </c>
      <c r="T1642" s="4">
        <v>1</v>
      </c>
      <c r="V1642" s="5" t="s">
        <v>10804</v>
      </c>
      <c r="W1642" s="5" t="s">
        <v>69</v>
      </c>
      <c r="X1642" s="5" t="s">
        <v>69</v>
      </c>
      <c r="Y1642" s="4">
        <v>75</v>
      </c>
      <c r="Z1642" s="4">
        <v>3</v>
      </c>
      <c r="AA1642" s="4">
        <v>3</v>
      </c>
      <c r="AB1642" s="4">
        <v>1</v>
      </c>
      <c r="AC1642" s="4">
        <v>1</v>
      </c>
      <c r="AD1642" s="4">
        <v>49</v>
      </c>
      <c r="AE1642" s="4">
        <v>50</v>
      </c>
      <c r="AF1642" s="4">
        <v>0</v>
      </c>
      <c r="AG1642" s="4">
        <v>0</v>
      </c>
      <c r="AH1642" s="4">
        <v>48</v>
      </c>
      <c r="AI1642" s="4">
        <v>49</v>
      </c>
      <c r="AJ1642" s="4">
        <v>2</v>
      </c>
      <c r="AK1642" s="4">
        <v>2</v>
      </c>
      <c r="AL1642" s="4">
        <v>37</v>
      </c>
      <c r="AM1642" s="4">
        <v>37</v>
      </c>
      <c r="AN1642" s="4">
        <v>0</v>
      </c>
      <c r="AO1642" s="4">
        <v>0</v>
      </c>
      <c r="AP1642" s="4">
        <v>2</v>
      </c>
      <c r="AQ1642" s="4">
        <v>2</v>
      </c>
      <c r="AR1642" s="3" t="s">
        <v>63</v>
      </c>
      <c r="AS1642" s="3" t="s">
        <v>63</v>
      </c>
      <c r="AT1642" s="3" t="s">
        <v>63</v>
      </c>
      <c r="AU1642" s="6" t="str">
        <f>HYPERLINK("http://catalog.hathitrust.org/Record/007021809","HathiTrust Record")</f>
        <v>HathiTrust Record</v>
      </c>
      <c r="AV1642" s="6" t="str">
        <f>HYPERLINK("http://mcgill.on.worldcat.org/oclc/5232230","Catalog Record")</f>
        <v>Catalog Record</v>
      </c>
      <c r="AW1642" s="6" t="str">
        <f>HYPERLINK("http://www.worldcat.org/oclc/5232230","WorldCat Record")</f>
        <v>WorldCat Record</v>
      </c>
      <c r="AX1642" s="3" t="s">
        <v>14658</v>
      </c>
      <c r="AY1642" s="3" t="s">
        <v>14659</v>
      </c>
      <c r="AZ1642" s="3" t="s">
        <v>14660</v>
      </c>
      <c r="BA1642" s="3" t="s">
        <v>14660</v>
      </c>
      <c r="BB1642" s="3" t="s">
        <v>14669</v>
      </c>
      <c r="BC1642" s="3" t="s">
        <v>82</v>
      </c>
      <c r="BD1642" s="3" t="s">
        <v>70</v>
      </c>
      <c r="BF1642" s="3" t="s">
        <v>14669</v>
      </c>
      <c r="BG1642" s="3" t="s">
        <v>14670</v>
      </c>
    </row>
    <row r="1643" spans="1:59" ht="75" x14ac:dyDescent="0.25">
      <c r="A1643" s="2" t="s">
        <v>59</v>
      </c>
      <c r="B1643" s="2" t="s">
        <v>60</v>
      </c>
      <c r="C1643" s="2" t="s">
        <v>14653</v>
      </c>
      <c r="D1643" s="2" t="s">
        <v>14654</v>
      </c>
      <c r="E1643" s="2" t="s">
        <v>14655</v>
      </c>
      <c r="F1643" s="3" t="s">
        <v>5711</v>
      </c>
      <c r="G1643" s="3" t="s">
        <v>62</v>
      </c>
      <c r="I1643" s="3" t="s">
        <v>63</v>
      </c>
      <c r="J1643" s="3" t="s">
        <v>63</v>
      </c>
      <c r="K1643" s="3" t="s">
        <v>64</v>
      </c>
      <c r="L1643" s="2" t="s">
        <v>14646</v>
      </c>
      <c r="M1643" s="2" t="s">
        <v>14656</v>
      </c>
      <c r="N1643" s="3" t="s">
        <v>1368</v>
      </c>
      <c r="O1643" s="2" t="s">
        <v>14657</v>
      </c>
      <c r="P1643" s="3" t="s">
        <v>90</v>
      </c>
      <c r="R1643" s="3" t="s">
        <v>67</v>
      </c>
      <c r="S1643" s="4">
        <v>0</v>
      </c>
      <c r="T1643" s="4">
        <v>1</v>
      </c>
      <c r="V1643" s="5" t="s">
        <v>10804</v>
      </c>
      <c r="W1643" s="5" t="s">
        <v>69</v>
      </c>
      <c r="X1643" s="5" t="s">
        <v>69</v>
      </c>
      <c r="Y1643" s="4">
        <v>75</v>
      </c>
      <c r="Z1643" s="4">
        <v>3</v>
      </c>
      <c r="AA1643" s="4">
        <v>3</v>
      </c>
      <c r="AB1643" s="4">
        <v>1</v>
      </c>
      <c r="AC1643" s="4">
        <v>1</v>
      </c>
      <c r="AD1643" s="4">
        <v>49</v>
      </c>
      <c r="AE1643" s="4">
        <v>50</v>
      </c>
      <c r="AF1643" s="4">
        <v>0</v>
      </c>
      <c r="AG1643" s="4">
        <v>0</v>
      </c>
      <c r="AH1643" s="4">
        <v>48</v>
      </c>
      <c r="AI1643" s="4">
        <v>49</v>
      </c>
      <c r="AJ1643" s="4">
        <v>2</v>
      </c>
      <c r="AK1643" s="4">
        <v>2</v>
      </c>
      <c r="AL1643" s="4">
        <v>37</v>
      </c>
      <c r="AM1643" s="4">
        <v>37</v>
      </c>
      <c r="AN1643" s="4">
        <v>0</v>
      </c>
      <c r="AO1643" s="4">
        <v>0</v>
      </c>
      <c r="AP1643" s="4">
        <v>2</v>
      </c>
      <c r="AQ1643" s="4">
        <v>2</v>
      </c>
      <c r="AR1643" s="3" t="s">
        <v>63</v>
      </c>
      <c r="AS1643" s="3" t="s">
        <v>63</v>
      </c>
      <c r="AT1643" s="3" t="s">
        <v>63</v>
      </c>
      <c r="AU1643" s="6" t="str">
        <f>HYPERLINK("http://catalog.hathitrust.org/Record/007021809","HathiTrust Record")</f>
        <v>HathiTrust Record</v>
      </c>
      <c r="AV1643" s="6" t="str">
        <f>HYPERLINK("http://mcgill.on.worldcat.org/oclc/5232230","Catalog Record")</f>
        <v>Catalog Record</v>
      </c>
      <c r="AW1643" s="6" t="str">
        <f>HYPERLINK("http://www.worldcat.org/oclc/5232230","WorldCat Record")</f>
        <v>WorldCat Record</v>
      </c>
      <c r="AX1643" s="3" t="s">
        <v>14658</v>
      </c>
      <c r="AY1643" s="3" t="s">
        <v>14659</v>
      </c>
      <c r="AZ1643" s="3" t="s">
        <v>14660</v>
      </c>
      <c r="BA1643" s="3" t="s">
        <v>14660</v>
      </c>
      <c r="BB1643" s="3" t="s">
        <v>14671</v>
      </c>
      <c r="BC1643" s="3" t="s">
        <v>82</v>
      </c>
      <c r="BD1643" s="3" t="s">
        <v>70</v>
      </c>
      <c r="BF1643" s="3" t="s">
        <v>14671</v>
      </c>
      <c r="BG1643" s="3" t="s">
        <v>14672</v>
      </c>
    </row>
    <row r="1644" spans="1:59" ht="75" x14ac:dyDescent="0.25">
      <c r="A1644" s="2" t="s">
        <v>59</v>
      </c>
      <c r="B1644" s="2" t="s">
        <v>60</v>
      </c>
      <c r="C1644" s="2" t="s">
        <v>14653</v>
      </c>
      <c r="D1644" s="2" t="s">
        <v>14654</v>
      </c>
      <c r="E1644" s="2" t="s">
        <v>14655</v>
      </c>
      <c r="F1644" s="3" t="s">
        <v>14673</v>
      </c>
      <c r="G1644" s="3" t="s">
        <v>62</v>
      </c>
      <c r="I1644" s="3" t="s">
        <v>63</v>
      </c>
      <c r="J1644" s="3" t="s">
        <v>63</v>
      </c>
      <c r="K1644" s="3" t="s">
        <v>64</v>
      </c>
      <c r="L1644" s="2" t="s">
        <v>14646</v>
      </c>
      <c r="M1644" s="2" t="s">
        <v>14656</v>
      </c>
      <c r="N1644" s="3" t="s">
        <v>1368</v>
      </c>
      <c r="O1644" s="2" t="s">
        <v>14657</v>
      </c>
      <c r="P1644" s="3" t="s">
        <v>90</v>
      </c>
      <c r="R1644" s="3" t="s">
        <v>67</v>
      </c>
      <c r="S1644" s="4">
        <v>0</v>
      </c>
      <c r="T1644" s="4">
        <v>1</v>
      </c>
      <c r="V1644" s="5" t="s">
        <v>10804</v>
      </c>
      <c r="W1644" s="5" t="s">
        <v>69</v>
      </c>
      <c r="X1644" s="5" t="s">
        <v>69</v>
      </c>
      <c r="Y1644" s="4">
        <v>75</v>
      </c>
      <c r="Z1644" s="4">
        <v>3</v>
      </c>
      <c r="AA1644" s="4">
        <v>3</v>
      </c>
      <c r="AB1644" s="4">
        <v>1</v>
      </c>
      <c r="AC1644" s="4">
        <v>1</v>
      </c>
      <c r="AD1644" s="4">
        <v>49</v>
      </c>
      <c r="AE1644" s="4">
        <v>50</v>
      </c>
      <c r="AF1644" s="4">
        <v>0</v>
      </c>
      <c r="AG1644" s="4">
        <v>0</v>
      </c>
      <c r="AH1644" s="4">
        <v>48</v>
      </c>
      <c r="AI1644" s="4">
        <v>49</v>
      </c>
      <c r="AJ1644" s="4">
        <v>2</v>
      </c>
      <c r="AK1644" s="4">
        <v>2</v>
      </c>
      <c r="AL1644" s="4">
        <v>37</v>
      </c>
      <c r="AM1644" s="4">
        <v>37</v>
      </c>
      <c r="AN1644" s="4">
        <v>0</v>
      </c>
      <c r="AO1644" s="4">
        <v>0</v>
      </c>
      <c r="AP1644" s="4">
        <v>2</v>
      </c>
      <c r="AQ1644" s="4">
        <v>2</v>
      </c>
      <c r="AR1644" s="3" t="s">
        <v>63</v>
      </c>
      <c r="AS1644" s="3" t="s">
        <v>63</v>
      </c>
      <c r="AT1644" s="3" t="s">
        <v>63</v>
      </c>
      <c r="AU1644" s="6" t="str">
        <f>HYPERLINK("http://catalog.hathitrust.org/Record/007021809","HathiTrust Record")</f>
        <v>HathiTrust Record</v>
      </c>
      <c r="AV1644" s="6" t="str">
        <f>HYPERLINK("http://mcgill.on.worldcat.org/oclc/5232230","Catalog Record")</f>
        <v>Catalog Record</v>
      </c>
      <c r="AW1644" s="6" t="str">
        <f>HYPERLINK("http://www.worldcat.org/oclc/5232230","WorldCat Record")</f>
        <v>WorldCat Record</v>
      </c>
      <c r="AX1644" s="3" t="s">
        <v>14658</v>
      </c>
      <c r="AY1644" s="3" t="s">
        <v>14659</v>
      </c>
      <c r="AZ1644" s="3" t="s">
        <v>14660</v>
      </c>
      <c r="BA1644" s="3" t="s">
        <v>14660</v>
      </c>
      <c r="BB1644" s="3" t="s">
        <v>14674</v>
      </c>
      <c r="BC1644" s="3" t="s">
        <v>82</v>
      </c>
      <c r="BD1644" s="3" t="s">
        <v>70</v>
      </c>
      <c r="BF1644" s="3" t="s">
        <v>14674</v>
      </c>
      <c r="BG1644" s="3" t="s">
        <v>14675</v>
      </c>
    </row>
    <row r="1645" spans="1:59" ht="75" x14ac:dyDescent="0.25">
      <c r="A1645" s="2" t="s">
        <v>59</v>
      </c>
      <c r="B1645" s="2" t="s">
        <v>60</v>
      </c>
      <c r="C1645" s="2" t="s">
        <v>14653</v>
      </c>
      <c r="D1645" s="2" t="s">
        <v>14654</v>
      </c>
      <c r="E1645" s="2" t="s">
        <v>14655</v>
      </c>
      <c r="F1645" s="3" t="s">
        <v>14676</v>
      </c>
      <c r="G1645" s="3" t="s">
        <v>62</v>
      </c>
      <c r="I1645" s="3" t="s">
        <v>63</v>
      </c>
      <c r="J1645" s="3" t="s">
        <v>63</v>
      </c>
      <c r="K1645" s="3" t="s">
        <v>64</v>
      </c>
      <c r="L1645" s="2" t="s">
        <v>14646</v>
      </c>
      <c r="M1645" s="2" t="s">
        <v>14656</v>
      </c>
      <c r="N1645" s="3" t="s">
        <v>1368</v>
      </c>
      <c r="O1645" s="2" t="s">
        <v>14657</v>
      </c>
      <c r="P1645" s="3" t="s">
        <v>90</v>
      </c>
      <c r="R1645" s="3" t="s">
        <v>67</v>
      </c>
      <c r="S1645" s="4">
        <v>0</v>
      </c>
      <c r="T1645" s="4">
        <v>1</v>
      </c>
      <c r="V1645" s="5" t="s">
        <v>10804</v>
      </c>
      <c r="W1645" s="5" t="s">
        <v>69</v>
      </c>
      <c r="X1645" s="5" t="s">
        <v>69</v>
      </c>
      <c r="Y1645" s="4">
        <v>75</v>
      </c>
      <c r="Z1645" s="4">
        <v>3</v>
      </c>
      <c r="AA1645" s="4">
        <v>3</v>
      </c>
      <c r="AB1645" s="4">
        <v>1</v>
      </c>
      <c r="AC1645" s="4">
        <v>1</v>
      </c>
      <c r="AD1645" s="4">
        <v>49</v>
      </c>
      <c r="AE1645" s="4">
        <v>50</v>
      </c>
      <c r="AF1645" s="4">
        <v>0</v>
      </c>
      <c r="AG1645" s="4">
        <v>0</v>
      </c>
      <c r="AH1645" s="4">
        <v>48</v>
      </c>
      <c r="AI1645" s="4">
        <v>49</v>
      </c>
      <c r="AJ1645" s="4">
        <v>2</v>
      </c>
      <c r="AK1645" s="4">
        <v>2</v>
      </c>
      <c r="AL1645" s="4">
        <v>37</v>
      </c>
      <c r="AM1645" s="4">
        <v>37</v>
      </c>
      <c r="AN1645" s="4">
        <v>0</v>
      </c>
      <c r="AO1645" s="4">
        <v>0</v>
      </c>
      <c r="AP1645" s="4">
        <v>2</v>
      </c>
      <c r="AQ1645" s="4">
        <v>2</v>
      </c>
      <c r="AR1645" s="3" t="s">
        <v>63</v>
      </c>
      <c r="AS1645" s="3" t="s">
        <v>63</v>
      </c>
      <c r="AT1645" s="3" t="s">
        <v>63</v>
      </c>
      <c r="AU1645" s="6" t="str">
        <f>HYPERLINK("http://catalog.hathitrust.org/Record/007021809","HathiTrust Record")</f>
        <v>HathiTrust Record</v>
      </c>
      <c r="AV1645" s="6" t="str">
        <f>HYPERLINK("http://mcgill.on.worldcat.org/oclc/5232230","Catalog Record")</f>
        <v>Catalog Record</v>
      </c>
      <c r="AW1645" s="6" t="str">
        <f>HYPERLINK("http://www.worldcat.org/oclc/5232230","WorldCat Record")</f>
        <v>WorldCat Record</v>
      </c>
      <c r="AX1645" s="3" t="s">
        <v>14658</v>
      </c>
      <c r="AY1645" s="3" t="s">
        <v>14659</v>
      </c>
      <c r="AZ1645" s="3" t="s">
        <v>14660</v>
      </c>
      <c r="BA1645" s="3" t="s">
        <v>14660</v>
      </c>
      <c r="BB1645" s="3" t="s">
        <v>14677</v>
      </c>
      <c r="BC1645" s="3" t="s">
        <v>82</v>
      </c>
      <c r="BD1645" s="3" t="s">
        <v>70</v>
      </c>
      <c r="BF1645" s="3" t="s">
        <v>14677</v>
      </c>
      <c r="BG1645" s="3" t="s">
        <v>14678</v>
      </c>
    </row>
    <row r="1646" spans="1:59" ht="75" x14ac:dyDescent="0.25">
      <c r="A1646" s="2" t="s">
        <v>59</v>
      </c>
      <c r="B1646" s="2" t="s">
        <v>60</v>
      </c>
      <c r="C1646" s="2" t="s">
        <v>14653</v>
      </c>
      <c r="D1646" s="2" t="s">
        <v>14654</v>
      </c>
      <c r="E1646" s="2" t="s">
        <v>14655</v>
      </c>
      <c r="F1646" s="3" t="s">
        <v>5699</v>
      </c>
      <c r="G1646" s="3" t="s">
        <v>62</v>
      </c>
      <c r="I1646" s="3" t="s">
        <v>63</v>
      </c>
      <c r="J1646" s="3" t="s">
        <v>63</v>
      </c>
      <c r="K1646" s="3" t="s">
        <v>64</v>
      </c>
      <c r="L1646" s="2" t="s">
        <v>14646</v>
      </c>
      <c r="M1646" s="2" t="s">
        <v>14656</v>
      </c>
      <c r="N1646" s="3" t="s">
        <v>1368</v>
      </c>
      <c r="O1646" s="2" t="s">
        <v>14657</v>
      </c>
      <c r="P1646" s="3" t="s">
        <v>90</v>
      </c>
      <c r="R1646" s="3" t="s">
        <v>67</v>
      </c>
      <c r="S1646" s="4">
        <v>0</v>
      </c>
      <c r="T1646" s="4">
        <v>1</v>
      </c>
      <c r="V1646" s="5" t="s">
        <v>10804</v>
      </c>
      <c r="W1646" s="5" t="s">
        <v>69</v>
      </c>
      <c r="X1646" s="5" t="s">
        <v>69</v>
      </c>
      <c r="Y1646" s="4">
        <v>75</v>
      </c>
      <c r="Z1646" s="4">
        <v>3</v>
      </c>
      <c r="AA1646" s="4">
        <v>3</v>
      </c>
      <c r="AB1646" s="4">
        <v>1</v>
      </c>
      <c r="AC1646" s="4">
        <v>1</v>
      </c>
      <c r="AD1646" s="4">
        <v>49</v>
      </c>
      <c r="AE1646" s="4">
        <v>50</v>
      </c>
      <c r="AF1646" s="4">
        <v>0</v>
      </c>
      <c r="AG1646" s="4">
        <v>0</v>
      </c>
      <c r="AH1646" s="4">
        <v>48</v>
      </c>
      <c r="AI1646" s="4">
        <v>49</v>
      </c>
      <c r="AJ1646" s="4">
        <v>2</v>
      </c>
      <c r="AK1646" s="4">
        <v>2</v>
      </c>
      <c r="AL1646" s="4">
        <v>37</v>
      </c>
      <c r="AM1646" s="4">
        <v>37</v>
      </c>
      <c r="AN1646" s="4">
        <v>0</v>
      </c>
      <c r="AO1646" s="4">
        <v>0</v>
      </c>
      <c r="AP1646" s="4">
        <v>2</v>
      </c>
      <c r="AQ1646" s="4">
        <v>2</v>
      </c>
      <c r="AR1646" s="3" t="s">
        <v>63</v>
      </c>
      <c r="AS1646" s="3" t="s">
        <v>63</v>
      </c>
      <c r="AT1646" s="3" t="s">
        <v>63</v>
      </c>
      <c r="AU1646" s="6" t="str">
        <f>HYPERLINK("http://catalog.hathitrust.org/Record/007021809","HathiTrust Record")</f>
        <v>HathiTrust Record</v>
      </c>
      <c r="AV1646" s="6" t="str">
        <f>HYPERLINK("http://mcgill.on.worldcat.org/oclc/5232230","Catalog Record")</f>
        <v>Catalog Record</v>
      </c>
      <c r="AW1646" s="6" t="str">
        <f>HYPERLINK("http://www.worldcat.org/oclc/5232230","WorldCat Record")</f>
        <v>WorldCat Record</v>
      </c>
      <c r="AX1646" s="3" t="s">
        <v>14658</v>
      </c>
      <c r="AY1646" s="3" t="s">
        <v>14659</v>
      </c>
      <c r="AZ1646" s="3" t="s">
        <v>14660</v>
      </c>
      <c r="BA1646" s="3" t="s">
        <v>14660</v>
      </c>
      <c r="BB1646" s="3" t="s">
        <v>14679</v>
      </c>
      <c r="BC1646" s="3" t="s">
        <v>82</v>
      </c>
      <c r="BD1646" s="3" t="s">
        <v>70</v>
      </c>
      <c r="BF1646" s="3" t="s">
        <v>14679</v>
      </c>
      <c r="BG1646" s="3" t="s">
        <v>14680</v>
      </c>
    </row>
    <row r="1647" spans="1:59" ht="75" x14ac:dyDescent="0.25">
      <c r="A1647" s="2" t="s">
        <v>59</v>
      </c>
      <c r="B1647" s="2" t="s">
        <v>60</v>
      </c>
      <c r="C1647" s="2" t="s">
        <v>14653</v>
      </c>
      <c r="D1647" s="2" t="s">
        <v>14654</v>
      </c>
      <c r="E1647" s="2" t="s">
        <v>14655</v>
      </c>
      <c r="F1647" s="3" t="s">
        <v>5708</v>
      </c>
      <c r="G1647" s="3" t="s">
        <v>62</v>
      </c>
      <c r="I1647" s="3" t="s">
        <v>63</v>
      </c>
      <c r="J1647" s="3" t="s">
        <v>63</v>
      </c>
      <c r="K1647" s="3" t="s">
        <v>64</v>
      </c>
      <c r="L1647" s="2" t="s">
        <v>14646</v>
      </c>
      <c r="M1647" s="2" t="s">
        <v>14656</v>
      </c>
      <c r="N1647" s="3" t="s">
        <v>1368</v>
      </c>
      <c r="O1647" s="2" t="s">
        <v>14657</v>
      </c>
      <c r="P1647" s="3" t="s">
        <v>90</v>
      </c>
      <c r="R1647" s="3" t="s">
        <v>67</v>
      </c>
      <c r="S1647" s="4">
        <v>0</v>
      </c>
      <c r="T1647" s="4">
        <v>1</v>
      </c>
      <c r="V1647" s="5" t="s">
        <v>10804</v>
      </c>
      <c r="W1647" s="5" t="s">
        <v>69</v>
      </c>
      <c r="X1647" s="5" t="s">
        <v>69</v>
      </c>
      <c r="Y1647" s="4">
        <v>75</v>
      </c>
      <c r="Z1647" s="4">
        <v>3</v>
      </c>
      <c r="AA1647" s="4">
        <v>3</v>
      </c>
      <c r="AB1647" s="4">
        <v>1</v>
      </c>
      <c r="AC1647" s="4">
        <v>1</v>
      </c>
      <c r="AD1647" s="4">
        <v>49</v>
      </c>
      <c r="AE1647" s="4">
        <v>50</v>
      </c>
      <c r="AF1647" s="4">
        <v>0</v>
      </c>
      <c r="AG1647" s="4">
        <v>0</v>
      </c>
      <c r="AH1647" s="4">
        <v>48</v>
      </c>
      <c r="AI1647" s="4">
        <v>49</v>
      </c>
      <c r="AJ1647" s="4">
        <v>2</v>
      </c>
      <c r="AK1647" s="4">
        <v>2</v>
      </c>
      <c r="AL1647" s="4">
        <v>37</v>
      </c>
      <c r="AM1647" s="4">
        <v>37</v>
      </c>
      <c r="AN1647" s="4">
        <v>0</v>
      </c>
      <c r="AO1647" s="4">
        <v>0</v>
      </c>
      <c r="AP1647" s="4">
        <v>2</v>
      </c>
      <c r="AQ1647" s="4">
        <v>2</v>
      </c>
      <c r="AR1647" s="3" t="s">
        <v>63</v>
      </c>
      <c r="AS1647" s="3" t="s">
        <v>63</v>
      </c>
      <c r="AT1647" s="3" t="s">
        <v>63</v>
      </c>
      <c r="AU1647" s="6" t="str">
        <f>HYPERLINK("http://catalog.hathitrust.org/Record/007021809","HathiTrust Record")</f>
        <v>HathiTrust Record</v>
      </c>
      <c r="AV1647" s="6" t="str">
        <f>HYPERLINK("http://mcgill.on.worldcat.org/oclc/5232230","Catalog Record")</f>
        <v>Catalog Record</v>
      </c>
      <c r="AW1647" s="6" t="str">
        <f>HYPERLINK("http://www.worldcat.org/oclc/5232230","WorldCat Record")</f>
        <v>WorldCat Record</v>
      </c>
      <c r="AX1647" s="3" t="s">
        <v>14658</v>
      </c>
      <c r="AY1647" s="3" t="s">
        <v>14659</v>
      </c>
      <c r="AZ1647" s="3" t="s">
        <v>14660</v>
      </c>
      <c r="BA1647" s="3" t="s">
        <v>14660</v>
      </c>
      <c r="BB1647" s="3" t="s">
        <v>14681</v>
      </c>
      <c r="BC1647" s="3" t="s">
        <v>82</v>
      </c>
      <c r="BD1647" s="3" t="s">
        <v>70</v>
      </c>
      <c r="BF1647" s="3" t="s">
        <v>14681</v>
      </c>
      <c r="BG1647" s="3" t="s">
        <v>14682</v>
      </c>
    </row>
    <row r="1648" spans="1:59" ht="75" x14ac:dyDescent="0.25">
      <c r="A1648" s="2" t="s">
        <v>59</v>
      </c>
      <c r="B1648" s="2" t="s">
        <v>60</v>
      </c>
      <c r="C1648" s="2" t="s">
        <v>14653</v>
      </c>
      <c r="D1648" s="2" t="s">
        <v>14654</v>
      </c>
      <c r="E1648" s="2" t="s">
        <v>14655</v>
      </c>
      <c r="F1648" s="3" t="s">
        <v>5702</v>
      </c>
      <c r="G1648" s="3" t="s">
        <v>62</v>
      </c>
      <c r="I1648" s="3" t="s">
        <v>63</v>
      </c>
      <c r="J1648" s="3" t="s">
        <v>63</v>
      </c>
      <c r="K1648" s="3" t="s">
        <v>64</v>
      </c>
      <c r="L1648" s="2" t="s">
        <v>14646</v>
      </c>
      <c r="M1648" s="2" t="s">
        <v>14656</v>
      </c>
      <c r="N1648" s="3" t="s">
        <v>1368</v>
      </c>
      <c r="O1648" s="2" t="s">
        <v>14657</v>
      </c>
      <c r="P1648" s="3" t="s">
        <v>90</v>
      </c>
      <c r="R1648" s="3" t="s">
        <v>67</v>
      </c>
      <c r="S1648" s="4">
        <v>0</v>
      </c>
      <c r="T1648" s="4">
        <v>1</v>
      </c>
      <c r="V1648" s="5" t="s">
        <v>10804</v>
      </c>
      <c r="W1648" s="5" t="s">
        <v>69</v>
      </c>
      <c r="X1648" s="5" t="s">
        <v>69</v>
      </c>
      <c r="Y1648" s="4">
        <v>75</v>
      </c>
      <c r="Z1648" s="4">
        <v>3</v>
      </c>
      <c r="AA1648" s="4">
        <v>3</v>
      </c>
      <c r="AB1648" s="4">
        <v>1</v>
      </c>
      <c r="AC1648" s="4">
        <v>1</v>
      </c>
      <c r="AD1648" s="4">
        <v>49</v>
      </c>
      <c r="AE1648" s="4">
        <v>50</v>
      </c>
      <c r="AF1648" s="4">
        <v>0</v>
      </c>
      <c r="AG1648" s="4">
        <v>0</v>
      </c>
      <c r="AH1648" s="4">
        <v>48</v>
      </c>
      <c r="AI1648" s="4">
        <v>49</v>
      </c>
      <c r="AJ1648" s="4">
        <v>2</v>
      </c>
      <c r="AK1648" s="4">
        <v>2</v>
      </c>
      <c r="AL1648" s="4">
        <v>37</v>
      </c>
      <c r="AM1648" s="4">
        <v>37</v>
      </c>
      <c r="AN1648" s="4">
        <v>0</v>
      </c>
      <c r="AO1648" s="4">
        <v>0</v>
      </c>
      <c r="AP1648" s="4">
        <v>2</v>
      </c>
      <c r="AQ1648" s="4">
        <v>2</v>
      </c>
      <c r="AR1648" s="3" t="s">
        <v>63</v>
      </c>
      <c r="AS1648" s="3" t="s">
        <v>63</v>
      </c>
      <c r="AT1648" s="3" t="s">
        <v>63</v>
      </c>
      <c r="AU1648" s="6" t="str">
        <f>HYPERLINK("http://catalog.hathitrust.org/Record/007021809","HathiTrust Record")</f>
        <v>HathiTrust Record</v>
      </c>
      <c r="AV1648" s="6" t="str">
        <f>HYPERLINK("http://mcgill.on.worldcat.org/oclc/5232230","Catalog Record")</f>
        <v>Catalog Record</v>
      </c>
      <c r="AW1648" s="6" t="str">
        <f>HYPERLINK("http://www.worldcat.org/oclc/5232230","WorldCat Record")</f>
        <v>WorldCat Record</v>
      </c>
      <c r="AX1648" s="3" t="s">
        <v>14658</v>
      </c>
      <c r="AY1648" s="3" t="s">
        <v>14659</v>
      </c>
      <c r="AZ1648" s="3" t="s">
        <v>14660</v>
      </c>
      <c r="BA1648" s="3" t="s">
        <v>14660</v>
      </c>
      <c r="BB1648" s="3" t="s">
        <v>14683</v>
      </c>
      <c r="BC1648" s="3" t="s">
        <v>82</v>
      </c>
      <c r="BD1648" s="3" t="s">
        <v>70</v>
      </c>
      <c r="BF1648" s="3" t="s">
        <v>14683</v>
      </c>
      <c r="BG1648" s="3" t="s">
        <v>14684</v>
      </c>
    </row>
    <row r="1649" spans="1:59" ht="75" x14ac:dyDescent="0.25">
      <c r="A1649" s="2" t="s">
        <v>59</v>
      </c>
      <c r="B1649" s="2" t="s">
        <v>60</v>
      </c>
      <c r="C1649" s="2" t="s">
        <v>14653</v>
      </c>
      <c r="D1649" s="2" t="s">
        <v>14654</v>
      </c>
      <c r="E1649" s="2" t="s">
        <v>14655</v>
      </c>
      <c r="F1649" s="3" t="s">
        <v>14685</v>
      </c>
      <c r="G1649" s="3" t="s">
        <v>62</v>
      </c>
      <c r="I1649" s="3" t="s">
        <v>63</v>
      </c>
      <c r="J1649" s="3" t="s">
        <v>63</v>
      </c>
      <c r="K1649" s="3" t="s">
        <v>64</v>
      </c>
      <c r="L1649" s="2" t="s">
        <v>14646</v>
      </c>
      <c r="M1649" s="2" t="s">
        <v>14656</v>
      </c>
      <c r="N1649" s="3" t="s">
        <v>1368</v>
      </c>
      <c r="O1649" s="2" t="s">
        <v>14657</v>
      </c>
      <c r="P1649" s="3" t="s">
        <v>90</v>
      </c>
      <c r="R1649" s="3" t="s">
        <v>67</v>
      </c>
      <c r="S1649" s="4">
        <v>0</v>
      </c>
      <c r="T1649" s="4">
        <v>1</v>
      </c>
      <c r="V1649" s="5" t="s">
        <v>10804</v>
      </c>
      <c r="W1649" s="5" t="s">
        <v>69</v>
      </c>
      <c r="X1649" s="5" t="s">
        <v>69</v>
      </c>
      <c r="Y1649" s="4">
        <v>75</v>
      </c>
      <c r="Z1649" s="4">
        <v>3</v>
      </c>
      <c r="AA1649" s="4">
        <v>3</v>
      </c>
      <c r="AB1649" s="4">
        <v>1</v>
      </c>
      <c r="AC1649" s="4">
        <v>1</v>
      </c>
      <c r="AD1649" s="4">
        <v>49</v>
      </c>
      <c r="AE1649" s="4">
        <v>50</v>
      </c>
      <c r="AF1649" s="4">
        <v>0</v>
      </c>
      <c r="AG1649" s="4">
        <v>0</v>
      </c>
      <c r="AH1649" s="4">
        <v>48</v>
      </c>
      <c r="AI1649" s="4">
        <v>49</v>
      </c>
      <c r="AJ1649" s="4">
        <v>2</v>
      </c>
      <c r="AK1649" s="4">
        <v>2</v>
      </c>
      <c r="AL1649" s="4">
        <v>37</v>
      </c>
      <c r="AM1649" s="4">
        <v>37</v>
      </c>
      <c r="AN1649" s="4">
        <v>0</v>
      </c>
      <c r="AO1649" s="4">
        <v>0</v>
      </c>
      <c r="AP1649" s="4">
        <v>2</v>
      </c>
      <c r="AQ1649" s="4">
        <v>2</v>
      </c>
      <c r="AR1649" s="3" t="s">
        <v>63</v>
      </c>
      <c r="AS1649" s="3" t="s">
        <v>63</v>
      </c>
      <c r="AT1649" s="3" t="s">
        <v>63</v>
      </c>
      <c r="AU1649" s="6" t="str">
        <f>HYPERLINK("http://catalog.hathitrust.org/Record/007021809","HathiTrust Record")</f>
        <v>HathiTrust Record</v>
      </c>
      <c r="AV1649" s="6" t="str">
        <f>HYPERLINK("http://mcgill.on.worldcat.org/oclc/5232230","Catalog Record")</f>
        <v>Catalog Record</v>
      </c>
      <c r="AW1649" s="6" t="str">
        <f>HYPERLINK("http://www.worldcat.org/oclc/5232230","WorldCat Record")</f>
        <v>WorldCat Record</v>
      </c>
      <c r="AX1649" s="3" t="s">
        <v>14658</v>
      </c>
      <c r="AY1649" s="3" t="s">
        <v>14659</v>
      </c>
      <c r="AZ1649" s="3" t="s">
        <v>14660</v>
      </c>
      <c r="BA1649" s="3" t="s">
        <v>14660</v>
      </c>
      <c r="BB1649" s="3" t="s">
        <v>14686</v>
      </c>
      <c r="BC1649" s="3" t="s">
        <v>82</v>
      </c>
      <c r="BD1649" s="3" t="s">
        <v>70</v>
      </c>
      <c r="BF1649" s="3" t="s">
        <v>14686</v>
      </c>
      <c r="BG1649" s="3" t="s">
        <v>14687</v>
      </c>
    </row>
    <row r="1650" spans="1:59" ht="60" x14ac:dyDescent="0.25">
      <c r="A1650" s="2" t="s">
        <v>59</v>
      </c>
      <c r="B1650" s="2" t="s">
        <v>60</v>
      </c>
      <c r="C1650" s="2" t="s">
        <v>14643</v>
      </c>
      <c r="D1650" s="2" t="s">
        <v>14644</v>
      </c>
      <c r="E1650" s="2" t="s">
        <v>14645</v>
      </c>
      <c r="G1650" s="3" t="s">
        <v>63</v>
      </c>
      <c r="I1650" s="3" t="s">
        <v>63</v>
      </c>
      <c r="J1650" s="3" t="s">
        <v>63</v>
      </c>
      <c r="K1650" s="3" t="s">
        <v>64</v>
      </c>
      <c r="L1650" s="2" t="s">
        <v>14646</v>
      </c>
      <c r="M1650" s="2" t="s">
        <v>14647</v>
      </c>
      <c r="N1650" s="3" t="s">
        <v>1010</v>
      </c>
      <c r="P1650" s="3" t="s">
        <v>90</v>
      </c>
      <c r="R1650" s="3" t="s">
        <v>67</v>
      </c>
      <c r="S1650" s="4">
        <v>3</v>
      </c>
      <c r="T1650" s="4">
        <v>3</v>
      </c>
      <c r="U1650" s="5" t="s">
        <v>6320</v>
      </c>
      <c r="V1650" s="5" t="s">
        <v>6320</v>
      </c>
      <c r="W1650" s="5" t="s">
        <v>69</v>
      </c>
      <c r="X1650" s="5" t="s">
        <v>69</v>
      </c>
      <c r="Y1650" s="4">
        <v>1</v>
      </c>
      <c r="Z1650" s="4">
        <v>1</v>
      </c>
      <c r="AA1650" s="4">
        <v>7</v>
      </c>
      <c r="AB1650" s="4">
        <v>1</v>
      </c>
      <c r="AC1650" s="4">
        <v>1</v>
      </c>
      <c r="AD1650" s="4">
        <v>0</v>
      </c>
      <c r="AE1650" s="4">
        <v>53</v>
      </c>
      <c r="AF1650" s="4">
        <v>0</v>
      </c>
      <c r="AG1650" s="4">
        <v>0</v>
      </c>
      <c r="AH1650" s="4">
        <v>0</v>
      </c>
      <c r="AI1650" s="4">
        <v>50</v>
      </c>
      <c r="AJ1650" s="4">
        <v>0</v>
      </c>
      <c r="AK1650" s="4">
        <v>6</v>
      </c>
      <c r="AL1650" s="4">
        <v>0</v>
      </c>
      <c r="AM1650" s="4">
        <v>33</v>
      </c>
      <c r="AN1650" s="4">
        <v>0</v>
      </c>
      <c r="AO1650" s="4">
        <v>0</v>
      </c>
      <c r="AP1650" s="4">
        <v>0</v>
      </c>
      <c r="AQ1650" s="4">
        <v>6</v>
      </c>
      <c r="AR1650" s="3" t="s">
        <v>63</v>
      </c>
      <c r="AS1650" s="3" t="s">
        <v>63</v>
      </c>
      <c r="AT1650" s="3" t="s">
        <v>63</v>
      </c>
      <c r="AV1650" s="6" t="str">
        <f>HYPERLINK("http://mcgill.on.worldcat.org/oclc/427238877","Catalog Record")</f>
        <v>Catalog Record</v>
      </c>
      <c r="AW1650" s="6" t="str">
        <f>HYPERLINK("http://www.worldcat.org/oclc/427238877","WorldCat Record")</f>
        <v>WorldCat Record</v>
      </c>
      <c r="AX1650" s="3" t="s">
        <v>14648</v>
      </c>
      <c r="AY1650" s="3" t="s">
        <v>14649</v>
      </c>
      <c r="AZ1650" s="3" t="s">
        <v>14650</v>
      </c>
      <c r="BA1650" s="3" t="s">
        <v>14650</v>
      </c>
      <c r="BB1650" s="3" t="s">
        <v>14651</v>
      </c>
      <c r="BC1650" s="3" t="s">
        <v>82</v>
      </c>
      <c r="BD1650" s="3" t="s">
        <v>70</v>
      </c>
      <c r="BF1650" s="3" t="s">
        <v>14651</v>
      </c>
      <c r="BG1650" s="3" t="s">
        <v>14652</v>
      </c>
    </row>
    <row r="1651" spans="1:59" ht="60" x14ac:dyDescent="0.25">
      <c r="A1651" s="2" t="s">
        <v>59</v>
      </c>
      <c r="B1651" s="2" t="s">
        <v>60</v>
      </c>
      <c r="C1651" s="2" t="s">
        <v>14688</v>
      </c>
      <c r="D1651" s="2" t="s">
        <v>14689</v>
      </c>
      <c r="E1651" s="2" t="s">
        <v>14690</v>
      </c>
      <c r="G1651" s="3" t="s">
        <v>63</v>
      </c>
      <c r="I1651" s="3" t="s">
        <v>63</v>
      </c>
      <c r="J1651" s="3" t="s">
        <v>63</v>
      </c>
      <c r="K1651" s="3" t="s">
        <v>64</v>
      </c>
      <c r="L1651" s="2" t="s">
        <v>14691</v>
      </c>
      <c r="M1651" s="2" t="s">
        <v>14692</v>
      </c>
      <c r="N1651" s="3" t="s">
        <v>1296</v>
      </c>
      <c r="P1651" s="3" t="s">
        <v>90</v>
      </c>
      <c r="R1651" s="3" t="s">
        <v>67</v>
      </c>
      <c r="S1651" s="4">
        <v>2</v>
      </c>
      <c r="T1651" s="4">
        <v>2</v>
      </c>
      <c r="U1651" s="5" t="s">
        <v>14693</v>
      </c>
      <c r="V1651" s="5" t="s">
        <v>14693</v>
      </c>
      <c r="W1651" s="5" t="s">
        <v>69</v>
      </c>
      <c r="X1651" s="5" t="s">
        <v>69</v>
      </c>
      <c r="Y1651" s="4">
        <v>7</v>
      </c>
      <c r="Z1651" s="4">
        <v>2</v>
      </c>
      <c r="AA1651" s="4">
        <v>2</v>
      </c>
      <c r="AB1651" s="4">
        <v>1</v>
      </c>
      <c r="AC1651" s="4">
        <v>1</v>
      </c>
      <c r="AD1651" s="4">
        <v>5</v>
      </c>
      <c r="AE1651" s="4">
        <v>38</v>
      </c>
      <c r="AF1651" s="4">
        <v>0</v>
      </c>
      <c r="AG1651" s="4">
        <v>0</v>
      </c>
      <c r="AH1651" s="4">
        <v>4</v>
      </c>
      <c r="AI1651" s="4">
        <v>35</v>
      </c>
      <c r="AJ1651" s="4">
        <v>1</v>
      </c>
      <c r="AK1651" s="4">
        <v>1</v>
      </c>
      <c r="AL1651" s="4">
        <v>2</v>
      </c>
      <c r="AM1651" s="4">
        <v>27</v>
      </c>
      <c r="AN1651" s="4">
        <v>0</v>
      </c>
      <c r="AO1651" s="4">
        <v>0</v>
      </c>
      <c r="AP1651" s="4">
        <v>1</v>
      </c>
      <c r="AQ1651" s="4">
        <v>1</v>
      </c>
      <c r="AR1651" s="3" t="s">
        <v>63</v>
      </c>
      <c r="AS1651" s="3" t="s">
        <v>63</v>
      </c>
      <c r="AT1651" s="3" t="s">
        <v>63</v>
      </c>
      <c r="AV1651" s="6" t="str">
        <f>HYPERLINK("http://mcgill.on.worldcat.org/oclc/18423347","Catalog Record")</f>
        <v>Catalog Record</v>
      </c>
      <c r="AW1651" s="6" t="str">
        <f>HYPERLINK("http://www.worldcat.org/oclc/18423347","WorldCat Record")</f>
        <v>WorldCat Record</v>
      </c>
      <c r="AX1651" s="3" t="s">
        <v>14694</v>
      </c>
      <c r="AY1651" s="3" t="s">
        <v>14695</v>
      </c>
      <c r="AZ1651" s="3" t="s">
        <v>14696</v>
      </c>
      <c r="BA1651" s="3" t="s">
        <v>14696</v>
      </c>
      <c r="BB1651" s="3" t="s">
        <v>14697</v>
      </c>
      <c r="BC1651" s="3" t="s">
        <v>82</v>
      </c>
      <c r="BD1651" s="3" t="s">
        <v>70</v>
      </c>
      <c r="BF1651" s="3" t="s">
        <v>14697</v>
      </c>
      <c r="BG1651" s="3" t="s">
        <v>14698</v>
      </c>
    </row>
    <row r="1652" spans="1:59" ht="60" x14ac:dyDescent="0.25">
      <c r="A1652" s="2" t="s">
        <v>59</v>
      </c>
      <c r="B1652" s="2" t="s">
        <v>60</v>
      </c>
      <c r="C1652" s="2" t="s">
        <v>14699</v>
      </c>
      <c r="D1652" s="2" t="s">
        <v>14700</v>
      </c>
      <c r="E1652" s="2" t="s">
        <v>14701</v>
      </c>
      <c r="G1652" s="3" t="s">
        <v>63</v>
      </c>
      <c r="I1652" s="3" t="s">
        <v>63</v>
      </c>
      <c r="J1652" s="3" t="s">
        <v>63</v>
      </c>
      <c r="K1652" s="3" t="s">
        <v>64</v>
      </c>
      <c r="L1652" s="2" t="s">
        <v>14691</v>
      </c>
      <c r="M1652" s="2" t="s">
        <v>14702</v>
      </c>
      <c r="N1652" s="3" t="s">
        <v>455</v>
      </c>
      <c r="P1652" s="3" t="s">
        <v>66</v>
      </c>
      <c r="R1652" s="3" t="s">
        <v>67</v>
      </c>
      <c r="S1652" s="4">
        <v>14</v>
      </c>
      <c r="T1652" s="4">
        <v>14</v>
      </c>
      <c r="U1652" s="5" t="s">
        <v>10804</v>
      </c>
      <c r="V1652" s="5" t="s">
        <v>10804</v>
      </c>
      <c r="W1652" s="5" t="s">
        <v>69</v>
      </c>
      <c r="X1652" s="5" t="s">
        <v>69</v>
      </c>
      <c r="Y1652" s="4">
        <v>399</v>
      </c>
      <c r="Z1652" s="4">
        <v>23</v>
      </c>
      <c r="AA1652" s="4">
        <v>26</v>
      </c>
      <c r="AB1652" s="4">
        <v>1</v>
      </c>
      <c r="AC1652" s="4">
        <v>1</v>
      </c>
      <c r="AD1652" s="4">
        <v>108</v>
      </c>
      <c r="AE1652" s="4">
        <v>114</v>
      </c>
      <c r="AF1652" s="4">
        <v>0</v>
      </c>
      <c r="AG1652" s="4">
        <v>0</v>
      </c>
      <c r="AH1652" s="4">
        <v>99</v>
      </c>
      <c r="AI1652" s="4">
        <v>102</v>
      </c>
      <c r="AJ1652" s="4">
        <v>16</v>
      </c>
      <c r="AK1652" s="4">
        <v>17</v>
      </c>
      <c r="AL1652" s="4">
        <v>54</v>
      </c>
      <c r="AM1652" s="4">
        <v>55</v>
      </c>
      <c r="AN1652" s="4">
        <v>0</v>
      </c>
      <c r="AO1652" s="4">
        <v>0</v>
      </c>
      <c r="AP1652" s="4">
        <v>18</v>
      </c>
      <c r="AQ1652" s="4">
        <v>21</v>
      </c>
      <c r="AR1652" s="3" t="s">
        <v>63</v>
      </c>
      <c r="AS1652" s="3" t="s">
        <v>63</v>
      </c>
      <c r="AT1652" s="3" t="s">
        <v>62</v>
      </c>
      <c r="AU1652" s="6" t="str">
        <f>HYPERLINK("http://catalog.hathitrust.org/Record/000291489","HathiTrust Record")</f>
        <v>HathiTrust Record</v>
      </c>
      <c r="AV1652" s="6" t="str">
        <f>HYPERLINK("http://mcgill.on.worldcat.org/oclc/10696269","Catalog Record")</f>
        <v>Catalog Record</v>
      </c>
      <c r="AW1652" s="6" t="str">
        <f>HYPERLINK("http://www.worldcat.org/oclc/10696269","WorldCat Record")</f>
        <v>WorldCat Record</v>
      </c>
      <c r="AX1652" s="3" t="s">
        <v>14703</v>
      </c>
      <c r="AY1652" s="3" t="s">
        <v>14704</v>
      </c>
      <c r="AZ1652" s="3" t="s">
        <v>14705</v>
      </c>
      <c r="BA1652" s="3" t="s">
        <v>14705</v>
      </c>
      <c r="BB1652" s="3" t="s">
        <v>14706</v>
      </c>
      <c r="BC1652" s="3" t="s">
        <v>82</v>
      </c>
      <c r="BD1652" s="3" t="s">
        <v>70</v>
      </c>
      <c r="BE1652" s="3" t="s">
        <v>14707</v>
      </c>
      <c r="BF1652" s="3" t="s">
        <v>14706</v>
      </c>
      <c r="BG1652" s="3" t="s">
        <v>14708</v>
      </c>
    </row>
    <row r="1653" spans="1:59" ht="60" x14ac:dyDescent="0.25">
      <c r="A1653" s="2" t="s">
        <v>59</v>
      </c>
      <c r="B1653" s="2" t="s">
        <v>60</v>
      </c>
      <c r="C1653" s="2" t="s">
        <v>14709</v>
      </c>
      <c r="D1653" s="2" t="s">
        <v>14710</v>
      </c>
      <c r="E1653" s="2" t="s">
        <v>14711</v>
      </c>
      <c r="G1653" s="3" t="s">
        <v>62</v>
      </c>
      <c r="I1653" s="3" t="s">
        <v>63</v>
      </c>
      <c r="J1653" s="3" t="s">
        <v>63</v>
      </c>
      <c r="K1653" s="3" t="s">
        <v>64</v>
      </c>
      <c r="L1653" s="2" t="s">
        <v>14712</v>
      </c>
      <c r="M1653" s="2" t="s">
        <v>14713</v>
      </c>
      <c r="N1653" s="3" t="s">
        <v>885</v>
      </c>
      <c r="P1653" s="3" t="s">
        <v>548</v>
      </c>
      <c r="Q1653" s="2" t="s">
        <v>14714</v>
      </c>
      <c r="R1653" s="3" t="s">
        <v>67</v>
      </c>
      <c r="S1653" s="4">
        <v>7</v>
      </c>
      <c r="T1653" s="4">
        <v>7</v>
      </c>
      <c r="U1653" s="5" t="s">
        <v>178</v>
      </c>
      <c r="V1653" s="5" t="s">
        <v>178</v>
      </c>
      <c r="W1653" s="5" t="s">
        <v>69</v>
      </c>
      <c r="X1653" s="5" t="s">
        <v>69</v>
      </c>
      <c r="Y1653" s="4">
        <v>91</v>
      </c>
      <c r="Z1653" s="4">
        <v>5</v>
      </c>
      <c r="AA1653" s="4">
        <v>13</v>
      </c>
      <c r="AB1653" s="4">
        <v>1</v>
      </c>
      <c r="AC1653" s="4">
        <v>5</v>
      </c>
      <c r="AD1653" s="4">
        <v>48</v>
      </c>
      <c r="AE1653" s="4">
        <v>59</v>
      </c>
      <c r="AF1653" s="4">
        <v>0</v>
      </c>
      <c r="AG1653" s="4">
        <v>3</v>
      </c>
      <c r="AH1653" s="4">
        <v>45</v>
      </c>
      <c r="AI1653" s="4">
        <v>53</v>
      </c>
      <c r="AJ1653" s="4">
        <v>3</v>
      </c>
      <c r="AK1653" s="4">
        <v>8</v>
      </c>
      <c r="AL1653" s="4">
        <v>33</v>
      </c>
      <c r="AM1653" s="4">
        <v>37</v>
      </c>
      <c r="AN1653" s="4">
        <v>0</v>
      </c>
      <c r="AO1653" s="4">
        <v>0</v>
      </c>
      <c r="AP1653" s="4">
        <v>3</v>
      </c>
      <c r="AQ1653" s="4">
        <v>8</v>
      </c>
      <c r="AR1653" s="3" t="s">
        <v>63</v>
      </c>
      <c r="AS1653" s="3" t="s">
        <v>63</v>
      </c>
      <c r="AT1653" s="3" t="s">
        <v>62</v>
      </c>
      <c r="AU1653" s="6" t="str">
        <f>HYPERLINK("http://catalog.hathitrust.org/Record/001727063","HathiTrust Record")</f>
        <v>HathiTrust Record</v>
      </c>
      <c r="AV1653" s="6" t="str">
        <f>HYPERLINK("http://mcgill.on.worldcat.org/oclc/1402952","Catalog Record")</f>
        <v>Catalog Record</v>
      </c>
      <c r="AW1653" s="6" t="str">
        <f>HYPERLINK("http://www.worldcat.org/oclc/1402952","WorldCat Record")</f>
        <v>WorldCat Record</v>
      </c>
      <c r="AX1653" s="3" t="s">
        <v>14715</v>
      </c>
      <c r="AY1653" s="3" t="s">
        <v>14716</v>
      </c>
      <c r="AZ1653" s="3" t="s">
        <v>14717</v>
      </c>
      <c r="BA1653" s="3" t="s">
        <v>14717</v>
      </c>
      <c r="BB1653" s="3" t="s">
        <v>14718</v>
      </c>
      <c r="BC1653" s="3" t="s">
        <v>524</v>
      </c>
      <c r="BD1653" s="3" t="s">
        <v>70</v>
      </c>
      <c r="BF1653" s="3" t="s">
        <v>14718</v>
      </c>
      <c r="BG1653" s="3" t="s">
        <v>14719</v>
      </c>
    </row>
    <row r="1654" spans="1:59" ht="60" x14ac:dyDescent="0.25">
      <c r="A1654" s="2" t="s">
        <v>59</v>
      </c>
      <c r="B1654" s="2" t="s">
        <v>60</v>
      </c>
      <c r="C1654" s="2" t="s">
        <v>14720</v>
      </c>
      <c r="D1654" s="2" t="s">
        <v>14721</v>
      </c>
      <c r="E1654" s="2" t="s">
        <v>14722</v>
      </c>
      <c r="G1654" s="3" t="s">
        <v>63</v>
      </c>
      <c r="I1654" s="3" t="s">
        <v>63</v>
      </c>
      <c r="J1654" s="3" t="s">
        <v>63</v>
      </c>
      <c r="K1654" s="3" t="s">
        <v>64</v>
      </c>
      <c r="L1654" s="2" t="s">
        <v>14723</v>
      </c>
      <c r="M1654" s="2" t="s">
        <v>14724</v>
      </c>
      <c r="N1654" s="3" t="s">
        <v>1343</v>
      </c>
      <c r="P1654" s="3" t="s">
        <v>66</v>
      </c>
      <c r="R1654" s="3" t="s">
        <v>67</v>
      </c>
      <c r="S1654" s="4">
        <v>11</v>
      </c>
      <c r="T1654" s="4">
        <v>11</v>
      </c>
      <c r="U1654" s="5" t="s">
        <v>14725</v>
      </c>
      <c r="V1654" s="5" t="s">
        <v>14725</v>
      </c>
      <c r="W1654" s="5" t="s">
        <v>69</v>
      </c>
      <c r="X1654" s="5" t="s">
        <v>69</v>
      </c>
      <c r="Y1654" s="4">
        <v>266</v>
      </c>
      <c r="Z1654" s="4">
        <v>12</v>
      </c>
      <c r="AA1654" s="4">
        <v>12</v>
      </c>
      <c r="AB1654" s="4">
        <v>1</v>
      </c>
      <c r="AC1654" s="4">
        <v>1</v>
      </c>
      <c r="AD1654" s="4">
        <v>87</v>
      </c>
      <c r="AE1654" s="4">
        <v>87</v>
      </c>
      <c r="AF1654" s="4">
        <v>0</v>
      </c>
      <c r="AG1654" s="4">
        <v>0</v>
      </c>
      <c r="AH1654" s="4">
        <v>82</v>
      </c>
      <c r="AI1654" s="4">
        <v>82</v>
      </c>
      <c r="AJ1654" s="4">
        <v>7</v>
      </c>
      <c r="AK1654" s="4">
        <v>7</v>
      </c>
      <c r="AL1654" s="4">
        <v>48</v>
      </c>
      <c r="AM1654" s="4">
        <v>48</v>
      </c>
      <c r="AN1654" s="4">
        <v>0</v>
      </c>
      <c r="AO1654" s="4">
        <v>0</v>
      </c>
      <c r="AP1654" s="4">
        <v>7</v>
      </c>
      <c r="AQ1654" s="4">
        <v>7</v>
      </c>
      <c r="AR1654" s="3" t="s">
        <v>63</v>
      </c>
      <c r="AS1654" s="3" t="s">
        <v>63</v>
      </c>
      <c r="AT1654" s="3" t="s">
        <v>62</v>
      </c>
      <c r="AU1654" s="6" t="str">
        <f>HYPERLINK("http://catalog.hathitrust.org/Record/004071027","HathiTrust Record")</f>
        <v>HathiTrust Record</v>
      </c>
      <c r="AV1654" s="6" t="str">
        <f>HYPERLINK("http://mcgill.on.worldcat.org/oclc/42619703","Catalog Record")</f>
        <v>Catalog Record</v>
      </c>
      <c r="AW1654" s="6" t="str">
        <f>HYPERLINK("http://www.worldcat.org/oclc/42619703","WorldCat Record")</f>
        <v>WorldCat Record</v>
      </c>
      <c r="AX1654" s="3" t="s">
        <v>14726</v>
      </c>
      <c r="AY1654" s="3" t="s">
        <v>14727</v>
      </c>
      <c r="AZ1654" s="3" t="s">
        <v>14728</v>
      </c>
      <c r="BA1654" s="3" t="s">
        <v>14728</v>
      </c>
      <c r="BB1654" s="3" t="s">
        <v>14729</v>
      </c>
      <c r="BC1654" s="3" t="s">
        <v>82</v>
      </c>
      <c r="BD1654" s="3" t="s">
        <v>538</v>
      </c>
      <c r="BE1654" s="3" t="s">
        <v>14730</v>
      </c>
      <c r="BF1654" s="3" t="s">
        <v>14729</v>
      </c>
      <c r="BG1654" s="3" t="s">
        <v>14731</v>
      </c>
    </row>
    <row r="1655" spans="1:59" ht="60" x14ac:dyDescent="0.25">
      <c r="A1655" s="2" t="s">
        <v>59</v>
      </c>
      <c r="B1655" s="2" t="s">
        <v>60</v>
      </c>
      <c r="C1655" s="2" t="s">
        <v>14732</v>
      </c>
      <c r="D1655" s="2" t="s">
        <v>14733</v>
      </c>
      <c r="E1655" s="2" t="s">
        <v>14734</v>
      </c>
      <c r="G1655" s="3" t="s">
        <v>63</v>
      </c>
      <c r="I1655" s="3" t="s">
        <v>63</v>
      </c>
      <c r="J1655" s="3" t="s">
        <v>63</v>
      </c>
      <c r="K1655" s="3" t="s">
        <v>64</v>
      </c>
      <c r="L1655" s="2" t="s">
        <v>14735</v>
      </c>
      <c r="M1655" s="2" t="s">
        <v>14736</v>
      </c>
      <c r="N1655" s="3" t="s">
        <v>814</v>
      </c>
      <c r="P1655" s="3" t="s">
        <v>14737</v>
      </c>
      <c r="Q1655" s="2" t="s">
        <v>14738</v>
      </c>
      <c r="R1655" s="3" t="s">
        <v>67</v>
      </c>
      <c r="S1655" s="4">
        <v>1</v>
      </c>
      <c r="T1655" s="4">
        <v>1</v>
      </c>
      <c r="U1655" s="5" t="s">
        <v>178</v>
      </c>
      <c r="V1655" s="5" t="s">
        <v>178</v>
      </c>
      <c r="W1655" s="5" t="s">
        <v>69</v>
      </c>
      <c r="X1655" s="5" t="s">
        <v>69</v>
      </c>
      <c r="Y1655" s="4">
        <v>3</v>
      </c>
      <c r="Z1655" s="4">
        <v>1</v>
      </c>
      <c r="AA1655" s="4">
        <v>1</v>
      </c>
      <c r="AB1655" s="4">
        <v>1</v>
      </c>
      <c r="AC1655" s="4">
        <v>1</v>
      </c>
      <c r="AD1655" s="4">
        <v>1</v>
      </c>
      <c r="AE1655" s="4">
        <v>1</v>
      </c>
      <c r="AF1655" s="4">
        <v>0</v>
      </c>
      <c r="AG1655" s="4">
        <v>0</v>
      </c>
      <c r="AH1655" s="4">
        <v>1</v>
      </c>
      <c r="AI1655" s="4">
        <v>1</v>
      </c>
      <c r="AJ1655" s="4">
        <v>0</v>
      </c>
      <c r="AK1655" s="4">
        <v>0</v>
      </c>
      <c r="AL1655" s="4">
        <v>1</v>
      </c>
      <c r="AM1655" s="4">
        <v>1</v>
      </c>
      <c r="AN1655" s="4">
        <v>0</v>
      </c>
      <c r="AO1655" s="4">
        <v>0</v>
      </c>
      <c r="AP1655" s="4">
        <v>0</v>
      </c>
      <c r="AQ1655" s="4">
        <v>0</v>
      </c>
      <c r="AR1655" s="3" t="s">
        <v>63</v>
      </c>
      <c r="AS1655" s="3" t="s">
        <v>63</v>
      </c>
      <c r="AT1655" s="3" t="s">
        <v>63</v>
      </c>
      <c r="AV1655" s="6" t="str">
        <f>HYPERLINK("http://mcgill.on.worldcat.org/oclc/32973519","Catalog Record")</f>
        <v>Catalog Record</v>
      </c>
      <c r="AW1655" s="6" t="str">
        <f>HYPERLINK("http://www.worldcat.org/oclc/32973519","WorldCat Record")</f>
        <v>WorldCat Record</v>
      </c>
      <c r="AX1655" s="3" t="s">
        <v>14739</v>
      </c>
      <c r="AY1655" s="3" t="s">
        <v>14740</v>
      </c>
      <c r="AZ1655" s="3" t="s">
        <v>14741</v>
      </c>
      <c r="BA1655" s="3" t="s">
        <v>14741</v>
      </c>
      <c r="BB1655" s="3" t="s">
        <v>14742</v>
      </c>
      <c r="BC1655" s="3" t="s">
        <v>82</v>
      </c>
      <c r="BD1655" s="3" t="s">
        <v>70</v>
      </c>
      <c r="BF1655" s="3" t="s">
        <v>14742</v>
      </c>
      <c r="BG1655" s="3" t="s">
        <v>14743</v>
      </c>
    </row>
    <row r="1656" spans="1:59" ht="60" x14ac:dyDescent="0.25">
      <c r="A1656" s="2" t="s">
        <v>59</v>
      </c>
      <c r="B1656" s="2" t="s">
        <v>60</v>
      </c>
      <c r="C1656" s="2" t="s">
        <v>14744</v>
      </c>
      <c r="D1656" s="2" t="s">
        <v>14745</v>
      </c>
      <c r="E1656" s="2" t="s">
        <v>14746</v>
      </c>
      <c r="G1656" s="3" t="s">
        <v>63</v>
      </c>
      <c r="I1656" s="3" t="s">
        <v>63</v>
      </c>
      <c r="J1656" s="3" t="s">
        <v>63</v>
      </c>
      <c r="K1656" s="3" t="s">
        <v>64</v>
      </c>
      <c r="L1656" s="2" t="s">
        <v>14747</v>
      </c>
      <c r="M1656" s="2" t="s">
        <v>14748</v>
      </c>
      <c r="N1656" s="3" t="s">
        <v>2043</v>
      </c>
      <c r="P1656" s="3" t="s">
        <v>14737</v>
      </c>
      <c r="Q1656" s="2" t="s">
        <v>14749</v>
      </c>
      <c r="R1656" s="3" t="s">
        <v>67</v>
      </c>
      <c r="S1656" s="4">
        <v>2</v>
      </c>
      <c r="T1656" s="4">
        <v>2</v>
      </c>
      <c r="U1656" s="5" t="s">
        <v>178</v>
      </c>
      <c r="V1656" s="5" t="s">
        <v>178</v>
      </c>
      <c r="W1656" s="5" t="s">
        <v>69</v>
      </c>
      <c r="X1656" s="5" t="s">
        <v>69</v>
      </c>
      <c r="Y1656" s="4">
        <v>20</v>
      </c>
      <c r="Z1656" s="4">
        <v>4</v>
      </c>
      <c r="AA1656" s="4">
        <v>4</v>
      </c>
      <c r="AB1656" s="4">
        <v>1</v>
      </c>
      <c r="AC1656" s="4">
        <v>1</v>
      </c>
      <c r="AD1656" s="4">
        <v>12</v>
      </c>
      <c r="AE1656" s="4">
        <v>12</v>
      </c>
      <c r="AF1656" s="4">
        <v>0</v>
      </c>
      <c r="AG1656" s="4">
        <v>0</v>
      </c>
      <c r="AH1656" s="4">
        <v>12</v>
      </c>
      <c r="AI1656" s="4">
        <v>12</v>
      </c>
      <c r="AJ1656" s="4">
        <v>1</v>
      </c>
      <c r="AK1656" s="4">
        <v>1</v>
      </c>
      <c r="AL1656" s="4">
        <v>10</v>
      </c>
      <c r="AM1656" s="4">
        <v>10</v>
      </c>
      <c r="AN1656" s="4">
        <v>5</v>
      </c>
      <c r="AO1656" s="4">
        <v>5</v>
      </c>
      <c r="AP1656" s="4">
        <v>1</v>
      </c>
      <c r="AQ1656" s="4">
        <v>1</v>
      </c>
      <c r="AR1656" s="3" t="s">
        <v>63</v>
      </c>
      <c r="AS1656" s="3" t="s">
        <v>63</v>
      </c>
      <c r="AT1656" s="3" t="s">
        <v>62</v>
      </c>
      <c r="AU1656" s="6" t="str">
        <f>HYPERLINK("http://catalog.hathitrust.org/Record/102076936","HathiTrust Record")</f>
        <v>HathiTrust Record</v>
      </c>
      <c r="AV1656" s="6" t="str">
        <f>HYPERLINK("http://mcgill.on.worldcat.org/oclc/9217424","Catalog Record")</f>
        <v>Catalog Record</v>
      </c>
      <c r="AW1656" s="6" t="str">
        <f>HYPERLINK("http://www.worldcat.org/oclc/9217424","WorldCat Record")</f>
        <v>WorldCat Record</v>
      </c>
      <c r="AX1656" s="3" t="s">
        <v>14750</v>
      </c>
      <c r="AY1656" s="3" t="s">
        <v>14751</v>
      </c>
      <c r="AZ1656" s="3" t="s">
        <v>14752</v>
      </c>
      <c r="BA1656" s="3" t="s">
        <v>14752</v>
      </c>
      <c r="BB1656" s="3" t="s">
        <v>14753</v>
      </c>
      <c r="BC1656" s="3" t="s">
        <v>82</v>
      </c>
      <c r="BD1656" s="3" t="s">
        <v>70</v>
      </c>
      <c r="BF1656" s="3" t="s">
        <v>14753</v>
      </c>
      <c r="BG1656" s="3" t="s">
        <v>14754</v>
      </c>
    </row>
    <row r="1657" spans="1:59" ht="60" x14ac:dyDescent="0.25">
      <c r="A1657" s="2" t="s">
        <v>59</v>
      </c>
      <c r="B1657" s="2" t="s">
        <v>60</v>
      </c>
      <c r="C1657" s="2" t="s">
        <v>14755</v>
      </c>
      <c r="D1657" s="2" t="s">
        <v>14756</v>
      </c>
      <c r="E1657" s="2" t="s">
        <v>14757</v>
      </c>
      <c r="G1657" s="3" t="s">
        <v>63</v>
      </c>
      <c r="I1657" s="3" t="s">
        <v>63</v>
      </c>
      <c r="J1657" s="3" t="s">
        <v>63</v>
      </c>
      <c r="K1657" s="3" t="s">
        <v>64</v>
      </c>
      <c r="L1657" s="2" t="s">
        <v>14758</v>
      </c>
      <c r="M1657" s="2" t="s">
        <v>14759</v>
      </c>
      <c r="N1657" s="3" t="s">
        <v>401</v>
      </c>
      <c r="P1657" s="3" t="s">
        <v>442</v>
      </c>
      <c r="Q1657" s="2" t="s">
        <v>14760</v>
      </c>
      <c r="R1657" s="3" t="s">
        <v>67</v>
      </c>
      <c r="S1657" s="4">
        <v>1</v>
      </c>
      <c r="T1657" s="4">
        <v>1</v>
      </c>
      <c r="U1657" s="5" t="s">
        <v>178</v>
      </c>
      <c r="V1657" s="5" t="s">
        <v>178</v>
      </c>
      <c r="W1657" s="5" t="s">
        <v>69</v>
      </c>
      <c r="X1657" s="5" t="s">
        <v>69</v>
      </c>
      <c r="Y1657" s="4">
        <v>156</v>
      </c>
      <c r="Z1657" s="4">
        <v>13</v>
      </c>
      <c r="AA1657" s="4">
        <v>13</v>
      </c>
      <c r="AB1657" s="4">
        <v>1</v>
      </c>
      <c r="AC1657" s="4">
        <v>1</v>
      </c>
      <c r="AD1657" s="4">
        <v>66</v>
      </c>
      <c r="AE1657" s="4">
        <v>66</v>
      </c>
      <c r="AF1657" s="4">
        <v>0</v>
      </c>
      <c r="AG1657" s="4">
        <v>0</v>
      </c>
      <c r="AH1657" s="4">
        <v>57</v>
      </c>
      <c r="AI1657" s="4">
        <v>57</v>
      </c>
      <c r="AJ1657" s="4">
        <v>11</v>
      </c>
      <c r="AK1657" s="4">
        <v>11</v>
      </c>
      <c r="AL1657" s="4">
        <v>37</v>
      </c>
      <c r="AM1657" s="4">
        <v>37</v>
      </c>
      <c r="AN1657" s="4">
        <v>0</v>
      </c>
      <c r="AO1657" s="4">
        <v>0</v>
      </c>
      <c r="AP1657" s="4">
        <v>10</v>
      </c>
      <c r="AQ1657" s="4">
        <v>10</v>
      </c>
      <c r="AR1657" s="3" t="s">
        <v>63</v>
      </c>
      <c r="AS1657" s="3" t="s">
        <v>63</v>
      </c>
      <c r="AT1657" s="3" t="s">
        <v>62</v>
      </c>
      <c r="AU1657" s="6" t="str">
        <f>HYPERLINK("http://catalog.hathitrust.org/Record/001059561","HathiTrust Record")</f>
        <v>HathiTrust Record</v>
      </c>
      <c r="AV1657" s="6" t="str">
        <f>HYPERLINK("http://mcgill.on.worldcat.org/oclc/1726348","Catalog Record")</f>
        <v>Catalog Record</v>
      </c>
      <c r="AW1657" s="6" t="str">
        <f>HYPERLINK("http://www.worldcat.org/oclc/1726348","WorldCat Record")</f>
        <v>WorldCat Record</v>
      </c>
      <c r="AX1657" s="3" t="s">
        <v>14761</v>
      </c>
      <c r="AY1657" s="3" t="s">
        <v>14762</v>
      </c>
      <c r="AZ1657" s="3" t="s">
        <v>14763</v>
      </c>
      <c r="BA1657" s="3" t="s">
        <v>14763</v>
      </c>
      <c r="BB1657" s="3" t="s">
        <v>14764</v>
      </c>
      <c r="BC1657" s="3" t="s">
        <v>82</v>
      </c>
      <c r="BD1657" s="3" t="s">
        <v>70</v>
      </c>
      <c r="BF1657" s="3" t="s">
        <v>14764</v>
      </c>
      <c r="BG1657" s="3" t="s">
        <v>14765</v>
      </c>
    </row>
    <row r="1658" spans="1:59" ht="60" x14ac:dyDescent="0.25">
      <c r="A1658" s="2" t="s">
        <v>59</v>
      </c>
      <c r="B1658" s="2" t="s">
        <v>60</v>
      </c>
      <c r="C1658" s="2" t="s">
        <v>14766</v>
      </c>
      <c r="D1658" s="2" t="s">
        <v>14767</v>
      </c>
      <c r="E1658" s="2" t="s">
        <v>14768</v>
      </c>
      <c r="F1658" s="3" t="s">
        <v>61</v>
      </c>
      <c r="G1658" s="3" t="s">
        <v>62</v>
      </c>
      <c r="I1658" s="3" t="s">
        <v>63</v>
      </c>
      <c r="J1658" s="3" t="s">
        <v>63</v>
      </c>
      <c r="K1658" s="3" t="s">
        <v>64</v>
      </c>
      <c r="L1658" s="2" t="s">
        <v>14769</v>
      </c>
      <c r="M1658" s="2" t="s">
        <v>14770</v>
      </c>
      <c r="N1658" s="3" t="s">
        <v>2271</v>
      </c>
      <c r="P1658" s="3" t="s">
        <v>90</v>
      </c>
      <c r="R1658" s="3" t="s">
        <v>67</v>
      </c>
      <c r="S1658" s="4">
        <v>4</v>
      </c>
      <c r="T1658" s="4">
        <v>6</v>
      </c>
      <c r="U1658" s="5" t="s">
        <v>2907</v>
      </c>
      <c r="V1658" s="5" t="s">
        <v>2907</v>
      </c>
      <c r="W1658" s="5" t="s">
        <v>69</v>
      </c>
      <c r="X1658" s="5" t="s">
        <v>69</v>
      </c>
      <c r="Y1658" s="4">
        <v>3</v>
      </c>
      <c r="Z1658" s="4">
        <v>3</v>
      </c>
      <c r="AA1658" s="4">
        <v>3</v>
      </c>
      <c r="AB1658" s="4">
        <v>1</v>
      </c>
      <c r="AC1658" s="4">
        <v>1</v>
      </c>
      <c r="AD1658" s="4">
        <v>1</v>
      </c>
      <c r="AE1658" s="4">
        <v>1</v>
      </c>
      <c r="AF1658" s="4">
        <v>0</v>
      </c>
      <c r="AG1658" s="4">
        <v>0</v>
      </c>
      <c r="AH1658" s="4">
        <v>1</v>
      </c>
      <c r="AI1658" s="4">
        <v>1</v>
      </c>
      <c r="AJ1658" s="4">
        <v>1</v>
      </c>
      <c r="AK1658" s="4">
        <v>1</v>
      </c>
      <c r="AL1658" s="4">
        <v>1</v>
      </c>
      <c r="AM1658" s="4">
        <v>1</v>
      </c>
      <c r="AN1658" s="4">
        <v>0</v>
      </c>
      <c r="AO1658" s="4">
        <v>0</v>
      </c>
      <c r="AP1658" s="4">
        <v>1</v>
      </c>
      <c r="AQ1658" s="4">
        <v>1</v>
      </c>
      <c r="AR1658" s="3" t="s">
        <v>63</v>
      </c>
      <c r="AS1658" s="3" t="s">
        <v>63</v>
      </c>
      <c r="AT1658" s="3" t="s">
        <v>63</v>
      </c>
      <c r="AV1658" s="6" t="str">
        <f>HYPERLINK("http://mcgill.on.worldcat.org/oclc/427232661","Catalog Record")</f>
        <v>Catalog Record</v>
      </c>
      <c r="AW1658" s="6" t="str">
        <f>HYPERLINK("http://www.worldcat.org/oclc/427232661","WorldCat Record")</f>
        <v>WorldCat Record</v>
      </c>
      <c r="AX1658" s="3" t="s">
        <v>14771</v>
      </c>
      <c r="AY1658" s="3" t="s">
        <v>14772</v>
      </c>
      <c r="AZ1658" s="3" t="s">
        <v>14773</v>
      </c>
      <c r="BA1658" s="3" t="s">
        <v>14773</v>
      </c>
      <c r="BB1658" s="3" t="s">
        <v>14774</v>
      </c>
      <c r="BC1658" s="3" t="s">
        <v>82</v>
      </c>
      <c r="BD1658" s="3" t="s">
        <v>70</v>
      </c>
      <c r="BF1658" s="3" t="s">
        <v>14774</v>
      </c>
      <c r="BG1658" s="3" t="s">
        <v>14775</v>
      </c>
    </row>
    <row r="1659" spans="1:59" ht="60" x14ac:dyDescent="0.25">
      <c r="A1659" s="2" t="s">
        <v>59</v>
      </c>
      <c r="B1659" s="2" t="s">
        <v>60</v>
      </c>
      <c r="C1659" s="2" t="s">
        <v>14766</v>
      </c>
      <c r="D1659" s="2" t="s">
        <v>14767</v>
      </c>
      <c r="E1659" s="2" t="s">
        <v>14768</v>
      </c>
      <c r="F1659" s="3" t="s">
        <v>1095</v>
      </c>
      <c r="G1659" s="3" t="s">
        <v>62</v>
      </c>
      <c r="I1659" s="3" t="s">
        <v>63</v>
      </c>
      <c r="J1659" s="3" t="s">
        <v>63</v>
      </c>
      <c r="K1659" s="3" t="s">
        <v>64</v>
      </c>
      <c r="L1659" s="2" t="s">
        <v>14769</v>
      </c>
      <c r="M1659" s="2" t="s">
        <v>14770</v>
      </c>
      <c r="N1659" s="3" t="s">
        <v>2271</v>
      </c>
      <c r="P1659" s="3" t="s">
        <v>90</v>
      </c>
      <c r="R1659" s="3" t="s">
        <v>67</v>
      </c>
      <c r="S1659" s="4">
        <v>2</v>
      </c>
      <c r="T1659" s="4">
        <v>6</v>
      </c>
      <c r="U1659" s="5" t="s">
        <v>14776</v>
      </c>
      <c r="V1659" s="5" t="s">
        <v>2907</v>
      </c>
      <c r="W1659" s="5" t="s">
        <v>69</v>
      </c>
      <c r="X1659" s="5" t="s">
        <v>69</v>
      </c>
      <c r="Y1659" s="4">
        <v>3</v>
      </c>
      <c r="Z1659" s="4">
        <v>3</v>
      </c>
      <c r="AA1659" s="4">
        <v>3</v>
      </c>
      <c r="AB1659" s="4">
        <v>1</v>
      </c>
      <c r="AC1659" s="4">
        <v>1</v>
      </c>
      <c r="AD1659" s="4">
        <v>1</v>
      </c>
      <c r="AE1659" s="4">
        <v>1</v>
      </c>
      <c r="AF1659" s="4">
        <v>0</v>
      </c>
      <c r="AG1659" s="4">
        <v>0</v>
      </c>
      <c r="AH1659" s="4">
        <v>1</v>
      </c>
      <c r="AI1659" s="4">
        <v>1</v>
      </c>
      <c r="AJ1659" s="4">
        <v>1</v>
      </c>
      <c r="AK1659" s="4">
        <v>1</v>
      </c>
      <c r="AL1659" s="4">
        <v>1</v>
      </c>
      <c r="AM1659" s="4">
        <v>1</v>
      </c>
      <c r="AN1659" s="4">
        <v>0</v>
      </c>
      <c r="AO1659" s="4">
        <v>0</v>
      </c>
      <c r="AP1659" s="4">
        <v>1</v>
      </c>
      <c r="AQ1659" s="4">
        <v>1</v>
      </c>
      <c r="AR1659" s="3" t="s">
        <v>63</v>
      </c>
      <c r="AS1659" s="3" t="s">
        <v>63</v>
      </c>
      <c r="AT1659" s="3" t="s">
        <v>63</v>
      </c>
      <c r="AV1659" s="6" t="str">
        <f>HYPERLINK("http://mcgill.on.worldcat.org/oclc/427232661","Catalog Record")</f>
        <v>Catalog Record</v>
      </c>
      <c r="AW1659" s="6" t="str">
        <f>HYPERLINK("http://www.worldcat.org/oclc/427232661","WorldCat Record")</f>
        <v>WorldCat Record</v>
      </c>
      <c r="AX1659" s="3" t="s">
        <v>14771</v>
      </c>
      <c r="AY1659" s="3" t="s">
        <v>14772</v>
      </c>
      <c r="AZ1659" s="3" t="s">
        <v>14773</v>
      </c>
      <c r="BA1659" s="3" t="s">
        <v>14773</v>
      </c>
      <c r="BB1659" s="3" t="s">
        <v>14777</v>
      </c>
      <c r="BC1659" s="3" t="s">
        <v>82</v>
      </c>
      <c r="BD1659" s="3" t="s">
        <v>70</v>
      </c>
      <c r="BF1659" s="3" t="s">
        <v>14777</v>
      </c>
      <c r="BG1659" s="3" t="s">
        <v>14778</v>
      </c>
    </row>
    <row r="1660" spans="1:59" ht="60" x14ac:dyDescent="0.25">
      <c r="A1660" s="2" t="s">
        <v>59</v>
      </c>
      <c r="B1660" s="2" t="s">
        <v>60</v>
      </c>
      <c r="C1660" s="2" t="s">
        <v>14938</v>
      </c>
      <c r="D1660" s="2" t="s">
        <v>14939</v>
      </c>
      <c r="E1660" s="2" t="s">
        <v>14940</v>
      </c>
      <c r="F1660" s="3" t="s">
        <v>4437</v>
      </c>
      <c r="G1660" s="3" t="s">
        <v>62</v>
      </c>
      <c r="I1660" s="3" t="s">
        <v>63</v>
      </c>
      <c r="J1660" s="3" t="s">
        <v>63</v>
      </c>
      <c r="K1660" s="3" t="s">
        <v>64</v>
      </c>
      <c r="L1660" s="2" t="s">
        <v>14782</v>
      </c>
      <c r="M1660" s="2" t="s">
        <v>14941</v>
      </c>
      <c r="N1660" s="3" t="s">
        <v>2283</v>
      </c>
      <c r="P1660" s="3" t="s">
        <v>90</v>
      </c>
      <c r="R1660" s="3" t="s">
        <v>67</v>
      </c>
      <c r="S1660" s="4">
        <v>1</v>
      </c>
      <c r="T1660" s="4">
        <v>11</v>
      </c>
      <c r="U1660" s="5" t="s">
        <v>14942</v>
      </c>
      <c r="V1660" s="5" t="s">
        <v>14921</v>
      </c>
      <c r="W1660" s="5" t="s">
        <v>69</v>
      </c>
      <c r="X1660" s="5" t="s">
        <v>69</v>
      </c>
      <c r="Y1660" s="4">
        <v>62</v>
      </c>
      <c r="Z1660" s="4">
        <v>4</v>
      </c>
      <c r="AA1660" s="4">
        <v>7</v>
      </c>
      <c r="AB1660" s="4">
        <v>1</v>
      </c>
      <c r="AC1660" s="4">
        <v>1</v>
      </c>
      <c r="AD1660" s="4">
        <v>31</v>
      </c>
      <c r="AE1660" s="4">
        <v>61</v>
      </c>
      <c r="AF1660" s="4">
        <v>0</v>
      </c>
      <c r="AG1660" s="4">
        <v>0</v>
      </c>
      <c r="AH1660" s="4">
        <v>29</v>
      </c>
      <c r="AI1660" s="4">
        <v>56</v>
      </c>
      <c r="AJ1660" s="4">
        <v>2</v>
      </c>
      <c r="AK1660" s="4">
        <v>5</v>
      </c>
      <c r="AL1660" s="4">
        <v>20</v>
      </c>
      <c r="AM1660" s="4">
        <v>42</v>
      </c>
      <c r="AN1660" s="4">
        <v>0</v>
      </c>
      <c r="AO1660" s="4">
        <v>1</v>
      </c>
      <c r="AP1660" s="4">
        <v>2</v>
      </c>
      <c r="AQ1660" s="4">
        <v>5</v>
      </c>
      <c r="AR1660" s="3" t="s">
        <v>63</v>
      </c>
      <c r="AS1660" s="3" t="s">
        <v>63</v>
      </c>
      <c r="AT1660" s="3" t="s">
        <v>62</v>
      </c>
      <c r="AU1660" s="6" t="str">
        <f>HYPERLINK("http://catalog.hathitrust.org/Record/011810604","HathiTrust Record")</f>
        <v>HathiTrust Record</v>
      </c>
      <c r="AV1660" s="6" t="str">
        <f>HYPERLINK("http://mcgill.on.worldcat.org/oclc/3101151","Catalog Record")</f>
        <v>Catalog Record</v>
      </c>
      <c r="AW1660" s="6" t="str">
        <f>HYPERLINK("http://www.worldcat.org/oclc/3101151","WorldCat Record")</f>
        <v>WorldCat Record</v>
      </c>
      <c r="AX1660" s="3" t="s">
        <v>14943</v>
      </c>
      <c r="AY1660" s="3" t="s">
        <v>14944</v>
      </c>
      <c r="AZ1660" s="3" t="s">
        <v>14945</v>
      </c>
      <c r="BA1660" s="3" t="s">
        <v>14945</v>
      </c>
      <c r="BB1660" s="3" t="s">
        <v>14946</v>
      </c>
      <c r="BC1660" s="3" t="s">
        <v>82</v>
      </c>
      <c r="BD1660" s="3" t="s">
        <v>70</v>
      </c>
      <c r="BF1660" s="3" t="s">
        <v>14946</v>
      </c>
      <c r="BG1660" s="3" t="s">
        <v>14947</v>
      </c>
    </row>
    <row r="1661" spans="1:59" ht="60" x14ac:dyDescent="0.25">
      <c r="A1661" s="2" t="s">
        <v>59</v>
      </c>
      <c r="B1661" s="2" t="s">
        <v>60</v>
      </c>
      <c r="C1661" s="2" t="s">
        <v>14938</v>
      </c>
      <c r="D1661" s="2" t="s">
        <v>14939</v>
      </c>
      <c r="E1661" s="2" t="s">
        <v>14940</v>
      </c>
      <c r="F1661" s="3" t="s">
        <v>4439</v>
      </c>
      <c r="G1661" s="3" t="s">
        <v>62</v>
      </c>
      <c r="I1661" s="3" t="s">
        <v>63</v>
      </c>
      <c r="J1661" s="3" t="s">
        <v>63</v>
      </c>
      <c r="K1661" s="3" t="s">
        <v>64</v>
      </c>
      <c r="L1661" s="2" t="s">
        <v>14782</v>
      </c>
      <c r="M1661" s="2" t="s">
        <v>14941</v>
      </c>
      <c r="N1661" s="3" t="s">
        <v>2283</v>
      </c>
      <c r="P1661" s="3" t="s">
        <v>90</v>
      </c>
      <c r="R1661" s="3" t="s">
        <v>67</v>
      </c>
      <c r="S1661" s="4">
        <v>7</v>
      </c>
      <c r="T1661" s="4">
        <v>11</v>
      </c>
      <c r="U1661" s="5" t="s">
        <v>14921</v>
      </c>
      <c r="V1661" s="5" t="s">
        <v>14921</v>
      </c>
      <c r="W1661" s="5" t="s">
        <v>69</v>
      </c>
      <c r="X1661" s="5" t="s">
        <v>69</v>
      </c>
      <c r="Y1661" s="4">
        <v>62</v>
      </c>
      <c r="Z1661" s="4">
        <v>4</v>
      </c>
      <c r="AA1661" s="4">
        <v>7</v>
      </c>
      <c r="AB1661" s="4">
        <v>1</v>
      </c>
      <c r="AC1661" s="4">
        <v>1</v>
      </c>
      <c r="AD1661" s="4">
        <v>31</v>
      </c>
      <c r="AE1661" s="4">
        <v>61</v>
      </c>
      <c r="AF1661" s="4">
        <v>0</v>
      </c>
      <c r="AG1661" s="4">
        <v>0</v>
      </c>
      <c r="AH1661" s="4">
        <v>29</v>
      </c>
      <c r="AI1661" s="4">
        <v>56</v>
      </c>
      <c r="AJ1661" s="4">
        <v>2</v>
      </c>
      <c r="AK1661" s="4">
        <v>5</v>
      </c>
      <c r="AL1661" s="4">
        <v>20</v>
      </c>
      <c r="AM1661" s="4">
        <v>42</v>
      </c>
      <c r="AN1661" s="4">
        <v>0</v>
      </c>
      <c r="AO1661" s="4">
        <v>1</v>
      </c>
      <c r="AP1661" s="4">
        <v>2</v>
      </c>
      <c r="AQ1661" s="4">
        <v>5</v>
      </c>
      <c r="AR1661" s="3" t="s">
        <v>63</v>
      </c>
      <c r="AS1661" s="3" t="s">
        <v>63</v>
      </c>
      <c r="AT1661" s="3" t="s">
        <v>62</v>
      </c>
      <c r="AU1661" s="6" t="str">
        <f>HYPERLINK("http://catalog.hathitrust.org/Record/011810604","HathiTrust Record")</f>
        <v>HathiTrust Record</v>
      </c>
      <c r="AV1661" s="6" t="str">
        <f>HYPERLINK("http://mcgill.on.worldcat.org/oclc/3101151","Catalog Record")</f>
        <v>Catalog Record</v>
      </c>
      <c r="AW1661" s="6" t="str">
        <f>HYPERLINK("http://www.worldcat.org/oclc/3101151","WorldCat Record")</f>
        <v>WorldCat Record</v>
      </c>
      <c r="AX1661" s="3" t="s">
        <v>14943</v>
      </c>
      <c r="AY1661" s="3" t="s">
        <v>14944</v>
      </c>
      <c r="AZ1661" s="3" t="s">
        <v>14945</v>
      </c>
      <c r="BA1661" s="3" t="s">
        <v>14945</v>
      </c>
      <c r="BB1661" s="3" t="s">
        <v>14948</v>
      </c>
      <c r="BC1661" s="3" t="s">
        <v>82</v>
      </c>
      <c r="BD1661" s="3" t="s">
        <v>70</v>
      </c>
      <c r="BF1661" s="3" t="s">
        <v>14948</v>
      </c>
      <c r="BG1661" s="3" t="s">
        <v>14949</v>
      </c>
    </row>
    <row r="1662" spans="1:59" ht="60" x14ac:dyDescent="0.25">
      <c r="A1662" s="2" t="s">
        <v>59</v>
      </c>
      <c r="B1662" s="2" t="s">
        <v>60</v>
      </c>
      <c r="C1662" s="2" t="s">
        <v>14938</v>
      </c>
      <c r="D1662" s="2" t="s">
        <v>14939</v>
      </c>
      <c r="E1662" s="2" t="s">
        <v>14940</v>
      </c>
      <c r="F1662" s="3" t="s">
        <v>582</v>
      </c>
      <c r="G1662" s="3" t="s">
        <v>62</v>
      </c>
      <c r="I1662" s="3" t="s">
        <v>63</v>
      </c>
      <c r="J1662" s="3" t="s">
        <v>63</v>
      </c>
      <c r="K1662" s="3" t="s">
        <v>64</v>
      </c>
      <c r="L1662" s="2" t="s">
        <v>14782</v>
      </c>
      <c r="M1662" s="2" t="s">
        <v>14941</v>
      </c>
      <c r="N1662" s="3" t="s">
        <v>2283</v>
      </c>
      <c r="P1662" s="3" t="s">
        <v>90</v>
      </c>
      <c r="R1662" s="3" t="s">
        <v>67</v>
      </c>
      <c r="S1662" s="4">
        <v>2</v>
      </c>
      <c r="T1662" s="4">
        <v>11</v>
      </c>
      <c r="U1662" s="5" t="s">
        <v>14950</v>
      </c>
      <c r="V1662" s="5" t="s">
        <v>14921</v>
      </c>
      <c r="W1662" s="5" t="s">
        <v>69</v>
      </c>
      <c r="X1662" s="5" t="s">
        <v>69</v>
      </c>
      <c r="Y1662" s="4">
        <v>62</v>
      </c>
      <c r="Z1662" s="4">
        <v>4</v>
      </c>
      <c r="AA1662" s="4">
        <v>7</v>
      </c>
      <c r="AB1662" s="4">
        <v>1</v>
      </c>
      <c r="AC1662" s="4">
        <v>1</v>
      </c>
      <c r="AD1662" s="4">
        <v>31</v>
      </c>
      <c r="AE1662" s="4">
        <v>61</v>
      </c>
      <c r="AF1662" s="4">
        <v>0</v>
      </c>
      <c r="AG1662" s="4">
        <v>0</v>
      </c>
      <c r="AH1662" s="4">
        <v>29</v>
      </c>
      <c r="AI1662" s="4">
        <v>56</v>
      </c>
      <c r="AJ1662" s="4">
        <v>2</v>
      </c>
      <c r="AK1662" s="4">
        <v>5</v>
      </c>
      <c r="AL1662" s="4">
        <v>20</v>
      </c>
      <c r="AM1662" s="4">
        <v>42</v>
      </c>
      <c r="AN1662" s="4">
        <v>0</v>
      </c>
      <c r="AO1662" s="4">
        <v>1</v>
      </c>
      <c r="AP1662" s="4">
        <v>2</v>
      </c>
      <c r="AQ1662" s="4">
        <v>5</v>
      </c>
      <c r="AR1662" s="3" t="s">
        <v>63</v>
      </c>
      <c r="AS1662" s="3" t="s">
        <v>63</v>
      </c>
      <c r="AT1662" s="3" t="s">
        <v>62</v>
      </c>
      <c r="AU1662" s="6" t="str">
        <f>HYPERLINK("http://catalog.hathitrust.org/Record/011810604","HathiTrust Record")</f>
        <v>HathiTrust Record</v>
      </c>
      <c r="AV1662" s="6" t="str">
        <f>HYPERLINK("http://mcgill.on.worldcat.org/oclc/3101151","Catalog Record")</f>
        <v>Catalog Record</v>
      </c>
      <c r="AW1662" s="6" t="str">
        <f>HYPERLINK("http://www.worldcat.org/oclc/3101151","WorldCat Record")</f>
        <v>WorldCat Record</v>
      </c>
      <c r="AX1662" s="3" t="s">
        <v>14943</v>
      </c>
      <c r="AY1662" s="3" t="s">
        <v>14944</v>
      </c>
      <c r="AZ1662" s="3" t="s">
        <v>14945</v>
      </c>
      <c r="BA1662" s="3" t="s">
        <v>14945</v>
      </c>
      <c r="BB1662" s="3" t="s">
        <v>14951</v>
      </c>
      <c r="BC1662" s="3" t="s">
        <v>82</v>
      </c>
      <c r="BD1662" s="3" t="s">
        <v>70</v>
      </c>
      <c r="BF1662" s="3" t="s">
        <v>14951</v>
      </c>
      <c r="BG1662" s="3" t="s">
        <v>14952</v>
      </c>
    </row>
    <row r="1663" spans="1:59" ht="60" x14ac:dyDescent="0.25">
      <c r="A1663" s="2" t="s">
        <v>59</v>
      </c>
      <c r="B1663" s="2" t="s">
        <v>60</v>
      </c>
      <c r="C1663" s="2" t="s">
        <v>14938</v>
      </c>
      <c r="D1663" s="2" t="s">
        <v>14939</v>
      </c>
      <c r="E1663" s="2" t="s">
        <v>14940</v>
      </c>
      <c r="F1663" s="3" t="s">
        <v>571</v>
      </c>
      <c r="G1663" s="3" t="s">
        <v>62</v>
      </c>
      <c r="I1663" s="3" t="s">
        <v>63</v>
      </c>
      <c r="J1663" s="3" t="s">
        <v>63</v>
      </c>
      <c r="K1663" s="3" t="s">
        <v>64</v>
      </c>
      <c r="L1663" s="2" t="s">
        <v>14782</v>
      </c>
      <c r="M1663" s="2" t="s">
        <v>14941</v>
      </c>
      <c r="N1663" s="3" t="s">
        <v>2283</v>
      </c>
      <c r="P1663" s="3" t="s">
        <v>90</v>
      </c>
      <c r="R1663" s="3" t="s">
        <v>67</v>
      </c>
      <c r="S1663" s="4">
        <v>1</v>
      </c>
      <c r="T1663" s="4">
        <v>11</v>
      </c>
      <c r="U1663" s="5" t="s">
        <v>14953</v>
      </c>
      <c r="V1663" s="5" t="s">
        <v>14921</v>
      </c>
      <c r="W1663" s="5" t="s">
        <v>69</v>
      </c>
      <c r="X1663" s="5" t="s">
        <v>69</v>
      </c>
      <c r="Y1663" s="4">
        <v>62</v>
      </c>
      <c r="Z1663" s="4">
        <v>4</v>
      </c>
      <c r="AA1663" s="4">
        <v>7</v>
      </c>
      <c r="AB1663" s="4">
        <v>1</v>
      </c>
      <c r="AC1663" s="4">
        <v>1</v>
      </c>
      <c r="AD1663" s="4">
        <v>31</v>
      </c>
      <c r="AE1663" s="4">
        <v>61</v>
      </c>
      <c r="AF1663" s="4">
        <v>0</v>
      </c>
      <c r="AG1663" s="4">
        <v>0</v>
      </c>
      <c r="AH1663" s="4">
        <v>29</v>
      </c>
      <c r="AI1663" s="4">
        <v>56</v>
      </c>
      <c r="AJ1663" s="4">
        <v>2</v>
      </c>
      <c r="AK1663" s="4">
        <v>5</v>
      </c>
      <c r="AL1663" s="4">
        <v>20</v>
      </c>
      <c r="AM1663" s="4">
        <v>42</v>
      </c>
      <c r="AN1663" s="4">
        <v>0</v>
      </c>
      <c r="AO1663" s="4">
        <v>1</v>
      </c>
      <c r="AP1663" s="4">
        <v>2</v>
      </c>
      <c r="AQ1663" s="4">
        <v>5</v>
      </c>
      <c r="AR1663" s="3" t="s">
        <v>63</v>
      </c>
      <c r="AS1663" s="3" t="s">
        <v>63</v>
      </c>
      <c r="AT1663" s="3" t="s">
        <v>62</v>
      </c>
      <c r="AU1663" s="6" t="str">
        <f>HYPERLINK("http://catalog.hathitrust.org/Record/011810604","HathiTrust Record")</f>
        <v>HathiTrust Record</v>
      </c>
      <c r="AV1663" s="6" t="str">
        <f>HYPERLINK("http://mcgill.on.worldcat.org/oclc/3101151","Catalog Record")</f>
        <v>Catalog Record</v>
      </c>
      <c r="AW1663" s="6" t="str">
        <f>HYPERLINK("http://www.worldcat.org/oclc/3101151","WorldCat Record")</f>
        <v>WorldCat Record</v>
      </c>
      <c r="AX1663" s="3" t="s">
        <v>14943</v>
      </c>
      <c r="AY1663" s="3" t="s">
        <v>14944</v>
      </c>
      <c r="AZ1663" s="3" t="s">
        <v>14945</v>
      </c>
      <c r="BA1663" s="3" t="s">
        <v>14945</v>
      </c>
      <c r="BB1663" s="3" t="s">
        <v>14954</v>
      </c>
      <c r="BC1663" s="3" t="s">
        <v>82</v>
      </c>
      <c r="BD1663" s="3" t="s">
        <v>70</v>
      </c>
      <c r="BF1663" s="3" t="s">
        <v>14954</v>
      </c>
      <c r="BG1663" s="3" t="s">
        <v>14955</v>
      </c>
    </row>
    <row r="1664" spans="1:59" ht="60" x14ac:dyDescent="0.25">
      <c r="A1664" s="2" t="s">
        <v>59</v>
      </c>
      <c r="B1664" s="2" t="s">
        <v>60</v>
      </c>
      <c r="C1664" s="2" t="s">
        <v>14779</v>
      </c>
      <c r="D1664" s="2" t="s">
        <v>14780</v>
      </c>
      <c r="E1664" s="2" t="s">
        <v>14781</v>
      </c>
      <c r="G1664" s="3" t="s">
        <v>63</v>
      </c>
      <c r="I1664" s="3" t="s">
        <v>63</v>
      </c>
      <c r="J1664" s="3" t="s">
        <v>63</v>
      </c>
      <c r="K1664" s="3" t="s">
        <v>64</v>
      </c>
      <c r="L1664" s="2" t="s">
        <v>14782</v>
      </c>
      <c r="M1664" s="2" t="s">
        <v>14783</v>
      </c>
      <c r="N1664" s="3" t="s">
        <v>918</v>
      </c>
      <c r="O1664" s="2" t="s">
        <v>14784</v>
      </c>
      <c r="P1664" s="3" t="s">
        <v>66</v>
      </c>
      <c r="R1664" s="3" t="s">
        <v>67</v>
      </c>
      <c r="S1664" s="4">
        <v>22</v>
      </c>
      <c r="T1664" s="4">
        <v>22</v>
      </c>
      <c r="U1664" s="5" t="s">
        <v>14785</v>
      </c>
      <c r="V1664" s="5" t="s">
        <v>14785</v>
      </c>
      <c r="W1664" s="5" t="s">
        <v>69</v>
      </c>
      <c r="X1664" s="5" t="s">
        <v>69</v>
      </c>
      <c r="Y1664" s="4">
        <v>104</v>
      </c>
      <c r="Z1664" s="4">
        <v>5</v>
      </c>
      <c r="AA1664" s="4">
        <v>32</v>
      </c>
      <c r="AB1664" s="4">
        <v>1</v>
      </c>
      <c r="AC1664" s="4">
        <v>4</v>
      </c>
      <c r="AD1664" s="4">
        <v>16</v>
      </c>
      <c r="AE1664" s="4">
        <v>102</v>
      </c>
      <c r="AF1664" s="4">
        <v>0</v>
      </c>
      <c r="AG1664" s="4">
        <v>2</v>
      </c>
      <c r="AH1664" s="4">
        <v>13</v>
      </c>
      <c r="AI1664" s="4">
        <v>86</v>
      </c>
      <c r="AJ1664" s="4">
        <v>1</v>
      </c>
      <c r="AK1664" s="4">
        <v>16</v>
      </c>
      <c r="AL1664" s="4">
        <v>7</v>
      </c>
      <c r="AM1664" s="4">
        <v>51</v>
      </c>
      <c r="AN1664" s="4">
        <v>0</v>
      </c>
      <c r="AO1664" s="4">
        <v>0</v>
      </c>
      <c r="AP1664" s="4">
        <v>3</v>
      </c>
      <c r="AQ1664" s="4">
        <v>19</v>
      </c>
      <c r="AR1664" s="3" t="s">
        <v>63</v>
      </c>
      <c r="AS1664" s="3" t="s">
        <v>63</v>
      </c>
      <c r="AT1664" s="3" t="s">
        <v>62</v>
      </c>
      <c r="AU1664" s="6" t="str">
        <f>HYPERLINK("http://catalog.hathitrust.org/Record/001059781","HathiTrust Record")</f>
        <v>HathiTrust Record</v>
      </c>
      <c r="AV1664" s="6" t="str">
        <f>HYPERLINK("http://mcgill.on.worldcat.org/oclc/1702119","Catalog Record")</f>
        <v>Catalog Record</v>
      </c>
      <c r="AW1664" s="6" t="str">
        <f>HYPERLINK("http://www.worldcat.org/oclc/1702119","WorldCat Record")</f>
        <v>WorldCat Record</v>
      </c>
      <c r="AX1664" s="3" t="s">
        <v>14786</v>
      </c>
      <c r="AY1664" s="3" t="s">
        <v>14787</v>
      </c>
      <c r="AZ1664" s="3" t="s">
        <v>14788</v>
      </c>
      <c r="BA1664" s="3" t="s">
        <v>14788</v>
      </c>
      <c r="BB1664" s="3" t="s">
        <v>14789</v>
      </c>
      <c r="BC1664" s="3" t="s">
        <v>82</v>
      </c>
      <c r="BD1664" s="3" t="s">
        <v>70</v>
      </c>
      <c r="BF1664" s="3" t="s">
        <v>14789</v>
      </c>
      <c r="BG1664" s="3" t="s">
        <v>14790</v>
      </c>
    </row>
    <row r="1665" spans="1:59" ht="60" x14ac:dyDescent="0.25">
      <c r="A1665" s="2" t="s">
        <v>59</v>
      </c>
      <c r="B1665" s="2" t="s">
        <v>60</v>
      </c>
      <c r="C1665" s="2" t="s">
        <v>14791</v>
      </c>
      <c r="D1665" s="2" t="s">
        <v>14792</v>
      </c>
      <c r="E1665" s="2" t="s">
        <v>14793</v>
      </c>
      <c r="G1665" s="3" t="s">
        <v>63</v>
      </c>
      <c r="I1665" s="3" t="s">
        <v>63</v>
      </c>
      <c r="J1665" s="3" t="s">
        <v>63</v>
      </c>
      <c r="K1665" s="3" t="s">
        <v>64</v>
      </c>
      <c r="L1665" s="2" t="s">
        <v>14782</v>
      </c>
      <c r="M1665" s="2" t="s">
        <v>14794</v>
      </c>
      <c r="N1665" s="3" t="s">
        <v>2225</v>
      </c>
      <c r="P1665" s="3" t="s">
        <v>66</v>
      </c>
      <c r="Q1665" s="2" t="s">
        <v>14795</v>
      </c>
      <c r="R1665" s="3" t="s">
        <v>67</v>
      </c>
      <c r="S1665" s="4">
        <v>28</v>
      </c>
      <c r="T1665" s="4">
        <v>28</v>
      </c>
      <c r="U1665" s="5" t="s">
        <v>5995</v>
      </c>
      <c r="V1665" s="5" t="s">
        <v>5995</v>
      </c>
      <c r="W1665" s="5" t="s">
        <v>69</v>
      </c>
      <c r="X1665" s="5" t="s">
        <v>69</v>
      </c>
      <c r="Y1665" s="4">
        <v>447</v>
      </c>
      <c r="Z1665" s="4">
        <v>22</v>
      </c>
      <c r="AA1665" s="4">
        <v>22</v>
      </c>
      <c r="AB1665" s="4">
        <v>2</v>
      </c>
      <c r="AC1665" s="4">
        <v>2</v>
      </c>
      <c r="AD1665" s="4">
        <v>96</v>
      </c>
      <c r="AE1665" s="4">
        <v>97</v>
      </c>
      <c r="AF1665" s="4">
        <v>1</v>
      </c>
      <c r="AG1665" s="4">
        <v>1</v>
      </c>
      <c r="AH1665" s="4">
        <v>83</v>
      </c>
      <c r="AI1665" s="4">
        <v>84</v>
      </c>
      <c r="AJ1665" s="4">
        <v>14</v>
      </c>
      <c r="AK1665" s="4">
        <v>14</v>
      </c>
      <c r="AL1665" s="4">
        <v>48</v>
      </c>
      <c r="AM1665" s="4">
        <v>48</v>
      </c>
      <c r="AN1665" s="4">
        <v>0</v>
      </c>
      <c r="AO1665" s="4">
        <v>0</v>
      </c>
      <c r="AP1665" s="4">
        <v>15</v>
      </c>
      <c r="AQ1665" s="4">
        <v>15</v>
      </c>
      <c r="AR1665" s="3" t="s">
        <v>63</v>
      </c>
      <c r="AS1665" s="3" t="s">
        <v>63</v>
      </c>
      <c r="AT1665" s="3" t="s">
        <v>62</v>
      </c>
      <c r="AU1665" s="6" t="str">
        <f>HYPERLINK("http://catalog.hathitrust.org/Record/001059784","HathiTrust Record")</f>
        <v>HathiTrust Record</v>
      </c>
      <c r="AV1665" s="6" t="str">
        <f>HYPERLINK("http://mcgill.on.worldcat.org/oclc/261496","Catalog Record")</f>
        <v>Catalog Record</v>
      </c>
      <c r="AW1665" s="6" t="str">
        <f>HYPERLINK("http://www.worldcat.org/oclc/261496","WorldCat Record")</f>
        <v>WorldCat Record</v>
      </c>
      <c r="AX1665" s="3" t="s">
        <v>14796</v>
      </c>
      <c r="AY1665" s="3" t="s">
        <v>14797</v>
      </c>
      <c r="AZ1665" s="3" t="s">
        <v>14798</v>
      </c>
      <c r="BA1665" s="3" t="s">
        <v>14798</v>
      </c>
      <c r="BB1665" s="3" t="s">
        <v>14799</v>
      </c>
      <c r="BC1665" s="3" t="s">
        <v>82</v>
      </c>
      <c r="BD1665" s="3" t="s">
        <v>70</v>
      </c>
      <c r="BF1665" s="3" t="s">
        <v>14799</v>
      </c>
      <c r="BG1665" s="3" t="s">
        <v>14800</v>
      </c>
    </row>
    <row r="1666" spans="1:59" ht="60" x14ac:dyDescent="0.25">
      <c r="A1666" s="2" t="s">
        <v>59</v>
      </c>
      <c r="B1666" s="2" t="s">
        <v>60</v>
      </c>
      <c r="C1666" s="2" t="s">
        <v>14801</v>
      </c>
      <c r="D1666" s="2" t="s">
        <v>14802</v>
      </c>
      <c r="E1666" s="2" t="s">
        <v>14803</v>
      </c>
      <c r="G1666" s="3" t="s">
        <v>63</v>
      </c>
      <c r="I1666" s="3" t="s">
        <v>63</v>
      </c>
      <c r="J1666" s="3" t="s">
        <v>63</v>
      </c>
      <c r="K1666" s="3" t="s">
        <v>64</v>
      </c>
      <c r="L1666" s="2" t="s">
        <v>14782</v>
      </c>
      <c r="M1666" s="2" t="s">
        <v>14804</v>
      </c>
      <c r="N1666" s="3" t="s">
        <v>939</v>
      </c>
      <c r="P1666" s="3" t="s">
        <v>90</v>
      </c>
      <c r="R1666" s="3" t="s">
        <v>67</v>
      </c>
      <c r="S1666" s="4">
        <v>20</v>
      </c>
      <c r="T1666" s="4">
        <v>20</v>
      </c>
      <c r="U1666" s="5" t="s">
        <v>6320</v>
      </c>
      <c r="V1666" s="5" t="s">
        <v>6320</v>
      </c>
      <c r="W1666" s="5" t="s">
        <v>69</v>
      </c>
      <c r="X1666" s="5" t="s">
        <v>69</v>
      </c>
      <c r="Y1666" s="4">
        <v>15</v>
      </c>
      <c r="Z1666" s="4">
        <v>1</v>
      </c>
      <c r="AA1666" s="4">
        <v>10</v>
      </c>
      <c r="AB1666" s="4">
        <v>1</v>
      </c>
      <c r="AC1666" s="4">
        <v>1</v>
      </c>
      <c r="AD1666" s="4">
        <v>8</v>
      </c>
      <c r="AE1666" s="4">
        <v>73</v>
      </c>
      <c r="AF1666" s="4">
        <v>0</v>
      </c>
      <c r="AG1666" s="4">
        <v>0</v>
      </c>
      <c r="AH1666" s="4">
        <v>8</v>
      </c>
      <c r="AI1666" s="4">
        <v>69</v>
      </c>
      <c r="AJ1666" s="4">
        <v>0</v>
      </c>
      <c r="AK1666" s="4">
        <v>7</v>
      </c>
      <c r="AL1666" s="4">
        <v>4</v>
      </c>
      <c r="AM1666" s="4">
        <v>42</v>
      </c>
      <c r="AN1666" s="4">
        <v>0</v>
      </c>
      <c r="AO1666" s="4">
        <v>0</v>
      </c>
      <c r="AP1666" s="4">
        <v>0</v>
      </c>
      <c r="AQ1666" s="4">
        <v>7</v>
      </c>
      <c r="AR1666" s="3" t="s">
        <v>63</v>
      </c>
      <c r="AS1666" s="3" t="s">
        <v>63</v>
      </c>
      <c r="AT1666" s="3" t="s">
        <v>62</v>
      </c>
      <c r="AU1666" s="6" t="str">
        <f>HYPERLINK("http://catalog.hathitrust.org/Record/007118172","HathiTrust Record")</f>
        <v>HathiTrust Record</v>
      </c>
      <c r="AV1666" s="6" t="str">
        <f>HYPERLINK("http://mcgill.on.worldcat.org/oclc/22635565","Catalog Record")</f>
        <v>Catalog Record</v>
      </c>
      <c r="AW1666" s="6" t="str">
        <f>HYPERLINK("http://www.worldcat.org/oclc/22635565","WorldCat Record")</f>
        <v>WorldCat Record</v>
      </c>
      <c r="AX1666" s="3" t="s">
        <v>14805</v>
      </c>
      <c r="AY1666" s="3" t="s">
        <v>14806</v>
      </c>
      <c r="AZ1666" s="3" t="s">
        <v>14807</v>
      </c>
      <c r="BA1666" s="3" t="s">
        <v>14807</v>
      </c>
      <c r="BB1666" s="3" t="s">
        <v>14808</v>
      </c>
      <c r="BC1666" s="3" t="s">
        <v>82</v>
      </c>
      <c r="BD1666" s="3" t="s">
        <v>70</v>
      </c>
      <c r="BF1666" s="3" t="s">
        <v>14808</v>
      </c>
      <c r="BG1666" s="3" t="s">
        <v>14809</v>
      </c>
    </row>
    <row r="1667" spans="1:59" ht="60" x14ac:dyDescent="0.25">
      <c r="A1667" s="2" t="s">
        <v>59</v>
      </c>
      <c r="B1667" s="2" t="s">
        <v>60</v>
      </c>
      <c r="C1667" s="2" t="s">
        <v>14810</v>
      </c>
      <c r="D1667" s="2" t="s">
        <v>14811</v>
      </c>
      <c r="E1667" s="2" t="s">
        <v>14812</v>
      </c>
      <c r="F1667" s="3" t="s">
        <v>3647</v>
      </c>
      <c r="G1667" s="3" t="s">
        <v>62</v>
      </c>
      <c r="I1667" s="3" t="s">
        <v>62</v>
      </c>
      <c r="J1667" s="3" t="s">
        <v>63</v>
      </c>
      <c r="K1667" s="3" t="s">
        <v>64</v>
      </c>
      <c r="L1667" s="2" t="s">
        <v>14782</v>
      </c>
      <c r="M1667" s="2" t="s">
        <v>14813</v>
      </c>
      <c r="N1667" s="3" t="s">
        <v>2535</v>
      </c>
      <c r="P1667" s="3" t="s">
        <v>90</v>
      </c>
      <c r="R1667" s="3" t="s">
        <v>67</v>
      </c>
      <c r="S1667" s="4">
        <v>14</v>
      </c>
      <c r="T1667" s="4">
        <v>18</v>
      </c>
      <c r="U1667" s="5" t="s">
        <v>907</v>
      </c>
      <c r="V1667" s="5" t="s">
        <v>907</v>
      </c>
      <c r="W1667" s="5" t="s">
        <v>69</v>
      </c>
      <c r="X1667" s="5" t="s">
        <v>69</v>
      </c>
      <c r="Y1667" s="4">
        <v>2</v>
      </c>
      <c r="Z1667" s="4">
        <v>1</v>
      </c>
      <c r="AA1667" s="4">
        <v>10</v>
      </c>
      <c r="AB1667" s="4">
        <v>1</v>
      </c>
      <c r="AC1667" s="4">
        <v>1</v>
      </c>
      <c r="AD1667" s="4">
        <v>1</v>
      </c>
      <c r="AE1667" s="4">
        <v>27</v>
      </c>
      <c r="AF1667" s="4">
        <v>0</v>
      </c>
      <c r="AG1667" s="4">
        <v>0</v>
      </c>
      <c r="AH1667" s="4">
        <v>1</v>
      </c>
      <c r="AI1667" s="4">
        <v>23</v>
      </c>
      <c r="AJ1667" s="4">
        <v>0</v>
      </c>
      <c r="AK1667" s="4">
        <v>7</v>
      </c>
      <c r="AL1667" s="4">
        <v>1</v>
      </c>
      <c r="AM1667" s="4">
        <v>17</v>
      </c>
      <c r="AN1667" s="4">
        <v>0</v>
      </c>
      <c r="AO1667" s="4">
        <v>0</v>
      </c>
      <c r="AP1667" s="4">
        <v>0</v>
      </c>
      <c r="AQ1667" s="4">
        <v>6</v>
      </c>
      <c r="AR1667" s="3" t="s">
        <v>63</v>
      </c>
      <c r="AS1667" s="3" t="s">
        <v>63</v>
      </c>
      <c r="AT1667" s="3" t="s">
        <v>63</v>
      </c>
      <c r="AV1667" s="6" t="str">
        <f>HYPERLINK("http://mcgill.on.worldcat.org/oclc/427251880","Catalog Record")</f>
        <v>Catalog Record</v>
      </c>
      <c r="AW1667" s="6" t="str">
        <f>HYPERLINK("http://www.worldcat.org/oclc/427251880","WorldCat Record")</f>
        <v>WorldCat Record</v>
      </c>
      <c r="AX1667" s="3" t="s">
        <v>14814</v>
      </c>
      <c r="AY1667" s="3" t="s">
        <v>14815</v>
      </c>
      <c r="AZ1667" s="3" t="s">
        <v>14816</v>
      </c>
      <c r="BA1667" s="3" t="s">
        <v>14816</v>
      </c>
      <c r="BB1667" s="3" t="s">
        <v>14817</v>
      </c>
      <c r="BC1667" s="3" t="s">
        <v>82</v>
      </c>
      <c r="BD1667" s="3" t="s">
        <v>70</v>
      </c>
      <c r="BF1667" s="3" t="s">
        <v>14817</v>
      </c>
      <c r="BG1667" s="3" t="s">
        <v>14818</v>
      </c>
    </row>
    <row r="1668" spans="1:59" ht="60" x14ac:dyDescent="0.25">
      <c r="A1668" s="2" t="s">
        <v>59</v>
      </c>
      <c r="B1668" s="2" t="s">
        <v>60</v>
      </c>
      <c r="C1668" s="2" t="s">
        <v>14810</v>
      </c>
      <c r="D1668" s="2" t="s">
        <v>14811</v>
      </c>
      <c r="E1668" s="2" t="s">
        <v>14812</v>
      </c>
      <c r="F1668" s="3" t="s">
        <v>3653</v>
      </c>
      <c r="G1668" s="3" t="s">
        <v>62</v>
      </c>
      <c r="I1668" s="3" t="s">
        <v>62</v>
      </c>
      <c r="J1668" s="3" t="s">
        <v>63</v>
      </c>
      <c r="K1668" s="3" t="s">
        <v>64</v>
      </c>
      <c r="L1668" s="2" t="s">
        <v>14782</v>
      </c>
      <c r="M1668" s="2" t="s">
        <v>14813</v>
      </c>
      <c r="N1668" s="3" t="s">
        <v>2535</v>
      </c>
      <c r="P1668" s="3" t="s">
        <v>90</v>
      </c>
      <c r="R1668" s="3" t="s">
        <v>67</v>
      </c>
      <c r="S1668" s="4">
        <v>4</v>
      </c>
      <c r="T1668" s="4">
        <v>18</v>
      </c>
      <c r="U1668" s="5" t="s">
        <v>14819</v>
      </c>
      <c r="V1668" s="5" t="s">
        <v>907</v>
      </c>
      <c r="W1668" s="5" t="s">
        <v>69</v>
      </c>
      <c r="X1668" s="5" t="s">
        <v>69</v>
      </c>
      <c r="Y1668" s="4">
        <v>2</v>
      </c>
      <c r="Z1668" s="4">
        <v>1</v>
      </c>
      <c r="AA1668" s="4">
        <v>10</v>
      </c>
      <c r="AB1668" s="4">
        <v>1</v>
      </c>
      <c r="AC1668" s="4">
        <v>1</v>
      </c>
      <c r="AD1668" s="4">
        <v>1</v>
      </c>
      <c r="AE1668" s="4">
        <v>27</v>
      </c>
      <c r="AF1668" s="4">
        <v>0</v>
      </c>
      <c r="AG1668" s="4">
        <v>0</v>
      </c>
      <c r="AH1668" s="4">
        <v>1</v>
      </c>
      <c r="AI1668" s="4">
        <v>23</v>
      </c>
      <c r="AJ1668" s="4">
        <v>0</v>
      </c>
      <c r="AK1668" s="4">
        <v>7</v>
      </c>
      <c r="AL1668" s="4">
        <v>1</v>
      </c>
      <c r="AM1668" s="4">
        <v>17</v>
      </c>
      <c r="AN1668" s="4">
        <v>0</v>
      </c>
      <c r="AO1668" s="4">
        <v>0</v>
      </c>
      <c r="AP1668" s="4">
        <v>0</v>
      </c>
      <c r="AQ1668" s="4">
        <v>6</v>
      </c>
      <c r="AR1668" s="3" t="s">
        <v>63</v>
      </c>
      <c r="AS1668" s="3" t="s">
        <v>63</v>
      </c>
      <c r="AT1668" s="3" t="s">
        <v>63</v>
      </c>
      <c r="AV1668" s="6" t="str">
        <f>HYPERLINK("http://mcgill.on.worldcat.org/oclc/427251880","Catalog Record")</f>
        <v>Catalog Record</v>
      </c>
      <c r="AW1668" s="6" t="str">
        <f>HYPERLINK("http://www.worldcat.org/oclc/427251880","WorldCat Record")</f>
        <v>WorldCat Record</v>
      </c>
      <c r="AX1668" s="3" t="s">
        <v>14814</v>
      </c>
      <c r="AY1668" s="3" t="s">
        <v>14815</v>
      </c>
      <c r="AZ1668" s="3" t="s">
        <v>14816</v>
      </c>
      <c r="BA1668" s="3" t="s">
        <v>14816</v>
      </c>
      <c r="BB1668" s="3" t="s">
        <v>14820</v>
      </c>
      <c r="BC1668" s="3" t="s">
        <v>82</v>
      </c>
      <c r="BD1668" s="3" t="s">
        <v>70</v>
      </c>
      <c r="BF1668" s="3" t="s">
        <v>14820</v>
      </c>
      <c r="BG1668" s="3" t="s">
        <v>14821</v>
      </c>
    </row>
    <row r="1669" spans="1:59" ht="60" x14ac:dyDescent="0.25">
      <c r="A1669" s="2" t="s">
        <v>59</v>
      </c>
      <c r="B1669" s="2" t="s">
        <v>60</v>
      </c>
      <c r="C1669" s="2" t="s">
        <v>14822</v>
      </c>
      <c r="D1669" s="2" t="s">
        <v>14823</v>
      </c>
      <c r="E1669" s="2" t="s">
        <v>14824</v>
      </c>
      <c r="G1669" s="3" t="s">
        <v>63</v>
      </c>
      <c r="I1669" s="3" t="s">
        <v>62</v>
      </c>
      <c r="J1669" s="3" t="s">
        <v>62</v>
      </c>
      <c r="K1669" s="3" t="s">
        <v>64</v>
      </c>
      <c r="L1669" s="2" t="s">
        <v>14825</v>
      </c>
      <c r="M1669" s="2" t="s">
        <v>14826</v>
      </c>
      <c r="N1669" s="3" t="s">
        <v>2182</v>
      </c>
      <c r="O1669" s="2" t="s">
        <v>590</v>
      </c>
      <c r="P1669" s="3" t="s">
        <v>66</v>
      </c>
      <c r="Q1669" s="2" t="s">
        <v>14827</v>
      </c>
      <c r="R1669" s="3" t="s">
        <v>67</v>
      </c>
      <c r="S1669" s="4">
        <v>47</v>
      </c>
      <c r="T1669" s="4">
        <v>47</v>
      </c>
      <c r="U1669" s="5" t="s">
        <v>14104</v>
      </c>
      <c r="V1669" s="5" t="s">
        <v>14104</v>
      </c>
      <c r="W1669" s="5" t="s">
        <v>69</v>
      </c>
      <c r="X1669" s="5" t="s">
        <v>69</v>
      </c>
      <c r="Y1669" s="4">
        <v>527</v>
      </c>
      <c r="Z1669" s="4">
        <v>24</v>
      </c>
      <c r="AA1669" s="4">
        <v>144</v>
      </c>
      <c r="AB1669" s="4">
        <v>2</v>
      </c>
      <c r="AC1669" s="4">
        <v>20</v>
      </c>
      <c r="AD1669" s="4">
        <v>95</v>
      </c>
      <c r="AE1669" s="4">
        <v>160</v>
      </c>
      <c r="AF1669" s="4">
        <v>1</v>
      </c>
      <c r="AG1669" s="4">
        <v>8</v>
      </c>
      <c r="AH1669" s="4">
        <v>83</v>
      </c>
      <c r="AI1669" s="4">
        <v>114</v>
      </c>
      <c r="AJ1669" s="4">
        <v>12</v>
      </c>
      <c r="AK1669" s="4">
        <v>28</v>
      </c>
      <c r="AL1669" s="4">
        <v>49</v>
      </c>
      <c r="AM1669" s="4">
        <v>63</v>
      </c>
      <c r="AN1669" s="4">
        <v>0</v>
      </c>
      <c r="AO1669" s="4">
        <v>2</v>
      </c>
      <c r="AP1669" s="4">
        <v>14</v>
      </c>
      <c r="AQ1669" s="4">
        <v>50</v>
      </c>
      <c r="AR1669" s="3" t="s">
        <v>63</v>
      </c>
      <c r="AS1669" s="3" t="s">
        <v>63</v>
      </c>
      <c r="AT1669" s="3" t="s">
        <v>63</v>
      </c>
      <c r="AV1669" s="6" t="str">
        <f>HYPERLINK("http://mcgill.on.worldcat.org/oclc/958337","Catalog Record")</f>
        <v>Catalog Record</v>
      </c>
      <c r="AW1669" s="6" t="str">
        <f>HYPERLINK("http://www.worldcat.org/oclc/958337","WorldCat Record")</f>
        <v>WorldCat Record</v>
      </c>
      <c r="AX1669" s="3" t="s">
        <v>14828</v>
      </c>
      <c r="AY1669" s="3" t="s">
        <v>14829</v>
      </c>
      <c r="AZ1669" s="3" t="s">
        <v>14830</v>
      </c>
      <c r="BA1669" s="3" t="s">
        <v>14830</v>
      </c>
      <c r="BB1669" s="3" t="s">
        <v>14831</v>
      </c>
      <c r="BC1669" s="3" t="s">
        <v>82</v>
      </c>
      <c r="BD1669" s="3" t="s">
        <v>1611</v>
      </c>
      <c r="BF1669" s="3" t="s">
        <v>14831</v>
      </c>
      <c r="BG1669" s="3" t="s">
        <v>14832</v>
      </c>
    </row>
    <row r="1670" spans="1:59" ht="60" x14ac:dyDescent="0.25">
      <c r="A1670" s="2" t="s">
        <v>59</v>
      </c>
      <c r="B1670" s="2" t="s">
        <v>60</v>
      </c>
      <c r="C1670" s="2" t="s">
        <v>14833</v>
      </c>
      <c r="D1670" s="2" t="s">
        <v>14834</v>
      </c>
      <c r="E1670" s="2" t="s">
        <v>14835</v>
      </c>
      <c r="G1670" s="3" t="s">
        <v>63</v>
      </c>
      <c r="I1670" s="3" t="s">
        <v>63</v>
      </c>
      <c r="J1670" s="3" t="s">
        <v>62</v>
      </c>
      <c r="K1670" s="3" t="s">
        <v>64</v>
      </c>
      <c r="L1670" s="2" t="s">
        <v>14782</v>
      </c>
      <c r="M1670" s="2" t="s">
        <v>14836</v>
      </c>
      <c r="N1670" s="3" t="s">
        <v>1296</v>
      </c>
      <c r="P1670" s="3" t="s">
        <v>66</v>
      </c>
      <c r="Q1670" s="2" t="s">
        <v>14837</v>
      </c>
      <c r="R1670" s="3" t="s">
        <v>67</v>
      </c>
      <c r="S1670" s="4">
        <v>56</v>
      </c>
      <c r="T1670" s="4">
        <v>56</v>
      </c>
      <c r="U1670" s="5" t="s">
        <v>1128</v>
      </c>
      <c r="V1670" s="5" t="s">
        <v>1128</v>
      </c>
      <c r="W1670" s="5" t="s">
        <v>69</v>
      </c>
      <c r="X1670" s="5" t="s">
        <v>69</v>
      </c>
      <c r="Y1670" s="4">
        <v>11</v>
      </c>
      <c r="Z1670" s="4">
        <v>3</v>
      </c>
      <c r="AA1670" s="4">
        <v>144</v>
      </c>
      <c r="AB1670" s="4">
        <v>1</v>
      </c>
      <c r="AC1670" s="4">
        <v>20</v>
      </c>
      <c r="AD1670" s="4">
        <v>4</v>
      </c>
      <c r="AE1670" s="4">
        <v>160</v>
      </c>
      <c r="AF1670" s="4">
        <v>0</v>
      </c>
      <c r="AG1670" s="4">
        <v>8</v>
      </c>
      <c r="AH1670" s="4">
        <v>3</v>
      </c>
      <c r="AI1670" s="4">
        <v>114</v>
      </c>
      <c r="AJ1670" s="4">
        <v>2</v>
      </c>
      <c r="AK1670" s="4">
        <v>28</v>
      </c>
      <c r="AL1670" s="4">
        <v>1</v>
      </c>
      <c r="AM1670" s="4">
        <v>63</v>
      </c>
      <c r="AN1670" s="4">
        <v>0</v>
      </c>
      <c r="AO1670" s="4">
        <v>2</v>
      </c>
      <c r="AP1670" s="4">
        <v>2</v>
      </c>
      <c r="AQ1670" s="4">
        <v>50</v>
      </c>
      <c r="AR1670" s="3" t="s">
        <v>63</v>
      </c>
      <c r="AS1670" s="3" t="s">
        <v>63</v>
      </c>
      <c r="AT1670" s="3" t="s">
        <v>63</v>
      </c>
      <c r="AV1670" s="6" t="str">
        <f>HYPERLINK("http://mcgill.on.worldcat.org/oclc/22543818","Catalog Record")</f>
        <v>Catalog Record</v>
      </c>
      <c r="AW1670" s="6" t="str">
        <f>HYPERLINK("http://www.worldcat.org/oclc/22543818","WorldCat Record")</f>
        <v>WorldCat Record</v>
      </c>
      <c r="AX1670" s="3" t="s">
        <v>14828</v>
      </c>
      <c r="AY1670" s="3" t="s">
        <v>14838</v>
      </c>
      <c r="AZ1670" s="3" t="s">
        <v>14839</v>
      </c>
      <c r="BA1670" s="3" t="s">
        <v>14839</v>
      </c>
      <c r="BB1670" s="3" t="s">
        <v>14840</v>
      </c>
      <c r="BC1670" s="3" t="s">
        <v>82</v>
      </c>
      <c r="BD1670" s="3" t="s">
        <v>70</v>
      </c>
      <c r="BF1670" s="3" t="s">
        <v>14840</v>
      </c>
      <c r="BG1670" s="3" t="s">
        <v>14841</v>
      </c>
    </row>
    <row r="1671" spans="1:59" ht="60" x14ac:dyDescent="0.25">
      <c r="A1671" s="2" t="s">
        <v>59</v>
      </c>
      <c r="B1671" s="2" t="s">
        <v>60</v>
      </c>
      <c r="C1671" s="2" t="s">
        <v>14842</v>
      </c>
      <c r="D1671" s="2" t="s">
        <v>14843</v>
      </c>
      <c r="E1671" s="2" t="s">
        <v>14844</v>
      </c>
      <c r="G1671" s="3" t="s">
        <v>63</v>
      </c>
      <c r="I1671" s="3" t="s">
        <v>63</v>
      </c>
      <c r="J1671" s="3" t="s">
        <v>63</v>
      </c>
      <c r="K1671" s="3" t="s">
        <v>64</v>
      </c>
      <c r="L1671" s="2" t="s">
        <v>14782</v>
      </c>
      <c r="M1671" s="2" t="s">
        <v>14845</v>
      </c>
      <c r="N1671" s="3" t="s">
        <v>326</v>
      </c>
      <c r="O1671" s="2" t="s">
        <v>718</v>
      </c>
      <c r="P1671" s="3" t="s">
        <v>66</v>
      </c>
      <c r="R1671" s="3" t="s">
        <v>67</v>
      </c>
      <c r="S1671" s="4">
        <v>4</v>
      </c>
      <c r="T1671" s="4">
        <v>4</v>
      </c>
      <c r="U1671" s="5" t="s">
        <v>14846</v>
      </c>
      <c r="V1671" s="5" t="s">
        <v>14846</v>
      </c>
      <c r="W1671" s="5" t="s">
        <v>69</v>
      </c>
      <c r="X1671" s="5" t="s">
        <v>69</v>
      </c>
      <c r="Y1671" s="4">
        <v>79</v>
      </c>
      <c r="Z1671" s="4">
        <v>6</v>
      </c>
      <c r="AA1671" s="4">
        <v>6</v>
      </c>
      <c r="AB1671" s="4">
        <v>1</v>
      </c>
      <c r="AC1671" s="4">
        <v>1</v>
      </c>
      <c r="AD1671" s="4">
        <v>31</v>
      </c>
      <c r="AE1671" s="4">
        <v>31</v>
      </c>
      <c r="AF1671" s="4">
        <v>0</v>
      </c>
      <c r="AG1671" s="4">
        <v>0</v>
      </c>
      <c r="AH1671" s="4">
        <v>30</v>
      </c>
      <c r="AI1671" s="4">
        <v>30</v>
      </c>
      <c r="AJ1671" s="4">
        <v>5</v>
      </c>
      <c r="AK1671" s="4">
        <v>5</v>
      </c>
      <c r="AL1671" s="4">
        <v>20</v>
      </c>
      <c r="AM1671" s="4">
        <v>20</v>
      </c>
      <c r="AN1671" s="4">
        <v>0</v>
      </c>
      <c r="AO1671" s="4">
        <v>0</v>
      </c>
      <c r="AP1671" s="4">
        <v>5</v>
      </c>
      <c r="AQ1671" s="4">
        <v>5</v>
      </c>
      <c r="AR1671" s="3" t="s">
        <v>63</v>
      </c>
      <c r="AS1671" s="3" t="s">
        <v>63</v>
      </c>
      <c r="AT1671" s="3" t="s">
        <v>63</v>
      </c>
      <c r="AV1671" s="6" t="str">
        <f>HYPERLINK("http://mcgill.on.worldcat.org/oclc/315082475","Catalog Record")</f>
        <v>Catalog Record</v>
      </c>
      <c r="AW1671" s="6" t="str">
        <f>HYPERLINK("http://www.worldcat.org/oclc/315082475","WorldCat Record")</f>
        <v>WorldCat Record</v>
      </c>
      <c r="AX1671" s="3" t="s">
        <v>14847</v>
      </c>
      <c r="AY1671" s="3" t="s">
        <v>14848</v>
      </c>
      <c r="AZ1671" s="3" t="s">
        <v>14849</v>
      </c>
      <c r="BA1671" s="3" t="s">
        <v>14849</v>
      </c>
      <c r="BB1671" s="3" t="s">
        <v>14850</v>
      </c>
      <c r="BC1671" s="3" t="s">
        <v>82</v>
      </c>
      <c r="BD1671" s="3" t="s">
        <v>70</v>
      </c>
      <c r="BE1671" s="3" t="s">
        <v>14851</v>
      </c>
      <c r="BF1671" s="3" t="s">
        <v>14850</v>
      </c>
      <c r="BG1671" s="3" t="s">
        <v>14852</v>
      </c>
    </row>
    <row r="1672" spans="1:59" ht="60" x14ac:dyDescent="0.25">
      <c r="A1672" s="2" t="s">
        <v>59</v>
      </c>
      <c r="B1672" s="2" t="s">
        <v>60</v>
      </c>
      <c r="C1672" s="2" t="s">
        <v>14853</v>
      </c>
      <c r="D1672" s="2" t="s">
        <v>14854</v>
      </c>
      <c r="E1672" s="2" t="s">
        <v>14855</v>
      </c>
      <c r="G1672" s="3" t="s">
        <v>63</v>
      </c>
      <c r="I1672" s="3" t="s">
        <v>63</v>
      </c>
      <c r="J1672" s="3" t="s">
        <v>62</v>
      </c>
      <c r="K1672" s="3" t="s">
        <v>64</v>
      </c>
      <c r="L1672" s="2" t="s">
        <v>14825</v>
      </c>
      <c r="M1672" s="2" t="s">
        <v>14856</v>
      </c>
      <c r="N1672" s="3" t="s">
        <v>693</v>
      </c>
      <c r="O1672" s="2" t="s">
        <v>11845</v>
      </c>
      <c r="P1672" s="3" t="s">
        <v>66</v>
      </c>
      <c r="Q1672" s="2" t="s">
        <v>14857</v>
      </c>
      <c r="R1672" s="3" t="s">
        <v>67</v>
      </c>
      <c r="S1672" s="4">
        <v>30</v>
      </c>
      <c r="T1672" s="4">
        <v>30</v>
      </c>
      <c r="U1672" s="5" t="s">
        <v>14858</v>
      </c>
      <c r="V1672" s="5" t="s">
        <v>14858</v>
      </c>
      <c r="W1672" s="5" t="s">
        <v>69</v>
      </c>
      <c r="X1672" s="5" t="s">
        <v>69</v>
      </c>
      <c r="Y1672" s="4">
        <v>160</v>
      </c>
      <c r="Z1672" s="4">
        <v>13</v>
      </c>
      <c r="AA1672" s="4">
        <v>144</v>
      </c>
      <c r="AB1672" s="4">
        <v>2</v>
      </c>
      <c r="AC1672" s="4">
        <v>20</v>
      </c>
      <c r="AD1672" s="4">
        <v>67</v>
      </c>
      <c r="AE1672" s="4">
        <v>160</v>
      </c>
      <c r="AF1672" s="4">
        <v>0</v>
      </c>
      <c r="AG1672" s="4">
        <v>8</v>
      </c>
      <c r="AH1672" s="4">
        <v>64</v>
      </c>
      <c r="AI1672" s="4">
        <v>114</v>
      </c>
      <c r="AJ1672" s="4">
        <v>6</v>
      </c>
      <c r="AK1672" s="4">
        <v>28</v>
      </c>
      <c r="AL1672" s="4">
        <v>43</v>
      </c>
      <c r="AM1672" s="4">
        <v>63</v>
      </c>
      <c r="AN1672" s="4">
        <v>0</v>
      </c>
      <c r="AO1672" s="4">
        <v>2</v>
      </c>
      <c r="AP1672" s="4">
        <v>6</v>
      </c>
      <c r="AQ1672" s="4">
        <v>50</v>
      </c>
      <c r="AR1672" s="3" t="s">
        <v>63</v>
      </c>
      <c r="AS1672" s="3" t="s">
        <v>63</v>
      </c>
      <c r="AT1672" s="3" t="s">
        <v>63</v>
      </c>
      <c r="AV1672" s="6" t="str">
        <f>HYPERLINK("http://mcgill.on.worldcat.org/oclc/53926794","Catalog Record")</f>
        <v>Catalog Record</v>
      </c>
      <c r="AW1672" s="6" t="str">
        <f>HYPERLINK("http://www.worldcat.org/oclc/53926794","WorldCat Record")</f>
        <v>WorldCat Record</v>
      </c>
      <c r="AX1672" s="3" t="s">
        <v>14828</v>
      </c>
      <c r="AY1672" s="3" t="s">
        <v>14859</v>
      </c>
      <c r="AZ1672" s="3" t="s">
        <v>14860</v>
      </c>
      <c r="BA1672" s="3" t="s">
        <v>14860</v>
      </c>
      <c r="BB1672" s="3" t="s">
        <v>14861</v>
      </c>
      <c r="BC1672" s="3" t="s">
        <v>82</v>
      </c>
      <c r="BD1672" s="3" t="s">
        <v>70</v>
      </c>
      <c r="BE1672" s="3" t="s">
        <v>14862</v>
      </c>
      <c r="BF1672" s="3" t="s">
        <v>14861</v>
      </c>
      <c r="BG1672" s="3" t="s">
        <v>14863</v>
      </c>
    </row>
    <row r="1673" spans="1:59" ht="60" x14ac:dyDescent="0.25">
      <c r="A1673" s="2" t="s">
        <v>59</v>
      </c>
      <c r="B1673" s="2" t="s">
        <v>60</v>
      </c>
      <c r="C1673" s="2" t="s">
        <v>14864</v>
      </c>
      <c r="D1673" s="2" t="s">
        <v>14865</v>
      </c>
      <c r="E1673" s="2" t="s">
        <v>14866</v>
      </c>
      <c r="G1673" s="3" t="s">
        <v>63</v>
      </c>
      <c r="I1673" s="3" t="s">
        <v>63</v>
      </c>
      <c r="J1673" s="3" t="s">
        <v>62</v>
      </c>
      <c r="K1673" s="3" t="s">
        <v>64</v>
      </c>
      <c r="L1673" s="2" t="s">
        <v>14825</v>
      </c>
      <c r="M1673" s="2" t="s">
        <v>14867</v>
      </c>
      <c r="N1673" s="3" t="s">
        <v>190</v>
      </c>
      <c r="P1673" s="3" t="s">
        <v>66</v>
      </c>
      <c r="Q1673" s="2" t="s">
        <v>11759</v>
      </c>
      <c r="R1673" s="3" t="s">
        <v>67</v>
      </c>
      <c r="S1673" s="4">
        <v>25</v>
      </c>
      <c r="T1673" s="4">
        <v>25</v>
      </c>
      <c r="U1673" s="5" t="s">
        <v>10522</v>
      </c>
      <c r="V1673" s="5" t="s">
        <v>10522</v>
      </c>
      <c r="W1673" s="5" t="s">
        <v>69</v>
      </c>
      <c r="X1673" s="5" t="s">
        <v>69</v>
      </c>
      <c r="Y1673" s="4">
        <v>87</v>
      </c>
      <c r="Z1673" s="4">
        <v>9</v>
      </c>
      <c r="AA1673" s="4">
        <v>144</v>
      </c>
      <c r="AB1673" s="4">
        <v>1</v>
      </c>
      <c r="AC1673" s="4">
        <v>20</v>
      </c>
      <c r="AD1673" s="4">
        <v>40</v>
      </c>
      <c r="AE1673" s="4">
        <v>160</v>
      </c>
      <c r="AF1673" s="4">
        <v>0</v>
      </c>
      <c r="AG1673" s="4">
        <v>8</v>
      </c>
      <c r="AH1673" s="4">
        <v>35</v>
      </c>
      <c r="AI1673" s="4">
        <v>114</v>
      </c>
      <c r="AJ1673" s="4">
        <v>6</v>
      </c>
      <c r="AK1673" s="4">
        <v>28</v>
      </c>
      <c r="AL1673" s="4">
        <v>30</v>
      </c>
      <c r="AM1673" s="4">
        <v>63</v>
      </c>
      <c r="AN1673" s="4">
        <v>0</v>
      </c>
      <c r="AO1673" s="4">
        <v>2</v>
      </c>
      <c r="AP1673" s="4">
        <v>6</v>
      </c>
      <c r="AQ1673" s="4">
        <v>50</v>
      </c>
      <c r="AR1673" s="3" t="s">
        <v>63</v>
      </c>
      <c r="AS1673" s="3" t="s">
        <v>63</v>
      </c>
      <c r="AT1673" s="3" t="s">
        <v>63</v>
      </c>
      <c r="AV1673" s="6" t="str">
        <f>HYPERLINK("http://mcgill.on.worldcat.org/oclc/57167460","Catalog Record")</f>
        <v>Catalog Record</v>
      </c>
      <c r="AW1673" s="6" t="str">
        <f>HYPERLINK("http://www.worldcat.org/oclc/57167460","WorldCat Record")</f>
        <v>WorldCat Record</v>
      </c>
      <c r="AX1673" s="3" t="s">
        <v>14828</v>
      </c>
      <c r="AY1673" s="3" t="s">
        <v>14868</v>
      </c>
      <c r="AZ1673" s="3" t="s">
        <v>14869</v>
      </c>
      <c r="BA1673" s="3" t="s">
        <v>14869</v>
      </c>
      <c r="BB1673" s="3" t="s">
        <v>14870</v>
      </c>
      <c r="BC1673" s="3" t="s">
        <v>82</v>
      </c>
      <c r="BD1673" s="3" t="s">
        <v>70</v>
      </c>
      <c r="BE1673" s="3" t="s">
        <v>14871</v>
      </c>
      <c r="BF1673" s="3" t="s">
        <v>14870</v>
      </c>
      <c r="BG1673" s="3" t="s">
        <v>14872</v>
      </c>
    </row>
    <row r="1674" spans="1:59" ht="60" x14ac:dyDescent="0.25">
      <c r="A1674" s="2" t="s">
        <v>59</v>
      </c>
      <c r="B1674" s="2" t="s">
        <v>60</v>
      </c>
      <c r="C1674" s="2" t="s">
        <v>14873</v>
      </c>
      <c r="D1674" s="2" t="s">
        <v>14874</v>
      </c>
      <c r="E1674" s="2" t="s">
        <v>14875</v>
      </c>
      <c r="G1674" s="3" t="s">
        <v>63</v>
      </c>
      <c r="I1674" s="3" t="s">
        <v>63</v>
      </c>
      <c r="J1674" s="3" t="s">
        <v>62</v>
      </c>
      <c r="K1674" s="3" t="s">
        <v>64</v>
      </c>
      <c r="L1674" s="2" t="s">
        <v>14782</v>
      </c>
      <c r="M1674" s="2" t="s">
        <v>14876</v>
      </c>
      <c r="N1674" s="3" t="s">
        <v>326</v>
      </c>
      <c r="P1674" s="3" t="s">
        <v>66</v>
      </c>
      <c r="Q1674" s="2" t="s">
        <v>9341</v>
      </c>
      <c r="R1674" s="3" t="s">
        <v>67</v>
      </c>
      <c r="S1674" s="4">
        <v>13</v>
      </c>
      <c r="T1674" s="4">
        <v>13</v>
      </c>
      <c r="U1674" s="5" t="s">
        <v>14877</v>
      </c>
      <c r="V1674" s="5" t="s">
        <v>14877</v>
      </c>
      <c r="W1674" s="5" t="s">
        <v>69</v>
      </c>
      <c r="X1674" s="5" t="s">
        <v>69</v>
      </c>
      <c r="Y1674" s="4">
        <v>175</v>
      </c>
      <c r="Z1674" s="4">
        <v>17</v>
      </c>
      <c r="AA1674" s="4">
        <v>144</v>
      </c>
      <c r="AB1674" s="4">
        <v>2</v>
      </c>
      <c r="AC1674" s="4">
        <v>20</v>
      </c>
      <c r="AD1674" s="4">
        <v>54</v>
      </c>
      <c r="AE1674" s="4">
        <v>160</v>
      </c>
      <c r="AF1674" s="4">
        <v>0</v>
      </c>
      <c r="AG1674" s="4">
        <v>8</v>
      </c>
      <c r="AH1674" s="4">
        <v>50</v>
      </c>
      <c r="AI1674" s="4">
        <v>114</v>
      </c>
      <c r="AJ1674" s="4">
        <v>8</v>
      </c>
      <c r="AK1674" s="4">
        <v>28</v>
      </c>
      <c r="AL1674" s="4">
        <v>37</v>
      </c>
      <c r="AM1674" s="4">
        <v>63</v>
      </c>
      <c r="AN1674" s="4">
        <v>0</v>
      </c>
      <c r="AO1674" s="4">
        <v>2</v>
      </c>
      <c r="AP1674" s="4">
        <v>9</v>
      </c>
      <c r="AQ1674" s="4">
        <v>50</v>
      </c>
      <c r="AR1674" s="3" t="s">
        <v>63</v>
      </c>
      <c r="AS1674" s="3" t="s">
        <v>63</v>
      </c>
      <c r="AT1674" s="3" t="s">
        <v>63</v>
      </c>
      <c r="AV1674" s="6" t="str">
        <f>HYPERLINK("http://mcgill.on.worldcat.org/oclc/276819947","Catalog Record")</f>
        <v>Catalog Record</v>
      </c>
      <c r="AW1674" s="6" t="str">
        <f>HYPERLINK("http://www.worldcat.org/oclc/276819947","WorldCat Record")</f>
        <v>WorldCat Record</v>
      </c>
      <c r="AX1674" s="3" t="s">
        <v>14828</v>
      </c>
      <c r="AY1674" s="3" t="s">
        <v>14878</v>
      </c>
      <c r="AZ1674" s="3" t="s">
        <v>14879</v>
      </c>
      <c r="BA1674" s="3" t="s">
        <v>14879</v>
      </c>
      <c r="BB1674" s="3" t="s">
        <v>14880</v>
      </c>
      <c r="BC1674" s="3" t="s">
        <v>82</v>
      </c>
      <c r="BD1674" s="3" t="s">
        <v>70</v>
      </c>
      <c r="BE1674" s="3" t="s">
        <v>14881</v>
      </c>
      <c r="BF1674" s="3" t="s">
        <v>14880</v>
      </c>
      <c r="BG1674" s="3" t="s">
        <v>14882</v>
      </c>
    </row>
    <row r="1675" spans="1:59" ht="60" x14ac:dyDescent="0.25">
      <c r="A1675" s="2" t="s">
        <v>59</v>
      </c>
      <c r="B1675" s="2" t="s">
        <v>60</v>
      </c>
      <c r="C1675" s="2" t="s">
        <v>14883</v>
      </c>
      <c r="D1675" s="2" t="s">
        <v>14884</v>
      </c>
      <c r="E1675" s="2" t="s">
        <v>14885</v>
      </c>
      <c r="G1675" s="3" t="s">
        <v>63</v>
      </c>
      <c r="I1675" s="3" t="s">
        <v>63</v>
      </c>
      <c r="J1675" s="3" t="s">
        <v>62</v>
      </c>
      <c r="K1675" s="3" t="s">
        <v>64</v>
      </c>
      <c r="L1675" s="2" t="s">
        <v>14825</v>
      </c>
      <c r="M1675" s="2" t="s">
        <v>14886</v>
      </c>
      <c r="N1675" s="3" t="s">
        <v>106</v>
      </c>
      <c r="P1675" s="3" t="s">
        <v>66</v>
      </c>
      <c r="Q1675" s="2" t="s">
        <v>14887</v>
      </c>
      <c r="R1675" s="3" t="s">
        <v>67</v>
      </c>
      <c r="S1675" s="4">
        <v>15</v>
      </c>
      <c r="T1675" s="4">
        <v>15</v>
      </c>
      <c r="U1675" s="5" t="s">
        <v>14888</v>
      </c>
      <c r="V1675" s="5" t="s">
        <v>14888</v>
      </c>
      <c r="W1675" s="5" t="s">
        <v>69</v>
      </c>
      <c r="X1675" s="5" t="s">
        <v>69</v>
      </c>
      <c r="Y1675" s="4">
        <v>114</v>
      </c>
      <c r="Z1675" s="4">
        <v>10</v>
      </c>
      <c r="AA1675" s="4">
        <v>144</v>
      </c>
      <c r="AB1675" s="4">
        <v>1</v>
      </c>
      <c r="AC1675" s="4">
        <v>20</v>
      </c>
      <c r="AD1675" s="4">
        <v>55</v>
      </c>
      <c r="AE1675" s="4">
        <v>160</v>
      </c>
      <c r="AF1675" s="4">
        <v>0</v>
      </c>
      <c r="AG1675" s="4">
        <v>8</v>
      </c>
      <c r="AH1675" s="4">
        <v>52</v>
      </c>
      <c r="AI1675" s="4">
        <v>114</v>
      </c>
      <c r="AJ1675" s="4">
        <v>7</v>
      </c>
      <c r="AK1675" s="4">
        <v>28</v>
      </c>
      <c r="AL1675" s="4">
        <v>34</v>
      </c>
      <c r="AM1675" s="4">
        <v>63</v>
      </c>
      <c r="AN1675" s="4">
        <v>0</v>
      </c>
      <c r="AO1675" s="4">
        <v>2</v>
      </c>
      <c r="AP1675" s="4">
        <v>7</v>
      </c>
      <c r="AQ1675" s="4">
        <v>50</v>
      </c>
      <c r="AR1675" s="3" t="s">
        <v>63</v>
      </c>
      <c r="AS1675" s="3" t="s">
        <v>63</v>
      </c>
      <c r="AT1675" s="3" t="s">
        <v>63</v>
      </c>
      <c r="AV1675" s="6" t="str">
        <f>HYPERLINK("http://mcgill.on.worldcat.org/oclc/922729073","Catalog Record")</f>
        <v>Catalog Record</v>
      </c>
      <c r="AW1675" s="6" t="str">
        <f>HYPERLINK("http://www.worldcat.org/oclc/922729073","WorldCat Record")</f>
        <v>WorldCat Record</v>
      </c>
      <c r="AX1675" s="3" t="s">
        <v>14828</v>
      </c>
      <c r="AY1675" s="3" t="s">
        <v>14889</v>
      </c>
      <c r="AZ1675" s="3" t="s">
        <v>14890</v>
      </c>
      <c r="BA1675" s="3" t="s">
        <v>14890</v>
      </c>
      <c r="BB1675" s="3" t="s">
        <v>14891</v>
      </c>
      <c r="BC1675" s="3" t="s">
        <v>82</v>
      </c>
      <c r="BD1675" s="3" t="s">
        <v>538</v>
      </c>
      <c r="BE1675" s="3" t="s">
        <v>14892</v>
      </c>
      <c r="BF1675" s="3" t="s">
        <v>14891</v>
      </c>
      <c r="BG1675" s="3" t="s">
        <v>14893</v>
      </c>
    </row>
    <row r="1676" spans="1:59" ht="60" x14ac:dyDescent="0.25">
      <c r="A1676" s="2" t="s">
        <v>59</v>
      </c>
      <c r="B1676" s="2" t="s">
        <v>60</v>
      </c>
      <c r="C1676" s="2" t="s">
        <v>14894</v>
      </c>
      <c r="D1676" s="2" t="s">
        <v>14895</v>
      </c>
      <c r="E1676" s="2" t="s">
        <v>14896</v>
      </c>
      <c r="G1676" s="3" t="s">
        <v>63</v>
      </c>
      <c r="I1676" s="3" t="s">
        <v>63</v>
      </c>
      <c r="J1676" s="3" t="s">
        <v>63</v>
      </c>
      <c r="K1676" s="3" t="s">
        <v>64</v>
      </c>
      <c r="L1676" s="2" t="s">
        <v>14782</v>
      </c>
      <c r="M1676" s="2" t="s">
        <v>14897</v>
      </c>
      <c r="N1676" s="3" t="s">
        <v>9447</v>
      </c>
      <c r="P1676" s="3" t="s">
        <v>548</v>
      </c>
      <c r="R1676" s="3" t="s">
        <v>67</v>
      </c>
      <c r="S1676" s="4">
        <v>7</v>
      </c>
      <c r="T1676" s="4">
        <v>7</v>
      </c>
      <c r="U1676" s="5" t="s">
        <v>14898</v>
      </c>
      <c r="V1676" s="5" t="s">
        <v>14898</v>
      </c>
      <c r="W1676" s="5" t="s">
        <v>69</v>
      </c>
      <c r="X1676" s="5" t="s">
        <v>69</v>
      </c>
      <c r="Y1676" s="4">
        <v>4</v>
      </c>
      <c r="Z1676" s="4">
        <v>1</v>
      </c>
      <c r="AA1676" s="4">
        <v>12</v>
      </c>
      <c r="AB1676" s="4">
        <v>1</v>
      </c>
      <c r="AC1676" s="4">
        <v>7</v>
      </c>
      <c r="AD1676" s="4">
        <v>1</v>
      </c>
      <c r="AE1676" s="4">
        <v>19</v>
      </c>
      <c r="AF1676" s="4">
        <v>0</v>
      </c>
      <c r="AG1676" s="4">
        <v>4</v>
      </c>
      <c r="AH1676" s="4">
        <v>1</v>
      </c>
      <c r="AI1676" s="4">
        <v>12</v>
      </c>
      <c r="AJ1676" s="4">
        <v>0</v>
      </c>
      <c r="AK1676" s="4">
        <v>7</v>
      </c>
      <c r="AL1676" s="4">
        <v>1</v>
      </c>
      <c r="AM1676" s="4">
        <v>10</v>
      </c>
      <c r="AN1676" s="4">
        <v>0</v>
      </c>
      <c r="AO1676" s="4">
        <v>0</v>
      </c>
      <c r="AP1676" s="4">
        <v>0</v>
      </c>
      <c r="AQ1676" s="4">
        <v>7</v>
      </c>
      <c r="AR1676" s="3" t="s">
        <v>63</v>
      </c>
      <c r="AS1676" s="3" t="s">
        <v>63</v>
      </c>
      <c r="AT1676" s="3" t="s">
        <v>63</v>
      </c>
      <c r="AV1676" s="6" t="str">
        <f>HYPERLINK("http://mcgill.on.worldcat.org/oclc/35689842","Catalog Record")</f>
        <v>Catalog Record</v>
      </c>
      <c r="AW1676" s="6" t="str">
        <f>HYPERLINK("http://www.worldcat.org/oclc/35689842","WorldCat Record")</f>
        <v>WorldCat Record</v>
      </c>
      <c r="AX1676" s="3" t="s">
        <v>14899</v>
      </c>
      <c r="AY1676" s="3" t="s">
        <v>14900</v>
      </c>
      <c r="AZ1676" s="3" t="s">
        <v>14901</v>
      </c>
      <c r="BA1676" s="3" t="s">
        <v>14901</v>
      </c>
      <c r="BB1676" s="3" t="s">
        <v>14902</v>
      </c>
      <c r="BC1676" s="3" t="s">
        <v>82</v>
      </c>
      <c r="BD1676" s="3" t="s">
        <v>70</v>
      </c>
      <c r="BF1676" s="3" t="s">
        <v>14902</v>
      </c>
      <c r="BG1676" s="3" t="s">
        <v>14903</v>
      </c>
    </row>
    <row r="1677" spans="1:59" ht="60" x14ac:dyDescent="0.25">
      <c r="A1677" s="2" t="s">
        <v>59</v>
      </c>
      <c r="B1677" s="2" t="s">
        <v>60</v>
      </c>
      <c r="C1677" s="2" t="s">
        <v>14904</v>
      </c>
      <c r="D1677" s="2" t="s">
        <v>14905</v>
      </c>
      <c r="E1677" s="2" t="s">
        <v>14906</v>
      </c>
      <c r="G1677" s="3" t="s">
        <v>63</v>
      </c>
      <c r="I1677" s="3" t="s">
        <v>63</v>
      </c>
      <c r="J1677" s="3" t="s">
        <v>63</v>
      </c>
      <c r="K1677" s="3" t="s">
        <v>64</v>
      </c>
      <c r="L1677" s="2" t="s">
        <v>14907</v>
      </c>
      <c r="M1677" s="2" t="s">
        <v>14908</v>
      </c>
      <c r="N1677" s="3" t="s">
        <v>161</v>
      </c>
      <c r="P1677" s="3" t="s">
        <v>66</v>
      </c>
      <c r="R1677" s="3" t="s">
        <v>67</v>
      </c>
      <c r="S1677" s="4">
        <v>38</v>
      </c>
      <c r="T1677" s="4">
        <v>38</v>
      </c>
      <c r="U1677" s="5" t="s">
        <v>5904</v>
      </c>
      <c r="V1677" s="5" t="s">
        <v>5904</v>
      </c>
      <c r="W1677" s="5" t="s">
        <v>69</v>
      </c>
      <c r="X1677" s="5" t="s">
        <v>69</v>
      </c>
      <c r="Y1677" s="4">
        <v>114</v>
      </c>
      <c r="Z1677" s="4">
        <v>7</v>
      </c>
      <c r="AA1677" s="4">
        <v>17</v>
      </c>
      <c r="AB1677" s="4">
        <v>1</v>
      </c>
      <c r="AC1677" s="4">
        <v>1</v>
      </c>
      <c r="AD1677" s="4">
        <v>51</v>
      </c>
      <c r="AE1677" s="4">
        <v>66</v>
      </c>
      <c r="AF1677" s="4">
        <v>0</v>
      </c>
      <c r="AG1677" s="4">
        <v>0</v>
      </c>
      <c r="AH1677" s="4">
        <v>47</v>
      </c>
      <c r="AI1677" s="4">
        <v>60</v>
      </c>
      <c r="AJ1677" s="4">
        <v>4</v>
      </c>
      <c r="AK1677" s="4">
        <v>12</v>
      </c>
      <c r="AL1677" s="4">
        <v>33</v>
      </c>
      <c r="AM1677" s="4">
        <v>39</v>
      </c>
      <c r="AN1677" s="4">
        <v>0</v>
      </c>
      <c r="AO1677" s="4">
        <v>0</v>
      </c>
      <c r="AP1677" s="4">
        <v>5</v>
      </c>
      <c r="AQ1677" s="4">
        <v>13</v>
      </c>
      <c r="AR1677" s="3" t="s">
        <v>63</v>
      </c>
      <c r="AS1677" s="3" t="s">
        <v>63</v>
      </c>
      <c r="AT1677" s="3" t="s">
        <v>62</v>
      </c>
      <c r="AU1677" s="6" t="str">
        <f>HYPERLINK("http://catalog.hathitrust.org/Record/002532841","HathiTrust Record")</f>
        <v>HathiTrust Record</v>
      </c>
      <c r="AV1677" s="6" t="str">
        <f>HYPERLINK("http://mcgill.on.worldcat.org/oclc/59829730","Catalog Record")</f>
        <v>Catalog Record</v>
      </c>
      <c r="AW1677" s="6" t="str">
        <f>HYPERLINK("http://www.worldcat.org/oclc/59829730","WorldCat Record")</f>
        <v>WorldCat Record</v>
      </c>
      <c r="AX1677" s="3" t="s">
        <v>14909</v>
      </c>
      <c r="AY1677" s="3" t="s">
        <v>14910</v>
      </c>
      <c r="AZ1677" s="3" t="s">
        <v>14911</v>
      </c>
      <c r="BA1677" s="3" t="s">
        <v>14911</v>
      </c>
      <c r="BB1677" s="3" t="s">
        <v>14912</v>
      </c>
      <c r="BC1677" s="3" t="s">
        <v>82</v>
      </c>
      <c r="BD1677" s="3" t="s">
        <v>70</v>
      </c>
      <c r="BE1677" s="3" t="s">
        <v>14913</v>
      </c>
      <c r="BF1677" s="3" t="s">
        <v>14912</v>
      </c>
      <c r="BG1677" s="3" t="s">
        <v>14914</v>
      </c>
    </row>
    <row r="1678" spans="1:59" ht="60" x14ac:dyDescent="0.25">
      <c r="A1678" s="2" t="s">
        <v>59</v>
      </c>
      <c r="B1678" s="2" t="s">
        <v>60</v>
      </c>
      <c r="C1678" s="2" t="s">
        <v>14915</v>
      </c>
      <c r="D1678" s="2" t="s">
        <v>14916</v>
      </c>
      <c r="E1678" s="2" t="s">
        <v>14917</v>
      </c>
      <c r="G1678" s="3" t="s">
        <v>63</v>
      </c>
      <c r="I1678" s="3" t="s">
        <v>63</v>
      </c>
      <c r="J1678" s="3" t="s">
        <v>63</v>
      </c>
      <c r="K1678" s="3" t="s">
        <v>64</v>
      </c>
      <c r="L1678" s="2" t="s">
        <v>14918</v>
      </c>
      <c r="M1678" s="2" t="s">
        <v>14919</v>
      </c>
      <c r="N1678" s="3" t="s">
        <v>161</v>
      </c>
      <c r="P1678" s="3" t="s">
        <v>66</v>
      </c>
      <c r="Q1678" s="2" t="s">
        <v>14920</v>
      </c>
      <c r="R1678" s="3" t="s">
        <v>67</v>
      </c>
      <c r="S1678" s="4">
        <v>33</v>
      </c>
      <c r="T1678" s="4">
        <v>33</v>
      </c>
      <c r="U1678" s="5" t="s">
        <v>14921</v>
      </c>
      <c r="V1678" s="5" t="s">
        <v>14921</v>
      </c>
      <c r="W1678" s="5" t="s">
        <v>69</v>
      </c>
      <c r="X1678" s="5" t="s">
        <v>69</v>
      </c>
      <c r="Y1678" s="4">
        <v>95</v>
      </c>
      <c r="Z1678" s="4">
        <v>8</v>
      </c>
      <c r="AA1678" s="4">
        <v>8</v>
      </c>
      <c r="AB1678" s="4">
        <v>1</v>
      </c>
      <c r="AC1678" s="4">
        <v>1</v>
      </c>
      <c r="AD1678" s="4">
        <v>53</v>
      </c>
      <c r="AE1678" s="4">
        <v>54</v>
      </c>
      <c r="AF1678" s="4">
        <v>0</v>
      </c>
      <c r="AG1678" s="4">
        <v>0</v>
      </c>
      <c r="AH1678" s="4">
        <v>52</v>
      </c>
      <c r="AI1678" s="4">
        <v>53</v>
      </c>
      <c r="AJ1678" s="4">
        <v>6</v>
      </c>
      <c r="AK1678" s="4">
        <v>6</v>
      </c>
      <c r="AL1678" s="4">
        <v>36</v>
      </c>
      <c r="AM1678" s="4">
        <v>37</v>
      </c>
      <c r="AN1678" s="4">
        <v>0</v>
      </c>
      <c r="AO1678" s="4">
        <v>0</v>
      </c>
      <c r="AP1678" s="4">
        <v>6</v>
      </c>
      <c r="AQ1678" s="4">
        <v>6</v>
      </c>
      <c r="AR1678" s="3" t="s">
        <v>63</v>
      </c>
      <c r="AS1678" s="3" t="s">
        <v>63</v>
      </c>
      <c r="AT1678" s="3" t="s">
        <v>62</v>
      </c>
      <c r="AU1678" s="6" t="str">
        <f>HYPERLINK("http://catalog.hathitrust.org/Record/001835668","HathiTrust Record")</f>
        <v>HathiTrust Record</v>
      </c>
      <c r="AV1678" s="6" t="str">
        <f>HYPERLINK("http://mcgill.on.worldcat.org/oclc/20298116","Catalog Record")</f>
        <v>Catalog Record</v>
      </c>
      <c r="AW1678" s="6" t="str">
        <f>HYPERLINK("http://www.worldcat.org/oclc/20298116","WorldCat Record")</f>
        <v>WorldCat Record</v>
      </c>
      <c r="AX1678" s="3" t="s">
        <v>14922</v>
      </c>
      <c r="AY1678" s="3" t="s">
        <v>14923</v>
      </c>
      <c r="AZ1678" s="3" t="s">
        <v>14924</v>
      </c>
      <c r="BA1678" s="3" t="s">
        <v>14924</v>
      </c>
      <c r="BB1678" s="3" t="s">
        <v>14925</v>
      </c>
      <c r="BC1678" s="3" t="s">
        <v>82</v>
      </c>
      <c r="BD1678" s="3" t="s">
        <v>70</v>
      </c>
      <c r="BE1678" s="3" t="s">
        <v>14926</v>
      </c>
      <c r="BF1678" s="3" t="s">
        <v>14925</v>
      </c>
      <c r="BG1678" s="3" t="s">
        <v>14927</v>
      </c>
    </row>
    <row r="1679" spans="1:59" ht="60" x14ac:dyDescent="0.25">
      <c r="A1679" s="2" t="s">
        <v>59</v>
      </c>
      <c r="B1679" s="2" t="s">
        <v>60</v>
      </c>
      <c r="C1679" s="2" t="s">
        <v>14928</v>
      </c>
      <c r="D1679" s="2" t="s">
        <v>14929</v>
      </c>
      <c r="E1679" s="2" t="s">
        <v>14930</v>
      </c>
      <c r="G1679" s="3" t="s">
        <v>63</v>
      </c>
      <c r="I1679" s="3" t="s">
        <v>63</v>
      </c>
      <c r="J1679" s="3" t="s">
        <v>63</v>
      </c>
      <c r="K1679" s="3" t="s">
        <v>64</v>
      </c>
      <c r="M1679" s="2" t="s">
        <v>14931</v>
      </c>
      <c r="N1679" s="3" t="s">
        <v>2103</v>
      </c>
      <c r="P1679" s="3" t="s">
        <v>66</v>
      </c>
      <c r="Q1679" s="2" t="s">
        <v>10845</v>
      </c>
      <c r="R1679" s="3" t="s">
        <v>67</v>
      </c>
      <c r="S1679" s="4">
        <v>20</v>
      </c>
      <c r="T1679" s="4">
        <v>20</v>
      </c>
      <c r="U1679" s="5" t="s">
        <v>5904</v>
      </c>
      <c r="V1679" s="5" t="s">
        <v>5904</v>
      </c>
      <c r="W1679" s="5" t="s">
        <v>69</v>
      </c>
      <c r="X1679" s="5" t="s">
        <v>69</v>
      </c>
      <c r="Y1679" s="4">
        <v>186</v>
      </c>
      <c r="Z1679" s="4">
        <v>12</v>
      </c>
      <c r="AA1679" s="4">
        <v>43</v>
      </c>
      <c r="AB1679" s="4">
        <v>1</v>
      </c>
      <c r="AC1679" s="4">
        <v>4</v>
      </c>
      <c r="AD1679" s="4">
        <v>79</v>
      </c>
      <c r="AE1679" s="4">
        <v>105</v>
      </c>
      <c r="AF1679" s="4">
        <v>0</v>
      </c>
      <c r="AG1679" s="4">
        <v>1</v>
      </c>
      <c r="AH1679" s="4">
        <v>76</v>
      </c>
      <c r="AI1679" s="4">
        <v>92</v>
      </c>
      <c r="AJ1679" s="4">
        <v>8</v>
      </c>
      <c r="AK1679" s="4">
        <v>13</v>
      </c>
      <c r="AL1679" s="4">
        <v>47</v>
      </c>
      <c r="AM1679" s="4">
        <v>54</v>
      </c>
      <c r="AN1679" s="4">
        <v>0</v>
      </c>
      <c r="AO1679" s="4">
        <v>0</v>
      </c>
      <c r="AP1679" s="4">
        <v>8</v>
      </c>
      <c r="AQ1679" s="4">
        <v>19</v>
      </c>
      <c r="AR1679" s="3" t="s">
        <v>63</v>
      </c>
      <c r="AS1679" s="3" t="s">
        <v>63</v>
      </c>
      <c r="AT1679" s="3" t="s">
        <v>62</v>
      </c>
      <c r="AU1679" s="6" t="str">
        <f>HYPERLINK("http://catalog.hathitrust.org/Record/004261214","HathiTrust Record")</f>
        <v>HathiTrust Record</v>
      </c>
      <c r="AV1679" s="6" t="str">
        <f>HYPERLINK("http://mcgill.on.worldcat.org/oclc/46315110","Catalog Record")</f>
        <v>Catalog Record</v>
      </c>
      <c r="AW1679" s="6" t="str">
        <f>HYPERLINK("http://www.worldcat.org/oclc/46315110","WorldCat Record")</f>
        <v>WorldCat Record</v>
      </c>
      <c r="AX1679" s="3" t="s">
        <v>14932</v>
      </c>
      <c r="AY1679" s="3" t="s">
        <v>14933</v>
      </c>
      <c r="AZ1679" s="3" t="s">
        <v>14934</v>
      </c>
      <c r="BA1679" s="3" t="s">
        <v>14934</v>
      </c>
      <c r="BB1679" s="3" t="s">
        <v>14935</v>
      </c>
      <c r="BC1679" s="3" t="s">
        <v>82</v>
      </c>
      <c r="BD1679" s="3" t="s">
        <v>70</v>
      </c>
      <c r="BE1679" s="3" t="s">
        <v>14936</v>
      </c>
      <c r="BF1679" s="3" t="s">
        <v>14935</v>
      </c>
      <c r="BG1679" s="3" t="s">
        <v>14937</v>
      </c>
    </row>
    <row r="1680" spans="1:59" ht="60" x14ac:dyDescent="0.25">
      <c r="A1680" s="2" t="s">
        <v>59</v>
      </c>
      <c r="B1680" s="2" t="s">
        <v>60</v>
      </c>
      <c r="C1680" s="2" t="s">
        <v>14956</v>
      </c>
      <c r="D1680" s="2" t="s">
        <v>14957</v>
      </c>
      <c r="E1680" s="2" t="s">
        <v>14958</v>
      </c>
      <c r="G1680" s="3" t="s">
        <v>63</v>
      </c>
      <c r="I1680" s="3" t="s">
        <v>63</v>
      </c>
      <c r="J1680" s="3" t="s">
        <v>63</v>
      </c>
      <c r="K1680" s="3" t="s">
        <v>64</v>
      </c>
      <c r="L1680" s="2" t="s">
        <v>14959</v>
      </c>
      <c r="M1680" s="2" t="s">
        <v>14960</v>
      </c>
      <c r="N1680" s="3" t="s">
        <v>130</v>
      </c>
      <c r="P1680" s="3" t="s">
        <v>90</v>
      </c>
      <c r="R1680" s="3" t="s">
        <v>67</v>
      </c>
      <c r="S1680" s="4">
        <v>0</v>
      </c>
      <c r="T1680" s="4">
        <v>0</v>
      </c>
      <c r="W1680" s="5" t="s">
        <v>69</v>
      </c>
      <c r="X1680" s="5" t="s">
        <v>69</v>
      </c>
      <c r="Y1680" s="4">
        <v>34</v>
      </c>
      <c r="Z1680" s="4">
        <v>4</v>
      </c>
      <c r="AA1680" s="4">
        <v>4</v>
      </c>
      <c r="AB1680" s="4">
        <v>1</v>
      </c>
      <c r="AC1680" s="4">
        <v>1</v>
      </c>
      <c r="AD1680" s="4">
        <v>25</v>
      </c>
      <c r="AE1680" s="4">
        <v>25</v>
      </c>
      <c r="AF1680" s="4">
        <v>0</v>
      </c>
      <c r="AG1680" s="4">
        <v>0</v>
      </c>
      <c r="AH1680" s="4">
        <v>24</v>
      </c>
      <c r="AI1680" s="4">
        <v>24</v>
      </c>
      <c r="AJ1680" s="4">
        <v>2</v>
      </c>
      <c r="AK1680" s="4">
        <v>2</v>
      </c>
      <c r="AL1680" s="4">
        <v>20</v>
      </c>
      <c r="AM1680" s="4">
        <v>20</v>
      </c>
      <c r="AN1680" s="4">
        <v>0</v>
      </c>
      <c r="AO1680" s="4">
        <v>0</v>
      </c>
      <c r="AP1680" s="4">
        <v>2</v>
      </c>
      <c r="AQ1680" s="4">
        <v>2</v>
      </c>
      <c r="AR1680" s="3" t="s">
        <v>63</v>
      </c>
      <c r="AS1680" s="3" t="s">
        <v>63</v>
      </c>
      <c r="AT1680" s="3" t="s">
        <v>63</v>
      </c>
      <c r="AV1680" s="6" t="str">
        <f>HYPERLINK("http://mcgill.on.worldcat.org/oclc/852785891","Catalog Record")</f>
        <v>Catalog Record</v>
      </c>
      <c r="AW1680" s="6" t="str">
        <f>HYPERLINK("http://www.worldcat.org/oclc/852785891","WorldCat Record")</f>
        <v>WorldCat Record</v>
      </c>
      <c r="AX1680" s="3" t="s">
        <v>14961</v>
      </c>
      <c r="AY1680" s="3" t="s">
        <v>14962</v>
      </c>
      <c r="AZ1680" s="3" t="s">
        <v>14963</v>
      </c>
      <c r="BA1680" s="3" t="s">
        <v>14963</v>
      </c>
      <c r="BB1680" s="3" t="s">
        <v>14964</v>
      </c>
      <c r="BC1680" s="3" t="s">
        <v>82</v>
      </c>
      <c r="BD1680" s="3" t="s">
        <v>70</v>
      </c>
      <c r="BE1680" s="3" t="s">
        <v>14965</v>
      </c>
      <c r="BF1680" s="3" t="s">
        <v>14964</v>
      </c>
      <c r="BG1680" s="3" t="s">
        <v>14966</v>
      </c>
    </row>
    <row r="1681" spans="1:59" ht="60" x14ac:dyDescent="0.25">
      <c r="A1681" s="2" t="s">
        <v>59</v>
      </c>
      <c r="B1681" s="2" t="s">
        <v>60</v>
      </c>
      <c r="C1681" s="2" t="s">
        <v>14967</v>
      </c>
      <c r="D1681" s="2" t="s">
        <v>14968</v>
      </c>
      <c r="E1681" s="2" t="s">
        <v>14969</v>
      </c>
      <c r="G1681" s="3" t="s">
        <v>63</v>
      </c>
      <c r="I1681" s="3" t="s">
        <v>63</v>
      </c>
      <c r="J1681" s="3" t="s">
        <v>63</v>
      </c>
      <c r="K1681" s="3" t="s">
        <v>64</v>
      </c>
      <c r="L1681" s="2" t="s">
        <v>14970</v>
      </c>
      <c r="M1681" s="2" t="s">
        <v>14971</v>
      </c>
      <c r="N1681" s="3" t="s">
        <v>76</v>
      </c>
      <c r="P1681" s="3" t="s">
        <v>90</v>
      </c>
      <c r="R1681" s="3" t="s">
        <v>67</v>
      </c>
      <c r="S1681" s="4">
        <v>0</v>
      </c>
      <c r="T1681" s="4">
        <v>0</v>
      </c>
      <c r="W1681" s="5" t="s">
        <v>69</v>
      </c>
      <c r="X1681" s="5" t="s">
        <v>69</v>
      </c>
      <c r="Y1681" s="4">
        <v>32</v>
      </c>
      <c r="Z1681" s="4">
        <v>5</v>
      </c>
      <c r="AA1681" s="4">
        <v>5</v>
      </c>
      <c r="AB1681" s="4">
        <v>1</v>
      </c>
      <c r="AC1681" s="4">
        <v>1</v>
      </c>
      <c r="AD1681" s="4">
        <v>24</v>
      </c>
      <c r="AE1681" s="4">
        <v>24</v>
      </c>
      <c r="AF1681" s="4">
        <v>0</v>
      </c>
      <c r="AG1681" s="4">
        <v>0</v>
      </c>
      <c r="AH1681" s="4">
        <v>23</v>
      </c>
      <c r="AI1681" s="4">
        <v>23</v>
      </c>
      <c r="AJ1681" s="4">
        <v>3</v>
      </c>
      <c r="AK1681" s="4">
        <v>3</v>
      </c>
      <c r="AL1681" s="4">
        <v>18</v>
      </c>
      <c r="AM1681" s="4">
        <v>18</v>
      </c>
      <c r="AN1681" s="4">
        <v>0</v>
      </c>
      <c r="AO1681" s="4">
        <v>0</v>
      </c>
      <c r="AP1681" s="4">
        <v>3</v>
      </c>
      <c r="AQ1681" s="4">
        <v>3</v>
      </c>
      <c r="AR1681" s="3" t="s">
        <v>63</v>
      </c>
      <c r="AS1681" s="3" t="s">
        <v>63</v>
      </c>
      <c r="AT1681" s="3" t="s">
        <v>63</v>
      </c>
      <c r="AV1681" s="6" t="str">
        <f>HYPERLINK("http://mcgill.on.worldcat.org/oclc/812570497","Catalog Record")</f>
        <v>Catalog Record</v>
      </c>
      <c r="AW1681" s="6" t="str">
        <f>HYPERLINK("http://www.worldcat.org/oclc/812570497","WorldCat Record")</f>
        <v>WorldCat Record</v>
      </c>
      <c r="AX1681" s="3" t="s">
        <v>14972</v>
      </c>
      <c r="AY1681" s="3" t="s">
        <v>14973</v>
      </c>
      <c r="AZ1681" s="3" t="s">
        <v>14974</v>
      </c>
      <c r="BA1681" s="3" t="s">
        <v>14974</v>
      </c>
      <c r="BB1681" s="3" t="s">
        <v>14975</v>
      </c>
      <c r="BC1681" s="3" t="s">
        <v>82</v>
      </c>
      <c r="BD1681" s="3" t="s">
        <v>70</v>
      </c>
      <c r="BE1681" s="3" t="s">
        <v>14976</v>
      </c>
      <c r="BF1681" s="3" t="s">
        <v>14975</v>
      </c>
      <c r="BG1681" s="3" t="s">
        <v>14977</v>
      </c>
    </row>
    <row r="1682" spans="1:59" ht="60" x14ac:dyDescent="0.25">
      <c r="A1682" s="2" t="s">
        <v>59</v>
      </c>
      <c r="B1682" s="2" t="s">
        <v>60</v>
      </c>
      <c r="C1682" s="2" t="s">
        <v>14978</v>
      </c>
      <c r="D1682" s="2" t="s">
        <v>14979</v>
      </c>
      <c r="E1682" s="2" t="s">
        <v>14980</v>
      </c>
      <c r="G1682" s="3" t="s">
        <v>63</v>
      </c>
      <c r="I1682" s="3" t="s">
        <v>63</v>
      </c>
      <c r="J1682" s="3" t="s">
        <v>63</v>
      </c>
      <c r="K1682" s="3" t="s">
        <v>64</v>
      </c>
      <c r="L1682" s="2" t="s">
        <v>14981</v>
      </c>
      <c r="M1682" s="2" t="s">
        <v>14982</v>
      </c>
      <c r="N1682" s="3" t="s">
        <v>65</v>
      </c>
      <c r="P1682" s="3" t="s">
        <v>66</v>
      </c>
      <c r="R1682" s="3" t="s">
        <v>67</v>
      </c>
      <c r="S1682" s="4">
        <v>20</v>
      </c>
      <c r="T1682" s="4">
        <v>20</v>
      </c>
      <c r="U1682" s="5" t="s">
        <v>192</v>
      </c>
      <c r="V1682" s="5" t="s">
        <v>192</v>
      </c>
      <c r="W1682" s="5" t="s">
        <v>69</v>
      </c>
      <c r="X1682" s="5" t="s">
        <v>69</v>
      </c>
      <c r="Y1682" s="4">
        <v>182</v>
      </c>
      <c r="Z1682" s="4">
        <v>20</v>
      </c>
      <c r="AA1682" s="4">
        <v>33</v>
      </c>
      <c r="AB1682" s="4">
        <v>1</v>
      </c>
      <c r="AC1682" s="4">
        <v>3</v>
      </c>
      <c r="AD1682" s="4">
        <v>51</v>
      </c>
      <c r="AE1682" s="4">
        <v>122</v>
      </c>
      <c r="AF1682" s="4">
        <v>0</v>
      </c>
      <c r="AG1682" s="4">
        <v>2</v>
      </c>
      <c r="AH1682" s="4">
        <v>43</v>
      </c>
      <c r="AI1682" s="4">
        <v>103</v>
      </c>
      <c r="AJ1682" s="4">
        <v>15</v>
      </c>
      <c r="AK1682" s="4">
        <v>21</v>
      </c>
      <c r="AL1682" s="4">
        <v>20</v>
      </c>
      <c r="AM1682" s="4">
        <v>58</v>
      </c>
      <c r="AN1682" s="4">
        <v>0</v>
      </c>
      <c r="AO1682" s="4">
        <v>0</v>
      </c>
      <c r="AP1682" s="4">
        <v>15</v>
      </c>
      <c r="AQ1682" s="4">
        <v>24</v>
      </c>
      <c r="AR1682" s="3" t="s">
        <v>63</v>
      </c>
      <c r="AS1682" s="3" t="s">
        <v>63</v>
      </c>
      <c r="AT1682" s="3" t="s">
        <v>62</v>
      </c>
      <c r="AU1682" s="6" t="str">
        <f>HYPERLINK("http://catalog.hathitrust.org/Record/000090060","HathiTrust Record")</f>
        <v>HathiTrust Record</v>
      </c>
      <c r="AV1682" s="6" t="str">
        <f>HYPERLINK("http://mcgill.on.worldcat.org/oclc/3556698","Catalog Record")</f>
        <v>Catalog Record</v>
      </c>
      <c r="AW1682" s="6" t="str">
        <f>HYPERLINK("http://www.worldcat.org/oclc/3556698","WorldCat Record")</f>
        <v>WorldCat Record</v>
      </c>
      <c r="AX1682" s="3" t="s">
        <v>14983</v>
      </c>
      <c r="AY1682" s="3" t="s">
        <v>14984</v>
      </c>
      <c r="AZ1682" s="3" t="s">
        <v>14985</v>
      </c>
      <c r="BA1682" s="3" t="s">
        <v>14985</v>
      </c>
      <c r="BB1682" s="3" t="s">
        <v>14986</v>
      </c>
      <c r="BC1682" s="3" t="s">
        <v>82</v>
      </c>
      <c r="BD1682" s="3" t="s">
        <v>70</v>
      </c>
      <c r="BE1682" s="3" t="s">
        <v>14987</v>
      </c>
      <c r="BF1682" s="3" t="s">
        <v>14986</v>
      </c>
      <c r="BG1682" s="3" t="s">
        <v>14988</v>
      </c>
    </row>
    <row r="1683" spans="1:59" ht="60" x14ac:dyDescent="0.25">
      <c r="A1683" s="2" t="s">
        <v>59</v>
      </c>
      <c r="B1683" s="2" t="s">
        <v>60</v>
      </c>
      <c r="C1683" s="2" t="s">
        <v>15096</v>
      </c>
      <c r="D1683" s="2" t="s">
        <v>15097</v>
      </c>
      <c r="E1683" s="2" t="s">
        <v>15098</v>
      </c>
      <c r="F1683" s="3" t="s">
        <v>4168</v>
      </c>
      <c r="G1683" s="3" t="s">
        <v>62</v>
      </c>
      <c r="I1683" s="3" t="s">
        <v>62</v>
      </c>
      <c r="J1683" s="3" t="s">
        <v>63</v>
      </c>
      <c r="K1683" s="3" t="s">
        <v>64</v>
      </c>
      <c r="L1683" s="2" t="s">
        <v>14992</v>
      </c>
      <c r="M1683" s="2" t="s">
        <v>15099</v>
      </c>
      <c r="N1683" s="3" t="s">
        <v>2182</v>
      </c>
      <c r="P1683" s="3" t="s">
        <v>90</v>
      </c>
      <c r="R1683" s="3" t="s">
        <v>67</v>
      </c>
      <c r="S1683" s="4">
        <v>0</v>
      </c>
      <c r="T1683" s="4">
        <v>31</v>
      </c>
      <c r="V1683" s="5" t="s">
        <v>7280</v>
      </c>
      <c r="W1683" s="5" t="s">
        <v>69</v>
      </c>
      <c r="X1683" s="5" t="s">
        <v>69</v>
      </c>
      <c r="Y1683" s="4">
        <v>5</v>
      </c>
      <c r="Z1683" s="4">
        <v>1</v>
      </c>
      <c r="AA1683" s="4">
        <v>6</v>
      </c>
      <c r="AB1683" s="4">
        <v>1</v>
      </c>
      <c r="AC1683" s="4">
        <v>2</v>
      </c>
      <c r="AD1683" s="4">
        <v>0</v>
      </c>
      <c r="AE1683" s="4">
        <v>10</v>
      </c>
      <c r="AF1683" s="4">
        <v>0</v>
      </c>
      <c r="AG1683" s="4">
        <v>1</v>
      </c>
      <c r="AH1683" s="4">
        <v>0</v>
      </c>
      <c r="AI1683" s="4">
        <v>7</v>
      </c>
      <c r="AJ1683" s="4">
        <v>0</v>
      </c>
      <c r="AK1683" s="4">
        <v>3</v>
      </c>
      <c r="AL1683" s="4">
        <v>0</v>
      </c>
      <c r="AM1683" s="4">
        <v>5</v>
      </c>
      <c r="AN1683" s="4">
        <v>0</v>
      </c>
      <c r="AO1683" s="4">
        <v>0</v>
      </c>
      <c r="AP1683" s="4">
        <v>0</v>
      </c>
      <c r="AQ1683" s="4">
        <v>2</v>
      </c>
      <c r="AR1683" s="3" t="s">
        <v>63</v>
      </c>
      <c r="AS1683" s="3" t="s">
        <v>63</v>
      </c>
      <c r="AT1683" s="3" t="s">
        <v>63</v>
      </c>
      <c r="AV1683" s="6" t="str">
        <f>HYPERLINK("http://mcgill.on.worldcat.org/oclc/278146464","Catalog Record")</f>
        <v>Catalog Record</v>
      </c>
      <c r="AW1683" s="6" t="str">
        <f>HYPERLINK("http://www.worldcat.org/oclc/278146464","WorldCat Record")</f>
        <v>WorldCat Record</v>
      </c>
      <c r="AX1683" s="3" t="s">
        <v>15100</v>
      </c>
      <c r="AY1683" s="3" t="s">
        <v>15101</v>
      </c>
      <c r="AZ1683" s="3" t="s">
        <v>15102</v>
      </c>
      <c r="BA1683" s="3" t="s">
        <v>15102</v>
      </c>
      <c r="BB1683" s="3" t="s">
        <v>15103</v>
      </c>
      <c r="BC1683" s="3" t="s">
        <v>82</v>
      </c>
      <c r="BD1683" s="3" t="s">
        <v>70</v>
      </c>
      <c r="BF1683" s="3" t="s">
        <v>15103</v>
      </c>
      <c r="BG1683" s="3" t="s">
        <v>15104</v>
      </c>
    </row>
    <row r="1684" spans="1:59" ht="60" x14ac:dyDescent="0.25">
      <c r="A1684" s="2" t="s">
        <v>59</v>
      </c>
      <c r="B1684" s="2" t="s">
        <v>60</v>
      </c>
      <c r="C1684" s="2" t="s">
        <v>15096</v>
      </c>
      <c r="D1684" s="2" t="s">
        <v>15097</v>
      </c>
      <c r="E1684" s="2" t="s">
        <v>15098</v>
      </c>
      <c r="F1684" s="3" t="s">
        <v>10521</v>
      </c>
      <c r="G1684" s="3" t="s">
        <v>62</v>
      </c>
      <c r="I1684" s="3" t="s">
        <v>62</v>
      </c>
      <c r="J1684" s="3" t="s">
        <v>63</v>
      </c>
      <c r="K1684" s="3" t="s">
        <v>64</v>
      </c>
      <c r="L1684" s="2" t="s">
        <v>14992</v>
      </c>
      <c r="M1684" s="2" t="s">
        <v>15099</v>
      </c>
      <c r="N1684" s="3" t="s">
        <v>2182</v>
      </c>
      <c r="P1684" s="3" t="s">
        <v>90</v>
      </c>
      <c r="R1684" s="3" t="s">
        <v>67</v>
      </c>
      <c r="S1684" s="4">
        <v>0</v>
      </c>
      <c r="T1684" s="4">
        <v>31</v>
      </c>
      <c r="V1684" s="5" t="s">
        <v>7280</v>
      </c>
      <c r="W1684" s="5" t="s">
        <v>69</v>
      </c>
      <c r="X1684" s="5" t="s">
        <v>69</v>
      </c>
      <c r="Y1684" s="4">
        <v>5</v>
      </c>
      <c r="Z1684" s="4">
        <v>1</v>
      </c>
      <c r="AA1684" s="4">
        <v>6</v>
      </c>
      <c r="AB1684" s="4">
        <v>1</v>
      </c>
      <c r="AC1684" s="4">
        <v>2</v>
      </c>
      <c r="AD1684" s="4">
        <v>0</v>
      </c>
      <c r="AE1684" s="4">
        <v>10</v>
      </c>
      <c r="AF1684" s="4">
        <v>0</v>
      </c>
      <c r="AG1684" s="4">
        <v>1</v>
      </c>
      <c r="AH1684" s="4">
        <v>0</v>
      </c>
      <c r="AI1684" s="4">
        <v>7</v>
      </c>
      <c r="AJ1684" s="4">
        <v>0</v>
      </c>
      <c r="AK1684" s="4">
        <v>3</v>
      </c>
      <c r="AL1684" s="4">
        <v>0</v>
      </c>
      <c r="AM1684" s="4">
        <v>5</v>
      </c>
      <c r="AN1684" s="4">
        <v>0</v>
      </c>
      <c r="AO1684" s="4">
        <v>0</v>
      </c>
      <c r="AP1684" s="4">
        <v>0</v>
      </c>
      <c r="AQ1684" s="4">
        <v>2</v>
      </c>
      <c r="AR1684" s="3" t="s">
        <v>63</v>
      </c>
      <c r="AS1684" s="3" t="s">
        <v>63</v>
      </c>
      <c r="AT1684" s="3" t="s">
        <v>63</v>
      </c>
      <c r="AV1684" s="6" t="str">
        <f>HYPERLINK("http://mcgill.on.worldcat.org/oclc/278146464","Catalog Record")</f>
        <v>Catalog Record</v>
      </c>
      <c r="AW1684" s="6" t="str">
        <f>HYPERLINK("http://www.worldcat.org/oclc/278146464","WorldCat Record")</f>
        <v>WorldCat Record</v>
      </c>
      <c r="AX1684" s="3" t="s">
        <v>15100</v>
      </c>
      <c r="AY1684" s="3" t="s">
        <v>15101</v>
      </c>
      <c r="AZ1684" s="3" t="s">
        <v>15102</v>
      </c>
      <c r="BA1684" s="3" t="s">
        <v>15102</v>
      </c>
      <c r="BB1684" s="3" t="s">
        <v>15105</v>
      </c>
      <c r="BC1684" s="3" t="s">
        <v>82</v>
      </c>
      <c r="BD1684" s="3" t="s">
        <v>70</v>
      </c>
      <c r="BF1684" s="3" t="s">
        <v>15105</v>
      </c>
      <c r="BG1684" s="3" t="s">
        <v>15106</v>
      </c>
    </row>
    <row r="1685" spans="1:59" ht="60" x14ac:dyDescent="0.25">
      <c r="A1685" s="2" t="s">
        <v>59</v>
      </c>
      <c r="B1685" s="2" t="s">
        <v>60</v>
      </c>
      <c r="C1685" s="2" t="s">
        <v>15096</v>
      </c>
      <c r="D1685" s="2" t="s">
        <v>15097</v>
      </c>
      <c r="E1685" s="2" t="s">
        <v>15098</v>
      </c>
      <c r="F1685" s="3" t="s">
        <v>1384</v>
      </c>
      <c r="G1685" s="3" t="s">
        <v>62</v>
      </c>
      <c r="I1685" s="3" t="s">
        <v>62</v>
      </c>
      <c r="J1685" s="3" t="s">
        <v>63</v>
      </c>
      <c r="K1685" s="3" t="s">
        <v>64</v>
      </c>
      <c r="L1685" s="2" t="s">
        <v>14992</v>
      </c>
      <c r="M1685" s="2" t="s">
        <v>15099</v>
      </c>
      <c r="N1685" s="3" t="s">
        <v>2182</v>
      </c>
      <c r="P1685" s="3" t="s">
        <v>90</v>
      </c>
      <c r="R1685" s="3" t="s">
        <v>67</v>
      </c>
      <c r="S1685" s="4">
        <v>0</v>
      </c>
      <c r="T1685" s="4">
        <v>31</v>
      </c>
      <c r="V1685" s="5" t="s">
        <v>7280</v>
      </c>
      <c r="W1685" s="5" t="s">
        <v>69</v>
      </c>
      <c r="X1685" s="5" t="s">
        <v>69</v>
      </c>
      <c r="Y1685" s="4">
        <v>5</v>
      </c>
      <c r="Z1685" s="4">
        <v>1</v>
      </c>
      <c r="AA1685" s="4">
        <v>6</v>
      </c>
      <c r="AB1685" s="4">
        <v>1</v>
      </c>
      <c r="AC1685" s="4">
        <v>2</v>
      </c>
      <c r="AD1685" s="4">
        <v>0</v>
      </c>
      <c r="AE1685" s="4">
        <v>10</v>
      </c>
      <c r="AF1685" s="4">
        <v>0</v>
      </c>
      <c r="AG1685" s="4">
        <v>1</v>
      </c>
      <c r="AH1685" s="4">
        <v>0</v>
      </c>
      <c r="AI1685" s="4">
        <v>7</v>
      </c>
      <c r="AJ1685" s="4">
        <v>0</v>
      </c>
      <c r="AK1685" s="4">
        <v>3</v>
      </c>
      <c r="AL1685" s="4">
        <v>0</v>
      </c>
      <c r="AM1685" s="4">
        <v>5</v>
      </c>
      <c r="AN1685" s="4">
        <v>0</v>
      </c>
      <c r="AO1685" s="4">
        <v>0</v>
      </c>
      <c r="AP1685" s="4">
        <v>0</v>
      </c>
      <c r="AQ1685" s="4">
        <v>2</v>
      </c>
      <c r="AR1685" s="3" t="s">
        <v>63</v>
      </c>
      <c r="AS1685" s="3" t="s">
        <v>63</v>
      </c>
      <c r="AT1685" s="3" t="s">
        <v>63</v>
      </c>
      <c r="AV1685" s="6" t="str">
        <f>HYPERLINK("http://mcgill.on.worldcat.org/oclc/278146464","Catalog Record")</f>
        <v>Catalog Record</v>
      </c>
      <c r="AW1685" s="6" t="str">
        <f>HYPERLINK("http://www.worldcat.org/oclc/278146464","WorldCat Record")</f>
        <v>WorldCat Record</v>
      </c>
      <c r="AX1685" s="3" t="s">
        <v>15100</v>
      </c>
      <c r="AY1685" s="3" t="s">
        <v>15101</v>
      </c>
      <c r="AZ1685" s="3" t="s">
        <v>15102</v>
      </c>
      <c r="BA1685" s="3" t="s">
        <v>15102</v>
      </c>
      <c r="BB1685" s="3" t="s">
        <v>15107</v>
      </c>
      <c r="BC1685" s="3" t="s">
        <v>82</v>
      </c>
      <c r="BD1685" s="3" t="s">
        <v>70</v>
      </c>
      <c r="BF1685" s="3" t="s">
        <v>15107</v>
      </c>
      <c r="BG1685" s="3" t="s">
        <v>15108</v>
      </c>
    </row>
    <row r="1686" spans="1:59" ht="60" x14ac:dyDescent="0.25">
      <c r="A1686" s="2" t="s">
        <v>59</v>
      </c>
      <c r="B1686" s="2" t="s">
        <v>60</v>
      </c>
      <c r="C1686" s="2" t="s">
        <v>15096</v>
      </c>
      <c r="D1686" s="2" t="s">
        <v>15097</v>
      </c>
      <c r="E1686" s="2" t="s">
        <v>15098</v>
      </c>
      <c r="F1686" s="3" t="s">
        <v>4181</v>
      </c>
      <c r="G1686" s="3" t="s">
        <v>62</v>
      </c>
      <c r="I1686" s="3" t="s">
        <v>62</v>
      </c>
      <c r="J1686" s="3" t="s">
        <v>63</v>
      </c>
      <c r="K1686" s="3" t="s">
        <v>64</v>
      </c>
      <c r="L1686" s="2" t="s">
        <v>14992</v>
      </c>
      <c r="M1686" s="2" t="s">
        <v>15099</v>
      </c>
      <c r="N1686" s="3" t="s">
        <v>2182</v>
      </c>
      <c r="P1686" s="3" t="s">
        <v>90</v>
      </c>
      <c r="R1686" s="3" t="s">
        <v>67</v>
      </c>
      <c r="S1686" s="4">
        <v>3</v>
      </c>
      <c r="T1686" s="4">
        <v>31</v>
      </c>
      <c r="U1686" s="5" t="s">
        <v>15109</v>
      </c>
      <c r="V1686" s="5" t="s">
        <v>7280</v>
      </c>
      <c r="W1686" s="5" t="s">
        <v>69</v>
      </c>
      <c r="X1686" s="5" t="s">
        <v>69</v>
      </c>
      <c r="Y1686" s="4">
        <v>5</v>
      </c>
      <c r="Z1686" s="4">
        <v>1</v>
      </c>
      <c r="AA1686" s="4">
        <v>6</v>
      </c>
      <c r="AB1686" s="4">
        <v>1</v>
      </c>
      <c r="AC1686" s="4">
        <v>2</v>
      </c>
      <c r="AD1686" s="4">
        <v>0</v>
      </c>
      <c r="AE1686" s="4">
        <v>10</v>
      </c>
      <c r="AF1686" s="4">
        <v>0</v>
      </c>
      <c r="AG1686" s="4">
        <v>1</v>
      </c>
      <c r="AH1686" s="4">
        <v>0</v>
      </c>
      <c r="AI1686" s="4">
        <v>7</v>
      </c>
      <c r="AJ1686" s="4">
        <v>0</v>
      </c>
      <c r="AK1686" s="4">
        <v>3</v>
      </c>
      <c r="AL1686" s="4">
        <v>0</v>
      </c>
      <c r="AM1686" s="4">
        <v>5</v>
      </c>
      <c r="AN1686" s="4">
        <v>0</v>
      </c>
      <c r="AO1686" s="4">
        <v>0</v>
      </c>
      <c r="AP1686" s="4">
        <v>0</v>
      </c>
      <c r="AQ1686" s="4">
        <v>2</v>
      </c>
      <c r="AR1686" s="3" t="s">
        <v>63</v>
      </c>
      <c r="AS1686" s="3" t="s">
        <v>63</v>
      </c>
      <c r="AT1686" s="3" t="s">
        <v>63</v>
      </c>
      <c r="AV1686" s="6" t="str">
        <f>HYPERLINK("http://mcgill.on.worldcat.org/oclc/278146464","Catalog Record")</f>
        <v>Catalog Record</v>
      </c>
      <c r="AW1686" s="6" t="str">
        <f>HYPERLINK("http://www.worldcat.org/oclc/278146464","WorldCat Record")</f>
        <v>WorldCat Record</v>
      </c>
      <c r="AX1686" s="3" t="s">
        <v>15100</v>
      </c>
      <c r="AY1686" s="3" t="s">
        <v>15101</v>
      </c>
      <c r="AZ1686" s="3" t="s">
        <v>15102</v>
      </c>
      <c r="BA1686" s="3" t="s">
        <v>15102</v>
      </c>
      <c r="BB1686" s="3" t="s">
        <v>15110</v>
      </c>
      <c r="BC1686" s="3" t="s">
        <v>82</v>
      </c>
      <c r="BD1686" s="3" t="s">
        <v>70</v>
      </c>
      <c r="BF1686" s="3" t="s">
        <v>15110</v>
      </c>
      <c r="BG1686" s="3" t="s">
        <v>15111</v>
      </c>
    </row>
    <row r="1687" spans="1:59" ht="60" x14ac:dyDescent="0.25">
      <c r="A1687" s="2" t="s">
        <v>59</v>
      </c>
      <c r="B1687" s="2" t="s">
        <v>60</v>
      </c>
      <c r="C1687" s="2" t="s">
        <v>15096</v>
      </c>
      <c r="D1687" s="2" t="s">
        <v>15097</v>
      </c>
      <c r="E1687" s="2" t="s">
        <v>15098</v>
      </c>
      <c r="F1687" s="3" t="s">
        <v>10528</v>
      </c>
      <c r="G1687" s="3" t="s">
        <v>62</v>
      </c>
      <c r="I1687" s="3" t="s">
        <v>62</v>
      </c>
      <c r="J1687" s="3" t="s">
        <v>63</v>
      </c>
      <c r="K1687" s="3" t="s">
        <v>64</v>
      </c>
      <c r="L1687" s="2" t="s">
        <v>14992</v>
      </c>
      <c r="M1687" s="2" t="s">
        <v>15099</v>
      </c>
      <c r="N1687" s="3" t="s">
        <v>2182</v>
      </c>
      <c r="P1687" s="3" t="s">
        <v>90</v>
      </c>
      <c r="R1687" s="3" t="s">
        <v>67</v>
      </c>
      <c r="S1687" s="4">
        <v>2</v>
      </c>
      <c r="T1687" s="4">
        <v>31</v>
      </c>
      <c r="U1687" s="5" t="s">
        <v>15112</v>
      </c>
      <c r="V1687" s="5" t="s">
        <v>7280</v>
      </c>
      <c r="W1687" s="5" t="s">
        <v>69</v>
      </c>
      <c r="X1687" s="5" t="s">
        <v>69</v>
      </c>
      <c r="Y1687" s="4">
        <v>5</v>
      </c>
      <c r="Z1687" s="4">
        <v>1</v>
      </c>
      <c r="AA1687" s="4">
        <v>6</v>
      </c>
      <c r="AB1687" s="4">
        <v>1</v>
      </c>
      <c r="AC1687" s="4">
        <v>2</v>
      </c>
      <c r="AD1687" s="4">
        <v>0</v>
      </c>
      <c r="AE1687" s="4">
        <v>10</v>
      </c>
      <c r="AF1687" s="4">
        <v>0</v>
      </c>
      <c r="AG1687" s="4">
        <v>1</v>
      </c>
      <c r="AH1687" s="4">
        <v>0</v>
      </c>
      <c r="AI1687" s="4">
        <v>7</v>
      </c>
      <c r="AJ1687" s="4">
        <v>0</v>
      </c>
      <c r="AK1687" s="4">
        <v>3</v>
      </c>
      <c r="AL1687" s="4">
        <v>0</v>
      </c>
      <c r="AM1687" s="4">
        <v>5</v>
      </c>
      <c r="AN1687" s="4">
        <v>0</v>
      </c>
      <c r="AO1687" s="4">
        <v>0</v>
      </c>
      <c r="AP1687" s="4">
        <v>0</v>
      </c>
      <c r="AQ1687" s="4">
        <v>2</v>
      </c>
      <c r="AR1687" s="3" t="s">
        <v>63</v>
      </c>
      <c r="AS1687" s="3" t="s">
        <v>63</v>
      </c>
      <c r="AT1687" s="3" t="s">
        <v>63</v>
      </c>
      <c r="AV1687" s="6" t="str">
        <f>HYPERLINK("http://mcgill.on.worldcat.org/oclc/278146464","Catalog Record")</f>
        <v>Catalog Record</v>
      </c>
      <c r="AW1687" s="6" t="str">
        <f>HYPERLINK("http://www.worldcat.org/oclc/278146464","WorldCat Record")</f>
        <v>WorldCat Record</v>
      </c>
      <c r="AX1687" s="3" t="s">
        <v>15100</v>
      </c>
      <c r="AY1687" s="3" t="s">
        <v>15101</v>
      </c>
      <c r="AZ1687" s="3" t="s">
        <v>15102</v>
      </c>
      <c r="BA1687" s="3" t="s">
        <v>15102</v>
      </c>
      <c r="BB1687" s="3" t="s">
        <v>15113</v>
      </c>
      <c r="BC1687" s="3" t="s">
        <v>82</v>
      </c>
      <c r="BD1687" s="3" t="s">
        <v>70</v>
      </c>
      <c r="BF1687" s="3" t="s">
        <v>15113</v>
      </c>
      <c r="BG1687" s="3" t="s">
        <v>15114</v>
      </c>
    </row>
    <row r="1688" spans="1:59" ht="60" x14ac:dyDescent="0.25">
      <c r="A1688" s="2" t="s">
        <v>59</v>
      </c>
      <c r="B1688" s="2" t="s">
        <v>60</v>
      </c>
      <c r="C1688" s="2" t="s">
        <v>15096</v>
      </c>
      <c r="D1688" s="2" t="s">
        <v>15097</v>
      </c>
      <c r="E1688" s="2" t="s">
        <v>15098</v>
      </c>
      <c r="F1688" s="3" t="s">
        <v>15115</v>
      </c>
      <c r="G1688" s="3" t="s">
        <v>62</v>
      </c>
      <c r="I1688" s="3" t="s">
        <v>62</v>
      </c>
      <c r="J1688" s="3" t="s">
        <v>63</v>
      </c>
      <c r="K1688" s="3" t="s">
        <v>64</v>
      </c>
      <c r="L1688" s="2" t="s">
        <v>14992</v>
      </c>
      <c r="M1688" s="2" t="s">
        <v>15099</v>
      </c>
      <c r="N1688" s="3" t="s">
        <v>2182</v>
      </c>
      <c r="P1688" s="3" t="s">
        <v>90</v>
      </c>
      <c r="R1688" s="3" t="s">
        <v>67</v>
      </c>
      <c r="S1688" s="4">
        <v>0</v>
      </c>
      <c r="T1688" s="4">
        <v>31</v>
      </c>
      <c r="V1688" s="5" t="s">
        <v>7280</v>
      </c>
      <c r="W1688" s="5" t="s">
        <v>69</v>
      </c>
      <c r="X1688" s="5" t="s">
        <v>69</v>
      </c>
      <c r="Y1688" s="4">
        <v>5</v>
      </c>
      <c r="Z1688" s="4">
        <v>1</v>
      </c>
      <c r="AA1688" s="4">
        <v>6</v>
      </c>
      <c r="AB1688" s="4">
        <v>1</v>
      </c>
      <c r="AC1688" s="4">
        <v>2</v>
      </c>
      <c r="AD1688" s="4">
        <v>0</v>
      </c>
      <c r="AE1688" s="4">
        <v>10</v>
      </c>
      <c r="AF1688" s="4">
        <v>0</v>
      </c>
      <c r="AG1688" s="4">
        <v>1</v>
      </c>
      <c r="AH1688" s="4">
        <v>0</v>
      </c>
      <c r="AI1688" s="4">
        <v>7</v>
      </c>
      <c r="AJ1688" s="4">
        <v>0</v>
      </c>
      <c r="AK1688" s="4">
        <v>3</v>
      </c>
      <c r="AL1688" s="4">
        <v>0</v>
      </c>
      <c r="AM1688" s="4">
        <v>5</v>
      </c>
      <c r="AN1688" s="4">
        <v>0</v>
      </c>
      <c r="AO1688" s="4">
        <v>0</v>
      </c>
      <c r="AP1688" s="4">
        <v>0</v>
      </c>
      <c r="AQ1688" s="4">
        <v>2</v>
      </c>
      <c r="AR1688" s="3" t="s">
        <v>63</v>
      </c>
      <c r="AS1688" s="3" t="s">
        <v>63</v>
      </c>
      <c r="AT1688" s="3" t="s">
        <v>63</v>
      </c>
      <c r="AV1688" s="6" t="str">
        <f>HYPERLINK("http://mcgill.on.worldcat.org/oclc/278146464","Catalog Record")</f>
        <v>Catalog Record</v>
      </c>
      <c r="AW1688" s="6" t="str">
        <f>HYPERLINK("http://www.worldcat.org/oclc/278146464","WorldCat Record")</f>
        <v>WorldCat Record</v>
      </c>
      <c r="AX1688" s="3" t="s">
        <v>15100</v>
      </c>
      <c r="AY1688" s="3" t="s">
        <v>15101</v>
      </c>
      <c r="AZ1688" s="3" t="s">
        <v>15102</v>
      </c>
      <c r="BA1688" s="3" t="s">
        <v>15102</v>
      </c>
      <c r="BB1688" s="3" t="s">
        <v>15116</v>
      </c>
      <c r="BC1688" s="3" t="s">
        <v>82</v>
      </c>
      <c r="BD1688" s="3" t="s">
        <v>70</v>
      </c>
      <c r="BF1688" s="3" t="s">
        <v>15116</v>
      </c>
      <c r="BG1688" s="3" t="s">
        <v>15117</v>
      </c>
    </row>
    <row r="1689" spans="1:59" ht="60" x14ac:dyDescent="0.25">
      <c r="A1689" s="2" t="s">
        <v>59</v>
      </c>
      <c r="B1689" s="2" t="s">
        <v>60</v>
      </c>
      <c r="C1689" s="2" t="s">
        <v>15096</v>
      </c>
      <c r="D1689" s="2" t="s">
        <v>15097</v>
      </c>
      <c r="E1689" s="2" t="s">
        <v>15098</v>
      </c>
      <c r="F1689" s="3" t="s">
        <v>2601</v>
      </c>
      <c r="G1689" s="3" t="s">
        <v>62</v>
      </c>
      <c r="I1689" s="3" t="s">
        <v>62</v>
      </c>
      <c r="J1689" s="3" t="s">
        <v>63</v>
      </c>
      <c r="K1689" s="3" t="s">
        <v>64</v>
      </c>
      <c r="L1689" s="2" t="s">
        <v>14992</v>
      </c>
      <c r="M1689" s="2" t="s">
        <v>15099</v>
      </c>
      <c r="N1689" s="3" t="s">
        <v>2182</v>
      </c>
      <c r="P1689" s="3" t="s">
        <v>90</v>
      </c>
      <c r="R1689" s="3" t="s">
        <v>67</v>
      </c>
      <c r="S1689" s="4">
        <v>3</v>
      </c>
      <c r="T1689" s="4">
        <v>31</v>
      </c>
      <c r="U1689" s="5" t="s">
        <v>5549</v>
      </c>
      <c r="V1689" s="5" t="s">
        <v>7280</v>
      </c>
      <c r="W1689" s="5" t="s">
        <v>69</v>
      </c>
      <c r="X1689" s="5" t="s">
        <v>69</v>
      </c>
      <c r="Y1689" s="4">
        <v>5</v>
      </c>
      <c r="Z1689" s="4">
        <v>1</v>
      </c>
      <c r="AA1689" s="4">
        <v>6</v>
      </c>
      <c r="AB1689" s="4">
        <v>1</v>
      </c>
      <c r="AC1689" s="4">
        <v>2</v>
      </c>
      <c r="AD1689" s="4">
        <v>0</v>
      </c>
      <c r="AE1689" s="4">
        <v>10</v>
      </c>
      <c r="AF1689" s="4">
        <v>0</v>
      </c>
      <c r="AG1689" s="4">
        <v>1</v>
      </c>
      <c r="AH1689" s="4">
        <v>0</v>
      </c>
      <c r="AI1689" s="4">
        <v>7</v>
      </c>
      <c r="AJ1689" s="4">
        <v>0</v>
      </c>
      <c r="AK1689" s="4">
        <v>3</v>
      </c>
      <c r="AL1689" s="4">
        <v>0</v>
      </c>
      <c r="AM1689" s="4">
        <v>5</v>
      </c>
      <c r="AN1689" s="4">
        <v>0</v>
      </c>
      <c r="AO1689" s="4">
        <v>0</v>
      </c>
      <c r="AP1689" s="4">
        <v>0</v>
      </c>
      <c r="AQ1689" s="4">
        <v>2</v>
      </c>
      <c r="AR1689" s="3" t="s">
        <v>63</v>
      </c>
      <c r="AS1689" s="3" t="s">
        <v>63</v>
      </c>
      <c r="AT1689" s="3" t="s">
        <v>63</v>
      </c>
      <c r="AV1689" s="6" t="str">
        <f>HYPERLINK("http://mcgill.on.worldcat.org/oclc/278146464","Catalog Record")</f>
        <v>Catalog Record</v>
      </c>
      <c r="AW1689" s="6" t="str">
        <f>HYPERLINK("http://www.worldcat.org/oclc/278146464","WorldCat Record")</f>
        <v>WorldCat Record</v>
      </c>
      <c r="AX1689" s="3" t="s">
        <v>15100</v>
      </c>
      <c r="AY1689" s="3" t="s">
        <v>15101</v>
      </c>
      <c r="AZ1689" s="3" t="s">
        <v>15102</v>
      </c>
      <c r="BA1689" s="3" t="s">
        <v>15102</v>
      </c>
      <c r="BB1689" s="3" t="s">
        <v>15118</v>
      </c>
      <c r="BC1689" s="3" t="s">
        <v>82</v>
      </c>
      <c r="BD1689" s="3" t="s">
        <v>70</v>
      </c>
      <c r="BF1689" s="3" t="s">
        <v>15118</v>
      </c>
      <c r="BG1689" s="3" t="s">
        <v>15119</v>
      </c>
    </row>
    <row r="1690" spans="1:59" ht="60" x14ac:dyDescent="0.25">
      <c r="A1690" s="2" t="s">
        <v>59</v>
      </c>
      <c r="B1690" s="2" t="s">
        <v>60</v>
      </c>
      <c r="C1690" s="2" t="s">
        <v>15096</v>
      </c>
      <c r="D1690" s="2" t="s">
        <v>15097</v>
      </c>
      <c r="E1690" s="2" t="s">
        <v>15098</v>
      </c>
      <c r="F1690" s="3" t="s">
        <v>10507</v>
      </c>
      <c r="G1690" s="3" t="s">
        <v>62</v>
      </c>
      <c r="I1690" s="3" t="s">
        <v>62</v>
      </c>
      <c r="J1690" s="3" t="s">
        <v>63</v>
      </c>
      <c r="K1690" s="3" t="s">
        <v>64</v>
      </c>
      <c r="L1690" s="2" t="s">
        <v>14992</v>
      </c>
      <c r="M1690" s="2" t="s">
        <v>15099</v>
      </c>
      <c r="N1690" s="3" t="s">
        <v>2182</v>
      </c>
      <c r="P1690" s="3" t="s">
        <v>90</v>
      </c>
      <c r="R1690" s="3" t="s">
        <v>67</v>
      </c>
      <c r="S1690" s="4">
        <v>2</v>
      </c>
      <c r="T1690" s="4">
        <v>31</v>
      </c>
      <c r="U1690" s="5" t="s">
        <v>12050</v>
      </c>
      <c r="V1690" s="5" t="s">
        <v>7280</v>
      </c>
      <c r="W1690" s="5" t="s">
        <v>69</v>
      </c>
      <c r="X1690" s="5" t="s">
        <v>69</v>
      </c>
      <c r="Y1690" s="4">
        <v>5</v>
      </c>
      <c r="Z1690" s="4">
        <v>1</v>
      </c>
      <c r="AA1690" s="4">
        <v>6</v>
      </c>
      <c r="AB1690" s="4">
        <v>1</v>
      </c>
      <c r="AC1690" s="4">
        <v>2</v>
      </c>
      <c r="AD1690" s="4">
        <v>0</v>
      </c>
      <c r="AE1690" s="4">
        <v>10</v>
      </c>
      <c r="AF1690" s="4">
        <v>0</v>
      </c>
      <c r="AG1690" s="4">
        <v>1</v>
      </c>
      <c r="AH1690" s="4">
        <v>0</v>
      </c>
      <c r="AI1690" s="4">
        <v>7</v>
      </c>
      <c r="AJ1690" s="4">
        <v>0</v>
      </c>
      <c r="AK1690" s="4">
        <v>3</v>
      </c>
      <c r="AL1690" s="4">
        <v>0</v>
      </c>
      <c r="AM1690" s="4">
        <v>5</v>
      </c>
      <c r="AN1690" s="4">
        <v>0</v>
      </c>
      <c r="AO1690" s="4">
        <v>0</v>
      </c>
      <c r="AP1690" s="4">
        <v>0</v>
      </c>
      <c r="AQ1690" s="4">
        <v>2</v>
      </c>
      <c r="AR1690" s="3" t="s">
        <v>63</v>
      </c>
      <c r="AS1690" s="3" t="s">
        <v>63</v>
      </c>
      <c r="AT1690" s="3" t="s">
        <v>63</v>
      </c>
      <c r="AV1690" s="6" t="str">
        <f>HYPERLINK("http://mcgill.on.worldcat.org/oclc/278146464","Catalog Record")</f>
        <v>Catalog Record</v>
      </c>
      <c r="AW1690" s="6" t="str">
        <f>HYPERLINK("http://www.worldcat.org/oclc/278146464","WorldCat Record")</f>
        <v>WorldCat Record</v>
      </c>
      <c r="AX1690" s="3" t="s">
        <v>15100</v>
      </c>
      <c r="AY1690" s="3" t="s">
        <v>15101</v>
      </c>
      <c r="AZ1690" s="3" t="s">
        <v>15102</v>
      </c>
      <c r="BA1690" s="3" t="s">
        <v>15102</v>
      </c>
      <c r="BB1690" s="3" t="s">
        <v>15120</v>
      </c>
      <c r="BC1690" s="3" t="s">
        <v>82</v>
      </c>
      <c r="BD1690" s="3" t="s">
        <v>70</v>
      </c>
      <c r="BF1690" s="3" t="s">
        <v>15120</v>
      </c>
      <c r="BG1690" s="3" t="s">
        <v>15121</v>
      </c>
    </row>
    <row r="1691" spans="1:59" ht="60" x14ac:dyDescent="0.25">
      <c r="A1691" s="2" t="s">
        <v>59</v>
      </c>
      <c r="B1691" s="2" t="s">
        <v>60</v>
      </c>
      <c r="C1691" s="2" t="s">
        <v>15096</v>
      </c>
      <c r="D1691" s="2" t="s">
        <v>15097</v>
      </c>
      <c r="E1691" s="2" t="s">
        <v>15098</v>
      </c>
      <c r="F1691" s="3" t="s">
        <v>10705</v>
      </c>
      <c r="G1691" s="3" t="s">
        <v>62</v>
      </c>
      <c r="I1691" s="3" t="s">
        <v>62</v>
      </c>
      <c r="J1691" s="3" t="s">
        <v>63</v>
      </c>
      <c r="K1691" s="3" t="s">
        <v>64</v>
      </c>
      <c r="L1691" s="2" t="s">
        <v>14992</v>
      </c>
      <c r="M1691" s="2" t="s">
        <v>15099</v>
      </c>
      <c r="N1691" s="3" t="s">
        <v>2182</v>
      </c>
      <c r="P1691" s="3" t="s">
        <v>90</v>
      </c>
      <c r="R1691" s="3" t="s">
        <v>67</v>
      </c>
      <c r="S1691" s="4">
        <v>0</v>
      </c>
      <c r="T1691" s="4">
        <v>31</v>
      </c>
      <c r="V1691" s="5" t="s">
        <v>7280</v>
      </c>
      <c r="W1691" s="5" t="s">
        <v>69</v>
      </c>
      <c r="X1691" s="5" t="s">
        <v>69</v>
      </c>
      <c r="Y1691" s="4">
        <v>5</v>
      </c>
      <c r="Z1691" s="4">
        <v>1</v>
      </c>
      <c r="AA1691" s="4">
        <v>6</v>
      </c>
      <c r="AB1691" s="4">
        <v>1</v>
      </c>
      <c r="AC1691" s="4">
        <v>2</v>
      </c>
      <c r="AD1691" s="4">
        <v>0</v>
      </c>
      <c r="AE1691" s="4">
        <v>10</v>
      </c>
      <c r="AF1691" s="4">
        <v>0</v>
      </c>
      <c r="AG1691" s="4">
        <v>1</v>
      </c>
      <c r="AH1691" s="4">
        <v>0</v>
      </c>
      <c r="AI1691" s="4">
        <v>7</v>
      </c>
      <c r="AJ1691" s="4">
        <v>0</v>
      </c>
      <c r="AK1691" s="4">
        <v>3</v>
      </c>
      <c r="AL1691" s="4">
        <v>0</v>
      </c>
      <c r="AM1691" s="4">
        <v>5</v>
      </c>
      <c r="AN1691" s="4">
        <v>0</v>
      </c>
      <c r="AO1691" s="4">
        <v>0</v>
      </c>
      <c r="AP1691" s="4">
        <v>0</v>
      </c>
      <c r="AQ1691" s="4">
        <v>2</v>
      </c>
      <c r="AR1691" s="3" t="s">
        <v>63</v>
      </c>
      <c r="AS1691" s="3" t="s">
        <v>63</v>
      </c>
      <c r="AT1691" s="3" t="s">
        <v>63</v>
      </c>
      <c r="AV1691" s="6" t="str">
        <f>HYPERLINK("http://mcgill.on.worldcat.org/oclc/278146464","Catalog Record")</f>
        <v>Catalog Record</v>
      </c>
      <c r="AW1691" s="6" t="str">
        <f>HYPERLINK("http://www.worldcat.org/oclc/278146464","WorldCat Record")</f>
        <v>WorldCat Record</v>
      </c>
      <c r="AX1691" s="3" t="s">
        <v>15100</v>
      </c>
      <c r="AY1691" s="3" t="s">
        <v>15101</v>
      </c>
      <c r="AZ1691" s="3" t="s">
        <v>15102</v>
      </c>
      <c r="BA1691" s="3" t="s">
        <v>15102</v>
      </c>
      <c r="BB1691" s="3" t="s">
        <v>15122</v>
      </c>
      <c r="BC1691" s="3" t="s">
        <v>82</v>
      </c>
      <c r="BD1691" s="3" t="s">
        <v>70</v>
      </c>
      <c r="BF1691" s="3" t="s">
        <v>15122</v>
      </c>
      <c r="BG1691" s="3" t="s">
        <v>15123</v>
      </c>
    </row>
    <row r="1692" spans="1:59" ht="60" x14ac:dyDescent="0.25">
      <c r="A1692" s="2" t="s">
        <v>59</v>
      </c>
      <c r="B1692" s="2" t="s">
        <v>60</v>
      </c>
      <c r="C1692" s="2" t="s">
        <v>15096</v>
      </c>
      <c r="D1692" s="2" t="s">
        <v>15097</v>
      </c>
      <c r="E1692" s="2" t="s">
        <v>15098</v>
      </c>
      <c r="F1692" s="3" t="s">
        <v>1387</v>
      </c>
      <c r="G1692" s="3" t="s">
        <v>62</v>
      </c>
      <c r="I1692" s="3" t="s">
        <v>62</v>
      </c>
      <c r="J1692" s="3" t="s">
        <v>63</v>
      </c>
      <c r="K1692" s="3" t="s">
        <v>64</v>
      </c>
      <c r="L1692" s="2" t="s">
        <v>14992</v>
      </c>
      <c r="M1692" s="2" t="s">
        <v>15099</v>
      </c>
      <c r="N1692" s="3" t="s">
        <v>2182</v>
      </c>
      <c r="P1692" s="3" t="s">
        <v>90</v>
      </c>
      <c r="R1692" s="3" t="s">
        <v>67</v>
      </c>
      <c r="S1692" s="4">
        <v>3</v>
      </c>
      <c r="T1692" s="4">
        <v>31</v>
      </c>
      <c r="U1692" s="5" t="s">
        <v>7280</v>
      </c>
      <c r="V1692" s="5" t="s">
        <v>7280</v>
      </c>
      <c r="W1692" s="5" t="s">
        <v>69</v>
      </c>
      <c r="X1692" s="5" t="s">
        <v>69</v>
      </c>
      <c r="Y1692" s="4">
        <v>5</v>
      </c>
      <c r="Z1692" s="4">
        <v>1</v>
      </c>
      <c r="AA1692" s="4">
        <v>6</v>
      </c>
      <c r="AB1692" s="4">
        <v>1</v>
      </c>
      <c r="AC1692" s="4">
        <v>2</v>
      </c>
      <c r="AD1692" s="4">
        <v>0</v>
      </c>
      <c r="AE1692" s="4">
        <v>10</v>
      </c>
      <c r="AF1692" s="4">
        <v>0</v>
      </c>
      <c r="AG1692" s="4">
        <v>1</v>
      </c>
      <c r="AH1692" s="4">
        <v>0</v>
      </c>
      <c r="AI1692" s="4">
        <v>7</v>
      </c>
      <c r="AJ1692" s="4">
        <v>0</v>
      </c>
      <c r="AK1692" s="4">
        <v>3</v>
      </c>
      <c r="AL1692" s="4">
        <v>0</v>
      </c>
      <c r="AM1692" s="4">
        <v>5</v>
      </c>
      <c r="AN1692" s="4">
        <v>0</v>
      </c>
      <c r="AO1692" s="4">
        <v>0</v>
      </c>
      <c r="AP1692" s="4">
        <v>0</v>
      </c>
      <c r="AQ1692" s="4">
        <v>2</v>
      </c>
      <c r="AR1692" s="3" t="s">
        <v>63</v>
      </c>
      <c r="AS1692" s="3" t="s">
        <v>63</v>
      </c>
      <c r="AT1692" s="3" t="s">
        <v>63</v>
      </c>
      <c r="AV1692" s="6" t="str">
        <f>HYPERLINK("http://mcgill.on.worldcat.org/oclc/278146464","Catalog Record")</f>
        <v>Catalog Record</v>
      </c>
      <c r="AW1692" s="6" t="str">
        <f>HYPERLINK("http://www.worldcat.org/oclc/278146464","WorldCat Record")</f>
        <v>WorldCat Record</v>
      </c>
      <c r="AX1692" s="3" t="s">
        <v>15100</v>
      </c>
      <c r="AY1692" s="3" t="s">
        <v>15101</v>
      </c>
      <c r="AZ1692" s="3" t="s">
        <v>15102</v>
      </c>
      <c r="BA1692" s="3" t="s">
        <v>15102</v>
      </c>
      <c r="BB1692" s="3" t="s">
        <v>15124</v>
      </c>
      <c r="BC1692" s="3" t="s">
        <v>82</v>
      </c>
      <c r="BD1692" s="3" t="s">
        <v>70</v>
      </c>
      <c r="BF1692" s="3" t="s">
        <v>15124</v>
      </c>
      <c r="BG1692" s="3" t="s">
        <v>15125</v>
      </c>
    </row>
    <row r="1693" spans="1:59" ht="60" x14ac:dyDescent="0.25">
      <c r="A1693" s="2" t="s">
        <v>59</v>
      </c>
      <c r="B1693" s="2" t="s">
        <v>60</v>
      </c>
      <c r="C1693" s="2" t="s">
        <v>15096</v>
      </c>
      <c r="D1693" s="2" t="s">
        <v>15097</v>
      </c>
      <c r="E1693" s="2" t="s">
        <v>15098</v>
      </c>
      <c r="F1693" s="3" t="s">
        <v>1376</v>
      </c>
      <c r="G1693" s="3" t="s">
        <v>62</v>
      </c>
      <c r="I1693" s="3" t="s">
        <v>62</v>
      </c>
      <c r="J1693" s="3" t="s">
        <v>63</v>
      </c>
      <c r="K1693" s="3" t="s">
        <v>64</v>
      </c>
      <c r="L1693" s="2" t="s">
        <v>14992</v>
      </c>
      <c r="M1693" s="2" t="s">
        <v>15099</v>
      </c>
      <c r="N1693" s="3" t="s">
        <v>2182</v>
      </c>
      <c r="P1693" s="3" t="s">
        <v>90</v>
      </c>
      <c r="R1693" s="3" t="s">
        <v>67</v>
      </c>
      <c r="S1693" s="4">
        <v>0</v>
      </c>
      <c r="T1693" s="4">
        <v>31</v>
      </c>
      <c r="V1693" s="5" t="s">
        <v>7280</v>
      </c>
      <c r="W1693" s="5" t="s">
        <v>69</v>
      </c>
      <c r="X1693" s="5" t="s">
        <v>69</v>
      </c>
      <c r="Y1693" s="4">
        <v>5</v>
      </c>
      <c r="Z1693" s="4">
        <v>1</v>
      </c>
      <c r="AA1693" s="4">
        <v>6</v>
      </c>
      <c r="AB1693" s="4">
        <v>1</v>
      </c>
      <c r="AC1693" s="4">
        <v>2</v>
      </c>
      <c r="AD1693" s="4">
        <v>0</v>
      </c>
      <c r="AE1693" s="4">
        <v>10</v>
      </c>
      <c r="AF1693" s="4">
        <v>0</v>
      </c>
      <c r="AG1693" s="4">
        <v>1</v>
      </c>
      <c r="AH1693" s="4">
        <v>0</v>
      </c>
      <c r="AI1693" s="4">
        <v>7</v>
      </c>
      <c r="AJ1693" s="4">
        <v>0</v>
      </c>
      <c r="AK1693" s="4">
        <v>3</v>
      </c>
      <c r="AL1693" s="4">
        <v>0</v>
      </c>
      <c r="AM1693" s="4">
        <v>5</v>
      </c>
      <c r="AN1693" s="4">
        <v>0</v>
      </c>
      <c r="AO1693" s="4">
        <v>0</v>
      </c>
      <c r="AP1693" s="4">
        <v>0</v>
      </c>
      <c r="AQ1693" s="4">
        <v>2</v>
      </c>
      <c r="AR1693" s="3" t="s">
        <v>63</v>
      </c>
      <c r="AS1693" s="3" t="s">
        <v>63</v>
      </c>
      <c r="AT1693" s="3" t="s">
        <v>63</v>
      </c>
      <c r="AV1693" s="6" t="str">
        <f>HYPERLINK("http://mcgill.on.worldcat.org/oclc/278146464","Catalog Record")</f>
        <v>Catalog Record</v>
      </c>
      <c r="AW1693" s="6" t="str">
        <f>HYPERLINK("http://www.worldcat.org/oclc/278146464","WorldCat Record")</f>
        <v>WorldCat Record</v>
      </c>
      <c r="AX1693" s="3" t="s">
        <v>15100</v>
      </c>
      <c r="AY1693" s="3" t="s">
        <v>15101</v>
      </c>
      <c r="AZ1693" s="3" t="s">
        <v>15102</v>
      </c>
      <c r="BA1693" s="3" t="s">
        <v>15102</v>
      </c>
      <c r="BB1693" s="3" t="s">
        <v>15126</v>
      </c>
      <c r="BC1693" s="3" t="s">
        <v>82</v>
      </c>
      <c r="BD1693" s="3" t="s">
        <v>70</v>
      </c>
      <c r="BF1693" s="3" t="s">
        <v>15126</v>
      </c>
      <c r="BG1693" s="3" t="s">
        <v>15127</v>
      </c>
    </row>
    <row r="1694" spans="1:59" ht="60" x14ac:dyDescent="0.25">
      <c r="A1694" s="2" t="s">
        <v>59</v>
      </c>
      <c r="B1694" s="2" t="s">
        <v>60</v>
      </c>
      <c r="C1694" s="2" t="s">
        <v>15096</v>
      </c>
      <c r="D1694" s="2" t="s">
        <v>15097</v>
      </c>
      <c r="E1694" s="2" t="s">
        <v>15098</v>
      </c>
      <c r="F1694" s="3" t="s">
        <v>1095</v>
      </c>
      <c r="G1694" s="3" t="s">
        <v>62</v>
      </c>
      <c r="I1694" s="3" t="s">
        <v>62</v>
      </c>
      <c r="J1694" s="3" t="s">
        <v>63</v>
      </c>
      <c r="K1694" s="3" t="s">
        <v>64</v>
      </c>
      <c r="L1694" s="2" t="s">
        <v>14992</v>
      </c>
      <c r="M1694" s="2" t="s">
        <v>15099</v>
      </c>
      <c r="N1694" s="3" t="s">
        <v>2182</v>
      </c>
      <c r="P1694" s="3" t="s">
        <v>90</v>
      </c>
      <c r="R1694" s="3" t="s">
        <v>67</v>
      </c>
      <c r="S1694" s="4">
        <v>2</v>
      </c>
      <c r="T1694" s="4">
        <v>31</v>
      </c>
      <c r="U1694" s="5" t="s">
        <v>15128</v>
      </c>
      <c r="V1694" s="5" t="s">
        <v>7280</v>
      </c>
      <c r="W1694" s="5" t="s">
        <v>69</v>
      </c>
      <c r="X1694" s="5" t="s">
        <v>69</v>
      </c>
      <c r="Y1694" s="4">
        <v>5</v>
      </c>
      <c r="Z1694" s="4">
        <v>1</v>
      </c>
      <c r="AA1694" s="4">
        <v>6</v>
      </c>
      <c r="AB1694" s="4">
        <v>1</v>
      </c>
      <c r="AC1694" s="4">
        <v>2</v>
      </c>
      <c r="AD1694" s="4">
        <v>0</v>
      </c>
      <c r="AE1694" s="4">
        <v>10</v>
      </c>
      <c r="AF1694" s="4">
        <v>0</v>
      </c>
      <c r="AG1694" s="4">
        <v>1</v>
      </c>
      <c r="AH1694" s="4">
        <v>0</v>
      </c>
      <c r="AI1694" s="4">
        <v>7</v>
      </c>
      <c r="AJ1694" s="4">
        <v>0</v>
      </c>
      <c r="AK1694" s="4">
        <v>3</v>
      </c>
      <c r="AL1694" s="4">
        <v>0</v>
      </c>
      <c r="AM1694" s="4">
        <v>5</v>
      </c>
      <c r="AN1694" s="4">
        <v>0</v>
      </c>
      <c r="AO1694" s="4">
        <v>0</v>
      </c>
      <c r="AP1694" s="4">
        <v>0</v>
      </c>
      <c r="AQ1694" s="4">
        <v>2</v>
      </c>
      <c r="AR1694" s="3" t="s">
        <v>63</v>
      </c>
      <c r="AS1694" s="3" t="s">
        <v>63</v>
      </c>
      <c r="AT1694" s="3" t="s">
        <v>63</v>
      </c>
      <c r="AV1694" s="6" t="str">
        <f>HYPERLINK("http://mcgill.on.worldcat.org/oclc/278146464","Catalog Record")</f>
        <v>Catalog Record</v>
      </c>
      <c r="AW1694" s="6" t="str">
        <f>HYPERLINK("http://www.worldcat.org/oclc/278146464","WorldCat Record")</f>
        <v>WorldCat Record</v>
      </c>
      <c r="AX1694" s="3" t="s">
        <v>15100</v>
      </c>
      <c r="AY1694" s="3" t="s">
        <v>15101</v>
      </c>
      <c r="AZ1694" s="3" t="s">
        <v>15102</v>
      </c>
      <c r="BA1694" s="3" t="s">
        <v>15102</v>
      </c>
      <c r="BB1694" s="3" t="s">
        <v>15129</v>
      </c>
      <c r="BC1694" s="3" t="s">
        <v>82</v>
      </c>
      <c r="BD1694" s="3" t="s">
        <v>70</v>
      </c>
      <c r="BF1694" s="3" t="s">
        <v>15129</v>
      </c>
      <c r="BG1694" s="3" t="s">
        <v>15130</v>
      </c>
    </row>
    <row r="1695" spans="1:59" ht="60" x14ac:dyDescent="0.25">
      <c r="A1695" s="2" t="s">
        <v>59</v>
      </c>
      <c r="B1695" s="2" t="s">
        <v>60</v>
      </c>
      <c r="C1695" s="2" t="s">
        <v>15096</v>
      </c>
      <c r="D1695" s="2" t="s">
        <v>15097</v>
      </c>
      <c r="E1695" s="2" t="s">
        <v>15098</v>
      </c>
      <c r="F1695" s="3" t="s">
        <v>4184</v>
      </c>
      <c r="G1695" s="3" t="s">
        <v>62</v>
      </c>
      <c r="I1695" s="3" t="s">
        <v>62</v>
      </c>
      <c r="J1695" s="3" t="s">
        <v>63</v>
      </c>
      <c r="K1695" s="3" t="s">
        <v>64</v>
      </c>
      <c r="L1695" s="2" t="s">
        <v>14992</v>
      </c>
      <c r="M1695" s="2" t="s">
        <v>15099</v>
      </c>
      <c r="N1695" s="3" t="s">
        <v>2182</v>
      </c>
      <c r="P1695" s="3" t="s">
        <v>90</v>
      </c>
      <c r="R1695" s="3" t="s">
        <v>67</v>
      </c>
      <c r="S1695" s="4">
        <v>0</v>
      </c>
      <c r="T1695" s="4">
        <v>31</v>
      </c>
      <c r="V1695" s="5" t="s">
        <v>7280</v>
      </c>
      <c r="W1695" s="5" t="s">
        <v>69</v>
      </c>
      <c r="X1695" s="5" t="s">
        <v>69</v>
      </c>
      <c r="Y1695" s="4">
        <v>5</v>
      </c>
      <c r="Z1695" s="4">
        <v>1</v>
      </c>
      <c r="AA1695" s="4">
        <v>6</v>
      </c>
      <c r="AB1695" s="4">
        <v>1</v>
      </c>
      <c r="AC1695" s="4">
        <v>2</v>
      </c>
      <c r="AD1695" s="4">
        <v>0</v>
      </c>
      <c r="AE1695" s="4">
        <v>10</v>
      </c>
      <c r="AF1695" s="4">
        <v>0</v>
      </c>
      <c r="AG1695" s="4">
        <v>1</v>
      </c>
      <c r="AH1695" s="4">
        <v>0</v>
      </c>
      <c r="AI1695" s="4">
        <v>7</v>
      </c>
      <c r="AJ1695" s="4">
        <v>0</v>
      </c>
      <c r="AK1695" s="4">
        <v>3</v>
      </c>
      <c r="AL1695" s="4">
        <v>0</v>
      </c>
      <c r="AM1695" s="4">
        <v>5</v>
      </c>
      <c r="AN1695" s="4">
        <v>0</v>
      </c>
      <c r="AO1695" s="4">
        <v>0</v>
      </c>
      <c r="AP1695" s="4">
        <v>0</v>
      </c>
      <c r="AQ1695" s="4">
        <v>2</v>
      </c>
      <c r="AR1695" s="3" t="s">
        <v>63</v>
      </c>
      <c r="AS1695" s="3" t="s">
        <v>63</v>
      </c>
      <c r="AT1695" s="3" t="s">
        <v>63</v>
      </c>
      <c r="AV1695" s="6" t="str">
        <f>HYPERLINK("http://mcgill.on.worldcat.org/oclc/278146464","Catalog Record")</f>
        <v>Catalog Record</v>
      </c>
      <c r="AW1695" s="6" t="str">
        <f>HYPERLINK("http://www.worldcat.org/oclc/278146464","WorldCat Record")</f>
        <v>WorldCat Record</v>
      </c>
      <c r="AX1695" s="3" t="s">
        <v>15100</v>
      </c>
      <c r="AY1695" s="3" t="s">
        <v>15101</v>
      </c>
      <c r="AZ1695" s="3" t="s">
        <v>15102</v>
      </c>
      <c r="BA1695" s="3" t="s">
        <v>15102</v>
      </c>
      <c r="BB1695" s="3" t="s">
        <v>15131</v>
      </c>
      <c r="BC1695" s="3" t="s">
        <v>82</v>
      </c>
      <c r="BD1695" s="3" t="s">
        <v>70</v>
      </c>
      <c r="BF1695" s="3" t="s">
        <v>15131</v>
      </c>
      <c r="BG1695" s="3" t="s">
        <v>15132</v>
      </c>
    </row>
    <row r="1696" spans="1:59" ht="60" x14ac:dyDescent="0.25">
      <c r="A1696" s="2" t="s">
        <v>59</v>
      </c>
      <c r="B1696" s="2" t="s">
        <v>60</v>
      </c>
      <c r="C1696" s="2" t="s">
        <v>15096</v>
      </c>
      <c r="D1696" s="2" t="s">
        <v>15097</v>
      </c>
      <c r="E1696" s="2" t="s">
        <v>15098</v>
      </c>
      <c r="F1696" s="3" t="s">
        <v>1390</v>
      </c>
      <c r="G1696" s="3" t="s">
        <v>62</v>
      </c>
      <c r="I1696" s="3" t="s">
        <v>62</v>
      </c>
      <c r="J1696" s="3" t="s">
        <v>63</v>
      </c>
      <c r="K1696" s="3" t="s">
        <v>64</v>
      </c>
      <c r="L1696" s="2" t="s">
        <v>14992</v>
      </c>
      <c r="M1696" s="2" t="s">
        <v>15099</v>
      </c>
      <c r="N1696" s="3" t="s">
        <v>2182</v>
      </c>
      <c r="P1696" s="3" t="s">
        <v>90</v>
      </c>
      <c r="R1696" s="3" t="s">
        <v>67</v>
      </c>
      <c r="S1696" s="4">
        <v>2</v>
      </c>
      <c r="T1696" s="4">
        <v>31</v>
      </c>
      <c r="U1696" s="5" t="s">
        <v>4282</v>
      </c>
      <c r="V1696" s="5" t="s">
        <v>7280</v>
      </c>
      <c r="W1696" s="5" t="s">
        <v>69</v>
      </c>
      <c r="X1696" s="5" t="s">
        <v>69</v>
      </c>
      <c r="Y1696" s="4">
        <v>5</v>
      </c>
      <c r="Z1696" s="4">
        <v>1</v>
      </c>
      <c r="AA1696" s="4">
        <v>6</v>
      </c>
      <c r="AB1696" s="4">
        <v>1</v>
      </c>
      <c r="AC1696" s="4">
        <v>2</v>
      </c>
      <c r="AD1696" s="4">
        <v>0</v>
      </c>
      <c r="AE1696" s="4">
        <v>10</v>
      </c>
      <c r="AF1696" s="4">
        <v>0</v>
      </c>
      <c r="AG1696" s="4">
        <v>1</v>
      </c>
      <c r="AH1696" s="4">
        <v>0</v>
      </c>
      <c r="AI1696" s="4">
        <v>7</v>
      </c>
      <c r="AJ1696" s="4">
        <v>0</v>
      </c>
      <c r="AK1696" s="4">
        <v>3</v>
      </c>
      <c r="AL1696" s="4">
        <v>0</v>
      </c>
      <c r="AM1696" s="4">
        <v>5</v>
      </c>
      <c r="AN1696" s="4">
        <v>0</v>
      </c>
      <c r="AO1696" s="4">
        <v>0</v>
      </c>
      <c r="AP1696" s="4">
        <v>0</v>
      </c>
      <c r="AQ1696" s="4">
        <v>2</v>
      </c>
      <c r="AR1696" s="3" t="s">
        <v>63</v>
      </c>
      <c r="AS1696" s="3" t="s">
        <v>63</v>
      </c>
      <c r="AT1696" s="3" t="s">
        <v>63</v>
      </c>
      <c r="AV1696" s="6" t="str">
        <f>HYPERLINK("http://mcgill.on.worldcat.org/oclc/278146464","Catalog Record")</f>
        <v>Catalog Record</v>
      </c>
      <c r="AW1696" s="6" t="str">
        <f>HYPERLINK("http://www.worldcat.org/oclc/278146464","WorldCat Record")</f>
        <v>WorldCat Record</v>
      </c>
      <c r="AX1696" s="3" t="s">
        <v>15100</v>
      </c>
      <c r="AY1696" s="3" t="s">
        <v>15101</v>
      </c>
      <c r="AZ1696" s="3" t="s">
        <v>15102</v>
      </c>
      <c r="BA1696" s="3" t="s">
        <v>15102</v>
      </c>
      <c r="BB1696" s="3" t="s">
        <v>15133</v>
      </c>
      <c r="BC1696" s="3" t="s">
        <v>82</v>
      </c>
      <c r="BD1696" s="3" t="s">
        <v>70</v>
      </c>
      <c r="BF1696" s="3" t="s">
        <v>15133</v>
      </c>
      <c r="BG1696" s="3" t="s">
        <v>15134</v>
      </c>
    </row>
    <row r="1697" spans="1:59" ht="60" x14ac:dyDescent="0.25">
      <c r="A1697" s="2" t="s">
        <v>59</v>
      </c>
      <c r="B1697" s="2" t="s">
        <v>60</v>
      </c>
      <c r="C1697" s="2" t="s">
        <v>15096</v>
      </c>
      <c r="D1697" s="2" t="s">
        <v>15097</v>
      </c>
      <c r="E1697" s="2" t="s">
        <v>15098</v>
      </c>
      <c r="F1697" s="3" t="s">
        <v>10499</v>
      </c>
      <c r="G1697" s="3" t="s">
        <v>62</v>
      </c>
      <c r="I1697" s="3" t="s">
        <v>62</v>
      </c>
      <c r="J1697" s="3" t="s">
        <v>63</v>
      </c>
      <c r="K1697" s="3" t="s">
        <v>64</v>
      </c>
      <c r="L1697" s="2" t="s">
        <v>14992</v>
      </c>
      <c r="M1697" s="2" t="s">
        <v>15099</v>
      </c>
      <c r="N1697" s="3" t="s">
        <v>2182</v>
      </c>
      <c r="P1697" s="3" t="s">
        <v>90</v>
      </c>
      <c r="R1697" s="3" t="s">
        <v>67</v>
      </c>
      <c r="S1697" s="4">
        <v>1</v>
      </c>
      <c r="T1697" s="4">
        <v>31</v>
      </c>
      <c r="U1697" s="5" t="s">
        <v>7280</v>
      </c>
      <c r="V1697" s="5" t="s">
        <v>7280</v>
      </c>
      <c r="W1697" s="5" t="s">
        <v>69</v>
      </c>
      <c r="X1697" s="5" t="s">
        <v>69</v>
      </c>
      <c r="Y1697" s="4">
        <v>5</v>
      </c>
      <c r="Z1697" s="4">
        <v>1</v>
      </c>
      <c r="AA1697" s="4">
        <v>6</v>
      </c>
      <c r="AB1697" s="4">
        <v>1</v>
      </c>
      <c r="AC1697" s="4">
        <v>2</v>
      </c>
      <c r="AD1697" s="4">
        <v>0</v>
      </c>
      <c r="AE1697" s="4">
        <v>10</v>
      </c>
      <c r="AF1697" s="4">
        <v>0</v>
      </c>
      <c r="AG1697" s="4">
        <v>1</v>
      </c>
      <c r="AH1697" s="4">
        <v>0</v>
      </c>
      <c r="AI1697" s="4">
        <v>7</v>
      </c>
      <c r="AJ1697" s="4">
        <v>0</v>
      </c>
      <c r="AK1697" s="4">
        <v>3</v>
      </c>
      <c r="AL1697" s="4">
        <v>0</v>
      </c>
      <c r="AM1697" s="4">
        <v>5</v>
      </c>
      <c r="AN1697" s="4">
        <v>0</v>
      </c>
      <c r="AO1697" s="4">
        <v>0</v>
      </c>
      <c r="AP1697" s="4">
        <v>0</v>
      </c>
      <c r="AQ1697" s="4">
        <v>2</v>
      </c>
      <c r="AR1697" s="3" t="s">
        <v>63</v>
      </c>
      <c r="AS1697" s="3" t="s">
        <v>63</v>
      </c>
      <c r="AT1697" s="3" t="s">
        <v>63</v>
      </c>
      <c r="AV1697" s="6" t="str">
        <f>HYPERLINK("http://mcgill.on.worldcat.org/oclc/278146464","Catalog Record")</f>
        <v>Catalog Record</v>
      </c>
      <c r="AW1697" s="6" t="str">
        <f>HYPERLINK("http://www.worldcat.org/oclc/278146464","WorldCat Record")</f>
        <v>WorldCat Record</v>
      </c>
      <c r="AX1697" s="3" t="s">
        <v>15100</v>
      </c>
      <c r="AY1697" s="3" t="s">
        <v>15101</v>
      </c>
      <c r="AZ1697" s="3" t="s">
        <v>15102</v>
      </c>
      <c r="BA1697" s="3" t="s">
        <v>15102</v>
      </c>
      <c r="BB1697" s="3" t="s">
        <v>15135</v>
      </c>
      <c r="BC1697" s="3" t="s">
        <v>82</v>
      </c>
      <c r="BD1697" s="3" t="s">
        <v>70</v>
      </c>
      <c r="BF1697" s="3" t="s">
        <v>15135</v>
      </c>
      <c r="BG1697" s="3" t="s">
        <v>15136</v>
      </c>
    </row>
    <row r="1698" spans="1:59" ht="60" x14ac:dyDescent="0.25">
      <c r="A1698" s="2" t="s">
        <v>59</v>
      </c>
      <c r="B1698" s="2" t="s">
        <v>60</v>
      </c>
      <c r="C1698" s="2" t="s">
        <v>15096</v>
      </c>
      <c r="D1698" s="2" t="s">
        <v>15097</v>
      </c>
      <c r="E1698" s="2" t="s">
        <v>15098</v>
      </c>
      <c r="F1698" s="3" t="s">
        <v>1366</v>
      </c>
      <c r="G1698" s="3" t="s">
        <v>62</v>
      </c>
      <c r="I1698" s="3" t="s">
        <v>62</v>
      </c>
      <c r="J1698" s="3" t="s">
        <v>63</v>
      </c>
      <c r="K1698" s="3" t="s">
        <v>64</v>
      </c>
      <c r="L1698" s="2" t="s">
        <v>14992</v>
      </c>
      <c r="M1698" s="2" t="s">
        <v>15099</v>
      </c>
      <c r="N1698" s="3" t="s">
        <v>2182</v>
      </c>
      <c r="P1698" s="3" t="s">
        <v>90</v>
      </c>
      <c r="R1698" s="3" t="s">
        <v>67</v>
      </c>
      <c r="S1698" s="4">
        <v>3</v>
      </c>
      <c r="T1698" s="4">
        <v>31</v>
      </c>
      <c r="U1698" s="5" t="s">
        <v>15137</v>
      </c>
      <c r="V1698" s="5" t="s">
        <v>7280</v>
      </c>
      <c r="W1698" s="5" t="s">
        <v>69</v>
      </c>
      <c r="X1698" s="5" t="s">
        <v>69</v>
      </c>
      <c r="Y1698" s="4">
        <v>5</v>
      </c>
      <c r="Z1698" s="4">
        <v>1</v>
      </c>
      <c r="AA1698" s="4">
        <v>6</v>
      </c>
      <c r="AB1698" s="4">
        <v>1</v>
      </c>
      <c r="AC1698" s="4">
        <v>2</v>
      </c>
      <c r="AD1698" s="4">
        <v>0</v>
      </c>
      <c r="AE1698" s="4">
        <v>10</v>
      </c>
      <c r="AF1698" s="4">
        <v>0</v>
      </c>
      <c r="AG1698" s="4">
        <v>1</v>
      </c>
      <c r="AH1698" s="4">
        <v>0</v>
      </c>
      <c r="AI1698" s="4">
        <v>7</v>
      </c>
      <c r="AJ1698" s="4">
        <v>0</v>
      </c>
      <c r="AK1698" s="4">
        <v>3</v>
      </c>
      <c r="AL1698" s="4">
        <v>0</v>
      </c>
      <c r="AM1698" s="4">
        <v>5</v>
      </c>
      <c r="AN1698" s="4">
        <v>0</v>
      </c>
      <c r="AO1698" s="4">
        <v>0</v>
      </c>
      <c r="AP1698" s="4">
        <v>0</v>
      </c>
      <c r="AQ1698" s="4">
        <v>2</v>
      </c>
      <c r="AR1698" s="3" t="s">
        <v>63</v>
      </c>
      <c r="AS1698" s="3" t="s">
        <v>63</v>
      </c>
      <c r="AT1698" s="3" t="s">
        <v>63</v>
      </c>
      <c r="AV1698" s="6" t="str">
        <f>HYPERLINK("http://mcgill.on.worldcat.org/oclc/278146464","Catalog Record")</f>
        <v>Catalog Record</v>
      </c>
      <c r="AW1698" s="6" t="str">
        <f>HYPERLINK("http://www.worldcat.org/oclc/278146464","WorldCat Record")</f>
        <v>WorldCat Record</v>
      </c>
      <c r="AX1698" s="3" t="s">
        <v>15100</v>
      </c>
      <c r="AY1698" s="3" t="s">
        <v>15101</v>
      </c>
      <c r="AZ1698" s="3" t="s">
        <v>15102</v>
      </c>
      <c r="BA1698" s="3" t="s">
        <v>15102</v>
      </c>
      <c r="BB1698" s="3" t="s">
        <v>15138</v>
      </c>
      <c r="BC1698" s="3" t="s">
        <v>82</v>
      </c>
      <c r="BD1698" s="3" t="s">
        <v>70</v>
      </c>
      <c r="BF1698" s="3" t="s">
        <v>15138</v>
      </c>
      <c r="BG1698" s="3" t="s">
        <v>15139</v>
      </c>
    </row>
    <row r="1699" spans="1:59" ht="60" x14ac:dyDescent="0.25">
      <c r="A1699" s="2" t="s">
        <v>59</v>
      </c>
      <c r="B1699" s="2" t="s">
        <v>60</v>
      </c>
      <c r="C1699" s="2" t="s">
        <v>15096</v>
      </c>
      <c r="D1699" s="2" t="s">
        <v>15097</v>
      </c>
      <c r="E1699" s="2" t="s">
        <v>15098</v>
      </c>
      <c r="F1699" s="3" t="s">
        <v>1395</v>
      </c>
      <c r="G1699" s="3" t="s">
        <v>62</v>
      </c>
      <c r="I1699" s="3" t="s">
        <v>62</v>
      </c>
      <c r="J1699" s="3" t="s">
        <v>63</v>
      </c>
      <c r="K1699" s="3" t="s">
        <v>64</v>
      </c>
      <c r="L1699" s="2" t="s">
        <v>14992</v>
      </c>
      <c r="M1699" s="2" t="s">
        <v>15099</v>
      </c>
      <c r="N1699" s="3" t="s">
        <v>2182</v>
      </c>
      <c r="P1699" s="3" t="s">
        <v>90</v>
      </c>
      <c r="R1699" s="3" t="s">
        <v>67</v>
      </c>
      <c r="S1699" s="4">
        <v>0</v>
      </c>
      <c r="T1699" s="4">
        <v>31</v>
      </c>
      <c r="V1699" s="5" t="s">
        <v>7280</v>
      </c>
      <c r="W1699" s="5" t="s">
        <v>69</v>
      </c>
      <c r="X1699" s="5" t="s">
        <v>69</v>
      </c>
      <c r="Y1699" s="4">
        <v>5</v>
      </c>
      <c r="Z1699" s="4">
        <v>1</v>
      </c>
      <c r="AA1699" s="4">
        <v>6</v>
      </c>
      <c r="AB1699" s="4">
        <v>1</v>
      </c>
      <c r="AC1699" s="4">
        <v>2</v>
      </c>
      <c r="AD1699" s="4">
        <v>0</v>
      </c>
      <c r="AE1699" s="4">
        <v>10</v>
      </c>
      <c r="AF1699" s="4">
        <v>0</v>
      </c>
      <c r="AG1699" s="4">
        <v>1</v>
      </c>
      <c r="AH1699" s="4">
        <v>0</v>
      </c>
      <c r="AI1699" s="4">
        <v>7</v>
      </c>
      <c r="AJ1699" s="4">
        <v>0</v>
      </c>
      <c r="AK1699" s="4">
        <v>3</v>
      </c>
      <c r="AL1699" s="4">
        <v>0</v>
      </c>
      <c r="AM1699" s="4">
        <v>5</v>
      </c>
      <c r="AN1699" s="4">
        <v>0</v>
      </c>
      <c r="AO1699" s="4">
        <v>0</v>
      </c>
      <c r="AP1699" s="4">
        <v>0</v>
      </c>
      <c r="AQ1699" s="4">
        <v>2</v>
      </c>
      <c r="AR1699" s="3" t="s">
        <v>63</v>
      </c>
      <c r="AS1699" s="3" t="s">
        <v>63</v>
      </c>
      <c r="AT1699" s="3" t="s">
        <v>63</v>
      </c>
      <c r="AV1699" s="6" t="str">
        <f>HYPERLINK("http://mcgill.on.worldcat.org/oclc/278146464","Catalog Record")</f>
        <v>Catalog Record</v>
      </c>
      <c r="AW1699" s="6" t="str">
        <f>HYPERLINK("http://www.worldcat.org/oclc/278146464","WorldCat Record")</f>
        <v>WorldCat Record</v>
      </c>
      <c r="AX1699" s="3" t="s">
        <v>15100</v>
      </c>
      <c r="AY1699" s="3" t="s">
        <v>15101</v>
      </c>
      <c r="AZ1699" s="3" t="s">
        <v>15102</v>
      </c>
      <c r="BA1699" s="3" t="s">
        <v>15102</v>
      </c>
      <c r="BB1699" s="3" t="s">
        <v>15140</v>
      </c>
      <c r="BC1699" s="3" t="s">
        <v>82</v>
      </c>
      <c r="BD1699" s="3" t="s">
        <v>70</v>
      </c>
      <c r="BF1699" s="3" t="s">
        <v>15140</v>
      </c>
      <c r="BG1699" s="3" t="s">
        <v>15141</v>
      </c>
    </row>
    <row r="1700" spans="1:59" ht="60" x14ac:dyDescent="0.25">
      <c r="A1700" s="2" t="s">
        <v>59</v>
      </c>
      <c r="B1700" s="2" t="s">
        <v>60</v>
      </c>
      <c r="C1700" s="2" t="s">
        <v>15096</v>
      </c>
      <c r="D1700" s="2" t="s">
        <v>15097</v>
      </c>
      <c r="E1700" s="2" t="s">
        <v>15098</v>
      </c>
      <c r="F1700" s="3" t="s">
        <v>1379</v>
      </c>
      <c r="G1700" s="3" t="s">
        <v>62</v>
      </c>
      <c r="I1700" s="3" t="s">
        <v>62</v>
      </c>
      <c r="J1700" s="3" t="s">
        <v>63</v>
      </c>
      <c r="K1700" s="3" t="s">
        <v>64</v>
      </c>
      <c r="L1700" s="2" t="s">
        <v>14992</v>
      </c>
      <c r="M1700" s="2" t="s">
        <v>15099</v>
      </c>
      <c r="N1700" s="3" t="s">
        <v>2182</v>
      </c>
      <c r="P1700" s="3" t="s">
        <v>90</v>
      </c>
      <c r="R1700" s="3" t="s">
        <v>67</v>
      </c>
      <c r="S1700" s="4">
        <v>2</v>
      </c>
      <c r="T1700" s="4">
        <v>31</v>
      </c>
      <c r="U1700" s="5" t="s">
        <v>15137</v>
      </c>
      <c r="V1700" s="5" t="s">
        <v>7280</v>
      </c>
      <c r="W1700" s="5" t="s">
        <v>69</v>
      </c>
      <c r="X1700" s="5" t="s">
        <v>69</v>
      </c>
      <c r="Y1700" s="4">
        <v>5</v>
      </c>
      <c r="Z1700" s="4">
        <v>1</v>
      </c>
      <c r="AA1700" s="4">
        <v>6</v>
      </c>
      <c r="AB1700" s="4">
        <v>1</v>
      </c>
      <c r="AC1700" s="4">
        <v>2</v>
      </c>
      <c r="AD1700" s="4">
        <v>0</v>
      </c>
      <c r="AE1700" s="4">
        <v>10</v>
      </c>
      <c r="AF1700" s="4">
        <v>0</v>
      </c>
      <c r="AG1700" s="4">
        <v>1</v>
      </c>
      <c r="AH1700" s="4">
        <v>0</v>
      </c>
      <c r="AI1700" s="4">
        <v>7</v>
      </c>
      <c r="AJ1700" s="4">
        <v>0</v>
      </c>
      <c r="AK1700" s="4">
        <v>3</v>
      </c>
      <c r="AL1700" s="4">
        <v>0</v>
      </c>
      <c r="AM1700" s="4">
        <v>5</v>
      </c>
      <c r="AN1700" s="4">
        <v>0</v>
      </c>
      <c r="AO1700" s="4">
        <v>0</v>
      </c>
      <c r="AP1700" s="4">
        <v>0</v>
      </c>
      <c r="AQ1700" s="4">
        <v>2</v>
      </c>
      <c r="AR1700" s="3" t="s">
        <v>63</v>
      </c>
      <c r="AS1700" s="3" t="s">
        <v>63</v>
      </c>
      <c r="AT1700" s="3" t="s">
        <v>63</v>
      </c>
      <c r="AV1700" s="6" t="str">
        <f>HYPERLINK("http://mcgill.on.worldcat.org/oclc/278146464","Catalog Record")</f>
        <v>Catalog Record</v>
      </c>
      <c r="AW1700" s="6" t="str">
        <f>HYPERLINK("http://www.worldcat.org/oclc/278146464","WorldCat Record")</f>
        <v>WorldCat Record</v>
      </c>
      <c r="AX1700" s="3" t="s">
        <v>15100</v>
      </c>
      <c r="AY1700" s="3" t="s">
        <v>15101</v>
      </c>
      <c r="AZ1700" s="3" t="s">
        <v>15102</v>
      </c>
      <c r="BA1700" s="3" t="s">
        <v>15102</v>
      </c>
      <c r="BB1700" s="3" t="s">
        <v>15142</v>
      </c>
      <c r="BC1700" s="3" t="s">
        <v>82</v>
      </c>
      <c r="BD1700" s="3" t="s">
        <v>70</v>
      </c>
      <c r="BF1700" s="3" t="s">
        <v>15142</v>
      </c>
      <c r="BG1700" s="3" t="s">
        <v>15143</v>
      </c>
    </row>
    <row r="1701" spans="1:59" ht="60" x14ac:dyDescent="0.25">
      <c r="A1701" s="2" t="s">
        <v>59</v>
      </c>
      <c r="B1701" s="2" t="s">
        <v>60</v>
      </c>
      <c r="C1701" s="2" t="s">
        <v>15096</v>
      </c>
      <c r="D1701" s="2" t="s">
        <v>15097</v>
      </c>
      <c r="E1701" s="2" t="s">
        <v>15098</v>
      </c>
      <c r="F1701" s="3" t="s">
        <v>10477</v>
      </c>
      <c r="G1701" s="3" t="s">
        <v>62</v>
      </c>
      <c r="I1701" s="3" t="s">
        <v>62</v>
      </c>
      <c r="J1701" s="3" t="s">
        <v>63</v>
      </c>
      <c r="K1701" s="3" t="s">
        <v>64</v>
      </c>
      <c r="L1701" s="2" t="s">
        <v>14992</v>
      </c>
      <c r="M1701" s="2" t="s">
        <v>15099</v>
      </c>
      <c r="N1701" s="3" t="s">
        <v>2182</v>
      </c>
      <c r="P1701" s="3" t="s">
        <v>90</v>
      </c>
      <c r="R1701" s="3" t="s">
        <v>67</v>
      </c>
      <c r="S1701" s="4">
        <v>4</v>
      </c>
      <c r="T1701" s="4">
        <v>31</v>
      </c>
      <c r="U1701" s="5" t="s">
        <v>14260</v>
      </c>
      <c r="V1701" s="5" t="s">
        <v>7280</v>
      </c>
      <c r="W1701" s="5" t="s">
        <v>69</v>
      </c>
      <c r="X1701" s="5" t="s">
        <v>69</v>
      </c>
      <c r="Y1701" s="4">
        <v>5</v>
      </c>
      <c r="Z1701" s="4">
        <v>1</v>
      </c>
      <c r="AA1701" s="4">
        <v>6</v>
      </c>
      <c r="AB1701" s="4">
        <v>1</v>
      </c>
      <c r="AC1701" s="4">
        <v>2</v>
      </c>
      <c r="AD1701" s="4">
        <v>0</v>
      </c>
      <c r="AE1701" s="4">
        <v>10</v>
      </c>
      <c r="AF1701" s="4">
        <v>0</v>
      </c>
      <c r="AG1701" s="4">
        <v>1</v>
      </c>
      <c r="AH1701" s="4">
        <v>0</v>
      </c>
      <c r="AI1701" s="4">
        <v>7</v>
      </c>
      <c r="AJ1701" s="4">
        <v>0</v>
      </c>
      <c r="AK1701" s="4">
        <v>3</v>
      </c>
      <c r="AL1701" s="4">
        <v>0</v>
      </c>
      <c r="AM1701" s="4">
        <v>5</v>
      </c>
      <c r="AN1701" s="4">
        <v>0</v>
      </c>
      <c r="AO1701" s="4">
        <v>0</v>
      </c>
      <c r="AP1701" s="4">
        <v>0</v>
      </c>
      <c r="AQ1701" s="4">
        <v>2</v>
      </c>
      <c r="AR1701" s="3" t="s">
        <v>63</v>
      </c>
      <c r="AS1701" s="3" t="s">
        <v>63</v>
      </c>
      <c r="AT1701" s="3" t="s">
        <v>63</v>
      </c>
      <c r="AV1701" s="6" t="str">
        <f>HYPERLINK("http://mcgill.on.worldcat.org/oclc/278146464","Catalog Record")</f>
        <v>Catalog Record</v>
      </c>
      <c r="AW1701" s="6" t="str">
        <f>HYPERLINK("http://www.worldcat.org/oclc/278146464","WorldCat Record")</f>
        <v>WorldCat Record</v>
      </c>
      <c r="AX1701" s="3" t="s">
        <v>15100</v>
      </c>
      <c r="AY1701" s="3" t="s">
        <v>15101</v>
      </c>
      <c r="AZ1701" s="3" t="s">
        <v>15102</v>
      </c>
      <c r="BA1701" s="3" t="s">
        <v>15102</v>
      </c>
      <c r="BB1701" s="3" t="s">
        <v>15144</v>
      </c>
      <c r="BC1701" s="3" t="s">
        <v>82</v>
      </c>
      <c r="BD1701" s="3" t="s">
        <v>70</v>
      </c>
      <c r="BF1701" s="3" t="s">
        <v>15144</v>
      </c>
      <c r="BG1701" s="3" t="s">
        <v>15145</v>
      </c>
    </row>
    <row r="1702" spans="1:59" ht="60" x14ac:dyDescent="0.25">
      <c r="A1702" s="2" t="s">
        <v>59</v>
      </c>
      <c r="B1702" s="2" t="s">
        <v>60</v>
      </c>
      <c r="C1702" s="2" t="s">
        <v>15096</v>
      </c>
      <c r="D1702" s="2" t="s">
        <v>15097</v>
      </c>
      <c r="E1702" s="2" t="s">
        <v>15098</v>
      </c>
      <c r="F1702" s="3" t="s">
        <v>10473</v>
      </c>
      <c r="G1702" s="3" t="s">
        <v>62</v>
      </c>
      <c r="I1702" s="3" t="s">
        <v>62</v>
      </c>
      <c r="J1702" s="3" t="s">
        <v>63</v>
      </c>
      <c r="K1702" s="3" t="s">
        <v>64</v>
      </c>
      <c r="L1702" s="2" t="s">
        <v>14992</v>
      </c>
      <c r="M1702" s="2" t="s">
        <v>15099</v>
      </c>
      <c r="N1702" s="3" t="s">
        <v>2182</v>
      </c>
      <c r="P1702" s="3" t="s">
        <v>90</v>
      </c>
      <c r="R1702" s="3" t="s">
        <v>67</v>
      </c>
      <c r="S1702" s="4">
        <v>0</v>
      </c>
      <c r="T1702" s="4">
        <v>31</v>
      </c>
      <c r="V1702" s="5" t="s">
        <v>7280</v>
      </c>
      <c r="W1702" s="5" t="s">
        <v>69</v>
      </c>
      <c r="X1702" s="5" t="s">
        <v>69</v>
      </c>
      <c r="Y1702" s="4">
        <v>5</v>
      </c>
      <c r="Z1702" s="4">
        <v>1</v>
      </c>
      <c r="AA1702" s="4">
        <v>6</v>
      </c>
      <c r="AB1702" s="4">
        <v>1</v>
      </c>
      <c r="AC1702" s="4">
        <v>2</v>
      </c>
      <c r="AD1702" s="4">
        <v>0</v>
      </c>
      <c r="AE1702" s="4">
        <v>10</v>
      </c>
      <c r="AF1702" s="4">
        <v>0</v>
      </c>
      <c r="AG1702" s="4">
        <v>1</v>
      </c>
      <c r="AH1702" s="4">
        <v>0</v>
      </c>
      <c r="AI1702" s="4">
        <v>7</v>
      </c>
      <c r="AJ1702" s="4">
        <v>0</v>
      </c>
      <c r="AK1702" s="4">
        <v>3</v>
      </c>
      <c r="AL1702" s="4">
        <v>0</v>
      </c>
      <c r="AM1702" s="4">
        <v>5</v>
      </c>
      <c r="AN1702" s="4">
        <v>0</v>
      </c>
      <c r="AO1702" s="4">
        <v>0</v>
      </c>
      <c r="AP1702" s="4">
        <v>0</v>
      </c>
      <c r="AQ1702" s="4">
        <v>2</v>
      </c>
      <c r="AR1702" s="3" t="s">
        <v>63</v>
      </c>
      <c r="AS1702" s="3" t="s">
        <v>63</v>
      </c>
      <c r="AT1702" s="3" t="s">
        <v>63</v>
      </c>
      <c r="AV1702" s="6" t="str">
        <f>HYPERLINK("http://mcgill.on.worldcat.org/oclc/278146464","Catalog Record")</f>
        <v>Catalog Record</v>
      </c>
      <c r="AW1702" s="6" t="str">
        <f>HYPERLINK("http://www.worldcat.org/oclc/278146464","WorldCat Record")</f>
        <v>WorldCat Record</v>
      </c>
      <c r="AX1702" s="3" t="s">
        <v>15100</v>
      </c>
      <c r="AY1702" s="3" t="s">
        <v>15101</v>
      </c>
      <c r="AZ1702" s="3" t="s">
        <v>15102</v>
      </c>
      <c r="BA1702" s="3" t="s">
        <v>15102</v>
      </c>
      <c r="BB1702" s="3" t="s">
        <v>15146</v>
      </c>
      <c r="BC1702" s="3" t="s">
        <v>82</v>
      </c>
      <c r="BD1702" s="3" t="s">
        <v>70</v>
      </c>
      <c r="BF1702" s="3" t="s">
        <v>15146</v>
      </c>
      <c r="BG1702" s="3" t="s">
        <v>15147</v>
      </c>
    </row>
    <row r="1703" spans="1:59" ht="60" x14ac:dyDescent="0.25">
      <c r="A1703" s="2" t="s">
        <v>59</v>
      </c>
      <c r="B1703" s="2" t="s">
        <v>60</v>
      </c>
      <c r="C1703" s="2" t="s">
        <v>15096</v>
      </c>
      <c r="D1703" s="2" t="s">
        <v>15097</v>
      </c>
      <c r="E1703" s="2" t="s">
        <v>15098</v>
      </c>
      <c r="F1703" s="3" t="s">
        <v>1105</v>
      </c>
      <c r="G1703" s="3" t="s">
        <v>62</v>
      </c>
      <c r="I1703" s="3" t="s">
        <v>62</v>
      </c>
      <c r="J1703" s="3" t="s">
        <v>63</v>
      </c>
      <c r="K1703" s="3" t="s">
        <v>64</v>
      </c>
      <c r="L1703" s="2" t="s">
        <v>14992</v>
      </c>
      <c r="M1703" s="2" t="s">
        <v>15099</v>
      </c>
      <c r="N1703" s="3" t="s">
        <v>2182</v>
      </c>
      <c r="P1703" s="3" t="s">
        <v>90</v>
      </c>
      <c r="R1703" s="3" t="s">
        <v>67</v>
      </c>
      <c r="S1703" s="4">
        <v>1</v>
      </c>
      <c r="T1703" s="4">
        <v>31</v>
      </c>
      <c r="U1703" s="5" t="s">
        <v>15148</v>
      </c>
      <c r="V1703" s="5" t="s">
        <v>7280</v>
      </c>
      <c r="W1703" s="5" t="s">
        <v>69</v>
      </c>
      <c r="X1703" s="5" t="s">
        <v>69</v>
      </c>
      <c r="Y1703" s="4">
        <v>5</v>
      </c>
      <c r="Z1703" s="4">
        <v>1</v>
      </c>
      <c r="AA1703" s="4">
        <v>6</v>
      </c>
      <c r="AB1703" s="4">
        <v>1</v>
      </c>
      <c r="AC1703" s="4">
        <v>2</v>
      </c>
      <c r="AD1703" s="4">
        <v>0</v>
      </c>
      <c r="AE1703" s="4">
        <v>10</v>
      </c>
      <c r="AF1703" s="4">
        <v>0</v>
      </c>
      <c r="AG1703" s="4">
        <v>1</v>
      </c>
      <c r="AH1703" s="4">
        <v>0</v>
      </c>
      <c r="AI1703" s="4">
        <v>7</v>
      </c>
      <c r="AJ1703" s="4">
        <v>0</v>
      </c>
      <c r="AK1703" s="4">
        <v>3</v>
      </c>
      <c r="AL1703" s="4">
        <v>0</v>
      </c>
      <c r="AM1703" s="4">
        <v>5</v>
      </c>
      <c r="AN1703" s="4">
        <v>0</v>
      </c>
      <c r="AO1703" s="4">
        <v>0</v>
      </c>
      <c r="AP1703" s="4">
        <v>0</v>
      </c>
      <c r="AQ1703" s="4">
        <v>2</v>
      </c>
      <c r="AR1703" s="3" t="s">
        <v>63</v>
      </c>
      <c r="AS1703" s="3" t="s">
        <v>63</v>
      </c>
      <c r="AT1703" s="3" t="s">
        <v>63</v>
      </c>
      <c r="AV1703" s="6" t="str">
        <f>HYPERLINK("http://mcgill.on.worldcat.org/oclc/278146464","Catalog Record")</f>
        <v>Catalog Record</v>
      </c>
      <c r="AW1703" s="6" t="str">
        <f>HYPERLINK("http://www.worldcat.org/oclc/278146464","WorldCat Record")</f>
        <v>WorldCat Record</v>
      </c>
      <c r="AX1703" s="3" t="s">
        <v>15100</v>
      </c>
      <c r="AY1703" s="3" t="s">
        <v>15101</v>
      </c>
      <c r="AZ1703" s="3" t="s">
        <v>15102</v>
      </c>
      <c r="BA1703" s="3" t="s">
        <v>15102</v>
      </c>
      <c r="BB1703" s="3" t="s">
        <v>15149</v>
      </c>
      <c r="BC1703" s="3" t="s">
        <v>82</v>
      </c>
      <c r="BD1703" s="3" t="s">
        <v>70</v>
      </c>
      <c r="BF1703" s="3" t="s">
        <v>15149</v>
      </c>
      <c r="BG1703" s="3" t="s">
        <v>15150</v>
      </c>
    </row>
    <row r="1704" spans="1:59" ht="60" x14ac:dyDescent="0.25">
      <c r="A1704" s="2" t="s">
        <v>59</v>
      </c>
      <c r="B1704" s="2" t="s">
        <v>60</v>
      </c>
      <c r="C1704" s="2" t="s">
        <v>15096</v>
      </c>
      <c r="D1704" s="2" t="s">
        <v>15097</v>
      </c>
      <c r="E1704" s="2" t="s">
        <v>15098</v>
      </c>
      <c r="F1704" s="3" t="s">
        <v>61</v>
      </c>
      <c r="G1704" s="3" t="s">
        <v>62</v>
      </c>
      <c r="I1704" s="3" t="s">
        <v>62</v>
      </c>
      <c r="J1704" s="3" t="s">
        <v>63</v>
      </c>
      <c r="K1704" s="3" t="s">
        <v>64</v>
      </c>
      <c r="L1704" s="2" t="s">
        <v>14992</v>
      </c>
      <c r="M1704" s="2" t="s">
        <v>15099</v>
      </c>
      <c r="N1704" s="3" t="s">
        <v>2182</v>
      </c>
      <c r="P1704" s="3" t="s">
        <v>90</v>
      </c>
      <c r="R1704" s="3" t="s">
        <v>67</v>
      </c>
      <c r="S1704" s="4">
        <v>3</v>
      </c>
      <c r="T1704" s="4">
        <v>31</v>
      </c>
      <c r="U1704" s="5" t="s">
        <v>15151</v>
      </c>
      <c r="V1704" s="5" t="s">
        <v>7280</v>
      </c>
      <c r="W1704" s="5" t="s">
        <v>69</v>
      </c>
      <c r="X1704" s="5" t="s">
        <v>69</v>
      </c>
      <c r="Y1704" s="4">
        <v>5</v>
      </c>
      <c r="Z1704" s="4">
        <v>1</v>
      </c>
      <c r="AA1704" s="4">
        <v>6</v>
      </c>
      <c r="AB1704" s="4">
        <v>1</v>
      </c>
      <c r="AC1704" s="4">
        <v>2</v>
      </c>
      <c r="AD1704" s="4">
        <v>0</v>
      </c>
      <c r="AE1704" s="4">
        <v>10</v>
      </c>
      <c r="AF1704" s="4">
        <v>0</v>
      </c>
      <c r="AG1704" s="4">
        <v>1</v>
      </c>
      <c r="AH1704" s="4">
        <v>0</v>
      </c>
      <c r="AI1704" s="4">
        <v>7</v>
      </c>
      <c r="AJ1704" s="4">
        <v>0</v>
      </c>
      <c r="AK1704" s="4">
        <v>3</v>
      </c>
      <c r="AL1704" s="4">
        <v>0</v>
      </c>
      <c r="AM1704" s="4">
        <v>5</v>
      </c>
      <c r="AN1704" s="4">
        <v>0</v>
      </c>
      <c r="AO1704" s="4">
        <v>0</v>
      </c>
      <c r="AP1704" s="4">
        <v>0</v>
      </c>
      <c r="AQ1704" s="4">
        <v>2</v>
      </c>
      <c r="AR1704" s="3" t="s">
        <v>63</v>
      </c>
      <c r="AS1704" s="3" t="s">
        <v>63</v>
      </c>
      <c r="AT1704" s="3" t="s">
        <v>63</v>
      </c>
      <c r="AV1704" s="6" t="str">
        <f>HYPERLINK("http://mcgill.on.worldcat.org/oclc/278146464","Catalog Record")</f>
        <v>Catalog Record</v>
      </c>
      <c r="AW1704" s="6" t="str">
        <f>HYPERLINK("http://www.worldcat.org/oclc/278146464","WorldCat Record")</f>
        <v>WorldCat Record</v>
      </c>
      <c r="AX1704" s="3" t="s">
        <v>15100</v>
      </c>
      <c r="AY1704" s="3" t="s">
        <v>15101</v>
      </c>
      <c r="AZ1704" s="3" t="s">
        <v>15102</v>
      </c>
      <c r="BA1704" s="3" t="s">
        <v>15102</v>
      </c>
      <c r="BB1704" s="3" t="s">
        <v>15152</v>
      </c>
      <c r="BC1704" s="3" t="s">
        <v>82</v>
      </c>
      <c r="BD1704" s="3" t="s">
        <v>70</v>
      </c>
      <c r="BF1704" s="3" t="s">
        <v>15152</v>
      </c>
      <c r="BG1704" s="3" t="s">
        <v>15153</v>
      </c>
    </row>
    <row r="1705" spans="1:59" ht="60" x14ac:dyDescent="0.25">
      <c r="A1705" s="2" t="s">
        <v>59</v>
      </c>
      <c r="B1705" s="2" t="s">
        <v>60</v>
      </c>
      <c r="C1705" s="2" t="s">
        <v>14989</v>
      </c>
      <c r="D1705" s="2" t="s">
        <v>14990</v>
      </c>
      <c r="E1705" s="2" t="s">
        <v>14991</v>
      </c>
      <c r="G1705" s="3" t="s">
        <v>63</v>
      </c>
      <c r="I1705" s="3" t="s">
        <v>62</v>
      </c>
      <c r="J1705" s="3" t="s">
        <v>63</v>
      </c>
      <c r="K1705" s="3" t="s">
        <v>64</v>
      </c>
      <c r="L1705" s="2" t="s">
        <v>14992</v>
      </c>
      <c r="M1705" s="2" t="s">
        <v>14993</v>
      </c>
      <c r="N1705" s="3" t="s">
        <v>2043</v>
      </c>
      <c r="P1705" s="3" t="s">
        <v>90</v>
      </c>
      <c r="R1705" s="3" t="s">
        <v>67</v>
      </c>
      <c r="S1705" s="4">
        <v>0</v>
      </c>
      <c r="T1705" s="4">
        <v>5</v>
      </c>
      <c r="U1705" s="5" t="s">
        <v>14994</v>
      </c>
      <c r="V1705" s="5" t="s">
        <v>14994</v>
      </c>
      <c r="W1705" s="5" t="s">
        <v>69</v>
      </c>
      <c r="X1705" s="5" t="s">
        <v>69</v>
      </c>
      <c r="Y1705" s="4">
        <v>23</v>
      </c>
      <c r="Z1705" s="4">
        <v>1</v>
      </c>
      <c r="AA1705" s="4">
        <v>5</v>
      </c>
      <c r="AB1705" s="4">
        <v>1</v>
      </c>
      <c r="AC1705" s="4">
        <v>2</v>
      </c>
      <c r="AD1705" s="4">
        <v>12</v>
      </c>
      <c r="AE1705" s="4">
        <v>22</v>
      </c>
      <c r="AF1705" s="4">
        <v>0</v>
      </c>
      <c r="AG1705" s="4">
        <v>1</v>
      </c>
      <c r="AH1705" s="4">
        <v>11</v>
      </c>
      <c r="AI1705" s="4">
        <v>21</v>
      </c>
      <c r="AJ1705" s="4">
        <v>0</v>
      </c>
      <c r="AK1705" s="4">
        <v>2</v>
      </c>
      <c r="AL1705" s="4">
        <v>8</v>
      </c>
      <c r="AM1705" s="4">
        <v>14</v>
      </c>
      <c r="AN1705" s="4">
        <v>0</v>
      </c>
      <c r="AO1705" s="4">
        <v>0</v>
      </c>
      <c r="AP1705" s="4">
        <v>0</v>
      </c>
      <c r="AQ1705" s="4">
        <v>2</v>
      </c>
      <c r="AR1705" s="3" t="s">
        <v>63</v>
      </c>
      <c r="AS1705" s="3" t="s">
        <v>63</v>
      </c>
      <c r="AT1705" s="3" t="s">
        <v>63</v>
      </c>
      <c r="AV1705" s="6" t="str">
        <f>HYPERLINK("http://mcgill.on.worldcat.org/oclc/7807025","Catalog Record")</f>
        <v>Catalog Record</v>
      </c>
      <c r="AW1705" s="6" t="str">
        <f>HYPERLINK("http://www.worldcat.org/oclc/7807025","WorldCat Record")</f>
        <v>WorldCat Record</v>
      </c>
      <c r="AX1705" s="3" t="s">
        <v>14995</v>
      </c>
      <c r="AY1705" s="3" t="s">
        <v>14996</v>
      </c>
      <c r="AZ1705" s="3" t="s">
        <v>14997</v>
      </c>
      <c r="BA1705" s="3" t="s">
        <v>14997</v>
      </c>
      <c r="BB1705" s="3" t="s">
        <v>14998</v>
      </c>
      <c r="BC1705" s="3" t="s">
        <v>82</v>
      </c>
      <c r="BD1705" s="3" t="s">
        <v>70</v>
      </c>
      <c r="BF1705" s="3" t="s">
        <v>14998</v>
      </c>
      <c r="BG1705" s="3" t="s">
        <v>14999</v>
      </c>
    </row>
    <row r="1706" spans="1:59" ht="60" x14ac:dyDescent="0.25">
      <c r="A1706" s="2" t="s">
        <v>59</v>
      </c>
      <c r="B1706" s="2" t="s">
        <v>60</v>
      </c>
      <c r="C1706" s="2" t="s">
        <v>14989</v>
      </c>
      <c r="D1706" s="2" t="s">
        <v>14990</v>
      </c>
      <c r="E1706" s="2" t="s">
        <v>14991</v>
      </c>
      <c r="G1706" s="3" t="s">
        <v>63</v>
      </c>
      <c r="I1706" s="3" t="s">
        <v>62</v>
      </c>
      <c r="J1706" s="3" t="s">
        <v>63</v>
      </c>
      <c r="K1706" s="3" t="s">
        <v>64</v>
      </c>
      <c r="L1706" s="2" t="s">
        <v>14992</v>
      </c>
      <c r="M1706" s="2" t="s">
        <v>14993</v>
      </c>
      <c r="N1706" s="3" t="s">
        <v>2043</v>
      </c>
      <c r="P1706" s="3" t="s">
        <v>90</v>
      </c>
      <c r="R1706" s="3" t="s">
        <v>67</v>
      </c>
      <c r="S1706" s="4">
        <v>5</v>
      </c>
      <c r="T1706" s="4">
        <v>5</v>
      </c>
      <c r="U1706" s="5" t="s">
        <v>15000</v>
      </c>
      <c r="V1706" s="5" t="s">
        <v>14994</v>
      </c>
      <c r="W1706" s="5" t="s">
        <v>69</v>
      </c>
      <c r="X1706" s="5" t="s">
        <v>69</v>
      </c>
      <c r="Y1706" s="4">
        <v>23</v>
      </c>
      <c r="Z1706" s="4">
        <v>1</v>
      </c>
      <c r="AA1706" s="4">
        <v>5</v>
      </c>
      <c r="AB1706" s="4">
        <v>1</v>
      </c>
      <c r="AC1706" s="4">
        <v>2</v>
      </c>
      <c r="AD1706" s="4">
        <v>12</v>
      </c>
      <c r="AE1706" s="4">
        <v>22</v>
      </c>
      <c r="AF1706" s="4">
        <v>0</v>
      </c>
      <c r="AG1706" s="4">
        <v>1</v>
      </c>
      <c r="AH1706" s="4">
        <v>11</v>
      </c>
      <c r="AI1706" s="4">
        <v>21</v>
      </c>
      <c r="AJ1706" s="4">
        <v>0</v>
      </c>
      <c r="AK1706" s="4">
        <v>2</v>
      </c>
      <c r="AL1706" s="4">
        <v>8</v>
      </c>
      <c r="AM1706" s="4">
        <v>14</v>
      </c>
      <c r="AN1706" s="4">
        <v>0</v>
      </c>
      <c r="AO1706" s="4">
        <v>0</v>
      </c>
      <c r="AP1706" s="4">
        <v>0</v>
      </c>
      <c r="AQ1706" s="4">
        <v>2</v>
      </c>
      <c r="AR1706" s="3" t="s">
        <v>63</v>
      </c>
      <c r="AS1706" s="3" t="s">
        <v>63</v>
      </c>
      <c r="AT1706" s="3" t="s">
        <v>63</v>
      </c>
      <c r="AV1706" s="6" t="str">
        <f>HYPERLINK("http://mcgill.on.worldcat.org/oclc/7807025","Catalog Record")</f>
        <v>Catalog Record</v>
      </c>
      <c r="AW1706" s="6" t="str">
        <f>HYPERLINK("http://www.worldcat.org/oclc/7807025","WorldCat Record")</f>
        <v>WorldCat Record</v>
      </c>
      <c r="AX1706" s="3" t="s">
        <v>14995</v>
      </c>
      <c r="AY1706" s="3" t="s">
        <v>14996</v>
      </c>
      <c r="AZ1706" s="3" t="s">
        <v>14997</v>
      </c>
      <c r="BA1706" s="3" t="s">
        <v>14997</v>
      </c>
      <c r="BB1706" s="3" t="s">
        <v>15001</v>
      </c>
      <c r="BC1706" s="3" t="s">
        <v>82</v>
      </c>
      <c r="BD1706" s="3" t="s">
        <v>70</v>
      </c>
      <c r="BF1706" s="3" t="s">
        <v>15001</v>
      </c>
      <c r="BG1706" s="3" t="s">
        <v>15002</v>
      </c>
    </row>
    <row r="1707" spans="1:59" ht="60" x14ac:dyDescent="0.25">
      <c r="A1707" s="2" t="s">
        <v>59</v>
      </c>
      <c r="B1707" s="2" t="s">
        <v>60</v>
      </c>
      <c r="C1707" s="2" t="s">
        <v>15003</v>
      </c>
      <c r="D1707" s="2" t="s">
        <v>15004</v>
      </c>
      <c r="E1707" s="2" t="s">
        <v>15005</v>
      </c>
      <c r="G1707" s="3" t="s">
        <v>63</v>
      </c>
      <c r="I1707" s="3" t="s">
        <v>63</v>
      </c>
      <c r="J1707" s="3" t="s">
        <v>63</v>
      </c>
      <c r="K1707" s="3" t="s">
        <v>64</v>
      </c>
      <c r="L1707" s="2" t="s">
        <v>14992</v>
      </c>
      <c r="M1707" s="2" t="s">
        <v>11844</v>
      </c>
      <c r="N1707" s="3" t="s">
        <v>1226</v>
      </c>
      <c r="O1707" s="2" t="s">
        <v>15006</v>
      </c>
      <c r="P1707" s="3" t="s">
        <v>66</v>
      </c>
      <c r="R1707" s="3" t="s">
        <v>67</v>
      </c>
      <c r="S1707" s="4">
        <v>15</v>
      </c>
      <c r="T1707" s="4">
        <v>15</v>
      </c>
      <c r="U1707" s="5" t="s">
        <v>15007</v>
      </c>
      <c r="V1707" s="5" t="s">
        <v>15007</v>
      </c>
      <c r="W1707" s="5" t="s">
        <v>69</v>
      </c>
      <c r="X1707" s="5" t="s">
        <v>69</v>
      </c>
      <c r="Y1707" s="4">
        <v>84</v>
      </c>
      <c r="Z1707" s="4">
        <v>6</v>
      </c>
      <c r="AA1707" s="4">
        <v>12</v>
      </c>
      <c r="AB1707" s="4">
        <v>1</v>
      </c>
      <c r="AC1707" s="4">
        <v>1</v>
      </c>
      <c r="AD1707" s="4">
        <v>29</v>
      </c>
      <c r="AE1707" s="4">
        <v>50</v>
      </c>
      <c r="AF1707" s="4">
        <v>0</v>
      </c>
      <c r="AG1707" s="4">
        <v>0</v>
      </c>
      <c r="AH1707" s="4">
        <v>28</v>
      </c>
      <c r="AI1707" s="4">
        <v>48</v>
      </c>
      <c r="AJ1707" s="4">
        <v>3</v>
      </c>
      <c r="AK1707" s="4">
        <v>4</v>
      </c>
      <c r="AL1707" s="4">
        <v>18</v>
      </c>
      <c r="AM1707" s="4">
        <v>31</v>
      </c>
      <c r="AN1707" s="4">
        <v>0</v>
      </c>
      <c r="AO1707" s="4">
        <v>0</v>
      </c>
      <c r="AP1707" s="4">
        <v>3</v>
      </c>
      <c r="AQ1707" s="4">
        <v>5</v>
      </c>
      <c r="AR1707" s="3" t="s">
        <v>63</v>
      </c>
      <c r="AS1707" s="3" t="s">
        <v>63</v>
      </c>
      <c r="AT1707" s="3" t="s">
        <v>63</v>
      </c>
      <c r="AV1707" s="6" t="str">
        <f>HYPERLINK("http://mcgill.on.worldcat.org/oclc/50322896","Catalog Record")</f>
        <v>Catalog Record</v>
      </c>
      <c r="AW1707" s="6" t="str">
        <f>HYPERLINK("http://www.worldcat.org/oclc/50322896","WorldCat Record")</f>
        <v>WorldCat Record</v>
      </c>
      <c r="AX1707" s="3" t="s">
        <v>15008</v>
      </c>
      <c r="AY1707" s="3" t="s">
        <v>15009</v>
      </c>
      <c r="AZ1707" s="3" t="s">
        <v>15010</v>
      </c>
      <c r="BA1707" s="3" t="s">
        <v>15010</v>
      </c>
      <c r="BB1707" s="3" t="s">
        <v>15011</v>
      </c>
      <c r="BC1707" s="3" t="s">
        <v>82</v>
      </c>
      <c r="BD1707" s="3" t="s">
        <v>70</v>
      </c>
      <c r="BE1707" s="3" t="s">
        <v>15012</v>
      </c>
      <c r="BF1707" s="3" t="s">
        <v>15011</v>
      </c>
      <c r="BG1707" s="3" t="s">
        <v>15013</v>
      </c>
    </row>
    <row r="1708" spans="1:59" ht="60" x14ac:dyDescent="0.25">
      <c r="A1708" s="2" t="s">
        <v>59</v>
      </c>
      <c r="B1708" s="2" t="s">
        <v>60</v>
      </c>
      <c r="C1708" s="2" t="s">
        <v>15014</v>
      </c>
      <c r="D1708" s="2" t="s">
        <v>15015</v>
      </c>
      <c r="E1708" s="2" t="s">
        <v>15016</v>
      </c>
      <c r="G1708" s="3" t="s">
        <v>63</v>
      </c>
      <c r="I1708" s="3" t="s">
        <v>63</v>
      </c>
      <c r="J1708" s="3" t="s">
        <v>63</v>
      </c>
      <c r="K1708" s="3" t="s">
        <v>64</v>
      </c>
      <c r="L1708" s="2" t="s">
        <v>14992</v>
      </c>
      <c r="M1708" s="2" t="s">
        <v>15017</v>
      </c>
      <c r="N1708" s="3" t="s">
        <v>455</v>
      </c>
      <c r="P1708" s="3" t="s">
        <v>66</v>
      </c>
      <c r="R1708" s="3" t="s">
        <v>67</v>
      </c>
      <c r="S1708" s="4">
        <v>7</v>
      </c>
      <c r="T1708" s="4">
        <v>7</v>
      </c>
      <c r="U1708" s="5" t="s">
        <v>15018</v>
      </c>
      <c r="V1708" s="5" t="s">
        <v>15018</v>
      </c>
      <c r="W1708" s="5" t="s">
        <v>69</v>
      </c>
      <c r="X1708" s="5" t="s">
        <v>69</v>
      </c>
      <c r="Y1708" s="4">
        <v>368</v>
      </c>
      <c r="Z1708" s="4">
        <v>23</v>
      </c>
      <c r="AA1708" s="4">
        <v>23</v>
      </c>
      <c r="AB1708" s="4">
        <v>2</v>
      </c>
      <c r="AC1708" s="4">
        <v>2</v>
      </c>
      <c r="AD1708" s="4">
        <v>110</v>
      </c>
      <c r="AE1708" s="4">
        <v>110</v>
      </c>
      <c r="AF1708" s="4">
        <v>1</v>
      </c>
      <c r="AG1708" s="4">
        <v>1</v>
      </c>
      <c r="AH1708" s="4">
        <v>100</v>
      </c>
      <c r="AI1708" s="4">
        <v>100</v>
      </c>
      <c r="AJ1708" s="4">
        <v>16</v>
      </c>
      <c r="AK1708" s="4">
        <v>16</v>
      </c>
      <c r="AL1708" s="4">
        <v>53</v>
      </c>
      <c r="AM1708" s="4">
        <v>53</v>
      </c>
      <c r="AN1708" s="4">
        <v>0</v>
      </c>
      <c r="AO1708" s="4">
        <v>0</v>
      </c>
      <c r="AP1708" s="4">
        <v>16</v>
      </c>
      <c r="AQ1708" s="4">
        <v>16</v>
      </c>
      <c r="AR1708" s="3" t="s">
        <v>63</v>
      </c>
      <c r="AS1708" s="3" t="s">
        <v>63</v>
      </c>
      <c r="AT1708" s="3" t="s">
        <v>62</v>
      </c>
      <c r="AU1708" s="6" t="str">
        <f>HYPERLINK("http://catalog.hathitrust.org/Record/000324173","HathiTrust Record")</f>
        <v>HathiTrust Record</v>
      </c>
      <c r="AV1708" s="6" t="str">
        <f>HYPERLINK("http://mcgill.on.worldcat.org/oclc/9762319","Catalog Record")</f>
        <v>Catalog Record</v>
      </c>
      <c r="AW1708" s="6" t="str">
        <f>HYPERLINK("http://www.worldcat.org/oclc/9762319","WorldCat Record")</f>
        <v>WorldCat Record</v>
      </c>
      <c r="AX1708" s="3" t="s">
        <v>15019</v>
      </c>
      <c r="AY1708" s="3" t="s">
        <v>15020</v>
      </c>
      <c r="AZ1708" s="3" t="s">
        <v>15021</v>
      </c>
      <c r="BA1708" s="3" t="s">
        <v>15021</v>
      </c>
      <c r="BB1708" s="3" t="s">
        <v>15022</v>
      </c>
      <c r="BC1708" s="3" t="s">
        <v>82</v>
      </c>
      <c r="BD1708" s="3" t="s">
        <v>70</v>
      </c>
      <c r="BE1708" s="3" t="s">
        <v>15023</v>
      </c>
      <c r="BF1708" s="3" t="s">
        <v>15022</v>
      </c>
      <c r="BG1708" s="3" t="s">
        <v>15024</v>
      </c>
    </row>
    <row r="1709" spans="1:59" ht="60" x14ac:dyDescent="0.25">
      <c r="A1709" s="2" t="s">
        <v>59</v>
      </c>
      <c r="B1709" s="2" t="s">
        <v>60</v>
      </c>
      <c r="C1709" s="2" t="s">
        <v>15025</v>
      </c>
      <c r="D1709" s="2" t="s">
        <v>15026</v>
      </c>
      <c r="E1709" s="2" t="s">
        <v>15027</v>
      </c>
      <c r="G1709" s="3" t="s">
        <v>63</v>
      </c>
      <c r="I1709" s="3" t="s">
        <v>63</v>
      </c>
      <c r="J1709" s="3" t="s">
        <v>62</v>
      </c>
      <c r="K1709" s="3" t="s">
        <v>64</v>
      </c>
      <c r="L1709" s="2" t="s">
        <v>15028</v>
      </c>
      <c r="M1709" s="2" t="s">
        <v>15029</v>
      </c>
      <c r="N1709" s="3" t="s">
        <v>130</v>
      </c>
      <c r="P1709" s="3" t="s">
        <v>66</v>
      </c>
      <c r="Q1709" s="2" t="s">
        <v>11654</v>
      </c>
      <c r="R1709" s="3" t="s">
        <v>67</v>
      </c>
      <c r="S1709" s="4">
        <v>1</v>
      </c>
      <c r="T1709" s="4">
        <v>1</v>
      </c>
      <c r="U1709" s="5" t="s">
        <v>15030</v>
      </c>
      <c r="V1709" s="5" t="s">
        <v>15030</v>
      </c>
      <c r="W1709" s="5" t="s">
        <v>69</v>
      </c>
      <c r="X1709" s="5" t="s">
        <v>69</v>
      </c>
      <c r="Y1709" s="4">
        <v>43</v>
      </c>
      <c r="Z1709" s="4">
        <v>5</v>
      </c>
      <c r="AA1709" s="4">
        <v>12</v>
      </c>
      <c r="AB1709" s="4">
        <v>1</v>
      </c>
      <c r="AC1709" s="4">
        <v>1</v>
      </c>
      <c r="AD1709" s="4">
        <v>6</v>
      </c>
      <c r="AE1709" s="4">
        <v>49</v>
      </c>
      <c r="AF1709" s="4">
        <v>0</v>
      </c>
      <c r="AG1709" s="4">
        <v>0</v>
      </c>
      <c r="AH1709" s="4">
        <v>3</v>
      </c>
      <c r="AI1709" s="4">
        <v>41</v>
      </c>
      <c r="AJ1709" s="4">
        <v>3</v>
      </c>
      <c r="AK1709" s="4">
        <v>8</v>
      </c>
      <c r="AL1709" s="4">
        <v>4</v>
      </c>
      <c r="AM1709" s="4">
        <v>28</v>
      </c>
      <c r="AN1709" s="4">
        <v>0</v>
      </c>
      <c r="AO1709" s="4">
        <v>0</v>
      </c>
      <c r="AP1709" s="4">
        <v>3</v>
      </c>
      <c r="AQ1709" s="4">
        <v>8</v>
      </c>
      <c r="AR1709" s="3" t="s">
        <v>63</v>
      </c>
      <c r="AS1709" s="3" t="s">
        <v>63</v>
      </c>
      <c r="AT1709" s="3" t="s">
        <v>63</v>
      </c>
      <c r="AV1709" s="6" t="str">
        <f>HYPERLINK("http://mcgill.on.worldcat.org/oclc/822958979","Catalog Record")</f>
        <v>Catalog Record</v>
      </c>
      <c r="AW1709" s="6" t="str">
        <f>HYPERLINK("http://www.worldcat.org/oclc/822958979","WorldCat Record")</f>
        <v>WorldCat Record</v>
      </c>
      <c r="AX1709" s="3" t="s">
        <v>15031</v>
      </c>
      <c r="AY1709" s="3" t="s">
        <v>15032</v>
      </c>
      <c r="AZ1709" s="3" t="s">
        <v>15033</v>
      </c>
      <c r="BA1709" s="3" t="s">
        <v>15033</v>
      </c>
      <c r="BB1709" s="3" t="s">
        <v>15034</v>
      </c>
      <c r="BC1709" s="3" t="s">
        <v>82</v>
      </c>
      <c r="BD1709" s="3" t="s">
        <v>70</v>
      </c>
      <c r="BE1709" s="3" t="s">
        <v>15035</v>
      </c>
      <c r="BF1709" s="3" t="s">
        <v>15034</v>
      </c>
      <c r="BG1709" s="3" t="s">
        <v>15036</v>
      </c>
    </row>
    <row r="1710" spans="1:59" ht="60" x14ac:dyDescent="0.25">
      <c r="A1710" s="2" t="s">
        <v>59</v>
      </c>
      <c r="B1710" s="2" t="s">
        <v>60</v>
      </c>
      <c r="C1710" s="2" t="s">
        <v>15037</v>
      </c>
      <c r="D1710" s="2" t="s">
        <v>15038</v>
      </c>
      <c r="E1710" s="2" t="s">
        <v>15039</v>
      </c>
      <c r="G1710" s="3" t="s">
        <v>63</v>
      </c>
      <c r="I1710" s="3" t="s">
        <v>63</v>
      </c>
      <c r="J1710" s="3" t="s">
        <v>62</v>
      </c>
      <c r="K1710" s="3" t="s">
        <v>64</v>
      </c>
      <c r="L1710" s="2" t="s">
        <v>14992</v>
      </c>
      <c r="M1710" s="2" t="s">
        <v>15040</v>
      </c>
      <c r="N1710" s="3" t="s">
        <v>76</v>
      </c>
      <c r="P1710" s="3" t="s">
        <v>66</v>
      </c>
      <c r="Q1710" s="2" t="s">
        <v>15041</v>
      </c>
      <c r="R1710" s="3" t="s">
        <v>67</v>
      </c>
      <c r="S1710" s="4">
        <v>1</v>
      </c>
      <c r="T1710" s="4">
        <v>1</v>
      </c>
      <c r="U1710" s="5" t="s">
        <v>15042</v>
      </c>
      <c r="V1710" s="5" t="s">
        <v>15042</v>
      </c>
      <c r="W1710" s="5" t="s">
        <v>69</v>
      </c>
      <c r="X1710" s="5" t="s">
        <v>69</v>
      </c>
      <c r="Y1710" s="4">
        <v>101</v>
      </c>
      <c r="Z1710" s="4">
        <v>7</v>
      </c>
      <c r="AA1710" s="4">
        <v>37</v>
      </c>
      <c r="AB1710" s="4">
        <v>1</v>
      </c>
      <c r="AC1710" s="4">
        <v>4</v>
      </c>
      <c r="AD1710" s="4">
        <v>40</v>
      </c>
      <c r="AE1710" s="4">
        <v>115</v>
      </c>
      <c r="AF1710" s="4">
        <v>0</v>
      </c>
      <c r="AG1710" s="4">
        <v>1</v>
      </c>
      <c r="AH1710" s="4">
        <v>39</v>
      </c>
      <c r="AI1710" s="4">
        <v>99</v>
      </c>
      <c r="AJ1710" s="4">
        <v>3</v>
      </c>
      <c r="AK1710" s="4">
        <v>19</v>
      </c>
      <c r="AL1710" s="4">
        <v>29</v>
      </c>
      <c r="AM1710" s="4">
        <v>58</v>
      </c>
      <c r="AN1710" s="4">
        <v>0</v>
      </c>
      <c r="AO1710" s="4">
        <v>5</v>
      </c>
      <c r="AP1710" s="4">
        <v>3</v>
      </c>
      <c r="AQ1710" s="4">
        <v>23</v>
      </c>
      <c r="AR1710" s="3" t="s">
        <v>63</v>
      </c>
      <c r="AS1710" s="3" t="s">
        <v>63</v>
      </c>
      <c r="AT1710" s="3" t="s">
        <v>63</v>
      </c>
      <c r="AV1710" s="6" t="str">
        <f>HYPERLINK("http://mcgill.on.worldcat.org/oclc/764335938","Catalog Record")</f>
        <v>Catalog Record</v>
      </c>
      <c r="AW1710" s="6" t="str">
        <f>HYPERLINK("http://www.worldcat.org/oclc/764335938","WorldCat Record")</f>
        <v>WorldCat Record</v>
      </c>
      <c r="AX1710" s="3" t="s">
        <v>15043</v>
      </c>
      <c r="AY1710" s="3" t="s">
        <v>15044</v>
      </c>
      <c r="AZ1710" s="3" t="s">
        <v>15045</v>
      </c>
      <c r="BA1710" s="3" t="s">
        <v>15045</v>
      </c>
      <c r="BB1710" s="3" t="s">
        <v>15046</v>
      </c>
      <c r="BC1710" s="3" t="s">
        <v>82</v>
      </c>
      <c r="BD1710" s="3" t="s">
        <v>70</v>
      </c>
      <c r="BE1710" s="3" t="s">
        <v>15047</v>
      </c>
      <c r="BF1710" s="3" t="s">
        <v>15046</v>
      </c>
      <c r="BG1710" s="3" t="s">
        <v>15048</v>
      </c>
    </row>
    <row r="1711" spans="1:59" ht="60" x14ac:dyDescent="0.25">
      <c r="A1711" s="2" t="s">
        <v>59</v>
      </c>
      <c r="B1711" s="2" t="s">
        <v>60</v>
      </c>
      <c r="C1711" s="2" t="s">
        <v>15049</v>
      </c>
      <c r="D1711" s="2" t="s">
        <v>15050</v>
      </c>
      <c r="E1711" s="2" t="s">
        <v>15051</v>
      </c>
      <c r="G1711" s="3" t="s">
        <v>63</v>
      </c>
      <c r="I1711" s="3" t="s">
        <v>63</v>
      </c>
      <c r="J1711" s="3" t="s">
        <v>63</v>
      </c>
      <c r="K1711" s="3" t="s">
        <v>64</v>
      </c>
      <c r="L1711" s="2" t="s">
        <v>14992</v>
      </c>
      <c r="M1711" s="2" t="s">
        <v>15052</v>
      </c>
      <c r="N1711" s="3" t="s">
        <v>313</v>
      </c>
      <c r="P1711" s="3" t="s">
        <v>66</v>
      </c>
      <c r="R1711" s="3" t="s">
        <v>67</v>
      </c>
      <c r="S1711" s="4">
        <v>2</v>
      </c>
      <c r="T1711" s="4">
        <v>2</v>
      </c>
      <c r="U1711" s="5" t="s">
        <v>15053</v>
      </c>
      <c r="V1711" s="5" t="s">
        <v>15053</v>
      </c>
      <c r="W1711" s="5" t="s">
        <v>69</v>
      </c>
      <c r="X1711" s="5" t="s">
        <v>69</v>
      </c>
      <c r="Y1711" s="4">
        <v>93</v>
      </c>
      <c r="Z1711" s="4">
        <v>11</v>
      </c>
      <c r="AA1711" s="4">
        <v>24</v>
      </c>
      <c r="AB1711" s="4">
        <v>1</v>
      </c>
      <c r="AC1711" s="4">
        <v>2</v>
      </c>
      <c r="AD1711" s="4">
        <v>56</v>
      </c>
      <c r="AE1711" s="4">
        <v>116</v>
      </c>
      <c r="AF1711" s="4">
        <v>0</v>
      </c>
      <c r="AG1711" s="4">
        <v>1</v>
      </c>
      <c r="AH1711" s="4">
        <v>52</v>
      </c>
      <c r="AI1711" s="4">
        <v>102</v>
      </c>
      <c r="AJ1711" s="4">
        <v>8</v>
      </c>
      <c r="AK1711" s="4">
        <v>18</v>
      </c>
      <c r="AL1711" s="4">
        <v>34</v>
      </c>
      <c r="AM1711" s="4">
        <v>56</v>
      </c>
      <c r="AN1711" s="4">
        <v>0</v>
      </c>
      <c r="AO1711" s="4">
        <v>5</v>
      </c>
      <c r="AP1711" s="4">
        <v>8</v>
      </c>
      <c r="AQ1711" s="4">
        <v>18</v>
      </c>
      <c r="AR1711" s="3" t="s">
        <v>63</v>
      </c>
      <c r="AS1711" s="3" t="s">
        <v>63</v>
      </c>
      <c r="AT1711" s="3" t="s">
        <v>63</v>
      </c>
      <c r="AV1711" s="6" t="str">
        <f>HYPERLINK("http://mcgill.on.worldcat.org/oclc/657270912","Catalog Record")</f>
        <v>Catalog Record</v>
      </c>
      <c r="AW1711" s="6" t="str">
        <f>HYPERLINK("http://www.worldcat.org/oclc/657270912","WorldCat Record")</f>
        <v>WorldCat Record</v>
      </c>
      <c r="AX1711" s="3" t="s">
        <v>15054</v>
      </c>
      <c r="AY1711" s="3" t="s">
        <v>15055</v>
      </c>
      <c r="AZ1711" s="3" t="s">
        <v>15056</v>
      </c>
      <c r="BA1711" s="3" t="s">
        <v>15056</v>
      </c>
      <c r="BB1711" s="3" t="s">
        <v>15057</v>
      </c>
      <c r="BC1711" s="3" t="s">
        <v>82</v>
      </c>
      <c r="BD1711" s="3" t="s">
        <v>70</v>
      </c>
      <c r="BE1711" s="3" t="s">
        <v>15058</v>
      </c>
      <c r="BF1711" s="3" t="s">
        <v>15057</v>
      </c>
      <c r="BG1711" s="3" t="s">
        <v>15059</v>
      </c>
    </row>
    <row r="1712" spans="1:59" ht="60" x14ac:dyDescent="0.25">
      <c r="A1712" s="2" t="s">
        <v>59</v>
      </c>
      <c r="B1712" s="2" t="s">
        <v>60</v>
      </c>
      <c r="C1712" s="2" t="s">
        <v>15060</v>
      </c>
      <c r="D1712" s="2" t="s">
        <v>15061</v>
      </c>
      <c r="E1712" s="2" t="s">
        <v>15062</v>
      </c>
      <c r="G1712" s="3" t="s">
        <v>63</v>
      </c>
      <c r="I1712" s="3" t="s">
        <v>62</v>
      </c>
      <c r="J1712" s="3" t="s">
        <v>63</v>
      </c>
      <c r="K1712" s="3" t="s">
        <v>64</v>
      </c>
      <c r="L1712" s="2" t="s">
        <v>15063</v>
      </c>
      <c r="M1712" s="2" t="s">
        <v>15064</v>
      </c>
      <c r="N1712" s="3" t="s">
        <v>65</v>
      </c>
      <c r="P1712" s="3" t="s">
        <v>66</v>
      </c>
      <c r="R1712" s="3" t="s">
        <v>67</v>
      </c>
      <c r="S1712" s="4">
        <v>12</v>
      </c>
      <c r="T1712" s="4">
        <v>22</v>
      </c>
      <c r="U1712" s="5" t="s">
        <v>15065</v>
      </c>
      <c r="V1712" s="5" t="s">
        <v>15066</v>
      </c>
      <c r="W1712" s="5" t="s">
        <v>69</v>
      </c>
      <c r="X1712" s="5" t="s">
        <v>69</v>
      </c>
      <c r="Y1712" s="4">
        <v>478</v>
      </c>
      <c r="Z1712" s="4">
        <v>29</v>
      </c>
      <c r="AA1712" s="4">
        <v>31</v>
      </c>
      <c r="AB1712" s="4">
        <v>2</v>
      </c>
      <c r="AC1712" s="4">
        <v>4</v>
      </c>
      <c r="AD1712" s="4">
        <v>120</v>
      </c>
      <c r="AE1712" s="4">
        <v>122</v>
      </c>
      <c r="AF1712" s="4">
        <v>1</v>
      </c>
      <c r="AG1712" s="4">
        <v>2</v>
      </c>
      <c r="AH1712" s="4">
        <v>107</v>
      </c>
      <c r="AI1712" s="4">
        <v>109</v>
      </c>
      <c r="AJ1712" s="4">
        <v>20</v>
      </c>
      <c r="AK1712" s="4">
        <v>21</v>
      </c>
      <c r="AL1712" s="4">
        <v>57</v>
      </c>
      <c r="AM1712" s="4">
        <v>57</v>
      </c>
      <c r="AN1712" s="4">
        <v>0</v>
      </c>
      <c r="AO1712" s="4">
        <v>0</v>
      </c>
      <c r="AP1712" s="4">
        <v>21</v>
      </c>
      <c r="AQ1712" s="4">
        <v>22</v>
      </c>
      <c r="AR1712" s="3" t="s">
        <v>63</v>
      </c>
      <c r="AS1712" s="3" t="s">
        <v>63</v>
      </c>
      <c r="AT1712" s="3" t="s">
        <v>62</v>
      </c>
      <c r="AU1712" s="6" t="str">
        <f>HYPERLINK("http://catalog.hathitrust.org/Record/000173612","HathiTrust Record")</f>
        <v>HathiTrust Record</v>
      </c>
      <c r="AV1712" s="6" t="str">
        <f>HYPERLINK("http://mcgill.on.worldcat.org/oclc/2799199","Catalog Record")</f>
        <v>Catalog Record</v>
      </c>
      <c r="AW1712" s="6" t="str">
        <f>HYPERLINK("http://www.worldcat.org/oclc/2799199","WorldCat Record")</f>
        <v>WorldCat Record</v>
      </c>
      <c r="AX1712" s="3" t="s">
        <v>15067</v>
      </c>
      <c r="AY1712" s="3" t="s">
        <v>15068</v>
      </c>
      <c r="AZ1712" s="3" t="s">
        <v>15069</v>
      </c>
      <c r="BA1712" s="3" t="s">
        <v>15069</v>
      </c>
      <c r="BB1712" s="3" t="s">
        <v>15070</v>
      </c>
      <c r="BC1712" s="3" t="s">
        <v>82</v>
      </c>
      <c r="BD1712" s="3" t="s">
        <v>70</v>
      </c>
      <c r="BE1712" s="3" t="s">
        <v>15071</v>
      </c>
      <c r="BF1712" s="3" t="s">
        <v>15070</v>
      </c>
      <c r="BG1712" s="3" t="s">
        <v>15072</v>
      </c>
    </row>
    <row r="1713" spans="1:59" ht="60" x14ac:dyDescent="0.25">
      <c r="A1713" s="2" t="s">
        <v>59</v>
      </c>
      <c r="B1713" s="2" t="s">
        <v>60</v>
      </c>
      <c r="C1713" s="2" t="s">
        <v>15060</v>
      </c>
      <c r="D1713" s="2" t="s">
        <v>15061</v>
      </c>
      <c r="E1713" s="2" t="s">
        <v>15062</v>
      </c>
      <c r="G1713" s="3" t="s">
        <v>63</v>
      </c>
      <c r="I1713" s="3" t="s">
        <v>62</v>
      </c>
      <c r="J1713" s="3" t="s">
        <v>63</v>
      </c>
      <c r="K1713" s="3" t="s">
        <v>64</v>
      </c>
      <c r="L1713" s="2" t="s">
        <v>15063</v>
      </c>
      <c r="M1713" s="2" t="s">
        <v>15064</v>
      </c>
      <c r="N1713" s="3" t="s">
        <v>65</v>
      </c>
      <c r="P1713" s="3" t="s">
        <v>66</v>
      </c>
      <c r="R1713" s="3" t="s">
        <v>67</v>
      </c>
      <c r="S1713" s="4">
        <v>10</v>
      </c>
      <c r="T1713" s="4">
        <v>22</v>
      </c>
      <c r="U1713" s="5" t="s">
        <v>15066</v>
      </c>
      <c r="V1713" s="5" t="s">
        <v>15066</v>
      </c>
      <c r="W1713" s="5" t="s">
        <v>69</v>
      </c>
      <c r="X1713" s="5" t="s">
        <v>69</v>
      </c>
      <c r="Y1713" s="4">
        <v>478</v>
      </c>
      <c r="Z1713" s="4">
        <v>29</v>
      </c>
      <c r="AA1713" s="4">
        <v>31</v>
      </c>
      <c r="AB1713" s="4">
        <v>2</v>
      </c>
      <c r="AC1713" s="4">
        <v>4</v>
      </c>
      <c r="AD1713" s="4">
        <v>120</v>
      </c>
      <c r="AE1713" s="4">
        <v>122</v>
      </c>
      <c r="AF1713" s="4">
        <v>1</v>
      </c>
      <c r="AG1713" s="4">
        <v>2</v>
      </c>
      <c r="AH1713" s="4">
        <v>107</v>
      </c>
      <c r="AI1713" s="4">
        <v>109</v>
      </c>
      <c r="AJ1713" s="4">
        <v>20</v>
      </c>
      <c r="AK1713" s="4">
        <v>21</v>
      </c>
      <c r="AL1713" s="4">
        <v>57</v>
      </c>
      <c r="AM1713" s="4">
        <v>57</v>
      </c>
      <c r="AN1713" s="4">
        <v>0</v>
      </c>
      <c r="AO1713" s="4">
        <v>0</v>
      </c>
      <c r="AP1713" s="4">
        <v>21</v>
      </c>
      <c r="AQ1713" s="4">
        <v>22</v>
      </c>
      <c r="AR1713" s="3" t="s">
        <v>63</v>
      </c>
      <c r="AS1713" s="3" t="s">
        <v>63</v>
      </c>
      <c r="AT1713" s="3" t="s">
        <v>62</v>
      </c>
      <c r="AU1713" s="6" t="str">
        <f>HYPERLINK("http://catalog.hathitrust.org/Record/000173612","HathiTrust Record")</f>
        <v>HathiTrust Record</v>
      </c>
      <c r="AV1713" s="6" t="str">
        <f>HYPERLINK("http://mcgill.on.worldcat.org/oclc/2799199","Catalog Record")</f>
        <v>Catalog Record</v>
      </c>
      <c r="AW1713" s="6" t="str">
        <f>HYPERLINK("http://www.worldcat.org/oclc/2799199","WorldCat Record")</f>
        <v>WorldCat Record</v>
      </c>
      <c r="AX1713" s="3" t="s">
        <v>15067</v>
      </c>
      <c r="AY1713" s="3" t="s">
        <v>15068</v>
      </c>
      <c r="AZ1713" s="3" t="s">
        <v>15069</v>
      </c>
      <c r="BA1713" s="3" t="s">
        <v>15069</v>
      </c>
      <c r="BB1713" s="3" t="s">
        <v>15073</v>
      </c>
      <c r="BC1713" s="3" t="s">
        <v>82</v>
      </c>
      <c r="BD1713" s="3" t="s">
        <v>70</v>
      </c>
      <c r="BE1713" s="3" t="s">
        <v>15071</v>
      </c>
      <c r="BF1713" s="3" t="s">
        <v>15073</v>
      </c>
      <c r="BG1713" s="3" t="s">
        <v>15074</v>
      </c>
    </row>
    <row r="1714" spans="1:59" ht="60" x14ac:dyDescent="0.25">
      <c r="A1714" s="2" t="s">
        <v>59</v>
      </c>
      <c r="B1714" s="2" t="s">
        <v>60</v>
      </c>
      <c r="C1714" s="2" t="s">
        <v>15075</v>
      </c>
      <c r="D1714" s="2" t="s">
        <v>15076</v>
      </c>
      <c r="E1714" s="2" t="s">
        <v>15077</v>
      </c>
      <c r="G1714" s="3" t="s">
        <v>63</v>
      </c>
      <c r="I1714" s="3" t="s">
        <v>63</v>
      </c>
      <c r="J1714" s="3" t="s">
        <v>63</v>
      </c>
      <c r="K1714" s="3" t="s">
        <v>64</v>
      </c>
      <c r="L1714" s="2" t="s">
        <v>15078</v>
      </c>
      <c r="M1714" s="2" t="s">
        <v>6807</v>
      </c>
      <c r="N1714" s="3" t="s">
        <v>2103</v>
      </c>
      <c r="P1714" s="3" t="s">
        <v>66</v>
      </c>
      <c r="Q1714" s="2" t="s">
        <v>3902</v>
      </c>
      <c r="R1714" s="3" t="s">
        <v>67</v>
      </c>
      <c r="S1714" s="4">
        <v>7</v>
      </c>
      <c r="T1714" s="4">
        <v>7</v>
      </c>
      <c r="U1714" s="5" t="s">
        <v>11856</v>
      </c>
      <c r="V1714" s="5" t="s">
        <v>11856</v>
      </c>
      <c r="W1714" s="5" t="s">
        <v>69</v>
      </c>
      <c r="X1714" s="5" t="s">
        <v>69</v>
      </c>
      <c r="Y1714" s="4">
        <v>168</v>
      </c>
      <c r="Z1714" s="4">
        <v>14</v>
      </c>
      <c r="AA1714" s="4">
        <v>14</v>
      </c>
      <c r="AB1714" s="4">
        <v>2</v>
      </c>
      <c r="AC1714" s="4">
        <v>2</v>
      </c>
      <c r="AD1714" s="4">
        <v>90</v>
      </c>
      <c r="AE1714" s="4">
        <v>90</v>
      </c>
      <c r="AF1714" s="4">
        <v>0</v>
      </c>
      <c r="AG1714" s="4">
        <v>0</v>
      </c>
      <c r="AH1714" s="4">
        <v>83</v>
      </c>
      <c r="AI1714" s="4">
        <v>83</v>
      </c>
      <c r="AJ1714" s="4">
        <v>11</v>
      </c>
      <c r="AK1714" s="4">
        <v>11</v>
      </c>
      <c r="AL1714" s="4">
        <v>49</v>
      </c>
      <c r="AM1714" s="4">
        <v>49</v>
      </c>
      <c r="AN1714" s="4">
        <v>0</v>
      </c>
      <c r="AO1714" s="4">
        <v>0</v>
      </c>
      <c r="AP1714" s="4">
        <v>11</v>
      </c>
      <c r="AQ1714" s="4">
        <v>11</v>
      </c>
      <c r="AR1714" s="3" t="s">
        <v>63</v>
      </c>
      <c r="AS1714" s="3" t="s">
        <v>63</v>
      </c>
      <c r="AT1714" s="3" t="s">
        <v>62</v>
      </c>
      <c r="AU1714" s="6" t="str">
        <f>HYPERLINK("http://catalog.hathitrust.org/Record/004254771","HathiTrust Record")</f>
        <v>HathiTrust Record</v>
      </c>
      <c r="AV1714" s="6" t="str">
        <f>HYPERLINK("http://mcgill.on.worldcat.org/oclc/47805002","Catalog Record")</f>
        <v>Catalog Record</v>
      </c>
      <c r="AW1714" s="6" t="str">
        <f>HYPERLINK("http://www.worldcat.org/oclc/47805002","WorldCat Record")</f>
        <v>WorldCat Record</v>
      </c>
      <c r="AX1714" s="3" t="s">
        <v>15079</v>
      </c>
      <c r="AY1714" s="3" t="s">
        <v>15080</v>
      </c>
      <c r="AZ1714" s="3" t="s">
        <v>15081</v>
      </c>
      <c r="BA1714" s="3" t="s">
        <v>15081</v>
      </c>
      <c r="BB1714" s="3" t="s">
        <v>15082</v>
      </c>
      <c r="BC1714" s="3" t="s">
        <v>82</v>
      </c>
      <c r="BD1714" s="3" t="s">
        <v>70</v>
      </c>
      <c r="BE1714" s="3" t="s">
        <v>15083</v>
      </c>
      <c r="BF1714" s="3" t="s">
        <v>15082</v>
      </c>
      <c r="BG1714" s="3" t="s">
        <v>15084</v>
      </c>
    </row>
    <row r="1715" spans="1:59" ht="60" x14ac:dyDescent="0.25">
      <c r="A1715" s="2" t="s">
        <v>59</v>
      </c>
      <c r="B1715" s="2" t="s">
        <v>60</v>
      </c>
      <c r="C1715" s="2" t="s">
        <v>15085</v>
      </c>
      <c r="D1715" s="2" t="s">
        <v>15086</v>
      </c>
      <c r="E1715" s="2" t="s">
        <v>15087</v>
      </c>
      <c r="G1715" s="3" t="s">
        <v>63</v>
      </c>
      <c r="I1715" s="3" t="s">
        <v>63</v>
      </c>
      <c r="J1715" s="3" t="s">
        <v>63</v>
      </c>
      <c r="K1715" s="3" t="s">
        <v>64</v>
      </c>
      <c r="L1715" s="2" t="s">
        <v>15088</v>
      </c>
      <c r="M1715" s="2" t="s">
        <v>15089</v>
      </c>
      <c r="N1715" s="3" t="s">
        <v>313</v>
      </c>
      <c r="P1715" s="3" t="s">
        <v>90</v>
      </c>
      <c r="R1715" s="3" t="s">
        <v>67</v>
      </c>
      <c r="S1715" s="4">
        <v>0</v>
      </c>
      <c r="T1715" s="4">
        <v>0</v>
      </c>
      <c r="W1715" s="5" t="s">
        <v>69</v>
      </c>
      <c r="X1715" s="5" t="s">
        <v>69</v>
      </c>
      <c r="Y1715" s="4">
        <v>6</v>
      </c>
      <c r="Z1715" s="4">
        <v>1</v>
      </c>
      <c r="AA1715" s="4">
        <v>4</v>
      </c>
      <c r="AB1715" s="4">
        <v>1</v>
      </c>
      <c r="AC1715" s="4">
        <v>1</v>
      </c>
      <c r="AD1715" s="4">
        <v>4</v>
      </c>
      <c r="AE1715" s="4">
        <v>20</v>
      </c>
      <c r="AF1715" s="4">
        <v>0</v>
      </c>
      <c r="AG1715" s="4">
        <v>0</v>
      </c>
      <c r="AH1715" s="4">
        <v>4</v>
      </c>
      <c r="AI1715" s="4">
        <v>20</v>
      </c>
      <c r="AJ1715" s="4">
        <v>0</v>
      </c>
      <c r="AK1715" s="4">
        <v>3</v>
      </c>
      <c r="AL1715" s="4">
        <v>2</v>
      </c>
      <c r="AM1715" s="4">
        <v>14</v>
      </c>
      <c r="AN1715" s="4">
        <v>0</v>
      </c>
      <c r="AO1715" s="4">
        <v>0</v>
      </c>
      <c r="AP1715" s="4">
        <v>0</v>
      </c>
      <c r="AQ1715" s="4">
        <v>3</v>
      </c>
      <c r="AR1715" s="3" t="s">
        <v>63</v>
      </c>
      <c r="AS1715" s="3" t="s">
        <v>63</v>
      </c>
      <c r="AT1715" s="3" t="s">
        <v>63</v>
      </c>
      <c r="AV1715" s="6" t="str">
        <f>HYPERLINK("http://mcgill.on.worldcat.org/oclc/697266088","Catalog Record")</f>
        <v>Catalog Record</v>
      </c>
      <c r="AW1715" s="6" t="str">
        <f>HYPERLINK("http://www.worldcat.org/oclc/697266088","WorldCat Record")</f>
        <v>WorldCat Record</v>
      </c>
      <c r="AX1715" s="3" t="s">
        <v>15090</v>
      </c>
      <c r="AY1715" s="3" t="s">
        <v>15091</v>
      </c>
      <c r="AZ1715" s="3" t="s">
        <v>15092</v>
      </c>
      <c r="BA1715" s="3" t="s">
        <v>15092</v>
      </c>
      <c r="BB1715" s="3" t="s">
        <v>15093</v>
      </c>
      <c r="BC1715" s="3" t="s">
        <v>82</v>
      </c>
      <c r="BD1715" s="3" t="s">
        <v>70</v>
      </c>
      <c r="BE1715" s="3" t="s">
        <v>15094</v>
      </c>
      <c r="BF1715" s="3" t="s">
        <v>15093</v>
      </c>
      <c r="BG1715" s="3" t="s">
        <v>15095</v>
      </c>
    </row>
    <row r="1716" spans="1:59" ht="60" x14ac:dyDescent="0.25">
      <c r="A1716" s="2" t="s">
        <v>59</v>
      </c>
      <c r="B1716" s="2" t="s">
        <v>60</v>
      </c>
      <c r="C1716" s="2" t="s">
        <v>15154</v>
      </c>
      <c r="D1716" s="2" t="s">
        <v>15155</v>
      </c>
      <c r="E1716" s="2" t="s">
        <v>15156</v>
      </c>
      <c r="G1716" s="3" t="s">
        <v>63</v>
      </c>
      <c r="I1716" s="3" t="s">
        <v>63</v>
      </c>
      <c r="J1716" s="3" t="s">
        <v>63</v>
      </c>
      <c r="K1716" s="3" t="s">
        <v>64</v>
      </c>
      <c r="L1716" s="2" t="s">
        <v>15157</v>
      </c>
      <c r="M1716" s="2" t="s">
        <v>15158</v>
      </c>
      <c r="N1716" s="3" t="s">
        <v>918</v>
      </c>
      <c r="P1716" s="3" t="s">
        <v>66</v>
      </c>
      <c r="Q1716" s="2" t="s">
        <v>15159</v>
      </c>
      <c r="R1716" s="3" t="s">
        <v>67</v>
      </c>
      <c r="S1716" s="4">
        <v>7</v>
      </c>
      <c r="T1716" s="4">
        <v>7</v>
      </c>
      <c r="U1716" s="5" t="s">
        <v>7896</v>
      </c>
      <c r="V1716" s="5" t="s">
        <v>7896</v>
      </c>
      <c r="W1716" s="5" t="s">
        <v>69</v>
      </c>
      <c r="X1716" s="5" t="s">
        <v>69</v>
      </c>
      <c r="Y1716" s="4">
        <v>562</v>
      </c>
      <c r="Z1716" s="4">
        <v>30</v>
      </c>
      <c r="AA1716" s="4">
        <v>30</v>
      </c>
      <c r="AB1716" s="4">
        <v>1</v>
      </c>
      <c r="AC1716" s="4">
        <v>1</v>
      </c>
      <c r="AD1716" s="4">
        <v>118</v>
      </c>
      <c r="AE1716" s="4">
        <v>118</v>
      </c>
      <c r="AF1716" s="4">
        <v>0</v>
      </c>
      <c r="AG1716" s="4">
        <v>0</v>
      </c>
      <c r="AH1716" s="4">
        <v>100</v>
      </c>
      <c r="AI1716" s="4">
        <v>100</v>
      </c>
      <c r="AJ1716" s="4">
        <v>19</v>
      </c>
      <c r="AK1716" s="4">
        <v>19</v>
      </c>
      <c r="AL1716" s="4">
        <v>55</v>
      </c>
      <c r="AM1716" s="4">
        <v>55</v>
      </c>
      <c r="AN1716" s="4">
        <v>0</v>
      </c>
      <c r="AO1716" s="4">
        <v>0</v>
      </c>
      <c r="AP1716" s="4">
        <v>25</v>
      </c>
      <c r="AQ1716" s="4">
        <v>25</v>
      </c>
      <c r="AR1716" s="3" t="s">
        <v>63</v>
      </c>
      <c r="AS1716" s="3" t="s">
        <v>63</v>
      </c>
      <c r="AT1716" s="3" t="s">
        <v>62</v>
      </c>
      <c r="AU1716" s="6" t="str">
        <f>HYPERLINK("http://catalog.hathitrust.org/Record/001110403","HathiTrust Record")</f>
        <v>HathiTrust Record</v>
      </c>
      <c r="AV1716" s="6" t="str">
        <f>HYPERLINK("http://mcgill.on.worldcat.org/oclc/258694","Catalog Record")</f>
        <v>Catalog Record</v>
      </c>
      <c r="AW1716" s="6" t="str">
        <f>HYPERLINK("http://www.worldcat.org/oclc/258694","WorldCat Record")</f>
        <v>WorldCat Record</v>
      </c>
      <c r="AX1716" s="3" t="s">
        <v>15160</v>
      </c>
      <c r="AY1716" s="3" t="s">
        <v>15161</v>
      </c>
      <c r="AZ1716" s="3" t="s">
        <v>15162</v>
      </c>
      <c r="BA1716" s="3" t="s">
        <v>15162</v>
      </c>
      <c r="BB1716" s="3" t="s">
        <v>15163</v>
      </c>
      <c r="BC1716" s="3" t="s">
        <v>82</v>
      </c>
      <c r="BD1716" s="3" t="s">
        <v>70</v>
      </c>
      <c r="BF1716" s="3" t="s">
        <v>15163</v>
      </c>
      <c r="BG1716" s="3" t="s">
        <v>15164</v>
      </c>
    </row>
    <row r="1717" spans="1:59" ht="75" x14ac:dyDescent="0.25">
      <c r="A1717" s="2" t="s">
        <v>59</v>
      </c>
      <c r="B1717" s="2" t="s">
        <v>60</v>
      </c>
      <c r="C1717" s="2" t="s">
        <v>15165</v>
      </c>
      <c r="D1717" s="2" t="s">
        <v>15166</v>
      </c>
      <c r="E1717" s="2" t="s">
        <v>15167</v>
      </c>
      <c r="G1717" s="3" t="s">
        <v>63</v>
      </c>
      <c r="I1717" s="3" t="s">
        <v>63</v>
      </c>
      <c r="J1717" s="3" t="s">
        <v>63</v>
      </c>
      <c r="K1717" s="3" t="s">
        <v>64</v>
      </c>
      <c r="L1717" s="2" t="s">
        <v>15168</v>
      </c>
      <c r="M1717" s="2" t="s">
        <v>15169</v>
      </c>
      <c r="N1717" s="3" t="s">
        <v>4426</v>
      </c>
      <c r="P1717" s="3" t="s">
        <v>90</v>
      </c>
      <c r="Q1717" s="2" t="s">
        <v>15170</v>
      </c>
      <c r="R1717" s="3" t="s">
        <v>67</v>
      </c>
      <c r="S1717" s="4">
        <v>3</v>
      </c>
      <c r="T1717" s="4">
        <v>3</v>
      </c>
      <c r="U1717" s="5" t="s">
        <v>2481</v>
      </c>
      <c r="V1717" s="5" t="s">
        <v>2481</v>
      </c>
      <c r="W1717" s="5" t="s">
        <v>69</v>
      </c>
      <c r="X1717" s="5" t="s">
        <v>69</v>
      </c>
      <c r="Y1717" s="4">
        <v>44</v>
      </c>
      <c r="Z1717" s="4">
        <v>6</v>
      </c>
      <c r="AA1717" s="4">
        <v>15</v>
      </c>
      <c r="AB1717" s="4">
        <v>3</v>
      </c>
      <c r="AC1717" s="4">
        <v>4</v>
      </c>
      <c r="AD1717" s="4">
        <v>15</v>
      </c>
      <c r="AE1717" s="4">
        <v>71</v>
      </c>
      <c r="AF1717" s="4">
        <v>1</v>
      </c>
      <c r="AG1717" s="4">
        <v>2</v>
      </c>
      <c r="AH1717" s="4">
        <v>13</v>
      </c>
      <c r="AI1717" s="4">
        <v>64</v>
      </c>
      <c r="AJ1717" s="4">
        <v>4</v>
      </c>
      <c r="AK1717" s="4">
        <v>12</v>
      </c>
      <c r="AL1717" s="4">
        <v>11</v>
      </c>
      <c r="AM1717" s="4">
        <v>44</v>
      </c>
      <c r="AN1717" s="4">
        <v>0</v>
      </c>
      <c r="AO1717" s="4">
        <v>0</v>
      </c>
      <c r="AP1717" s="4">
        <v>4</v>
      </c>
      <c r="AQ1717" s="4">
        <v>11</v>
      </c>
      <c r="AR1717" s="3" t="s">
        <v>63</v>
      </c>
      <c r="AS1717" s="3" t="s">
        <v>63</v>
      </c>
      <c r="AT1717" s="3" t="s">
        <v>63</v>
      </c>
      <c r="AV1717" s="6" t="str">
        <f>HYPERLINK("http://mcgill.on.worldcat.org/oclc/1682833","Catalog Record")</f>
        <v>Catalog Record</v>
      </c>
      <c r="AW1717" s="6" t="str">
        <f>HYPERLINK("http://www.worldcat.org/oclc/1682833","WorldCat Record")</f>
        <v>WorldCat Record</v>
      </c>
      <c r="AX1717" s="3" t="s">
        <v>15171</v>
      </c>
      <c r="AY1717" s="3" t="s">
        <v>15172</v>
      </c>
      <c r="AZ1717" s="3" t="s">
        <v>15173</v>
      </c>
      <c r="BA1717" s="3" t="s">
        <v>15173</v>
      </c>
      <c r="BB1717" s="3" t="s">
        <v>15174</v>
      </c>
      <c r="BC1717" s="3" t="s">
        <v>82</v>
      </c>
      <c r="BD1717" s="3" t="s">
        <v>70</v>
      </c>
      <c r="BF1717" s="3" t="s">
        <v>15174</v>
      </c>
      <c r="BG1717" s="3" t="s">
        <v>15175</v>
      </c>
    </row>
    <row r="1718" spans="1:59" ht="60" x14ac:dyDescent="0.25">
      <c r="A1718" s="2" t="s">
        <v>59</v>
      </c>
      <c r="B1718" s="2" t="s">
        <v>60</v>
      </c>
      <c r="C1718" s="2" t="s">
        <v>15176</v>
      </c>
      <c r="D1718" s="2" t="s">
        <v>15177</v>
      </c>
      <c r="E1718" s="2" t="s">
        <v>15178</v>
      </c>
      <c r="G1718" s="3" t="s">
        <v>63</v>
      </c>
      <c r="I1718" s="3" t="s">
        <v>63</v>
      </c>
      <c r="J1718" s="3" t="s">
        <v>63</v>
      </c>
      <c r="K1718" s="3" t="s">
        <v>64</v>
      </c>
      <c r="L1718" s="2" t="s">
        <v>15179</v>
      </c>
      <c r="M1718" s="2" t="s">
        <v>15180</v>
      </c>
      <c r="N1718" s="3" t="s">
        <v>531</v>
      </c>
      <c r="P1718" s="3" t="s">
        <v>66</v>
      </c>
      <c r="R1718" s="3" t="s">
        <v>67</v>
      </c>
      <c r="S1718" s="4">
        <v>25</v>
      </c>
      <c r="T1718" s="4">
        <v>25</v>
      </c>
      <c r="U1718" s="5" t="s">
        <v>2481</v>
      </c>
      <c r="V1718" s="5" t="s">
        <v>2481</v>
      </c>
      <c r="W1718" s="5" t="s">
        <v>69</v>
      </c>
      <c r="X1718" s="5" t="s">
        <v>69</v>
      </c>
      <c r="Y1718" s="4">
        <v>59</v>
      </c>
      <c r="Z1718" s="4">
        <v>8</v>
      </c>
      <c r="AA1718" s="4">
        <v>20</v>
      </c>
      <c r="AB1718" s="4">
        <v>1</v>
      </c>
      <c r="AC1718" s="4">
        <v>2</v>
      </c>
      <c r="AD1718" s="4">
        <v>30</v>
      </c>
      <c r="AE1718" s="4">
        <v>88</v>
      </c>
      <c r="AF1718" s="4">
        <v>0</v>
      </c>
      <c r="AG1718" s="4">
        <v>1</v>
      </c>
      <c r="AH1718" s="4">
        <v>28</v>
      </c>
      <c r="AI1718" s="4">
        <v>80</v>
      </c>
      <c r="AJ1718" s="4">
        <v>4</v>
      </c>
      <c r="AK1718" s="4">
        <v>15</v>
      </c>
      <c r="AL1718" s="4">
        <v>19</v>
      </c>
      <c r="AM1718" s="4">
        <v>46</v>
      </c>
      <c r="AN1718" s="4">
        <v>0</v>
      </c>
      <c r="AO1718" s="4">
        <v>0</v>
      </c>
      <c r="AP1718" s="4">
        <v>5</v>
      </c>
      <c r="AQ1718" s="4">
        <v>15</v>
      </c>
      <c r="AR1718" s="3" t="s">
        <v>63</v>
      </c>
      <c r="AS1718" s="3" t="s">
        <v>63</v>
      </c>
      <c r="AT1718" s="3" t="s">
        <v>62</v>
      </c>
      <c r="AU1718" s="6" t="str">
        <f>HYPERLINK("http://catalog.hathitrust.org/Record/002643316","HathiTrust Record")</f>
        <v>HathiTrust Record</v>
      </c>
      <c r="AV1718" s="6" t="str">
        <f>HYPERLINK("http://mcgill.on.worldcat.org/oclc/27054548","Catalog Record")</f>
        <v>Catalog Record</v>
      </c>
      <c r="AW1718" s="6" t="str">
        <f>HYPERLINK("http://www.worldcat.org/oclc/27054548","WorldCat Record")</f>
        <v>WorldCat Record</v>
      </c>
      <c r="AX1718" s="3" t="s">
        <v>15181</v>
      </c>
      <c r="AY1718" s="3" t="s">
        <v>15182</v>
      </c>
      <c r="AZ1718" s="3" t="s">
        <v>15183</v>
      </c>
      <c r="BA1718" s="3" t="s">
        <v>15183</v>
      </c>
      <c r="BB1718" s="3" t="s">
        <v>15184</v>
      </c>
      <c r="BC1718" s="3" t="s">
        <v>82</v>
      </c>
      <c r="BD1718" s="3" t="s">
        <v>70</v>
      </c>
      <c r="BE1718" s="3" t="s">
        <v>15185</v>
      </c>
      <c r="BF1718" s="3" t="s">
        <v>15184</v>
      </c>
      <c r="BG1718" s="3" t="s">
        <v>15186</v>
      </c>
    </row>
    <row r="1719" spans="1:59" ht="60" x14ac:dyDescent="0.25">
      <c r="A1719" s="2" t="s">
        <v>59</v>
      </c>
      <c r="B1719" s="2" t="s">
        <v>60</v>
      </c>
      <c r="C1719" s="2" t="s">
        <v>15187</v>
      </c>
      <c r="D1719" s="2" t="s">
        <v>15188</v>
      </c>
      <c r="E1719" s="2" t="s">
        <v>15189</v>
      </c>
      <c r="G1719" s="3" t="s">
        <v>63</v>
      </c>
      <c r="I1719" s="3" t="s">
        <v>63</v>
      </c>
      <c r="J1719" s="3" t="s">
        <v>63</v>
      </c>
      <c r="K1719" s="3" t="s">
        <v>64</v>
      </c>
      <c r="L1719" s="2" t="s">
        <v>15190</v>
      </c>
      <c r="M1719" s="2" t="s">
        <v>15191</v>
      </c>
      <c r="N1719" s="3" t="s">
        <v>106</v>
      </c>
      <c r="P1719" s="3" t="s">
        <v>548</v>
      </c>
      <c r="Q1719" s="2" t="s">
        <v>15192</v>
      </c>
      <c r="R1719" s="3" t="s">
        <v>67</v>
      </c>
      <c r="S1719" s="4">
        <v>0</v>
      </c>
      <c r="T1719" s="4">
        <v>0</v>
      </c>
      <c r="W1719" s="5" t="s">
        <v>69</v>
      </c>
      <c r="X1719" s="5" t="s">
        <v>69</v>
      </c>
      <c r="Y1719" s="4">
        <v>4</v>
      </c>
      <c r="Z1719" s="4">
        <v>1</v>
      </c>
      <c r="AA1719" s="4">
        <v>1</v>
      </c>
      <c r="AB1719" s="4">
        <v>1</v>
      </c>
      <c r="AC1719" s="4">
        <v>1</v>
      </c>
      <c r="AD1719" s="4">
        <v>2</v>
      </c>
      <c r="AE1719" s="4">
        <v>2</v>
      </c>
      <c r="AF1719" s="4">
        <v>0</v>
      </c>
      <c r="AG1719" s="4">
        <v>0</v>
      </c>
      <c r="AH1719" s="4">
        <v>2</v>
      </c>
      <c r="AI1719" s="4">
        <v>2</v>
      </c>
      <c r="AJ1719" s="4">
        <v>0</v>
      </c>
      <c r="AK1719" s="4">
        <v>0</v>
      </c>
      <c r="AL1719" s="4">
        <v>2</v>
      </c>
      <c r="AM1719" s="4">
        <v>2</v>
      </c>
      <c r="AN1719" s="4">
        <v>0</v>
      </c>
      <c r="AO1719" s="4">
        <v>0</v>
      </c>
      <c r="AP1719" s="4">
        <v>0</v>
      </c>
      <c r="AQ1719" s="4">
        <v>0</v>
      </c>
      <c r="AR1719" s="3" t="s">
        <v>63</v>
      </c>
      <c r="AS1719" s="3" t="s">
        <v>63</v>
      </c>
      <c r="AT1719" s="3" t="s">
        <v>63</v>
      </c>
      <c r="AV1719" s="6" t="str">
        <f>HYPERLINK("http://mcgill.on.worldcat.org/oclc/950440023","Catalog Record")</f>
        <v>Catalog Record</v>
      </c>
      <c r="AW1719" s="6" t="str">
        <f>HYPERLINK("http://www.worldcat.org/oclc/950440023","WorldCat Record")</f>
        <v>WorldCat Record</v>
      </c>
      <c r="AX1719" s="3" t="s">
        <v>15193</v>
      </c>
      <c r="AY1719" s="3" t="s">
        <v>15194</v>
      </c>
      <c r="AZ1719" s="3" t="s">
        <v>15195</v>
      </c>
      <c r="BA1719" s="3" t="s">
        <v>15195</v>
      </c>
      <c r="BB1719" s="3" t="s">
        <v>15196</v>
      </c>
      <c r="BC1719" s="3" t="s">
        <v>82</v>
      </c>
      <c r="BD1719" s="3" t="s">
        <v>70</v>
      </c>
      <c r="BE1719" s="3" t="s">
        <v>15197</v>
      </c>
      <c r="BF1719" s="3" t="s">
        <v>15196</v>
      </c>
      <c r="BG1719" s="3" t="s">
        <v>15198</v>
      </c>
    </row>
    <row r="1720" spans="1:59" ht="75" x14ac:dyDescent="0.25">
      <c r="A1720" s="2" t="s">
        <v>59</v>
      </c>
      <c r="B1720" s="2" t="s">
        <v>60</v>
      </c>
      <c r="C1720" s="2" t="s">
        <v>15199</v>
      </c>
      <c r="D1720" s="2" t="s">
        <v>15200</v>
      </c>
      <c r="E1720" s="2" t="s">
        <v>15201</v>
      </c>
      <c r="G1720" s="3" t="s">
        <v>63</v>
      </c>
      <c r="I1720" s="3" t="s">
        <v>63</v>
      </c>
      <c r="J1720" s="3" t="s">
        <v>63</v>
      </c>
      <c r="K1720" s="3" t="s">
        <v>64</v>
      </c>
      <c r="L1720" s="2" t="s">
        <v>15179</v>
      </c>
      <c r="M1720" s="2" t="s">
        <v>15202</v>
      </c>
      <c r="N1720" s="3" t="s">
        <v>1113</v>
      </c>
      <c r="O1720" s="2" t="s">
        <v>15203</v>
      </c>
      <c r="P1720" s="3" t="s">
        <v>66</v>
      </c>
      <c r="Q1720" s="2" t="s">
        <v>8874</v>
      </c>
      <c r="R1720" s="3" t="s">
        <v>67</v>
      </c>
      <c r="S1720" s="4">
        <v>19</v>
      </c>
      <c r="T1720" s="4">
        <v>19</v>
      </c>
      <c r="U1720" s="5" t="s">
        <v>15204</v>
      </c>
      <c r="V1720" s="5" t="s">
        <v>15204</v>
      </c>
      <c r="W1720" s="5" t="s">
        <v>69</v>
      </c>
      <c r="X1720" s="5" t="s">
        <v>69</v>
      </c>
      <c r="Y1720" s="4">
        <v>96</v>
      </c>
      <c r="Z1720" s="4">
        <v>5</v>
      </c>
      <c r="AA1720" s="4">
        <v>18</v>
      </c>
      <c r="AB1720" s="4">
        <v>1</v>
      </c>
      <c r="AC1720" s="4">
        <v>1</v>
      </c>
      <c r="AD1720" s="4">
        <v>36</v>
      </c>
      <c r="AE1720" s="4">
        <v>88</v>
      </c>
      <c r="AF1720" s="4">
        <v>0</v>
      </c>
      <c r="AG1720" s="4">
        <v>0</v>
      </c>
      <c r="AH1720" s="4">
        <v>36</v>
      </c>
      <c r="AI1720" s="4">
        <v>79</v>
      </c>
      <c r="AJ1720" s="4">
        <v>2</v>
      </c>
      <c r="AK1720" s="4">
        <v>9</v>
      </c>
      <c r="AL1720" s="4">
        <v>19</v>
      </c>
      <c r="AM1720" s="4">
        <v>46</v>
      </c>
      <c r="AN1720" s="4">
        <v>0</v>
      </c>
      <c r="AO1720" s="4">
        <v>2</v>
      </c>
      <c r="AP1720" s="4">
        <v>2</v>
      </c>
      <c r="AQ1720" s="4">
        <v>11</v>
      </c>
      <c r="AR1720" s="3" t="s">
        <v>63</v>
      </c>
      <c r="AS1720" s="3" t="s">
        <v>63</v>
      </c>
      <c r="AT1720" s="3" t="s">
        <v>62</v>
      </c>
      <c r="AU1720" s="6" t="str">
        <f>HYPERLINK("http://catalog.hathitrust.org/Record/004117395","HathiTrust Record")</f>
        <v>HathiTrust Record</v>
      </c>
      <c r="AV1720" s="6" t="str">
        <f>HYPERLINK("http://mcgill.on.worldcat.org/oclc/36066136","Catalog Record")</f>
        <v>Catalog Record</v>
      </c>
      <c r="AW1720" s="6" t="str">
        <f>HYPERLINK("http://www.worldcat.org/oclc/36066136","WorldCat Record")</f>
        <v>WorldCat Record</v>
      </c>
      <c r="AX1720" s="3" t="s">
        <v>15205</v>
      </c>
      <c r="AY1720" s="3" t="s">
        <v>15206</v>
      </c>
      <c r="AZ1720" s="3" t="s">
        <v>15207</v>
      </c>
      <c r="BA1720" s="3" t="s">
        <v>15207</v>
      </c>
      <c r="BB1720" s="3" t="s">
        <v>15208</v>
      </c>
      <c r="BC1720" s="3" t="s">
        <v>82</v>
      </c>
      <c r="BD1720" s="3" t="s">
        <v>70</v>
      </c>
      <c r="BE1720" s="3" t="s">
        <v>15209</v>
      </c>
      <c r="BF1720" s="3" t="s">
        <v>15208</v>
      </c>
      <c r="BG1720" s="3" t="s">
        <v>15210</v>
      </c>
    </row>
    <row r="1721" spans="1:59" ht="60" x14ac:dyDescent="0.25">
      <c r="A1721" s="2" t="s">
        <v>59</v>
      </c>
      <c r="B1721" s="2" t="s">
        <v>60</v>
      </c>
      <c r="C1721" s="2" t="s">
        <v>15211</v>
      </c>
      <c r="D1721" s="2" t="s">
        <v>15212</v>
      </c>
      <c r="E1721" s="2" t="s">
        <v>15213</v>
      </c>
      <c r="G1721" s="3" t="s">
        <v>63</v>
      </c>
      <c r="I1721" s="3" t="s">
        <v>63</v>
      </c>
      <c r="J1721" s="3" t="s">
        <v>63</v>
      </c>
      <c r="K1721" s="3" t="s">
        <v>64</v>
      </c>
      <c r="L1721" s="2" t="s">
        <v>15214</v>
      </c>
      <c r="M1721" s="2" t="s">
        <v>15215</v>
      </c>
      <c r="N1721" s="3" t="s">
        <v>313</v>
      </c>
      <c r="P1721" s="3" t="s">
        <v>66</v>
      </c>
      <c r="R1721" s="3" t="s">
        <v>67</v>
      </c>
      <c r="S1721" s="4">
        <v>0</v>
      </c>
      <c r="T1721" s="4">
        <v>0</v>
      </c>
      <c r="W1721" s="5" t="s">
        <v>69</v>
      </c>
      <c r="X1721" s="5" t="s">
        <v>69</v>
      </c>
      <c r="Y1721" s="4">
        <v>132</v>
      </c>
      <c r="Z1721" s="4">
        <v>12</v>
      </c>
      <c r="AA1721" s="4">
        <v>83</v>
      </c>
      <c r="AB1721" s="4">
        <v>1</v>
      </c>
      <c r="AC1721" s="4">
        <v>15</v>
      </c>
      <c r="AD1721" s="4">
        <v>71</v>
      </c>
      <c r="AE1721" s="4">
        <v>130</v>
      </c>
      <c r="AF1721" s="4">
        <v>0</v>
      </c>
      <c r="AG1721" s="4">
        <v>8</v>
      </c>
      <c r="AH1721" s="4">
        <v>65</v>
      </c>
      <c r="AI1721" s="4">
        <v>92</v>
      </c>
      <c r="AJ1721" s="4">
        <v>10</v>
      </c>
      <c r="AK1721" s="4">
        <v>21</v>
      </c>
      <c r="AL1721" s="4">
        <v>43</v>
      </c>
      <c r="AM1721" s="4">
        <v>51</v>
      </c>
      <c r="AN1721" s="4">
        <v>0</v>
      </c>
      <c r="AO1721" s="4">
        <v>0</v>
      </c>
      <c r="AP1721" s="4">
        <v>10</v>
      </c>
      <c r="AQ1721" s="4">
        <v>45</v>
      </c>
      <c r="AR1721" s="3" t="s">
        <v>63</v>
      </c>
      <c r="AS1721" s="3" t="s">
        <v>63</v>
      </c>
      <c r="AT1721" s="3" t="s">
        <v>62</v>
      </c>
      <c r="AU1721" s="6" t="str">
        <f>HYPERLINK("http://catalog.hathitrust.org/Record/010549730","HathiTrust Record")</f>
        <v>HathiTrust Record</v>
      </c>
      <c r="AV1721" s="6" t="str">
        <f>HYPERLINK("http://mcgill.on.worldcat.org/oclc/449857682","Catalog Record")</f>
        <v>Catalog Record</v>
      </c>
      <c r="AW1721" s="6" t="str">
        <f>HYPERLINK("http://www.worldcat.org/oclc/449857682","WorldCat Record")</f>
        <v>WorldCat Record</v>
      </c>
      <c r="AX1721" s="3" t="s">
        <v>15216</v>
      </c>
      <c r="AY1721" s="3" t="s">
        <v>15217</v>
      </c>
      <c r="AZ1721" s="3" t="s">
        <v>15218</v>
      </c>
      <c r="BA1721" s="3" t="s">
        <v>15218</v>
      </c>
      <c r="BB1721" s="3" t="s">
        <v>15219</v>
      </c>
      <c r="BC1721" s="3" t="s">
        <v>82</v>
      </c>
      <c r="BD1721" s="3" t="s">
        <v>70</v>
      </c>
      <c r="BE1721" s="3" t="s">
        <v>15220</v>
      </c>
      <c r="BF1721" s="3" t="s">
        <v>15219</v>
      </c>
      <c r="BG1721" s="3" t="s">
        <v>15221</v>
      </c>
    </row>
    <row r="1722" spans="1:59" ht="60" x14ac:dyDescent="0.25">
      <c r="A1722" s="2" t="s">
        <v>59</v>
      </c>
      <c r="B1722" s="2" t="s">
        <v>60</v>
      </c>
      <c r="C1722" s="2" t="s">
        <v>15222</v>
      </c>
      <c r="D1722" s="2" t="s">
        <v>15223</v>
      </c>
      <c r="E1722" s="2" t="s">
        <v>15224</v>
      </c>
      <c r="G1722" s="3" t="s">
        <v>63</v>
      </c>
      <c r="I1722" s="3" t="s">
        <v>63</v>
      </c>
      <c r="J1722" s="3" t="s">
        <v>63</v>
      </c>
      <c r="K1722" s="3" t="s">
        <v>64</v>
      </c>
      <c r="L1722" s="2" t="s">
        <v>15225</v>
      </c>
      <c r="M1722" s="2" t="s">
        <v>15226</v>
      </c>
      <c r="N1722" s="3" t="s">
        <v>1296</v>
      </c>
      <c r="P1722" s="3" t="s">
        <v>66</v>
      </c>
      <c r="R1722" s="3" t="s">
        <v>67</v>
      </c>
      <c r="S1722" s="4">
        <v>15</v>
      </c>
      <c r="T1722" s="4">
        <v>15</v>
      </c>
      <c r="U1722" s="5" t="s">
        <v>8645</v>
      </c>
      <c r="V1722" s="5" t="s">
        <v>8645</v>
      </c>
      <c r="W1722" s="5" t="s">
        <v>69</v>
      </c>
      <c r="X1722" s="5" t="s">
        <v>69</v>
      </c>
      <c r="Y1722" s="4">
        <v>624</v>
      </c>
      <c r="Z1722" s="4">
        <v>29</v>
      </c>
      <c r="AA1722" s="4">
        <v>30</v>
      </c>
      <c r="AB1722" s="4">
        <v>1</v>
      </c>
      <c r="AC1722" s="4">
        <v>1</v>
      </c>
      <c r="AD1722" s="4">
        <v>113</v>
      </c>
      <c r="AE1722" s="4">
        <v>114</v>
      </c>
      <c r="AF1722" s="4">
        <v>0</v>
      </c>
      <c r="AG1722" s="4">
        <v>0</v>
      </c>
      <c r="AH1722" s="4">
        <v>94</v>
      </c>
      <c r="AI1722" s="4">
        <v>95</v>
      </c>
      <c r="AJ1722" s="4">
        <v>18</v>
      </c>
      <c r="AK1722" s="4">
        <v>18</v>
      </c>
      <c r="AL1722" s="4">
        <v>57</v>
      </c>
      <c r="AM1722" s="4">
        <v>57</v>
      </c>
      <c r="AN1722" s="4">
        <v>0</v>
      </c>
      <c r="AO1722" s="4">
        <v>0</v>
      </c>
      <c r="AP1722" s="4">
        <v>22</v>
      </c>
      <c r="AQ1722" s="4">
        <v>22</v>
      </c>
      <c r="AR1722" s="3" t="s">
        <v>63</v>
      </c>
      <c r="AS1722" s="3" t="s">
        <v>63</v>
      </c>
      <c r="AT1722" s="3" t="s">
        <v>62</v>
      </c>
      <c r="AU1722" s="6" t="str">
        <f>HYPERLINK("http://catalog.hathitrust.org/Record/001060183","HathiTrust Record")</f>
        <v>HathiTrust Record</v>
      </c>
      <c r="AV1722" s="6" t="str">
        <f>HYPERLINK("http://mcgill.on.worldcat.org/oclc/10668","Catalog Record")</f>
        <v>Catalog Record</v>
      </c>
      <c r="AW1722" s="6" t="str">
        <f>HYPERLINK("http://www.worldcat.org/oclc/10668","WorldCat Record")</f>
        <v>WorldCat Record</v>
      </c>
      <c r="AX1722" s="3" t="s">
        <v>15227</v>
      </c>
      <c r="AY1722" s="3" t="s">
        <v>15228</v>
      </c>
      <c r="AZ1722" s="3" t="s">
        <v>15229</v>
      </c>
      <c r="BA1722" s="3" t="s">
        <v>15229</v>
      </c>
      <c r="BB1722" s="3" t="s">
        <v>15230</v>
      </c>
      <c r="BC1722" s="3" t="s">
        <v>82</v>
      </c>
      <c r="BD1722" s="3" t="s">
        <v>70</v>
      </c>
      <c r="BF1722" s="3" t="s">
        <v>15230</v>
      </c>
      <c r="BG1722" s="3" t="s">
        <v>15231</v>
      </c>
    </row>
    <row r="1723" spans="1:59" ht="60" x14ac:dyDescent="0.25">
      <c r="A1723" s="2" t="s">
        <v>59</v>
      </c>
      <c r="B1723" s="2" t="s">
        <v>60</v>
      </c>
      <c r="C1723" s="2" t="s">
        <v>15232</v>
      </c>
      <c r="D1723" s="2" t="s">
        <v>15233</v>
      </c>
      <c r="E1723" s="2" t="s">
        <v>15234</v>
      </c>
      <c r="G1723" s="3" t="s">
        <v>63</v>
      </c>
      <c r="I1723" s="3" t="s">
        <v>63</v>
      </c>
      <c r="J1723" s="3" t="s">
        <v>62</v>
      </c>
      <c r="K1723" s="3" t="s">
        <v>64</v>
      </c>
      <c r="L1723" s="2" t="s">
        <v>15225</v>
      </c>
      <c r="M1723" s="2" t="s">
        <v>15235</v>
      </c>
      <c r="N1723" s="3" t="s">
        <v>401</v>
      </c>
      <c r="P1723" s="3" t="s">
        <v>90</v>
      </c>
      <c r="R1723" s="3" t="s">
        <v>67</v>
      </c>
      <c r="S1723" s="4">
        <v>2</v>
      </c>
      <c r="T1723" s="4">
        <v>2</v>
      </c>
      <c r="U1723" s="5" t="s">
        <v>3628</v>
      </c>
      <c r="V1723" s="5" t="s">
        <v>3628</v>
      </c>
      <c r="W1723" s="5" t="s">
        <v>69</v>
      </c>
      <c r="X1723" s="5" t="s">
        <v>69</v>
      </c>
      <c r="Y1723" s="4">
        <v>18</v>
      </c>
      <c r="Z1723" s="4">
        <v>2</v>
      </c>
      <c r="AA1723" s="4">
        <v>7</v>
      </c>
      <c r="AB1723" s="4">
        <v>2</v>
      </c>
      <c r="AC1723" s="4">
        <v>2</v>
      </c>
      <c r="AD1723" s="4">
        <v>12</v>
      </c>
      <c r="AE1723" s="4">
        <v>39</v>
      </c>
      <c r="AF1723" s="4">
        <v>0</v>
      </c>
      <c r="AG1723" s="4">
        <v>0</v>
      </c>
      <c r="AH1723" s="4">
        <v>12</v>
      </c>
      <c r="AI1723" s="4">
        <v>36</v>
      </c>
      <c r="AJ1723" s="4">
        <v>0</v>
      </c>
      <c r="AK1723" s="4">
        <v>3</v>
      </c>
      <c r="AL1723" s="4">
        <v>6</v>
      </c>
      <c r="AM1723" s="4">
        <v>24</v>
      </c>
      <c r="AN1723" s="4">
        <v>0</v>
      </c>
      <c r="AO1723" s="4">
        <v>0</v>
      </c>
      <c r="AP1723" s="4">
        <v>0</v>
      </c>
      <c r="AQ1723" s="4">
        <v>3</v>
      </c>
      <c r="AR1723" s="3" t="s">
        <v>63</v>
      </c>
      <c r="AS1723" s="3" t="s">
        <v>63</v>
      </c>
      <c r="AT1723" s="3" t="s">
        <v>63</v>
      </c>
      <c r="AV1723" s="6" t="str">
        <f>HYPERLINK("http://mcgill.on.worldcat.org/oclc/22838106","Catalog Record")</f>
        <v>Catalog Record</v>
      </c>
      <c r="AW1723" s="6" t="str">
        <f>HYPERLINK("http://www.worldcat.org/oclc/22838106","WorldCat Record")</f>
        <v>WorldCat Record</v>
      </c>
      <c r="AX1723" s="3" t="s">
        <v>15236</v>
      </c>
      <c r="AY1723" s="3" t="s">
        <v>15237</v>
      </c>
      <c r="AZ1723" s="3" t="s">
        <v>15238</v>
      </c>
      <c r="BA1723" s="3" t="s">
        <v>15238</v>
      </c>
      <c r="BB1723" s="3" t="s">
        <v>15239</v>
      </c>
      <c r="BC1723" s="3" t="s">
        <v>82</v>
      </c>
      <c r="BD1723" s="3" t="s">
        <v>70</v>
      </c>
      <c r="BF1723" s="3" t="s">
        <v>15239</v>
      </c>
      <c r="BG1723" s="3" t="s">
        <v>15240</v>
      </c>
    </row>
    <row r="1724" spans="1:59" ht="60" x14ac:dyDescent="0.25">
      <c r="A1724" s="2" t="s">
        <v>59</v>
      </c>
      <c r="B1724" s="2" t="s">
        <v>60</v>
      </c>
      <c r="C1724" s="2" t="s">
        <v>15241</v>
      </c>
      <c r="D1724" s="2" t="s">
        <v>15242</v>
      </c>
      <c r="E1724" s="2" t="s">
        <v>15243</v>
      </c>
      <c r="G1724" s="3" t="s">
        <v>63</v>
      </c>
      <c r="I1724" s="3" t="s">
        <v>63</v>
      </c>
      <c r="J1724" s="3" t="s">
        <v>63</v>
      </c>
      <c r="K1724" s="3" t="s">
        <v>64</v>
      </c>
      <c r="L1724" s="2" t="s">
        <v>15244</v>
      </c>
      <c r="M1724" s="2" t="s">
        <v>15245</v>
      </c>
      <c r="N1724" s="3" t="s">
        <v>300</v>
      </c>
      <c r="P1724" s="3" t="s">
        <v>90</v>
      </c>
      <c r="Q1724" s="2" t="s">
        <v>15246</v>
      </c>
      <c r="R1724" s="3" t="s">
        <v>67</v>
      </c>
      <c r="S1724" s="4">
        <v>4</v>
      </c>
      <c r="T1724" s="4">
        <v>4</v>
      </c>
      <c r="U1724" s="5" t="s">
        <v>5260</v>
      </c>
      <c r="V1724" s="5" t="s">
        <v>5260</v>
      </c>
      <c r="W1724" s="5" t="s">
        <v>69</v>
      </c>
      <c r="X1724" s="5" t="s">
        <v>69</v>
      </c>
      <c r="Y1724" s="4">
        <v>151</v>
      </c>
      <c r="Z1724" s="4">
        <v>11</v>
      </c>
      <c r="AA1724" s="4">
        <v>14</v>
      </c>
      <c r="AB1724" s="4">
        <v>1</v>
      </c>
      <c r="AC1724" s="4">
        <v>2</v>
      </c>
      <c r="AD1724" s="4">
        <v>76</v>
      </c>
      <c r="AE1724" s="4">
        <v>80</v>
      </c>
      <c r="AF1724" s="4">
        <v>0</v>
      </c>
      <c r="AG1724" s="4">
        <v>1</v>
      </c>
      <c r="AH1724" s="4">
        <v>71</v>
      </c>
      <c r="AI1724" s="4">
        <v>73</v>
      </c>
      <c r="AJ1724" s="4">
        <v>9</v>
      </c>
      <c r="AK1724" s="4">
        <v>11</v>
      </c>
      <c r="AL1724" s="4">
        <v>47</v>
      </c>
      <c r="AM1724" s="4">
        <v>48</v>
      </c>
      <c r="AN1724" s="4">
        <v>0</v>
      </c>
      <c r="AO1724" s="4">
        <v>0</v>
      </c>
      <c r="AP1724" s="4">
        <v>9</v>
      </c>
      <c r="AQ1724" s="4">
        <v>10</v>
      </c>
      <c r="AR1724" s="3" t="s">
        <v>63</v>
      </c>
      <c r="AS1724" s="3" t="s">
        <v>63</v>
      </c>
      <c r="AT1724" s="3" t="s">
        <v>62</v>
      </c>
      <c r="AU1724" s="6" t="str">
        <f>HYPERLINK("http://catalog.hathitrust.org/Record/001728683","HathiTrust Record")</f>
        <v>HathiTrust Record</v>
      </c>
      <c r="AV1724" s="6" t="str">
        <f>HYPERLINK("http://mcgill.on.worldcat.org/oclc/3066251","Catalog Record")</f>
        <v>Catalog Record</v>
      </c>
      <c r="AW1724" s="6" t="str">
        <f>HYPERLINK("http://www.worldcat.org/oclc/3066251","WorldCat Record")</f>
        <v>WorldCat Record</v>
      </c>
      <c r="AX1724" s="3" t="s">
        <v>15247</v>
      </c>
      <c r="AY1724" s="3" t="s">
        <v>15248</v>
      </c>
      <c r="AZ1724" s="3" t="s">
        <v>15249</v>
      </c>
      <c r="BA1724" s="3" t="s">
        <v>15249</v>
      </c>
      <c r="BB1724" s="3" t="s">
        <v>15250</v>
      </c>
      <c r="BC1724" s="3" t="s">
        <v>82</v>
      </c>
      <c r="BD1724" s="3" t="s">
        <v>70</v>
      </c>
      <c r="BF1724" s="3" t="s">
        <v>15250</v>
      </c>
      <c r="BG1724" s="3" t="s">
        <v>15251</v>
      </c>
    </row>
    <row r="1725" spans="1:59" ht="60" x14ac:dyDescent="0.25">
      <c r="A1725" s="2" t="s">
        <v>59</v>
      </c>
      <c r="B1725" s="2" t="s">
        <v>60</v>
      </c>
      <c r="C1725" s="2" t="s">
        <v>15252</v>
      </c>
      <c r="D1725" s="2" t="s">
        <v>15253</v>
      </c>
      <c r="E1725" s="2" t="s">
        <v>15254</v>
      </c>
      <c r="G1725" s="3" t="s">
        <v>63</v>
      </c>
      <c r="I1725" s="3" t="s">
        <v>63</v>
      </c>
      <c r="J1725" s="3" t="s">
        <v>62</v>
      </c>
      <c r="K1725" s="3" t="s">
        <v>64</v>
      </c>
      <c r="L1725" s="2" t="s">
        <v>15244</v>
      </c>
      <c r="M1725" s="2" t="s">
        <v>15255</v>
      </c>
      <c r="N1725" s="3" t="s">
        <v>814</v>
      </c>
      <c r="P1725" s="3" t="s">
        <v>66</v>
      </c>
      <c r="R1725" s="3" t="s">
        <v>67</v>
      </c>
      <c r="S1725" s="4">
        <v>24</v>
      </c>
      <c r="T1725" s="4">
        <v>24</v>
      </c>
      <c r="U1725" s="5" t="s">
        <v>3102</v>
      </c>
      <c r="V1725" s="5" t="s">
        <v>3102</v>
      </c>
      <c r="W1725" s="5" t="s">
        <v>69</v>
      </c>
      <c r="X1725" s="5" t="s">
        <v>69</v>
      </c>
      <c r="Y1725" s="4">
        <v>288</v>
      </c>
      <c r="Z1725" s="4">
        <v>27</v>
      </c>
      <c r="AA1725" s="4">
        <v>40</v>
      </c>
      <c r="AB1725" s="4">
        <v>1</v>
      </c>
      <c r="AC1725" s="4">
        <v>8</v>
      </c>
      <c r="AD1725" s="4">
        <v>107</v>
      </c>
      <c r="AE1725" s="4">
        <v>122</v>
      </c>
      <c r="AF1725" s="4">
        <v>0</v>
      </c>
      <c r="AG1725" s="4">
        <v>3</v>
      </c>
      <c r="AH1725" s="4">
        <v>94</v>
      </c>
      <c r="AI1725" s="4">
        <v>102</v>
      </c>
      <c r="AJ1725" s="4">
        <v>21</v>
      </c>
      <c r="AK1725" s="4">
        <v>23</v>
      </c>
      <c r="AL1725" s="4">
        <v>49</v>
      </c>
      <c r="AM1725" s="4">
        <v>57</v>
      </c>
      <c r="AN1725" s="4">
        <v>0</v>
      </c>
      <c r="AO1725" s="4">
        <v>0</v>
      </c>
      <c r="AP1725" s="4">
        <v>20</v>
      </c>
      <c r="AQ1725" s="4">
        <v>27</v>
      </c>
      <c r="AR1725" s="3" t="s">
        <v>63</v>
      </c>
      <c r="AS1725" s="3" t="s">
        <v>63</v>
      </c>
      <c r="AT1725" s="3" t="s">
        <v>62</v>
      </c>
      <c r="AU1725" s="6" t="str">
        <f>HYPERLINK("http://catalog.hathitrust.org/Record/000137417","HathiTrust Record")</f>
        <v>HathiTrust Record</v>
      </c>
      <c r="AV1725" s="6" t="str">
        <f>HYPERLINK("http://mcgill.on.worldcat.org/oclc/3898011","Catalog Record")</f>
        <v>Catalog Record</v>
      </c>
      <c r="AW1725" s="6" t="str">
        <f>HYPERLINK("http://www.worldcat.org/oclc/3898011","WorldCat Record")</f>
        <v>WorldCat Record</v>
      </c>
      <c r="AX1725" s="3" t="s">
        <v>15256</v>
      </c>
      <c r="AY1725" s="3" t="s">
        <v>15257</v>
      </c>
      <c r="AZ1725" s="3" t="s">
        <v>15258</v>
      </c>
      <c r="BA1725" s="3" t="s">
        <v>15258</v>
      </c>
      <c r="BB1725" s="3" t="s">
        <v>15259</v>
      </c>
      <c r="BC1725" s="3" t="s">
        <v>82</v>
      </c>
      <c r="BD1725" s="3" t="s">
        <v>70</v>
      </c>
      <c r="BE1725" s="3" t="s">
        <v>15260</v>
      </c>
      <c r="BF1725" s="3" t="s">
        <v>15259</v>
      </c>
      <c r="BG1725" s="3" t="s">
        <v>15261</v>
      </c>
    </row>
    <row r="1726" spans="1:59" ht="75" x14ac:dyDescent="0.25">
      <c r="A1726" s="2" t="s">
        <v>59</v>
      </c>
      <c r="B1726" s="2" t="s">
        <v>60</v>
      </c>
      <c r="C1726" s="2" t="s">
        <v>15262</v>
      </c>
      <c r="D1726" s="2" t="s">
        <v>15263</v>
      </c>
      <c r="E1726" s="2" t="s">
        <v>15264</v>
      </c>
      <c r="G1726" s="3" t="s">
        <v>63</v>
      </c>
      <c r="H1726" s="3" t="s">
        <v>215</v>
      </c>
      <c r="I1726" s="3" t="s">
        <v>62</v>
      </c>
      <c r="J1726" s="3" t="s">
        <v>62</v>
      </c>
      <c r="K1726" s="3" t="s">
        <v>64</v>
      </c>
      <c r="L1726" s="2" t="s">
        <v>15265</v>
      </c>
      <c r="M1726" s="2" t="s">
        <v>15266</v>
      </c>
      <c r="N1726" s="3" t="s">
        <v>1752</v>
      </c>
      <c r="P1726" s="3" t="s">
        <v>66</v>
      </c>
      <c r="Q1726" s="2" t="s">
        <v>15267</v>
      </c>
      <c r="R1726" s="3" t="s">
        <v>67</v>
      </c>
      <c r="S1726" s="4">
        <v>1</v>
      </c>
      <c r="T1726" s="4">
        <v>2</v>
      </c>
      <c r="U1726" s="5" t="s">
        <v>15268</v>
      </c>
      <c r="V1726" s="5" t="s">
        <v>11568</v>
      </c>
      <c r="W1726" s="5" t="s">
        <v>2867</v>
      </c>
      <c r="X1726" s="5" t="s">
        <v>2867</v>
      </c>
      <c r="Y1726" s="4">
        <v>86</v>
      </c>
      <c r="Z1726" s="4">
        <v>4</v>
      </c>
      <c r="AA1726" s="4">
        <v>40</v>
      </c>
      <c r="AB1726" s="4">
        <v>1</v>
      </c>
      <c r="AC1726" s="4">
        <v>8</v>
      </c>
      <c r="AD1726" s="4">
        <v>21</v>
      </c>
      <c r="AE1726" s="4">
        <v>122</v>
      </c>
      <c r="AF1726" s="4">
        <v>0</v>
      </c>
      <c r="AG1726" s="4">
        <v>3</v>
      </c>
      <c r="AH1726" s="4">
        <v>19</v>
      </c>
      <c r="AI1726" s="4">
        <v>102</v>
      </c>
      <c r="AJ1726" s="4">
        <v>2</v>
      </c>
      <c r="AK1726" s="4">
        <v>23</v>
      </c>
      <c r="AL1726" s="4">
        <v>16</v>
      </c>
      <c r="AM1726" s="4">
        <v>57</v>
      </c>
      <c r="AN1726" s="4">
        <v>0</v>
      </c>
      <c r="AO1726" s="4">
        <v>0</v>
      </c>
      <c r="AP1726" s="4">
        <v>2</v>
      </c>
      <c r="AQ1726" s="4">
        <v>27</v>
      </c>
      <c r="AR1726" s="3" t="s">
        <v>63</v>
      </c>
      <c r="AS1726" s="3" t="s">
        <v>63</v>
      </c>
      <c r="AT1726" s="3" t="s">
        <v>63</v>
      </c>
      <c r="AV1726" s="6" t="str">
        <f>HYPERLINK("http://mcgill.on.worldcat.org/oclc/1035462577","Catalog Record")</f>
        <v>Catalog Record</v>
      </c>
      <c r="AW1726" s="6" t="str">
        <f>HYPERLINK("http://www.worldcat.org/oclc/1035462577","WorldCat Record")</f>
        <v>WorldCat Record</v>
      </c>
      <c r="AX1726" s="3" t="s">
        <v>15256</v>
      </c>
      <c r="AY1726" s="3" t="s">
        <v>15269</v>
      </c>
      <c r="AZ1726" s="3" t="s">
        <v>15270</v>
      </c>
      <c r="BA1726" s="3" t="s">
        <v>15270</v>
      </c>
      <c r="BB1726" s="3" t="s">
        <v>15271</v>
      </c>
      <c r="BC1726" s="3" t="s">
        <v>82</v>
      </c>
      <c r="BD1726" s="3" t="s">
        <v>70</v>
      </c>
      <c r="BE1726" s="3" t="s">
        <v>15272</v>
      </c>
      <c r="BF1726" s="3" t="s">
        <v>15271</v>
      </c>
      <c r="BG1726" s="3" t="s">
        <v>15273</v>
      </c>
    </row>
    <row r="1727" spans="1:59" ht="75" x14ac:dyDescent="0.25">
      <c r="A1727" s="2" t="s">
        <v>59</v>
      </c>
      <c r="B1727" s="2" t="s">
        <v>60</v>
      </c>
      <c r="C1727" s="2" t="s">
        <v>15262</v>
      </c>
      <c r="D1727" s="2" t="s">
        <v>15263</v>
      </c>
      <c r="E1727" s="2" t="s">
        <v>15264</v>
      </c>
      <c r="G1727" s="3" t="s">
        <v>63</v>
      </c>
      <c r="H1727" s="3" t="s">
        <v>11580</v>
      </c>
      <c r="I1727" s="3" t="s">
        <v>62</v>
      </c>
      <c r="J1727" s="3" t="s">
        <v>62</v>
      </c>
      <c r="K1727" s="3" t="s">
        <v>64</v>
      </c>
      <c r="L1727" s="2" t="s">
        <v>15265</v>
      </c>
      <c r="M1727" s="2" t="s">
        <v>15266</v>
      </c>
      <c r="N1727" s="3" t="s">
        <v>1752</v>
      </c>
      <c r="P1727" s="3" t="s">
        <v>66</v>
      </c>
      <c r="Q1727" s="2" t="s">
        <v>15267</v>
      </c>
      <c r="R1727" s="3" t="s">
        <v>67</v>
      </c>
      <c r="S1727" s="4">
        <v>1</v>
      </c>
      <c r="T1727" s="4">
        <v>2</v>
      </c>
      <c r="U1727" s="5" t="s">
        <v>11568</v>
      </c>
      <c r="V1727" s="5" t="s">
        <v>11568</v>
      </c>
      <c r="W1727" s="5" t="s">
        <v>2867</v>
      </c>
      <c r="X1727" s="5" t="s">
        <v>2867</v>
      </c>
      <c r="Y1727" s="4">
        <v>86</v>
      </c>
      <c r="Z1727" s="4">
        <v>4</v>
      </c>
      <c r="AA1727" s="4">
        <v>40</v>
      </c>
      <c r="AB1727" s="4">
        <v>1</v>
      </c>
      <c r="AC1727" s="4">
        <v>8</v>
      </c>
      <c r="AD1727" s="4">
        <v>21</v>
      </c>
      <c r="AE1727" s="4">
        <v>122</v>
      </c>
      <c r="AF1727" s="4">
        <v>0</v>
      </c>
      <c r="AG1727" s="4">
        <v>3</v>
      </c>
      <c r="AH1727" s="4">
        <v>19</v>
      </c>
      <c r="AI1727" s="4">
        <v>102</v>
      </c>
      <c r="AJ1727" s="4">
        <v>2</v>
      </c>
      <c r="AK1727" s="4">
        <v>23</v>
      </c>
      <c r="AL1727" s="4">
        <v>16</v>
      </c>
      <c r="AM1727" s="4">
        <v>57</v>
      </c>
      <c r="AN1727" s="4">
        <v>0</v>
      </c>
      <c r="AO1727" s="4">
        <v>0</v>
      </c>
      <c r="AP1727" s="4">
        <v>2</v>
      </c>
      <c r="AQ1727" s="4">
        <v>27</v>
      </c>
      <c r="AR1727" s="3" t="s">
        <v>63</v>
      </c>
      <c r="AS1727" s="3" t="s">
        <v>63</v>
      </c>
      <c r="AT1727" s="3" t="s">
        <v>63</v>
      </c>
      <c r="AV1727" s="6" t="str">
        <f>HYPERLINK("http://mcgill.on.worldcat.org/oclc/1035462577","Catalog Record")</f>
        <v>Catalog Record</v>
      </c>
      <c r="AW1727" s="6" t="str">
        <f>HYPERLINK("http://www.worldcat.org/oclc/1035462577","WorldCat Record")</f>
        <v>WorldCat Record</v>
      </c>
      <c r="AX1727" s="3" t="s">
        <v>15256</v>
      </c>
      <c r="AY1727" s="3" t="s">
        <v>15269</v>
      </c>
      <c r="AZ1727" s="3" t="s">
        <v>15270</v>
      </c>
      <c r="BA1727" s="3" t="s">
        <v>15270</v>
      </c>
      <c r="BB1727" s="3" t="s">
        <v>15274</v>
      </c>
      <c r="BC1727" s="3" t="s">
        <v>82</v>
      </c>
      <c r="BD1727" s="3" t="s">
        <v>70</v>
      </c>
      <c r="BE1727" s="3" t="s">
        <v>15272</v>
      </c>
      <c r="BF1727" s="3" t="s">
        <v>15274</v>
      </c>
      <c r="BG1727" s="3" t="s">
        <v>15275</v>
      </c>
    </row>
    <row r="1728" spans="1:59" ht="60" x14ac:dyDescent="0.25">
      <c r="A1728" s="2" t="s">
        <v>59</v>
      </c>
      <c r="B1728" s="2" t="s">
        <v>60</v>
      </c>
      <c r="C1728" s="2" t="s">
        <v>15276</v>
      </c>
      <c r="D1728" s="2" t="s">
        <v>15277</v>
      </c>
      <c r="E1728" s="2" t="s">
        <v>15278</v>
      </c>
      <c r="G1728" s="3" t="s">
        <v>63</v>
      </c>
      <c r="I1728" s="3" t="s">
        <v>63</v>
      </c>
      <c r="J1728" s="3" t="s">
        <v>63</v>
      </c>
      <c r="K1728" s="3" t="s">
        <v>64</v>
      </c>
      <c r="M1728" s="2" t="s">
        <v>10213</v>
      </c>
      <c r="N1728" s="3" t="s">
        <v>362</v>
      </c>
      <c r="P1728" s="3" t="s">
        <v>66</v>
      </c>
      <c r="Q1728" s="2" t="s">
        <v>3902</v>
      </c>
      <c r="R1728" s="3" t="s">
        <v>67</v>
      </c>
      <c r="S1728" s="4">
        <v>7</v>
      </c>
      <c r="T1728" s="4">
        <v>7</v>
      </c>
      <c r="U1728" s="5" t="s">
        <v>5260</v>
      </c>
      <c r="V1728" s="5" t="s">
        <v>5260</v>
      </c>
      <c r="W1728" s="5" t="s">
        <v>69</v>
      </c>
      <c r="X1728" s="5" t="s">
        <v>69</v>
      </c>
      <c r="Y1728" s="4">
        <v>172</v>
      </c>
      <c r="Z1728" s="4">
        <v>7</v>
      </c>
      <c r="AA1728" s="4">
        <v>7</v>
      </c>
      <c r="AB1728" s="4">
        <v>1</v>
      </c>
      <c r="AC1728" s="4">
        <v>1</v>
      </c>
      <c r="AD1728" s="4">
        <v>81</v>
      </c>
      <c r="AE1728" s="4">
        <v>81</v>
      </c>
      <c r="AF1728" s="4">
        <v>0</v>
      </c>
      <c r="AG1728" s="4">
        <v>0</v>
      </c>
      <c r="AH1728" s="4">
        <v>76</v>
      </c>
      <c r="AI1728" s="4">
        <v>76</v>
      </c>
      <c r="AJ1728" s="4">
        <v>5</v>
      </c>
      <c r="AK1728" s="4">
        <v>5</v>
      </c>
      <c r="AL1728" s="4">
        <v>49</v>
      </c>
      <c r="AM1728" s="4">
        <v>49</v>
      </c>
      <c r="AN1728" s="4">
        <v>0</v>
      </c>
      <c r="AO1728" s="4">
        <v>0</v>
      </c>
      <c r="AP1728" s="4">
        <v>5</v>
      </c>
      <c r="AQ1728" s="4">
        <v>5</v>
      </c>
      <c r="AR1728" s="3" t="s">
        <v>63</v>
      </c>
      <c r="AS1728" s="3" t="s">
        <v>63</v>
      </c>
      <c r="AT1728" s="3" t="s">
        <v>62</v>
      </c>
      <c r="AU1728" s="6" t="str">
        <f>HYPERLINK("http://catalog.hathitrust.org/Record/004174912","HathiTrust Record")</f>
        <v>HathiTrust Record</v>
      </c>
      <c r="AV1728" s="6" t="str">
        <f>HYPERLINK("http://mcgill.on.worldcat.org/oclc/45314738","Catalog Record")</f>
        <v>Catalog Record</v>
      </c>
      <c r="AW1728" s="6" t="str">
        <f>HYPERLINK("http://www.worldcat.org/oclc/45314738","WorldCat Record")</f>
        <v>WorldCat Record</v>
      </c>
      <c r="AX1728" s="3" t="s">
        <v>15279</v>
      </c>
      <c r="AY1728" s="3" t="s">
        <v>15280</v>
      </c>
      <c r="AZ1728" s="3" t="s">
        <v>15281</v>
      </c>
      <c r="BA1728" s="3" t="s">
        <v>15281</v>
      </c>
      <c r="BB1728" s="3" t="s">
        <v>15282</v>
      </c>
      <c r="BC1728" s="3" t="s">
        <v>82</v>
      </c>
      <c r="BD1728" s="3" t="s">
        <v>538</v>
      </c>
      <c r="BE1728" s="3" t="s">
        <v>15283</v>
      </c>
      <c r="BF1728" s="3" t="s">
        <v>15282</v>
      </c>
      <c r="BG1728" s="3" t="s">
        <v>15284</v>
      </c>
    </row>
    <row r="1729" spans="1:59" ht="75" x14ac:dyDescent="0.25">
      <c r="A1729" s="2" t="s">
        <v>59</v>
      </c>
      <c r="B1729" s="2" t="s">
        <v>60</v>
      </c>
      <c r="C1729" s="2" t="s">
        <v>15285</v>
      </c>
      <c r="D1729" s="2" t="s">
        <v>15286</v>
      </c>
      <c r="E1729" s="2" t="s">
        <v>14655</v>
      </c>
      <c r="F1729" s="3" t="s">
        <v>1395</v>
      </c>
      <c r="G1729" s="3" t="s">
        <v>62</v>
      </c>
      <c r="I1729" s="3" t="s">
        <v>63</v>
      </c>
      <c r="J1729" s="3" t="s">
        <v>63</v>
      </c>
      <c r="K1729" s="3" t="s">
        <v>64</v>
      </c>
      <c r="L1729" s="2" t="s">
        <v>15287</v>
      </c>
      <c r="M1729" s="2" t="s">
        <v>15288</v>
      </c>
      <c r="N1729" s="3" t="s">
        <v>15289</v>
      </c>
      <c r="O1729" s="2" t="s">
        <v>15290</v>
      </c>
      <c r="P1729" s="3" t="s">
        <v>90</v>
      </c>
      <c r="R1729" s="3" t="s">
        <v>67</v>
      </c>
      <c r="S1729" s="4">
        <v>0</v>
      </c>
      <c r="T1729" s="4">
        <v>15</v>
      </c>
      <c r="V1729" s="5" t="s">
        <v>15291</v>
      </c>
      <c r="W1729" s="5" t="s">
        <v>69</v>
      </c>
      <c r="X1729" s="5" t="s">
        <v>69</v>
      </c>
      <c r="Y1729" s="4">
        <v>1</v>
      </c>
      <c r="Z1729" s="4">
        <v>1</v>
      </c>
      <c r="AA1729" s="4">
        <v>1</v>
      </c>
      <c r="AB1729" s="4">
        <v>1</v>
      </c>
      <c r="AC1729" s="4">
        <v>1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3" t="s">
        <v>63</v>
      </c>
      <c r="AS1729" s="3" t="s">
        <v>63</v>
      </c>
      <c r="AT1729" s="3" t="s">
        <v>63</v>
      </c>
      <c r="AV1729" s="6" t="str">
        <f>HYPERLINK("http://mcgill.on.worldcat.org/oclc/427250826","Catalog Record")</f>
        <v>Catalog Record</v>
      </c>
      <c r="AW1729" s="6" t="str">
        <f>HYPERLINK("http://www.worldcat.org/oclc/427250826","WorldCat Record")</f>
        <v>WorldCat Record</v>
      </c>
      <c r="AX1729" s="3" t="s">
        <v>15292</v>
      </c>
      <c r="AY1729" s="3" t="s">
        <v>15293</v>
      </c>
      <c r="AZ1729" s="3" t="s">
        <v>15294</v>
      </c>
      <c r="BA1729" s="3" t="s">
        <v>15294</v>
      </c>
      <c r="BB1729" s="3" t="s">
        <v>15295</v>
      </c>
      <c r="BC1729" s="3" t="s">
        <v>82</v>
      </c>
      <c r="BD1729" s="3" t="s">
        <v>70</v>
      </c>
      <c r="BF1729" s="3" t="s">
        <v>15295</v>
      </c>
      <c r="BG1729" s="3" t="s">
        <v>15296</v>
      </c>
    </row>
    <row r="1730" spans="1:59" ht="75" x14ac:dyDescent="0.25">
      <c r="A1730" s="2" t="s">
        <v>59</v>
      </c>
      <c r="B1730" s="2" t="s">
        <v>60</v>
      </c>
      <c r="C1730" s="2" t="s">
        <v>15285</v>
      </c>
      <c r="D1730" s="2" t="s">
        <v>15286</v>
      </c>
      <c r="E1730" s="2" t="s">
        <v>14655</v>
      </c>
      <c r="F1730" s="3" t="s">
        <v>15297</v>
      </c>
      <c r="G1730" s="3" t="s">
        <v>62</v>
      </c>
      <c r="I1730" s="3" t="s">
        <v>63</v>
      </c>
      <c r="J1730" s="3" t="s">
        <v>63</v>
      </c>
      <c r="K1730" s="3" t="s">
        <v>64</v>
      </c>
      <c r="L1730" s="2" t="s">
        <v>15287</v>
      </c>
      <c r="M1730" s="2" t="s">
        <v>15288</v>
      </c>
      <c r="N1730" s="3" t="s">
        <v>15289</v>
      </c>
      <c r="O1730" s="2" t="s">
        <v>15290</v>
      </c>
      <c r="P1730" s="3" t="s">
        <v>90</v>
      </c>
      <c r="R1730" s="3" t="s">
        <v>67</v>
      </c>
      <c r="S1730" s="4">
        <v>0</v>
      </c>
      <c r="T1730" s="4">
        <v>15</v>
      </c>
      <c r="V1730" s="5" t="s">
        <v>15291</v>
      </c>
      <c r="W1730" s="5" t="s">
        <v>69</v>
      </c>
      <c r="X1730" s="5" t="s">
        <v>69</v>
      </c>
      <c r="Y1730" s="4">
        <v>1</v>
      </c>
      <c r="Z1730" s="4">
        <v>1</v>
      </c>
      <c r="AA1730" s="4">
        <v>1</v>
      </c>
      <c r="AB1730" s="4">
        <v>1</v>
      </c>
      <c r="AC1730" s="4">
        <v>1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3" t="s">
        <v>63</v>
      </c>
      <c r="AS1730" s="3" t="s">
        <v>63</v>
      </c>
      <c r="AT1730" s="3" t="s">
        <v>63</v>
      </c>
      <c r="AV1730" s="6" t="str">
        <f>HYPERLINK("http://mcgill.on.worldcat.org/oclc/427250826","Catalog Record")</f>
        <v>Catalog Record</v>
      </c>
      <c r="AW1730" s="6" t="str">
        <f>HYPERLINK("http://www.worldcat.org/oclc/427250826","WorldCat Record")</f>
        <v>WorldCat Record</v>
      </c>
      <c r="AX1730" s="3" t="s">
        <v>15292</v>
      </c>
      <c r="AY1730" s="3" t="s">
        <v>15293</v>
      </c>
      <c r="AZ1730" s="3" t="s">
        <v>15294</v>
      </c>
      <c r="BA1730" s="3" t="s">
        <v>15294</v>
      </c>
      <c r="BB1730" s="3" t="s">
        <v>15298</v>
      </c>
      <c r="BC1730" s="3" t="s">
        <v>82</v>
      </c>
      <c r="BD1730" s="3" t="s">
        <v>70</v>
      </c>
      <c r="BF1730" s="3" t="s">
        <v>15298</v>
      </c>
      <c r="BG1730" s="3" t="s">
        <v>15299</v>
      </c>
    </row>
    <row r="1731" spans="1:59" ht="75" x14ac:dyDescent="0.25">
      <c r="A1731" s="2" t="s">
        <v>59</v>
      </c>
      <c r="B1731" s="2" t="s">
        <v>60</v>
      </c>
      <c r="C1731" s="2" t="s">
        <v>15285</v>
      </c>
      <c r="D1731" s="2" t="s">
        <v>15286</v>
      </c>
      <c r="E1731" s="2" t="s">
        <v>14655</v>
      </c>
      <c r="F1731" s="3" t="s">
        <v>15300</v>
      </c>
      <c r="G1731" s="3" t="s">
        <v>62</v>
      </c>
      <c r="I1731" s="3" t="s">
        <v>63</v>
      </c>
      <c r="J1731" s="3" t="s">
        <v>63</v>
      </c>
      <c r="K1731" s="3" t="s">
        <v>64</v>
      </c>
      <c r="L1731" s="2" t="s">
        <v>15287</v>
      </c>
      <c r="M1731" s="2" t="s">
        <v>15288</v>
      </c>
      <c r="N1731" s="3" t="s">
        <v>15289</v>
      </c>
      <c r="O1731" s="2" t="s">
        <v>15290</v>
      </c>
      <c r="P1731" s="3" t="s">
        <v>90</v>
      </c>
      <c r="R1731" s="3" t="s">
        <v>67</v>
      </c>
      <c r="S1731" s="4">
        <v>3</v>
      </c>
      <c r="T1731" s="4">
        <v>15</v>
      </c>
      <c r="U1731" s="5" t="s">
        <v>15291</v>
      </c>
      <c r="V1731" s="5" t="s">
        <v>15291</v>
      </c>
      <c r="W1731" s="5" t="s">
        <v>69</v>
      </c>
      <c r="X1731" s="5" t="s">
        <v>69</v>
      </c>
      <c r="Y1731" s="4">
        <v>1</v>
      </c>
      <c r="Z1731" s="4">
        <v>1</v>
      </c>
      <c r="AA1731" s="4">
        <v>1</v>
      </c>
      <c r="AB1731" s="4">
        <v>1</v>
      </c>
      <c r="AC1731" s="4">
        <v>1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3" t="s">
        <v>63</v>
      </c>
      <c r="AS1731" s="3" t="s">
        <v>63</v>
      </c>
      <c r="AT1731" s="3" t="s">
        <v>63</v>
      </c>
      <c r="AV1731" s="6" t="str">
        <f>HYPERLINK("http://mcgill.on.worldcat.org/oclc/427250826","Catalog Record")</f>
        <v>Catalog Record</v>
      </c>
      <c r="AW1731" s="6" t="str">
        <f>HYPERLINK("http://www.worldcat.org/oclc/427250826","WorldCat Record")</f>
        <v>WorldCat Record</v>
      </c>
      <c r="AX1731" s="3" t="s">
        <v>15292</v>
      </c>
      <c r="AY1731" s="3" t="s">
        <v>15293</v>
      </c>
      <c r="AZ1731" s="3" t="s">
        <v>15294</v>
      </c>
      <c r="BA1731" s="3" t="s">
        <v>15294</v>
      </c>
      <c r="BB1731" s="3" t="s">
        <v>15301</v>
      </c>
      <c r="BC1731" s="3" t="s">
        <v>82</v>
      </c>
      <c r="BD1731" s="3" t="s">
        <v>70</v>
      </c>
      <c r="BF1731" s="3" t="s">
        <v>15301</v>
      </c>
      <c r="BG1731" s="3" t="s">
        <v>15302</v>
      </c>
    </row>
    <row r="1732" spans="1:59" ht="75" x14ac:dyDescent="0.25">
      <c r="A1732" s="2" t="s">
        <v>59</v>
      </c>
      <c r="B1732" s="2" t="s">
        <v>60</v>
      </c>
      <c r="C1732" s="2" t="s">
        <v>15285</v>
      </c>
      <c r="D1732" s="2" t="s">
        <v>15286</v>
      </c>
      <c r="E1732" s="2" t="s">
        <v>14655</v>
      </c>
      <c r="F1732" s="3" t="s">
        <v>15303</v>
      </c>
      <c r="G1732" s="3" t="s">
        <v>62</v>
      </c>
      <c r="I1732" s="3" t="s">
        <v>63</v>
      </c>
      <c r="J1732" s="3" t="s">
        <v>63</v>
      </c>
      <c r="K1732" s="3" t="s">
        <v>64</v>
      </c>
      <c r="L1732" s="2" t="s">
        <v>15287</v>
      </c>
      <c r="M1732" s="2" t="s">
        <v>15288</v>
      </c>
      <c r="N1732" s="3" t="s">
        <v>15289</v>
      </c>
      <c r="O1732" s="2" t="s">
        <v>15290</v>
      </c>
      <c r="P1732" s="3" t="s">
        <v>90</v>
      </c>
      <c r="R1732" s="3" t="s">
        <v>67</v>
      </c>
      <c r="S1732" s="4">
        <v>3</v>
      </c>
      <c r="T1732" s="4">
        <v>15</v>
      </c>
      <c r="U1732" s="5" t="s">
        <v>15291</v>
      </c>
      <c r="V1732" s="5" t="s">
        <v>15291</v>
      </c>
      <c r="W1732" s="5" t="s">
        <v>69</v>
      </c>
      <c r="X1732" s="5" t="s">
        <v>69</v>
      </c>
      <c r="Y1732" s="4">
        <v>1</v>
      </c>
      <c r="Z1732" s="4">
        <v>1</v>
      </c>
      <c r="AA1732" s="4">
        <v>1</v>
      </c>
      <c r="AB1732" s="4">
        <v>1</v>
      </c>
      <c r="AC1732" s="4">
        <v>1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3" t="s">
        <v>63</v>
      </c>
      <c r="AS1732" s="3" t="s">
        <v>63</v>
      </c>
      <c r="AT1732" s="3" t="s">
        <v>63</v>
      </c>
      <c r="AV1732" s="6" t="str">
        <f>HYPERLINK("http://mcgill.on.worldcat.org/oclc/427250826","Catalog Record")</f>
        <v>Catalog Record</v>
      </c>
      <c r="AW1732" s="6" t="str">
        <f>HYPERLINK("http://www.worldcat.org/oclc/427250826","WorldCat Record")</f>
        <v>WorldCat Record</v>
      </c>
      <c r="AX1732" s="3" t="s">
        <v>15292</v>
      </c>
      <c r="AY1732" s="3" t="s">
        <v>15293</v>
      </c>
      <c r="AZ1732" s="3" t="s">
        <v>15294</v>
      </c>
      <c r="BA1732" s="3" t="s">
        <v>15294</v>
      </c>
      <c r="BB1732" s="3" t="s">
        <v>15304</v>
      </c>
      <c r="BC1732" s="3" t="s">
        <v>82</v>
      </c>
      <c r="BD1732" s="3" t="s">
        <v>70</v>
      </c>
      <c r="BF1732" s="3" t="s">
        <v>15304</v>
      </c>
      <c r="BG1732" s="3" t="s">
        <v>15305</v>
      </c>
    </row>
    <row r="1733" spans="1:59" ht="75" x14ac:dyDescent="0.25">
      <c r="A1733" s="2" t="s">
        <v>59</v>
      </c>
      <c r="B1733" s="2" t="s">
        <v>60</v>
      </c>
      <c r="C1733" s="2" t="s">
        <v>15285</v>
      </c>
      <c r="D1733" s="2" t="s">
        <v>15286</v>
      </c>
      <c r="E1733" s="2" t="s">
        <v>14655</v>
      </c>
      <c r="F1733" s="3" t="s">
        <v>1387</v>
      </c>
      <c r="G1733" s="3" t="s">
        <v>62</v>
      </c>
      <c r="I1733" s="3" t="s">
        <v>63</v>
      </c>
      <c r="J1733" s="3" t="s">
        <v>63</v>
      </c>
      <c r="K1733" s="3" t="s">
        <v>64</v>
      </c>
      <c r="L1733" s="2" t="s">
        <v>15287</v>
      </c>
      <c r="M1733" s="2" t="s">
        <v>15288</v>
      </c>
      <c r="N1733" s="3" t="s">
        <v>15289</v>
      </c>
      <c r="O1733" s="2" t="s">
        <v>15290</v>
      </c>
      <c r="P1733" s="3" t="s">
        <v>90</v>
      </c>
      <c r="R1733" s="3" t="s">
        <v>67</v>
      </c>
      <c r="S1733" s="4">
        <v>2</v>
      </c>
      <c r="T1733" s="4">
        <v>15</v>
      </c>
      <c r="U1733" s="5" t="s">
        <v>15306</v>
      </c>
      <c r="V1733" s="5" t="s">
        <v>15291</v>
      </c>
      <c r="W1733" s="5" t="s">
        <v>69</v>
      </c>
      <c r="X1733" s="5" t="s">
        <v>69</v>
      </c>
      <c r="Y1733" s="4">
        <v>1</v>
      </c>
      <c r="Z1733" s="4">
        <v>1</v>
      </c>
      <c r="AA1733" s="4">
        <v>1</v>
      </c>
      <c r="AB1733" s="4">
        <v>1</v>
      </c>
      <c r="AC1733" s="4">
        <v>1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3" t="s">
        <v>63</v>
      </c>
      <c r="AS1733" s="3" t="s">
        <v>63</v>
      </c>
      <c r="AT1733" s="3" t="s">
        <v>63</v>
      </c>
      <c r="AV1733" s="6" t="str">
        <f>HYPERLINK("http://mcgill.on.worldcat.org/oclc/427250826","Catalog Record")</f>
        <v>Catalog Record</v>
      </c>
      <c r="AW1733" s="6" t="str">
        <f>HYPERLINK("http://www.worldcat.org/oclc/427250826","WorldCat Record")</f>
        <v>WorldCat Record</v>
      </c>
      <c r="AX1733" s="3" t="s">
        <v>15292</v>
      </c>
      <c r="AY1733" s="3" t="s">
        <v>15293</v>
      </c>
      <c r="AZ1733" s="3" t="s">
        <v>15294</v>
      </c>
      <c r="BA1733" s="3" t="s">
        <v>15294</v>
      </c>
      <c r="BB1733" s="3" t="s">
        <v>15307</v>
      </c>
      <c r="BC1733" s="3" t="s">
        <v>82</v>
      </c>
      <c r="BD1733" s="3" t="s">
        <v>70</v>
      </c>
      <c r="BF1733" s="3" t="s">
        <v>15307</v>
      </c>
      <c r="BG1733" s="3" t="s">
        <v>15308</v>
      </c>
    </row>
    <row r="1734" spans="1:59" ht="75" x14ac:dyDescent="0.25">
      <c r="A1734" s="2" t="s">
        <v>59</v>
      </c>
      <c r="B1734" s="2" t="s">
        <v>60</v>
      </c>
      <c r="C1734" s="2" t="s">
        <v>15285</v>
      </c>
      <c r="D1734" s="2" t="s">
        <v>15286</v>
      </c>
      <c r="E1734" s="2" t="s">
        <v>14655</v>
      </c>
      <c r="F1734" s="3" t="s">
        <v>15309</v>
      </c>
      <c r="G1734" s="3" t="s">
        <v>62</v>
      </c>
      <c r="I1734" s="3" t="s">
        <v>63</v>
      </c>
      <c r="J1734" s="3" t="s">
        <v>63</v>
      </c>
      <c r="K1734" s="3" t="s">
        <v>64</v>
      </c>
      <c r="L1734" s="2" t="s">
        <v>15287</v>
      </c>
      <c r="M1734" s="2" t="s">
        <v>15288</v>
      </c>
      <c r="N1734" s="3" t="s">
        <v>15289</v>
      </c>
      <c r="O1734" s="2" t="s">
        <v>15290</v>
      </c>
      <c r="P1734" s="3" t="s">
        <v>90</v>
      </c>
      <c r="R1734" s="3" t="s">
        <v>67</v>
      </c>
      <c r="S1734" s="4">
        <v>0</v>
      </c>
      <c r="T1734" s="4">
        <v>15</v>
      </c>
      <c r="V1734" s="5" t="s">
        <v>15291</v>
      </c>
      <c r="W1734" s="5" t="s">
        <v>69</v>
      </c>
      <c r="X1734" s="5" t="s">
        <v>69</v>
      </c>
      <c r="Y1734" s="4">
        <v>1</v>
      </c>
      <c r="Z1734" s="4">
        <v>1</v>
      </c>
      <c r="AA1734" s="4">
        <v>1</v>
      </c>
      <c r="AB1734" s="4">
        <v>1</v>
      </c>
      <c r="AC1734" s="4">
        <v>1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3" t="s">
        <v>63</v>
      </c>
      <c r="AS1734" s="3" t="s">
        <v>63</v>
      </c>
      <c r="AT1734" s="3" t="s">
        <v>63</v>
      </c>
      <c r="AV1734" s="6" t="str">
        <f>HYPERLINK("http://mcgill.on.worldcat.org/oclc/427250826","Catalog Record")</f>
        <v>Catalog Record</v>
      </c>
      <c r="AW1734" s="6" t="str">
        <f>HYPERLINK("http://www.worldcat.org/oclc/427250826","WorldCat Record")</f>
        <v>WorldCat Record</v>
      </c>
      <c r="AX1734" s="3" t="s">
        <v>15292</v>
      </c>
      <c r="AY1734" s="3" t="s">
        <v>15293</v>
      </c>
      <c r="AZ1734" s="3" t="s">
        <v>15294</v>
      </c>
      <c r="BA1734" s="3" t="s">
        <v>15294</v>
      </c>
      <c r="BB1734" s="3" t="s">
        <v>15310</v>
      </c>
      <c r="BC1734" s="3" t="s">
        <v>82</v>
      </c>
      <c r="BD1734" s="3" t="s">
        <v>70</v>
      </c>
      <c r="BF1734" s="3" t="s">
        <v>15310</v>
      </c>
      <c r="BG1734" s="3" t="s">
        <v>15311</v>
      </c>
    </row>
    <row r="1735" spans="1:59" ht="75" x14ac:dyDescent="0.25">
      <c r="A1735" s="2" t="s">
        <v>59</v>
      </c>
      <c r="B1735" s="2" t="s">
        <v>60</v>
      </c>
      <c r="C1735" s="2" t="s">
        <v>15285</v>
      </c>
      <c r="D1735" s="2" t="s">
        <v>15286</v>
      </c>
      <c r="E1735" s="2" t="s">
        <v>14655</v>
      </c>
      <c r="F1735" s="3" t="s">
        <v>15312</v>
      </c>
      <c r="G1735" s="3" t="s">
        <v>62</v>
      </c>
      <c r="I1735" s="3" t="s">
        <v>63</v>
      </c>
      <c r="J1735" s="3" t="s">
        <v>63</v>
      </c>
      <c r="K1735" s="3" t="s">
        <v>64</v>
      </c>
      <c r="L1735" s="2" t="s">
        <v>15287</v>
      </c>
      <c r="M1735" s="2" t="s">
        <v>15288</v>
      </c>
      <c r="N1735" s="3" t="s">
        <v>15289</v>
      </c>
      <c r="O1735" s="2" t="s">
        <v>15290</v>
      </c>
      <c r="P1735" s="3" t="s">
        <v>90</v>
      </c>
      <c r="R1735" s="3" t="s">
        <v>67</v>
      </c>
      <c r="S1735" s="4">
        <v>2</v>
      </c>
      <c r="T1735" s="4">
        <v>15</v>
      </c>
      <c r="U1735" s="5" t="s">
        <v>15291</v>
      </c>
      <c r="V1735" s="5" t="s">
        <v>15291</v>
      </c>
      <c r="W1735" s="5" t="s">
        <v>69</v>
      </c>
      <c r="X1735" s="5" t="s">
        <v>69</v>
      </c>
      <c r="Y1735" s="4">
        <v>1</v>
      </c>
      <c r="Z1735" s="4">
        <v>1</v>
      </c>
      <c r="AA1735" s="4">
        <v>1</v>
      </c>
      <c r="AB1735" s="4">
        <v>1</v>
      </c>
      <c r="AC1735" s="4">
        <v>1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3" t="s">
        <v>63</v>
      </c>
      <c r="AS1735" s="3" t="s">
        <v>63</v>
      </c>
      <c r="AT1735" s="3" t="s">
        <v>63</v>
      </c>
      <c r="AV1735" s="6" t="str">
        <f>HYPERLINK("http://mcgill.on.worldcat.org/oclc/427250826","Catalog Record")</f>
        <v>Catalog Record</v>
      </c>
      <c r="AW1735" s="6" t="str">
        <f>HYPERLINK("http://www.worldcat.org/oclc/427250826","WorldCat Record")</f>
        <v>WorldCat Record</v>
      </c>
      <c r="AX1735" s="3" t="s">
        <v>15292</v>
      </c>
      <c r="AY1735" s="3" t="s">
        <v>15293</v>
      </c>
      <c r="AZ1735" s="3" t="s">
        <v>15294</v>
      </c>
      <c r="BA1735" s="3" t="s">
        <v>15294</v>
      </c>
      <c r="BB1735" s="3" t="s">
        <v>15313</v>
      </c>
      <c r="BC1735" s="3" t="s">
        <v>82</v>
      </c>
      <c r="BD1735" s="3" t="s">
        <v>70</v>
      </c>
      <c r="BF1735" s="3" t="s">
        <v>15313</v>
      </c>
      <c r="BG1735" s="3" t="s">
        <v>15314</v>
      </c>
    </row>
    <row r="1736" spans="1:59" ht="75" x14ac:dyDescent="0.25">
      <c r="A1736" s="2" t="s">
        <v>59</v>
      </c>
      <c r="B1736" s="2" t="s">
        <v>60</v>
      </c>
      <c r="C1736" s="2" t="s">
        <v>15285</v>
      </c>
      <c r="D1736" s="2" t="s">
        <v>15286</v>
      </c>
      <c r="E1736" s="2" t="s">
        <v>14655</v>
      </c>
      <c r="F1736" s="3" t="s">
        <v>15315</v>
      </c>
      <c r="G1736" s="3" t="s">
        <v>62</v>
      </c>
      <c r="I1736" s="3" t="s">
        <v>63</v>
      </c>
      <c r="J1736" s="3" t="s">
        <v>63</v>
      </c>
      <c r="K1736" s="3" t="s">
        <v>64</v>
      </c>
      <c r="L1736" s="2" t="s">
        <v>15287</v>
      </c>
      <c r="M1736" s="2" t="s">
        <v>15288</v>
      </c>
      <c r="N1736" s="3" t="s">
        <v>15289</v>
      </c>
      <c r="O1736" s="2" t="s">
        <v>15290</v>
      </c>
      <c r="P1736" s="3" t="s">
        <v>90</v>
      </c>
      <c r="R1736" s="3" t="s">
        <v>67</v>
      </c>
      <c r="S1736" s="4">
        <v>3</v>
      </c>
      <c r="T1736" s="4">
        <v>15</v>
      </c>
      <c r="U1736" s="5" t="s">
        <v>15291</v>
      </c>
      <c r="V1736" s="5" t="s">
        <v>15291</v>
      </c>
      <c r="W1736" s="5" t="s">
        <v>69</v>
      </c>
      <c r="X1736" s="5" t="s">
        <v>69</v>
      </c>
      <c r="Y1736" s="4">
        <v>1</v>
      </c>
      <c r="Z1736" s="4">
        <v>1</v>
      </c>
      <c r="AA1736" s="4">
        <v>1</v>
      </c>
      <c r="AB1736" s="4">
        <v>1</v>
      </c>
      <c r="AC1736" s="4">
        <v>1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3" t="s">
        <v>63</v>
      </c>
      <c r="AS1736" s="3" t="s">
        <v>63</v>
      </c>
      <c r="AT1736" s="3" t="s">
        <v>63</v>
      </c>
      <c r="AV1736" s="6" t="str">
        <f>HYPERLINK("http://mcgill.on.worldcat.org/oclc/427250826","Catalog Record")</f>
        <v>Catalog Record</v>
      </c>
      <c r="AW1736" s="6" t="str">
        <f>HYPERLINK("http://www.worldcat.org/oclc/427250826","WorldCat Record")</f>
        <v>WorldCat Record</v>
      </c>
      <c r="AX1736" s="3" t="s">
        <v>15292</v>
      </c>
      <c r="AY1736" s="3" t="s">
        <v>15293</v>
      </c>
      <c r="AZ1736" s="3" t="s">
        <v>15294</v>
      </c>
      <c r="BA1736" s="3" t="s">
        <v>15294</v>
      </c>
      <c r="BB1736" s="3" t="s">
        <v>15316</v>
      </c>
      <c r="BC1736" s="3" t="s">
        <v>82</v>
      </c>
      <c r="BD1736" s="3" t="s">
        <v>70</v>
      </c>
      <c r="BF1736" s="3" t="s">
        <v>15316</v>
      </c>
      <c r="BG1736" s="3" t="s">
        <v>15317</v>
      </c>
    </row>
    <row r="1737" spans="1:59" ht="75" x14ac:dyDescent="0.25">
      <c r="A1737" s="2" t="s">
        <v>59</v>
      </c>
      <c r="B1737" s="2" t="s">
        <v>60</v>
      </c>
      <c r="C1737" s="2" t="s">
        <v>15285</v>
      </c>
      <c r="D1737" s="2" t="s">
        <v>15286</v>
      </c>
      <c r="E1737" s="2" t="s">
        <v>14655</v>
      </c>
      <c r="F1737" s="3" t="s">
        <v>15318</v>
      </c>
      <c r="G1737" s="3" t="s">
        <v>62</v>
      </c>
      <c r="I1737" s="3" t="s">
        <v>63</v>
      </c>
      <c r="J1737" s="3" t="s">
        <v>63</v>
      </c>
      <c r="K1737" s="3" t="s">
        <v>64</v>
      </c>
      <c r="L1737" s="2" t="s">
        <v>15287</v>
      </c>
      <c r="M1737" s="2" t="s">
        <v>15288</v>
      </c>
      <c r="N1737" s="3" t="s">
        <v>15289</v>
      </c>
      <c r="O1737" s="2" t="s">
        <v>15290</v>
      </c>
      <c r="P1737" s="3" t="s">
        <v>90</v>
      </c>
      <c r="R1737" s="3" t="s">
        <v>67</v>
      </c>
      <c r="S1737" s="4">
        <v>0</v>
      </c>
      <c r="T1737" s="4">
        <v>15</v>
      </c>
      <c r="V1737" s="5" t="s">
        <v>15291</v>
      </c>
      <c r="W1737" s="5" t="s">
        <v>69</v>
      </c>
      <c r="X1737" s="5" t="s">
        <v>69</v>
      </c>
      <c r="Y1737" s="4">
        <v>1</v>
      </c>
      <c r="Z1737" s="4">
        <v>1</v>
      </c>
      <c r="AA1737" s="4">
        <v>1</v>
      </c>
      <c r="AB1737" s="4">
        <v>1</v>
      </c>
      <c r="AC1737" s="4">
        <v>1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3" t="s">
        <v>63</v>
      </c>
      <c r="AS1737" s="3" t="s">
        <v>63</v>
      </c>
      <c r="AT1737" s="3" t="s">
        <v>63</v>
      </c>
      <c r="AV1737" s="6" t="str">
        <f>HYPERLINK("http://mcgill.on.worldcat.org/oclc/427250826","Catalog Record")</f>
        <v>Catalog Record</v>
      </c>
      <c r="AW1737" s="6" t="str">
        <f>HYPERLINK("http://www.worldcat.org/oclc/427250826","WorldCat Record")</f>
        <v>WorldCat Record</v>
      </c>
      <c r="AX1737" s="3" t="s">
        <v>15292</v>
      </c>
      <c r="AY1737" s="3" t="s">
        <v>15293</v>
      </c>
      <c r="AZ1737" s="3" t="s">
        <v>15294</v>
      </c>
      <c r="BA1737" s="3" t="s">
        <v>15294</v>
      </c>
      <c r="BB1737" s="3" t="s">
        <v>15319</v>
      </c>
      <c r="BC1737" s="3" t="s">
        <v>82</v>
      </c>
      <c r="BD1737" s="3" t="s">
        <v>70</v>
      </c>
      <c r="BF1737" s="3" t="s">
        <v>15319</v>
      </c>
      <c r="BG1737" s="3" t="s">
        <v>15320</v>
      </c>
    </row>
    <row r="1738" spans="1:59" ht="75" x14ac:dyDescent="0.25">
      <c r="A1738" s="2" t="s">
        <v>59</v>
      </c>
      <c r="B1738" s="2" t="s">
        <v>60</v>
      </c>
      <c r="C1738" s="2" t="s">
        <v>15285</v>
      </c>
      <c r="D1738" s="2" t="s">
        <v>15286</v>
      </c>
      <c r="E1738" s="2" t="s">
        <v>14655</v>
      </c>
      <c r="F1738" s="3" t="s">
        <v>1366</v>
      </c>
      <c r="G1738" s="3" t="s">
        <v>62</v>
      </c>
      <c r="I1738" s="3" t="s">
        <v>63</v>
      </c>
      <c r="J1738" s="3" t="s">
        <v>63</v>
      </c>
      <c r="K1738" s="3" t="s">
        <v>64</v>
      </c>
      <c r="L1738" s="2" t="s">
        <v>15287</v>
      </c>
      <c r="M1738" s="2" t="s">
        <v>15288</v>
      </c>
      <c r="N1738" s="3" t="s">
        <v>15289</v>
      </c>
      <c r="O1738" s="2" t="s">
        <v>15290</v>
      </c>
      <c r="P1738" s="3" t="s">
        <v>90</v>
      </c>
      <c r="R1738" s="3" t="s">
        <v>67</v>
      </c>
      <c r="S1738" s="4">
        <v>0</v>
      </c>
      <c r="T1738" s="4">
        <v>15</v>
      </c>
      <c r="V1738" s="5" t="s">
        <v>15291</v>
      </c>
      <c r="W1738" s="5" t="s">
        <v>69</v>
      </c>
      <c r="X1738" s="5" t="s">
        <v>69</v>
      </c>
      <c r="Y1738" s="4">
        <v>1</v>
      </c>
      <c r="Z1738" s="4">
        <v>1</v>
      </c>
      <c r="AA1738" s="4">
        <v>1</v>
      </c>
      <c r="AB1738" s="4">
        <v>1</v>
      </c>
      <c r="AC1738" s="4">
        <v>1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3" t="s">
        <v>63</v>
      </c>
      <c r="AS1738" s="3" t="s">
        <v>63</v>
      </c>
      <c r="AT1738" s="3" t="s">
        <v>63</v>
      </c>
      <c r="AV1738" s="6" t="str">
        <f>HYPERLINK("http://mcgill.on.worldcat.org/oclc/427250826","Catalog Record")</f>
        <v>Catalog Record</v>
      </c>
      <c r="AW1738" s="6" t="str">
        <f>HYPERLINK("http://www.worldcat.org/oclc/427250826","WorldCat Record")</f>
        <v>WorldCat Record</v>
      </c>
      <c r="AX1738" s="3" t="s">
        <v>15292</v>
      </c>
      <c r="AY1738" s="3" t="s">
        <v>15293</v>
      </c>
      <c r="AZ1738" s="3" t="s">
        <v>15294</v>
      </c>
      <c r="BA1738" s="3" t="s">
        <v>15294</v>
      </c>
      <c r="BB1738" s="3" t="s">
        <v>15321</v>
      </c>
      <c r="BC1738" s="3" t="s">
        <v>82</v>
      </c>
      <c r="BD1738" s="3" t="s">
        <v>70</v>
      </c>
      <c r="BF1738" s="3" t="s">
        <v>15321</v>
      </c>
      <c r="BG1738" s="3" t="s">
        <v>15322</v>
      </c>
    </row>
    <row r="1739" spans="1:59" ht="75" x14ac:dyDescent="0.25">
      <c r="A1739" s="2" t="s">
        <v>59</v>
      </c>
      <c r="B1739" s="2" t="s">
        <v>60</v>
      </c>
      <c r="C1739" s="2" t="s">
        <v>15285</v>
      </c>
      <c r="D1739" s="2" t="s">
        <v>15286</v>
      </c>
      <c r="E1739" s="2" t="s">
        <v>14655</v>
      </c>
      <c r="F1739" s="3" t="s">
        <v>15323</v>
      </c>
      <c r="G1739" s="3" t="s">
        <v>62</v>
      </c>
      <c r="I1739" s="3" t="s">
        <v>63</v>
      </c>
      <c r="J1739" s="3" t="s">
        <v>63</v>
      </c>
      <c r="K1739" s="3" t="s">
        <v>64</v>
      </c>
      <c r="L1739" s="2" t="s">
        <v>15287</v>
      </c>
      <c r="M1739" s="2" t="s">
        <v>15288</v>
      </c>
      <c r="N1739" s="3" t="s">
        <v>15289</v>
      </c>
      <c r="O1739" s="2" t="s">
        <v>15290</v>
      </c>
      <c r="P1739" s="3" t="s">
        <v>90</v>
      </c>
      <c r="R1739" s="3" t="s">
        <v>67</v>
      </c>
      <c r="S1739" s="4">
        <v>0</v>
      </c>
      <c r="T1739" s="4">
        <v>15</v>
      </c>
      <c r="V1739" s="5" t="s">
        <v>15291</v>
      </c>
      <c r="W1739" s="5" t="s">
        <v>69</v>
      </c>
      <c r="X1739" s="5" t="s">
        <v>69</v>
      </c>
      <c r="Y1739" s="4">
        <v>1</v>
      </c>
      <c r="Z1739" s="4">
        <v>1</v>
      </c>
      <c r="AA1739" s="4">
        <v>1</v>
      </c>
      <c r="AB1739" s="4">
        <v>1</v>
      </c>
      <c r="AC1739" s="4">
        <v>1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3" t="s">
        <v>63</v>
      </c>
      <c r="AS1739" s="3" t="s">
        <v>63</v>
      </c>
      <c r="AT1739" s="3" t="s">
        <v>63</v>
      </c>
      <c r="AV1739" s="6" t="str">
        <f>HYPERLINK("http://mcgill.on.worldcat.org/oclc/427250826","Catalog Record")</f>
        <v>Catalog Record</v>
      </c>
      <c r="AW1739" s="6" t="str">
        <f>HYPERLINK("http://www.worldcat.org/oclc/427250826","WorldCat Record")</f>
        <v>WorldCat Record</v>
      </c>
      <c r="AX1739" s="3" t="s">
        <v>15292</v>
      </c>
      <c r="AY1739" s="3" t="s">
        <v>15293</v>
      </c>
      <c r="AZ1739" s="3" t="s">
        <v>15294</v>
      </c>
      <c r="BA1739" s="3" t="s">
        <v>15294</v>
      </c>
      <c r="BB1739" s="3" t="s">
        <v>15324</v>
      </c>
      <c r="BC1739" s="3" t="s">
        <v>82</v>
      </c>
      <c r="BD1739" s="3" t="s">
        <v>70</v>
      </c>
      <c r="BF1739" s="3" t="s">
        <v>15324</v>
      </c>
      <c r="BG1739" s="3" t="s">
        <v>15325</v>
      </c>
    </row>
    <row r="1740" spans="1:59" ht="75" x14ac:dyDescent="0.25">
      <c r="A1740" s="2" t="s">
        <v>59</v>
      </c>
      <c r="B1740" s="2" t="s">
        <v>60</v>
      </c>
      <c r="C1740" s="2" t="s">
        <v>15285</v>
      </c>
      <c r="D1740" s="2" t="s">
        <v>15286</v>
      </c>
      <c r="E1740" s="2" t="s">
        <v>14655</v>
      </c>
      <c r="F1740" s="3" t="s">
        <v>1384</v>
      </c>
      <c r="G1740" s="3" t="s">
        <v>62</v>
      </c>
      <c r="I1740" s="3" t="s">
        <v>63</v>
      </c>
      <c r="J1740" s="3" t="s">
        <v>63</v>
      </c>
      <c r="K1740" s="3" t="s">
        <v>64</v>
      </c>
      <c r="L1740" s="2" t="s">
        <v>15287</v>
      </c>
      <c r="M1740" s="2" t="s">
        <v>15288</v>
      </c>
      <c r="N1740" s="3" t="s">
        <v>15289</v>
      </c>
      <c r="O1740" s="2" t="s">
        <v>15290</v>
      </c>
      <c r="P1740" s="3" t="s">
        <v>90</v>
      </c>
      <c r="R1740" s="3" t="s">
        <v>67</v>
      </c>
      <c r="S1740" s="4">
        <v>0</v>
      </c>
      <c r="T1740" s="4">
        <v>15</v>
      </c>
      <c r="V1740" s="5" t="s">
        <v>15291</v>
      </c>
      <c r="W1740" s="5" t="s">
        <v>69</v>
      </c>
      <c r="X1740" s="5" t="s">
        <v>69</v>
      </c>
      <c r="Y1740" s="4">
        <v>1</v>
      </c>
      <c r="Z1740" s="4">
        <v>1</v>
      </c>
      <c r="AA1740" s="4">
        <v>1</v>
      </c>
      <c r="AB1740" s="4">
        <v>1</v>
      </c>
      <c r="AC1740" s="4">
        <v>1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3" t="s">
        <v>63</v>
      </c>
      <c r="AS1740" s="3" t="s">
        <v>63</v>
      </c>
      <c r="AT1740" s="3" t="s">
        <v>63</v>
      </c>
      <c r="AV1740" s="6" t="str">
        <f>HYPERLINK("http://mcgill.on.worldcat.org/oclc/427250826","Catalog Record")</f>
        <v>Catalog Record</v>
      </c>
      <c r="AW1740" s="6" t="str">
        <f>HYPERLINK("http://www.worldcat.org/oclc/427250826","WorldCat Record")</f>
        <v>WorldCat Record</v>
      </c>
      <c r="AX1740" s="3" t="s">
        <v>15292</v>
      </c>
      <c r="AY1740" s="3" t="s">
        <v>15293</v>
      </c>
      <c r="AZ1740" s="3" t="s">
        <v>15294</v>
      </c>
      <c r="BA1740" s="3" t="s">
        <v>15294</v>
      </c>
      <c r="BB1740" s="3" t="s">
        <v>15326</v>
      </c>
      <c r="BC1740" s="3" t="s">
        <v>82</v>
      </c>
      <c r="BD1740" s="3" t="s">
        <v>70</v>
      </c>
      <c r="BF1740" s="3" t="s">
        <v>15326</v>
      </c>
      <c r="BG1740" s="3" t="s">
        <v>15327</v>
      </c>
    </row>
    <row r="1741" spans="1:59" ht="75" x14ac:dyDescent="0.25">
      <c r="A1741" s="2" t="s">
        <v>59</v>
      </c>
      <c r="B1741" s="2" t="s">
        <v>60</v>
      </c>
      <c r="C1741" s="2" t="s">
        <v>15285</v>
      </c>
      <c r="D1741" s="2" t="s">
        <v>15286</v>
      </c>
      <c r="E1741" s="2" t="s">
        <v>14655</v>
      </c>
      <c r="F1741" s="3" t="s">
        <v>1095</v>
      </c>
      <c r="G1741" s="3" t="s">
        <v>62</v>
      </c>
      <c r="I1741" s="3" t="s">
        <v>63</v>
      </c>
      <c r="J1741" s="3" t="s">
        <v>63</v>
      </c>
      <c r="K1741" s="3" t="s">
        <v>64</v>
      </c>
      <c r="L1741" s="2" t="s">
        <v>15287</v>
      </c>
      <c r="M1741" s="2" t="s">
        <v>15288</v>
      </c>
      <c r="N1741" s="3" t="s">
        <v>15289</v>
      </c>
      <c r="O1741" s="2" t="s">
        <v>15290</v>
      </c>
      <c r="P1741" s="3" t="s">
        <v>90</v>
      </c>
      <c r="R1741" s="3" t="s">
        <v>67</v>
      </c>
      <c r="S1741" s="4">
        <v>0</v>
      </c>
      <c r="T1741" s="4">
        <v>15</v>
      </c>
      <c r="V1741" s="5" t="s">
        <v>15291</v>
      </c>
      <c r="W1741" s="5" t="s">
        <v>69</v>
      </c>
      <c r="X1741" s="5" t="s">
        <v>69</v>
      </c>
      <c r="Y1741" s="4">
        <v>1</v>
      </c>
      <c r="Z1741" s="4">
        <v>1</v>
      </c>
      <c r="AA1741" s="4">
        <v>1</v>
      </c>
      <c r="AB1741" s="4">
        <v>1</v>
      </c>
      <c r="AC1741" s="4">
        <v>1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3" t="s">
        <v>63</v>
      </c>
      <c r="AS1741" s="3" t="s">
        <v>63</v>
      </c>
      <c r="AT1741" s="3" t="s">
        <v>63</v>
      </c>
      <c r="AV1741" s="6" t="str">
        <f>HYPERLINK("http://mcgill.on.worldcat.org/oclc/427250826","Catalog Record")</f>
        <v>Catalog Record</v>
      </c>
      <c r="AW1741" s="6" t="str">
        <f>HYPERLINK("http://www.worldcat.org/oclc/427250826","WorldCat Record")</f>
        <v>WorldCat Record</v>
      </c>
      <c r="AX1741" s="3" t="s">
        <v>15292</v>
      </c>
      <c r="AY1741" s="3" t="s">
        <v>15293</v>
      </c>
      <c r="AZ1741" s="3" t="s">
        <v>15294</v>
      </c>
      <c r="BA1741" s="3" t="s">
        <v>15294</v>
      </c>
      <c r="BB1741" s="3" t="s">
        <v>15328</v>
      </c>
      <c r="BC1741" s="3" t="s">
        <v>82</v>
      </c>
      <c r="BD1741" s="3" t="s">
        <v>70</v>
      </c>
      <c r="BF1741" s="3" t="s">
        <v>15328</v>
      </c>
      <c r="BG1741" s="3" t="s">
        <v>15329</v>
      </c>
    </row>
    <row r="1742" spans="1:59" ht="75" x14ac:dyDescent="0.25">
      <c r="A1742" s="2" t="s">
        <v>59</v>
      </c>
      <c r="B1742" s="2" t="s">
        <v>60</v>
      </c>
      <c r="C1742" s="2" t="s">
        <v>15285</v>
      </c>
      <c r="D1742" s="2" t="s">
        <v>15286</v>
      </c>
      <c r="E1742" s="2" t="s">
        <v>14655</v>
      </c>
      <c r="F1742" s="3" t="s">
        <v>15330</v>
      </c>
      <c r="G1742" s="3" t="s">
        <v>62</v>
      </c>
      <c r="I1742" s="3" t="s">
        <v>63</v>
      </c>
      <c r="J1742" s="3" t="s">
        <v>63</v>
      </c>
      <c r="K1742" s="3" t="s">
        <v>64</v>
      </c>
      <c r="L1742" s="2" t="s">
        <v>15287</v>
      </c>
      <c r="M1742" s="2" t="s">
        <v>15288</v>
      </c>
      <c r="N1742" s="3" t="s">
        <v>15289</v>
      </c>
      <c r="O1742" s="2" t="s">
        <v>15290</v>
      </c>
      <c r="P1742" s="3" t="s">
        <v>90</v>
      </c>
      <c r="R1742" s="3" t="s">
        <v>67</v>
      </c>
      <c r="S1742" s="4">
        <v>0</v>
      </c>
      <c r="T1742" s="4">
        <v>15</v>
      </c>
      <c r="V1742" s="5" t="s">
        <v>15291</v>
      </c>
      <c r="W1742" s="5" t="s">
        <v>69</v>
      </c>
      <c r="X1742" s="5" t="s">
        <v>69</v>
      </c>
      <c r="Y1742" s="4">
        <v>1</v>
      </c>
      <c r="Z1742" s="4">
        <v>1</v>
      </c>
      <c r="AA1742" s="4">
        <v>1</v>
      </c>
      <c r="AB1742" s="4">
        <v>1</v>
      </c>
      <c r="AC1742" s="4">
        <v>1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3" t="s">
        <v>63</v>
      </c>
      <c r="AS1742" s="3" t="s">
        <v>63</v>
      </c>
      <c r="AT1742" s="3" t="s">
        <v>63</v>
      </c>
      <c r="AV1742" s="6" t="str">
        <f>HYPERLINK("http://mcgill.on.worldcat.org/oclc/427250826","Catalog Record")</f>
        <v>Catalog Record</v>
      </c>
      <c r="AW1742" s="6" t="str">
        <f>HYPERLINK("http://www.worldcat.org/oclc/427250826","WorldCat Record")</f>
        <v>WorldCat Record</v>
      </c>
      <c r="AX1742" s="3" t="s">
        <v>15292</v>
      </c>
      <c r="AY1742" s="3" t="s">
        <v>15293</v>
      </c>
      <c r="AZ1742" s="3" t="s">
        <v>15294</v>
      </c>
      <c r="BA1742" s="3" t="s">
        <v>15294</v>
      </c>
      <c r="BB1742" s="3" t="s">
        <v>15331</v>
      </c>
      <c r="BC1742" s="3" t="s">
        <v>82</v>
      </c>
      <c r="BD1742" s="3" t="s">
        <v>70</v>
      </c>
      <c r="BF1742" s="3" t="s">
        <v>15331</v>
      </c>
      <c r="BG1742" s="3" t="s">
        <v>15332</v>
      </c>
    </row>
    <row r="1743" spans="1:59" ht="75" x14ac:dyDescent="0.25">
      <c r="A1743" s="2" t="s">
        <v>59</v>
      </c>
      <c r="B1743" s="2" t="s">
        <v>60</v>
      </c>
      <c r="C1743" s="2" t="s">
        <v>15285</v>
      </c>
      <c r="D1743" s="2" t="s">
        <v>15286</v>
      </c>
      <c r="E1743" s="2" t="s">
        <v>14655</v>
      </c>
      <c r="F1743" s="3" t="s">
        <v>1105</v>
      </c>
      <c r="G1743" s="3" t="s">
        <v>62</v>
      </c>
      <c r="I1743" s="3" t="s">
        <v>63</v>
      </c>
      <c r="J1743" s="3" t="s">
        <v>63</v>
      </c>
      <c r="K1743" s="3" t="s">
        <v>64</v>
      </c>
      <c r="L1743" s="2" t="s">
        <v>15287</v>
      </c>
      <c r="M1743" s="2" t="s">
        <v>15288</v>
      </c>
      <c r="N1743" s="3" t="s">
        <v>15289</v>
      </c>
      <c r="O1743" s="2" t="s">
        <v>15290</v>
      </c>
      <c r="P1743" s="3" t="s">
        <v>90</v>
      </c>
      <c r="R1743" s="3" t="s">
        <v>67</v>
      </c>
      <c r="S1743" s="4">
        <v>0</v>
      </c>
      <c r="T1743" s="4">
        <v>15</v>
      </c>
      <c r="V1743" s="5" t="s">
        <v>15291</v>
      </c>
      <c r="W1743" s="5" t="s">
        <v>69</v>
      </c>
      <c r="X1743" s="5" t="s">
        <v>69</v>
      </c>
      <c r="Y1743" s="4">
        <v>1</v>
      </c>
      <c r="Z1743" s="4">
        <v>1</v>
      </c>
      <c r="AA1743" s="4">
        <v>1</v>
      </c>
      <c r="AB1743" s="4">
        <v>1</v>
      </c>
      <c r="AC1743" s="4">
        <v>1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3" t="s">
        <v>63</v>
      </c>
      <c r="AS1743" s="3" t="s">
        <v>63</v>
      </c>
      <c r="AT1743" s="3" t="s">
        <v>63</v>
      </c>
      <c r="AV1743" s="6" t="str">
        <f>HYPERLINK("http://mcgill.on.worldcat.org/oclc/427250826","Catalog Record")</f>
        <v>Catalog Record</v>
      </c>
      <c r="AW1743" s="6" t="str">
        <f>HYPERLINK("http://www.worldcat.org/oclc/427250826","WorldCat Record")</f>
        <v>WorldCat Record</v>
      </c>
      <c r="AX1743" s="3" t="s">
        <v>15292</v>
      </c>
      <c r="AY1743" s="3" t="s">
        <v>15293</v>
      </c>
      <c r="AZ1743" s="3" t="s">
        <v>15294</v>
      </c>
      <c r="BA1743" s="3" t="s">
        <v>15294</v>
      </c>
      <c r="BB1743" s="3" t="s">
        <v>15333</v>
      </c>
      <c r="BC1743" s="3" t="s">
        <v>82</v>
      </c>
      <c r="BD1743" s="3" t="s">
        <v>70</v>
      </c>
      <c r="BF1743" s="3" t="s">
        <v>15333</v>
      </c>
      <c r="BG1743" s="3" t="s">
        <v>15334</v>
      </c>
    </row>
    <row r="1744" spans="1:59" ht="75" x14ac:dyDescent="0.25">
      <c r="A1744" s="2" t="s">
        <v>59</v>
      </c>
      <c r="B1744" s="2" t="s">
        <v>60</v>
      </c>
      <c r="C1744" s="2" t="s">
        <v>15285</v>
      </c>
      <c r="D1744" s="2" t="s">
        <v>15286</v>
      </c>
      <c r="E1744" s="2" t="s">
        <v>14655</v>
      </c>
      <c r="F1744" s="3" t="s">
        <v>15115</v>
      </c>
      <c r="G1744" s="3" t="s">
        <v>62</v>
      </c>
      <c r="I1744" s="3" t="s">
        <v>63</v>
      </c>
      <c r="J1744" s="3" t="s">
        <v>63</v>
      </c>
      <c r="K1744" s="3" t="s">
        <v>64</v>
      </c>
      <c r="L1744" s="2" t="s">
        <v>15287</v>
      </c>
      <c r="M1744" s="2" t="s">
        <v>15288</v>
      </c>
      <c r="N1744" s="3" t="s">
        <v>15289</v>
      </c>
      <c r="O1744" s="2" t="s">
        <v>15290</v>
      </c>
      <c r="P1744" s="3" t="s">
        <v>90</v>
      </c>
      <c r="R1744" s="3" t="s">
        <v>67</v>
      </c>
      <c r="S1744" s="4">
        <v>0</v>
      </c>
      <c r="T1744" s="4">
        <v>15</v>
      </c>
      <c r="V1744" s="5" t="s">
        <v>15291</v>
      </c>
      <c r="W1744" s="5" t="s">
        <v>69</v>
      </c>
      <c r="X1744" s="5" t="s">
        <v>69</v>
      </c>
      <c r="Y1744" s="4">
        <v>1</v>
      </c>
      <c r="Z1744" s="4">
        <v>1</v>
      </c>
      <c r="AA1744" s="4">
        <v>1</v>
      </c>
      <c r="AB1744" s="4">
        <v>1</v>
      </c>
      <c r="AC1744" s="4">
        <v>1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3" t="s">
        <v>63</v>
      </c>
      <c r="AS1744" s="3" t="s">
        <v>63</v>
      </c>
      <c r="AT1744" s="3" t="s">
        <v>63</v>
      </c>
      <c r="AV1744" s="6" t="str">
        <f>HYPERLINK("http://mcgill.on.worldcat.org/oclc/427250826","Catalog Record")</f>
        <v>Catalog Record</v>
      </c>
      <c r="AW1744" s="6" t="str">
        <f>HYPERLINK("http://www.worldcat.org/oclc/427250826","WorldCat Record")</f>
        <v>WorldCat Record</v>
      </c>
      <c r="AX1744" s="3" t="s">
        <v>15292</v>
      </c>
      <c r="AY1744" s="3" t="s">
        <v>15293</v>
      </c>
      <c r="AZ1744" s="3" t="s">
        <v>15294</v>
      </c>
      <c r="BA1744" s="3" t="s">
        <v>15294</v>
      </c>
      <c r="BB1744" s="3" t="s">
        <v>15335</v>
      </c>
      <c r="BC1744" s="3" t="s">
        <v>82</v>
      </c>
      <c r="BD1744" s="3" t="s">
        <v>70</v>
      </c>
      <c r="BF1744" s="3" t="s">
        <v>15335</v>
      </c>
      <c r="BG1744" s="3" t="s">
        <v>15336</v>
      </c>
    </row>
    <row r="1745" spans="1:59" ht="75" x14ac:dyDescent="0.25">
      <c r="A1745" s="2" t="s">
        <v>59</v>
      </c>
      <c r="B1745" s="2" t="s">
        <v>60</v>
      </c>
      <c r="C1745" s="2" t="s">
        <v>15285</v>
      </c>
      <c r="D1745" s="2" t="s">
        <v>15286</v>
      </c>
      <c r="E1745" s="2" t="s">
        <v>14655</v>
      </c>
      <c r="F1745" s="3" t="s">
        <v>61</v>
      </c>
      <c r="G1745" s="3" t="s">
        <v>62</v>
      </c>
      <c r="I1745" s="3" t="s">
        <v>63</v>
      </c>
      <c r="J1745" s="3" t="s">
        <v>63</v>
      </c>
      <c r="K1745" s="3" t="s">
        <v>64</v>
      </c>
      <c r="L1745" s="2" t="s">
        <v>15287</v>
      </c>
      <c r="M1745" s="2" t="s">
        <v>15288</v>
      </c>
      <c r="N1745" s="3" t="s">
        <v>15289</v>
      </c>
      <c r="O1745" s="2" t="s">
        <v>15290</v>
      </c>
      <c r="P1745" s="3" t="s">
        <v>90</v>
      </c>
      <c r="R1745" s="3" t="s">
        <v>67</v>
      </c>
      <c r="S1745" s="4">
        <v>0</v>
      </c>
      <c r="T1745" s="4">
        <v>15</v>
      </c>
      <c r="V1745" s="5" t="s">
        <v>15291</v>
      </c>
      <c r="W1745" s="5" t="s">
        <v>69</v>
      </c>
      <c r="X1745" s="5" t="s">
        <v>69</v>
      </c>
      <c r="Y1745" s="4">
        <v>1</v>
      </c>
      <c r="Z1745" s="4">
        <v>1</v>
      </c>
      <c r="AA1745" s="4">
        <v>1</v>
      </c>
      <c r="AB1745" s="4">
        <v>1</v>
      </c>
      <c r="AC1745" s="4">
        <v>1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3" t="s">
        <v>63</v>
      </c>
      <c r="AS1745" s="3" t="s">
        <v>63</v>
      </c>
      <c r="AT1745" s="3" t="s">
        <v>63</v>
      </c>
      <c r="AV1745" s="6" t="str">
        <f>HYPERLINK("http://mcgill.on.worldcat.org/oclc/427250826","Catalog Record")</f>
        <v>Catalog Record</v>
      </c>
      <c r="AW1745" s="6" t="str">
        <f>HYPERLINK("http://www.worldcat.org/oclc/427250826","WorldCat Record")</f>
        <v>WorldCat Record</v>
      </c>
      <c r="AX1745" s="3" t="s">
        <v>15292</v>
      </c>
      <c r="AY1745" s="3" t="s">
        <v>15293</v>
      </c>
      <c r="AZ1745" s="3" t="s">
        <v>15294</v>
      </c>
      <c r="BA1745" s="3" t="s">
        <v>15294</v>
      </c>
      <c r="BB1745" s="3" t="s">
        <v>15337</v>
      </c>
      <c r="BC1745" s="3" t="s">
        <v>82</v>
      </c>
      <c r="BD1745" s="3" t="s">
        <v>70</v>
      </c>
      <c r="BF1745" s="3" t="s">
        <v>15337</v>
      </c>
      <c r="BG1745" s="3" t="s">
        <v>15338</v>
      </c>
    </row>
    <row r="1746" spans="1:59" ht="75" x14ac:dyDescent="0.25">
      <c r="A1746" s="2" t="s">
        <v>59</v>
      </c>
      <c r="B1746" s="2" t="s">
        <v>60</v>
      </c>
      <c r="C1746" s="2" t="s">
        <v>15285</v>
      </c>
      <c r="D1746" s="2" t="s">
        <v>15286</v>
      </c>
      <c r="E1746" s="2" t="s">
        <v>14655</v>
      </c>
      <c r="F1746" s="3" t="s">
        <v>15339</v>
      </c>
      <c r="G1746" s="3" t="s">
        <v>62</v>
      </c>
      <c r="I1746" s="3" t="s">
        <v>63</v>
      </c>
      <c r="J1746" s="3" t="s">
        <v>63</v>
      </c>
      <c r="K1746" s="3" t="s">
        <v>64</v>
      </c>
      <c r="L1746" s="2" t="s">
        <v>15287</v>
      </c>
      <c r="M1746" s="2" t="s">
        <v>15288</v>
      </c>
      <c r="N1746" s="3" t="s">
        <v>15289</v>
      </c>
      <c r="O1746" s="2" t="s">
        <v>15290</v>
      </c>
      <c r="P1746" s="3" t="s">
        <v>90</v>
      </c>
      <c r="R1746" s="3" t="s">
        <v>67</v>
      </c>
      <c r="S1746" s="4">
        <v>0</v>
      </c>
      <c r="T1746" s="4">
        <v>15</v>
      </c>
      <c r="V1746" s="5" t="s">
        <v>15291</v>
      </c>
      <c r="W1746" s="5" t="s">
        <v>69</v>
      </c>
      <c r="X1746" s="5" t="s">
        <v>69</v>
      </c>
      <c r="Y1746" s="4">
        <v>1</v>
      </c>
      <c r="Z1746" s="4">
        <v>1</v>
      </c>
      <c r="AA1746" s="4">
        <v>1</v>
      </c>
      <c r="AB1746" s="4">
        <v>1</v>
      </c>
      <c r="AC1746" s="4">
        <v>1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3" t="s">
        <v>63</v>
      </c>
      <c r="AS1746" s="3" t="s">
        <v>63</v>
      </c>
      <c r="AT1746" s="3" t="s">
        <v>63</v>
      </c>
      <c r="AV1746" s="6" t="str">
        <f>HYPERLINK("http://mcgill.on.worldcat.org/oclc/427250826","Catalog Record")</f>
        <v>Catalog Record</v>
      </c>
      <c r="AW1746" s="6" t="str">
        <f>HYPERLINK("http://www.worldcat.org/oclc/427250826","WorldCat Record")</f>
        <v>WorldCat Record</v>
      </c>
      <c r="AX1746" s="3" t="s">
        <v>15292</v>
      </c>
      <c r="AY1746" s="3" t="s">
        <v>15293</v>
      </c>
      <c r="AZ1746" s="3" t="s">
        <v>15294</v>
      </c>
      <c r="BA1746" s="3" t="s">
        <v>15294</v>
      </c>
      <c r="BB1746" s="3" t="s">
        <v>15340</v>
      </c>
      <c r="BC1746" s="3" t="s">
        <v>82</v>
      </c>
      <c r="BD1746" s="3" t="s">
        <v>70</v>
      </c>
      <c r="BF1746" s="3" t="s">
        <v>15340</v>
      </c>
      <c r="BG1746" s="3" t="s">
        <v>15341</v>
      </c>
    </row>
    <row r="1747" spans="1:59" ht="75" x14ac:dyDescent="0.25">
      <c r="A1747" s="2" t="s">
        <v>59</v>
      </c>
      <c r="B1747" s="2" t="s">
        <v>60</v>
      </c>
      <c r="C1747" s="2" t="s">
        <v>15285</v>
      </c>
      <c r="D1747" s="2" t="s">
        <v>15286</v>
      </c>
      <c r="E1747" s="2" t="s">
        <v>14655</v>
      </c>
      <c r="F1747" s="3" t="s">
        <v>15342</v>
      </c>
      <c r="G1747" s="3" t="s">
        <v>62</v>
      </c>
      <c r="I1747" s="3" t="s">
        <v>63</v>
      </c>
      <c r="J1747" s="3" t="s">
        <v>63</v>
      </c>
      <c r="K1747" s="3" t="s">
        <v>64</v>
      </c>
      <c r="L1747" s="2" t="s">
        <v>15287</v>
      </c>
      <c r="M1747" s="2" t="s">
        <v>15288</v>
      </c>
      <c r="N1747" s="3" t="s">
        <v>15289</v>
      </c>
      <c r="O1747" s="2" t="s">
        <v>15290</v>
      </c>
      <c r="P1747" s="3" t="s">
        <v>90</v>
      </c>
      <c r="R1747" s="3" t="s">
        <v>67</v>
      </c>
      <c r="S1747" s="4">
        <v>0</v>
      </c>
      <c r="T1747" s="4">
        <v>15</v>
      </c>
      <c r="V1747" s="5" t="s">
        <v>15291</v>
      </c>
      <c r="W1747" s="5" t="s">
        <v>69</v>
      </c>
      <c r="X1747" s="5" t="s">
        <v>69</v>
      </c>
      <c r="Y1747" s="4">
        <v>1</v>
      </c>
      <c r="Z1747" s="4">
        <v>1</v>
      </c>
      <c r="AA1747" s="4">
        <v>1</v>
      </c>
      <c r="AB1747" s="4">
        <v>1</v>
      </c>
      <c r="AC1747" s="4">
        <v>1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3" t="s">
        <v>63</v>
      </c>
      <c r="AS1747" s="3" t="s">
        <v>63</v>
      </c>
      <c r="AT1747" s="3" t="s">
        <v>63</v>
      </c>
      <c r="AV1747" s="6" t="str">
        <f>HYPERLINK("http://mcgill.on.worldcat.org/oclc/427250826","Catalog Record")</f>
        <v>Catalog Record</v>
      </c>
      <c r="AW1747" s="6" t="str">
        <f>HYPERLINK("http://www.worldcat.org/oclc/427250826","WorldCat Record")</f>
        <v>WorldCat Record</v>
      </c>
      <c r="AX1747" s="3" t="s">
        <v>15292</v>
      </c>
      <c r="AY1747" s="3" t="s">
        <v>15293</v>
      </c>
      <c r="AZ1747" s="3" t="s">
        <v>15294</v>
      </c>
      <c r="BA1747" s="3" t="s">
        <v>15294</v>
      </c>
      <c r="BB1747" s="3" t="s">
        <v>15343</v>
      </c>
      <c r="BC1747" s="3" t="s">
        <v>82</v>
      </c>
      <c r="BD1747" s="3" t="s">
        <v>70</v>
      </c>
      <c r="BF1747" s="3" t="s">
        <v>15343</v>
      </c>
      <c r="BG1747" s="3" t="s">
        <v>15344</v>
      </c>
    </row>
    <row r="1748" spans="1:59" ht="75" x14ac:dyDescent="0.25">
      <c r="A1748" s="2" t="s">
        <v>59</v>
      </c>
      <c r="B1748" s="2" t="s">
        <v>60</v>
      </c>
      <c r="C1748" s="2" t="s">
        <v>15285</v>
      </c>
      <c r="D1748" s="2" t="s">
        <v>15286</v>
      </c>
      <c r="E1748" s="2" t="s">
        <v>14655</v>
      </c>
      <c r="F1748" s="3" t="s">
        <v>1390</v>
      </c>
      <c r="G1748" s="3" t="s">
        <v>62</v>
      </c>
      <c r="I1748" s="3" t="s">
        <v>63</v>
      </c>
      <c r="J1748" s="3" t="s">
        <v>63</v>
      </c>
      <c r="K1748" s="3" t="s">
        <v>64</v>
      </c>
      <c r="L1748" s="2" t="s">
        <v>15287</v>
      </c>
      <c r="M1748" s="2" t="s">
        <v>15288</v>
      </c>
      <c r="N1748" s="3" t="s">
        <v>15289</v>
      </c>
      <c r="O1748" s="2" t="s">
        <v>15290</v>
      </c>
      <c r="P1748" s="3" t="s">
        <v>90</v>
      </c>
      <c r="R1748" s="3" t="s">
        <v>67</v>
      </c>
      <c r="S1748" s="4">
        <v>0</v>
      </c>
      <c r="T1748" s="4">
        <v>15</v>
      </c>
      <c r="V1748" s="5" t="s">
        <v>15291</v>
      </c>
      <c r="W1748" s="5" t="s">
        <v>69</v>
      </c>
      <c r="X1748" s="5" t="s">
        <v>69</v>
      </c>
      <c r="Y1748" s="4">
        <v>1</v>
      </c>
      <c r="Z1748" s="4">
        <v>1</v>
      </c>
      <c r="AA1748" s="4">
        <v>1</v>
      </c>
      <c r="AB1748" s="4">
        <v>1</v>
      </c>
      <c r="AC1748" s="4">
        <v>1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3" t="s">
        <v>63</v>
      </c>
      <c r="AS1748" s="3" t="s">
        <v>63</v>
      </c>
      <c r="AT1748" s="3" t="s">
        <v>63</v>
      </c>
      <c r="AV1748" s="6" t="str">
        <f>HYPERLINK("http://mcgill.on.worldcat.org/oclc/427250826","Catalog Record")</f>
        <v>Catalog Record</v>
      </c>
      <c r="AW1748" s="6" t="str">
        <f>HYPERLINK("http://www.worldcat.org/oclc/427250826","WorldCat Record")</f>
        <v>WorldCat Record</v>
      </c>
      <c r="AX1748" s="3" t="s">
        <v>15292</v>
      </c>
      <c r="AY1748" s="3" t="s">
        <v>15293</v>
      </c>
      <c r="AZ1748" s="3" t="s">
        <v>15294</v>
      </c>
      <c r="BA1748" s="3" t="s">
        <v>15294</v>
      </c>
      <c r="BB1748" s="3" t="s">
        <v>15345</v>
      </c>
      <c r="BC1748" s="3" t="s">
        <v>82</v>
      </c>
      <c r="BD1748" s="3" t="s">
        <v>70</v>
      </c>
      <c r="BF1748" s="3" t="s">
        <v>15345</v>
      </c>
      <c r="BG1748" s="3" t="s">
        <v>15346</v>
      </c>
    </row>
    <row r="1749" spans="1:59" ht="75" x14ac:dyDescent="0.25">
      <c r="A1749" s="2" t="s">
        <v>59</v>
      </c>
      <c r="B1749" s="2" t="s">
        <v>60</v>
      </c>
      <c r="C1749" s="2" t="s">
        <v>15285</v>
      </c>
      <c r="D1749" s="2" t="s">
        <v>15286</v>
      </c>
      <c r="E1749" s="2" t="s">
        <v>14655</v>
      </c>
      <c r="F1749" s="3" t="s">
        <v>15347</v>
      </c>
      <c r="G1749" s="3" t="s">
        <v>62</v>
      </c>
      <c r="I1749" s="3" t="s">
        <v>63</v>
      </c>
      <c r="J1749" s="3" t="s">
        <v>63</v>
      </c>
      <c r="K1749" s="3" t="s">
        <v>64</v>
      </c>
      <c r="L1749" s="2" t="s">
        <v>15287</v>
      </c>
      <c r="M1749" s="2" t="s">
        <v>15288</v>
      </c>
      <c r="N1749" s="3" t="s">
        <v>15289</v>
      </c>
      <c r="O1749" s="2" t="s">
        <v>15290</v>
      </c>
      <c r="P1749" s="3" t="s">
        <v>90</v>
      </c>
      <c r="R1749" s="3" t="s">
        <v>67</v>
      </c>
      <c r="S1749" s="4">
        <v>0</v>
      </c>
      <c r="T1749" s="4">
        <v>15</v>
      </c>
      <c r="V1749" s="5" t="s">
        <v>15291</v>
      </c>
      <c r="W1749" s="5" t="s">
        <v>69</v>
      </c>
      <c r="X1749" s="5" t="s">
        <v>69</v>
      </c>
      <c r="Y1749" s="4">
        <v>1</v>
      </c>
      <c r="Z1749" s="4">
        <v>1</v>
      </c>
      <c r="AA1749" s="4">
        <v>1</v>
      </c>
      <c r="AB1749" s="4">
        <v>1</v>
      </c>
      <c r="AC1749" s="4">
        <v>1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3" t="s">
        <v>63</v>
      </c>
      <c r="AS1749" s="3" t="s">
        <v>63</v>
      </c>
      <c r="AT1749" s="3" t="s">
        <v>63</v>
      </c>
      <c r="AV1749" s="6" t="str">
        <f>HYPERLINK("http://mcgill.on.worldcat.org/oclc/427250826","Catalog Record")</f>
        <v>Catalog Record</v>
      </c>
      <c r="AW1749" s="6" t="str">
        <f>HYPERLINK("http://www.worldcat.org/oclc/427250826","WorldCat Record")</f>
        <v>WorldCat Record</v>
      </c>
      <c r="AX1749" s="3" t="s">
        <v>15292</v>
      </c>
      <c r="AY1749" s="3" t="s">
        <v>15293</v>
      </c>
      <c r="AZ1749" s="3" t="s">
        <v>15294</v>
      </c>
      <c r="BA1749" s="3" t="s">
        <v>15294</v>
      </c>
      <c r="BB1749" s="3" t="s">
        <v>15348</v>
      </c>
      <c r="BC1749" s="3" t="s">
        <v>82</v>
      </c>
      <c r="BD1749" s="3" t="s">
        <v>70</v>
      </c>
      <c r="BF1749" s="3" t="s">
        <v>15348</v>
      </c>
      <c r="BG1749" s="3" t="s">
        <v>15349</v>
      </c>
    </row>
    <row r="1750" spans="1:59" ht="75" x14ac:dyDescent="0.25">
      <c r="A1750" s="2" t="s">
        <v>59</v>
      </c>
      <c r="B1750" s="2" t="s">
        <v>60</v>
      </c>
      <c r="C1750" s="2" t="s">
        <v>15285</v>
      </c>
      <c r="D1750" s="2" t="s">
        <v>15286</v>
      </c>
      <c r="E1750" s="2" t="s">
        <v>14655</v>
      </c>
      <c r="F1750" s="3" t="s">
        <v>1379</v>
      </c>
      <c r="G1750" s="3" t="s">
        <v>62</v>
      </c>
      <c r="I1750" s="3" t="s">
        <v>63</v>
      </c>
      <c r="J1750" s="3" t="s">
        <v>63</v>
      </c>
      <c r="K1750" s="3" t="s">
        <v>64</v>
      </c>
      <c r="L1750" s="2" t="s">
        <v>15287</v>
      </c>
      <c r="M1750" s="2" t="s">
        <v>15288</v>
      </c>
      <c r="N1750" s="3" t="s">
        <v>15289</v>
      </c>
      <c r="O1750" s="2" t="s">
        <v>15290</v>
      </c>
      <c r="P1750" s="3" t="s">
        <v>90</v>
      </c>
      <c r="R1750" s="3" t="s">
        <v>67</v>
      </c>
      <c r="S1750" s="4">
        <v>0</v>
      </c>
      <c r="T1750" s="4">
        <v>15</v>
      </c>
      <c r="V1750" s="5" t="s">
        <v>15291</v>
      </c>
      <c r="W1750" s="5" t="s">
        <v>69</v>
      </c>
      <c r="X1750" s="5" t="s">
        <v>69</v>
      </c>
      <c r="Y1750" s="4">
        <v>1</v>
      </c>
      <c r="Z1750" s="4">
        <v>1</v>
      </c>
      <c r="AA1750" s="4">
        <v>1</v>
      </c>
      <c r="AB1750" s="4">
        <v>1</v>
      </c>
      <c r="AC1750" s="4">
        <v>1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3" t="s">
        <v>63</v>
      </c>
      <c r="AS1750" s="3" t="s">
        <v>63</v>
      </c>
      <c r="AT1750" s="3" t="s">
        <v>63</v>
      </c>
      <c r="AV1750" s="6" t="str">
        <f>HYPERLINK("http://mcgill.on.worldcat.org/oclc/427250826","Catalog Record")</f>
        <v>Catalog Record</v>
      </c>
      <c r="AW1750" s="6" t="str">
        <f>HYPERLINK("http://www.worldcat.org/oclc/427250826","WorldCat Record")</f>
        <v>WorldCat Record</v>
      </c>
      <c r="AX1750" s="3" t="s">
        <v>15292</v>
      </c>
      <c r="AY1750" s="3" t="s">
        <v>15293</v>
      </c>
      <c r="AZ1750" s="3" t="s">
        <v>15294</v>
      </c>
      <c r="BA1750" s="3" t="s">
        <v>15294</v>
      </c>
      <c r="BB1750" s="3" t="s">
        <v>15350</v>
      </c>
      <c r="BC1750" s="3" t="s">
        <v>82</v>
      </c>
      <c r="BD1750" s="3" t="s">
        <v>70</v>
      </c>
      <c r="BF1750" s="3" t="s">
        <v>15350</v>
      </c>
      <c r="BG1750" s="3" t="s">
        <v>15351</v>
      </c>
    </row>
    <row r="1751" spans="1:59" ht="75" x14ac:dyDescent="0.25">
      <c r="A1751" s="2" t="s">
        <v>59</v>
      </c>
      <c r="B1751" s="2" t="s">
        <v>60</v>
      </c>
      <c r="C1751" s="2" t="s">
        <v>15285</v>
      </c>
      <c r="D1751" s="2" t="s">
        <v>15286</v>
      </c>
      <c r="E1751" s="2" t="s">
        <v>14655</v>
      </c>
      <c r="F1751" s="3" t="s">
        <v>15352</v>
      </c>
      <c r="G1751" s="3" t="s">
        <v>62</v>
      </c>
      <c r="I1751" s="3" t="s">
        <v>63</v>
      </c>
      <c r="J1751" s="3" t="s">
        <v>63</v>
      </c>
      <c r="K1751" s="3" t="s">
        <v>64</v>
      </c>
      <c r="L1751" s="2" t="s">
        <v>15287</v>
      </c>
      <c r="M1751" s="2" t="s">
        <v>15288</v>
      </c>
      <c r="N1751" s="3" t="s">
        <v>15289</v>
      </c>
      <c r="O1751" s="2" t="s">
        <v>15290</v>
      </c>
      <c r="P1751" s="3" t="s">
        <v>90</v>
      </c>
      <c r="R1751" s="3" t="s">
        <v>67</v>
      </c>
      <c r="S1751" s="4">
        <v>0</v>
      </c>
      <c r="T1751" s="4">
        <v>15</v>
      </c>
      <c r="V1751" s="5" t="s">
        <v>15291</v>
      </c>
      <c r="W1751" s="5" t="s">
        <v>69</v>
      </c>
      <c r="X1751" s="5" t="s">
        <v>69</v>
      </c>
      <c r="Y1751" s="4">
        <v>1</v>
      </c>
      <c r="Z1751" s="4">
        <v>1</v>
      </c>
      <c r="AA1751" s="4">
        <v>1</v>
      </c>
      <c r="AB1751" s="4">
        <v>1</v>
      </c>
      <c r="AC1751" s="4">
        <v>1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3" t="s">
        <v>63</v>
      </c>
      <c r="AS1751" s="3" t="s">
        <v>63</v>
      </c>
      <c r="AT1751" s="3" t="s">
        <v>63</v>
      </c>
      <c r="AV1751" s="6" t="str">
        <f>HYPERLINK("http://mcgill.on.worldcat.org/oclc/427250826","Catalog Record")</f>
        <v>Catalog Record</v>
      </c>
      <c r="AW1751" s="6" t="str">
        <f>HYPERLINK("http://www.worldcat.org/oclc/427250826","WorldCat Record")</f>
        <v>WorldCat Record</v>
      </c>
      <c r="AX1751" s="3" t="s">
        <v>15292</v>
      </c>
      <c r="AY1751" s="3" t="s">
        <v>15293</v>
      </c>
      <c r="AZ1751" s="3" t="s">
        <v>15294</v>
      </c>
      <c r="BA1751" s="3" t="s">
        <v>15294</v>
      </c>
      <c r="BB1751" s="3" t="s">
        <v>15353</v>
      </c>
      <c r="BC1751" s="3" t="s">
        <v>82</v>
      </c>
      <c r="BD1751" s="3" t="s">
        <v>70</v>
      </c>
      <c r="BF1751" s="3" t="s">
        <v>15353</v>
      </c>
      <c r="BG1751" s="3" t="s">
        <v>15354</v>
      </c>
    </row>
    <row r="1752" spans="1:59" ht="75" x14ac:dyDescent="0.25">
      <c r="A1752" s="2" t="s">
        <v>59</v>
      </c>
      <c r="B1752" s="2" t="s">
        <v>60</v>
      </c>
      <c r="C1752" s="2" t="s">
        <v>15285</v>
      </c>
      <c r="D1752" s="2" t="s">
        <v>15286</v>
      </c>
      <c r="E1752" s="2" t="s">
        <v>14655</v>
      </c>
      <c r="F1752" s="3" t="s">
        <v>15355</v>
      </c>
      <c r="G1752" s="3" t="s">
        <v>62</v>
      </c>
      <c r="I1752" s="3" t="s">
        <v>63</v>
      </c>
      <c r="J1752" s="3" t="s">
        <v>63</v>
      </c>
      <c r="K1752" s="3" t="s">
        <v>64</v>
      </c>
      <c r="L1752" s="2" t="s">
        <v>15287</v>
      </c>
      <c r="M1752" s="2" t="s">
        <v>15288</v>
      </c>
      <c r="N1752" s="3" t="s">
        <v>15289</v>
      </c>
      <c r="O1752" s="2" t="s">
        <v>15290</v>
      </c>
      <c r="P1752" s="3" t="s">
        <v>90</v>
      </c>
      <c r="R1752" s="3" t="s">
        <v>67</v>
      </c>
      <c r="S1752" s="4">
        <v>2</v>
      </c>
      <c r="T1752" s="4">
        <v>15</v>
      </c>
      <c r="U1752" s="5" t="s">
        <v>15306</v>
      </c>
      <c r="V1752" s="5" t="s">
        <v>15291</v>
      </c>
      <c r="W1752" s="5" t="s">
        <v>69</v>
      </c>
      <c r="X1752" s="5" t="s">
        <v>69</v>
      </c>
      <c r="Y1752" s="4">
        <v>1</v>
      </c>
      <c r="Z1752" s="4">
        <v>1</v>
      </c>
      <c r="AA1752" s="4">
        <v>1</v>
      </c>
      <c r="AB1752" s="4">
        <v>1</v>
      </c>
      <c r="AC1752" s="4">
        <v>1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3" t="s">
        <v>63</v>
      </c>
      <c r="AS1752" s="3" t="s">
        <v>63</v>
      </c>
      <c r="AT1752" s="3" t="s">
        <v>63</v>
      </c>
      <c r="AV1752" s="6" t="str">
        <f>HYPERLINK("http://mcgill.on.worldcat.org/oclc/427250826","Catalog Record")</f>
        <v>Catalog Record</v>
      </c>
      <c r="AW1752" s="6" t="str">
        <f>HYPERLINK("http://www.worldcat.org/oclc/427250826","WorldCat Record")</f>
        <v>WorldCat Record</v>
      </c>
      <c r="AX1752" s="3" t="s">
        <v>15292</v>
      </c>
      <c r="AY1752" s="3" t="s">
        <v>15293</v>
      </c>
      <c r="AZ1752" s="3" t="s">
        <v>15294</v>
      </c>
      <c r="BA1752" s="3" t="s">
        <v>15294</v>
      </c>
      <c r="BB1752" s="3" t="s">
        <v>15356</v>
      </c>
      <c r="BC1752" s="3" t="s">
        <v>82</v>
      </c>
      <c r="BD1752" s="3" t="s">
        <v>70</v>
      </c>
      <c r="BF1752" s="3" t="s">
        <v>15356</v>
      </c>
      <c r="BG1752" s="3" t="s">
        <v>15357</v>
      </c>
    </row>
    <row r="1753" spans="1:59" ht="60" x14ac:dyDescent="0.25">
      <c r="A1753" s="2" t="s">
        <v>59</v>
      </c>
      <c r="B1753" s="2" t="s">
        <v>60</v>
      </c>
      <c r="C1753" s="2" t="s">
        <v>15358</v>
      </c>
      <c r="D1753" s="2" t="s">
        <v>15359</v>
      </c>
      <c r="E1753" s="2" t="s">
        <v>15360</v>
      </c>
      <c r="G1753" s="3" t="s">
        <v>63</v>
      </c>
      <c r="I1753" s="3" t="s">
        <v>63</v>
      </c>
      <c r="J1753" s="3" t="s">
        <v>63</v>
      </c>
      <c r="K1753" s="3" t="s">
        <v>64</v>
      </c>
      <c r="L1753" s="2" t="s">
        <v>15361</v>
      </c>
      <c r="M1753" s="2" t="s">
        <v>15362</v>
      </c>
      <c r="N1753" s="3" t="s">
        <v>2951</v>
      </c>
      <c r="P1753" s="3" t="s">
        <v>90</v>
      </c>
      <c r="R1753" s="3" t="s">
        <v>67</v>
      </c>
      <c r="S1753" s="4">
        <v>1</v>
      </c>
      <c r="T1753" s="4">
        <v>1</v>
      </c>
      <c r="U1753" s="5" t="s">
        <v>15291</v>
      </c>
      <c r="V1753" s="5" t="s">
        <v>15291</v>
      </c>
      <c r="W1753" s="5" t="s">
        <v>69</v>
      </c>
      <c r="X1753" s="5" t="s">
        <v>69</v>
      </c>
      <c r="Y1753" s="4">
        <v>28</v>
      </c>
      <c r="Z1753" s="4">
        <v>5</v>
      </c>
      <c r="AA1753" s="4">
        <v>5</v>
      </c>
      <c r="AB1753" s="4">
        <v>2</v>
      </c>
      <c r="AC1753" s="4">
        <v>2</v>
      </c>
      <c r="AD1753" s="4">
        <v>18</v>
      </c>
      <c r="AE1753" s="4">
        <v>18</v>
      </c>
      <c r="AF1753" s="4">
        <v>0</v>
      </c>
      <c r="AG1753" s="4">
        <v>0</v>
      </c>
      <c r="AH1753" s="4">
        <v>18</v>
      </c>
      <c r="AI1753" s="4">
        <v>18</v>
      </c>
      <c r="AJ1753" s="4">
        <v>2</v>
      </c>
      <c r="AK1753" s="4">
        <v>2</v>
      </c>
      <c r="AL1753" s="4">
        <v>11</v>
      </c>
      <c r="AM1753" s="4">
        <v>11</v>
      </c>
      <c r="AN1753" s="4">
        <v>5</v>
      </c>
      <c r="AO1753" s="4">
        <v>5</v>
      </c>
      <c r="AP1753" s="4">
        <v>2</v>
      </c>
      <c r="AQ1753" s="4">
        <v>2</v>
      </c>
      <c r="AR1753" s="3" t="s">
        <v>63</v>
      </c>
      <c r="AS1753" s="3" t="s">
        <v>63</v>
      </c>
      <c r="AT1753" s="3" t="s">
        <v>62</v>
      </c>
      <c r="AU1753" s="6" t="str">
        <f>HYPERLINK("http://catalog.hathitrust.org/Record/102087176","HathiTrust Record")</f>
        <v>HathiTrust Record</v>
      </c>
      <c r="AV1753" s="6" t="str">
        <f>HYPERLINK("http://mcgill.on.worldcat.org/oclc/7654075","Catalog Record")</f>
        <v>Catalog Record</v>
      </c>
      <c r="AW1753" s="6" t="str">
        <f>HYPERLINK("http://www.worldcat.org/oclc/7654075","WorldCat Record")</f>
        <v>WorldCat Record</v>
      </c>
      <c r="AX1753" s="3" t="s">
        <v>15363</v>
      </c>
      <c r="AY1753" s="3" t="s">
        <v>15364</v>
      </c>
      <c r="AZ1753" s="3" t="s">
        <v>15365</v>
      </c>
      <c r="BA1753" s="3" t="s">
        <v>15365</v>
      </c>
      <c r="BB1753" s="3" t="s">
        <v>15366</v>
      </c>
      <c r="BC1753" s="3" t="s">
        <v>82</v>
      </c>
      <c r="BD1753" s="3" t="s">
        <v>70</v>
      </c>
      <c r="BF1753" s="3" t="s">
        <v>15366</v>
      </c>
      <c r="BG1753" s="3" t="s">
        <v>15367</v>
      </c>
    </row>
    <row r="1754" spans="1:59" ht="60" x14ac:dyDescent="0.25">
      <c r="A1754" s="2" t="s">
        <v>59</v>
      </c>
      <c r="B1754" s="2" t="s">
        <v>60</v>
      </c>
      <c r="C1754" s="2" t="s">
        <v>321</v>
      </c>
      <c r="D1754" s="2" t="s">
        <v>322</v>
      </c>
      <c r="E1754" s="2" t="s">
        <v>323</v>
      </c>
      <c r="G1754" s="3" t="s">
        <v>63</v>
      </c>
      <c r="I1754" s="3" t="s">
        <v>63</v>
      </c>
      <c r="J1754" s="3" t="s">
        <v>62</v>
      </c>
      <c r="K1754" s="3" t="s">
        <v>64</v>
      </c>
      <c r="L1754" s="2" t="s">
        <v>324</v>
      </c>
      <c r="M1754" s="2" t="s">
        <v>325</v>
      </c>
      <c r="N1754" s="3" t="s">
        <v>326</v>
      </c>
      <c r="P1754" s="3" t="s">
        <v>66</v>
      </c>
      <c r="Q1754" s="2" t="s">
        <v>327</v>
      </c>
      <c r="R1754" s="3" t="s">
        <v>67</v>
      </c>
      <c r="S1754" s="4">
        <v>25</v>
      </c>
      <c r="T1754" s="4">
        <v>25</v>
      </c>
      <c r="U1754" s="5" t="s">
        <v>328</v>
      </c>
      <c r="V1754" s="5" t="s">
        <v>328</v>
      </c>
      <c r="W1754" s="5" t="s">
        <v>69</v>
      </c>
      <c r="X1754" s="5" t="s">
        <v>69</v>
      </c>
      <c r="Y1754" s="4">
        <v>142</v>
      </c>
      <c r="Z1754" s="4">
        <v>3</v>
      </c>
      <c r="AA1754" s="4">
        <v>109</v>
      </c>
      <c r="AB1754" s="4">
        <v>1</v>
      </c>
      <c r="AC1754" s="4">
        <v>21</v>
      </c>
      <c r="AD1754" s="4">
        <v>15</v>
      </c>
      <c r="AE1754" s="4">
        <v>147</v>
      </c>
      <c r="AF1754" s="4">
        <v>0</v>
      </c>
      <c r="AG1754" s="4">
        <v>8</v>
      </c>
      <c r="AH1754" s="4">
        <v>15</v>
      </c>
      <c r="AI1754" s="4">
        <v>104</v>
      </c>
      <c r="AJ1754" s="4">
        <v>1</v>
      </c>
      <c r="AK1754" s="4">
        <v>22</v>
      </c>
      <c r="AL1754" s="4">
        <v>7</v>
      </c>
      <c r="AM1754" s="4">
        <v>62</v>
      </c>
      <c r="AN1754" s="4">
        <v>5</v>
      </c>
      <c r="AO1754" s="4">
        <v>5</v>
      </c>
      <c r="AP1754" s="4">
        <v>1</v>
      </c>
      <c r="AQ1754" s="4">
        <v>47</v>
      </c>
      <c r="AR1754" s="3" t="s">
        <v>63</v>
      </c>
      <c r="AS1754" s="3" t="s">
        <v>63</v>
      </c>
      <c r="AT1754" s="3" t="s">
        <v>62</v>
      </c>
      <c r="AU1754" s="6" t="str">
        <f>HYPERLINK("http://catalog.hathitrust.org/Record/011244293","HathiTrust Record")</f>
        <v>HathiTrust Record</v>
      </c>
      <c r="AV1754" s="6" t="str">
        <f>HYPERLINK("http://mcgill.on.worldcat.org/oclc/271771898","Catalog Record")</f>
        <v>Catalog Record</v>
      </c>
      <c r="AW1754" s="6" t="str">
        <f>HYPERLINK("http://www.worldcat.org/oclc/271771898","WorldCat Record")</f>
        <v>WorldCat Record</v>
      </c>
      <c r="AX1754" s="3" t="s">
        <v>329</v>
      </c>
      <c r="AY1754" s="3" t="s">
        <v>330</v>
      </c>
      <c r="AZ1754" s="3" t="s">
        <v>331</v>
      </c>
      <c r="BA1754" s="3" t="s">
        <v>331</v>
      </c>
      <c r="BB1754" s="3" t="s">
        <v>332</v>
      </c>
      <c r="BC1754" s="3" t="s">
        <v>82</v>
      </c>
      <c r="BD1754" s="3" t="s">
        <v>70</v>
      </c>
      <c r="BE1754" s="3" t="s">
        <v>333</v>
      </c>
      <c r="BF1754" s="3" t="s">
        <v>332</v>
      </c>
      <c r="BG1754" s="3" t="s">
        <v>334</v>
      </c>
    </row>
    <row r="1755" spans="1:59" ht="60" x14ac:dyDescent="0.25">
      <c r="A1755" s="2" t="s">
        <v>59</v>
      </c>
      <c r="B1755" s="2" t="s">
        <v>60</v>
      </c>
      <c r="C1755" s="2" t="s">
        <v>15407</v>
      </c>
      <c r="D1755" s="2" t="s">
        <v>15408</v>
      </c>
      <c r="E1755" s="2" t="s">
        <v>15409</v>
      </c>
      <c r="F1755" s="3" t="s">
        <v>6558</v>
      </c>
      <c r="G1755" s="3" t="s">
        <v>62</v>
      </c>
      <c r="I1755" s="3" t="s">
        <v>63</v>
      </c>
      <c r="J1755" s="3" t="s">
        <v>63</v>
      </c>
      <c r="K1755" s="3" t="s">
        <v>64</v>
      </c>
      <c r="L1755" s="2" t="s">
        <v>15410</v>
      </c>
      <c r="M1755" s="2" t="s">
        <v>15411</v>
      </c>
      <c r="N1755" s="3" t="s">
        <v>274</v>
      </c>
      <c r="P1755" s="3" t="s">
        <v>90</v>
      </c>
      <c r="R1755" s="3" t="s">
        <v>67</v>
      </c>
      <c r="S1755" s="4">
        <v>0</v>
      </c>
      <c r="T1755" s="4">
        <v>1</v>
      </c>
      <c r="V1755" s="5" t="s">
        <v>5024</v>
      </c>
      <c r="W1755" s="5" t="s">
        <v>69</v>
      </c>
      <c r="X1755" s="5" t="s">
        <v>69</v>
      </c>
      <c r="Y1755" s="4">
        <v>67</v>
      </c>
      <c r="Z1755" s="4">
        <v>6</v>
      </c>
      <c r="AA1755" s="4">
        <v>6</v>
      </c>
      <c r="AB1755" s="4">
        <v>1</v>
      </c>
      <c r="AC1755" s="4">
        <v>1</v>
      </c>
      <c r="AD1755" s="4">
        <v>44</v>
      </c>
      <c r="AE1755" s="4">
        <v>44</v>
      </c>
      <c r="AF1755" s="4">
        <v>0</v>
      </c>
      <c r="AG1755" s="4">
        <v>0</v>
      </c>
      <c r="AH1755" s="4">
        <v>42</v>
      </c>
      <c r="AI1755" s="4">
        <v>42</v>
      </c>
      <c r="AJ1755" s="4">
        <v>4</v>
      </c>
      <c r="AK1755" s="4">
        <v>4</v>
      </c>
      <c r="AL1755" s="4">
        <v>32</v>
      </c>
      <c r="AM1755" s="4">
        <v>32</v>
      </c>
      <c r="AN1755" s="4">
        <v>0</v>
      </c>
      <c r="AO1755" s="4">
        <v>0</v>
      </c>
      <c r="AP1755" s="4">
        <v>4</v>
      </c>
      <c r="AQ1755" s="4">
        <v>4</v>
      </c>
      <c r="AR1755" s="3" t="s">
        <v>63</v>
      </c>
      <c r="AS1755" s="3" t="s">
        <v>63</v>
      </c>
      <c r="AT1755" s="3" t="s">
        <v>62</v>
      </c>
      <c r="AU1755" s="6" t="str">
        <f>HYPERLINK("http://catalog.hathitrust.org/Record/004049698","HathiTrust Record")</f>
        <v>HathiTrust Record</v>
      </c>
      <c r="AV1755" s="6" t="str">
        <f>HYPERLINK("http://mcgill.on.worldcat.org/oclc/42663908","Catalog Record")</f>
        <v>Catalog Record</v>
      </c>
      <c r="AW1755" s="6" t="str">
        <f>HYPERLINK("http://www.worldcat.org/oclc/42663908","WorldCat Record")</f>
        <v>WorldCat Record</v>
      </c>
      <c r="AX1755" s="3" t="s">
        <v>15412</v>
      </c>
      <c r="AY1755" s="3" t="s">
        <v>15413</v>
      </c>
      <c r="AZ1755" s="3" t="s">
        <v>15414</v>
      </c>
      <c r="BA1755" s="3" t="s">
        <v>15414</v>
      </c>
      <c r="BB1755" s="3" t="s">
        <v>15415</v>
      </c>
      <c r="BC1755" s="3" t="s">
        <v>82</v>
      </c>
      <c r="BD1755" s="3" t="s">
        <v>70</v>
      </c>
      <c r="BE1755" s="3" t="s">
        <v>15416</v>
      </c>
      <c r="BF1755" s="3" t="s">
        <v>15415</v>
      </c>
      <c r="BG1755" s="3" t="s">
        <v>15417</v>
      </c>
    </row>
    <row r="1756" spans="1:59" ht="60" x14ac:dyDescent="0.25">
      <c r="A1756" s="2" t="s">
        <v>59</v>
      </c>
      <c r="B1756" s="2" t="s">
        <v>60</v>
      </c>
      <c r="C1756" s="2" t="s">
        <v>15425</v>
      </c>
      <c r="D1756" s="2" t="s">
        <v>15426</v>
      </c>
      <c r="E1756" s="2" t="s">
        <v>15427</v>
      </c>
      <c r="G1756" s="3" t="s">
        <v>62</v>
      </c>
      <c r="I1756" s="3" t="s">
        <v>62</v>
      </c>
      <c r="J1756" s="3" t="s">
        <v>63</v>
      </c>
      <c r="K1756" s="3" t="s">
        <v>64</v>
      </c>
      <c r="L1756" s="2" t="s">
        <v>15410</v>
      </c>
      <c r="M1756" s="2" t="s">
        <v>15428</v>
      </c>
      <c r="N1756" s="3" t="s">
        <v>261</v>
      </c>
      <c r="P1756" s="3" t="s">
        <v>90</v>
      </c>
      <c r="R1756" s="3" t="s">
        <v>67</v>
      </c>
      <c r="S1756" s="4">
        <v>0</v>
      </c>
      <c r="T1756" s="4">
        <v>1</v>
      </c>
      <c r="V1756" s="5" t="s">
        <v>15429</v>
      </c>
      <c r="W1756" s="5" t="s">
        <v>69</v>
      </c>
      <c r="X1756" s="5" t="s">
        <v>69</v>
      </c>
      <c r="Y1756" s="4">
        <v>63</v>
      </c>
      <c r="Z1756" s="4">
        <v>1</v>
      </c>
      <c r="AA1756" s="4">
        <v>2</v>
      </c>
      <c r="AB1756" s="4">
        <v>1</v>
      </c>
      <c r="AC1756" s="4">
        <v>1</v>
      </c>
      <c r="AD1756" s="4">
        <v>37</v>
      </c>
      <c r="AE1756" s="4">
        <v>38</v>
      </c>
      <c r="AF1756" s="4">
        <v>0</v>
      </c>
      <c r="AG1756" s="4">
        <v>0</v>
      </c>
      <c r="AH1756" s="4">
        <v>36</v>
      </c>
      <c r="AI1756" s="4">
        <v>37</v>
      </c>
      <c r="AJ1756" s="4">
        <v>0</v>
      </c>
      <c r="AK1756" s="4">
        <v>1</v>
      </c>
      <c r="AL1756" s="4">
        <v>31</v>
      </c>
      <c r="AM1756" s="4">
        <v>31</v>
      </c>
      <c r="AN1756" s="4">
        <v>0</v>
      </c>
      <c r="AO1756" s="4">
        <v>0</v>
      </c>
      <c r="AP1756" s="4">
        <v>0</v>
      </c>
      <c r="AQ1756" s="4">
        <v>1</v>
      </c>
      <c r="AR1756" s="3" t="s">
        <v>63</v>
      </c>
      <c r="AS1756" s="3" t="s">
        <v>63</v>
      </c>
      <c r="AT1756" s="3" t="s">
        <v>62</v>
      </c>
      <c r="AU1756" s="6" t="str">
        <f>HYPERLINK("http://catalog.hathitrust.org/Record/008561630","HathiTrust Record")</f>
        <v>HathiTrust Record</v>
      </c>
      <c r="AV1756" s="6" t="str">
        <f>HYPERLINK("http://mcgill.on.worldcat.org/oclc/164826591","Catalog Record")</f>
        <v>Catalog Record</v>
      </c>
      <c r="AW1756" s="6" t="str">
        <f>HYPERLINK("http://www.worldcat.org/oclc/164826591","WorldCat Record")</f>
        <v>WorldCat Record</v>
      </c>
      <c r="AX1756" s="3" t="s">
        <v>15430</v>
      </c>
      <c r="AY1756" s="3" t="s">
        <v>15431</v>
      </c>
      <c r="AZ1756" s="3" t="s">
        <v>15432</v>
      </c>
      <c r="BA1756" s="3" t="s">
        <v>15432</v>
      </c>
      <c r="BB1756" s="3" t="s">
        <v>15433</v>
      </c>
      <c r="BC1756" s="3" t="s">
        <v>82</v>
      </c>
      <c r="BD1756" s="3" t="s">
        <v>70</v>
      </c>
      <c r="BE1756" s="3" t="s">
        <v>15434</v>
      </c>
      <c r="BF1756" s="3" t="s">
        <v>15433</v>
      </c>
      <c r="BG1756" s="3" t="s">
        <v>15435</v>
      </c>
    </row>
    <row r="1757" spans="1:59" ht="60" x14ac:dyDescent="0.25">
      <c r="A1757" s="2" t="s">
        <v>59</v>
      </c>
      <c r="B1757" s="2" t="s">
        <v>60</v>
      </c>
      <c r="C1757" s="2" t="s">
        <v>15368</v>
      </c>
      <c r="D1757" s="2" t="s">
        <v>15369</v>
      </c>
      <c r="E1757" s="2" t="s">
        <v>15370</v>
      </c>
      <c r="F1757" s="3" t="s">
        <v>61</v>
      </c>
      <c r="G1757" s="3" t="s">
        <v>62</v>
      </c>
      <c r="I1757" s="3" t="s">
        <v>63</v>
      </c>
      <c r="J1757" s="3" t="s">
        <v>63</v>
      </c>
      <c r="K1757" s="3" t="s">
        <v>64</v>
      </c>
      <c r="L1757" s="2" t="s">
        <v>324</v>
      </c>
      <c r="M1757" s="2" t="s">
        <v>15371</v>
      </c>
      <c r="N1757" s="3" t="s">
        <v>300</v>
      </c>
      <c r="P1757" s="3" t="s">
        <v>90</v>
      </c>
      <c r="R1757" s="3" t="s">
        <v>67</v>
      </c>
      <c r="S1757" s="4">
        <v>5</v>
      </c>
      <c r="T1757" s="4">
        <v>5</v>
      </c>
      <c r="U1757" s="5" t="s">
        <v>2404</v>
      </c>
      <c r="V1757" s="5" t="s">
        <v>2404</v>
      </c>
      <c r="W1757" s="5" t="s">
        <v>69</v>
      </c>
      <c r="X1757" s="5" t="s">
        <v>69</v>
      </c>
      <c r="Y1757" s="4">
        <v>47</v>
      </c>
      <c r="Z1757" s="4">
        <v>1</v>
      </c>
      <c r="AA1757" s="4">
        <v>1</v>
      </c>
      <c r="AB1757" s="4">
        <v>1</v>
      </c>
      <c r="AC1757" s="4">
        <v>1</v>
      </c>
      <c r="AD1757" s="4">
        <v>21</v>
      </c>
      <c r="AE1757" s="4">
        <v>21</v>
      </c>
      <c r="AF1757" s="4">
        <v>0</v>
      </c>
      <c r="AG1757" s="4">
        <v>0</v>
      </c>
      <c r="AH1757" s="4">
        <v>21</v>
      </c>
      <c r="AI1757" s="4">
        <v>21</v>
      </c>
      <c r="AJ1757" s="4">
        <v>0</v>
      </c>
      <c r="AK1757" s="4">
        <v>0</v>
      </c>
      <c r="AL1757" s="4">
        <v>15</v>
      </c>
      <c r="AM1757" s="4">
        <v>15</v>
      </c>
      <c r="AN1757" s="4">
        <v>0</v>
      </c>
      <c r="AO1757" s="4">
        <v>0</v>
      </c>
      <c r="AP1757" s="4">
        <v>0</v>
      </c>
      <c r="AQ1757" s="4">
        <v>0</v>
      </c>
      <c r="AR1757" s="3" t="s">
        <v>63</v>
      </c>
      <c r="AS1757" s="3" t="s">
        <v>63</v>
      </c>
      <c r="AT1757" s="3" t="s">
        <v>62</v>
      </c>
      <c r="AU1757" s="6" t="str">
        <f>HYPERLINK("http://catalog.hathitrust.org/Record/001728946","HathiTrust Record")</f>
        <v>HathiTrust Record</v>
      </c>
      <c r="AV1757" s="6" t="str">
        <f>HYPERLINK("http://mcgill.on.worldcat.org/oclc/41284676","Catalog Record")</f>
        <v>Catalog Record</v>
      </c>
      <c r="AW1757" s="6" t="str">
        <f>HYPERLINK("http://www.worldcat.org/oclc/41284676","WorldCat Record")</f>
        <v>WorldCat Record</v>
      </c>
      <c r="AX1757" s="3" t="s">
        <v>15372</v>
      </c>
      <c r="AY1757" s="3" t="s">
        <v>15373</v>
      </c>
      <c r="AZ1757" s="3" t="s">
        <v>15374</v>
      </c>
      <c r="BA1757" s="3" t="s">
        <v>15374</v>
      </c>
      <c r="BB1757" s="3" t="s">
        <v>15375</v>
      </c>
      <c r="BC1757" s="3" t="s">
        <v>82</v>
      </c>
      <c r="BD1757" s="3" t="s">
        <v>70</v>
      </c>
      <c r="BF1757" s="3" t="s">
        <v>15375</v>
      </c>
      <c r="BG1757" s="3" t="s">
        <v>15376</v>
      </c>
    </row>
    <row r="1758" spans="1:59" ht="60" x14ac:dyDescent="0.25">
      <c r="A1758" s="2" t="s">
        <v>59</v>
      </c>
      <c r="B1758" s="2" t="s">
        <v>60</v>
      </c>
      <c r="C1758" s="2" t="s">
        <v>15377</v>
      </c>
      <c r="D1758" s="2" t="s">
        <v>15378</v>
      </c>
      <c r="E1758" s="2" t="s">
        <v>15379</v>
      </c>
      <c r="F1758" s="3" t="s">
        <v>4439</v>
      </c>
      <c r="G1758" s="3" t="s">
        <v>62</v>
      </c>
      <c r="I1758" s="3" t="s">
        <v>63</v>
      </c>
      <c r="J1758" s="3" t="s">
        <v>63</v>
      </c>
      <c r="K1758" s="3" t="s">
        <v>64</v>
      </c>
      <c r="L1758" s="2" t="s">
        <v>324</v>
      </c>
      <c r="M1758" s="2" t="s">
        <v>15380</v>
      </c>
      <c r="N1758" s="3" t="s">
        <v>65</v>
      </c>
      <c r="O1758" s="2" t="s">
        <v>15381</v>
      </c>
      <c r="P1758" s="3" t="s">
        <v>90</v>
      </c>
      <c r="R1758" s="3" t="s">
        <v>67</v>
      </c>
      <c r="S1758" s="4">
        <v>15</v>
      </c>
      <c r="T1758" s="4">
        <v>87</v>
      </c>
      <c r="U1758" s="5" t="s">
        <v>15137</v>
      </c>
      <c r="V1758" s="5" t="s">
        <v>6308</v>
      </c>
      <c r="W1758" s="5" t="s">
        <v>69</v>
      </c>
      <c r="X1758" s="5" t="s">
        <v>69</v>
      </c>
      <c r="Y1758" s="4">
        <v>46</v>
      </c>
      <c r="Z1758" s="4">
        <v>1</v>
      </c>
      <c r="AA1758" s="4">
        <v>3</v>
      </c>
      <c r="AB1758" s="4">
        <v>1</v>
      </c>
      <c r="AC1758" s="4">
        <v>1</v>
      </c>
      <c r="AD1758" s="4">
        <v>25</v>
      </c>
      <c r="AE1758" s="4">
        <v>35</v>
      </c>
      <c r="AF1758" s="4">
        <v>0</v>
      </c>
      <c r="AG1758" s="4">
        <v>0</v>
      </c>
      <c r="AH1758" s="4">
        <v>25</v>
      </c>
      <c r="AI1758" s="4">
        <v>34</v>
      </c>
      <c r="AJ1758" s="4">
        <v>0</v>
      </c>
      <c r="AK1758" s="4">
        <v>2</v>
      </c>
      <c r="AL1758" s="4">
        <v>18</v>
      </c>
      <c r="AM1758" s="4">
        <v>21</v>
      </c>
      <c r="AN1758" s="4">
        <v>0</v>
      </c>
      <c r="AO1758" s="4">
        <v>0</v>
      </c>
      <c r="AP1758" s="4">
        <v>0</v>
      </c>
      <c r="AQ1758" s="4">
        <v>2</v>
      </c>
      <c r="AR1758" s="3" t="s">
        <v>63</v>
      </c>
      <c r="AS1758" s="3" t="s">
        <v>63</v>
      </c>
      <c r="AT1758" s="3" t="s">
        <v>62</v>
      </c>
      <c r="AU1758" s="6" t="str">
        <f>HYPERLINK("http://catalog.hathitrust.org/Record/007018407","HathiTrust Record")</f>
        <v>HathiTrust Record</v>
      </c>
      <c r="AV1758" s="6" t="str">
        <f>HYPERLINK("http://mcgill.on.worldcat.org/oclc/7168468","Catalog Record")</f>
        <v>Catalog Record</v>
      </c>
      <c r="AW1758" s="6" t="str">
        <f>HYPERLINK("http://www.worldcat.org/oclc/7168468","WorldCat Record")</f>
        <v>WorldCat Record</v>
      </c>
      <c r="AX1758" s="3" t="s">
        <v>15382</v>
      </c>
      <c r="AY1758" s="3" t="s">
        <v>15383</v>
      </c>
      <c r="AZ1758" s="3" t="s">
        <v>15384</v>
      </c>
      <c r="BA1758" s="3" t="s">
        <v>15384</v>
      </c>
      <c r="BB1758" s="3" t="s">
        <v>15385</v>
      </c>
      <c r="BC1758" s="3" t="s">
        <v>82</v>
      </c>
      <c r="BD1758" s="3" t="s">
        <v>70</v>
      </c>
      <c r="BF1758" s="3" t="s">
        <v>15385</v>
      </c>
      <c r="BG1758" s="3" t="s">
        <v>15386</v>
      </c>
    </row>
    <row r="1759" spans="1:59" ht="60" x14ac:dyDescent="0.25">
      <c r="A1759" s="2" t="s">
        <v>59</v>
      </c>
      <c r="B1759" s="2" t="s">
        <v>60</v>
      </c>
      <c r="C1759" s="2" t="s">
        <v>15377</v>
      </c>
      <c r="D1759" s="2" t="s">
        <v>15378</v>
      </c>
      <c r="E1759" s="2" t="s">
        <v>15379</v>
      </c>
      <c r="F1759" s="3" t="s">
        <v>4437</v>
      </c>
      <c r="G1759" s="3" t="s">
        <v>62</v>
      </c>
      <c r="I1759" s="3" t="s">
        <v>63</v>
      </c>
      <c r="J1759" s="3" t="s">
        <v>63</v>
      </c>
      <c r="K1759" s="3" t="s">
        <v>64</v>
      </c>
      <c r="L1759" s="2" t="s">
        <v>324</v>
      </c>
      <c r="M1759" s="2" t="s">
        <v>15380</v>
      </c>
      <c r="N1759" s="3" t="s">
        <v>65</v>
      </c>
      <c r="O1759" s="2" t="s">
        <v>15381</v>
      </c>
      <c r="P1759" s="3" t="s">
        <v>90</v>
      </c>
      <c r="R1759" s="3" t="s">
        <v>67</v>
      </c>
      <c r="S1759" s="4">
        <v>5</v>
      </c>
      <c r="T1759" s="4">
        <v>87</v>
      </c>
      <c r="U1759" s="5" t="s">
        <v>15109</v>
      </c>
      <c r="V1759" s="5" t="s">
        <v>6308</v>
      </c>
      <c r="W1759" s="5" t="s">
        <v>69</v>
      </c>
      <c r="X1759" s="5" t="s">
        <v>69</v>
      </c>
      <c r="Y1759" s="4">
        <v>46</v>
      </c>
      <c r="Z1759" s="4">
        <v>1</v>
      </c>
      <c r="AA1759" s="4">
        <v>3</v>
      </c>
      <c r="AB1759" s="4">
        <v>1</v>
      </c>
      <c r="AC1759" s="4">
        <v>1</v>
      </c>
      <c r="AD1759" s="4">
        <v>25</v>
      </c>
      <c r="AE1759" s="4">
        <v>35</v>
      </c>
      <c r="AF1759" s="4">
        <v>0</v>
      </c>
      <c r="AG1759" s="4">
        <v>0</v>
      </c>
      <c r="AH1759" s="4">
        <v>25</v>
      </c>
      <c r="AI1759" s="4">
        <v>34</v>
      </c>
      <c r="AJ1759" s="4">
        <v>0</v>
      </c>
      <c r="AK1759" s="4">
        <v>2</v>
      </c>
      <c r="AL1759" s="4">
        <v>18</v>
      </c>
      <c r="AM1759" s="4">
        <v>21</v>
      </c>
      <c r="AN1759" s="4">
        <v>0</v>
      </c>
      <c r="AO1759" s="4">
        <v>0</v>
      </c>
      <c r="AP1759" s="4">
        <v>0</v>
      </c>
      <c r="AQ1759" s="4">
        <v>2</v>
      </c>
      <c r="AR1759" s="3" t="s">
        <v>63</v>
      </c>
      <c r="AS1759" s="3" t="s">
        <v>63</v>
      </c>
      <c r="AT1759" s="3" t="s">
        <v>62</v>
      </c>
      <c r="AU1759" s="6" t="str">
        <f>HYPERLINK("http://catalog.hathitrust.org/Record/007018407","HathiTrust Record")</f>
        <v>HathiTrust Record</v>
      </c>
      <c r="AV1759" s="6" t="str">
        <f>HYPERLINK("http://mcgill.on.worldcat.org/oclc/7168468","Catalog Record")</f>
        <v>Catalog Record</v>
      </c>
      <c r="AW1759" s="6" t="str">
        <f>HYPERLINK("http://www.worldcat.org/oclc/7168468","WorldCat Record")</f>
        <v>WorldCat Record</v>
      </c>
      <c r="AX1759" s="3" t="s">
        <v>15382</v>
      </c>
      <c r="AY1759" s="3" t="s">
        <v>15383</v>
      </c>
      <c r="AZ1759" s="3" t="s">
        <v>15384</v>
      </c>
      <c r="BA1759" s="3" t="s">
        <v>15384</v>
      </c>
      <c r="BB1759" s="3" t="s">
        <v>15387</v>
      </c>
      <c r="BC1759" s="3" t="s">
        <v>82</v>
      </c>
      <c r="BD1759" s="3" t="s">
        <v>70</v>
      </c>
      <c r="BF1759" s="3" t="s">
        <v>15387</v>
      </c>
      <c r="BG1759" s="3" t="s">
        <v>15388</v>
      </c>
    </row>
    <row r="1760" spans="1:59" ht="60" x14ac:dyDescent="0.25">
      <c r="A1760" s="2" t="s">
        <v>59</v>
      </c>
      <c r="B1760" s="2" t="s">
        <v>60</v>
      </c>
      <c r="C1760" s="2" t="s">
        <v>15377</v>
      </c>
      <c r="D1760" s="2" t="s">
        <v>15378</v>
      </c>
      <c r="E1760" s="2" t="s">
        <v>15379</v>
      </c>
      <c r="F1760" s="3" t="s">
        <v>4032</v>
      </c>
      <c r="G1760" s="3" t="s">
        <v>62</v>
      </c>
      <c r="I1760" s="3" t="s">
        <v>63</v>
      </c>
      <c r="J1760" s="3" t="s">
        <v>63</v>
      </c>
      <c r="K1760" s="3" t="s">
        <v>64</v>
      </c>
      <c r="L1760" s="2" t="s">
        <v>324</v>
      </c>
      <c r="M1760" s="2" t="s">
        <v>15380</v>
      </c>
      <c r="N1760" s="3" t="s">
        <v>65</v>
      </c>
      <c r="O1760" s="2" t="s">
        <v>15381</v>
      </c>
      <c r="P1760" s="3" t="s">
        <v>90</v>
      </c>
      <c r="R1760" s="3" t="s">
        <v>67</v>
      </c>
      <c r="S1760" s="4">
        <v>16</v>
      </c>
      <c r="T1760" s="4">
        <v>87</v>
      </c>
      <c r="U1760" s="5" t="s">
        <v>15137</v>
      </c>
      <c r="V1760" s="5" t="s">
        <v>6308</v>
      </c>
      <c r="W1760" s="5" t="s">
        <v>69</v>
      </c>
      <c r="X1760" s="5" t="s">
        <v>69</v>
      </c>
      <c r="Y1760" s="4">
        <v>46</v>
      </c>
      <c r="Z1760" s="4">
        <v>1</v>
      </c>
      <c r="AA1760" s="4">
        <v>3</v>
      </c>
      <c r="AB1760" s="4">
        <v>1</v>
      </c>
      <c r="AC1760" s="4">
        <v>1</v>
      </c>
      <c r="AD1760" s="4">
        <v>25</v>
      </c>
      <c r="AE1760" s="4">
        <v>35</v>
      </c>
      <c r="AF1760" s="4">
        <v>0</v>
      </c>
      <c r="AG1760" s="4">
        <v>0</v>
      </c>
      <c r="AH1760" s="4">
        <v>25</v>
      </c>
      <c r="AI1760" s="4">
        <v>34</v>
      </c>
      <c r="AJ1760" s="4">
        <v>0</v>
      </c>
      <c r="AK1760" s="4">
        <v>2</v>
      </c>
      <c r="AL1760" s="4">
        <v>18</v>
      </c>
      <c r="AM1760" s="4">
        <v>21</v>
      </c>
      <c r="AN1760" s="4">
        <v>0</v>
      </c>
      <c r="AO1760" s="4">
        <v>0</v>
      </c>
      <c r="AP1760" s="4">
        <v>0</v>
      </c>
      <c r="AQ1760" s="4">
        <v>2</v>
      </c>
      <c r="AR1760" s="3" t="s">
        <v>63</v>
      </c>
      <c r="AS1760" s="3" t="s">
        <v>63</v>
      </c>
      <c r="AT1760" s="3" t="s">
        <v>62</v>
      </c>
      <c r="AU1760" s="6" t="str">
        <f>HYPERLINK("http://catalog.hathitrust.org/Record/007018407","HathiTrust Record")</f>
        <v>HathiTrust Record</v>
      </c>
      <c r="AV1760" s="6" t="str">
        <f>HYPERLINK("http://mcgill.on.worldcat.org/oclc/7168468","Catalog Record")</f>
        <v>Catalog Record</v>
      </c>
      <c r="AW1760" s="6" t="str">
        <f>HYPERLINK("http://www.worldcat.org/oclc/7168468","WorldCat Record")</f>
        <v>WorldCat Record</v>
      </c>
      <c r="AX1760" s="3" t="s">
        <v>15382</v>
      </c>
      <c r="AY1760" s="3" t="s">
        <v>15383</v>
      </c>
      <c r="AZ1760" s="3" t="s">
        <v>15384</v>
      </c>
      <c r="BA1760" s="3" t="s">
        <v>15384</v>
      </c>
      <c r="BB1760" s="3" t="s">
        <v>15389</v>
      </c>
      <c r="BC1760" s="3" t="s">
        <v>82</v>
      </c>
      <c r="BD1760" s="3" t="s">
        <v>70</v>
      </c>
      <c r="BF1760" s="3" t="s">
        <v>15389</v>
      </c>
      <c r="BG1760" s="3" t="s">
        <v>15390</v>
      </c>
    </row>
    <row r="1761" spans="1:59" ht="60" x14ac:dyDescent="0.25">
      <c r="A1761" s="2" t="s">
        <v>59</v>
      </c>
      <c r="B1761" s="2" t="s">
        <v>60</v>
      </c>
      <c r="C1761" s="2" t="s">
        <v>15377</v>
      </c>
      <c r="D1761" s="2" t="s">
        <v>15378</v>
      </c>
      <c r="E1761" s="2" t="s">
        <v>15379</v>
      </c>
      <c r="F1761" s="3" t="s">
        <v>4428</v>
      </c>
      <c r="G1761" s="3" t="s">
        <v>62</v>
      </c>
      <c r="I1761" s="3" t="s">
        <v>63</v>
      </c>
      <c r="J1761" s="3" t="s">
        <v>63</v>
      </c>
      <c r="K1761" s="3" t="s">
        <v>64</v>
      </c>
      <c r="L1761" s="2" t="s">
        <v>324</v>
      </c>
      <c r="M1761" s="2" t="s">
        <v>15380</v>
      </c>
      <c r="N1761" s="3" t="s">
        <v>65</v>
      </c>
      <c r="O1761" s="2" t="s">
        <v>15381</v>
      </c>
      <c r="P1761" s="3" t="s">
        <v>90</v>
      </c>
      <c r="R1761" s="3" t="s">
        <v>67</v>
      </c>
      <c r="S1761" s="4">
        <v>3</v>
      </c>
      <c r="T1761" s="4">
        <v>87</v>
      </c>
      <c r="U1761" s="5" t="s">
        <v>15391</v>
      </c>
      <c r="V1761" s="5" t="s">
        <v>6308</v>
      </c>
      <c r="W1761" s="5" t="s">
        <v>69</v>
      </c>
      <c r="X1761" s="5" t="s">
        <v>69</v>
      </c>
      <c r="Y1761" s="4">
        <v>46</v>
      </c>
      <c r="Z1761" s="4">
        <v>1</v>
      </c>
      <c r="AA1761" s="4">
        <v>3</v>
      </c>
      <c r="AB1761" s="4">
        <v>1</v>
      </c>
      <c r="AC1761" s="4">
        <v>1</v>
      </c>
      <c r="AD1761" s="4">
        <v>25</v>
      </c>
      <c r="AE1761" s="4">
        <v>35</v>
      </c>
      <c r="AF1761" s="4">
        <v>0</v>
      </c>
      <c r="AG1761" s="4">
        <v>0</v>
      </c>
      <c r="AH1761" s="4">
        <v>25</v>
      </c>
      <c r="AI1761" s="4">
        <v>34</v>
      </c>
      <c r="AJ1761" s="4">
        <v>0</v>
      </c>
      <c r="AK1761" s="4">
        <v>2</v>
      </c>
      <c r="AL1761" s="4">
        <v>18</v>
      </c>
      <c r="AM1761" s="4">
        <v>21</v>
      </c>
      <c r="AN1761" s="4">
        <v>0</v>
      </c>
      <c r="AO1761" s="4">
        <v>0</v>
      </c>
      <c r="AP1761" s="4">
        <v>0</v>
      </c>
      <c r="AQ1761" s="4">
        <v>2</v>
      </c>
      <c r="AR1761" s="3" t="s">
        <v>63</v>
      </c>
      <c r="AS1761" s="3" t="s">
        <v>63</v>
      </c>
      <c r="AT1761" s="3" t="s">
        <v>62</v>
      </c>
      <c r="AU1761" s="6" t="str">
        <f>HYPERLINK("http://catalog.hathitrust.org/Record/007018407","HathiTrust Record")</f>
        <v>HathiTrust Record</v>
      </c>
      <c r="AV1761" s="6" t="str">
        <f>HYPERLINK("http://mcgill.on.worldcat.org/oclc/7168468","Catalog Record")</f>
        <v>Catalog Record</v>
      </c>
      <c r="AW1761" s="6" t="str">
        <f>HYPERLINK("http://www.worldcat.org/oclc/7168468","WorldCat Record")</f>
        <v>WorldCat Record</v>
      </c>
      <c r="AX1761" s="3" t="s">
        <v>15382</v>
      </c>
      <c r="AY1761" s="3" t="s">
        <v>15383</v>
      </c>
      <c r="AZ1761" s="3" t="s">
        <v>15384</v>
      </c>
      <c r="BA1761" s="3" t="s">
        <v>15384</v>
      </c>
      <c r="BB1761" s="3" t="s">
        <v>15392</v>
      </c>
      <c r="BC1761" s="3" t="s">
        <v>82</v>
      </c>
      <c r="BD1761" s="3" t="s">
        <v>70</v>
      </c>
      <c r="BF1761" s="3" t="s">
        <v>15392</v>
      </c>
      <c r="BG1761" s="3" t="s">
        <v>15393</v>
      </c>
    </row>
    <row r="1762" spans="1:59" ht="60" x14ac:dyDescent="0.25">
      <c r="A1762" s="2" t="s">
        <v>59</v>
      </c>
      <c r="B1762" s="2" t="s">
        <v>60</v>
      </c>
      <c r="C1762" s="2" t="s">
        <v>15377</v>
      </c>
      <c r="D1762" s="2" t="s">
        <v>15378</v>
      </c>
      <c r="E1762" s="2" t="s">
        <v>15379</v>
      </c>
      <c r="F1762" s="3" t="s">
        <v>4434</v>
      </c>
      <c r="G1762" s="3" t="s">
        <v>62</v>
      </c>
      <c r="I1762" s="3" t="s">
        <v>63</v>
      </c>
      <c r="J1762" s="3" t="s">
        <v>63</v>
      </c>
      <c r="K1762" s="3" t="s">
        <v>64</v>
      </c>
      <c r="L1762" s="2" t="s">
        <v>324</v>
      </c>
      <c r="M1762" s="2" t="s">
        <v>15380</v>
      </c>
      <c r="N1762" s="3" t="s">
        <v>65</v>
      </c>
      <c r="O1762" s="2" t="s">
        <v>15381</v>
      </c>
      <c r="P1762" s="3" t="s">
        <v>90</v>
      </c>
      <c r="R1762" s="3" t="s">
        <v>67</v>
      </c>
      <c r="S1762" s="4">
        <v>0</v>
      </c>
      <c r="T1762" s="4">
        <v>87</v>
      </c>
      <c r="V1762" s="5" t="s">
        <v>6308</v>
      </c>
      <c r="W1762" s="5" t="s">
        <v>69</v>
      </c>
      <c r="X1762" s="5" t="s">
        <v>69</v>
      </c>
      <c r="Y1762" s="4">
        <v>46</v>
      </c>
      <c r="Z1762" s="4">
        <v>1</v>
      </c>
      <c r="AA1762" s="4">
        <v>3</v>
      </c>
      <c r="AB1762" s="4">
        <v>1</v>
      </c>
      <c r="AC1762" s="4">
        <v>1</v>
      </c>
      <c r="AD1762" s="4">
        <v>25</v>
      </c>
      <c r="AE1762" s="4">
        <v>35</v>
      </c>
      <c r="AF1762" s="4">
        <v>0</v>
      </c>
      <c r="AG1762" s="4">
        <v>0</v>
      </c>
      <c r="AH1762" s="4">
        <v>25</v>
      </c>
      <c r="AI1762" s="4">
        <v>34</v>
      </c>
      <c r="AJ1762" s="4">
        <v>0</v>
      </c>
      <c r="AK1762" s="4">
        <v>2</v>
      </c>
      <c r="AL1762" s="4">
        <v>18</v>
      </c>
      <c r="AM1762" s="4">
        <v>21</v>
      </c>
      <c r="AN1762" s="4">
        <v>0</v>
      </c>
      <c r="AO1762" s="4">
        <v>0</v>
      </c>
      <c r="AP1762" s="4">
        <v>0</v>
      </c>
      <c r="AQ1762" s="4">
        <v>2</v>
      </c>
      <c r="AR1762" s="3" t="s">
        <v>63</v>
      </c>
      <c r="AS1762" s="3" t="s">
        <v>63</v>
      </c>
      <c r="AT1762" s="3" t="s">
        <v>62</v>
      </c>
      <c r="AU1762" s="6" t="str">
        <f>HYPERLINK("http://catalog.hathitrust.org/Record/007018407","HathiTrust Record")</f>
        <v>HathiTrust Record</v>
      </c>
      <c r="AV1762" s="6" t="str">
        <f>HYPERLINK("http://mcgill.on.worldcat.org/oclc/7168468","Catalog Record")</f>
        <v>Catalog Record</v>
      </c>
      <c r="AW1762" s="6" t="str">
        <f>HYPERLINK("http://www.worldcat.org/oclc/7168468","WorldCat Record")</f>
        <v>WorldCat Record</v>
      </c>
      <c r="AX1762" s="3" t="s">
        <v>15382</v>
      </c>
      <c r="AY1762" s="3" t="s">
        <v>15383</v>
      </c>
      <c r="AZ1762" s="3" t="s">
        <v>15384</v>
      </c>
      <c r="BA1762" s="3" t="s">
        <v>15384</v>
      </c>
      <c r="BB1762" s="3" t="s">
        <v>15394</v>
      </c>
      <c r="BC1762" s="3" t="s">
        <v>82</v>
      </c>
      <c r="BD1762" s="3" t="s">
        <v>70</v>
      </c>
      <c r="BF1762" s="3" t="s">
        <v>15394</v>
      </c>
      <c r="BG1762" s="3" t="s">
        <v>15395</v>
      </c>
    </row>
    <row r="1763" spans="1:59" ht="60" x14ac:dyDescent="0.25">
      <c r="A1763" s="2" t="s">
        <v>59</v>
      </c>
      <c r="B1763" s="2" t="s">
        <v>60</v>
      </c>
      <c r="C1763" s="2" t="s">
        <v>15377</v>
      </c>
      <c r="D1763" s="2" t="s">
        <v>15378</v>
      </c>
      <c r="E1763" s="2" t="s">
        <v>15379</v>
      </c>
      <c r="F1763" s="3" t="s">
        <v>571</v>
      </c>
      <c r="G1763" s="3" t="s">
        <v>62</v>
      </c>
      <c r="I1763" s="3" t="s">
        <v>63</v>
      </c>
      <c r="J1763" s="3" t="s">
        <v>63</v>
      </c>
      <c r="K1763" s="3" t="s">
        <v>64</v>
      </c>
      <c r="L1763" s="2" t="s">
        <v>324</v>
      </c>
      <c r="M1763" s="2" t="s">
        <v>15380</v>
      </c>
      <c r="N1763" s="3" t="s">
        <v>65</v>
      </c>
      <c r="O1763" s="2" t="s">
        <v>15381</v>
      </c>
      <c r="P1763" s="3" t="s">
        <v>90</v>
      </c>
      <c r="R1763" s="3" t="s">
        <v>67</v>
      </c>
      <c r="S1763" s="4">
        <v>5</v>
      </c>
      <c r="T1763" s="4">
        <v>87</v>
      </c>
      <c r="U1763" s="5" t="s">
        <v>15128</v>
      </c>
      <c r="V1763" s="5" t="s">
        <v>6308</v>
      </c>
      <c r="W1763" s="5" t="s">
        <v>69</v>
      </c>
      <c r="X1763" s="5" t="s">
        <v>69</v>
      </c>
      <c r="Y1763" s="4">
        <v>46</v>
      </c>
      <c r="Z1763" s="4">
        <v>1</v>
      </c>
      <c r="AA1763" s="4">
        <v>3</v>
      </c>
      <c r="AB1763" s="4">
        <v>1</v>
      </c>
      <c r="AC1763" s="4">
        <v>1</v>
      </c>
      <c r="AD1763" s="4">
        <v>25</v>
      </c>
      <c r="AE1763" s="4">
        <v>35</v>
      </c>
      <c r="AF1763" s="4">
        <v>0</v>
      </c>
      <c r="AG1763" s="4">
        <v>0</v>
      </c>
      <c r="AH1763" s="4">
        <v>25</v>
      </c>
      <c r="AI1763" s="4">
        <v>34</v>
      </c>
      <c r="AJ1763" s="4">
        <v>0</v>
      </c>
      <c r="AK1763" s="4">
        <v>2</v>
      </c>
      <c r="AL1763" s="4">
        <v>18</v>
      </c>
      <c r="AM1763" s="4">
        <v>21</v>
      </c>
      <c r="AN1763" s="4">
        <v>0</v>
      </c>
      <c r="AO1763" s="4">
        <v>0</v>
      </c>
      <c r="AP1763" s="4">
        <v>0</v>
      </c>
      <c r="AQ1763" s="4">
        <v>2</v>
      </c>
      <c r="AR1763" s="3" t="s">
        <v>63</v>
      </c>
      <c r="AS1763" s="3" t="s">
        <v>63</v>
      </c>
      <c r="AT1763" s="3" t="s">
        <v>62</v>
      </c>
      <c r="AU1763" s="6" t="str">
        <f>HYPERLINK("http://catalog.hathitrust.org/Record/007018407","HathiTrust Record")</f>
        <v>HathiTrust Record</v>
      </c>
      <c r="AV1763" s="6" t="str">
        <f>HYPERLINK("http://mcgill.on.worldcat.org/oclc/7168468","Catalog Record")</f>
        <v>Catalog Record</v>
      </c>
      <c r="AW1763" s="6" t="str">
        <f>HYPERLINK("http://www.worldcat.org/oclc/7168468","WorldCat Record")</f>
        <v>WorldCat Record</v>
      </c>
      <c r="AX1763" s="3" t="s">
        <v>15382</v>
      </c>
      <c r="AY1763" s="3" t="s">
        <v>15383</v>
      </c>
      <c r="AZ1763" s="3" t="s">
        <v>15384</v>
      </c>
      <c r="BA1763" s="3" t="s">
        <v>15384</v>
      </c>
      <c r="BB1763" s="3" t="s">
        <v>15396</v>
      </c>
      <c r="BC1763" s="3" t="s">
        <v>82</v>
      </c>
      <c r="BD1763" s="3" t="s">
        <v>70</v>
      </c>
      <c r="BF1763" s="3" t="s">
        <v>15396</v>
      </c>
      <c r="BG1763" s="3" t="s">
        <v>15397</v>
      </c>
    </row>
    <row r="1764" spans="1:59" ht="60" x14ac:dyDescent="0.25">
      <c r="A1764" s="2" t="s">
        <v>59</v>
      </c>
      <c r="B1764" s="2" t="s">
        <v>60</v>
      </c>
      <c r="C1764" s="2" t="s">
        <v>15377</v>
      </c>
      <c r="D1764" s="2" t="s">
        <v>15378</v>
      </c>
      <c r="E1764" s="2" t="s">
        <v>15379</v>
      </c>
      <c r="F1764" s="3" t="s">
        <v>4435</v>
      </c>
      <c r="G1764" s="3" t="s">
        <v>62</v>
      </c>
      <c r="I1764" s="3" t="s">
        <v>63</v>
      </c>
      <c r="J1764" s="3" t="s">
        <v>63</v>
      </c>
      <c r="K1764" s="3" t="s">
        <v>64</v>
      </c>
      <c r="L1764" s="2" t="s">
        <v>324</v>
      </c>
      <c r="M1764" s="2" t="s">
        <v>15380</v>
      </c>
      <c r="N1764" s="3" t="s">
        <v>65</v>
      </c>
      <c r="O1764" s="2" t="s">
        <v>15381</v>
      </c>
      <c r="P1764" s="3" t="s">
        <v>90</v>
      </c>
      <c r="R1764" s="3" t="s">
        <v>67</v>
      </c>
      <c r="S1764" s="4">
        <v>31</v>
      </c>
      <c r="T1764" s="4">
        <v>87</v>
      </c>
      <c r="U1764" s="5" t="s">
        <v>6308</v>
      </c>
      <c r="V1764" s="5" t="s">
        <v>6308</v>
      </c>
      <c r="W1764" s="5" t="s">
        <v>69</v>
      </c>
      <c r="X1764" s="5" t="s">
        <v>69</v>
      </c>
      <c r="Y1764" s="4">
        <v>46</v>
      </c>
      <c r="Z1764" s="4">
        <v>1</v>
      </c>
      <c r="AA1764" s="4">
        <v>3</v>
      </c>
      <c r="AB1764" s="4">
        <v>1</v>
      </c>
      <c r="AC1764" s="4">
        <v>1</v>
      </c>
      <c r="AD1764" s="4">
        <v>25</v>
      </c>
      <c r="AE1764" s="4">
        <v>35</v>
      </c>
      <c r="AF1764" s="4">
        <v>0</v>
      </c>
      <c r="AG1764" s="4">
        <v>0</v>
      </c>
      <c r="AH1764" s="4">
        <v>25</v>
      </c>
      <c r="AI1764" s="4">
        <v>34</v>
      </c>
      <c r="AJ1764" s="4">
        <v>0</v>
      </c>
      <c r="AK1764" s="4">
        <v>2</v>
      </c>
      <c r="AL1764" s="4">
        <v>18</v>
      </c>
      <c r="AM1764" s="4">
        <v>21</v>
      </c>
      <c r="AN1764" s="4">
        <v>0</v>
      </c>
      <c r="AO1764" s="4">
        <v>0</v>
      </c>
      <c r="AP1764" s="4">
        <v>0</v>
      </c>
      <c r="AQ1764" s="4">
        <v>2</v>
      </c>
      <c r="AR1764" s="3" t="s">
        <v>63</v>
      </c>
      <c r="AS1764" s="3" t="s">
        <v>63</v>
      </c>
      <c r="AT1764" s="3" t="s">
        <v>62</v>
      </c>
      <c r="AU1764" s="6" t="str">
        <f>HYPERLINK("http://catalog.hathitrust.org/Record/007018407","HathiTrust Record")</f>
        <v>HathiTrust Record</v>
      </c>
      <c r="AV1764" s="6" t="str">
        <f>HYPERLINK("http://mcgill.on.worldcat.org/oclc/7168468","Catalog Record")</f>
        <v>Catalog Record</v>
      </c>
      <c r="AW1764" s="6" t="str">
        <f>HYPERLINK("http://www.worldcat.org/oclc/7168468","WorldCat Record")</f>
        <v>WorldCat Record</v>
      </c>
      <c r="AX1764" s="3" t="s">
        <v>15382</v>
      </c>
      <c r="AY1764" s="3" t="s">
        <v>15383</v>
      </c>
      <c r="AZ1764" s="3" t="s">
        <v>15384</v>
      </c>
      <c r="BA1764" s="3" t="s">
        <v>15384</v>
      </c>
      <c r="BB1764" s="3" t="s">
        <v>15398</v>
      </c>
      <c r="BC1764" s="3" t="s">
        <v>82</v>
      </c>
      <c r="BD1764" s="3" t="s">
        <v>70</v>
      </c>
      <c r="BF1764" s="3" t="s">
        <v>15398</v>
      </c>
      <c r="BG1764" s="3" t="s">
        <v>15399</v>
      </c>
    </row>
    <row r="1765" spans="1:59" ht="60" x14ac:dyDescent="0.25">
      <c r="A1765" s="2" t="s">
        <v>59</v>
      </c>
      <c r="B1765" s="2" t="s">
        <v>60</v>
      </c>
      <c r="C1765" s="2" t="s">
        <v>15377</v>
      </c>
      <c r="D1765" s="2" t="s">
        <v>15378</v>
      </c>
      <c r="E1765" s="2" t="s">
        <v>15379</v>
      </c>
      <c r="F1765" s="3" t="s">
        <v>4432</v>
      </c>
      <c r="G1765" s="3" t="s">
        <v>62</v>
      </c>
      <c r="I1765" s="3" t="s">
        <v>63</v>
      </c>
      <c r="J1765" s="3" t="s">
        <v>63</v>
      </c>
      <c r="K1765" s="3" t="s">
        <v>64</v>
      </c>
      <c r="L1765" s="2" t="s">
        <v>324</v>
      </c>
      <c r="M1765" s="2" t="s">
        <v>15380</v>
      </c>
      <c r="N1765" s="3" t="s">
        <v>65</v>
      </c>
      <c r="O1765" s="2" t="s">
        <v>15381</v>
      </c>
      <c r="P1765" s="3" t="s">
        <v>90</v>
      </c>
      <c r="R1765" s="3" t="s">
        <v>67</v>
      </c>
      <c r="S1765" s="4">
        <v>3</v>
      </c>
      <c r="T1765" s="4">
        <v>87</v>
      </c>
      <c r="U1765" s="5" t="s">
        <v>15148</v>
      </c>
      <c r="V1765" s="5" t="s">
        <v>6308</v>
      </c>
      <c r="W1765" s="5" t="s">
        <v>69</v>
      </c>
      <c r="X1765" s="5" t="s">
        <v>69</v>
      </c>
      <c r="Y1765" s="4">
        <v>46</v>
      </c>
      <c r="Z1765" s="4">
        <v>1</v>
      </c>
      <c r="AA1765" s="4">
        <v>3</v>
      </c>
      <c r="AB1765" s="4">
        <v>1</v>
      </c>
      <c r="AC1765" s="4">
        <v>1</v>
      </c>
      <c r="AD1765" s="4">
        <v>25</v>
      </c>
      <c r="AE1765" s="4">
        <v>35</v>
      </c>
      <c r="AF1765" s="4">
        <v>0</v>
      </c>
      <c r="AG1765" s="4">
        <v>0</v>
      </c>
      <c r="AH1765" s="4">
        <v>25</v>
      </c>
      <c r="AI1765" s="4">
        <v>34</v>
      </c>
      <c r="AJ1765" s="4">
        <v>0</v>
      </c>
      <c r="AK1765" s="4">
        <v>2</v>
      </c>
      <c r="AL1765" s="4">
        <v>18</v>
      </c>
      <c r="AM1765" s="4">
        <v>21</v>
      </c>
      <c r="AN1765" s="4">
        <v>0</v>
      </c>
      <c r="AO1765" s="4">
        <v>0</v>
      </c>
      <c r="AP1765" s="4">
        <v>0</v>
      </c>
      <c r="AQ1765" s="4">
        <v>2</v>
      </c>
      <c r="AR1765" s="3" t="s">
        <v>63</v>
      </c>
      <c r="AS1765" s="3" t="s">
        <v>63</v>
      </c>
      <c r="AT1765" s="3" t="s">
        <v>62</v>
      </c>
      <c r="AU1765" s="6" t="str">
        <f>HYPERLINK("http://catalog.hathitrust.org/Record/007018407","HathiTrust Record")</f>
        <v>HathiTrust Record</v>
      </c>
      <c r="AV1765" s="6" t="str">
        <f>HYPERLINK("http://mcgill.on.worldcat.org/oclc/7168468","Catalog Record")</f>
        <v>Catalog Record</v>
      </c>
      <c r="AW1765" s="6" t="str">
        <f>HYPERLINK("http://www.worldcat.org/oclc/7168468","WorldCat Record")</f>
        <v>WorldCat Record</v>
      </c>
      <c r="AX1765" s="3" t="s">
        <v>15382</v>
      </c>
      <c r="AY1765" s="3" t="s">
        <v>15383</v>
      </c>
      <c r="AZ1765" s="3" t="s">
        <v>15384</v>
      </c>
      <c r="BA1765" s="3" t="s">
        <v>15384</v>
      </c>
      <c r="BB1765" s="3" t="s">
        <v>15400</v>
      </c>
      <c r="BC1765" s="3" t="s">
        <v>82</v>
      </c>
      <c r="BD1765" s="3" t="s">
        <v>70</v>
      </c>
      <c r="BF1765" s="3" t="s">
        <v>15400</v>
      </c>
      <c r="BG1765" s="3" t="s">
        <v>15401</v>
      </c>
    </row>
    <row r="1766" spans="1:59" ht="60" x14ac:dyDescent="0.25">
      <c r="A1766" s="2" t="s">
        <v>59</v>
      </c>
      <c r="B1766" s="2" t="s">
        <v>60</v>
      </c>
      <c r="C1766" s="2" t="s">
        <v>15377</v>
      </c>
      <c r="D1766" s="2" t="s">
        <v>15378</v>
      </c>
      <c r="E1766" s="2" t="s">
        <v>15379</v>
      </c>
      <c r="F1766" s="3" t="s">
        <v>582</v>
      </c>
      <c r="G1766" s="3" t="s">
        <v>62</v>
      </c>
      <c r="I1766" s="3" t="s">
        <v>63</v>
      </c>
      <c r="J1766" s="3" t="s">
        <v>63</v>
      </c>
      <c r="K1766" s="3" t="s">
        <v>64</v>
      </c>
      <c r="L1766" s="2" t="s">
        <v>324</v>
      </c>
      <c r="M1766" s="2" t="s">
        <v>15380</v>
      </c>
      <c r="N1766" s="3" t="s">
        <v>65</v>
      </c>
      <c r="O1766" s="2" t="s">
        <v>15381</v>
      </c>
      <c r="P1766" s="3" t="s">
        <v>90</v>
      </c>
      <c r="R1766" s="3" t="s">
        <v>67</v>
      </c>
      <c r="S1766" s="4">
        <v>6</v>
      </c>
      <c r="T1766" s="4">
        <v>87</v>
      </c>
      <c r="U1766" s="5" t="s">
        <v>15128</v>
      </c>
      <c r="V1766" s="5" t="s">
        <v>6308</v>
      </c>
      <c r="W1766" s="5" t="s">
        <v>69</v>
      </c>
      <c r="X1766" s="5" t="s">
        <v>69</v>
      </c>
      <c r="Y1766" s="4">
        <v>46</v>
      </c>
      <c r="Z1766" s="4">
        <v>1</v>
      </c>
      <c r="AA1766" s="4">
        <v>3</v>
      </c>
      <c r="AB1766" s="4">
        <v>1</v>
      </c>
      <c r="AC1766" s="4">
        <v>1</v>
      </c>
      <c r="AD1766" s="4">
        <v>25</v>
      </c>
      <c r="AE1766" s="4">
        <v>35</v>
      </c>
      <c r="AF1766" s="4">
        <v>0</v>
      </c>
      <c r="AG1766" s="4">
        <v>0</v>
      </c>
      <c r="AH1766" s="4">
        <v>25</v>
      </c>
      <c r="AI1766" s="4">
        <v>34</v>
      </c>
      <c r="AJ1766" s="4">
        <v>0</v>
      </c>
      <c r="AK1766" s="4">
        <v>2</v>
      </c>
      <c r="AL1766" s="4">
        <v>18</v>
      </c>
      <c r="AM1766" s="4">
        <v>21</v>
      </c>
      <c r="AN1766" s="4">
        <v>0</v>
      </c>
      <c r="AO1766" s="4">
        <v>0</v>
      </c>
      <c r="AP1766" s="4">
        <v>0</v>
      </c>
      <c r="AQ1766" s="4">
        <v>2</v>
      </c>
      <c r="AR1766" s="3" t="s">
        <v>63</v>
      </c>
      <c r="AS1766" s="3" t="s">
        <v>63</v>
      </c>
      <c r="AT1766" s="3" t="s">
        <v>62</v>
      </c>
      <c r="AU1766" s="6" t="str">
        <f>HYPERLINK("http://catalog.hathitrust.org/Record/007018407","HathiTrust Record")</f>
        <v>HathiTrust Record</v>
      </c>
      <c r="AV1766" s="6" t="str">
        <f>HYPERLINK("http://mcgill.on.worldcat.org/oclc/7168468","Catalog Record")</f>
        <v>Catalog Record</v>
      </c>
      <c r="AW1766" s="6" t="str">
        <f>HYPERLINK("http://www.worldcat.org/oclc/7168468","WorldCat Record")</f>
        <v>WorldCat Record</v>
      </c>
      <c r="AX1766" s="3" t="s">
        <v>15382</v>
      </c>
      <c r="AY1766" s="3" t="s">
        <v>15383</v>
      </c>
      <c r="AZ1766" s="3" t="s">
        <v>15384</v>
      </c>
      <c r="BA1766" s="3" t="s">
        <v>15384</v>
      </c>
      <c r="BB1766" s="3" t="s">
        <v>15402</v>
      </c>
      <c r="BC1766" s="3" t="s">
        <v>82</v>
      </c>
      <c r="BD1766" s="3" t="s">
        <v>70</v>
      </c>
      <c r="BF1766" s="3" t="s">
        <v>15402</v>
      </c>
      <c r="BG1766" s="3" t="s">
        <v>15403</v>
      </c>
    </row>
    <row r="1767" spans="1:59" ht="60" x14ac:dyDescent="0.25">
      <c r="A1767" s="2" t="s">
        <v>59</v>
      </c>
      <c r="B1767" s="2" t="s">
        <v>60</v>
      </c>
      <c r="C1767" s="2" t="s">
        <v>15377</v>
      </c>
      <c r="D1767" s="2" t="s">
        <v>15378</v>
      </c>
      <c r="E1767" s="2" t="s">
        <v>15379</v>
      </c>
      <c r="F1767" s="3" t="s">
        <v>9085</v>
      </c>
      <c r="G1767" s="3" t="s">
        <v>62</v>
      </c>
      <c r="I1767" s="3" t="s">
        <v>63</v>
      </c>
      <c r="J1767" s="3" t="s">
        <v>63</v>
      </c>
      <c r="K1767" s="3" t="s">
        <v>64</v>
      </c>
      <c r="L1767" s="2" t="s">
        <v>324</v>
      </c>
      <c r="M1767" s="2" t="s">
        <v>15380</v>
      </c>
      <c r="N1767" s="3" t="s">
        <v>65</v>
      </c>
      <c r="O1767" s="2" t="s">
        <v>15381</v>
      </c>
      <c r="P1767" s="3" t="s">
        <v>90</v>
      </c>
      <c r="R1767" s="3" t="s">
        <v>67</v>
      </c>
      <c r="S1767" s="4">
        <v>3</v>
      </c>
      <c r="T1767" s="4">
        <v>87</v>
      </c>
      <c r="U1767" s="5" t="s">
        <v>15404</v>
      </c>
      <c r="V1767" s="5" t="s">
        <v>6308</v>
      </c>
      <c r="W1767" s="5" t="s">
        <v>69</v>
      </c>
      <c r="X1767" s="5" t="s">
        <v>69</v>
      </c>
      <c r="Y1767" s="4">
        <v>46</v>
      </c>
      <c r="Z1767" s="4">
        <v>1</v>
      </c>
      <c r="AA1767" s="4">
        <v>3</v>
      </c>
      <c r="AB1767" s="4">
        <v>1</v>
      </c>
      <c r="AC1767" s="4">
        <v>1</v>
      </c>
      <c r="AD1767" s="4">
        <v>25</v>
      </c>
      <c r="AE1767" s="4">
        <v>35</v>
      </c>
      <c r="AF1767" s="4">
        <v>0</v>
      </c>
      <c r="AG1767" s="4">
        <v>0</v>
      </c>
      <c r="AH1767" s="4">
        <v>25</v>
      </c>
      <c r="AI1767" s="4">
        <v>34</v>
      </c>
      <c r="AJ1767" s="4">
        <v>0</v>
      </c>
      <c r="AK1767" s="4">
        <v>2</v>
      </c>
      <c r="AL1767" s="4">
        <v>18</v>
      </c>
      <c r="AM1767" s="4">
        <v>21</v>
      </c>
      <c r="AN1767" s="4">
        <v>0</v>
      </c>
      <c r="AO1767" s="4">
        <v>0</v>
      </c>
      <c r="AP1767" s="4">
        <v>0</v>
      </c>
      <c r="AQ1767" s="4">
        <v>2</v>
      </c>
      <c r="AR1767" s="3" t="s">
        <v>63</v>
      </c>
      <c r="AS1767" s="3" t="s">
        <v>63</v>
      </c>
      <c r="AT1767" s="3" t="s">
        <v>62</v>
      </c>
      <c r="AU1767" s="6" t="str">
        <f>HYPERLINK("http://catalog.hathitrust.org/Record/007018407","HathiTrust Record")</f>
        <v>HathiTrust Record</v>
      </c>
      <c r="AV1767" s="6" t="str">
        <f>HYPERLINK("http://mcgill.on.worldcat.org/oclc/7168468","Catalog Record")</f>
        <v>Catalog Record</v>
      </c>
      <c r="AW1767" s="6" t="str">
        <f>HYPERLINK("http://www.worldcat.org/oclc/7168468","WorldCat Record")</f>
        <v>WorldCat Record</v>
      </c>
      <c r="AX1767" s="3" t="s">
        <v>15382</v>
      </c>
      <c r="AY1767" s="3" t="s">
        <v>15383</v>
      </c>
      <c r="AZ1767" s="3" t="s">
        <v>15384</v>
      </c>
      <c r="BA1767" s="3" t="s">
        <v>15384</v>
      </c>
      <c r="BB1767" s="3" t="s">
        <v>15405</v>
      </c>
      <c r="BC1767" s="3" t="s">
        <v>82</v>
      </c>
      <c r="BD1767" s="3" t="s">
        <v>70</v>
      </c>
      <c r="BF1767" s="3" t="s">
        <v>15405</v>
      </c>
      <c r="BG1767" s="3" t="s">
        <v>15406</v>
      </c>
    </row>
    <row r="1768" spans="1:59" ht="60" x14ac:dyDescent="0.25">
      <c r="A1768" s="2" t="s">
        <v>59</v>
      </c>
      <c r="B1768" s="2" t="s">
        <v>60</v>
      </c>
      <c r="C1768" s="2" t="s">
        <v>15418</v>
      </c>
      <c r="D1768" s="2" t="s">
        <v>15408</v>
      </c>
      <c r="E1768" s="2" t="s">
        <v>15409</v>
      </c>
      <c r="F1768" s="3" t="s">
        <v>15419</v>
      </c>
      <c r="G1768" s="3" t="s">
        <v>62</v>
      </c>
      <c r="I1768" s="3" t="s">
        <v>63</v>
      </c>
      <c r="J1768" s="3" t="s">
        <v>63</v>
      </c>
      <c r="K1768" s="3" t="s">
        <v>64</v>
      </c>
      <c r="L1768" s="2" t="s">
        <v>15410</v>
      </c>
      <c r="M1768" s="2" t="s">
        <v>15411</v>
      </c>
      <c r="N1768" s="3" t="s">
        <v>274</v>
      </c>
      <c r="P1768" s="3" t="s">
        <v>90</v>
      </c>
      <c r="R1768" s="3" t="s">
        <v>67</v>
      </c>
      <c r="S1768" s="4">
        <v>1</v>
      </c>
      <c r="T1768" s="4">
        <v>1</v>
      </c>
      <c r="U1768" s="5" t="s">
        <v>5024</v>
      </c>
      <c r="V1768" s="5" t="s">
        <v>5024</v>
      </c>
      <c r="W1768" s="5" t="s">
        <v>69</v>
      </c>
      <c r="X1768" s="5" t="s">
        <v>69</v>
      </c>
      <c r="Y1768" s="4">
        <v>67</v>
      </c>
      <c r="Z1768" s="4">
        <v>6</v>
      </c>
      <c r="AA1768" s="4">
        <v>6</v>
      </c>
      <c r="AB1768" s="4">
        <v>1</v>
      </c>
      <c r="AC1768" s="4">
        <v>1</v>
      </c>
      <c r="AD1768" s="4">
        <v>44</v>
      </c>
      <c r="AE1768" s="4">
        <v>44</v>
      </c>
      <c r="AF1768" s="4">
        <v>0</v>
      </c>
      <c r="AG1768" s="4">
        <v>0</v>
      </c>
      <c r="AH1768" s="4">
        <v>42</v>
      </c>
      <c r="AI1768" s="4">
        <v>42</v>
      </c>
      <c r="AJ1768" s="4">
        <v>4</v>
      </c>
      <c r="AK1768" s="4">
        <v>4</v>
      </c>
      <c r="AL1768" s="4">
        <v>32</v>
      </c>
      <c r="AM1768" s="4">
        <v>32</v>
      </c>
      <c r="AN1768" s="4">
        <v>0</v>
      </c>
      <c r="AO1768" s="4">
        <v>0</v>
      </c>
      <c r="AP1768" s="4">
        <v>4</v>
      </c>
      <c r="AQ1768" s="4">
        <v>4</v>
      </c>
      <c r="AR1768" s="3" t="s">
        <v>63</v>
      </c>
      <c r="AS1768" s="3" t="s">
        <v>63</v>
      </c>
      <c r="AT1768" s="3" t="s">
        <v>62</v>
      </c>
      <c r="AU1768" s="6" t="str">
        <f>HYPERLINK("http://catalog.hathitrust.org/Record/004049698","HathiTrust Record")</f>
        <v>HathiTrust Record</v>
      </c>
      <c r="AV1768" s="6" t="str">
        <f>HYPERLINK("http://mcgill.on.worldcat.org/oclc/42663908","Catalog Record")</f>
        <v>Catalog Record</v>
      </c>
      <c r="AW1768" s="6" t="str">
        <f>HYPERLINK("http://www.worldcat.org/oclc/42663908","WorldCat Record")</f>
        <v>WorldCat Record</v>
      </c>
      <c r="AX1768" s="3" t="s">
        <v>15412</v>
      </c>
      <c r="AY1768" s="3" t="s">
        <v>15413</v>
      </c>
      <c r="AZ1768" s="3" t="s">
        <v>15414</v>
      </c>
      <c r="BA1768" s="3" t="s">
        <v>15414</v>
      </c>
      <c r="BB1768" s="3" t="s">
        <v>15420</v>
      </c>
      <c r="BC1768" s="3" t="s">
        <v>82</v>
      </c>
      <c r="BD1768" s="3" t="s">
        <v>70</v>
      </c>
      <c r="BE1768" s="3" t="s">
        <v>15416</v>
      </c>
      <c r="BF1768" s="3" t="s">
        <v>15420</v>
      </c>
      <c r="BG1768" s="3" t="s">
        <v>15421</v>
      </c>
    </row>
    <row r="1769" spans="1:59" ht="60" x14ac:dyDescent="0.25">
      <c r="A1769" s="2" t="s">
        <v>59</v>
      </c>
      <c r="B1769" s="2" t="s">
        <v>60</v>
      </c>
      <c r="C1769" s="2" t="s">
        <v>15418</v>
      </c>
      <c r="D1769" s="2" t="s">
        <v>15408</v>
      </c>
      <c r="E1769" s="2" t="s">
        <v>15409</v>
      </c>
      <c r="F1769" s="3" t="s">
        <v>15422</v>
      </c>
      <c r="G1769" s="3" t="s">
        <v>62</v>
      </c>
      <c r="I1769" s="3" t="s">
        <v>63</v>
      </c>
      <c r="J1769" s="3" t="s">
        <v>63</v>
      </c>
      <c r="K1769" s="3" t="s">
        <v>64</v>
      </c>
      <c r="L1769" s="2" t="s">
        <v>15410</v>
      </c>
      <c r="M1769" s="2" t="s">
        <v>15411</v>
      </c>
      <c r="N1769" s="3" t="s">
        <v>274</v>
      </c>
      <c r="P1769" s="3" t="s">
        <v>90</v>
      </c>
      <c r="R1769" s="3" t="s">
        <v>67</v>
      </c>
      <c r="S1769" s="4">
        <v>0</v>
      </c>
      <c r="T1769" s="4">
        <v>1</v>
      </c>
      <c r="V1769" s="5" t="s">
        <v>5024</v>
      </c>
      <c r="W1769" s="5" t="s">
        <v>69</v>
      </c>
      <c r="X1769" s="5" t="s">
        <v>69</v>
      </c>
      <c r="Y1769" s="4">
        <v>67</v>
      </c>
      <c r="Z1769" s="4">
        <v>6</v>
      </c>
      <c r="AA1769" s="4">
        <v>6</v>
      </c>
      <c r="AB1769" s="4">
        <v>1</v>
      </c>
      <c r="AC1769" s="4">
        <v>1</v>
      </c>
      <c r="AD1769" s="4">
        <v>44</v>
      </c>
      <c r="AE1769" s="4">
        <v>44</v>
      </c>
      <c r="AF1769" s="4">
        <v>0</v>
      </c>
      <c r="AG1769" s="4">
        <v>0</v>
      </c>
      <c r="AH1769" s="4">
        <v>42</v>
      </c>
      <c r="AI1769" s="4">
        <v>42</v>
      </c>
      <c r="AJ1769" s="4">
        <v>4</v>
      </c>
      <c r="AK1769" s="4">
        <v>4</v>
      </c>
      <c r="AL1769" s="4">
        <v>32</v>
      </c>
      <c r="AM1769" s="4">
        <v>32</v>
      </c>
      <c r="AN1769" s="4">
        <v>0</v>
      </c>
      <c r="AO1769" s="4">
        <v>0</v>
      </c>
      <c r="AP1769" s="4">
        <v>4</v>
      </c>
      <c r="AQ1769" s="4">
        <v>4</v>
      </c>
      <c r="AR1769" s="3" t="s">
        <v>63</v>
      </c>
      <c r="AS1769" s="3" t="s">
        <v>63</v>
      </c>
      <c r="AT1769" s="3" t="s">
        <v>62</v>
      </c>
      <c r="AU1769" s="6" t="str">
        <f>HYPERLINK("http://catalog.hathitrust.org/Record/004049698","HathiTrust Record")</f>
        <v>HathiTrust Record</v>
      </c>
      <c r="AV1769" s="6" t="str">
        <f>HYPERLINK("http://mcgill.on.worldcat.org/oclc/42663908","Catalog Record")</f>
        <v>Catalog Record</v>
      </c>
      <c r="AW1769" s="6" t="str">
        <f>HYPERLINK("http://www.worldcat.org/oclc/42663908","WorldCat Record")</f>
        <v>WorldCat Record</v>
      </c>
      <c r="AX1769" s="3" t="s">
        <v>15412</v>
      </c>
      <c r="AY1769" s="3" t="s">
        <v>15413</v>
      </c>
      <c r="AZ1769" s="3" t="s">
        <v>15414</v>
      </c>
      <c r="BA1769" s="3" t="s">
        <v>15414</v>
      </c>
      <c r="BB1769" s="3" t="s">
        <v>15423</v>
      </c>
      <c r="BC1769" s="3" t="s">
        <v>82</v>
      </c>
      <c r="BD1769" s="3" t="s">
        <v>70</v>
      </c>
      <c r="BE1769" s="3" t="s">
        <v>15416</v>
      </c>
      <c r="BF1769" s="3" t="s">
        <v>15423</v>
      </c>
      <c r="BG1769" s="3" t="s">
        <v>15424</v>
      </c>
    </row>
    <row r="1770" spans="1:59" ht="60" x14ac:dyDescent="0.25">
      <c r="A1770" s="2" t="s">
        <v>59</v>
      </c>
      <c r="B1770" s="2" t="s">
        <v>60</v>
      </c>
      <c r="C1770" s="2" t="s">
        <v>15436</v>
      </c>
      <c r="D1770" s="2" t="s">
        <v>15426</v>
      </c>
      <c r="E1770" s="2" t="s">
        <v>15427</v>
      </c>
      <c r="F1770" s="3" t="s">
        <v>15437</v>
      </c>
      <c r="G1770" s="3" t="s">
        <v>62</v>
      </c>
      <c r="I1770" s="3" t="s">
        <v>62</v>
      </c>
      <c r="J1770" s="3" t="s">
        <v>63</v>
      </c>
      <c r="K1770" s="3" t="s">
        <v>64</v>
      </c>
      <c r="L1770" s="2" t="s">
        <v>15410</v>
      </c>
      <c r="M1770" s="2" t="s">
        <v>15428</v>
      </c>
      <c r="N1770" s="3" t="s">
        <v>261</v>
      </c>
      <c r="P1770" s="3" t="s">
        <v>90</v>
      </c>
      <c r="R1770" s="3" t="s">
        <v>67</v>
      </c>
      <c r="S1770" s="4">
        <v>1</v>
      </c>
      <c r="T1770" s="4">
        <v>1</v>
      </c>
      <c r="U1770" s="5" t="s">
        <v>15429</v>
      </c>
      <c r="V1770" s="5" t="s">
        <v>15429</v>
      </c>
      <c r="W1770" s="5" t="s">
        <v>69</v>
      </c>
      <c r="X1770" s="5" t="s">
        <v>69</v>
      </c>
      <c r="Y1770" s="4">
        <v>63</v>
      </c>
      <c r="Z1770" s="4">
        <v>1</v>
      </c>
      <c r="AA1770" s="4">
        <v>2</v>
      </c>
      <c r="AB1770" s="4">
        <v>1</v>
      </c>
      <c r="AC1770" s="4">
        <v>1</v>
      </c>
      <c r="AD1770" s="4">
        <v>37</v>
      </c>
      <c r="AE1770" s="4">
        <v>38</v>
      </c>
      <c r="AF1770" s="4">
        <v>0</v>
      </c>
      <c r="AG1770" s="4">
        <v>0</v>
      </c>
      <c r="AH1770" s="4">
        <v>36</v>
      </c>
      <c r="AI1770" s="4">
        <v>37</v>
      </c>
      <c r="AJ1770" s="4">
        <v>0</v>
      </c>
      <c r="AK1770" s="4">
        <v>1</v>
      </c>
      <c r="AL1770" s="4">
        <v>31</v>
      </c>
      <c r="AM1770" s="4">
        <v>31</v>
      </c>
      <c r="AN1770" s="4">
        <v>0</v>
      </c>
      <c r="AO1770" s="4">
        <v>0</v>
      </c>
      <c r="AP1770" s="4">
        <v>0</v>
      </c>
      <c r="AQ1770" s="4">
        <v>1</v>
      </c>
      <c r="AR1770" s="3" t="s">
        <v>63</v>
      </c>
      <c r="AS1770" s="3" t="s">
        <v>63</v>
      </c>
      <c r="AT1770" s="3" t="s">
        <v>62</v>
      </c>
      <c r="AU1770" s="6" t="str">
        <f>HYPERLINK("http://catalog.hathitrust.org/Record/008561630","HathiTrust Record")</f>
        <v>HathiTrust Record</v>
      </c>
      <c r="AV1770" s="6" t="str">
        <f>HYPERLINK("http://mcgill.on.worldcat.org/oclc/164826591","Catalog Record")</f>
        <v>Catalog Record</v>
      </c>
      <c r="AW1770" s="6" t="str">
        <f>HYPERLINK("http://www.worldcat.org/oclc/164826591","WorldCat Record")</f>
        <v>WorldCat Record</v>
      </c>
      <c r="AX1770" s="3" t="s">
        <v>15430</v>
      </c>
      <c r="AY1770" s="3" t="s">
        <v>15431</v>
      </c>
      <c r="AZ1770" s="3" t="s">
        <v>15432</v>
      </c>
      <c r="BA1770" s="3" t="s">
        <v>15432</v>
      </c>
      <c r="BB1770" s="3" t="s">
        <v>15438</v>
      </c>
      <c r="BC1770" s="3" t="s">
        <v>82</v>
      </c>
      <c r="BD1770" s="3" t="s">
        <v>70</v>
      </c>
      <c r="BE1770" s="3" t="s">
        <v>15434</v>
      </c>
      <c r="BF1770" s="3" t="s">
        <v>15438</v>
      </c>
      <c r="BG1770" s="3" t="s">
        <v>15439</v>
      </c>
    </row>
    <row r="1771" spans="1:59" ht="60" x14ac:dyDescent="0.25">
      <c r="A1771" s="2" t="s">
        <v>59</v>
      </c>
      <c r="B1771" s="2" t="s">
        <v>60</v>
      </c>
      <c r="C1771" s="2" t="s">
        <v>15440</v>
      </c>
      <c r="D1771" s="2" t="s">
        <v>15441</v>
      </c>
      <c r="E1771" s="2" t="s">
        <v>15442</v>
      </c>
      <c r="G1771" s="3" t="s">
        <v>63</v>
      </c>
      <c r="I1771" s="3" t="s">
        <v>63</v>
      </c>
      <c r="J1771" s="3" t="s">
        <v>63</v>
      </c>
      <c r="K1771" s="3" t="s">
        <v>64</v>
      </c>
      <c r="L1771" s="2" t="s">
        <v>15410</v>
      </c>
      <c r="M1771" s="2" t="s">
        <v>15443</v>
      </c>
      <c r="N1771" s="3" t="s">
        <v>326</v>
      </c>
      <c r="P1771" s="3" t="s">
        <v>90</v>
      </c>
      <c r="Q1771" s="2" t="s">
        <v>14498</v>
      </c>
      <c r="R1771" s="3" t="s">
        <v>67</v>
      </c>
      <c r="S1771" s="4">
        <v>5</v>
      </c>
      <c r="T1771" s="4">
        <v>5</v>
      </c>
      <c r="U1771" s="5" t="s">
        <v>15444</v>
      </c>
      <c r="V1771" s="5" t="s">
        <v>15444</v>
      </c>
      <c r="W1771" s="5" t="s">
        <v>69</v>
      </c>
      <c r="X1771" s="5" t="s">
        <v>69</v>
      </c>
      <c r="Y1771" s="4">
        <v>2</v>
      </c>
      <c r="Z1771" s="4">
        <v>2</v>
      </c>
      <c r="AA1771" s="4">
        <v>6</v>
      </c>
      <c r="AB1771" s="4">
        <v>2</v>
      </c>
      <c r="AC1771" s="4">
        <v>2</v>
      </c>
      <c r="AD1771" s="4">
        <v>0</v>
      </c>
      <c r="AE1771" s="4">
        <v>15</v>
      </c>
      <c r="AF1771" s="4">
        <v>0</v>
      </c>
      <c r="AG1771" s="4">
        <v>0</v>
      </c>
      <c r="AH1771" s="4">
        <v>0</v>
      </c>
      <c r="AI1771" s="4">
        <v>14</v>
      </c>
      <c r="AJ1771" s="4">
        <v>0</v>
      </c>
      <c r="AK1771" s="4">
        <v>3</v>
      </c>
      <c r="AL1771" s="4">
        <v>0</v>
      </c>
      <c r="AM1771" s="4">
        <v>8</v>
      </c>
      <c r="AN1771" s="4">
        <v>0</v>
      </c>
      <c r="AO1771" s="4">
        <v>0</v>
      </c>
      <c r="AP1771" s="4">
        <v>0</v>
      </c>
      <c r="AQ1771" s="4">
        <v>3</v>
      </c>
      <c r="AR1771" s="3" t="s">
        <v>63</v>
      </c>
      <c r="AS1771" s="3" t="s">
        <v>63</v>
      </c>
      <c r="AT1771" s="3" t="s">
        <v>63</v>
      </c>
      <c r="AV1771" s="6" t="str">
        <f>HYPERLINK("http://mcgill.on.worldcat.org/oclc/1050869982","Catalog Record")</f>
        <v>Catalog Record</v>
      </c>
      <c r="AW1771" s="6" t="str">
        <f>HYPERLINK("http://www.worldcat.org/oclc/1050869982","WorldCat Record")</f>
        <v>WorldCat Record</v>
      </c>
      <c r="AX1771" s="3" t="s">
        <v>15445</v>
      </c>
      <c r="AY1771" s="3" t="s">
        <v>15446</v>
      </c>
      <c r="AZ1771" s="3" t="s">
        <v>15447</v>
      </c>
      <c r="BA1771" s="3" t="s">
        <v>15447</v>
      </c>
      <c r="BB1771" s="3" t="s">
        <v>15448</v>
      </c>
      <c r="BC1771" s="3" t="s">
        <v>82</v>
      </c>
      <c r="BD1771" s="3" t="s">
        <v>538</v>
      </c>
      <c r="BE1771" s="3" t="s">
        <v>15449</v>
      </c>
      <c r="BF1771" s="3" t="s">
        <v>15448</v>
      </c>
      <c r="BG1771" s="3" t="s">
        <v>15450</v>
      </c>
    </row>
    <row r="1772" spans="1:59" ht="60" x14ac:dyDescent="0.25">
      <c r="A1772" s="2" t="s">
        <v>59</v>
      </c>
      <c r="B1772" s="2" t="s">
        <v>60</v>
      </c>
      <c r="C1772" s="2" t="s">
        <v>15451</v>
      </c>
      <c r="D1772" s="2" t="s">
        <v>15452</v>
      </c>
      <c r="E1772" s="2" t="s">
        <v>15453</v>
      </c>
      <c r="F1772" s="3" t="s">
        <v>1095</v>
      </c>
      <c r="G1772" s="3" t="s">
        <v>62</v>
      </c>
      <c r="I1772" s="3" t="s">
        <v>63</v>
      </c>
      <c r="J1772" s="3" t="s">
        <v>63</v>
      </c>
      <c r="K1772" s="3" t="s">
        <v>64</v>
      </c>
      <c r="L1772" s="2" t="s">
        <v>324</v>
      </c>
      <c r="M1772" s="2" t="s">
        <v>15454</v>
      </c>
      <c r="N1772" s="3" t="s">
        <v>9103</v>
      </c>
      <c r="P1772" s="3" t="s">
        <v>90</v>
      </c>
      <c r="R1772" s="3" t="s">
        <v>67</v>
      </c>
      <c r="S1772" s="4">
        <v>2</v>
      </c>
      <c r="T1772" s="4">
        <v>6</v>
      </c>
      <c r="U1772" s="5" t="s">
        <v>15455</v>
      </c>
      <c r="V1772" s="5" t="s">
        <v>15456</v>
      </c>
      <c r="W1772" s="5" t="s">
        <v>69</v>
      </c>
      <c r="X1772" s="5" t="s">
        <v>69</v>
      </c>
      <c r="Y1772" s="4">
        <v>1</v>
      </c>
      <c r="Z1772" s="4">
        <v>1</v>
      </c>
      <c r="AA1772" s="4">
        <v>11</v>
      </c>
      <c r="AB1772" s="4">
        <v>1</v>
      </c>
      <c r="AC1772" s="4">
        <v>1</v>
      </c>
      <c r="AD1772" s="4">
        <v>0</v>
      </c>
      <c r="AE1772" s="4">
        <v>44</v>
      </c>
      <c r="AF1772" s="4">
        <v>0</v>
      </c>
      <c r="AG1772" s="4">
        <v>0</v>
      </c>
      <c r="AH1772" s="4">
        <v>0</v>
      </c>
      <c r="AI1772" s="4">
        <v>38</v>
      </c>
      <c r="AJ1772" s="4">
        <v>0</v>
      </c>
      <c r="AK1772" s="4">
        <v>8</v>
      </c>
      <c r="AL1772" s="4">
        <v>0</v>
      </c>
      <c r="AM1772" s="4">
        <v>29</v>
      </c>
      <c r="AN1772" s="4">
        <v>0</v>
      </c>
      <c r="AO1772" s="4">
        <v>0</v>
      </c>
      <c r="AP1772" s="4">
        <v>0</v>
      </c>
      <c r="AQ1772" s="4">
        <v>7</v>
      </c>
      <c r="AR1772" s="3" t="s">
        <v>63</v>
      </c>
      <c r="AS1772" s="3" t="s">
        <v>63</v>
      </c>
      <c r="AT1772" s="3" t="s">
        <v>63</v>
      </c>
      <c r="AV1772" s="6" t="str">
        <f>HYPERLINK("http://mcgill.on.worldcat.org/oclc/427251129","Catalog Record")</f>
        <v>Catalog Record</v>
      </c>
      <c r="AW1772" s="6" t="str">
        <f>HYPERLINK("http://www.worldcat.org/oclc/427251129","WorldCat Record")</f>
        <v>WorldCat Record</v>
      </c>
      <c r="AX1772" s="3" t="s">
        <v>15457</v>
      </c>
      <c r="AY1772" s="3" t="s">
        <v>15458</v>
      </c>
      <c r="AZ1772" s="3" t="s">
        <v>15459</v>
      </c>
      <c r="BA1772" s="3" t="s">
        <v>15459</v>
      </c>
      <c r="BB1772" s="3" t="s">
        <v>15460</v>
      </c>
      <c r="BC1772" s="3" t="s">
        <v>82</v>
      </c>
      <c r="BD1772" s="3" t="s">
        <v>70</v>
      </c>
      <c r="BF1772" s="3" t="s">
        <v>15460</v>
      </c>
      <c r="BG1772" s="3" t="s">
        <v>15461</v>
      </c>
    </row>
    <row r="1773" spans="1:59" ht="60" x14ac:dyDescent="0.25">
      <c r="A1773" s="2" t="s">
        <v>59</v>
      </c>
      <c r="B1773" s="2" t="s">
        <v>60</v>
      </c>
      <c r="C1773" s="2" t="s">
        <v>15451</v>
      </c>
      <c r="D1773" s="2" t="s">
        <v>15452</v>
      </c>
      <c r="E1773" s="2" t="s">
        <v>15453</v>
      </c>
      <c r="F1773" s="3" t="s">
        <v>1379</v>
      </c>
      <c r="G1773" s="3" t="s">
        <v>62</v>
      </c>
      <c r="I1773" s="3" t="s">
        <v>63</v>
      </c>
      <c r="J1773" s="3" t="s">
        <v>63</v>
      </c>
      <c r="K1773" s="3" t="s">
        <v>64</v>
      </c>
      <c r="L1773" s="2" t="s">
        <v>324</v>
      </c>
      <c r="M1773" s="2" t="s">
        <v>15454</v>
      </c>
      <c r="N1773" s="3" t="s">
        <v>9103</v>
      </c>
      <c r="P1773" s="3" t="s">
        <v>90</v>
      </c>
      <c r="R1773" s="3" t="s">
        <v>67</v>
      </c>
      <c r="S1773" s="4">
        <v>2</v>
      </c>
      <c r="T1773" s="4">
        <v>6</v>
      </c>
      <c r="U1773" s="5" t="s">
        <v>15456</v>
      </c>
      <c r="V1773" s="5" t="s">
        <v>15456</v>
      </c>
      <c r="W1773" s="5" t="s">
        <v>69</v>
      </c>
      <c r="X1773" s="5" t="s">
        <v>69</v>
      </c>
      <c r="Y1773" s="4">
        <v>1</v>
      </c>
      <c r="Z1773" s="4">
        <v>1</v>
      </c>
      <c r="AA1773" s="4">
        <v>11</v>
      </c>
      <c r="AB1773" s="4">
        <v>1</v>
      </c>
      <c r="AC1773" s="4">
        <v>1</v>
      </c>
      <c r="AD1773" s="4">
        <v>0</v>
      </c>
      <c r="AE1773" s="4">
        <v>44</v>
      </c>
      <c r="AF1773" s="4">
        <v>0</v>
      </c>
      <c r="AG1773" s="4">
        <v>0</v>
      </c>
      <c r="AH1773" s="4">
        <v>0</v>
      </c>
      <c r="AI1773" s="4">
        <v>38</v>
      </c>
      <c r="AJ1773" s="4">
        <v>0</v>
      </c>
      <c r="AK1773" s="4">
        <v>8</v>
      </c>
      <c r="AL1773" s="4">
        <v>0</v>
      </c>
      <c r="AM1773" s="4">
        <v>29</v>
      </c>
      <c r="AN1773" s="4">
        <v>0</v>
      </c>
      <c r="AO1773" s="4">
        <v>0</v>
      </c>
      <c r="AP1773" s="4">
        <v>0</v>
      </c>
      <c r="AQ1773" s="4">
        <v>7</v>
      </c>
      <c r="AR1773" s="3" t="s">
        <v>63</v>
      </c>
      <c r="AS1773" s="3" t="s">
        <v>63</v>
      </c>
      <c r="AT1773" s="3" t="s">
        <v>63</v>
      </c>
      <c r="AV1773" s="6" t="str">
        <f>HYPERLINK("http://mcgill.on.worldcat.org/oclc/427251129","Catalog Record")</f>
        <v>Catalog Record</v>
      </c>
      <c r="AW1773" s="6" t="str">
        <f>HYPERLINK("http://www.worldcat.org/oclc/427251129","WorldCat Record")</f>
        <v>WorldCat Record</v>
      </c>
      <c r="AX1773" s="3" t="s">
        <v>15457</v>
      </c>
      <c r="AY1773" s="3" t="s">
        <v>15458</v>
      </c>
      <c r="AZ1773" s="3" t="s">
        <v>15459</v>
      </c>
      <c r="BA1773" s="3" t="s">
        <v>15459</v>
      </c>
      <c r="BB1773" s="3" t="s">
        <v>15462</v>
      </c>
      <c r="BC1773" s="3" t="s">
        <v>82</v>
      </c>
      <c r="BD1773" s="3" t="s">
        <v>70</v>
      </c>
      <c r="BF1773" s="3" t="s">
        <v>15462</v>
      </c>
      <c r="BG1773" s="3" t="s">
        <v>15463</v>
      </c>
    </row>
    <row r="1774" spans="1:59" ht="60" x14ac:dyDescent="0.25">
      <c r="A1774" s="2" t="s">
        <v>59</v>
      </c>
      <c r="B1774" s="2" t="s">
        <v>60</v>
      </c>
      <c r="C1774" s="2" t="s">
        <v>15451</v>
      </c>
      <c r="D1774" s="2" t="s">
        <v>15452</v>
      </c>
      <c r="E1774" s="2" t="s">
        <v>15453</v>
      </c>
      <c r="F1774" s="3" t="s">
        <v>61</v>
      </c>
      <c r="G1774" s="3" t="s">
        <v>62</v>
      </c>
      <c r="I1774" s="3" t="s">
        <v>63</v>
      </c>
      <c r="J1774" s="3" t="s">
        <v>63</v>
      </c>
      <c r="K1774" s="3" t="s">
        <v>64</v>
      </c>
      <c r="L1774" s="2" t="s">
        <v>324</v>
      </c>
      <c r="M1774" s="2" t="s">
        <v>15454</v>
      </c>
      <c r="N1774" s="3" t="s">
        <v>9103</v>
      </c>
      <c r="P1774" s="3" t="s">
        <v>90</v>
      </c>
      <c r="R1774" s="3" t="s">
        <v>67</v>
      </c>
      <c r="S1774" s="4">
        <v>2</v>
      </c>
      <c r="T1774" s="4">
        <v>6</v>
      </c>
      <c r="U1774" s="5" t="s">
        <v>15455</v>
      </c>
      <c r="V1774" s="5" t="s">
        <v>15456</v>
      </c>
      <c r="W1774" s="5" t="s">
        <v>69</v>
      </c>
      <c r="X1774" s="5" t="s">
        <v>69</v>
      </c>
      <c r="Y1774" s="4">
        <v>1</v>
      </c>
      <c r="Z1774" s="4">
        <v>1</v>
      </c>
      <c r="AA1774" s="4">
        <v>11</v>
      </c>
      <c r="AB1774" s="4">
        <v>1</v>
      </c>
      <c r="AC1774" s="4">
        <v>1</v>
      </c>
      <c r="AD1774" s="4">
        <v>0</v>
      </c>
      <c r="AE1774" s="4">
        <v>44</v>
      </c>
      <c r="AF1774" s="4">
        <v>0</v>
      </c>
      <c r="AG1774" s="4">
        <v>0</v>
      </c>
      <c r="AH1774" s="4">
        <v>0</v>
      </c>
      <c r="AI1774" s="4">
        <v>38</v>
      </c>
      <c r="AJ1774" s="4">
        <v>0</v>
      </c>
      <c r="AK1774" s="4">
        <v>8</v>
      </c>
      <c r="AL1774" s="4">
        <v>0</v>
      </c>
      <c r="AM1774" s="4">
        <v>29</v>
      </c>
      <c r="AN1774" s="4">
        <v>0</v>
      </c>
      <c r="AO1774" s="4">
        <v>0</v>
      </c>
      <c r="AP1774" s="4">
        <v>0</v>
      </c>
      <c r="AQ1774" s="4">
        <v>7</v>
      </c>
      <c r="AR1774" s="3" t="s">
        <v>63</v>
      </c>
      <c r="AS1774" s="3" t="s">
        <v>63</v>
      </c>
      <c r="AT1774" s="3" t="s">
        <v>63</v>
      </c>
      <c r="AV1774" s="6" t="str">
        <f>HYPERLINK("http://mcgill.on.worldcat.org/oclc/427251129","Catalog Record")</f>
        <v>Catalog Record</v>
      </c>
      <c r="AW1774" s="6" t="str">
        <f>HYPERLINK("http://www.worldcat.org/oclc/427251129","WorldCat Record")</f>
        <v>WorldCat Record</v>
      </c>
      <c r="AX1774" s="3" t="s">
        <v>15457</v>
      </c>
      <c r="AY1774" s="3" t="s">
        <v>15458</v>
      </c>
      <c r="AZ1774" s="3" t="s">
        <v>15459</v>
      </c>
      <c r="BA1774" s="3" t="s">
        <v>15459</v>
      </c>
      <c r="BB1774" s="3" t="s">
        <v>15464</v>
      </c>
      <c r="BC1774" s="3" t="s">
        <v>82</v>
      </c>
      <c r="BD1774" s="3" t="s">
        <v>70</v>
      </c>
      <c r="BF1774" s="3" t="s">
        <v>15464</v>
      </c>
      <c r="BG1774" s="3" t="s">
        <v>15465</v>
      </c>
    </row>
    <row r="1775" spans="1:59" ht="75" x14ac:dyDescent="0.25">
      <c r="A1775" s="2" t="s">
        <v>59</v>
      </c>
      <c r="B1775" s="2" t="s">
        <v>60</v>
      </c>
      <c r="C1775" s="2" t="s">
        <v>15466</v>
      </c>
      <c r="D1775" s="2" t="s">
        <v>15467</v>
      </c>
      <c r="E1775" s="2" t="s">
        <v>15468</v>
      </c>
      <c r="G1775" s="3" t="s">
        <v>63</v>
      </c>
      <c r="I1775" s="3" t="s">
        <v>63</v>
      </c>
      <c r="J1775" s="3" t="s">
        <v>63</v>
      </c>
      <c r="K1775" s="3" t="s">
        <v>64</v>
      </c>
      <c r="L1775" s="2" t="s">
        <v>324</v>
      </c>
      <c r="M1775" s="2" t="s">
        <v>15469</v>
      </c>
      <c r="N1775" s="3" t="s">
        <v>261</v>
      </c>
      <c r="P1775" s="3" t="s">
        <v>90</v>
      </c>
      <c r="Q1775" s="2" t="s">
        <v>15470</v>
      </c>
      <c r="R1775" s="3" t="s">
        <v>67</v>
      </c>
      <c r="S1775" s="4">
        <v>3</v>
      </c>
      <c r="T1775" s="4">
        <v>3</v>
      </c>
      <c r="U1775" s="5" t="s">
        <v>15471</v>
      </c>
      <c r="V1775" s="5" t="s">
        <v>15471</v>
      </c>
      <c r="W1775" s="5" t="s">
        <v>69</v>
      </c>
      <c r="X1775" s="5" t="s">
        <v>69</v>
      </c>
      <c r="Y1775" s="4">
        <v>1</v>
      </c>
      <c r="Z1775" s="4">
        <v>1</v>
      </c>
      <c r="AA1775" s="4">
        <v>2</v>
      </c>
      <c r="AB1775" s="4">
        <v>1</v>
      </c>
      <c r="AC1775" s="4">
        <v>1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3" t="s">
        <v>63</v>
      </c>
      <c r="AS1775" s="3" t="s">
        <v>63</v>
      </c>
      <c r="AT1775" s="3" t="s">
        <v>63</v>
      </c>
      <c r="AV1775" s="6" t="str">
        <f>HYPERLINK("http://mcgill.on.worldcat.org/oclc/427861981","Catalog Record")</f>
        <v>Catalog Record</v>
      </c>
      <c r="AW1775" s="6" t="str">
        <f>HYPERLINK("http://www.worldcat.org/oclc/427861981","WorldCat Record")</f>
        <v>WorldCat Record</v>
      </c>
      <c r="AX1775" s="3" t="s">
        <v>15472</v>
      </c>
      <c r="AY1775" s="3" t="s">
        <v>15473</v>
      </c>
      <c r="AZ1775" s="3" t="s">
        <v>15474</v>
      </c>
      <c r="BA1775" s="3" t="s">
        <v>15474</v>
      </c>
      <c r="BB1775" s="3" t="s">
        <v>15475</v>
      </c>
      <c r="BC1775" s="3" t="s">
        <v>82</v>
      </c>
      <c r="BD1775" s="3" t="s">
        <v>70</v>
      </c>
      <c r="BE1775" s="3" t="s">
        <v>15476</v>
      </c>
      <c r="BF1775" s="3" t="s">
        <v>15475</v>
      </c>
      <c r="BG1775" s="3" t="s">
        <v>15477</v>
      </c>
    </row>
    <row r="1776" spans="1:59" ht="60" x14ac:dyDescent="0.25">
      <c r="A1776" s="2" t="s">
        <v>59</v>
      </c>
      <c r="B1776" s="2" t="s">
        <v>60</v>
      </c>
      <c r="C1776" s="2" t="s">
        <v>15478</v>
      </c>
      <c r="D1776" s="2" t="s">
        <v>15479</v>
      </c>
      <c r="E1776" s="2" t="s">
        <v>15480</v>
      </c>
      <c r="G1776" s="3" t="s">
        <v>63</v>
      </c>
      <c r="I1776" s="3" t="s">
        <v>63</v>
      </c>
      <c r="J1776" s="3" t="s">
        <v>63</v>
      </c>
      <c r="K1776" s="3" t="s">
        <v>64</v>
      </c>
      <c r="L1776" s="2" t="s">
        <v>324</v>
      </c>
      <c r="M1776" s="2" t="s">
        <v>15481</v>
      </c>
      <c r="N1776" s="3" t="s">
        <v>455</v>
      </c>
      <c r="P1776" s="3" t="s">
        <v>90</v>
      </c>
      <c r="Q1776" s="2" t="s">
        <v>15482</v>
      </c>
      <c r="R1776" s="3" t="s">
        <v>67</v>
      </c>
      <c r="S1776" s="4">
        <v>9</v>
      </c>
      <c r="T1776" s="4">
        <v>9</v>
      </c>
      <c r="U1776" s="5" t="s">
        <v>15471</v>
      </c>
      <c r="V1776" s="5" t="s">
        <v>15471</v>
      </c>
      <c r="W1776" s="5" t="s">
        <v>69</v>
      </c>
      <c r="X1776" s="5" t="s">
        <v>69</v>
      </c>
      <c r="Y1776" s="4">
        <v>24</v>
      </c>
      <c r="Z1776" s="4">
        <v>1</v>
      </c>
      <c r="AA1776" s="4">
        <v>1</v>
      </c>
      <c r="AB1776" s="4">
        <v>1</v>
      </c>
      <c r="AC1776" s="4">
        <v>1</v>
      </c>
      <c r="AD1776" s="4">
        <v>16</v>
      </c>
      <c r="AE1776" s="4">
        <v>16</v>
      </c>
      <c r="AF1776" s="4">
        <v>0</v>
      </c>
      <c r="AG1776" s="4">
        <v>0</v>
      </c>
      <c r="AH1776" s="4">
        <v>16</v>
      </c>
      <c r="AI1776" s="4">
        <v>16</v>
      </c>
      <c r="AJ1776" s="4">
        <v>0</v>
      </c>
      <c r="AK1776" s="4">
        <v>0</v>
      </c>
      <c r="AL1776" s="4">
        <v>14</v>
      </c>
      <c r="AM1776" s="4">
        <v>14</v>
      </c>
      <c r="AN1776" s="4">
        <v>0</v>
      </c>
      <c r="AO1776" s="4">
        <v>0</v>
      </c>
      <c r="AP1776" s="4">
        <v>0</v>
      </c>
      <c r="AQ1776" s="4">
        <v>0</v>
      </c>
      <c r="AR1776" s="3" t="s">
        <v>63</v>
      </c>
      <c r="AS1776" s="3" t="s">
        <v>63</v>
      </c>
      <c r="AT1776" s="3" t="s">
        <v>62</v>
      </c>
      <c r="AU1776" s="6" t="str">
        <f>HYPERLINK("http://catalog.hathitrust.org/Record/000818160","HathiTrust Record")</f>
        <v>HathiTrust Record</v>
      </c>
      <c r="AV1776" s="6" t="str">
        <f>HYPERLINK("http://mcgill.on.worldcat.org/oclc/12491332","Catalog Record")</f>
        <v>Catalog Record</v>
      </c>
      <c r="AW1776" s="6" t="str">
        <f>HYPERLINK("http://www.worldcat.org/oclc/12491332","WorldCat Record")</f>
        <v>WorldCat Record</v>
      </c>
      <c r="AX1776" s="3" t="s">
        <v>15483</v>
      </c>
      <c r="AY1776" s="3" t="s">
        <v>15484</v>
      </c>
      <c r="AZ1776" s="3" t="s">
        <v>15485</v>
      </c>
      <c r="BA1776" s="3" t="s">
        <v>15485</v>
      </c>
      <c r="BB1776" s="3" t="s">
        <v>15486</v>
      </c>
      <c r="BC1776" s="3" t="s">
        <v>82</v>
      </c>
      <c r="BD1776" s="3" t="s">
        <v>70</v>
      </c>
      <c r="BF1776" s="3" t="s">
        <v>15486</v>
      </c>
      <c r="BG1776" s="3" t="s">
        <v>15487</v>
      </c>
    </row>
    <row r="1777" spans="1:59" ht="60" x14ac:dyDescent="0.25">
      <c r="A1777" s="2" t="s">
        <v>59</v>
      </c>
      <c r="B1777" s="2" t="s">
        <v>60</v>
      </c>
      <c r="C1777" s="2" t="s">
        <v>15488</v>
      </c>
      <c r="D1777" s="2" t="s">
        <v>15489</v>
      </c>
      <c r="E1777" s="2" t="s">
        <v>15490</v>
      </c>
      <c r="G1777" s="3" t="s">
        <v>63</v>
      </c>
      <c r="I1777" s="3" t="s">
        <v>63</v>
      </c>
      <c r="J1777" s="3" t="s">
        <v>63</v>
      </c>
      <c r="K1777" s="3" t="s">
        <v>64</v>
      </c>
      <c r="L1777" s="2" t="s">
        <v>324</v>
      </c>
      <c r="M1777" s="2" t="s">
        <v>15491</v>
      </c>
      <c r="N1777" s="3" t="s">
        <v>2225</v>
      </c>
      <c r="P1777" s="3" t="s">
        <v>90</v>
      </c>
      <c r="Q1777" s="2" t="s">
        <v>15492</v>
      </c>
      <c r="R1777" s="3" t="s">
        <v>67</v>
      </c>
      <c r="S1777" s="4">
        <v>3</v>
      </c>
      <c r="T1777" s="4">
        <v>3</v>
      </c>
      <c r="U1777" s="5" t="s">
        <v>2227</v>
      </c>
      <c r="V1777" s="5" t="s">
        <v>2227</v>
      </c>
      <c r="W1777" s="5" t="s">
        <v>69</v>
      </c>
      <c r="X1777" s="5" t="s">
        <v>69</v>
      </c>
      <c r="Y1777" s="4">
        <v>83</v>
      </c>
      <c r="Z1777" s="4">
        <v>11</v>
      </c>
      <c r="AA1777" s="4">
        <v>20</v>
      </c>
      <c r="AB1777" s="4">
        <v>1</v>
      </c>
      <c r="AC1777" s="4">
        <v>2</v>
      </c>
      <c r="AD1777" s="4">
        <v>28</v>
      </c>
      <c r="AE1777" s="4">
        <v>70</v>
      </c>
      <c r="AF1777" s="4">
        <v>0</v>
      </c>
      <c r="AG1777" s="4">
        <v>0</v>
      </c>
      <c r="AH1777" s="4">
        <v>22</v>
      </c>
      <c r="AI1777" s="4">
        <v>61</v>
      </c>
      <c r="AJ1777" s="4">
        <v>8</v>
      </c>
      <c r="AK1777" s="4">
        <v>14</v>
      </c>
      <c r="AL1777" s="4">
        <v>15</v>
      </c>
      <c r="AM1777" s="4">
        <v>36</v>
      </c>
      <c r="AN1777" s="4">
        <v>0</v>
      </c>
      <c r="AO1777" s="4">
        <v>2</v>
      </c>
      <c r="AP1777" s="4">
        <v>8</v>
      </c>
      <c r="AQ1777" s="4">
        <v>15</v>
      </c>
      <c r="AR1777" s="3" t="s">
        <v>63</v>
      </c>
      <c r="AS1777" s="3" t="s">
        <v>63</v>
      </c>
      <c r="AT1777" s="3" t="s">
        <v>62</v>
      </c>
      <c r="AU1777" s="6" t="str">
        <f>HYPERLINK("http://catalog.hathitrust.org/Record/001728957","HathiTrust Record")</f>
        <v>HathiTrust Record</v>
      </c>
      <c r="AV1777" s="6" t="str">
        <f>HYPERLINK("http://mcgill.on.worldcat.org/oclc/9767940","Catalog Record")</f>
        <v>Catalog Record</v>
      </c>
      <c r="AW1777" s="6" t="str">
        <f>HYPERLINK("http://www.worldcat.org/oclc/9767940","WorldCat Record")</f>
        <v>WorldCat Record</v>
      </c>
      <c r="AX1777" s="3" t="s">
        <v>15493</v>
      </c>
      <c r="AY1777" s="3" t="s">
        <v>15494</v>
      </c>
      <c r="AZ1777" s="3" t="s">
        <v>15495</v>
      </c>
      <c r="BA1777" s="3" t="s">
        <v>15495</v>
      </c>
      <c r="BB1777" s="3" t="s">
        <v>15496</v>
      </c>
      <c r="BC1777" s="3" t="s">
        <v>82</v>
      </c>
      <c r="BD1777" s="3" t="s">
        <v>70</v>
      </c>
      <c r="BF1777" s="3" t="s">
        <v>15496</v>
      </c>
      <c r="BG1777" s="3" t="s">
        <v>15497</v>
      </c>
    </row>
    <row r="1778" spans="1:59" ht="60" x14ac:dyDescent="0.25">
      <c r="A1778" s="2" t="s">
        <v>59</v>
      </c>
      <c r="B1778" s="2" t="s">
        <v>60</v>
      </c>
      <c r="C1778" s="2" t="s">
        <v>15498</v>
      </c>
      <c r="D1778" s="2" t="s">
        <v>15499</v>
      </c>
      <c r="E1778" s="2" t="s">
        <v>15500</v>
      </c>
      <c r="G1778" s="3" t="s">
        <v>63</v>
      </c>
      <c r="I1778" s="3" t="s">
        <v>63</v>
      </c>
      <c r="J1778" s="3" t="s">
        <v>63</v>
      </c>
      <c r="K1778" s="3" t="s">
        <v>64</v>
      </c>
      <c r="L1778" s="2" t="s">
        <v>324</v>
      </c>
      <c r="M1778" s="2" t="s">
        <v>15501</v>
      </c>
      <c r="N1778" s="3" t="s">
        <v>681</v>
      </c>
      <c r="P1778" s="3" t="s">
        <v>66</v>
      </c>
      <c r="Q1778" s="2" t="s">
        <v>2705</v>
      </c>
      <c r="R1778" s="3" t="s">
        <v>67</v>
      </c>
      <c r="S1778" s="4">
        <v>14</v>
      </c>
      <c r="T1778" s="4">
        <v>14</v>
      </c>
      <c r="U1778" s="5" t="s">
        <v>15502</v>
      </c>
      <c r="V1778" s="5" t="s">
        <v>15502</v>
      </c>
      <c r="W1778" s="5" t="s">
        <v>69</v>
      </c>
      <c r="X1778" s="5" t="s">
        <v>69</v>
      </c>
      <c r="Y1778" s="4">
        <v>1</v>
      </c>
      <c r="Z1778" s="4">
        <v>1</v>
      </c>
      <c r="AA1778" s="4">
        <v>16</v>
      </c>
      <c r="AB1778" s="4">
        <v>1</v>
      </c>
      <c r="AC1778" s="4">
        <v>3</v>
      </c>
      <c r="AD1778" s="4">
        <v>0</v>
      </c>
      <c r="AE1778" s="4">
        <v>60</v>
      </c>
      <c r="AF1778" s="4">
        <v>0</v>
      </c>
      <c r="AG1778" s="4">
        <v>1</v>
      </c>
      <c r="AH1778" s="4">
        <v>0</v>
      </c>
      <c r="AI1778" s="4">
        <v>52</v>
      </c>
      <c r="AJ1778" s="4">
        <v>0</v>
      </c>
      <c r="AK1778" s="4">
        <v>10</v>
      </c>
      <c r="AL1778" s="4">
        <v>0</v>
      </c>
      <c r="AM1778" s="4">
        <v>31</v>
      </c>
      <c r="AN1778" s="4">
        <v>0</v>
      </c>
      <c r="AO1778" s="4">
        <v>1</v>
      </c>
      <c r="AP1778" s="4">
        <v>0</v>
      </c>
      <c r="AQ1778" s="4">
        <v>10</v>
      </c>
      <c r="AR1778" s="3" t="s">
        <v>63</v>
      </c>
      <c r="AS1778" s="3" t="s">
        <v>63</v>
      </c>
      <c r="AT1778" s="3" t="s">
        <v>63</v>
      </c>
      <c r="AV1778" s="6" t="str">
        <f>HYPERLINK("http://mcgill.on.worldcat.org/oclc/427205105","Catalog Record")</f>
        <v>Catalog Record</v>
      </c>
      <c r="AW1778" s="6" t="str">
        <f>HYPERLINK("http://www.worldcat.org/oclc/427205105","WorldCat Record")</f>
        <v>WorldCat Record</v>
      </c>
      <c r="AX1778" s="3" t="s">
        <v>15503</v>
      </c>
      <c r="AY1778" s="3" t="s">
        <v>15504</v>
      </c>
      <c r="AZ1778" s="3" t="s">
        <v>15505</v>
      </c>
      <c r="BA1778" s="3" t="s">
        <v>15505</v>
      </c>
      <c r="BB1778" s="3" t="s">
        <v>15506</v>
      </c>
      <c r="BC1778" s="3" t="s">
        <v>82</v>
      </c>
      <c r="BD1778" s="3" t="s">
        <v>70</v>
      </c>
      <c r="BF1778" s="3" t="s">
        <v>15506</v>
      </c>
      <c r="BG1778" s="3" t="s">
        <v>15507</v>
      </c>
    </row>
    <row r="1779" spans="1:59" ht="60" x14ac:dyDescent="0.25">
      <c r="A1779" s="2" t="s">
        <v>59</v>
      </c>
      <c r="B1779" s="2" t="s">
        <v>60</v>
      </c>
      <c r="C1779" s="2" t="s">
        <v>15508</v>
      </c>
      <c r="D1779" s="2" t="s">
        <v>15509</v>
      </c>
      <c r="E1779" s="2" t="s">
        <v>15510</v>
      </c>
      <c r="G1779" s="3" t="s">
        <v>63</v>
      </c>
      <c r="I1779" s="3" t="s">
        <v>63</v>
      </c>
      <c r="J1779" s="3" t="s">
        <v>62</v>
      </c>
      <c r="K1779" s="3" t="s">
        <v>64</v>
      </c>
      <c r="L1779" s="2" t="s">
        <v>324</v>
      </c>
      <c r="M1779" s="2" t="s">
        <v>15511</v>
      </c>
      <c r="N1779" s="3" t="s">
        <v>2459</v>
      </c>
      <c r="P1779" s="3" t="s">
        <v>90</v>
      </c>
      <c r="Q1779" s="2" t="s">
        <v>15512</v>
      </c>
      <c r="R1779" s="3" t="s">
        <v>67</v>
      </c>
      <c r="S1779" s="4">
        <v>1</v>
      </c>
      <c r="T1779" s="4">
        <v>1</v>
      </c>
      <c r="U1779" s="5" t="s">
        <v>10793</v>
      </c>
      <c r="V1779" s="5" t="s">
        <v>10793</v>
      </c>
      <c r="W1779" s="5" t="s">
        <v>69</v>
      </c>
      <c r="X1779" s="5" t="s">
        <v>69</v>
      </c>
      <c r="Y1779" s="4">
        <v>45</v>
      </c>
      <c r="Z1779" s="4">
        <v>2</v>
      </c>
      <c r="AA1779" s="4">
        <v>17</v>
      </c>
      <c r="AB1779" s="4">
        <v>1</v>
      </c>
      <c r="AC1779" s="4">
        <v>3</v>
      </c>
      <c r="AD1779" s="4">
        <v>17</v>
      </c>
      <c r="AE1779" s="4">
        <v>97</v>
      </c>
      <c r="AF1779" s="4">
        <v>0</v>
      </c>
      <c r="AG1779" s="4">
        <v>1</v>
      </c>
      <c r="AH1779" s="4">
        <v>16</v>
      </c>
      <c r="AI1779" s="4">
        <v>87</v>
      </c>
      <c r="AJ1779" s="4">
        <v>1</v>
      </c>
      <c r="AK1779" s="4">
        <v>8</v>
      </c>
      <c r="AL1779" s="4">
        <v>13</v>
      </c>
      <c r="AM1779" s="4">
        <v>51</v>
      </c>
      <c r="AN1779" s="4">
        <v>0</v>
      </c>
      <c r="AO1779" s="4">
        <v>0</v>
      </c>
      <c r="AP1779" s="4">
        <v>1</v>
      </c>
      <c r="AQ1779" s="4">
        <v>12</v>
      </c>
      <c r="AR1779" s="3" t="s">
        <v>63</v>
      </c>
      <c r="AS1779" s="3" t="s">
        <v>63</v>
      </c>
      <c r="AT1779" s="3" t="s">
        <v>62</v>
      </c>
      <c r="AU1779" s="6" t="str">
        <f>HYPERLINK("http://catalog.hathitrust.org/Record/008561630","HathiTrust Record")</f>
        <v>HathiTrust Record</v>
      </c>
      <c r="AV1779" s="6" t="str">
        <f>HYPERLINK("http://mcgill.on.worldcat.org/oclc/225876096","Catalog Record")</f>
        <v>Catalog Record</v>
      </c>
      <c r="AW1779" s="6" t="str">
        <f>HYPERLINK("http://www.worldcat.org/oclc/225876096","WorldCat Record")</f>
        <v>WorldCat Record</v>
      </c>
      <c r="AX1779" s="3" t="s">
        <v>15513</v>
      </c>
      <c r="AY1779" s="3" t="s">
        <v>15514</v>
      </c>
      <c r="AZ1779" s="3" t="s">
        <v>15515</v>
      </c>
      <c r="BA1779" s="3" t="s">
        <v>15515</v>
      </c>
      <c r="BB1779" s="3" t="s">
        <v>15516</v>
      </c>
      <c r="BC1779" s="3" t="s">
        <v>82</v>
      </c>
      <c r="BD1779" s="3" t="s">
        <v>70</v>
      </c>
      <c r="BE1779" s="3" t="s">
        <v>15517</v>
      </c>
      <c r="BF1779" s="3" t="s">
        <v>15516</v>
      </c>
      <c r="BG1779" s="3" t="s">
        <v>15518</v>
      </c>
    </row>
    <row r="1780" spans="1:59" ht="60" x14ac:dyDescent="0.25">
      <c r="A1780" s="2" t="s">
        <v>59</v>
      </c>
      <c r="B1780" s="2" t="s">
        <v>60</v>
      </c>
      <c r="C1780" s="2" t="s">
        <v>15519</v>
      </c>
      <c r="D1780" s="2" t="s">
        <v>15520</v>
      </c>
      <c r="E1780" s="2" t="s">
        <v>15521</v>
      </c>
      <c r="G1780" s="3" t="s">
        <v>63</v>
      </c>
      <c r="I1780" s="3" t="s">
        <v>63</v>
      </c>
      <c r="J1780" s="3" t="s">
        <v>63</v>
      </c>
      <c r="K1780" s="3" t="s">
        <v>64</v>
      </c>
      <c r="L1780" s="2" t="s">
        <v>15522</v>
      </c>
      <c r="M1780" s="2" t="s">
        <v>5305</v>
      </c>
      <c r="N1780" s="3" t="s">
        <v>693</v>
      </c>
      <c r="P1780" s="3" t="s">
        <v>66</v>
      </c>
      <c r="Q1780" s="2" t="s">
        <v>3902</v>
      </c>
      <c r="R1780" s="3" t="s">
        <v>67</v>
      </c>
      <c r="S1780" s="4">
        <v>10</v>
      </c>
      <c r="T1780" s="4">
        <v>10</v>
      </c>
      <c r="U1780" s="5" t="s">
        <v>11266</v>
      </c>
      <c r="V1780" s="5" t="s">
        <v>11266</v>
      </c>
      <c r="W1780" s="5" t="s">
        <v>69</v>
      </c>
      <c r="X1780" s="5" t="s">
        <v>69</v>
      </c>
      <c r="Y1780" s="4">
        <v>167</v>
      </c>
      <c r="Z1780" s="4">
        <v>13</v>
      </c>
      <c r="AA1780" s="4">
        <v>19</v>
      </c>
      <c r="AB1780" s="4">
        <v>1</v>
      </c>
      <c r="AC1780" s="4">
        <v>5</v>
      </c>
      <c r="AD1780" s="4">
        <v>80</v>
      </c>
      <c r="AE1780" s="4">
        <v>88</v>
      </c>
      <c r="AF1780" s="4">
        <v>0</v>
      </c>
      <c r="AG1780" s="4">
        <v>1</v>
      </c>
      <c r="AH1780" s="4">
        <v>74</v>
      </c>
      <c r="AI1780" s="4">
        <v>80</v>
      </c>
      <c r="AJ1780" s="4">
        <v>11</v>
      </c>
      <c r="AK1780" s="4">
        <v>12</v>
      </c>
      <c r="AL1780" s="4">
        <v>41</v>
      </c>
      <c r="AM1780" s="4">
        <v>45</v>
      </c>
      <c r="AN1780" s="4">
        <v>0</v>
      </c>
      <c r="AO1780" s="4">
        <v>0</v>
      </c>
      <c r="AP1780" s="4">
        <v>11</v>
      </c>
      <c r="AQ1780" s="4">
        <v>14</v>
      </c>
      <c r="AR1780" s="3" t="s">
        <v>63</v>
      </c>
      <c r="AS1780" s="3" t="s">
        <v>63</v>
      </c>
      <c r="AT1780" s="3" t="s">
        <v>62</v>
      </c>
      <c r="AU1780" s="6" t="str">
        <f>HYPERLINK("http://catalog.hathitrust.org/Record/007144848","HathiTrust Record")</f>
        <v>HathiTrust Record</v>
      </c>
      <c r="AV1780" s="6" t="str">
        <f>HYPERLINK("http://mcgill.on.worldcat.org/oclc/50316312","Catalog Record")</f>
        <v>Catalog Record</v>
      </c>
      <c r="AW1780" s="6" t="str">
        <f>HYPERLINK("http://www.worldcat.org/oclc/50316312","WorldCat Record")</f>
        <v>WorldCat Record</v>
      </c>
      <c r="AX1780" s="3" t="s">
        <v>15523</v>
      </c>
      <c r="AY1780" s="3" t="s">
        <v>15524</v>
      </c>
      <c r="AZ1780" s="3" t="s">
        <v>15525</v>
      </c>
      <c r="BA1780" s="3" t="s">
        <v>15525</v>
      </c>
      <c r="BB1780" s="3" t="s">
        <v>15526</v>
      </c>
      <c r="BC1780" s="3" t="s">
        <v>82</v>
      </c>
      <c r="BD1780" s="3" t="s">
        <v>70</v>
      </c>
      <c r="BE1780" s="3" t="s">
        <v>15527</v>
      </c>
      <c r="BF1780" s="3" t="s">
        <v>15526</v>
      </c>
      <c r="BG1780" s="3" t="s">
        <v>15528</v>
      </c>
    </row>
    <row r="1781" spans="1:59" ht="60" x14ac:dyDescent="0.25">
      <c r="A1781" s="2" t="s">
        <v>59</v>
      </c>
      <c r="B1781" s="2" t="s">
        <v>60</v>
      </c>
      <c r="C1781" s="2" t="s">
        <v>15529</v>
      </c>
      <c r="D1781" s="2" t="s">
        <v>15530</v>
      </c>
      <c r="E1781" s="2" t="s">
        <v>15531</v>
      </c>
      <c r="G1781" s="3" t="s">
        <v>63</v>
      </c>
      <c r="I1781" s="3" t="s">
        <v>63</v>
      </c>
      <c r="J1781" s="3" t="s">
        <v>63</v>
      </c>
      <c r="K1781" s="3" t="s">
        <v>64</v>
      </c>
      <c r="L1781" s="2" t="s">
        <v>15532</v>
      </c>
      <c r="M1781" s="2" t="s">
        <v>8803</v>
      </c>
      <c r="N1781" s="3" t="s">
        <v>455</v>
      </c>
      <c r="P1781" s="3" t="s">
        <v>66</v>
      </c>
      <c r="R1781" s="3" t="s">
        <v>67</v>
      </c>
      <c r="S1781" s="4">
        <v>5</v>
      </c>
      <c r="T1781" s="4">
        <v>5</v>
      </c>
      <c r="U1781" s="5" t="s">
        <v>155</v>
      </c>
      <c r="V1781" s="5" t="s">
        <v>155</v>
      </c>
      <c r="W1781" s="5" t="s">
        <v>69</v>
      </c>
      <c r="X1781" s="5" t="s">
        <v>69</v>
      </c>
      <c r="Y1781" s="4">
        <v>226</v>
      </c>
      <c r="Z1781" s="4">
        <v>16</v>
      </c>
      <c r="AA1781" s="4">
        <v>17</v>
      </c>
      <c r="AB1781" s="4">
        <v>1</v>
      </c>
      <c r="AC1781" s="4">
        <v>1</v>
      </c>
      <c r="AD1781" s="4">
        <v>98</v>
      </c>
      <c r="AE1781" s="4">
        <v>103</v>
      </c>
      <c r="AF1781" s="4">
        <v>0</v>
      </c>
      <c r="AG1781" s="4">
        <v>0</v>
      </c>
      <c r="AH1781" s="4">
        <v>89</v>
      </c>
      <c r="AI1781" s="4">
        <v>94</v>
      </c>
      <c r="AJ1781" s="4">
        <v>13</v>
      </c>
      <c r="AK1781" s="4">
        <v>14</v>
      </c>
      <c r="AL1781" s="4">
        <v>53</v>
      </c>
      <c r="AM1781" s="4">
        <v>56</v>
      </c>
      <c r="AN1781" s="4">
        <v>0</v>
      </c>
      <c r="AO1781" s="4">
        <v>0</v>
      </c>
      <c r="AP1781" s="4">
        <v>13</v>
      </c>
      <c r="AQ1781" s="4">
        <v>14</v>
      </c>
      <c r="AR1781" s="3" t="s">
        <v>63</v>
      </c>
      <c r="AS1781" s="3" t="s">
        <v>63</v>
      </c>
      <c r="AT1781" s="3" t="s">
        <v>62</v>
      </c>
      <c r="AU1781" s="6" t="str">
        <f>HYPERLINK("http://catalog.hathitrust.org/Record/000243286","HathiTrust Record")</f>
        <v>HathiTrust Record</v>
      </c>
      <c r="AV1781" s="6" t="str">
        <f>HYPERLINK("http://mcgill.on.worldcat.org/oclc/10123341","Catalog Record")</f>
        <v>Catalog Record</v>
      </c>
      <c r="AW1781" s="6" t="str">
        <f>HYPERLINK("http://www.worldcat.org/oclc/10123341","WorldCat Record")</f>
        <v>WorldCat Record</v>
      </c>
      <c r="AX1781" s="3" t="s">
        <v>15533</v>
      </c>
      <c r="AY1781" s="3" t="s">
        <v>15534</v>
      </c>
      <c r="AZ1781" s="3" t="s">
        <v>15535</v>
      </c>
      <c r="BA1781" s="3" t="s">
        <v>15535</v>
      </c>
      <c r="BB1781" s="3" t="s">
        <v>15536</v>
      </c>
      <c r="BC1781" s="3" t="s">
        <v>82</v>
      </c>
      <c r="BD1781" s="3" t="s">
        <v>70</v>
      </c>
      <c r="BE1781" s="3" t="s">
        <v>15537</v>
      </c>
      <c r="BF1781" s="3" t="s">
        <v>15536</v>
      </c>
      <c r="BG1781" s="3" t="s">
        <v>15538</v>
      </c>
    </row>
    <row r="1782" spans="1:59" ht="60" x14ac:dyDescent="0.25">
      <c r="A1782" s="2" t="s">
        <v>59</v>
      </c>
      <c r="B1782" s="2" t="s">
        <v>60</v>
      </c>
      <c r="C1782" s="2" t="s">
        <v>15552</v>
      </c>
      <c r="D1782" s="2" t="s">
        <v>15553</v>
      </c>
      <c r="E1782" s="2" t="s">
        <v>15554</v>
      </c>
      <c r="G1782" s="3" t="s">
        <v>63</v>
      </c>
      <c r="I1782" s="3" t="s">
        <v>62</v>
      </c>
      <c r="J1782" s="3" t="s">
        <v>63</v>
      </c>
      <c r="K1782" s="3" t="s">
        <v>64</v>
      </c>
      <c r="L1782" s="2" t="s">
        <v>324</v>
      </c>
      <c r="M1782" s="2" t="s">
        <v>15555</v>
      </c>
      <c r="N1782" s="3" t="s">
        <v>1402</v>
      </c>
      <c r="P1782" s="3" t="s">
        <v>90</v>
      </c>
      <c r="R1782" s="3" t="s">
        <v>67</v>
      </c>
      <c r="S1782" s="4">
        <v>11</v>
      </c>
      <c r="T1782" s="4">
        <v>19</v>
      </c>
      <c r="U1782" s="5" t="s">
        <v>276</v>
      </c>
      <c r="V1782" s="5" t="s">
        <v>276</v>
      </c>
      <c r="W1782" s="5" t="s">
        <v>69</v>
      </c>
      <c r="X1782" s="5" t="s">
        <v>69</v>
      </c>
      <c r="Y1782" s="4">
        <v>306</v>
      </c>
      <c r="Z1782" s="4">
        <v>13</v>
      </c>
      <c r="AA1782" s="4">
        <v>14</v>
      </c>
      <c r="AB1782" s="4">
        <v>1</v>
      </c>
      <c r="AC1782" s="4">
        <v>1</v>
      </c>
      <c r="AD1782" s="4">
        <v>88</v>
      </c>
      <c r="AE1782" s="4">
        <v>96</v>
      </c>
      <c r="AF1782" s="4">
        <v>0</v>
      </c>
      <c r="AG1782" s="4">
        <v>0</v>
      </c>
      <c r="AH1782" s="4">
        <v>82</v>
      </c>
      <c r="AI1782" s="4">
        <v>89</v>
      </c>
      <c r="AJ1782" s="4">
        <v>10</v>
      </c>
      <c r="AK1782" s="4">
        <v>11</v>
      </c>
      <c r="AL1782" s="4">
        <v>50</v>
      </c>
      <c r="AM1782" s="4">
        <v>54</v>
      </c>
      <c r="AN1782" s="4">
        <v>0</v>
      </c>
      <c r="AO1782" s="4">
        <v>0</v>
      </c>
      <c r="AP1782" s="4">
        <v>11</v>
      </c>
      <c r="AQ1782" s="4">
        <v>12</v>
      </c>
      <c r="AR1782" s="3" t="s">
        <v>63</v>
      </c>
      <c r="AS1782" s="3" t="s">
        <v>63</v>
      </c>
      <c r="AT1782" s="3" t="s">
        <v>62</v>
      </c>
      <c r="AU1782" s="6" t="str">
        <f>HYPERLINK("http://catalog.hathitrust.org/Record/001060384","HathiTrust Record")</f>
        <v>HathiTrust Record</v>
      </c>
      <c r="AV1782" s="6" t="str">
        <f>HYPERLINK("http://mcgill.on.worldcat.org/oclc/769661","Catalog Record")</f>
        <v>Catalog Record</v>
      </c>
      <c r="AW1782" s="6" t="str">
        <f>HYPERLINK("http://www.worldcat.org/oclc/769661","WorldCat Record")</f>
        <v>WorldCat Record</v>
      </c>
      <c r="AX1782" s="3" t="s">
        <v>15556</v>
      </c>
      <c r="AY1782" s="3" t="s">
        <v>15557</v>
      </c>
      <c r="AZ1782" s="3" t="s">
        <v>15558</v>
      </c>
      <c r="BA1782" s="3" t="s">
        <v>15558</v>
      </c>
      <c r="BB1782" s="3" t="s">
        <v>15559</v>
      </c>
      <c r="BC1782" s="3" t="s">
        <v>82</v>
      </c>
      <c r="BD1782" s="3" t="s">
        <v>70</v>
      </c>
      <c r="BF1782" s="3" t="s">
        <v>15559</v>
      </c>
      <c r="BG1782" s="3" t="s">
        <v>15560</v>
      </c>
    </row>
    <row r="1783" spans="1:59" ht="60" x14ac:dyDescent="0.25">
      <c r="A1783" s="2" t="s">
        <v>59</v>
      </c>
      <c r="B1783" s="2" t="s">
        <v>60</v>
      </c>
      <c r="C1783" s="2" t="s">
        <v>15552</v>
      </c>
      <c r="D1783" s="2" t="s">
        <v>15553</v>
      </c>
      <c r="E1783" s="2" t="s">
        <v>15554</v>
      </c>
      <c r="G1783" s="3" t="s">
        <v>63</v>
      </c>
      <c r="I1783" s="3" t="s">
        <v>62</v>
      </c>
      <c r="J1783" s="3" t="s">
        <v>63</v>
      </c>
      <c r="K1783" s="3" t="s">
        <v>64</v>
      </c>
      <c r="L1783" s="2" t="s">
        <v>324</v>
      </c>
      <c r="M1783" s="2" t="s">
        <v>15555</v>
      </c>
      <c r="N1783" s="3" t="s">
        <v>1402</v>
      </c>
      <c r="P1783" s="3" t="s">
        <v>90</v>
      </c>
      <c r="R1783" s="3" t="s">
        <v>67</v>
      </c>
      <c r="S1783" s="4">
        <v>8</v>
      </c>
      <c r="T1783" s="4">
        <v>19</v>
      </c>
      <c r="U1783" s="5" t="s">
        <v>15561</v>
      </c>
      <c r="V1783" s="5" t="s">
        <v>276</v>
      </c>
      <c r="W1783" s="5" t="s">
        <v>69</v>
      </c>
      <c r="X1783" s="5" t="s">
        <v>69</v>
      </c>
      <c r="Y1783" s="4">
        <v>306</v>
      </c>
      <c r="Z1783" s="4">
        <v>13</v>
      </c>
      <c r="AA1783" s="4">
        <v>14</v>
      </c>
      <c r="AB1783" s="4">
        <v>1</v>
      </c>
      <c r="AC1783" s="4">
        <v>1</v>
      </c>
      <c r="AD1783" s="4">
        <v>88</v>
      </c>
      <c r="AE1783" s="4">
        <v>96</v>
      </c>
      <c r="AF1783" s="4">
        <v>0</v>
      </c>
      <c r="AG1783" s="4">
        <v>0</v>
      </c>
      <c r="AH1783" s="4">
        <v>82</v>
      </c>
      <c r="AI1783" s="4">
        <v>89</v>
      </c>
      <c r="AJ1783" s="4">
        <v>10</v>
      </c>
      <c r="AK1783" s="4">
        <v>11</v>
      </c>
      <c r="AL1783" s="4">
        <v>50</v>
      </c>
      <c r="AM1783" s="4">
        <v>54</v>
      </c>
      <c r="AN1783" s="4">
        <v>0</v>
      </c>
      <c r="AO1783" s="4">
        <v>0</v>
      </c>
      <c r="AP1783" s="4">
        <v>11</v>
      </c>
      <c r="AQ1783" s="4">
        <v>12</v>
      </c>
      <c r="AR1783" s="3" t="s">
        <v>63</v>
      </c>
      <c r="AS1783" s="3" t="s">
        <v>63</v>
      </c>
      <c r="AT1783" s="3" t="s">
        <v>62</v>
      </c>
      <c r="AU1783" s="6" t="str">
        <f>HYPERLINK("http://catalog.hathitrust.org/Record/001060384","HathiTrust Record")</f>
        <v>HathiTrust Record</v>
      </c>
      <c r="AV1783" s="6" t="str">
        <f>HYPERLINK("http://mcgill.on.worldcat.org/oclc/769661","Catalog Record")</f>
        <v>Catalog Record</v>
      </c>
      <c r="AW1783" s="6" t="str">
        <f>HYPERLINK("http://www.worldcat.org/oclc/769661","WorldCat Record")</f>
        <v>WorldCat Record</v>
      </c>
      <c r="AX1783" s="3" t="s">
        <v>15556</v>
      </c>
      <c r="AY1783" s="3" t="s">
        <v>15557</v>
      </c>
      <c r="AZ1783" s="3" t="s">
        <v>15558</v>
      </c>
      <c r="BA1783" s="3" t="s">
        <v>15558</v>
      </c>
      <c r="BB1783" s="3" t="s">
        <v>15562</v>
      </c>
      <c r="BC1783" s="3" t="s">
        <v>82</v>
      </c>
      <c r="BD1783" s="3" t="s">
        <v>70</v>
      </c>
      <c r="BF1783" s="3" t="s">
        <v>15562</v>
      </c>
      <c r="BG1783" s="3" t="s">
        <v>15563</v>
      </c>
    </row>
    <row r="1784" spans="1:59" ht="60" x14ac:dyDescent="0.25">
      <c r="A1784" s="2" t="s">
        <v>59</v>
      </c>
      <c r="B1784" s="2" t="s">
        <v>60</v>
      </c>
      <c r="C1784" s="2" t="s">
        <v>15564</v>
      </c>
      <c r="D1784" s="2" t="s">
        <v>15565</v>
      </c>
      <c r="E1784" s="2" t="s">
        <v>15566</v>
      </c>
      <c r="G1784" s="3" t="s">
        <v>63</v>
      </c>
      <c r="I1784" s="3" t="s">
        <v>63</v>
      </c>
      <c r="J1784" s="3" t="s">
        <v>62</v>
      </c>
      <c r="K1784" s="3" t="s">
        <v>64</v>
      </c>
      <c r="L1784" s="2" t="s">
        <v>324</v>
      </c>
      <c r="M1784" s="2" t="s">
        <v>15567</v>
      </c>
      <c r="N1784" s="3" t="s">
        <v>758</v>
      </c>
      <c r="P1784" s="3" t="s">
        <v>66</v>
      </c>
      <c r="Q1784" s="2" t="s">
        <v>15568</v>
      </c>
      <c r="R1784" s="3" t="s">
        <v>67</v>
      </c>
      <c r="S1784" s="4">
        <v>16</v>
      </c>
      <c r="T1784" s="4">
        <v>16</v>
      </c>
      <c r="U1784" s="5" t="s">
        <v>4647</v>
      </c>
      <c r="V1784" s="5" t="s">
        <v>4647</v>
      </c>
      <c r="W1784" s="5" t="s">
        <v>69</v>
      </c>
      <c r="X1784" s="5" t="s">
        <v>69</v>
      </c>
      <c r="Y1784" s="4">
        <v>67</v>
      </c>
      <c r="Z1784" s="4">
        <v>3</v>
      </c>
      <c r="AA1784" s="4">
        <v>70</v>
      </c>
      <c r="AB1784" s="4">
        <v>1</v>
      </c>
      <c r="AC1784" s="4">
        <v>7</v>
      </c>
      <c r="AD1784" s="4">
        <v>18</v>
      </c>
      <c r="AE1784" s="4">
        <v>139</v>
      </c>
      <c r="AF1784" s="4">
        <v>0</v>
      </c>
      <c r="AG1784" s="4">
        <v>2</v>
      </c>
      <c r="AH1784" s="4">
        <v>18</v>
      </c>
      <c r="AI1784" s="4">
        <v>109</v>
      </c>
      <c r="AJ1784" s="4">
        <v>2</v>
      </c>
      <c r="AK1784" s="4">
        <v>19</v>
      </c>
      <c r="AL1784" s="4">
        <v>9</v>
      </c>
      <c r="AM1784" s="4">
        <v>60</v>
      </c>
      <c r="AN1784" s="4">
        <v>5</v>
      </c>
      <c r="AO1784" s="4">
        <v>5</v>
      </c>
      <c r="AP1784" s="4">
        <v>2</v>
      </c>
      <c r="AQ1784" s="4">
        <v>33</v>
      </c>
      <c r="AR1784" s="3" t="s">
        <v>63</v>
      </c>
      <c r="AS1784" s="3" t="s">
        <v>63</v>
      </c>
      <c r="AT1784" s="3" t="s">
        <v>62</v>
      </c>
      <c r="AU1784" s="6" t="str">
        <f>HYPERLINK("http://catalog.hathitrust.org/Record/102091024","HathiTrust Record")</f>
        <v>HathiTrust Record</v>
      </c>
      <c r="AV1784" s="6" t="str">
        <f>HYPERLINK("http://mcgill.on.worldcat.org/oclc/312618","Catalog Record")</f>
        <v>Catalog Record</v>
      </c>
      <c r="AW1784" s="6" t="str">
        <f>HYPERLINK("http://www.worldcat.org/oclc/312618","WorldCat Record")</f>
        <v>WorldCat Record</v>
      </c>
      <c r="AX1784" s="3" t="s">
        <v>15569</v>
      </c>
      <c r="AY1784" s="3" t="s">
        <v>15570</v>
      </c>
      <c r="AZ1784" s="3" t="s">
        <v>15571</v>
      </c>
      <c r="BA1784" s="3" t="s">
        <v>15571</v>
      </c>
      <c r="BB1784" s="3" t="s">
        <v>15572</v>
      </c>
      <c r="BC1784" s="3" t="s">
        <v>82</v>
      </c>
      <c r="BD1784" s="3" t="s">
        <v>70</v>
      </c>
      <c r="BF1784" s="3" t="s">
        <v>15572</v>
      </c>
      <c r="BG1784" s="3" t="s">
        <v>15573</v>
      </c>
    </row>
    <row r="1785" spans="1:59" ht="60" x14ac:dyDescent="0.25">
      <c r="A1785" s="2" t="s">
        <v>59</v>
      </c>
      <c r="B1785" s="2" t="s">
        <v>60</v>
      </c>
      <c r="C1785" s="2" t="s">
        <v>15574</v>
      </c>
      <c r="D1785" s="2" t="s">
        <v>15575</v>
      </c>
      <c r="E1785" s="2" t="s">
        <v>15576</v>
      </c>
      <c r="G1785" s="3" t="s">
        <v>63</v>
      </c>
      <c r="I1785" s="3" t="s">
        <v>63</v>
      </c>
      <c r="J1785" s="3" t="s">
        <v>62</v>
      </c>
      <c r="K1785" s="3" t="s">
        <v>64</v>
      </c>
      <c r="L1785" s="2" t="s">
        <v>324</v>
      </c>
      <c r="M1785" s="2" t="s">
        <v>15577</v>
      </c>
      <c r="N1785" s="3" t="s">
        <v>401</v>
      </c>
      <c r="P1785" s="3" t="s">
        <v>90</v>
      </c>
      <c r="R1785" s="3" t="s">
        <v>67</v>
      </c>
      <c r="S1785" s="4">
        <v>5</v>
      </c>
      <c r="T1785" s="4">
        <v>5</v>
      </c>
      <c r="U1785" s="5" t="s">
        <v>15578</v>
      </c>
      <c r="V1785" s="5" t="s">
        <v>15578</v>
      </c>
      <c r="W1785" s="5" t="s">
        <v>69</v>
      </c>
      <c r="X1785" s="5" t="s">
        <v>69</v>
      </c>
      <c r="Y1785" s="4">
        <v>36</v>
      </c>
      <c r="Z1785" s="4">
        <v>4</v>
      </c>
      <c r="AA1785" s="4">
        <v>23</v>
      </c>
      <c r="AB1785" s="4">
        <v>2</v>
      </c>
      <c r="AC1785" s="4">
        <v>2</v>
      </c>
      <c r="AD1785" s="4">
        <v>20</v>
      </c>
      <c r="AE1785" s="4">
        <v>97</v>
      </c>
      <c r="AF1785" s="4">
        <v>0</v>
      </c>
      <c r="AG1785" s="4">
        <v>0</v>
      </c>
      <c r="AH1785" s="4">
        <v>18</v>
      </c>
      <c r="AI1785" s="4">
        <v>89</v>
      </c>
      <c r="AJ1785" s="4">
        <v>1</v>
      </c>
      <c r="AK1785" s="4">
        <v>12</v>
      </c>
      <c r="AL1785" s="4">
        <v>11</v>
      </c>
      <c r="AM1785" s="4">
        <v>51</v>
      </c>
      <c r="AN1785" s="4">
        <v>0</v>
      </c>
      <c r="AO1785" s="4">
        <v>2</v>
      </c>
      <c r="AP1785" s="4">
        <v>0</v>
      </c>
      <c r="AQ1785" s="4">
        <v>14</v>
      </c>
      <c r="AR1785" s="3" t="s">
        <v>63</v>
      </c>
      <c r="AS1785" s="3" t="s">
        <v>63</v>
      </c>
      <c r="AT1785" s="3" t="s">
        <v>63</v>
      </c>
      <c r="AV1785" s="6" t="str">
        <f>HYPERLINK("http://mcgill.on.worldcat.org/oclc/8199764","Catalog Record")</f>
        <v>Catalog Record</v>
      </c>
      <c r="AW1785" s="6" t="str">
        <f>HYPERLINK("http://www.worldcat.org/oclc/8199764","WorldCat Record")</f>
        <v>WorldCat Record</v>
      </c>
      <c r="AX1785" s="3" t="s">
        <v>15579</v>
      </c>
      <c r="AY1785" s="3" t="s">
        <v>15580</v>
      </c>
      <c r="AZ1785" s="3" t="s">
        <v>15581</v>
      </c>
      <c r="BA1785" s="3" t="s">
        <v>15581</v>
      </c>
      <c r="BB1785" s="3" t="s">
        <v>15582</v>
      </c>
      <c r="BC1785" s="3" t="s">
        <v>82</v>
      </c>
      <c r="BD1785" s="3" t="s">
        <v>70</v>
      </c>
      <c r="BF1785" s="3" t="s">
        <v>15582</v>
      </c>
      <c r="BG1785" s="3" t="s">
        <v>15583</v>
      </c>
    </row>
    <row r="1786" spans="1:59" ht="60" x14ac:dyDescent="0.25">
      <c r="A1786" s="2" t="s">
        <v>59</v>
      </c>
      <c r="B1786" s="2" t="s">
        <v>60</v>
      </c>
      <c r="C1786" s="2" t="s">
        <v>15584</v>
      </c>
      <c r="D1786" s="2" t="s">
        <v>15585</v>
      </c>
      <c r="E1786" s="2" t="s">
        <v>15586</v>
      </c>
      <c r="G1786" s="3" t="s">
        <v>63</v>
      </c>
      <c r="I1786" s="3" t="s">
        <v>63</v>
      </c>
      <c r="J1786" s="3" t="s">
        <v>62</v>
      </c>
      <c r="K1786" s="3" t="s">
        <v>64</v>
      </c>
      <c r="L1786" s="2" t="s">
        <v>324</v>
      </c>
      <c r="M1786" s="2" t="s">
        <v>15587</v>
      </c>
      <c r="N1786" s="3" t="s">
        <v>731</v>
      </c>
      <c r="P1786" s="3" t="s">
        <v>90</v>
      </c>
      <c r="R1786" s="3" t="s">
        <v>67</v>
      </c>
      <c r="S1786" s="4">
        <v>2</v>
      </c>
      <c r="T1786" s="4">
        <v>2</v>
      </c>
      <c r="U1786" s="5" t="s">
        <v>15588</v>
      </c>
      <c r="V1786" s="5" t="s">
        <v>15588</v>
      </c>
      <c r="W1786" s="5" t="s">
        <v>69</v>
      </c>
      <c r="X1786" s="5" t="s">
        <v>69</v>
      </c>
      <c r="Y1786" s="4">
        <v>3</v>
      </c>
      <c r="Z1786" s="4">
        <v>1</v>
      </c>
      <c r="AA1786" s="4">
        <v>23</v>
      </c>
      <c r="AB1786" s="4">
        <v>1</v>
      </c>
      <c r="AC1786" s="4">
        <v>2</v>
      </c>
      <c r="AD1786" s="4">
        <v>1</v>
      </c>
      <c r="AE1786" s="4">
        <v>97</v>
      </c>
      <c r="AF1786" s="4">
        <v>0</v>
      </c>
      <c r="AG1786" s="4">
        <v>0</v>
      </c>
      <c r="AH1786" s="4">
        <v>1</v>
      </c>
      <c r="AI1786" s="4">
        <v>89</v>
      </c>
      <c r="AJ1786" s="4">
        <v>0</v>
      </c>
      <c r="AK1786" s="4">
        <v>12</v>
      </c>
      <c r="AL1786" s="4">
        <v>0</v>
      </c>
      <c r="AM1786" s="4">
        <v>51</v>
      </c>
      <c r="AN1786" s="4">
        <v>0</v>
      </c>
      <c r="AO1786" s="4">
        <v>2</v>
      </c>
      <c r="AP1786" s="4">
        <v>0</v>
      </c>
      <c r="AQ1786" s="4">
        <v>14</v>
      </c>
      <c r="AR1786" s="3" t="s">
        <v>63</v>
      </c>
      <c r="AS1786" s="3" t="s">
        <v>63</v>
      </c>
      <c r="AT1786" s="3" t="s">
        <v>63</v>
      </c>
      <c r="AV1786" s="6" t="str">
        <f>HYPERLINK("http://mcgill.on.worldcat.org/oclc/48157988","Catalog Record")</f>
        <v>Catalog Record</v>
      </c>
      <c r="AW1786" s="6" t="str">
        <f>HYPERLINK("http://www.worldcat.org/oclc/48157988","WorldCat Record")</f>
        <v>WorldCat Record</v>
      </c>
      <c r="AX1786" s="3" t="s">
        <v>15579</v>
      </c>
      <c r="AY1786" s="3" t="s">
        <v>15589</v>
      </c>
      <c r="AZ1786" s="3" t="s">
        <v>15590</v>
      </c>
      <c r="BA1786" s="3" t="s">
        <v>15590</v>
      </c>
      <c r="BB1786" s="3" t="s">
        <v>15591</v>
      </c>
      <c r="BC1786" s="3" t="s">
        <v>82</v>
      </c>
      <c r="BD1786" s="3" t="s">
        <v>70</v>
      </c>
      <c r="BF1786" s="3" t="s">
        <v>15591</v>
      </c>
      <c r="BG1786" s="3" t="s">
        <v>15592</v>
      </c>
    </row>
    <row r="1787" spans="1:59" ht="60" x14ac:dyDescent="0.25">
      <c r="A1787" s="2" t="s">
        <v>59</v>
      </c>
      <c r="B1787" s="2" t="s">
        <v>60</v>
      </c>
      <c r="C1787" s="2" t="s">
        <v>15593</v>
      </c>
      <c r="D1787" s="2" t="s">
        <v>15594</v>
      </c>
      <c r="E1787" s="2" t="s">
        <v>15595</v>
      </c>
      <c r="G1787" s="3" t="s">
        <v>63</v>
      </c>
      <c r="I1787" s="3" t="s">
        <v>63</v>
      </c>
      <c r="J1787" s="3" t="s">
        <v>63</v>
      </c>
      <c r="K1787" s="3" t="s">
        <v>64</v>
      </c>
      <c r="L1787" s="2" t="s">
        <v>324</v>
      </c>
      <c r="M1787" s="2" t="s">
        <v>15596</v>
      </c>
      <c r="N1787" s="3" t="s">
        <v>274</v>
      </c>
      <c r="P1787" s="3" t="s">
        <v>90</v>
      </c>
      <c r="R1787" s="3" t="s">
        <v>67</v>
      </c>
      <c r="S1787" s="4">
        <v>17</v>
      </c>
      <c r="T1787" s="4">
        <v>17</v>
      </c>
      <c r="U1787" s="5" t="s">
        <v>15597</v>
      </c>
      <c r="V1787" s="5" t="s">
        <v>15597</v>
      </c>
      <c r="W1787" s="5" t="s">
        <v>69</v>
      </c>
      <c r="X1787" s="5" t="s">
        <v>69</v>
      </c>
      <c r="Y1787" s="4">
        <v>7</v>
      </c>
      <c r="Z1787" s="4">
        <v>1</v>
      </c>
      <c r="AA1787" s="4">
        <v>7</v>
      </c>
      <c r="AB1787" s="4">
        <v>1</v>
      </c>
      <c r="AC1787" s="4">
        <v>1</v>
      </c>
      <c r="AD1787" s="4">
        <v>4</v>
      </c>
      <c r="AE1787" s="4">
        <v>48</v>
      </c>
      <c r="AF1787" s="4">
        <v>0</v>
      </c>
      <c r="AG1787" s="4">
        <v>0</v>
      </c>
      <c r="AH1787" s="4">
        <v>3</v>
      </c>
      <c r="AI1787" s="4">
        <v>45</v>
      </c>
      <c r="AJ1787" s="4">
        <v>0</v>
      </c>
      <c r="AK1787" s="4">
        <v>5</v>
      </c>
      <c r="AL1787" s="4">
        <v>3</v>
      </c>
      <c r="AM1787" s="4">
        <v>35</v>
      </c>
      <c r="AN1787" s="4">
        <v>0</v>
      </c>
      <c r="AO1787" s="4">
        <v>0</v>
      </c>
      <c r="AP1787" s="4">
        <v>0</v>
      </c>
      <c r="AQ1787" s="4">
        <v>5</v>
      </c>
      <c r="AR1787" s="3" t="s">
        <v>63</v>
      </c>
      <c r="AS1787" s="3" t="s">
        <v>63</v>
      </c>
      <c r="AT1787" s="3" t="s">
        <v>63</v>
      </c>
      <c r="AV1787" s="6" t="str">
        <f>HYPERLINK("http://mcgill.on.worldcat.org/oclc/45662829","Catalog Record")</f>
        <v>Catalog Record</v>
      </c>
      <c r="AW1787" s="6" t="str">
        <f>HYPERLINK("http://www.worldcat.org/oclc/45662829","WorldCat Record")</f>
        <v>WorldCat Record</v>
      </c>
      <c r="AX1787" s="3" t="s">
        <v>15598</v>
      </c>
      <c r="AY1787" s="3" t="s">
        <v>15599</v>
      </c>
      <c r="AZ1787" s="3" t="s">
        <v>15600</v>
      </c>
      <c r="BA1787" s="3" t="s">
        <v>15600</v>
      </c>
      <c r="BB1787" s="3" t="s">
        <v>15601</v>
      </c>
      <c r="BC1787" s="3" t="s">
        <v>82</v>
      </c>
      <c r="BD1787" s="3" t="s">
        <v>70</v>
      </c>
      <c r="BE1787" s="3" t="s">
        <v>15602</v>
      </c>
      <c r="BF1787" s="3" t="s">
        <v>15601</v>
      </c>
      <c r="BG1787" s="3" t="s">
        <v>15603</v>
      </c>
    </row>
    <row r="1788" spans="1:59" ht="60" x14ac:dyDescent="0.25">
      <c r="A1788" s="2" t="s">
        <v>59</v>
      </c>
      <c r="B1788" s="2" t="s">
        <v>60</v>
      </c>
      <c r="C1788" s="2" t="s">
        <v>15539</v>
      </c>
      <c r="D1788" s="2" t="s">
        <v>15540</v>
      </c>
      <c r="E1788" s="2" t="s">
        <v>15541</v>
      </c>
      <c r="G1788" s="3" t="s">
        <v>63</v>
      </c>
      <c r="I1788" s="3" t="s">
        <v>62</v>
      </c>
      <c r="J1788" s="3" t="s">
        <v>63</v>
      </c>
      <c r="K1788" s="3" t="s">
        <v>64</v>
      </c>
      <c r="L1788" s="2" t="s">
        <v>15522</v>
      </c>
      <c r="M1788" s="2" t="s">
        <v>15542</v>
      </c>
      <c r="N1788" s="3" t="s">
        <v>1916</v>
      </c>
      <c r="P1788" s="3" t="s">
        <v>66</v>
      </c>
      <c r="R1788" s="3" t="s">
        <v>67</v>
      </c>
      <c r="S1788" s="4">
        <v>30</v>
      </c>
      <c r="T1788" s="4">
        <v>47</v>
      </c>
      <c r="U1788" s="5" t="s">
        <v>6873</v>
      </c>
      <c r="V1788" s="5" t="s">
        <v>6873</v>
      </c>
      <c r="W1788" s="5" t="s">
        <v>69</v>
      </c>
      <c r="X1788" s="5" t="s">
        <v>69</v>
      </c>
      <c r="Y1788" s="4">
        <v>398</v>
      </c>
      <c r="Z1788" s="4">
        <v>28</v>
      </c>
      <c r="AA1788" s="4">
        <v>33</v>
      </c>
      <c r="AB1788" s="4">
        <v>2</v>
      </c>
      <c r="AC1788" s="4">
        <v>2</v>
      </c>
      <c r="AD1788" s="4">
        <v>119</v>
      </c>
      <c r="AE1788" s="4">
        <v>124</v>
      </c>
      <c r="AF1788" s="4">
        <v>1</v>
      </c>
      <c r="AG1788" s="4">
        <v>1</v>
      </c>
      <c r="AH1788" s="4">
        <v>103</v>
      </c>
      <c r="AI1788" s="4">
        <v>105</v>
      </c>
      <c r="AJ1788" s="4">
        <v>16</v>
      </c>
      <c r="AK1788" s="4">
        <v>21</v>
      </c>
      <c r="AL1788" s="4">
        <v>58</v>
      </c>
      <c r="AM1788" s="4">
        <v>58</v>
      </c>
      <c r="AN1788" s="4">
        <v>1</v>
      </c>
      <c r="AO1788" s="4">
        <v>1</v>
      </c>
      <c r="AP1788" s="4">
        <v>20</v>
      </c>
      <c r="AQ1788" s="4">
        <v>25</v>
      </c>
      <c r="AR1788" s="3" t="s">
        <v>62</v>
      </c>
      <c r="AS1788" s="3" t="s">
        <v>63</v>
      </c>
      <c r="AT1788" s="3" t="s">
        <v>62</v>
      </c>
      <c r="AU1788" s="6" t="str">
        <f>HYPERLINK("http://catalog.hathitrust.org/Record/000465219","HathiTrust Record")</f>
        <v>HathiTrust Record</v>
      </c>
      <c r="AV1788" s="6" t="str">
        <f>HYPERLINK("http://mcgill.on.worldcat.org/oclc/16803188","Catalog Record")</f>
        <v>Catalog Record</v>
      </c>
      <c r="AW1788" s="6" t="str">
        <f>HYPERLINK("http://www.worldcat.org/oclc/16803188","WorldCat Record")</f>
        <v>WorldCat Record</v>
      </c>
      <c r="AX1788" s="3" t="s">
        <v>15543</v>
      </c>
      <c r="AY1788" s="3" t="s">
        <v>15544</v>
      </c>
      <c r="AZ1788" s="3" t="s">
        <v>15545</v>
      </c>
      <c r="BA1788" s="3" t="s">
        <v>15545</v>
      </c>
      <c r="BB1788" s="3" t="s">
        <v>15546</v>
      </c>
      <c r="BC1788" s="3" t="s">
        <v>82</v>
      </c>
      <c r="BD1788" s="3" t="s">
        <v>70</v>
      </c>
      <c r="BE1788" s="3" t="s">
        <v>15547</v>
      </c>
      <c r="BF1788" s="3" t="s">
        <v>15546</v>
      </c>
      <c r="BG1788" s="3" t="s">
        <v>15548</v>
      </c>
    </row>
    <row r="1789" spans="1:59" ht="60" x14ac:dyDescent="0.25">
      <c r="A1789" s="2" t="s">
        <v>59</v>
      </c>
      <c r="B1789" s="2" t="s">
        <v>60</v>
      </c>
      <c r="C1789" s="2" t="s">
        <v>15539</v>
      </c>
      <c r="D1789" s="2" t="s">
        <v>15540</v>
      </c>
      <c r="E1789" s="2" t="s">
        <v>15541</v>
      </c>
      <c r="G1789" s="3" t="s">
        <v>63</v>
      </c>
      <c r="I1789" s="3" t="s">
        <v>62</v>
      </c>
      <c r="J1789" s="3" t="s">
        <v>63</v>
      </c>
      <c r="K1789" s="3" t="s">
        <v>64</v>
      </c>
      <c r="L1789" s="2" t="s">
        <v>15522</v>
      </c>
      <c r="M1789" s="2" t="s">
        <v>15542</v>
      </c>
      <c r="N1789" s="3" t="s">
        <v>1916</v>
      </c>
      <c r="P1789" s="3" t="s">
        <v>66</v>
      </c>
      <c r="R1789" s="3" t="s">
        <v>67</v>
      </c>
      <c r="S1789" s="4">
        <v>17</v>
      </c>
      <c r="T1789" s="4">
        <v>47</v>
      </c>
      <c r="U1789" s="5" t="s">
        <v>15549</v>
      </c>
      <c r="V1789" s="5" t="s">
        <v>6873</v>
      </c>
      <c r="W1789" s="5" t="s">
        <v>69</v>
      </c>
      <c r="X1789" s="5" t="s">
        <v>69</v>
      </c>
      <c r="Y1789" s="4">
        <v>398</v>
      </c>
      <c r="Z1789" s="4">
        <v>28</v>
      </c>
      <c r="AA1789" s="4">
        <v>33</v>
      </c>
      <c r="AB1789" s="4">
        <v>2</v>
      </c>
      <c r="AC1789" s="4">
        <v>2</v>
      </c>
      <c r="AD1789" s="4">
        <v>119</v>
      </c>
      <c r="AE1789" s="4">
        <v>124</v>
      </c>
      <c r="AF1789" s="4">
        <v>1</v>
      </c>
      <c r="AG1789" s="4">
        <v>1</v>
      </c>
      <c r="AH1789" s="4">
        <v>103</v>
      </c>
      <c r="AI1789" s="4">
        <v>105</v>
      </c>
      <c r="AJ1789" s="4">
        <v>16</v>
      </c>
      <c r="AK1789" s="4">
        <v>21</v>
      </c>
      <c r="AL1789" s="4">
        <v>58</v>
      </c>
      <c r="AM1789" s="4">
        <v>58</v>
      </c>
      <c r="AN1789" s="4">
        <v>1</v>
      </c>
      <c r="AO1789" s="4">
        <v>1</v>
      </c>
      <c r="AP1789" s="4">
        <v>20</v>
      </c>
      <c r="AQ1789" s="4">
        <v>25</v>
      </c>
      <c r="AR1789" s="3" t="s">
        <v>62</v>
      </c>
      <c r="AS1789" s="3" t="s">
        <v>63</v>
      </c>
      <c r="AT1789" s="3" t="s">
        <v>62</v>
      </c>
      <c r="AU1789" s="6" t="str">
        <f>HYPERLINK("http://catalog.hathitrust.org/Record/000465219","HathiTrust Record")</f>
        <v>HathiTrust Record</v>
      </c>
      <c r="AV1789" s="6" t="str">
        <f>HYPERLINK("http://mcgill.on.worldcat.org/oclc/16803188","Catalog Record")</f>
        <v>Catalog Record</v>
      </c>
      <c r="AW1789" s="6" t="str">
        <f>HYPERLINK("http://www.worldcat.org/oclc/16803188","WorldCat Record")</f>
        <v>WorldCat Record</v>
      </c>
      <c r="AX1789" s="3" t="s">
        <v>15543</v>
      </c>
      <c r="AY1789" s="3" t="s">
        <v>15544</v>
      </c>
      <c r="AZ1789" s="3" t="s">
        <v>15545</v>
      </c>
      <c r="BA1789" s="3" t="s">
        <v>15545</v>
      </c>
      <c r="BB1789" s="3" t="s">
        <v>15550</v>
      </c>
      <c r="BC1789" s="3" t="s">
        <v>82</v>
      </c>
      <c r="BD1789" s="3" t="s">
        <v>70</v>
      </c>
      <c r="BE1789" s="3" t="s">
        <v>15547</v>
      </c>
      <c r="BF1789" s="3" t="s">
        <v>15550</v>
      </c>
      <c r="BG1789" s="3" t="s">
        <v>15551</v>
      </c>
    </row>
    <row r="1790" spans="1:59" ht="60" x14ac:dyDescent="0.25">
      <c r="A1790" s="2" t="s">
        <v>59</v>
      </c>
      <c r="B1790" s="2" t="s">
        <v>60</v>
      </c>
      <c r="C1790" s="2" t="s">
        <v>15604</v>
      </c>
      <c r="D1790" s="2" t="s">
        <v>15605</v>
      </c>
      <c r="E1790" s="2" t="s">
        <v>15606</v>
      </c>
      <c r="G1790" s="3" t="s">
        <v>63</v>
      </c>
      <c r="I1790" s="3" t="s">
        <v>63</v>
      </c>
      <c r="J1790" s="3" t="s">
        <v>62</v>
      </c>
      <c r="K1790" s="3" t="s">
        <v>64</v>
      </c>
      <c r="L1790" s="2" t="s">
        <v>15607</v>
      </c>
      <c r="M1790" s="2" t="s">
        <v>15608</v>
      </c>
      <c r="N1790" s="3" t="s">
        <v>531</v>
      </c>
      <c r="P1790" s="3" t="s">
        <v>66</v>
      </c>
      <c r="Q1790" s="2" t="s">
        <v>10984</v>
      </c>
      <c r="R1790" s="3" t="s">
        <v>67</v>
      </c>
      <c r="S1790" s="4">
        <v>39</v>
      </c>
      <c r="T1790" s="4">
        <v>39</v>
      </c>
      <c r="U1790" s="5" t="s">
        <v>6873</v>
      </c>
      <c r="V1790" s="5" t="s">
        <v>6873</v>
      </c>
      <c r="W1790" s="5" t="s">
        <v>69</v>
      </c>
      <c r="X1790" s="5" t="s">
        <v>69</v>
      </c>
      <c r="Y1790" s="4">
        <v>321</v>
      </c>
      <c r="Z1790" s="4">
        <v>25</v>
      </c>
      <c r="AA1790" s="4">
        <v>42</v>
      </c>
      <c r="AB1790" s="4">
        <v>1</v>
      </c>
      <c r="AC1790" s="4">
        <v>3</v>
      </c>
      <c r="AD1790" s="4">
        <v>106</v>
      </c>
      <c r="AE1790" s="4">
        <v>129</v>
      </c>
      <c r="AF1790" s="4">
        <v>0</v>
      </c>
      <c r="AG1790" s="4">
        <v>2</v>
      </c>
      <c r="AH1790" s="4">
        <v>94</v>
      </c>
      <c r="AI1790" s="4">
        <v>109</v>
      </c>
      <c r="AJ1790" s="4">
        <v>14</v>
      </c>
      <c r="AK1790" s="4">
        <v>23</v>
      </c>
      <c r="AL1790" s="4">
        <v>54</v>
      </c>
      <c r="AM1790" s="4">
        <v>57</v>
      </c>
      <c r="AN1790" s="4">
        <v>0</v>
      </c>
      <c r="AO1790" s="4">
        <v>0</v>
      </c>
      <c r="AP1790" s="4">
        <v>19</v>
      </c>
      <c r="AQ1790" s="4">
        <v>29</v>
      </c>
      <c r="AR1790" s="3" t="s">
        <v>63</v>
      </c>
      <c r="AS1790" s="3" t="s">
        <v>63</v>
      </c>
      <c r="AT1790" s="3" t="s">
        <v>63</v>
      </c>
      <c r="AV1790" s="6" t="str">
        <f>HYPERLINK("http://mcgill.on.worldcat.org/oclc/24953770","Catalog Record")</f>
        <v>Catalog Record</v>
      </c>
      <c r="AW1790" s="6" t="str">
        <f>HYPERLINK("http://www.worldcat.org/oclc/24953770","WorldCat Record")</f>
        <v>WorldCat Record</v>
      </c>
      <c r="AX1790" s="3" t="s">
        <v>15609</v>
      </c>
      <c r="AY1790" s="3" t="s">
        <v>15610</v>
      </c>
      <c r="AZ1790" s="3" t="s">
        <v>15611</v>
      </c>
      <c r="BA1790" s="3" t="s">
        <v>15611</v>
      </c>
      <c r="BB1790" s="3" t="s">
        <v>15612</v>
      </c>
      <c r="BC1790" s="3" t="s">
        <v>82</v>
      </c>
      <c r="BD1790" s="3" t="s">
        <v>70</v>
      </c>
      <c r="BE1790" s="3" t="s">
        <v>15613</v>
      </c>
      <c r="BF1790" s="3" t="s">
        <v>15612</v>
      </c>
      <c r="BG1790" s="3" t="s">
        <v>15614</v>
      </c>
    </row>
    <row r="1791" spans="1:59" ht="60" x14ac:dyDescent="0.25">
      <c r="A1791" s="2" t="s">
        <v>59</v>
      </c>
      <c r="B1791" s="2" t="s">
        <v>60</v>
      </c>
      <c r="C1791" s="2" t="s">
        <v>15615</v>
      </c>
      <c r="D1791" s="2" t="s">
        <v>15616</v>
      </c>
      <c r="E1791" s="2" t="s">
        <v>15617</v>
      </c>
      <c r="G1791" s="3" t="s">
        <v>63</v>
      </c>
      <c r="I1791" s="3" t="s">
        <v>63</v>
      </c>
      <c r="J1791" s="3" t="s">
        <v>63</v>
      </c>
      <c r="K1791" s="3" t="s">
        <v>64</v>
      </c>
      <c r="L1791" s="2" t="s">
        <v>15618</v>
      </c>
      <c r="M1791" s="2" t="s">
        <v>13899</v>
      </c>
      <c r="N1791" s="3" t="s">
        <v>1113</v>
      </c>
      <c r="P1791" s="3" t="s">
        <v>66</v>
      </c>
      <c r="Q1791" s="2" t="s">
        <v>13900</v>
      </c>
      <c r="R1791" s="3" t="s">
        <v>67</v>
      </c>
      <c r="S1791" s="4">
        <v>24</v>
      </c>
      <c r="T1791" s="4">
        <v>24</v>
      </c>
      <c r="U1791" s="5" t="s">
        <v>6873</v>
      </c>
      <c r="V1791" s="5" t="s">
        <v>6873</v>
      </c>
      <c r="W1791" s="5" t="s">
        <v>69</v>
      </c>
      <c r="X1791" s="5" t="s">
        <v>69</v>
      </c>
      <c r="Y1791" s="4">
        <v>102</v>
      </c>
      <c r="Z1791" s="4">
        <v>8</v>
      </c>
      <c r="AA1791" s="4">
        <v>8</v>
      </c>
      <c r="AB1791" s="4">
        <v>1</v>
      </c>
      <c r="AC1791" s="4">
        <v>1</v>
      </c>
      <c r="AD1791" s="4">
        <v>49</v>
      </c>
      <c r="AE1791" s="4">
        <v>49</v>
      </c>
      <c r="AF1791" s="4">
        <v>0</v>
      </c>
      <c r="AG1791" s="4">
        <v>0</v>
      </c>
      <c r="AH1791" s="4">
        <v>47</v>
      </c>
      <c r="AI1791" s="4">
        <v>47</v>
      </c>
      <c r="AJ1791" s="4">
        <v>5</v>
      </c>
      <c r="AK1791" s="4">
        <v>5</v>
      </c>
      <c r="AL1791" s="4">
        <v>27</v>
      </c>
      <c r="AM1791" s="4">
        <v>27</v>
      </c>
      <c r="AN1791" s="4">
        <v>0</v>
      </c>
      <c r="AO1791" s="4">
        <v>0</v>
      </c>
      <c r="AP1791" s="4">
        <v>6</v>
      </c>
      <c r="AQ1791" s="4">
        <v>6</v>
      </c>
      <c r="AR1791" s="3" t="s">
        <v>63</v>
      </c>
      <c r="AS1791" s="3" t="s">
        <v>63</v>
      </c>
      <c r="AT1791" s="3" t="s">
        <v>62</v>
      </c>
      <c r="AU1791" s="6" t="str">
        <f>HYPERLINK("http://catalog.hathitrust.org/Record/007134384","HathiTrust Record")</f>
        <v>HathiTrust Record</v>
      </c>
      <c r="AV1791" s="6" t="str">
        <f>HYPERLINK("http://mcgill.on.worldcat.org/oclc/37858374","Catalog Record")</f>
        <v>Catalog Record</v>
      </c>
      <c r="AW1791" s="6" t="str">
        <f>HYPERLINK("http://www.worldcat.org/oclc/37858374","WorldCat Record")</f>
        <v>WorldCat Record</v>
      </c>
      <c r="AX1791" s="3" t="s">
        <v>15619</v>
      </c>
      <c r="AY1791" s="3" t="s">
        <v>15620</v>
      </c>
      <c r="AZ1791" s="3" t="s">
        <v>15621</v>
      </c>
      <c r="BA1791" s="3" t="s">
        <v>15621</v>
      </c>
      <c r="BB1791" s="3" t="s">
        <v>15622</v>
      </c>
      <c r="BC1791" s="3" t="s">
        <v>82</v>
      </c>
      <c r="BD1791" s="3" t="s">
        <v>70</v>
      </c>
      <c r="BE1791" s="3" t="s">
        <v>15623</v>
      </c>
      <c r="BF1791" s="3" t="s">
        <v>15622</v>
      </c>
      <c r="BG1791" s="3" t="s">
        <v>15624</v>
      </c>
    </row>
    <row r="1792" spans="1:59" ht="60" x14ac:dyDescent="0.25">
      <c r="A1792" s="2" t="s">
        <v>59</v>
      </c>
      <c r="B1792" s="2" t="s">
        <v>60</v>
      </c>
      <c r="C1792" s="2" t="s">
        <v>15625</v>
      </c>
      <c r="D1792" s="2" t="s">
        <v>15626</v>
      </c>
      <c r="E1792" s="2" t="s">
        <v>15627</v>
      </c>
      <c r="G1792" s="3" t="s">
        <v>63</v>
      </c>
      <c r="I1792" s="3" t="s">
        <v>63</v>
      </c>
      <c r="J1792" s="3" t="s">
        <v>63</v>
      </c>
      <c r="K1792" s="3" t="s">
        <v>64</v>
      </c>
      <c r="L1792" s="2" t="s">
        <v>15628</v>
      </c>
      <c r="M1792" s="2" t="s">
        <v>15629</v>
      </c>
      <c r="N1792" s="3" t="s">
        <v>274</v>
      </c>
      <c r="P1792" s="3" t="s">
        <v>66</v>
      </c>
      <c r="Q1792" s="2" t="s">
        <v>5117</v>
      </c>
      <c r="R1792" s="3" t="s">
        <v>67</v>
      </c>
      <c r="S1792" s="4">
        <v>22</v>
      </c>
      <c r="T1792" s="4">
        <v>22</v>
      </c>
      <c r="U1792" s="5" t="s">
        <v>8335</v>
      </c>
      <c r="V1792" s="5" t="s">
        <v>8335</v>
      </c>
      <c r="W1792" s="5" t="s">
        <v>69</v>
      </c>
      <c r="X1792" s="5" t="s">
        <v>69</v>
      </c>
      <c r="Y1792" s="4">
        <v>400</v>
      </c>
      <c r="Z1792" s="4">
        <v>19</v>
      </c>
      <c r="AA1792" s="4">
        <v>20</v>
      </c>
      <c r="AB1792" s="4">
        <v>1</v>
      </c>
      <c r="AC1792" s="4">
        <v>2</v>
      </c>
      <c r="AD1792" s="4">
        <v>109</v>
      </c>
      <c r="AE1792" s="4">
        <v>110</v>
      </c>
      <c r="AF1792" s="4">
        <v>0</v>
      </c>
      <c r="AG1792" s="4">
        <v>1</v>
      </c>
      <c r="AH1792" s="4">
        <v>100</v>
      </c>
      <c r="AI1792" s="4">
        <v>101</v>
      </c>
      <c r="AJ1792" s="4">
        <v>13</v>
      </c>
      <c r="AK1792" s="4">
        <v>14</v>
      </c>
      <c r="AL1792" s="4">
        <v>53</v>
      </c>
      <c r="AM1792" s="4">
        <v>53</v>
      </c>
      <c r="AN1792" s="4">
        <v>0</v>
      </c>
      <c r="AO1792" s="4">
        <v>0</v>
      </c>
      <c r="AP1792" s="4">
        <v>16</v>
      </c>
      <c r="AQ1792" s="4">
        <v>17</v>
      </c>
      <c r="AR1792" s="3" t="s">
        <v>63</v>
      </c>
      <c r="AS1792" s="3" t="s">
        <v>63</v>
      </c>
      <c r="AT1792" s="3" t="s">
        <v>62</v>
      </c>
      <c r="AU1792" s="6" t="str">
        <f>HYPERLINK("http://catalog.hathitrust.org/Record/004065120","HathiTrust Record")</f>
        <v>HathiTrust Record</v>
      </c>
      <c r="AV1792" s="6" t="str">
        <f>HYPERLINK("http://mcgill.on.worldcat.org/oclc/41017310","Catalog Record")</f>
        <v>Catalog Record</v>
      </c>
      <c r="AW1792" s="6" t="str">
        <f>HYPERLINK("http://www.worldcat.org/oclc/41017310","WorldCat Record")</f>
        <v>WorldCat Record</v>
      </c>
      <c r="AX1792" s="3" t="s">
        <v>15630</v>
      </c>
      <c r="AY1792" s="3" t="s">
        <v>15631</v>
      </c>
      <c r="AZ1792" s="3" t="s">
        <v>15632</v>
      </c>
      <c r="BA1792" s="3" t="s">
        <v>15632</v>
      </c>
      <c r="BB1792" s="3" t="s">
        <v>15633</v>
      </c>
      <c r="BC1792" s="3" t="s">
        <v>82</v>
      </c>
      <c r="BD1792" s="3" t="s">
        <v>70</v>
      </c>
      <c r="BE1792" s="3" t="s">
        <v>15634</v>
      </c>
      <c r="BF1792" s="3" t="s">
        <v>15633</v>
      </c>
      <c r="BG1792" s="3" t="s">
        <v>15635</v>
      </c>
    </row>
    <row r="1793" spans="1:59" ht="75" x14ac:dyDescent="0.25">
      <c r="A1793" s="2" t="s">
        <v>59</v>
      </c>
      <c r="B1793" s="2" t="s">
        <v>60</v>
      </c>
      <c r="C1793" s="2" t="s">
        <v>15636</v>
      </c>
      <c r="D1793" s="2" t="s">
        <v>15637</v>
      </c>
      <c r="E1793" s="2" t="s">
        <v>15638</v>
      </c>
      <c r="G1793" s="3" t="s">
        <v>63</v>
      </c>
      <c r="I1793" s="3" t="s">
        <v>63</v>
      </c>
      <c r="J1793" s="3" t="s">
        <v>63</v>
      </c>
      <c r="K1793" s="3" t="s">
        <v>64</v>
      </c>
      <c r="L1793" s="2" t="s">
        <v>5944</v>
      </c>
      <c r="M1793" s="2" t="s">
        <v>15639</v>
      </c>
      <c r="N1793" s="3" t="s">
        <v>176</v>
      </c>
      <c r="P1793" s="3" t="s">
        <v>90</v>
      </c>
      <c r="R1793" s="3" t="s">
        <v>67</v>
      </c>
      <c r="S1793" s="4">
        <v>5</v>
      </c>
      <c r="T1793" s="4">
        <v>5</v>
      </c>
      <c r="U1793" s="5" t="s">
        <v>404</v>
      </c>
      <c r="V1793" s="5" t="s">
        <v>404</v>
      </c>
      <c r="W1793" s="5" t="s">
        <v>69</v>
      </c>
      <c r="X1793" s="5" t="s">
        <v>69</v>
      </c>
      <c r="Y1793" s="4">
        <v>27</v>
      </c>
      <c r="Z1793" s="4">
        <v>2</v>
      </c>
      <c r="AA1793" s="4">
        <v>2</v>
      </c>
      <c r="AB1793" s="4">
        <v>1</v>
      </c>
      <c r="AC1793" s="4">
        <v>1</v>
      </c>
      <c r="AD1793" s="4">
        <v>17</v>
      </c>
      <c r="AE1793" s="4">
        <v>17</v>
      </c>
      <c r="AF1793" s="4">
        <v>0</v>
      </c>
      <c r="AG1793" s="4">
        <v>0</v>
      </c>
      <c r="AH1793" s="4">
        <v>16</v>
      </c>
      <c r="AI1793" s="4">
        <v>16</v>
      </c>
      <c r="AJ1793" s="4">
        <v>1</v>
      </c>
      <c r="AK1793" s="4">
        <v>1</v>
      </c>
      <c r="AL1793" s="4">
        <v>12</v>
      </c>
      <c r="AM1793" s="4">
        <v>12</v>
      </c>
      <c r="AN1793" s="4">
        <v>0</v>
      </c>
      <c r="AO1793" s="4">
        <v>0</v>
      </c>
      <c r="AP1793" s="4">
        <v>1</v>
      </c>
      <c r="AQ1793" s="4">
        <v>1</v>
      </c>
      <c r="AR1793" s="3" t="s">
        <v>63</v>
      </c>
      <c r="AS1793" s="3" t="s">
        <v>63</v>
      </c>
      <c r="AT1793" s="3" t="s">
        <v>63</v>
      </c>
      <c r="AV1793" s="6" t="str">
        <f>HYPERLINK("http://mcgill.on.worldcat.org/oclc/41890002","Catalog Record")</f>
        <v>Catalog Record</v>
      </c>
      <c r="AW1793" s="6" t="str">
        <f>HYPERLINK("http://www.worldcat.org/oclc/41890002","WorldCat Record")</f>
        <v>WorldCat Record</v>
      </c>
      <c r="AX1793" s="3" t="s">
        <v>15640</v>
      </c>
      <c r="AY1793" s="3" t="s">
        <v>15641</v>
      </c>
      <c r="AZ1793" s="3" t="s">
        <v>15642</v>
      </c>
      <c r="BA1793" s="3" t="s">
        <v>15642</v>
      </c>
      <c r="BB1793" s="3" t="s">
        <v>15643</v>
      </c>
      <c r="BC1793" s="3" t="s">
        <v>82</v>
      </c>
      <c r="BD1793" s="3" t="s">
        <v>70</v>
      </c>
      <c r="BE1793" s="3" t="s">
        <v>15644</v>
      </c>
      <c r="BF1793" s="3" t="s">
        <v>15643</v>
      </c>
      <c r="BG1793" s="3" t="s">
        <v>15645</v>
      </c>
    </row>
    <row r="1794" spans="1:59" ht="60" x14ac:dyDescent="0.25">
      <c r="A1794" s="2" t="s">
        <v>59</v>
      </c>
      <c r="B1794" s="2" t="s">
        <v>60</v>
      </c>
      <c r="C1794" s="2" t="s">
        <v>15646</v>
      </c>
      <c r="D1794" s="2" t="s">
        <v>15647</v>
      </c>
      <c r="E1794" s="2" t="s">
        <v>15648</v>
      </c>
      <c r="G1794" s="3" t="s">
        <v>63</v>
      </c>
      <c r="I1794" s="3" t="s">
        <v>63</v>
      </c>
      <c r="J1794" s="3" t="s">
        <v>63</v>
      </c>
      <c r="K1794" s="3" t="s">
        <v>64</v>
      </c>
      <c r="L1794" s="2" t="s">
        <v>15649</v>
      </c>
      <c r="M1794" s="2" t="s">
        <v>15650</v>
      </c>
      <c r="N1794" s="3" t="s">
        <v>143</v>
      </c>
      <c r="P1794" s="3" t="s">
        <v>90</v>
      </c>
      <c r="R1794" s="3" t="s">
        <v>67</v>
      </c>
      <c r="S1794" s="4">
        <v>0</v>
      </c>
      <c r="T1794" s="4">
        <v>0</v>
      </c>
      <c r="W1794" s="5" t="s">
        <v>69</v>
      </c>
      <c r="X1794" s="5" t="s">
        <v>69</v>
      </c>
      <c r="Y1794" s="4">
        <v>9</v>
      </c>
      <c r="Z1794" s="4">
        <v>4</v>
      </c>
      <c r="AA1794" s="4">
        <v>4</v>
      </c>
      <c r="AB1794" s="4">
        <v>1</v>
      </c>
      <c r="AC1794" s="4">
        <v>1</v>
      </c>
      <c r="AD1794" s="4">
        <v>6</v>
      </c>
      <c r="AE1794" s="4">
        <v>6</v>
      </c>
      <c r="AF1794" s="4">
        <v>0</v>
      </c>
      <c r="AG1794" s="4">
        <v>0</v>
      </c>
      <c r="AH1794" s="4">
        <v>6</v>
      </c>
      <c r="AI1794" s="4">
        <v>6</v>
      </c>
      <c r="AJ1794" s="4">
        <v>2</v>
      </c>
      <c r="AK1794" s="4">
        <v>2</v>
      </c>
      <c r="AL1794" s="4">
        <v>5</v>
      </c>
      <c r="AM1794" s="4">
        <v>5</v>
      </c>
      <c r="AN1794" s="4">
        <v>0</v>
      </c>
      <c r="AO1794" s="4">
        <v>0</v>
      </c>
      <c r="AP1794" s="4">
        <v>2</v>
      </c>
      <c r="AQ1794" s="4">
        <v>2</v>
      </c>
      <c r="AR1794" s="3" t="s">
        <v>63</v>
      </c>
      <c r="AS1794" s="3" t="s">
        <v>63</v>
      </c>
      <c r="AT1794" s="3" t="s">
        <v>63</v>
      </c>
      <c r="AV1794" s="6" t="str">
        <f>HYPERLINK("http://mcgill.on.worldcat.org/oclc/936060201","Catalog Record")</f>
        <v>Catalog Record</v>
      </c>
      <c r="AW1794" s="6" t="str">
        <f>HYPERLINK("http://www.worldcat.org/oclc/936060201","WorldCat Record")</f>
        <v>WorldCat Record</v>
      </c>
      <c r="AX1794" s="3" t="s">
        <v>15651</v>
      </c>
      <c r="AY1794" s="3" t="s">
        <v>15652</v>
      </c>
      <c r="AZ1794" s="3" t="s">
        <v>15653</v>
      </c>
      <c r="BA1794" s="3" t="s">
        <v>15653</v>
      </c>
      <c r="BB1794" s="3" t="s">
        <v>15654</v>
      </c>
      <c r="BC1794" s="3" t="s">
        <v>82</v>
      </c>
      <c r="BD1794" s="3" t="s">
        <v>70</v>
      </c>
      <c r="BE1794" s="3" t="s">
        <v>15655</v>
      </c>
      <c r="BF1794" s="3" t="s">
        <v>15654</v>
      </c>
      <c r="BG1794" s="3" t="s">
        <v>15656</v>
      </c>
    </row>
    <row r="1795" spans="1:59" ht="60" x14ac:dyDescent="0.25">
      <c r="A1795" s="2" t="s">
        <v>59</v>
      </c>
      <c r="B1795" s="2" t="s">
        <v>60</v>
      </c>
      <c r="C1795" s="2" t="s">
        <v>15657</v>
      </c>
      <c r="D1795" s="2" t="s">
        <v>15658</v>
      </c>
      <c r="E1795" s="2" t="s">
        <v>15659</v>
      </c>
      <c r="G1795" s="3" t="s">
        <v>63</v>
      </c>
      <c r="I1795" s="3" t="s">
        <v>63</v>
      </c>
      <c r="J1795" s="3" t="s">
        <v>63</v>
      </c>
      <c r="K1795" s="3" t="s">
        <v>64</v>
      </c>
      <c r="L1795" s="2" t="s">
        <v>15660</v>
      </c>
      <c r="M1795" s="2" t="s">
        <v>15661</v>
      </c>
      <c r="N1795" s="3" t="s">
        <v>313</v>
      </c>
      <c r="P1795" s="3" t="s">
        <v>90</v>
      </c>
      <c r="R1795" s="3" t="s">
        <v>67</v>
      </c>
      <c r="S1795" s="4">
        <v>1</v>
      </c>
      <c r="T1795" s="4">
        <v>1</v>
      </c>
      <c r="U1795" s="5" t="s">
        <v>15662</v>
      </c>
      <c r="V1795" s="5" t="s">
        <v>15662</v>
      </c>
      <c r="W1795" s="5" t="s">
        <v>69</v>
      </c>
      <c r="X1795" s="5" t="s">
        <v>69</v>
      </c>
      <c r="Y1795" s="4">
        <v>30</v>
      </c>
      <c r="Z1795" s="4">
        <v>4</v>
      </c>
      <c r="AA1795" s="4">
        <v>4</v>
      </c>
      <c r="AB1795" s="4">
        <v>1</v>
      </c>
      <c r="AC1795" s="4">
        <v>1</v>
      </c>
      <c r="AD1795" s="4">
        <v>24</v>
      </c>
      <c r="AE1795" s="4">
        <v>24</v>
      </c>
      <c r="AF1795" s="4">
        <v>0</v>
      </c>
      <c r="AG1795" s="4">
        <v>0</v>
      </c>
      <c r="AH1795" s="4">
        <v>23</v>
      </c>
      <c r="AI1795" s="4">
        <v>23</v>
      </c>
      <c r="AJ1795" s="4">
        <v>3</v>
      </c>
      <c r="AK1795" s="4">
        <v>3</v>
      </c>
      <c r="AL1795" s="4">
        <v>17</v>
      </c>
      <c r="AM1795" s="4">
        <v>17</v>
      </c>
      <c r="AN1795" s="4">
        <v>0</v>
      </c>
      <c r="AO1795" s="4">
        <v>0</v>
      </c>
      <c r="AP1795" s="4">
        <v>3</v>
      </c>
      <c r="AQ1795" s="4">
        <v>3</v>
      </c>
      <c r="AR1795" s="3" t="s">
        <v>63</v>
      </c>
      <c r="AS1795" s="3" t="s">
        <v>63</v>
      </c>
      <c r="AT1795" s="3" t="s">
        <v>62</v>
      </c>
      <c r="AU1795" s="6" t="str">
        <f>HYPERLINK("http://catalog.hathitrust.org/Record/011810616","HathiTrust Record")</f>
        <v>HathiTrust Record</v>
      </c>
      <c r="AV1795" s="6" t="str">
        <f>HYPERLINK("http://mcgill.on.worldcat.org/oclc/593265512","Catalog Record")</f>
        <v>Catalog Record</v>
      </c>
      <c r="AW1795" s="6" t="str">
        <f>HYPERLINK("http://www.worldcat.org/oclc/593265512","WorldCat Record")</f>
        <v>WorldCat Record</v>
      </c>
      <c r="AX1795" s="3" t="s">
        <v>15663</v>
      </c>
      <c r="AY1795" s="3" t="s">
        <v>15664</v>
      </c>
      <c r="AZ1795" s="3" t="s">
        <v>15665</v>
      </c>
      <c r="BA1795" s="3" t="s">
        <v>15665</v>
      </c>
      <c r="BB1795" s="3" t="s">
        <v>15666</v>
      </c>
      <c r="BC1795" s="3" t="s">
        <v>82</v>
      </c>
      <c r="BD1795" s="3" t="s">
        <v>70</v>
      </c>
      <c r="BE1795" s="3" t="s">
        <v>15667</v>
      </c>
      <c r="BF1795" s="3" t="s">
        <v>15666</v>
      </c>
      <c r="BG1795" s="3" t="s">
        <v>15668</v>
      </c>
    </row>
    <row r="1796" spans="1:59" ht="60" x14ac:dyDescent="0.25">
      <c r="A1796" s="2" t="s">
        <v>59</v>
      </c>
      <c r="B1796" s="2" t="s">
        <v>60</v>
      </c>
      <c r="C1796" s="2" t="s">
        <v>15669</v>
      </c>
      <c r="D1796" s="2" t="s">
        <v>15670</v>
      </c>
      <c r="E1796" s="2" t="s">
        <v>15671</v>
      </c>
      <c r="G1796" s="3" t="s">
        <v>63</v>
      </c>
      <c r="I1796" s="3" t="s">
        <v>63</v>
      </c>
      <c r="J1796" s="3" t="s">
        <v>62</v>
      </c>
      <c r="K1796" s="3" t="s">
        <v>215</v>
      </c>
      <c r="L1796" s="2" t="s">
        <v>324</v>
      </c>
      <c r="M1796" s="2" t="s">
        <v>12146</v>
      </c>
      <c r="N1796" s="3" t="s">
        <v>261</v>
      </c>
      <c r="P1796" s="3" t="s">
        <v>66</v>
      </c>
      <c r="Q1796" s="2" t="s">
        <v>15672</v>
      </c>
      <c r="R1796" s="3" t="s">
        <v>67</v>
      </c>
      <c r="S1796" s="4">
        <v>8</v>
      </c>
      <c r="T1796" s="4">
        <v>8</v>
      </c>
      <c r="U1796" s="5" t="s">
        <v>15673</v>
      </c>
      <c r="V1796" s="5" t="s">
        <v>15673</v>
      </c>
      <c r="W1796" s="5" t="s">
        <v>69</v>
      </c>
      <c r="X1796" s="5" t="s">
        <v>69</v>
      </c>
      <c r="Y1796" s="4">
        <v>119</v>
      </c>
      <c r="Z1796" s="4">
        <v>8</v>
      </c>
      <c r="AA1796" s="4">
        <v>74</v>
      </c>
      <c r="AB1796" s="4">
        <v>1</v>
      </c>
      <c r="AC1796" s="4">
        <v>10</v>
      </c>
      <c r="AD1796" s="4">
        <v>36</v>
      </c>
      <c r="AE1796" s="4">
        <v>139</v>
      </c>
      <c r="AF1796" s="4">
        <v>0</v>
      </c>
      <c r="AG1796" s="4">
        <v>4</v>
      </c>
      <c r="AH1796" s="4">
        <v>34</v>
      </c>
      <c r="AI1796" s="4">
        <v>107</v>
      </c>
      <c r="AJ1796" s="4">
        <v>4</v>
      </c>
      <c r="AK1796" s="4">
        <v>24</v>
      </c>
      <c r="AL1796" s="4">
        <v>28</v>
      </c>
      <c r="AM1796" s="4">
        <v>60</v>
      </c>
      <c r="AN1796" s="4">
        <v>0</v>
      </c>
      <c r="AO1796" s="4">
        <v>7</v>
      </c>
      <c r="AP1796" s="4">
        <v>4</v>
      </c>
      <c r="AQ1796" s="4">
        <v>37</v>
      </c>
      <c r="AR1796" s="3" t="s">
        <v>63</v>
      </c>
      <c r="AS1796" s="3" t="s">
        <v>63</v>
      </c>
      <c r="AT1796" s="3" t="s">
        <v>63</v>
      </c>
      <c r="AV1796" s="6" t="str">
        <f>HYPERLINK("http://mcgill.on.worldcat.org/oclc/85691827","Catalog Record")</f>
        <v>Catalog Record</v>
      </c>
      <c r="AW1796" s="6" t="str">
        <f>HYPERLINK("http://www.worldcat.org/oclc/85691827","WorldCat Record")</f>
        <v>WorldCat Record</v>
      </c>
      <c r="AX1796" s="3" t="s">
        <v>15674</v>
      </c>
      <c r="AY1796" s="3" t="s">
        <v>15675</v>
      </c>
      <c r="AZ1796" s="3" t="s">
        <v>15676</v>
      </c>
      <c r="BA1796" s="3" t="s">
        <v>15676</v>
      </c>
      <c r="BB1796" s="3" t="s">
        <v>15677</v>
      </c>
      <c r="BC1796" s="3" t="s">
        <v>82</v>
      </c>
      <c r="BD1796" s="3" t="s">
        <v>70</v>
      </c>
      <c r="BE1796" s="3" t="s">
        <v>15678</v>
      </c>
      <c r="BF1796" s="3" t="s">
        <v>15677</v>
      </c>
      <c r="BG1796" s="3" t="s">
        <v>15679</v>
      </c>
    </row>
    <row r="1797" spans="1:59" ht="75" x14ac:dyDescent="0.25">
      <c r="A1797" s="2" t="s">
        <v>59</v>
      </c>
      <c r="B1797" s="2" t="s">
        <v>60</v>
      </c>
      <c r="C1797" s="2" t="s">
        <v>15680</v>
      </c>
      <c r="D1797" s="2" t="s">
        <v>15681</v>
      </c>
      <c r="E1797" s="2" t="s">
        <v>15682</v>
      </c>
      <c r="G1797" s="3" t="s">
        <v>63</v>
      </c>
      <c r="I1797" s="3" t="s">
        <v>63</v>
      </c>
      <c r="J1797" s="3" t="s">
        <v>63</v>
      </c>
      <c r="K1797" s="3" t="s">
        <v>64</v>
      </c>
      <c r="L1797" s="2" t="s">
        <v>15683</v>
      </c>
      <c r="M1797" s="2" t="s">
        <v>15684</v>
      </c>
      <c r="N1797" s="3" t="s">
        <v>668</v>
      </c>
      <c r="P1797" s="3" t="s">
        <v>66</v>
      </c>
      <c r="Q1797" s="2" t="s">
        <v>15685</v>
      </c>
      <c r="R1797" s="3" t="s">
        <v>67</v>
      </c>
      <c r="S1797" s="4">
        <v>19</v>
      </c>
      <c r="T1797" s="4">
        <v>19</v>
      </c>
      <c r="U1797" s="5" t="s">
        <v>15686</v>
      </c>
      <c r="V1797" s="5" t="s">
        <v>15686</v>
      </c>
      <c r="W1797" s="5" t="s">
        <v>69</v>
      </c>
      <c r="X1797" s="5" t="s">
        <v>69</v>
      </c>
      <c r="Y1797" s="4">
        <v>121</v>
      </c>
      <c r="Z1797" s="4">
        <v>15</v>
      </c>
      <c r="AA1797" s="4">
        <v>15</v>
      </c>
      <c r="AB1797" s="4">
        <v>1</v>
      </c>
      <c r="AC1797" s="4">
        <v>1</v>
      </c>
      <c r="AD1797" s="4">
        <v>71</v>
      </c>
      <c r="AE1797" s="4">
        <v>71</v>
      </c>
      <c r="AF1797" s="4">
        <v>0</v>
      </c>
      <c r="AG1797" s="4">
        <v>0</v>
      </c>
      <c r="AH1797" s="4">
        <v>65</v>
      </c>
      <c r="AI1797" s="4">
        <v>65</v>
      </c>
      <c r="AJ1797" s="4">
        <v>13</v>
      </c>
      <c r="AK1797" s="4">
        <v>13</v>
      </c>
      <c r="AL1797" s="4">
        <v>43</v>
      </c>
      <c r="AM1797" s="4">
        <v>43</v>
      </c>
      <c r="AN1797" s="4">
        <v>0</v>
      </c>
      <c r="AO1797" s="4">
        <v>0</v>
      </c>
      <c r="AP1797" s="4">
        <v>13</v>
      </c>
      <c r="AQ1797" s="4">
        <v>13</v>
      </c>
      <c r="AR1797" s="3" t="s">
        <v>63</v>
      </c>
      <c r="AS1797" s="3" t="s">
        <v>63</v>
      </c>
      <c r="AT1797" s="3" t="s">
        <v>62</v>
      </c>
      <c r="AU1797" s="6" t="str">
        <f>HYPERLINK("http://catalog.hathitrust.org/Record/002497249","HathiTrust Record")</f>
        <v>HathiTrust Record</v>
      </c>
      <c r="AV1797" s="6" t="str">
        <f>HYPERLINK("http://mcgill.on.worldcat.org/oclc/22005778","Catalog Record")</f>
        <v>Catalog Record</v>
      </c>
      <c r="AW1797" s="6" t="str">
        <f>HYPERLINK("http://www.worldcat.org/oclc/22005778","WorldCat Record")</f>
        <v>WorldCat Record</v>
      </c>
      <c r="AX1797" s="3" t="s">
        <v>15687</v>
      </c>
      <c r="AY1797" s="3" t="s">
        <v>15688</v>
      </c>
      <c r="AZ1797" s="3" t="s">
        <v>15689</v>
      </c>
      <c r="BA1797" s="3" t="s">
        <v>15689</v>
      </c>
      <c r="BB1797" s="3" t="s">
        <v>15690</v>
      </c>
      <c r="BC1797" s="3" t="s">
        <v>82</v>
      </c>
      <c r="BD1797" s="3" t="s">
        <v>70</v>
      </c>
      <c r="BE1797" s="3" t="s">
        <v>15691</v>
      </c>
      <c r="BF1797" s="3" t="s">
        <v>15690</v>
      </c>
      <c r="BG1797" s="3" t="s">
        <v>15692</v>
      </c>
    </row>
    <row r="1798" spans="1:59" ht="75" x14ac:dyDescent="0.25">
      <c r="A1798" s="2" t="s">
        <v>59</v>
      </c>
      <c r="B1798" s="2" t="s">
        <v>60</v>
      </c>
      <c r="C1798" s="2" t="s">
        <v>15693</v>
      </c>
      <c r="D1798" s="2" t="s">
        <v>15694</v>
      </c>
      <c r="E1798" s="2" t="s">
        <v>15695</v>
      </c>
      <c r="G1798" s="3" t="s">
        <v>63</v>
      </c>
      <c r="I1798" s="3" t="s">
        <v>63</v>
      </c>
      <c r="J1798" s="3" t="s">
        <v>63</v>
      </c>
      <c r="K1798" s="3" t="s">
        <v>64</v>
      </c>
      <c r="L1798" s="2" t="s">
        <v>15696</v>
      </c>
      <c r="M1798" s="2" t="s">
        <v>2555</v>
      </c>
      <c r="N1798" s="3" t="s">
        <v>176</v>
      </c>
      <c r="P1798" s="3" t="s">
        <v>66</v>
      </c>
      <c r="Q1798" s="2" t="s">
        <v>13900</v>
      </c>
      <c r="R1798" s="3" t="s">
        <v>67</v>
      </c>
      <c r="S1798" s="4">
        <v>23</v>
      </c>
      <c r="T1798" s="4">
        <v>23</v>
      </c>
      <c r="U1798" s="5" t="s">
        <v>15697</v>
      </c>
      <c r="V1798" s="5" t="s">
        <v>15697</v>
      </c>
      <c r="W1798" s="5" t="s">
        <v>69</v>
      </c>
      <c r="X1798" s="5" t="s">
        <v>69</v>
      </c>
      <c r="Y1798" s="4">
        <v>103</v>
      </c>
      <c r="Z1798" s="4">
        <v>14</v>
      </c>
      <c r="AA1798" s="4">
        <v>15</v>
      </c>
      <c r="AB1798" s="4">
        <v>1</v>
      </c>
      <c r="AC1798" s="4">
        <v>2</v>
      </c>
      <c r="AD1798" s="4">
        <v>55</v>
      </c>
      <c r="AE1798" s="4">
        <v>56</v>
      </c>
      <c r="AF1798" s="4">
        <v>0</v>
      </c>
      <c r="AG1798" s="4">
        <v>1</v>
      </c>
      <c r="AH1798" s="4">
        <v>49</v>
      </c>
      <c r="AI1798" s="4">
        <v>50</v>
      </c>
      <c r="AJ1798" s="4">
        <v>9</v>
      </c>
      <c r="AK1798" s="4">
        <v>10</v>
      </c>
      <c r="AL1798" s="4">
        <v>33</v>
      </c>
      <c r="AM1798" s="4">
        <v>33</v>
      </c>
      <c r="AN1798" s="4">
        <v>0</v>
      </c>
      <c r="AO1798" s="4">
        <v>0</v>
      </c>
      <c r="AP1798" s="4">
        <v>10</v>
      </c>
      <c r="AQ1798" s="4">
        <v>11</v>
      </c>
      <c r="AR1798" s="3" t="s">
        <v>63</v>
      </c>
      <c r="AS1798" s="3" t="s">
        <v>63</v>
      </c>
      <c r="AT1798" s="3" t="s">
        <v>62</v>
      </c>
      <c r="AU1798" s="6" t="str">
        <f>HYPERLINK("http://catalog.hathitrust.org/Record/003981484","HathiTrust Record")</f>
        <v>HathiTrust Record</v>
      </c>
      <c r="AV1798" s="6" t="str">
        <f>HYPERLINK("http://mcgill.on.worldcat.org/oclc/40093394","Catalog Record")</f>
        <v>Catalog Record</v>
      </c>
      <c r="AW1798" s="6" t="str">
        <f>HYPERLINK("http://www.worldcat.org/oclc/40093394","WorldCat Record")</f>
        <v>WorldCat Record</v>
      </c>
      <c r="AX1798" s="3" t="s">
        <v>15698</v>
      </c>
      <c r="AY1798" s="3" t="s">
        <v>15699</v>
      </c>
      <c r="AZ1798" s="3" t="s">
        <v>15700</v>
      </c>
      <c r="BA1798" s="3" t="s">
        <v>15700</v>
      </c>
      <c r="BB1798" s="3" t="s">
        <v>15701</v>
      </c>
      <c r="BC1798" s="3" t="s">
        <v>82</v>
      </c>
      <c r="BD1798" s="3" t="s">
        <v>70</v>
      </c>
      <c r="BE1798" s="3" t="s">
        <v>15702</v>
      </c>
      <c r="BF1798" s="3" t="s">
        <v>15701</v>
      </c>
      <c r="BG1798" s="3" t="s">
        <v>15703</v>
      </c>
    </row>
    <row r="1799" spans="1:59" ht="75" x14ac:dyDescent="0.25">
      <c r="A1799" s="2" t="s">
        <v>59</v>
      </c>
      <c r="B1799" s="2" t="s">
        <v>60</v>
      </c>
      <c r="C1799" s="2" t="s">
        <v>15704</v>
      </c>
      <c r="D1799" s="2" t="s">
        <v>15705</v>
      </c>
      <c r="E1799" s="2" t="s">
        <v>15706</v>
      </c>
      <c r="G1799" s="3" t="s">
        <v>63</v>
      </c>
      <c r="I1799" s="3" t="s">
        <v>63</v>
      </c>
      <c r="J1799" s="3" t="s">
        <v>63</v>
      </c>
      <c r="K1799" s="3" t="s">
        <v>64</v>
      </c>
      <c r="L1799" s="2" t="s">
        <v>15707</v>
      </c>
      <c r="M1799" s="2" t="s">
        <v>15708</v>
      </c>
      <c r="N1799" s="3" t="s">
        <v>154</v>
      </c>
      <c r="P1799" s="3" t="s">
        <v>66</v>
      </c>
      <c r="Q1799" s="2" t="s">
        <v>15709</v>
      </c>
      <c r="R1799" s="3" t="s">
        <v>67</v>
      </c>
      <c r="S1799" s="4">
        <v>29</v>
      </c>
      <c r="T1799" s="4">
        <v>29</v>
      </c>
      <c r="U1799" s="5" t="s">
        <v>14571</v>
      </c>
      <c r="V1799" s="5" t="s">
        <v>14571</v>
      </c>
      <c r="W1799" s="5" t="s">
        <v>69</v>
      </c>
      <c r="X1799" s="5" t="s">
        <v>69</v>
      </c>
      <c r="Y1799" s="4">
        <v>138</v>
      </c>
      <c r="Z1799" s="4">
        <v>8</v>
      </c>
      <c r="AA1799" s="4">
        <v>8</v>
      </c>
      <c r="AB1799" s="4">
        <v>1</v>
      </c>
      <c r="AC1799" s="4">
        <v>1</v>
      </c>
      <c r="AD1799" s="4">
        <v>63</v>
      </c>
      <c r="AE1799" s="4">
        <v>63</v>
      </c>
      <c r="AF1799" s="4">
        <v>0</v>
      </c>
      <c r="AG1799" s="4">
        <v>0</v>
      </c>
      <c r="AH1799" s="4">
        <v>58</v>
      </c>
      <c r="AI1799" s="4">
        <v>58</v>
      </c>
      <c r="AJ1799" s="4">
        <v>6</v>
      </c>
      <c r="AK1799" s="4">
        <v>6</v>
      </c>
      <c r="AL1799" s="4">
        <v>37</v>
      </c>
      <c r="AM1799" s="4">
        <v>37</v>
      </c>
      <c r="AN1799" s="4">
        <v>0</v>
      </c>
      <c r="AO1799" s="4">
        <v>0</v>
      </c>
      <c r="AP1799" s="4">
        <v>6</v>
      </c>
      <c r="AQ1799" s="4">
        <v>6</v>
      </c>
      <c r="AR1799" s="3" t="s">
        <v>63</v>
      </c>
      <c r="AS1799" s="3" t="s">
        <v>63</v>
      </c>
      <c r="AT1799" s="3" t="s">
        <v>63</v>
      </c>
      <c r="AU1799" s="6" t="str">
        <f>HYPERLINK("http://catalog.hathitrust.org/Record/003561272","HathiTrust Record")</f>
        <v>HathiTrust Record</v>
      </c>
      <c r="AV1799" s="6" t="str">
        <f>HYPERLINK("http://mcgill.on.worldcat.org/oclc/2561565","Catalog Record")</f>
        <v>Catalog Record</v>
      </c>
      <c r="AW1799" s="6" t="str">
        <f>HYPERLINK("http://www.worldcat.org/oclc/2561565","WorldCat Record")</f>
        <v>WorldCat Record</v>
      </c>
      <c r="AX1799" s="3" t="s">
        <v>15710</v>
      </c>
      <c r="AY1799" s="3" t="s">
        <v>15711</v>
      </c>
      <c r="AZ1799" s="3" t="s">
        <v>15712</v>
      </c>
      <c r="BA1799" s="3" t="s">
        <v>15712</v>
      </c>
      <c r="BB1799" s="3" t="s">
        <v>15713</v>
      </c>
      <c r="BC1799" s="3" t="s">
        <v>82</v>
      </c>
      <c r="BD1799" s="3" t="s">
        <v>70</v>
      </c>
      <c r="BF1799" s="3" t="s">
        <v>15713</v>
      </c>
      <c r="BG1799" s="3" t="s">
        <v>15714</v>
      </c>
    </row>
    <row r="1800" spans="1:59" ht="60" x14ac:dyDescent="0.25">
      <c r="A1800" s="2" t="s">
        <v>59</v>
      </c>
      <c r="B1800" s="2" t="s">
        <v>60</v>
      </c>
      <c r="C1800" s="2" t="s">
        <v>15715</v>
      </c>
      <c r="D1800" s="2" t="s">
        <v>15716</v>
      </c>
      <c r="E1800" s="2" t="s">
        <v>15717</v>
      </c>
      <c r="G1800" s="3" t="s">
        <v>63</v>
      </c>
      <c r="I1800" s="3" t="s">
        <v>63</v>
      </c>
      <c r="J1800" s="3" t="s">
        <v>62</v>
      </c>
      <c r="K1800" s="3" t="s">
        <v>64</v>
      </c>
      <c r="L1800" s="2" t="s">
        <v>324</v>
      </c>
      <c r="M1800" s="2" t="s">
        <v>15718</v>
      </c>
      <c r="N1800" s="3" t="s">
        <v>3091</v>
      </c>
      <c r="O1800" s="2" t="s">
        <v>630</v>
      </c>
      <c r="P1800" s="3" t="s">
        <v>90</v>
      </c>
      <c r="R1800" s="3" t="s">
        <v>67</v>
      </c>
      <c r="S1800" s="4">
        <v>6</v>
      </c>
      <c r="T1800" s="4">
        <v>6</v>
      </c>
      <c r="U1800" s="5" t="s">
        <v>575</v>
      </c>
      <c r="V1800" s="5" t="s">
        <v>575</v>
      </c>
      <c r="W1800" s="5" t="s">
        <v>69</v>
      </c>
      <c r="X1800" s="5" t="s">
        <v>69</v>
      </c>
      <c r="Y1800" s="4">
        <v>1</v>
      </c>
      <c r="Z1800" s="4">
        <v>1</v>
      </c>
      <c r="AA1800" s="4">
        <v>31</v>
      </c>
      <c r="AB1800" s="4">
        <v>1</v>
      </c>
      <c r="AC1800" s="4">
        <v>4</v>
      </c>
      <c r="AD1800" s="4">
        <v>0</v>
      </c>
      <c r="AE1800" s="4">
        <v>96</v>
      </c>
      <c r="AF1800" s="4">
        <v>0</v>
      </c>
      <c r="AG1800" s="4">
        <v>1</v>
      </c>
      <c r="AH1800" s="4">
        <v>0</v>
      </c>
      <c r="AI1800" s="4">
        <v>83</v>
      </c>
      <c r="AJ1800" s="4">
        <v>0</v>
      </c>
      <c r="AK1800" s="4">
        <v>13</v>
      </c>
      <c r="AL1800" s="4">
        <v>0</v>
      </c>
      <c r="AM1800" s="4">
        <v>50</v>
      </c>
      <c r="AN1800" s="4">
        <v>0</v>
      </c>
      <c r="AO1800" s="4">
        <v>0</v>
      </c>
      <c r="AP1800" s="4">
        <v>0</v>
      </c>
      <c r="AQ1800" s="4">
        <v>17</v>
      </c>
      <c r="AR1800" s="3" t="s">
        <v>63</v>
      </c>
      <c r="AS1800" s="3" t="s">
        <v>63</v>
      </c>
      <c r="AT1800" s="3" t="s">
        <v>63</v>
      </c>
      <c r="AV1800" s="6" t="str">
        <f>HYPERLINK("http://mcgill.on.worldcat.org/oclc/154288959","Catalog Record")</f>
        <v>Catalog Record</v>
      </c>
      <c r="AW1800" s="6" t="str">
        <f>HYPERLINK("http://www.worldcat.org/oclc/154288959","WorldCat Record")</f>
        <v>WorldCat Record</v>
      </c>
      <c r="AX1800" s="3" t="s">
        <v>15719</v>
      </c>
      <c r="AY1800" s="3" t="s">
        <v>15720</v>
      </c>
      <c r="AZ1800" s="3" t="s">
        <v>15721</v>
      </c>
      <c r="BA1800" s="3" t="s">
        <v>15721</v>
      </c>
      <c r="BB1800" s="3" t="s">
        <v>15722</v>
      </c>
      <c r="BC1800" s="3" t="s">
        <v>82</v>
      </c>
      <c r="BD1800" s="3" t="s">
        <v>70</v>
      </c>
      <c r="BF1800" s="3" t="s">
        <v>15722</v>
      </c>
      <c r="BG1800" s="3" t="s">
        <v>15723</v>
      </c>
    </row>
    <row r="1801" spans="1:59" ht="60" x14ac:dyDescent="0.25">
      <c r="A1801" s="2" t="s">
        <v>59</v>
      </c>
      <c r="B1801" s="2" t="s">
        <v>60</v>
      </c>
      <c r="C1801" s="2" t="s">
        <v>15724</v>
      </c>
      <c r="D1801" s="2" t="s">
        <v>15725</v>
      </c>
      <c r="E1801" s="2" t="s">
        <v>15726</v>
      </c>
      <c r="G1801" s="3" t="s">
        <v>63</v>
      </c>
      <c r="I1801" s="3" t="s">
        <v>63</v>
      </c>
      <c r="J1801" s="3" t="s">
        <v>63</v>
      </c>
      <c r="K1801" s="3" t="s">
        <v>64</v>
      </c>
      <c r="L1801" s="2" t="s">
        <v>15727</v>
      </c>
      <c r="M1801" s="2" t="s">
        <v>15728</v>
      </c>
      <c r="N1801" s="3" t="s">
        <v>190</v>
      </c>
      <c r="P1801" s="3" t="s">
        <v>66</v>
      </c>
      <c r="R1801" s="3" t="s">
        <v>67</v>
      </c>
      <c r="S1801" s="4">
        <v>3</v>
      </c>
      <c r="T1801" s="4">
        <v>3</v>
      </c>
      <c r="U1801" s="5" t="s">
        <v>5687</v>
      </c>
      <c r="V1801" s="5" t="s">
        <v>5687</v>
      </c>
      <c r="W1801" s="5" t="s">
        <v>69</v>
      </c>
      <c r="X1801" s="5" t="s">
        <v>69</v>
      </c>
      <c r="Y1801" s="4">
        <v>71</v>
      </c>
      <c r="Z1801" s="4">
        <v>10</v>
      </c>
      <c r="AA1801" s="4">
        <v>13</v>
      </c>
      <c r="AB1801" s="4">
        <v>1</v>
      </c>
      <c r="AC1801" s="4">
        <v>1</v>
      </c>
      <c r="AD1801" s="4">
        <v>46</v>
      </c>
      <c r="AE1801" s="4">
        <v>48</v>
      </c>
      <c r="AF1801" s="4">
        <v>0</v>
      </c>
      <c r="AG1801" s="4">
        <v>0</v>
      </c>
      <c r="AH1801" s="4">
        <v>42</v>
      </c>
      <c r="AI1801" s="4">
        <v>42</v>
      </c>
      <c r="AJ1801" s="4">
        <v>8</v>
      </c>
      <c r="AK1801" s="4">
        <v>9</v>
      </c>
      <c r="AL1801" s="4">
        <v>27</v>
      </c>
      <c r="AM1801" s="4">
        <v>27</v>
      </c>
      <c r="AN1801" s="4">
        <v>0</v>
      </c>
      <c r="AO1801" s="4">
        <v>0</v>
      </c>
      <c r="AP1801" s="4">
        <v>8</v>
      </c>
      <c r="AQ1801" s="4">
        <v>9</v>
      </c>
      <c r="AR1801" s="3" t="s">
        <v>63</v>
      </c>
      <c r="AS1801" s="3" t="s">
        <v>63</v>
      </c>
      <c r="AT1801" s="3" t="s">
        <v>62</v>
      </c>
      <c r="AU1801" s="6" t="str">
        <f>HYPERLINK("http://catalog.hathitrust.org/Record/004977472","HathiTrust Record")</f>
        <v>HathiTrust Record</v>
      </c>
      <c r="AV1801" s="6" t="str">
        <f>HYPERLINK("http://mcgill.on.worldcat.org/oclc/57757378","Catalog Record")</f>
        <v>Catalog Record</v>
      </c>
      <c r="AW1801" s="6" t="str">
        <f>HYPERLINK("http://www.worldcat.org/oclc/57757378","WorldCat Record")</f>
        <v>WorldCat Record</v>
      </c>
      <c r="AX1801" s="3" t="s">
        <v>15729</v>
      </c>
      <c r="AY1801" s="3" t="s">
        <v>15730</v>
      </c>
      <c r="AZ1801" s="3" t="s">
        <v>15731</v>
      </c>
      <c r="BA1801" s="3" t="s">
        <v>15731</v>
      </c>
      <c r="BB1801" s="3" t="s">
        <v>15732</v>
      </c>
      <c r="BC1801" s="3" t="s">
        <v>82</v>
      </c>
      <c r="BD1801" s="3" t="s">
        <v>70</v>
      </c>
      <c r="BE1801" s="3" t="s">
        <v>15733</v>
      </c>
      <c r="BF1801" s="3" t="s">
        <v>15732</v>
      </c>
      <c r="BG1801" s="3" t="s">
        <v>15734</v>
      </c>
    </row>
    <row r="1802" spans="1:59" ht="60" x14ac:dyDescent="0.25">
      <c r="A1802" s="2" t="s">
        <v>59</v>
      </c>
      <c r="B1802" s="2" t="s">
        <v>60</v>
      </c>
      <c r="C1802" s="2" t="s">
        <v>15735</v>
      </c>
      <c r="D1802" s="2" t="s">
        <v>15736</v>
      </c>
      <c r="E1802" s="2" t="s">
        <v>15737</v>
      </c>
      <c r="G1802" s="3" t="s">
        <v>63</v>
      </c>
      <c r="I1802" s="3" t="s">
        <v>63</v>
      </c>
      <c r="J1802" s="3" t="s">
        <v>63</v>
      </c>
      <c r="K1802" s="3" t="s">
        <v>64</v>
      </c>
      <c r="L1802" s="2" t="s">
        <v>324</v>
      </c>
      <c r="M1802" s="2" t="s">
        <v>15738</v>
      </c>
      <c r="N1802" s="3" t="s">
        <v>300</v>
      </c>
      <c r="P1802" s="3" t="s">
        <v>66</v>
      </c>
      <c r="Q1802" s="2" t="s">
        <v>15739</v>
      </c>
      <c r="R1802" s="3" t="s">
        <v>67</v>
      </c>
      <c r="S1802" s="4">
        <v>22</v>
      </c>
      <c r="T1802" s="4">
        <v>22</v>
      </c>
      <c r="U1802" s="5" t="s">
        <v>1128</v>
      </c>
      <c r="V1802" s="5" t="s">
        <v>1128</v>
      </c>
      <c r="W1802" s="5" t="s">
        <v>69</v>
      </c>
      <c r="X1802" s="5" t="s">
        <v>69</v>
      </c>
      <c r="Y1802" s="4">
        <v>31</v>
      </c>
      <c r="Z1802" s="4">
        <v>1</v>
      </c>
      <c r="AA1802" s="4">
        <v>7</v>
      </c>
      <c r="AB1802" s="4">
        <v>1</v>
      </c>
      <c r="AC1802" s="4">
        <v>2</v>
      </c>
      <c r="AD1802" s="4">
        <v>8</v>
      </c>
      <c r="AE1802" s="4">
        <v>19</v>
      </c>
      <c r="AF1802" s="4">
        <v>0</v>
      </c>
      <c r="AG1802" s="4">
        <v>0</v>
      </c>
      <c r="AH1802" s="4">
        <v>8</v>
      </c>
      <c r="AI1802" s="4">
        <v>16</v>
      </c>
      <c r="AJ1802" s="4">
        <v>0</v>
      </c>
      <c r="AK1802" s="4">
        <v>3</v>
      </c>
      <c r="AL1802" s="4">
        <v>5</v>
      </c>
      <c r="AM1802" s="4">
        <v>11</v>
      </c>
      <c r="AN1802" s="4">
        <v>5</v>
      </c>
      <c r="AO1802" s="4">
        <v>5</v>
      </c>
      <c r="AP1802" s="4">
        <v>0</v>
      </c>
      <c r="AQ1802" s="4">
        <v>3</v>
      </c>
      <c r="AR1802" s="3" t="s">
        <v>63</v>
      </c>
      <c r="AS1802" s="3" t="s">
        <v>63</v>
      </c>
      <c r="AT1802" s="3" t="s">
        <v>62</v>
      </c>
      <c r="AU1802" s="6" t="str">
        <f>HYPERLINK("http://catalog.hathitrust.org/Record/102087280","HathiTrust Record")</f>
        <v>HathiTrust Record</v>
      </c>
      <c r="AV1802" s="6" t="str">
        <f>HYPERLINK("http://mcgill.on.worldcat.org/oclc/7929479","Catalog Record")</f>
        <v>Catalog Record</v>
      </c>
      <c r="AW1802" s="6" t="str">
        <f>HYPERLINK("http://www.worldcat.org/oclc/7929479","WorldCat Record")</f>
        <v>WorldCat Record</v>
      </c>
      <c r="AX1802" s="3" t="s">
        <v>15740</v>
      </c>
      <c r="AY1802" s="3" t="s">
        <v>15741</v>
      </c>
      <c r="AZ1802" s="3" t="s">
        <v>15742</v>
      </c>
      <c r="BA1802" s="3" t="s">
        <v>15742</v>
      </c>
      <c r="BB1802" s="3" t="s">
        <v>15743</v>
      </c>
      <c r="BC1802" s="3" t="s">
        <v>82</v>
      </c>
      <c r="BD1802" s="3" t="s">
        <v>70</v>
      </c>
      <c r="BF1802" s="3" t="s">
        <v>15743</v>
      </c>
      <c r="BG1802" s="3" t="s">
        <v>15744</v>
      </c>
    </row>
    <row r="1803" spans="1:59" ht="75" x14ac:dyDescent="0.25">
      <c r="A1803" s="2" t="s">
        <v>59</v>
      </c>
      <c r="B1803" s="2" t="s">
        <v>60</v>
      </c>
      <c r="C1803" s="2" t="s">
        <v>15745</v>
      </c>
      <c r="D1803" s="2" t="s">
        <v>15746</v>
      </c>
      <c r="E1803" s="2" t="s">
        <v>15747</v>
      </c>
      <c r="G1803" s="3" t="s">
        <v>63</v>
      </c>
      <c r="I1803" s="3" t="s">
        <v>63</v>
      </c>
      <c r="J1803" s="3" t="s">
        <v>63</v>
      </c>
      <c r="K1803" s="3" t="s">
        <v>64</v>
      </c>
      <c r="L1803" s="2" t="s">
        <v>15748</v>
      </c>
      <c r="M1803" s="2" t="s">
        <v>15749</v>
      </c>
      <c r="N1803" s="3" t="s">
        <v>2459</v>
      </c>
      <c r="P1803" s="3" t="s">
        <v>66</v>
      </c>
      <c r="R1803" s="3" t="s">
        <v>67</v>
      </c>
      <c r="S1803" s="4">
        <v>4</v>
      </c>
      <c r="T1803" s="4">
        <v>4</v>
      </c>
      <c r="U1803" s="5" t="s">
        <v>6308</v>
      </c>
      <c r="V1803" s="5" t="s">
        <v>6308</v>
      </c>
      <c r="W1803" s="5" t="s">
        <v>69</v>
      </c>
      <c r="X1803" s="5" t="s">
        <v>69</v>
      </c>
      <c r="Y1803" s="4">
        <v>112</v>
      </c>
      <c r="Z1803" s="4">
        <v>11</v>
      </c>
      <c r="AA1803" s="4">
        <v>11</v>
      </c>
      <c r="AB1803" s="4">
        <v>1</v>
      </c>
      <c r="AC1803" s="4">
        <v>1</v>
      </c>
      <c r="AD1803" s="4">
        <v>59</v>
      </c>
      <c r="AE1803" s="4">
        <v>59</v>
      </c>
      <c r="AF1803" s="4">
        <v>0</v>
      </c>
      <c r="AG1803" s="4">
        <v>0</v>
      </c>
      <c r="AH1803" s="4">
        <v>55</v>
      </c>
      <c r="AI1803" s="4">
        <v>55</v>
      </c>
      <c r="AJ1803" s="4">
        <v>8</v>
      </c>
      <c r="AK1803" s="4">
        <v>8</v>
      </c>
      <c r="AL1803" s="4">
        <v>35</v>
      </c>
      <c r="AM1803" s="4">
        <v>35</v>
      </c>
      <c r="AN1803" s="4">
        <v>0</v>
      </c>
      <c r="AO1803" s="4">
        <v>0</v>
      </c>
      <c r="AP1803" s="4">
        <v>9</v>
      </c>
      <c r="AQ1803" s="4">
        <v>9</v>
      </c>
      <c r="AR1803" s="3" t="s">
        <v>63</v>
      </c>
      <c r="AS1803" s="3" t="s">
        <v>63</v>
      </c>
      <c r="AT1803" s="3" t="s">
        <v>63</v>
      </c>
      <c r="AV1803" s="6" t="str">
        <f>HYPERLINK("http://mcgill.on.worldcat.org/oclc/243545929","Catalog Record")</f>
        <v>Catalog Record</v>
      </c>
      <c r="AW1803" s="6" t="str">
        <f>HYPERLINK("http://www.worldcat.org/oclc/243545929","WorldCat Record")</f>
        <v>WorldCat Record</v>
      </c>
      <c r="AX1803" s="3" t="s">
        <v>15750</v>
      </c>
      <c r="AY1803" s="3" t="s">
        <v>15751</v>
      </c>
      <c r="AZ1803" s="3" t="s">
        <v>15752</v>
      </c>
      <c r="BA1803" s="3" t="s">
        <v>15752</v>
      </c>
      <c r="BB1803" s="3" t="s">
        <v>15753</v>
      </c>
      <c r="BC1803" s="3" t="s">
        <v>82</v>
      </c>
      <c r="BD1803" s="3" t="s">
        <v>70</v>
      </c>
      <c r="BE1803" s="3" t="s">
        <v>15754</v>
      </c>
      <c r="BF1803" s="3" t="s">
        <v>15753</v>
      </c>
      <c r="BG1803" s="3" t="s">
        <v>15755</v>
      </c>
    </row>
    <row r="1804" spans="1:59" ht="75" x14ac:dyDescent="0.25">
      <c r="A1804" s="2" t="s">
        <v>59</v>
      </c>
      <c r="B1804" s="2" t="s">
        <v>60</v>
      </c>
      <c r="C1804" s="2" t="s">
        <v>15756</v>
      </c>
      <c r="D1804" s="2" t="s">
        <v>15757</v>
      </c>
      <c r="E1804" s="2" t="s">
        <v>15758</v>
      </c>
      <c r="G1804" s="3" t="s">
        <v>63</v>
      </c>
      <c r="I1804" s="3" t="s">
        <v>63</v>
      </c>
      <c r="J1804" s="3" t="s">
        <v>63</v>
      </c>
      <c r="K1804" s="3" t="s">
        <v>64</v>
      </c>
      <c r="M1804" s="2" t="s">
        <v>15759</v>
      </c>
      <c r="N1804" s="3" t="s">
        <v>274</v>
      </c>
      <c r="P1804" s="3" t="s">
        <v>90</v>
      </c>
      <c r="R1804" s="3" t="s">
        <v>67</v>
      </c>
      <c r="S1804" s="4">
        <v>4</v>
      </c>
      <c r="T1804" s="4">
        <v>4</v>
      </c>
      <c r="U1804" s="5" t="s">
        <v>1128</v>
      </c>
      <c r="V1804" s="5" t="s">
        <v>1128</v>
      </c>
      <c r="W1804" s="5" t="s">
        <v>69</v>
      </c>
      <c r="X1804" s="5" t="s">
        <v>69</v>
      </c>
      <c r="Y1804" s="4">
        <v>59</v>
      </c>
      <c r="Z1804" s="4">
        <v>5</v>
      </c>
      <c r="AA1804" s="4">
        <v>23</v>
      </c>
      <c r="AB1804" s="4">
        <v>1</v>
      </c>
      <c r="AC1804" s="4">
        <v>4</v>
      </c>
      <c r="AD1804" s="4">
        <v>37</v>
      </c>
      <c r="AE1804" s="4">
        <v>92</v>
      </c>
      <c r="AF1804" s="4">
        <v>0</v>
      </c>
      <c r="AG1804" s="4">
        <v>1</v>
      </c>
      <c r="AH1804" s="4">
        <v>36</v>
      </c>
      <c r="AI1804" s="4">
        <v>84</v>
      </c>
      <c r="AJ1804" s="4">
        <v>3</v>
      </c>
      <c r="AK1804" s="4">
        <v>13</v>
      </c>
      <c r="AL1804" s="4">
        <v>31</v>
      </c>
      <c r="AM1804" s="4">
        <v>53</v>
      </c>
      <c r="AN1804" s="4">
        <v>0</v>
      </c>
      <c r="AO1804" s="4">
        <v>0</v>
      </c>
      <c r="AP1804" s="4">
        <v>3</v>
      </c>
      <c r="AQ1804" s="4">
        <v>13</v>
      </c>
      <c r="AR1804" s="3" t="s">
        <v>63</v>
      </c>
      <c r="AS1804" s="3" t="s">
        <v>63</v>
      </c>
      <c r="AT1804" s="3" t="s">
        <v>62</v>
      </c>
      <c r="AU1804" s="6" t="str">
        <f>HYPERLINK("http://catalog.hathitrust.org/Record/004122165","HathiTrust Record")</f>
        <v>HathiTrust Record</v>
      </c>
      <c r="AV1804" s="6" t="str">
        <f>HYPERLINK("http://mcgill.on.worldcat.org/oclc/44727732","Catalog Record")</f>
        <v>Catalog Record</v>
      </c>
      <c r="AW1804" s="6" t="str">
        <f>HYPERLINK("http://www.worldcat.org/oclc/44727732","WorldCat Record")</f>
        <v>WorldCat Record</v>
      </c>
      <c r="AX1804" s="3" t="s">
        <v>15760</v>
      </c>
      <c r="AY1804" s="3" t="s">
        <v>15761</v>
      </c>
      <c r="AZ1804" s="3" t="s">
        <v>15762</v>
      </c>
      <c r="BA1804" s="3" t="s">
        <v>15762</v>
      </c>
      <c r="BB1804" s="3" t="s">
        <v>15763</v>
      </c>
      <c r="BC1804" s="3" t="s">
        <v>82</v>
      </c>
      <c r="BD1804" s="3" t="s">
        <v>70</v>
      </c>
      <c r="BE1804" s="3" t="s">
        <v>15764</v>
      </c>
      <c r="BF1804" s="3" t="s">
        <v>15763</v>
      </c>
      <c r="BG1804" s="3" t="s">
        <v>15765</v>
      </c>
    </row>
    <row r="1805" spans="1:59" ht="75" x14ac:dyDescent="0.25">
      <c r="A1805" s="2" t="s">
        <v>59</v>
      </c>
      <c r="B1805" s="2" t="s">
        <v>60</v>
      </c>
      <c r="C1805" s="2" t="s">
        <v>15766</v>
      </c>
      <c r="D1805" s="2" t="s">
        <v>15767</v>
      </c>
      <c r="E1805" s="2" t="s">
        <v>15768</v>
      </c>
      <c r="F1805" s="3" t="s">
        <v>4181</v>
      </c>
      <c r="G1805" s="3" t="s">
        <v>62</v>
      </c>
      <c r="I1805" s="3" t="s">
        <v>63</v>
      </c>
      <c r="J1805" s="3" t="s">
        <v>63</v>
      </c>
      <c r="K1805" s="3" t="s">
        <v>64</v>
      </c>
      <c r="L1805" s="2" t="s">
        <v>15410</v>
      </c>
      <c r="M1805" s="2" t="s">
        <v>15769</v>
      </c>
      <c r="N1805" s="3" t="s">
        <v>274</v>
      </c>
      <c r="P1805" s="3" t="s">
        <v>66</v>
      </c>
      <c r="R1805" s="3" t="s">
        <v>67</v>
      </c>
      <c r="S1805" s="4">
        <v>6</v>
      </c>
      <c r="T1805" s="4">
        <v>87</v>
      </c>
      <c r="U1805" s="5" t="s">
        <v>9342</v>
      </c>
      <c r="V1805" s="5" t="s">
        <v>1929</v>
      </c>
      <c r="W1805" s="5" t="s">
        <v>69</v>
      </c>
      <c r="X1805" s="5" t="s">
        <v>69</v>
      </c>
      <c r="Y1805" s="4">
        <v>33</v>
      </c>
      <c r="Z1805" s="4">
        <v>2</v>
      </c>
      <c r="AA1805" s="4">
        <v>2</v>
      </c>
      <c r="AB1805" s="4">
        <v>1</v>
      </c>
      <c r="AC1805" s="4">
        <v>1</v>
      </c>
      <c r="AD1805" s="4">
        <v>20</v>
      </c>
      <c r="AE1805" s="4">
        <v>28</v>
      </c>
      <c r="AF1805" s="4">
        <v>0</v>
      </c>
      <c r="AG1805" s="4">
        <v>0</v>
      </c>
      <c r="AH1805" s="4">
        <v>19</v>
      </c>
      <c r="AI1805" s="4">
        <v>27</v>
      </c>
      <c r="AJ1805" s="4">
        <v>1</v>
      </c>
      <c r="AK1805" s="4">
        <v>1</v>
      </c>
      <c r="AL1805" s="4">
        <v>15</v>
      </c>
      <c r="AM1805" s="4">
        <v>20</v>
      </c>
      <c r="AN1805" s="4">
        <v>0</v>
      </c>
      <c r="AO1805" s="4">
        <v>0</v>
      </c>
      <c r="AP1805" s="4">
        <v>1</v>
      </c>
      <c r="AQ1805" s="4">
        <v>1</v>
      </c>
      <c r="AR1805" s="3" t="s">
        <v>63</v>
      </c>
      <c r="AS1805" s="3" t="s">
        <v>63</v>
      </c>
      <c r="AT1805" s="3" t="s">
        <v>62</v>
      </c>
      <c r="AU1805" s="6" t="str">
        <f>HYPERLINK("http://catalog.hathitrust.org/Record/004117755","HathiTrust Record")</f>
        <v>HathiTrust Record</v>
      </c>
      <c r="AV1805" s="6" t="str">
        <f>HYPERLINK("http://mcgill.on.worldcat.org/oclc/43889874","Catalog Record")</f>
        <v>Catalog Record</v>
      </c>
      <c r="AW1805" s="6" t="str">
        <f>HYPERLINK("http://www.worldcat.org/oclc/43889874","WorldCat Record")</f>
        <v>WorldCat Record</v>
      </c>
      <c r="AX1805" s="3" t="s">
        <v>15770</v>
      </c>
      <c r="AY1805" s="3" t="s">
        <v>15771</v>
      </c>
      <c r="AZ1805" s="3" t="s">
        <v>15772</v>
      </c>
      <c r="BA1805" s="3" t="s">
        <v>15772</v>
      </c>
      <c r="BB1805" s="3" t="s">
        <v>15773</v>
      </c>
      <c r="BC1805" s="3" t="s">
        <v>82</v>
      </c>
      <c r="BD1805" s="3" t="s">
        <v>538</v>
      </c>
      <c r="BE1805" s="3" t="s">
        <v>15774</v>
      </c>
      <c r="BF1805" s="3" t="s">
        <v>15773</v>
      </c>
      <c r="BG1805" s="3" t="s">
        <v>15775</v>
      </c>
    </row>
    <row r="1806" spans="1:59" ht="75" x14ac:dyDescent="0.25">
      <c r="A1806" s="2" t="s">
        <v>59</v>
      </c>
      <c r="B1806" s="2" t="s">
        <v>60</v>
      </c>
      <c r="C1806" s="2" t="s">
        <v>15766</v>
      </c>
      <c r="D1806" s="2" t="s">
        <v>15767</v>
      </c>
      <c r="E1806" s="2" t="s">
        <v>15768</v>
      </c>
      <c r="F1806" s="3" t="s">
        <v>4168</v>
      </c>
      <c r="G1806" s="3" t="s">
        <v>62</v>
      </c>
      <c r="I1806" s="3" t="s">
        <v>63</v>
      </c>
      <c r="J1806" s="3" t="s">
        <v>63</v>
      </c>
      <c r="K1806" s="3" t="s">
        <v>64</v>
      </c>
      <c r="L1806" s="2" t="s">
        <v>15410</v>
      </c>
      <c r="M1806" s="2" t="s">
        <v>15769</v>
      </c>
      <c r="N1806" s="3" t="s">
        <v>274</v>
      </c>
      <c r="P1806" s="3" t="s">
        <v>66</v>
      </c>
      <c r="R1806" s="3" t="s">
        <v>67</v>
      </c>
      <c r="S1806" s="4">
        <v>7</v>
      </c>
      <c r="T1806" s="4">
        <v>87</v>
      </c>
      <c r="U1806" s="5" t="s">
        <v>15776</v>
      </c>
      <c r="V1806" s="5" t="s">
        <v>1929</v>
      </c>
      <c r="W1806" s="5" t="s">
        <v>69</v>
      </c>
      <c r="X1806" s="5" t="s">
        <v>69</v>
      </c>
      <c r="Y1806" s="4">
        <v>33</v>
      </c>
      <c r="Z1806" s="4">
        <v>2</v>
      </c>
      <c r="AA1806" s="4">
        <v>2</v>
      </c>
      <c r="AB1806" s="4">
        <v>1</v>
      </c>
      <c r="AC1806" s="4">
        <v>1</v>
      </c>
      <c r="AD1806" s="4">
        <v>20</v>
      </c>
      <c r="AE1806" s="4">
        <v>28</v>
      </c>
      <c r="AF1806" s="4">
        <v>0</v>
      </c>
      <c r="AG1806" s="4">
        <v>0</v>
      </c>
      <c r="AH1806" s="4">
        <v>19</v>
      </c>
      <c r="AI1806" s="4">
        <v>27</v>
      </c>
      <c r="AJ1806" s="4">
        <v>1</v>
      </c>
      <c r="AK1806" s="4">
        <v>1</v>
      </c>
      <c r="AL1806" s="4">
        <v>15</v>
      </c>
      <c r="AM1806" s="4">
        <v>20</v>
      </c>
      <c r="AN1806" s="4">
        <v>0</v>
      </c>
      <c r="AO1806" s="4">
        <v>0</v>
      </c>
      <c r="AP1806" s="4">
        <v>1</v>
      </c>
      <c r="AQ1806" s="4">
        <v>1</v>
      </c>
      <c r="AR1806" s="3" t="s">
        <v>63</v>
      </c>
      <c r="AS1806" s="3" t="s">
        <v>63</v>
      </c>
      <c r="AT1806" s="3" t="s">
        <v>62</v>
      </c>
      <c r="AU1806" s="6" t="str">
        <f>HYPERLINK("http://catalog.hathitrust.org/Record/004117755","HathiTrust Record")</f>
        <v>HathiTrust Record</v>
      </c>
      <c r="AV1806" s="6" t="str">
        <f>HYPERLINK("http://mcgill.on.worldcat.org/oclc/43889874","Catalog Record")</f>
        <v>Catalog Record</v>
      </c>
      <c r="AW1806" s="6" t="str">
        <f>HYPERLINK("http://www.worldcat.org/oclc/43889874","WorldCat Record")</f>
        <v>WorldCat Record</v>
      </c>
      <c r="AX1806" s="3" t="s">
        <v>15770</v>
      </c>
      <c r="AY1806" s="3" t="s">
        <v>15771</v>
      </c>
      <c r="AZ1806" s="3" t="s">
        <v>15772</v>
      </c>
      <c r="BA1806" s="3" t="s">
        <v>15772</v>
      </c>
      <c r="BB1806" s="3" t="s">
        <v>15777</v>
      </c>
      <c r="BC1806" s="3" t="s">
        <v>82</v>
      </c>
      <c r="BD1806" s="3" t="s">
        <v>70</v>
      </c>
      <c r="BE1806" s="3" t="s">
        <v>15774</v>
      </c>
      <c r="BF1806" s="3" t="s">
        <v>15777</v>
      </c>
      <c r="BG1806" s="3" t="s">
        <v>15778</v>
      </c>
    </row>
    <row r="1807" spans="1:59" ht="75" x14ac:dyDescent="0.25">
      <c r="A1807" s="2" t="s">
        <v>59</v>
      </c>
      <c r="B1807" s="2" t="s">
        <v>60</v>
      </c>
      <c r="C1807" s="2" t="s">
        <v>15766</v>
      </c>
      <c r="D1807" s="2" t="s">
        <v>15767</v>
      </c>
      <c r="E1807" s="2" t="s">
        <v>15768</v>
      </c>
      <c r="F1807" s="3" t="s">
        <v>10477</v>
      </c>
      <c r="G1807" s="3" t="s">
        <v>62</v>
      </c>
      <c r="I1807" s="3" t="s">
        <v>63</v>
      </c>
      <c r="J1807" s="3" t="s">
        <v>63</v>
      </c>
      <c r="K1807" s="3" t="s">
        <v>64</v>
      </c>
      <c r="L1807" s="2" t="s">
        <v>15410</v>
      </c>
      <c r="M1807" s="2" t="s">
        <v>15769</v>
      </c>
      <c r="N1807" s="3" t="s">
        <v>274</v>
      </c>
      <c r="P1807" s="3" t="s">
        <v>66</v>
      </c>
      <c r="R1807" s="3" t="s">
        <v>67</v>
      </c>
      <c r="S1807" s="4">
        <v>9</v>
      </c>
      <c r="T1807" s="4">
        <v>87</v>
      </c>
      <c r="U1807" s="5" t="s">
        <v>2706</v>
      </c>
      <c r="V1807" s="5" t="s">
        <v>1929</v>
      </c>
      <c r="W1807" s="5" t="s">
        <v>69</v>
      </c>
      <c r="X1807" s="5" t="s">
        <v>69</v>
      </c>
      <c r="Y1807" s="4">
        <v>33</v>
      </c>
      <c r="Z1807" s="4">
        <v>2</v>
      </c>
      <c r="AA1807" s="4">
        <v>2</v>
      </c>
      <c r="AB1807" s="4">
        <v>1</v>
      </c>
      <c r="AC1807" s="4">
        <v>1</v>
      </c>
      <c r="AD1807" s="4">
        <v>20</v>
      </c>
      <c r="AE1807" s="4">
        <v>28</v>
      </c>
      <c r="AF1807" s="4">
        <v>0</v>
      </c>
      <c r="AG1807" s="4">
        <v>0</v>
      </c>
      <c r="AH1807" s="4">
        <v>19</v>
      </c>
      <c r="AI1807" s="4">
        <v>27</v>
      </c>
      <c r="AJ1807" s="4">
        <v>1</v>
      </c>
      <c r="AK1807" s="4">
        <v>1</v>
      </c>
      <c r="AL1807" s="4">
        <v>15</v>
      </c>
      <c r="AM1807" s="4">
        <v>20</v>
      </c>
      <c r="AN1807" s="4">
        <v>0</v>
      </c>
      <c r="AO1807" s="4">
        <v>0</v>
      </c>
      <c r="AP1807" s="4">
        <v>1</v>
      </c>
      <c r="AQ1807" s="4">
        <v>1</v>
      </c>
      <c r="AR1807" s="3" t="s">
        <v>63</v>
      </c>
      <c r="AS1807" s="3" t="s">
        <v>63</v>
      </c>
      <c r="AT1807" s="3" t="s">
        <v>62</v>
      </c>
      <c r="AU1807" s="6" t="str">
        <f>HYPERLINK("http://catalog.hathitrust.org/Record/004117755","HathiTrust Record")</f>
        <v>HathiTrust Record</v>
      </c>
      <c r="AV1807" s="6" t="str">
        <f>HYPERLINK("http://mcgill.on.worldcat.org/oclc/43889874","Catalog Record")</f>
        <v>Catalog Record</v>
      </c>
      <c r="AW1807" s="6" t="str">
        <f>HYPERLINK("http://www.worldcat.org/oclc/43889874","WorldCat Record")</f>
        <v>WorldCat Record</v>
      </c>
      <c r="AX1807" s="3" t="s">
        <v>15770</v>
      </c>
      <c r="AY1807" s="3" t="s">
        <v>15771</v>
      </c>
      <c r="AZ1807" s="3" t="s">
        <v>15772</v>
      </c>
      <c r="BA1807" s="3" t="s">
        <v>15772</v>
      </c>
      <c r="BB1807" s="3" t="s">
        <v>15779</v>
      </c>
      <c r="BC1807" s="3" t="s">
        <v>82</v>
      </c>
      <c r="BD1807" s="3" t="s">
        <v>70</v>
      </c>
      <c r="BE1807" s="3" t="s">
        <v>15774</v>
      </c>
      <c r="BF1807" s="3" t="s">
        <v>15779</v>
      </c>
      <c r="BG1807" s="3" t="s">
        <v>15780</v>
      </c>
    </row>
    <row r="1808" spans="1:59" ht="75" x14ac:dyDescent="0.25">
      <c r="A1808" s="2" t="s">
        <v>59</v>
      </c>
      <c r="B1808" s="2" t="s">
        <v>60</v>
      </c>
      <c r="C1808" s="2" t="s">
        <v>15766</v>
      </c>
      <c r="D1808" s="2" t="s">
        <v>15767</v>
      </c>
      <c r="E1808" s="2" t="s">
        <v>15768</v>
      </c>
      <c r="F1808" s="3" t="s">
        <v>10499</v>
      </c>
      <c r="G1808" s="3" t="s">
        <v>62</v>
      </c>
      <c r="I1808" s="3" t="s">
        <v>63</v>
      </c>
      <c r="J1808" s="3" t="s">
        <v>63</v>
      </c>
      <c r="K1808" s="3" t="s">
        <v>64</v>
      </c>
      <c r="L1808" s="2" t="s">
        <v>15410</v>
      </c>
      <c r="M1808" s="2" t="s">
        <v>15769</v>
      </c>
      <c r="N1808" s="3" t="s">
        <v>274</v>
      </c>
      <c r="P1808" s="3" t="s">
        <v>66</v>
      </c>
      <c r="R1808" s="3" t="s">
        <v>67</v>
      </c>
      <c r="S1808" s="4">
        <v>2</v>
      </c>
      <c r="T1808" s="4">
        <v>87</v>
      </c>
      <c r="U1808" s="5" t="s">
        <v>15781</v>
      </c>
      <c r="V1808" s="5" t="s">
        <v>1929</v>
      </c>
      <c r="W1808" s="5" t="s">
        <v>69</v>
      </c>
      <c r="X1808" s="5" t="s">
        <v>69</v>
      </c>
      <c r="Y1808" s="4">
        <v>33</v>
      </c>
      <c r="Z1808" s="4">
        <v>2</v>
      </c>
      <c r="AA1808" s="4">
        <v>2</v>
      </c>
      <c r="AB1808" s="4">
        <v>1</v>
      </c>
      <c r="AC1808" s="4">
        <v>1</v>
      </c>
      <c r="AD1808" s="4">
        <v>20</v>
      </c>
      <c r="AE1808" s="4">
        <v>28</v>
      </c>
      <c r="AF1808" s="4">
        <v>0</v>
      </c>
      <c r="AG1808" s="4">
        <v>0</v>
      </c>
      <c r="AH1808" s="4">
        <v>19</v>
      </c>
      <c r="AI1808" s="4">
        <v>27</v>
      </c>
      <c r="AJ1808" s="4">
        <v>1</v>
      </c>
      <c r="AK1808" s="4">
        <v>1</v>
      </c>
      <c r="AL1808" s="4">
        <v>15</v>
      </c>
      <c r="AM1808" s="4">
        <v>20</v>
      </c>
      <c r="AN1808" s="4">
        <v>0</v>
      </c>
      <c r="AO1808" s="4">
        <v>0</v>
      </c>
      <c r="AP1808" s="4">
        <v>1</v>
      </c>
      <c r="AQ1808" s="4">
        <v>1</v>
      </c>
      <c r="AR1808" s="3" t="s">
        <v>63</v>
      </c>
      <c r="AS1808" s="3" t="s">
        <v>63</v>
      </c>
      <c r="AT1808" s="3" t="s">
        <v>62</v>
      </c>
      <c r="AU1808" s="6" t="str">
        <f>HYPERLINK("http://catalog.hathitrust.org/Record/004117755","HathiTrust Record")</f>
        <v>HathiTrust Record</v>
      </c>
      <c r="AV1808" s="6" t="str">
        <f>HYPERLINK("http://mcgill.on.worldcat.org/oclc/43889874","Catalog Record")</f>
        <v>Catalog Record</v>
      </c>
      <c r="AW1808" s="6" t="str">
        <f>HYPERLINK("http://www.worldcat.org/oclc/43889874","WorldCat Record")</f>
        <v>WorldCat Record</v>
      </c>
      <c r="AX1808" s="3" t="s">
        <v>15770</v>
      </c>
      <c r="AY1808" s="3" t="s">
        <v>15771</v>
      </c>
      <c r="AZ1808" s="3" t="s">
        <v>15772</v>
      </c>
      <c r="BA1808" s="3" t="s">
        <v>15772</v>
      </c>
      <c r="BB1808" s="3" t="s">
        <v>15782</v>
      </c>
      <c r="BC1808" s="3" t="s">
        <v>82</v>
      </c>
      <c r="BD1808" s="3" t="s">
        <v>70</v>
      </c>
      <c r="BE1808" s="3" t="s">
        <v>15774</v>
      </c>
      <c r="BF1808" s="3" t="s">
        <v>15782</v>
      </c>
      <c r="BG1808" s="3" t="s">
        <v>15783</v>
      </c>
    </row>
    <row r="1809" spans="1:59" ht="75" x14ac:dyDescent="0.25">
      <c r="A1809" s="2" t="s">
        <v>59</v>
      </c>
      <c r="B1809" s="2" t="s">
        <v>60</v>
      </c>
      <c r="C1809" s="2" t="s">
        <v>15766</v>
      </c>
      <c r="D1809" s="2" t="s">
        <v>15767</v>
      </c>
      <c r="E1809" s="2" t="s">
        <v>15768</v>
      </c>
      <c r="F1809" s="3" t="s">
        <v>10507</v>
      </c>
      <c r="G1809" s="3" t="s">
        <v>62</v>
      </c>
      <c r="I1809" s="3" t="s">
        <v>63</v>
      </c>
      <c r="J1809" s="3" t="s">
        <v>63</v>
      </c>
      <c r="K1809" s="3" t="s">
        <v>64</v>
      </c>
      <c r="L1809" s="2" t="s">
        <v>15410</v>
      </c>
      <c r="M1809" s="2" t="s">
        <v>15769</v>
      </c>
      <c r="N1809" s="3" t="s">
        <v>274</v>
      </c>
      <c r="P1809" s="3" t="s">
        <v>66</v>
      </c>
      <c r="R1809" s="3" t="s">
        <v>67</v>
      </c>
      <c r="S1809" s="4">
        <v>3</v>
      </c>
      <c r="T1809" s="4">
        <v>87</v>
      </c>
      <c r="U1809" s="5" t="s">
        <v>15784</v>
      </c>
      <c r="V1809" s="5" t="s">
        <v>1929</v>
      </c>
      <c r="W1809" s="5" t="s">
        <v>69</v>
      </c>
      <c r="X1809" s="5" t="s">
        <v>69</v>
      </c>
      <c r="Y1809" s="4">
        <v>33</v>
      </c>
      <c r="Z1809" s="4">
        <v>2</v>
      </c>
      <c r="AA1809" s="4">
        <v>2</v>
      </c>
      <c r="AB1809" s="4">
        <v>1</v>
      </c>
      <c r="AC1809" s="4">
        <v>1</v>
      </c>
      <c r="AD1809" s="4">
        <v>20</v>
      </c>
      <c r="AE1809" s="4">
        <v>28</v>
      </c>
      <c r="AF1809" s="4">
        <v>0</v>
      </c>
      <c r="AG1809" s="4">
        <v>0</v>
      </c>
      <c r="AH1809" s="4">
        <v>19</v>
      </c>
      <c r="AI1809" s="4">
        <v>27</v>
      </c>
      <c r="AJ1809" s="4">
        <v>1</v>
      </c>
      <c r="AK1809" s="4">
        <v>1</v>
      </c>
      <c r="AL1809" s="4">
        <v>15</v>
      </c>
      <c r="AM1809" s="4">
        <v>20</v>
      </c>
      <c r="AN1809" s="4">
        <v>0</v>
      </c>
      <c r="AO1809" s="4">
        <v>0</v>
      </c>
      <c r="AP1809" s="4">
        <v>1</v>
      </c>
      <c r="AQ1809" s="4">
        <v>1</v>
      </c>
      <c r="AR1809" s="3" t="s">
        <v>63</v>
      </c>
      <c r="AS1809" s="3" t="s">
        <v>63</v>
      </c>
      <c r="AT1809" s="3" t="s">
        <v>62</v>
      </c>
      <c r="AU1809" s="6" t="str">
        <f>HYPERLINK("http://catalog.hathitrust.org/Record/004117755","HathiTrust Record")</f>
        <v>HathiTrust Record</v>
      </c>
      <c r="AV1809" s="6" t="str">
        <f>HYPERLINK("http://mcgill.on.worldcat.org/oclc/43889874","Catalog Record")</f>
        <v>Catalog Record</v>
      </c>
      <c r="AW1809" s="6" t="str">
        <f>HYPERLINK("http://www.worldcat.org/oclc/43889874","WorldCat Record")</f>
        <v>WorldCat Record</v>
      </c>
      <c r="AX1809" s="3" t="s">
        <v>15770</v>
      </c>
      <c r="AY1809" s="3" t="s">
        <v>15771</v>
      </c>
      <c r="AZ1809" s="3" t="s">
        <v>15772</v>
      </c>
      <c r="BA1809" s="3" t="s">
        <v>15772</v>
      </c>
      <c r="BB1809" s="3" t="s">
        <v>15785</v>
      </c>
      <c r="BC1809" s="3" t="s">
        <v>82</v>
      </c>
      <c r="BD1809" s="3" t="s">
        <v>70</v>
      </c>
      <c r="BE1809" s="3" t="s">
        <v>15774</v>
      </c>
      <c r="BF1809" s="3" t="s">
        <v>15785</v>
      </c>
      <c r="BG1809" s="3" t="s">
        <v>15786</v>
      </c>
    </row>
    <row r="1810" spans="1:59" ht="75" x14ac:dyDescent="0.25">
      <c r="A1810" s="2" t="s">
        <v>59</v>
      </c>
      <c r="B1810" s="2" t="s">
        <v>60</v>
      </c>
      <c r="C1810" s="2" t="s">
        <v>15766</v>
      </c>
      <c r="D1810" s="2" t="s">
        <v>15767</v>
      </c>
      <c r="E1810" s="2" t="s">
        <v>15768</v>
      </c>
      <c r="F1810" s="3" t="s">
        <v>10705</v>
      </c>
      <c r="G1810" s="3" t="s">
        <v>62</v>
      </c>
      <c r="I1810" s="3" t="s">
        <v>63</v>
      </c>
      <c r="J1810" s="3" t="s">
        <v>63</v>
      </c>
      <c r="K1810" s="3" t="s">
        <v>64</v>
      </c>
      <c r="L1810" s="2" t="s">
        <v>15410</v>
      </c>
      <c r="M1810" s="2" t="s">
        <v>15769</v>
      </c>
      <c r="N1810" s="3" t="s">
        <v>274</v>
      </c>
      <c r="P1810" s="3" t="s">
        <v>66</v>
      </c>
      <c r="R1810" s="3" t="s">
        <v>67</v>
      </c>
      <c r="S1810" s="4">
        <v>0</v>
      </c>
      <c r="T1810" s="4">
        <v>87</v>
      </c>
      <c r="V1810" s="5" t="s">
        <v>1929</v>
      </c>
      <c r="W1810" s="5" t="s">
        <v>69</v>
      </c>
      <c r="X1810" s="5" t="s">
        <v>69</v>
      </c>
      <c r="Y1810" s="4">
        <v>33</v>
      </c>
      <c r="Z1810" s="4">
        <v>2</v>
      </c>
      <c r="AA1810" s="4">
        <v>2</v>
      </c>
      <c r="AB1810" s="4">
        <v>1</v>
      </c>
      <c r="AC1810" s="4">
        <v>1</v>
      </c>
      <c r="AD1810" s="4">
        <v>20</v>
      </c>
      <c r="AE1810" s="4">
        <v>28</v>
      </c>
      <c r="AF1810" s="4">
        <v>0</v>
      </c>
      <c r="AG1810" s="4">
        <v>0</v>
      </c>
      <c r="AH1810" s="4">
        <v>19</v>
      </c>
      <c r="AI1810" s="4">
        <v>27</v>
      </c>
      <c r="AJ1810" s="4">
        <v>1</v>
      </c>
      <c r="AK1810" s="4">
        <v>1</v>
      </c>
      <c r="AL1810" s="4">
        <v>15</v>
      </c>
      <c r="AM1810" s="4">
        <v>20</v>
      </c>
      <c r="AN1810" s="4">
        <v>0</v>
      </c>
      <c r="AO1810" s="4">
        <v>0</v>
      </c>
      <c r="AP1810" s="4">
        <v>1</v>
      </c>
      <c r="AQ1810" s="4">
        <v>1</v>
      </c>
      <c r="AR1810" s="3" t="s">
        <v>63</v>
      </c>
      <c r="AS1810" s="3" t="s">
        <v>63</v>
      </c>
      <c r="AT1810" s="3" t="s">
        <v>62</v>
      </c>
      <c r="AU1810" s="6" t="str">
        <f>HYPERLINK("http://catalog.hathitrust.org/Record/004117755","HathiTrust Record")</f>
        <v>HathiTrust Record</v>
      </c>
      <c r="AV1810" s="6" t="str">
        <f>HYPERLINK("http://mcgill.on.worldcat.org/oclc/43889874","Catalog Record")</f>
        <v>Catalog Record</v>
      </c>
      <c r="AW1810" s="6" t="str">
        <f>HYPERLINK("http://www.worldcat.org/oclc/43889874","WorldCat Record")</f>
        <v>WorldCat Record</v>
      </c>
      <c r="AX1810" s="3" t="s">
        <v>15770</v>
      </c>
      <c r="AY1810" s="3" t="s">
        <v>15771</v>
      </c>
      <c r="AZ1810" s="3" t="s">
        <v>15772</v>
      </c>
      <c r="BA1810" s="3" t="s">
        <v>15772</v>
      </c>
      <c r="BB1810" s="3" t="s">
        <v>15787</v>
      </c>
      <c r="BC1810" s="3" t="s">
        <v>82</v>
      </c>
      <c r="BD1810" s="3" t="s">
        <v>70</v>
      </c>
      <c r="BE1810" s="3" t="s">
        <v>15774</v>
      </c>
      <c r="BF1810" s="3" t="s">
        <v>15787</v>
      </c>
      <c r="BG1810" s="3" t="s">
        <v>15788</v>
      </c>
    </row>
    <row r="1811" spans="1:59" ht="75" x14ac:dyDescent="0.25">
      <c r="A1811" s="2" t="s">
        <v>59</v>
      </c>
      <c r="B1811" s="2" t="s">
        <v>60</v>
      </c>
      <c r="C1811" s="2" t="s">
        <v>15766</v>
      </c>
      <c r="D1811" s="2" t="s">
        <v>15767</v>
      </c>
      <c r="E1811" s="2" t="s">
        <v>15768</v>
      </c>
      <c r="F1811" s="3" t="s">
        <v>2601</v>
      </c>
      <c r="G1811" s="3" t="s">
        <v>62</v>
      </c>
      <c r="I1811" s="3" t="s">
        <v>63</v>
      </c>
      <c r="J1811" s="3" t="s">
        <v>63</v>
      </c>
      <c r="K1811" s="3" t="s">
        <v>64</v>
      </c>
      <c r="L1811" s="2" t="s">
        <v>15410</v>
      </c>
      <c r="M1811" s="2" t="s">
        <v>15769</v>
      </c>
      <c r="N1811" s="3" t="s">
        <v>274</v>
      </c>
      <c r="P1811" s="3" t="s">
        <v>66</v>
      </c>
      <c r="R1811" s="3" t="s">
        <v>67</v>
      </c>
      <c r="S1811" s="4">
        <v>1</v>
      </c>
      <c r="T1811" s="4">
        <v>87</v>
      </c>
      <c r="U1811" s="5" t="s">
        <v>14206</v>
      </c>
      <c r="V1811" s="5" t="s">
        <v>1929</v>
      </c>
      <c r="W1811" s="5" t="s">
        <v>69</v>
      </c>
      <c r="X1811" s="5" t="s">
        <v>69</v>
      </c>
      <c r="Y1811" s="4">
        <v>33</v>
      </c>
      <c r="Z1811" s="4">
        <v>2</v>
      </c>
      <c r="AA1811" s="4">
        <v>2</v>
      </c>
      <c r="AB1811" s="4">
        <v>1</v>
      </c>
      <c r="AC1811" s="4">
        <v>1</v>
      </c>
      <c r="AD1811" s="4">
        <v>20</v>
      </c>
      <c r="AE1811" s="4">
        <v>28</v>
      </c>
      <c r="AF1811" s="4">
        <v>0</v>
      </c>
      <c r="AG1811" s="4">
        <v>0</v>
      </c>
      <c r="AH1811" s="4">
        <v>19</v>
      </c>
      <c r="AI1811" s="4">
        <v>27</v>
      </c>
      <c r="AJ1811" s="4">
        <v>1</v>
      </c>
      <c r="AK1811" s="4">
        <v>1</v>
      </c>
      <c r="AL1811" s="4">
        <v>15</v>
      </c>
      <c r="AM1811" s="4">
        <v>20</v>
      </c>
      <c r="AN1811" s="4">
        <v>0</v>
      </c>
      <c r="AO1811" s="4">
        <v>0</v>
      </c>
      <c r="AP1811" s="4">
        <v>1</v>
      </c>
      <c r="AQ1811" s="4">
        <v>1</v>
      </c>
      <c r="AR1811" s="3" t="s">
        <v>63</v>
      </c>
      <c r="AS1811" s="3" t="s">
        <v>63</v>
      </c>
      <c r="AT1811" s="3" t="s">
        <v>62</v>
      </c>
      <c r="AU1811" s="6" t="str">
        <f>HYPERLINK("http://catalog.hathitrust.org/Record/004117755","HathiTrust Record")</f>
        <v>HathiTrust Record</v>
      </c>
      <c r="AV1811" s="6" t="str">
        <f>HYPERLINK("http://mcgill.on.worldcat.org/oclc/43889874","Catalog Record")</f>
        <v>Catalog Record</v>
      </c>
      <c r="AW1811" s="6" t="str">
        <f>HYPERLINK("http://www.worldcat.org/oclc/43889874","WorldCat Record")</f>
        <v>WorldCat Record</v>
      </c>
      <c r="AX1811" s="3" t="s">
        <v>15770</v>
      </c>
      <c r="AY1811" s="3" t="s">
        <v>15771</v>
      </c>
      <c r="AZ1811" s="3" t="s">
        <v>15772</v>
      </c>
      <c r="BA1811" s="3" t="s">
        <v>15772</v>
      </c>
      <c r="BB1811" s="3" t="s">
        <v>15789</v>
      </c>
      <c r="BC1811" s="3" t="s">
        <v>82</v>
      </c>
      <c r="BD1811" s="3" t="s">
        <v>70</v>
      </c>
      <c r="BE1811" s="3" t="s">
        <v>15774</v>
      </c>
      <c r="BF1811" s="3" t="s">
        <v>15789</v>
      </c>
      <c r="BG1811" s="3" t="s">
        <v>15790</v>
      </c>
    </row>
    <row r="1812" spans="1:59" ht="75" x14ac:dyDescent="0.25">
      <c r="A1812" s="2" t="s">
        <v>59</v>
      </c>
      <c r="B1812" s="2" t="s">
        <v>60</v>
      </c>
      <c r="C1812" s="2" t="s">
        <v>15766</v>
      </c>
      <c r="D1812" s="2" t="s">
        <v>15767</v>
      </c>
      <c r="E1812" s="2" t="s">
        <v>15768</v>
      </c>
      <c r="F1812" s="3" t="s">
        <v>15791</v>
      </c>
      <c r="G1812" s="3" t="s">
        <v>62</v>
      </c>
      <c r="I1812" s="3" t="s">
        <v>63</v>
      </c>
      <c r="J1812" s="3" t="s">
        <v>63</v>
      </c>
      <c r="K1812" s="3" t="s">
        <v>64</v>
      </c>
      <c r="L1812" s="2" t="s">
        <v>15410</v>
      </c>
      <c r="M1812" s="2" t="s">
        <v>15769</v>
      </c>
      <c r="N1812" s="3" t="s">
        <v>274</v>
      </c>
      <c r="P1812" s="3" t="s">
        <v>66</v>
      </c>
      <c r="R1812" s="3" t="s">
        <v>67</v>
      </c>
      <c r="S1812" s="4">
        <v>6</v>
      </c>
      <c r="T1812" s="4">
        <v>87</v>
      </c>
      <c r="U1812" s="5" t="s">
        <v>1929</v>
      </c>
      <c r="V1812" s="5" t="s">
        <v>1929</v>
      </c>
      <c r="W1812" s="5" t="s">
        <v>69</v>
      </c>
      <c r="X1812" s="5" t="s">
        <v>69</v>
      </c>
      <c r="Y1812" s="4">
        <v>33</v>
      </c>
      <c r="Z1812" s="4">
        <v>2</v>
      </c>
      <c r="AA1812" s="4">
        <v>2</v>
      </c>
      <c r="AB1812" s="4">
        <v>1</v>
      </c>
      <c r="AC1812" s="4">
        <v>1</v>
      </c>
      <c r="AD1812" s="4">
        <v>20</v>
      </c>
      <c r="AE1812" s="4">
        <v>28</v>
      </c>
      <c r="AF1812" s="4">
        <v>0</v>
      </c>
      <c r="AG1812" s="4">
        <v>0</v>
      </c>
      <c r="AH1812" s="4">
        <v>19</v>
      </c>
      <c r="AI1812" s="4">
        <v>27</v>
      </c>
      <c r="AJ1812" s="4">
        <v>1</v>
      </c>
      <c r="AK1812" s="4">
        <v>1</v>
      </c>
      <c r="AL1812" s="4">
        <v>15</v>
      </c>
      <c r="AM1812" s="4">
        <v>20</v>
      </c>
      <c r="AN1812" s="4">
        <v>0</v>
      </c>
      <c r="AO1812" s="4">
        <v>0</v>
      </c>
      <c r="AP1812" s="4">
        <v>1</v>
      </c>
      <c r="AQ1812" s="4">
        <v>1</v>
      </c>
      <c r="AR1812" s="3" t="s">
        <v>63</v>
      </c>
      <c r="AS1812" s="3" t="s">
        <v>63</v>
      </c>
      <c r="AT1812" s="3" t="s">
        <v>62</v>
      </c>
      <c r="AU1812" s="6" t="str">
        <f>HYPERLINK("http://catalog.hathitrust.org/Record/004117755","HathiTrust Record")</f>
        <v>HathiTrust Record</v>
      </c>
      <c r="AV1812" s="6" t="str">
        <f>HYPERLINK("http://mcgill.on.worldcat.org/oclc/43889874","Catalog Record")</f>
        <v>Catalog Record</v>
      </c>
      <c r="AW1812" s="6" t="str">
        <f>HYPERLINK("http://www.worldcat.org/oclc/43889874","WorldCat Record")</f>
        <v>WorldCat Record</v>
      </c>
      <c r="AX1812" s="3" t="s">
        <v>15770</v>
      </c>
      <c r="AY1812" s="3" t="s">
        <v>15771</v>
      </c>
      <c r="AZ1812" s="3" t="s">
        <v>15772</v>
      </c>
      <c r="BA1812" s="3" t="s">
        <v>15772</v>
      </c>
      <c r="BB1812" s="3" t="s">
        <v>15792</v>
      </c>
      <c r="BC1812" s="3" t="s">
        <v>82</v>
      </c>
      <c r="BD1812" s="3" t="s">
        <v>70</v>
      </c>
      <c r="BE1812" s="3" t="s">
        <v>15774</v>
      </c>
      <c r="BF1812" s="3" t="s">
        <v>15792</v>
      </c>
      <c r="BG1812" s="3" t="s">
        <v>15793</v>
      </c>
    </row>
    <row r="1813" spans="1:59" ht="75" x14ac:dyDescent="0.25">
      <c r="A1813" s="2" t="s">
        <v>59</v>
      </c>
      <c r="B1813" s="2" t="s">
        <v>60</v>
      </c>
      <c r="C1813" s="2" t="s">
        <v>15766</v>
      </c>
      <c r="D1813" s="2" t="s">
        <v>15767</v>
      </c>
      <c r="E1813" s="2" t="s">
        <v>15768</v>
      </c>
      <c r="F1813" s="3" t="s">
        <v>15794</v>
      </c>
      <c r="G1813" s="3" t="s">
        <v>62</v>
      </c>
      <c r="I1813" s="3" t="s">
        <v>63</v>
      </c>
      <c r="J1813" s="3" t="s">
        <v>63</v>
      </c>
      <c r="K1813" s="3" t="s">
        <v>64</v>
      </c>
      <c r="L1813" s="2" t="s">
        <v>15410</v>
      </c>
      <c r="M1813" s="2" t="s">
        <v>15769</v>
      </c>
      <c r="N1813" s="3" t="s">
        <v>274</v>
      </c>
      <c r="P1813" s="3" t="s">
        <v>66</v>
      </c>
      <c r="R1813" s="3" t="s">
        <v>67</v>
      </c>
      <c r="S1813" s="4">
        <v>1</v>
      </c>
      <c r="T1813" s="4">
        <v>87</v>
      </c>
      <c r="U1813" s="5" t="s">
        <v>15795</v>
      </c>
      <c r="V1813" s="5" t="s">
        <v>1929</v>
      </c>
      <c r="W1813" s="5" t="s">
        <v>69</v>
      </c>
      <c r="X1813" s="5" t="s">
        <v>69</v>
      </c>
      <c r="Y1813" s="4">
        <v>33</v>
      </c>
      <c r="Z1813" s="4">
        <v>2</v>
      </c>
      <c r="AA1813" s="4">
        <v>2</v>
      </c>
      <c r="AB1813" s="4">
        <v>1</v>
      </c>
      <c r="AC1813" s="4">
        <v>1</v>
      </c>
      <c r="AD1813" s="4">
        <v>20</v>
      </c>
      <c r="AE1813" s="4">
        <v>28</v>
      </c>
      <c r="AF1813" s="4">
        <v>0</v>
      </c>
      <c r="AG1813" s="4">
        <v>0</v>
      </c>
      <c r="AH1813" s="4">
        <v>19</v>
      </c>
      <c r="AI1813" s="4">
        <v>27</v>
      </c>
      <c r="AJ1813" s="4">
        <v>1</v>
      </c>
      <c r="AK1813" s="4">
        <v>1</v>
      </c>
      <c r="AL1813" s="4">
        <v>15</v>
      </c>
      <c r="AM1813" s="4">
        <v>20</v>
      </c>
      <c r="AN1813" s="4">
        <v>0</v>
      </c>
      <c r="AO1813" s="4">
        <v>0</v>
      </c>
      <c r="AP1813" s="4">
        <v>1</v>
      </c>
      <c r="AQ1813" s="4">
        <v>1</v>
      </c>
      <c r="AR1813" s="3" t="s">
        <v>63</v>
      </c>
      <c r="AS1813" s="3" t="s">
        <v>63</v>
      </c>
      <c r="AT1813" s="3" t="s">
        <v>62</v>
      </c>
      <c r="AU1813" s="6" t="str">
        <f>HYPERLINK("http://catalog.hathitrust.org/Record/004117755","HathiTrust Record")</f>
        <v>HathiTrust Record</v>
      </c>
      <c r="AV1813" s="6" t="str">
        <f>HYPERLINK("http://mcgill.on.worldcat.org/oclc/43889874","Catalog Record")</f>
        <v>Catalog Record</v>
      </c>
      <c r="AW1813" s="6" t="str">
        <f>HYPERLINK("http://www.worldcat.org/oclc/43889874","WorldCat Record")</f>
        <v>WorldCat Record</v>
      </c>
      <c r="AX1813" s="3" t="s">
        <v>15770</v>
      </c>
      <c r="AY1813" s="3" t="s">
        <v>15771</v>
      </c>
      <c r="AZ1813" s="3" t="s">
        <v>15772</v>
      </c>
      <c r="BA1813" s="3" t="s">
        <v>15772</v>
      </c>
      <c r="BB1813" s="3" t="s">
        <v>15796</v>
      </c>
      <c r="BC1813" s="3" t="s">
        <v>82</v>
      </c>
      <c r="BD1813" s="3" t="s">
        <v>70</v>
      </c>
      <c r="BE1813" s="3" t="s">
        <v>15774</v>
      </c>
      <c r="BF1813" s="3" t="s">
        <v>15796</v>
      </c>
      <c r="BG1813" s="3" t="s">
        <v>15797</v>
      </c>
    </row>
    <row r="1814" spans="1:59" ht="75" x14ac:dyDescent="0.25">
      <c r="A1814" s="2" t="s">
        <v>59</v>
      </c>
      <c r="B1814" s="2" t="s">
        <v>60</v>
      </c>
      <c r="C1814" s="2" t="s">
        <v>15766</v>
      </c>
      <c r="D1814" s="2" t="s">
        <v>15767</v>
      </c>
      <c r="E1814" s="2" t="s">
        <v>15768</v>
      </c>
      <c r="F1814" s="3" t="s">
        <v>10528</v>
      </c>
      <c r="G1814" s="3" t="s">
        <v>62</v>
      </c>
      <c r="I1814" s="3" t="s">
        <v>63</v>
      </c>
      <c r="J1814" s="3" t="s">
        <v>63</v>
      </c>
      <c r="K1814" s="3" t="s">
        <v>64</v>
      </c>
      <c r="L1814" s="2" t="s">
        <v>15410</v>
      </c>
      <c r="M1814" s="2" t="s">
        <v>15769</v>
      </c>
      <c r="N1814" s="3" t="s">
        <v>274</v>
      </c>
      <c r="P1814" s="3" t="s">
        <v>66</v>
      </c>
      <c r="R1814" s="3" t="s">
        <v>67</v>
      </c>
      <c r="S1814" s="4">
        <v>18</v>
      </c>
      <c r="T1814" s="4">
        <v>87</v>
      </c>
      <c r="U1814" s="5" t="s">
        <v>1929</v>
      </c>
      <c r="V1814" s="5" t="s">
        <v>1929</v>
      </c>
      <c r="W1814" s="5" t="s">
        <v>69</v>
      </c>
      <c r="X1814" s="5" t="s">
        <v>69</v>
      </c>
      <c r="Y1814" s="4">
        <v>33</v>
      </c>
      <c r="Z1814" s="4">
        <v>2</v>
      </c>
      <c r="AA1814" s="4">
        <v>2</v>
      </c>
      <c r="AB1814" s="4">
        <v>1</v>
      </c>
      <c r="AC1814" s="4">
        <v>1</v>
      </c>
      <c r="AD1814" s="4">
        <v>20</v>
      </c>
      <c r="AE1814" s="4">
        <v>28</v>
      </c>
      <c r="AF1814" s="4">
        <v>0</v>
      </c>
      <c r="AG1814" s="4">
        <v>0</v>
      </c>
      <c r="AH1814" s="4">
        <v>19</v>
      </c>
      <c r="AI1814" s="4">
        <v>27</v>
      </c>
      <c r="AJ1814" s="4">
        <v>1</v>
      </c>
      <c r="AK1814" s="4">
        <v>1</v>
      </c>
      <c r="AL1814" s="4">
        <v>15</v>
      </c>
      <c r="AM1814" s="4">
        <v>20</v>
      </c>
      <c r="AN1814" s="4">
        <v>0</v>
      </c>
      <c r="AO1814" s="4">
        <v>0</v>
      </c>
      <c r="AP1814" s="4">
        <v>1</v>
      </c>
      <c r="AQ1814" s="4">
        <v>1</v>
      </c>
      <c r="AR1814" s="3" t="s">
        <v>63</v>
      </c>
      <c r="AS1814" s="3" t="s">
        <v>63</v>
      </c>
      <c r="AT1814" s="3" t="s">
        <v>62</v>
      </c>
      <c r="AU1814" s="6" t="str">
        <f>HYPERLINK("http://catalog.hathitrust.org/Record/004117755","HathiTrust Record")</f>
        <v>HathiTrust Record</v>
      </c>
      <c r="AV1814" s="6" t="str">
        <f>HYPERLINK("http://mcgill.on.worldcat.org/oclc/43889874","Catalog Record")</f>
        <v>Catalog Record</v>
      </c>
      <c r="AW1814" s="6" t="str">
        <f>HYPERLINK("http://www.worldcat.org/oclc/43889874","WorldCat Record")</f>
        <v>WorldCat Record</v>
      </c>
      <c r="AX1814" s="3" t="s">
        <v>15770</v>
      </c>
      <c r="AY1814" s="3" t="s">
        <v>15771</v>
      </c>
      <c r="AZ1814" s="3" t="s">
        <v>15772</v>
      </c>
      <c r="BA1814" s="3" t="s">
        <v>15772</v>
      </c>
      <c r="BB1814" s="3" t="s">
        <v>15798</v>
      </c>
      <c r="BC1814" s="3" t="s">
        <v>82</v>
      </c>
      <c r="BD1814" s="3" t="s">
        <v>538</v>
      </c>
      <c r="BE1814" s="3" t="s">
        <v>15774</v>
      </c>
      <c r="BF1814" s="3" t="s">
        <v>15798</v>
      </c>
      <c r="BG1814" s="3" t="s">
        <v>15799</v>
      </c>
    </row>
    <row r="1815" spans="1:59" ht="75" x14ac:dyDescent="0.25">
      <c r="A1815" s="2" t="s">
        <v>59</v>
      </c>
      <c r="B1815" s="2" t="s">
        <v>60</v>
      </c>
      <c r="C1815" s="2" t="s">
        <v>15766</v>
      </c>
      <c r="D1815" s="2" t="s">
        <v>15767</v>
      </c>
      <c r="E1815" s="2" t="s">
        <v>15768</v>
      </c>
      <c r="F1815" s="3" t="s">
        <v>15800</v>
      </c>
      <c r="G1815" s="3" t="s">
        <v>62</v>
      </c>
      <c r="I1815" s="3" t="s">
        <v>63</v>
      </c>
      <c r="J1815" s="3" t="s">
        <v>63</v>
      </c>
      <c r="K1815" s="3" t="s">
        <v>64</v>
      </c>
      <c r="L1815" s="2" t="s">
        <v>15410</v>
      </c>
      <c r="M1815" s="2" t="s">
        <v>15769</v>
      </c>
      <c r="N1815" s="3" t="s">
        <v>274</v>
      </c>
      <c r="P1815" s="3" t="s">
        <v>66</v>
      </c>
      <c r="R1815" s="3" t="s">
        <v>67</v>
      </c>
      <c r="S1815" s="4">
        <v>0</v>
      </c>
      <c r="T1815" s="4">
        <v>87</v>
      </c>
      <c r="V1815" s="5" t="s">
        <v>1929</v>
      </c>
      <c r="W1815" s="5" t="s">
        <v>69</v>
      </c>
      <c r="X1815" s="5" t="s">
        <v>69</v>
      </c>
      <c r="Y1815" s="4">
        <v>33</v>
      </c>
      <c r="Z1815" s="4">
        <v>2</v>
      </c>
      <c r="AA1815" s="4">
        <v>2</v>
      </c>
      <c r="AB1815" s="4">
        <v>1</v>
      </c>
      <c r="AC1815" s="4">
        <v>1</v>
      </c>
      <c r="AD1815" s="4">
        <v>20</v>
      </c>
      <c r="AE1815" s="4">
        <v>28</v>
      </c>
      <c r="AF1815" s="4">
        <v>0</v>
      </c>
      <c r="AG1815" s="4">
        <v>0</v>
      </c>
      <c r="AH1815" s="4">
        <v>19</v>
      </c>
      <c r="AI1815" s="4">
        <v>27</v>
      </c>
      <c r="AJ1815" s="4">
        <v>1</v>
      </c>
      <c r="AK1815" s="4">
        <v>1</v>
      </c>
      <c r="AL1815" s="4">
        <v>15</v>
      </c>
      <c r="AM1815" s="4">
        <v>20</v>
      </c>
      <c r="AN1815" s="4">
        <v>0</v>
      </c>
      <c r="AO1815" s="4">
        <v>0</v>
      </c>
      <c r="AP1815" s="4">
        <v>1</v>
      </c>
      <c r="AQ1815" s="4">
        <v>1</v>
      </c>
      <c r="AR1815" s="3" t="s">
        <v>63</v>
      </c>
      <c r="AS1815" s="3" t="s">
        <v>63</v>
      </c>
      <c r="AT1815" s="3" t="s">
        <v>62</v>
      </c>
      <c r="AU1815" s="6" t="str">
        <f>HYPERLINK("http://catalog.hathitrust.org/Record/004117755","HathiTrust Record")</f>
        <v>HathiTrust Record</v>
      </c>
      <c r="AV1815" s="6" t="str">
        <f>HYPERLINK("http://mcgill.on.worldcat.org/oclc/43889874","Catalog Record")</f>
        <v>Catalog Record</v>
      </c>
      <c r="AW1815" s="6" t="str">
        <f>HYPERLINK("http://www.worldcat.org/oclc/43889874","WorldCat Record")</f>
        <v>WorldCat Record</v>
      </c>
      <c r="AX1815" s="3" t="s">
        <v>15770</v>
      </c>
      <c r="AY1815" s="3" t="s">
        <v>15771</v>
      </c>
      <c r="AZ1815" s="3" t="s">
        <v>15772</v>
      </c>
      <c r="BA1815" s="3" t="s">
        <v>15772</v>
      </c>
      <c r="BB1815" s="3" t="s">
        <v>15801</v>
      </c>
      <c r="BC1815" s="3" t="s">
        <v>82</v>
      </c>
      <c r="BD1815" s="3" t="s">
        <v>70</v>
      </c>
      <c r="BE1815" s="3" t="s">
        <v>15774</v>
      </c>
      <c r="BF1815" s="3" t="s">
        <v>15801</v>
      </c>
      <c r="BG1815" s="3" t="s">
        <v>15802</v>
      </c>
    </row>
    <row r="1816" spans="1:59" ht="75" x14ac:dyDescent="0.25">
      <c r="A1816" s="2" t="s">
        <v>59</v>
      </c>
      <c r="B1816" s="2" t="s">
        <v>60</v>
      </c>
      <c r="C1816" s="2" t="s">
        <v>15766</v>
      </c>
      <c r="D1816" s="2" t="s">
        <v>15767</v>
      </c>
      <c r="E1816" s="2" t="s">
        <v>15768</v>
      </c>
      <c r="F1816" s="3" t="s">
        <v>4184</v>
      </c>
      <c r="G1816" s="3" t="s">
        <v>62</v>
      </c>
      <c r="I1816" s="3" t="s">
        <v>63</v>
      </c>
      <c r="J1816" s="3" t="s">
        <v>63</v>
      </c>
      <c r="K1816" s="3" t="s">
        <v>64</v>
      </c>
      <c r="L1816" s="2" t="s">
        <v>15410</v>
      </c>
      <c r="M1816" s="2" t="s">
        <v>15769</v>
      </c>
      <c r="N1816" s="3" t="s">
        <v>274</v>
      </c>
      <c r="P1816" s="3" t="s">
        <v>66</v>
      </c>
      <c r="R1816" s="3" t="s">
        <v>67</v>
      </c>
      <c r="S1816" s="4">
        <v>8</v>
      </c>
      <c r="T1816" s="4">
        <v>87</v>
      </c>
      <c r="U1816" s="5" t="s">
        <v>1929</v>
      </c>
      <c r="V1816" s="5" t="s">
        <v>1929</v>
      </c>
      <c r="W1816" s="5" t="s">
        <v>69</v>
      </c>
      <c r="X1816" s="5" t="s">
        <v>69</v>
      </c>
      <c r="Y1816" s="4">
        <v>33</v>
      </c>
      <c r="Z1816" s="4">
        <v>2</v>
      </c>
      <c r="AA1816" s="4">
        <v>2</v>
      </c>
      <c r="AB1816" s="4">
        <v>1</v>
      </c>
      <c r="AC1816" s="4">
        <v>1</v>
      </c>
      <c r="AD1816" s="4">
        <v>20</v>
      </c>
      <c r="AE1816" s="4">
        <v>28</v>
      </c>
      <c r="AF1816" s="4">
        <v>0</v>
      </c>
      <c r="AG1816" s="4">
        <v>0</v>
      </c>
      <c r="AH1816" s="4">
        <v>19</v>
      </c>
      <c r="AI1816" s="4">
        <v>27</v>
      </c>
      <c r="AJ1816" s="4">
        <v>1</v>
      </c>
      <c r="AK1816" s="4">
        <v>1</v>
      </c>
      <c r="AL1816" s="4">
        <v>15</v>
      </c>
      <c r="AM1816" s="4">
        <v>20</v>
      </c>
      <c r="AN1816" s="4">
        <v>0</v>
      </c>
      <c r="AO1816" s="4">
        <v>0</v>
      </c>
      <c r="AP1816" s="4">
        <v>1</v>
      </c>
      <c r="AQ1816" s="4">
        <v>1</v>
      </c>
      <c r="AR1816" s="3" t="s">
        <v>63</v>
      </c>
      <c r="AS1816" s="3" t="s">
        <v>63</v>
      </c>
      <c r="AT1816" s="3" t="s">
        <v>62</v>
      </c>
      <c r="AU1816" s="6" t="str">
        <f>HYPERLINK("http://catalog.hathitrust.org/Record/004117755","HathiTrust Record")</f>
        <v>HathiTrust Record</v>
      </c>
      <c r="AV1816" s="6" t="str">
        <f>HYPERLINK("http://mcgill.on.worldcat.org/oclc/43889874","Catalog Record")</f>
        <v>Catalog Record</v>
      </c>
      <c r="AW1816" s="6" t="str">
        <f>HYPERLINK("http://www.worldcat.org/oclc/43889874","WorldCat Record")</f>
        <v>WorldCat Record</v>
      </c>
      <c r="AX1816" s="3" t="s">
        <v>15770</v>
      </c>
      <c r="AY1816" s="3" t="s">
        <v>15771</v>
      </c>
      <c r="AZ1816" s="3" t="s">
        <v>15772</v>
      </c>
      <c r="BA1816" s="3" t="s">
        <v>15772</v>
      </c>
      <c r="BB1816" s="3" t="s">
        <v>15803</v>
      </c>
      <c r="BC1816" s="3" t="s">
        <v>82</v>
      </c>
      <c r="BD1816" s="3" t="s">
        <v>70</v>
      </c>
      <c r="BE1816" s="3" t="s">
        <v>15774</v>
      </c>
      <c r="BF1816" s="3" t="s">
        <v>15803</v>
      </c>
      <c r="BG1816" s="3" t="s">
        <v>15804</v>
      </c>
    </row>
    <row r="1817" spans="1:59" ht="75" x14ac:dyDescent="0.25">
      <c r="A1817" s="2" t="s">
        <v>59</v>
      </c>
      <c r="B1817" s="2" t="s">
        <v>60</v>
      </c>
      <c r="C1817" s="2" t="s">
        <v>15766</v>
      </c>
      <c r="D1817" s="2" t="s">
        <v>15767</v>
      </c>
      <c r="E1817" s="2" t="s">
        <v>15768</v>
      </c>
      <c r="F1817" s="3" t="s">
        <v>10473</v>
      </c>
      <c r="G1817" s="3" t="s">
        <v>62</v>
      </c>
      <c r="I1817" s="3" t="s">
        <v>63</v>
      </c>
      <c r="J1817" s="3" t="s">
        <v>63</v>
      </c>
      <c r="K1817" s="3" t="s">
        <v>64</v>
      </c>
      <c r="L1817" s="2" t="s">
        <v>15410</v>
      </c>
      <c r="M1817" s="2" t="s">
        <v>15769</v>
      </c>
      <c r="N1817" s="3" t="s">
        <v>274</v>
      </c>
      <c r="P1817" s="3" t="s">
        <v>66</v>
      </c>
      <c r="R1817" s="3" t="s">
        <v>67</v>
      </c>
      <c r="S1817" s="4">
        <v>11</v>
      </c>
      <c r="T1817" s="4">
        <v>87</v>
      </c>
      <c r="U1817" s="5" t="s">
        <v>759</v>
      </c>
      <c r="V1817" s="5" t="s">
        <v>1929</v>
      </c>
      <c r="W1817" s="5" t="s">
        <v>69</v>
      </c>
      <c r="X1817" s="5" t="s">
        <v>69</v>
      </c>
      <c r="Y1817" s="4">
        <v>33</v>
      </c>
      <c r="Z1817" s="4">
        <v>2</v>
      </c>
      <c r="AA1817" s="4">
        <v>2</v>
      </c>
      <c r="AB1817" s="4">
        <v>1</v>
      </c>
      <c r="AC1817" s="4">
        <v>1</v>
      </c>
      <c r="AD1817" s="4">
        <v>20</v>
      </c>
      <c r="AE1817" s="4">
        <v>28</v>
      </c>
      <c r="AF1817" s="4">
        <v>0</v>
      </c>
      <c r="AG1817" s="4">
        <v>0</v>
      </c>
      <c r="AH1817" s="4">
        <v>19</v>
      </c>
      <c r="AI1817" s="4">
        <v>27</v>
      </c>
      <c r="AJ1817" s="4">
        <v>1</v>
      </c>
      <c r="AK1817" s="4">
        <v>1</v>
      </c>
      <c r="AL1817" s="4">
        <v>15</v>
      </c>
      <c r="AM1817" s="4">
        <v>20</v>
      </c>
      <c r="AN1817" s="4">
        <v>0</v>
      </c>
      <c r="AO1817" s="4">
        <v>0</v>
      </c>
      <c r="AP1817" s="4">
        <v>1</v>
      </c>
      <c r="AQ1817" s="4">
        <v>1</v>
      </c>
      <c r="AR1817" s="3" t="s">
        <v>63</v>
      </c>
      <c r="AS1817" s="3" t="s">
        <v>63</v>
      </c>
      <c r="AT1817" s="3" t="s">
        <v>62</v>
      </c>
      <c r="AU1817" s="6" t="str">
        <f>HYPERLINK("http://catalog.hathitrust.org/Record/004117755","HathiTrust Record")</f>
        <v>HathiTrust Record</v>
      </c>
      <c r="AV1817" s="6" t="str">
        <f>HYPERLINK("http://mcgill.on.worldcat.org/oclc/43889874","Catalog Record")</f>
        <v>Catalog Record</v>
      </c>
      <c r="AW1817" s="6" t="str">
        <f>HYPERLINK("http://www.worldcat.org/oclc/43889874","WorldCat Record")</f>
        <v>WorldCat Record</v>
      </c>
      <c r="AX1817" s="3" t="s">
        <v>15770</v>
      </c>
      <c r="AY1817" s="3" t="s">
        <v>15771</v>
      </c>
      <c r="AZ1817" s="3" t="s">
        <v>15772</v>
      </c>
      <c r="BA1817" s="3" t="s">
        <v>15772</v>
      </c>
      <c r="BB1817" s="3" t="s">
        <v>15805</v>
      </c>
      <c r="BC1817" s="3" t="s">
        <v>82</v>
      </c>
      <c r="BD1817" s="3" t="s">
        <v>70</v>
      </c>
      <c r="BE1817" s="3" t="s">
        <v>15774</v>
      </c>
      <c r="BF1817" s="3" t="s">
        <v>15805</v>
      </c>
      <c r="BG1817" s="3" t="s">
        <v>15806</v>
      </c>
    </row>
    <row r="1818" spans="1:59" ht="75" x14ac:dyDescent="0.25">
      <c r="A1818" s="2" t="s">
        <v>59</v>
      </c>
      <c r="B1818" s="2" t="s">
        <v>60</v>
      </c>
      <c r="C1818" s="2" t="s">
        <v>15766</v>
      </c>
      <c r="D1818" s="2" t="s">
        <v>15767</v>
      </c>
      <c r="E1818" s="2" t="s">
        <v>15768</v>
      </c>
      <c r="F1818" s="3" t="s">
        <v>10521</v>
      </c>
      <c r="G1818" s="3" t="s">
        <v>62</v>
      </c>
      <c r="I1818" s="3" t="s">
        <v>63</v>
      </c>
      <c r="J1818" s="3" t="s">
        <v>63</v>
      </c>
      <c r="K1818" s="3" t="s">
        <v>64</v>
      </c>
      <c r="L1818" s="2" t="s">
        <v>15410</v>
      </c>
      <c r="M1818" s="2" t="s">
        <v>15769</v>
      </c>
      <c r="N1818" s="3" t="s">
        <v>274</v>
      </c>
      <c r="P1818" s="3" t="s">
        <v>66</v>
      </c>
      <c r="R1818" s="3" t="s">
        <v>67</v>
      </c>
      <c r="S1818" s="4">
        <v>11</v>
      </c>
      <c r="T1818" s="4">
        <v>87</v>
      </c>
      <c r="U1818" s="5" t="s">
        <v>15776</v>
      </c>
      <c r="V1818" s="5" t="s">
        <v>1929</v>
      </c>
      <c r="W1818" s="5" t="s">
        <v>69</v>
      </c>
      <c r="X1818" s="5" t="s">
        <v>69</v>
      </c>
      <c r="Y1818" s="4">
        <v>33</v>
      </c>
      <c r="Z1818" s="4">
        <v>2</v>
      </c>
      <c r="AA1818" s="4">
        <v>2</v>
      </c>
      <c r="AB1818" s="4">
        <v>1</v>
      </c>
      <c r="AC1818" s="4">
        <v>1</v>
      </c>
      <c r="AD1818" s="4">
        <v>20</v>
      </c>
      <c r="AE1818" s="4">
        <v>28</v>
      </c>
      <c r="AF1818" s="4">
        <v>0</v>
      </c>
      <c r="AG1818" s="4">
        <v>0</v>
      </c>
      <c r="AH1818" s="4">
        <v>19</v>
      </c>
      <c r="AI1818" s="4">
        <v>27</v>
      </c>
      <c r="AJ1818" s="4">
        <v>1</v>
      </c>
      <c r="AK1818" s="4">
        <v>1</v>
      </c>
      <c r="AL1818" s="4">
        <v>15</v>
      </c>
      <c r="AM1818" s="4">
        <v>20</v>
      </c>
      <c r="AN1818" s="4">
        <v>0</v>
      </c>
      <c r="AO1818" s="4">
        <v>0</v>
      </c>
      <c r="AP1818" s="4">
        <v>1</v>
      </c>
      <c r="AQ1818" s="4">
        <v>1</v>
      </c>
      <c r="AR1818" s="3" t="s">
        <v>63</v>
      </c>
      <c r="AS1818" s="3" t="s">
        <v>63</v>
      </c>
      <c r="AT1818" s="3" t="s">
        <v>62</v>
      </c>
      <c r="AU1818" s="6" t="str">
        <f>HYPERLINK("http://catalog.hathitrust.org/Record/004117755","HathiTrust Record")</f>
        <v>HathiTrust Record</v>
      </c>
      <c r="AV1818" s="6" t="str">
        <f>HYPERLINK("http://mcgill.on.worldcat.org/oclc/43889874","Catalog Record")</f>
        <v>Catalog Record</v>
      </c>
      <c r="AW1818" s="6" t="str">
        <f>HYPERLINK("http://www.worldcat.org/oclc/43889874","WorldCat Record")</f>
        <v>WorldCat Record</v>
      </c>
      <c r="AX1818" s="3" t="s">
        <v>15770</v>
      </c>
      <c r="AY1818" s="3" t="s">
        <v>15771</v>
      </c>
      <c r="AZ1818" s="3" t="s">
        <v>15772</v>
      </c>
      <c r="BA1818" s="3" t="s">
        <v>15772</v>
      </c>
      <c r="BB1818" s="3" t="s">
        <v>15807</v>
      </c>
      <c r="BC1818" s="3" t="s">
        <v>82</v>
      </c>
      <c r="BD1818" s="3" t="s">
        <v>70</v>
      </c>
      <c r="BE1818" s="3" t="s">
        <v>15774</v>
      </c>
      <c r="BF1818" s="3" t="s">
        <v>15807</v>
      </c>
      <c r="BG1818" s="3" t="s">
        <v>15808</v>
      </c>
    </row>
    <row r="1819" spans="1:59" ht="75" x14ac:dyDescent="0.25">
      <c r="A1819" s="2" t="s">
        <v>59</v>
      </c>
      <c r="B1819" s="2" t="s">
        <v>60</v>
      </c>
      <c r="C1819" s="2" t="s">
        <v>15766</v>
      </c>
      <c r="D1819" s="2" t="s">
        <v>15767</v>
      </c>
      <c r="E1819" s="2" t="s">
        <v>15768</v>
      </c>
      <c r="F1819" s="3" t="s">
        <v>15809</v>
      </c>
      <c r="G1819" s="3" t="s">
        <v>62</v>
      </c>
      <c r="I1819" s="3" t="s">
        <v>63</v>
      </c>
      <c r="J1819" s="3" t="s">
        <v>63</v>
      </c>
      <c r="K1819" s="3" t="s">
        <v>64</v>
      </c>
      <c r="L1819" s="2" t="s">
        <v>15410</v>
      </c>
      <c r="M1819" s="2" t="s">
        <v>15769</v>
      </c>
      <c r="N1819" s="3" t="s">
        <v>274</v>
      </c>
      <c r="P1819" s="3" t="s">
        <v>66</v>
      </c>
      <c r="R1819" s="3" t="s">
        <v>67</v>
      </c>
      <c r="S1819" s="4">
        <v>4</v>
      </c>
      <c r="T1819" s="4">
        <v>87</v>
      </c>
      <c r="U1819" s="5" t="s">
        <v>15784</v>
      </c>
      <c r="V1819" s="5" t="s">
        <v>1929</v>
      </c>
      <c r="W1819" s="5" t="s">
        <v>69</v>
      </c>
      <c r="X1819" s="5" t="s">
        <v>69</v>
      </c>
      <c r="Y1819" s="4">
        <v>33</v>
      </c>
      <c r="Z1819" s="4">
        <v>2</v>
      </c>
      <c r="AA1819" s="4">
        <v>2</v>
      </c>
      <c r="AB1819" s="4">
        <v>1</v>
      </c>
      <c r="AC1819" s="4">
        <v>1</v>
      </c>
      <c r="AD1819" s="4">
        <v>20</v>
      </c>
      <c r="AE1819" s="4">
        <v>28</v>
      </c>
      <c r="AF1819" s="4">
        <v>0</v>
      </c>
      <c r="AG1819" s="4">
        <v>0</v>
      </c>
      <c r="AH1819" s="4">
        <v>19</v>
      </c>
      <c r="AI1819" s="4">
        <v>27</v>
      </c>
      <c r="AJ1819" s="4">
        <v>1</v>
      </c>
      <c r="AK1819" s="4">
        <v>1</v>
      </c>
      <c r="AL1819" s="4">
        <v>15</v>
      </c>
      <c r="AM1819" s="4">
        <v>20</v>
      </c>
      <c r="AN1819" s="4">
        <v>0</v>
      </c>
      <c r="AO1819" s="4">
        <v>0</v>
      </c>
      <c r="AP1819" s="4">
        <v>1</v>
      </c>
      <c r="AQ1819" s="4">
        <v>1</v>
      </c>
      <c r="AR1819" s="3" t="s">
        <v>63</v>
      </c>
      <c r="AS1819" s="3" t="s">
        <v>63</v>
      </c>
      <c r="AT1819" s="3" t="s">
        <v>62</v>
      </c>
      <c r="AU1819" s="6" t="str">
        <f>HYPERLINK("http://catalog.hathitrust.org/Record/004117755","HathiTrust Record")</f>
        <v>HathiTrust Record</v>
      </c>
      <c r="AV1819" s="6" t="str">
        <f>HYPERLINK("http://mcgill.on.worldcat.org/oclc/43889874","Catalog Record")</f>
        <v>Catalog Record</v>
      </c>
      <c r="AW1819" s="6" t="str">
        <f>HYPERLINK("http://www.worldcat.org/oclc/43889874","WorldCat Record")</f>
        <v>WorldCat Record</v>
      </c>
      <c r="AX1819" s="3" t="s">
        <v>15770</v>
      </c>
      <c r="AY1819" s="3" t="s">
        <v>15771</v>
      </c>
      <c r="AZ1819" s="3" t="s">
        <v>15772</v>
      </c>
      <c r="BA1819" s="3" t="s">
        <v>15772</v>
      </c>
      <c r="BB1819" s="3" t="s">
        <v>15810</v>
      </c>
      <c r="BC1819" s="3" t="s">
        <v>82</v>
      </c>
      <c r="BD1819" s="3" t="s">
        <v>70</v>
      </c>
      <c r="BE1819" s="3" t="s">
        <v>15774</v>
      </c>
      <c r="BF1819" s="3" t="s">
        <v>15810</v>
      </c>
      <c r="BG1819" s="3" t="s">
        <v>15811</v>
      </c>
    </row>
    <row r="1820" spans="1:59" ht="60" x14ac:dyDescent="0.25">
      <c r="A1820" s="2" t="s">
        <v>59</v>
      </c>
      <c r="B1820" s="2" t="s">
        <v>60</v>
      </c>
      <c r="C1820" s="2" t="s">
        <v>15812</v>
      </c>
      <c r="D1820" s="2" t="s">
        <v>15813</v>
      </c>
      <c r="E1820" s="2" t="s">
        <v>15814</v>
      </c>
      <c r="G1820" s="3" t="s">
        <v>63</v>
      </c>
      <c r="I1820" s="3" t="s">
        <v>63</v>
      </c>
      <c r="J1820" s="3" t="s">
        <v>63</v>
      </c>
      <c r="K1820" s="3" t="s">
        <v>64</v>
      </c>
      <c r="L1820" s="2" t="s">
        <v>324</v>
      </c>
      <c r="M1820" s="2" t="s">
        <v>15815</v>
      </c>
      <c r="N1820" s="3" t="s">
        <v>401</v>
      </c>
      <c r="P1820" s="3" t="s">
        <v>66</v>
      </c>
      <c r="R1820" s="3" t="s">
        <v>67</v>
      </c>
      <c r="S1820" s="4">
        <v>47</v>
      </c>
      <c r="T1820" s="4">
        <v>47</v>
      </c>
      <c r="U1820" s="5" t="s">
        <v>10804</v>
      </c>
      <c r="V1820" s="5" t="s">
        <v>10804</v>
      </c>
      <c r="W1820" s="5" t="s">
        <v>69</v>
      </c>
      <c r="X1820" s="5" t="s">
        <v>69</v>
      </c>
      <c r="Y1820" s="4">
        <v>975</v>
      </c>
      <c r="Z1820" s="4">
        <v>22</v>
      </c>
      <c r="AA1820" s="4">
        <v>43</v>
      </c>
      <c r="AB1820" s="4">
        <v>2</v>
      </c>
      <c r="AC1820" s="4">
        <v>2</v>
      </c>
      <c r="AD1820" s="4">
        <v>92</v>
      </c>
      <c r="AE1820" s="4">
        <v>119</v>
      </c>
      <c r="AF1820" s="4">
        <v>1</v>
      </c>
      <c r="AG1820" s="4">
        <v>1</v>
      </c>
      <c r="AH1820" s="4">
        <v>78</v>
      </c>
      <c r="AI1820" s="4">
        <v>99</v>
      </c>
      <c r="AJ1820" s="4">
        <v>8</v>
      </c>
      <c r="AK1820" s="4">
        <v>17</v>
      </c>
      <c r="AL1820" s="4">
        <v>44</v>
      </c>
      <c r="AM1820" s="4">
        <v>55</v>
      </c>
      <c r="AN1820" s="4">
        <v>0</v>
      </c>
      <c r="AO1820" s="4">
        <v>6</v>
      </c>
      <c r="AP1820" s="4">
        <v>15</v>
      </c>
      <c r="AQ1820" s="4">
        <v>25</v>
      </c>
      <c r="AR1820" s="3" t="s">
        <v>63</v>
      </c>
      <c r="AS1820" s="3" t="s">
        <v>63</v>
      </c>
      <c r="AT1820" s="3" t="s">
        <v>63</v>
      </c>
      <c r="AV1820" s="6" t="str">
        <f>HYPERLINK("http://mcgill.on.worldcat.org/oclc/1011615","Catalog Record")</f>
        <v>Catalog Record</v>
      </c>
      <c r="AW1820" s="6" t="str">
        <f>HYPERLINK("http://www.worldcat.org/oclc/1011615","WorldCat Record")</f>
        <v>WorldCat Record</v>
      </c>
      <c r="AX1820" s="3" t="s">
        <v>15816</v>
      </c>
      <c r="AY1820" s="3" t="s">
        <v>15817</v>
      </c>
      <c r="AZ1820" s="3" t="s">
        <v>15818</v>
      </c>
      <c r="BA1820" s="3" t="s">
        <v>15818</v>
      </c>
      <c r="BB1820" s="3" t="s">
        <v>15819</v>
      </c>
      <c r="BC1820" s="3" t="s">
        <v>82</v>
      </c>
      <c r="BD1820" s="3" t="s">
        <v>70</v>
      </c>
      <c r="BE1820" s="3" t="s">
        <v>15820</v>
      </c>
      <c r="BF1820" s="3" t="s">
        <v>15819</v>
      </c>
      <c r="BG1820" s="3" t="s">
        <v>15821</v>
      </c>
    </row>
    <row r="1821" spans="1:59" ht="75" x14ac:dyDescent="0.25">
      <c r="A1821" s="2" t="s">
        <v>59</v>
      </c>
      <c r="B1821" s="2" t="s">
        <v>60</v>
      </c>
      <c r="C1821" s="2" t="s">
        <v>15822</v>
      </c>
      <c r="D1821" s="2" t="s">
        <v>15823</v>
      </c>
      <c r="E1821" s="2" t="s">
        <v>15824</v>
      </c>
      <c r="G1821" s="3" t="s">
        <v>63</v>
      </c>
      <c r="I1821" s="3" t="s">
        <v>62</v>
      </c>
      <c r="J1821" s="3" t="s">
        <v>63</v>
      </c>
      <c r="K1821" s="3" t="s">
        <v>64</v>
      </c>
      <c r="L1821" s="2" t="s">
        <v>324</v>
      </c>
      <c r="M1821" s="2" t="s">
        <v>15825</v>
      </c>
      <c r="N1821" s="3" t="s">
        <v>3640</v>
      </c>
      <c r="P1821" s="3" t="s">
        <v>66</v>
      </c>
      <c r="R1821" s="3" t="s">
        <v>67</v>
      </c>
      <c r="S1821" s="4">
        <v>33</v>
      </c>
      <c r="T1821" s="4">
        <v>55</v>
      </c>
      <c r="U1821" s="5" t="s">
        <v>15826</v>
      </c>
      <c r="V1821" s="5" t="s">
        <v>15826</v>
      </c>
      <c r="W1821" s="5" t="s">
        <v>69</v>
      </c>
      <c r="X1821" s="5" t="s">
        <v>69</v>
      </c>
      <c r="Y1821" s="4">
        <v>743</v>
      </c>
      <c r="Z1821" s="4">
        <v>39</v>
      </c>
      <c r="AA1821" s="4">
        <v>39</v>
      </c>
      <c r="AB1821" s="4">
        <v>1</v>
      </c>
      <c r="AC1821" s="4">
        <v>1</v>
      </c>
      <c r="AD1821" s="4">
        <v>109</v>
      </c>
      <c r="AE1821" s="4">
        <v>109</v>
      </c>
      <c r="AF1821" s="4">
        <v>0</v>
      </c>
      <c r="AG1821" s="4">
        <v>0</v>
      </c>
      <c r="AH1821" s="4">
        <v>93</v>
      </c>
      <c r="AI1821" s="4">
        <v>93</v>
      </c>
      <c r="AJ1821" s="4">
        <v>18</v>
      </c>
      <c r="AK1821" s="4">
        <v>18</v>
      </c>
      <c r="AL1821" s="4">
        <v>52</v>
      </c>
      <c r="AM1821" s="4">
        <v>52</v>
      </c>
      <c r="AN1821" s="4">
        <v>0</v>
      </c>
      <c r="AO1821" s="4">
        <v>0</v>
      </c>
      <c r="AP1821" s="4">
        <v>22</v>
      </c>
      <c r="AQ1821" s="4">
        <v>22</v>
      </c>
      <c r="AR1821" s="3" t="s">
        <v>63</v>
      </c>
      <c r="AS1821" s="3" t="s">
        <v>63</v>
      </c>
      <c r="AT1821" s="3" t="s">
        <v>63</v>
      </c>
      <c r="AV1821" s="6" t="str">
        <f>HYPERLINK("http://mcgill.on.worldcat.org/oclc/9623332","Catalog Record")</f>
        <v>Catalog Record</v>
      </c>
      <c r="AW1821" s="6" t="str">
        <f>HYPERLINK("http://www.worldcat.org/oclc/9623332","WorldCat Record")</f>
        <v>WorldCat Record</v>
      </c>
      <c r="AX1821" s="3" t="s">
        <v>15827</v>
      </c>
      <c r="AY1821" s="3" t="s">
        <v>15828</v>
      </c>
      <c r="AZ1821" s="3" t="s">
        <v>15829</v>
      </c>
      <c r="BA1821" s="3" t="s">
        <v>15829</v>
      </c>
      <c r="BB1821" s="3" t="s">
        <v>15830</v>
      </c>
      <c r="BC1821" s="3" t="s">
        <v>82</v>
      </c>
      <c r="BD1821" s="3" t="s">
        <v>70</v>
      </c>
      <c r="BE1821" s="3" t="s">
        <v>15831</v>
      </c>
      <c r="BF1821" s="3" t="s">
        <v>15830</v>
      </c>
      <c r="BG1821" s="3" t="s">
        <v>15832</v>
      </c>
    </row>
    <row r="1822" spans="1:59" ht="75" x14ac:dyDescent="0.25">
      <c r="A1822" s="2" t="s">
        <v>59</v>
      </c>
      <c r="B1822" s="2" t="s">
        <v>60</v>
      </c>
      <c r="C1822" s="2" t="s">
        <v>15822</v>
      </c>
      <c r="D1822" s="2" t="s">
        <v>15823</v>
      </c>
      <c r="E1822" s="2" t="s">
        <v>15824</v>
      </c>
      <c r="G1822" s="3" t="s">
        <v>63</v>
      </c>
      <c r="I1822" s="3" t="s">
        <v>62</v>
      </c>
      <c r="J1822" s="3" t="s">
        <v>63</v>
      </c>
      <c r="K1822" s="3" t="s">
        <v>64</v>
      </c>
      <c r="L1822" s="2" t="s">
        <v>324</v>
      </c>
      <c r="M1822" s="2" t="s">
        <v>15825</v>
      </c>
      <c r="N1822" s="3" t="s">
        <v>3640</v>
      </c>
      <c r="P1822" s="3" t="s">
        <v>66</v>
      </c>
      <c r="R1822" s="3" t="s">
        <v>67</v>
      </c>
      <c r="S1822" s="4">
        <v>22</v>
      </c>
      <c r="T1822" s="4">
        <v>55</v>
      </c>
      <c r="U1822" s="5" t="s">
        <v>15833</v>
      </c>
      <c r="V1822" s="5" t="s">
        <v>15826</v>
      </c>
      <c r="W1822" s="5" t="s">
        <v>69</v>
      </c>
      <c r="X1822" s="5" t="s">
        <v>69</v>
      </c>
      <c r="Y1822" s="4">
        <v>743</v>
      </c>
      <c r="Z1822" s="4">
        <v>39</v>
      </c>
      <c r="AA1822" s="4">
        <v>39</v>
      </c>
      <c r="AB1822" s="4">
        <v>1</v>
      </c>
      <c r="AC1822" s="4">
        <v>1</v>
      </c>
      <c r="AD1822" s="4">
        <v>109</v>
      </c>
      <c r="AE1822" s="4">
        <v>109</v>
      </c>
      <c r="AF1822" s="4">
        <v>0</v>
      </c>
      <c r="AG1822" s="4">
        <v>0</v>
      </c>
      <c r="AH1822" s="4">
        <v>93</v>
      </c>
      <c r="AI1822" s="4">
        <v>93</v>
      </c>
      <c r="AJ1822" s="4">
        <v>18</v>
      </c>
      <c r="AK1822" s="4">
        <v>18</v>
      </c>
      <c r="AL1822" s="4">
        <v>52</v>
      </c>
      <c r="AM1822" s="4">
        <v>52</v>
      </c>
      <c r="AN1822" s="4">
        <v>0</v>
      </c>
      <c r="AO1822" s="4">
        <v>0</v>
      </c>
      <c r="AP1822" s="4">
        <v>22</v>
      </c>
      <c r="AQ1822" s="4">
        <v>22</v>
      </c>
      <c r="AR1822" s="3" t="s">
        <v>63</v>
      </c>
      <c r="AS1822" s="3" t="s">
        <v>63</v>
      </c>
      <c r="AT1822" s="3" t="s">
        <v>63</v>
      </c>
      <c r="AV1822" s="6" t="str">
        <f>HYPERLINK("http://mcgill.on.worldcat.org/oclc/9623332","Catalog Record")</f>
        <v>Catalog Record</v>
      </c>
      <c r="AW1822" s="6" t="str">
        <f>HYPERLINK("http://www.worldcat.org/oclc/9623332","WorldCat Record")</f>
        <v>WorldCat Record</v>
      </c>
      <c r="AX1822" s="3" t="s">
        <v>15827</v>
      </c>
      <c r="AY1822" s="3" t="s">
        <v>15828</v>
      </c>
      <c r="AZ1822" s="3" t="s">
        <v>15829</v>
      </c>
      <c r="BA1822" s="3" t="s">
        <v>15829</v>
      </c>
      <c r="BB1822" s="3" t="s">
        <v>15834</v>
      </c>
      <c r="BC1822" s="3" t="s">
        <v>82</v>
      </c>
      <c r="BD1822" s="3" t="s">
        <v>70</v>
      </c>
      <c r="BE1822" s="3" t="s">
        <v>15831</v>
      </c>
      <c r="BF1822" s="3" t="s">
        <v>15834</v>
      </c>
      <c r="BG1822" s="3" t="s">
        <v>15835</v>
      </c>
    </row>
    <row r="1823" spans="1:59" ht="75" x14ac:dyDescent="0.25">
      <c r="A1823" s="2" t="s">
        <v>59</v>
      </c>
      <c r="B1823" s="2" t="s">
        <v>60</v>
      </c>
      <c r="C1823" s="2" t="s">
        <v>15836</v>
      </c>
      <c r="D1823" s="2" t="s">
        <v>15837</v>
      </c>
      <c r="E1823" s="2" t="s">
        <v>15838</v>
      </c>
      <c r="G1823" s="3" t="s">
        <v>63</v>
      </c>
      <c r="I1823" s="3" t="s">
        <v>63</v>
      </c>
      <c r="J1823" s="3" t="s">
        <v>63</v>
      </c>
      <c r="K1823" s="3" t="s">
        <v>64</v>
      </c>
      <c r="L1823" s="2" t="s">
        <v>15410</v>
      </c>
      <c r="M1823" s="2" t="s">
        <v>15839</v>
      </c>
      <c r="N1823" s="3" t="s">
        <v>106</v>
      </c>
      <c r="O1823" s="2" t="s">
        <v>1605</v>
      </c>
      <c r="P1823" s="3" t="s">
        <v>66</v>
      </c>
      <c r="R1823" s="3" t="s">
        <v>67</v>
      </c>
      <c r="S1823" s="4">
        <v>0</v>
      </c>
      <c r="T1823" s="4">
        <v>0</v>
      </c>
      <c r="W1823" s="5" t="s">
        <v>69</v>
      </c>
      <c r="X1823" s="5" t="s">
        <v>69</v>
      </c>
      <c r="Y1823" s="4">
        <v>533</v>
      </c>
      <c r="Z1823" s="4">
        <v>12</v>
      </c>
      <c r="AA1823" s="4">
        <v>13</v>
      </c>
      <c r="AB1823" s="4">
        <v>1</v>
      </c>
      <c r="AC1823" s="4">
        <v>2</v>
      </c>
      <c r="AD1823" s="4">
        <v>71</v>
      </c>
      <c r="AE1823" s="4">
        <v>72</v>
      </c>
      <c r="AF1823" s="4">
        <v>0</v>
      </c>
      <c r="AG1823" s="4">
        <v>0</v>
      </c>
      <c r="AH1823" s="4">
        <v>65</v>
      </c>
      <c r="AI1823" s="4">
        <v>66</v>
      </c>
      <c r="AJ1823" s="4">
        <v>8</v>
      </c>
      <c r="AK1823" s="4">
        <v>8</v>
      </c>
      <c r="AL1823" s="4">
        <v>43</v>
      </c>
      <c r="AM1823" s="4">
        <v>43</v>
      </c>
      <c r="AN1823" s="4">
        <v>0</v>
      </c>
      <c r="AO1823" s="4">
        <v>0</v>
      </c>
      <c r="AP1823" s="4">
        <v>8</v>
      </c>
      <c r="AQ1823" s="4">
        <v>8</v>
      </c>
      <c r="AR1823" s="3" t="s">
        <v>63</v>
      </c>
      <c r="AS1823" s="3" t="s">
        <v>63</v>
      </c>
      <c r="AT1823" s="3" t="s">
        <v>63</v>
      </c>
      <c r="AV1823" s="6" t="str">
        <f>HYPERLINK("http://mcgill.on.worldcat.org/oclc/934278133","Catalog Record")</f>
        <v>Catalog Record</v>
      </c>
      <c r="AW1823" s="6" t="str">
        <f>HYPERLINK("http://www.worldcat.org/oclc/934278133","WorldCat Record")</f>
        <v>WorldCat Record</v>
      </c>
      <c r="AX1823" s="3" t="s">
        <v>15840</v>
      </c>
      <c r="AY1823" s="3" t="s">
        <v>15841</v>
      </c>
      <c r="AZ1823" s="3" t="s">
        <v>15842</v>
      </c>
      <c r="BA1823" s="3" t="s">
        <v>15842</v>
      </c>
      <c r="BB1823" s="3" t="s">
        <v>15843</v>
      </c>
      <c r="BC1823" s="3" t="s">
        <v>82</v>
      </c>
      <c r="BD1823" s="3" t="s">
        <v>70</v>
      </c>
      <c r="BE1823" s="3" t="s">
        <v>15844</v>
      </c>
      <c r="BF1823" s="3" t="s">
        <v>15843</v>
      </c>
      <c r="BG1823" s="3" t="s">
        <v>15845</v>
      </c>
    </row>
    <row r="1824" spans="1:59" ht="60" x14ac:dyDescent="0.25">
      <c r="A1824" s="2" t="s">
        <v>59</v>
      </c>
      <c r="B1824" s="2" t="s">
        <v>60</v>
      </c>
      <c r="C1824" s="2" t="s">
        <v>15846</v>
      </c>
      <c r="D1824" s="2" t="s">
        <v>15847</v>
      </c>
      <c r="E1824" s="2" t="s">
        <v>15848</v>
      </c>
      <c r="G1824" s="3" t="s">
        <v>63</v>
      </c>
      <c r="I1824" s="3" t="s">
        <v>63</v>
      </c>
      <c r="J1824" s="3" t="s">
        <v>63</v>
      </c>
      <c r="K1824" s="3" t="s">
        <v>64</v>
      </c>
      <c r="L1824" s="2" t="s">
        <v>324</v>
      </c>
      <c r="M1824" s="2" t="s">
        <v>15849</v>
      </c>
      <c r="N1824" s="3" t="s">
        <v>3640</v>
      </c>
      <c r="P1824" s="3" t="s">
        <v>66</v>
      </c>
      <c r="R1824" s="3" t="s">
        <v>67</v>
      </c>
      <c r="S1824" s="4">
        <v>34</v>
      </c>
      <c r="T1824" s="4">
        <v>34</v>
      </c>
      <c r="U1824" s="5" t="s">
        <v>15850</v>
      </c>
      <c r="V1824" s="5" t="s">
        <v>15850</v>
      </c>
      <c r="W1824" s="5" t="s">
        <v>69</v>
      </c>
      <c r="X1824" s="5" t="s">
        <v>69</v>
      </c>
      <c r="Y1824" s="4">
        <v>8</v>
      </c>
      <c r="Z1824" s="4">
        <v>3</v>
      </c>
      <c r="AA1824" s="4">
        <v>29</v>
      </c>
      <c r="AB1824" s="4">
        <v>1</v>
      </c>
      <c r="AC1824" s="4">
        <v>1</v>
      </c>
      <c r="AD1824" s="4">
        <v>3</v>
      </c>
      <c r="AE1824" s="4">
        <v>116</v>
      </c>
      <c r="AF1824" s="4">
        <v>0</v>
      </c>
      <c r="AG1824" s="4">
        <v>0</v>
      </c>
      <c r="AH1824" s="4">
        <v>2</v>
      </c>
      <c r="AI1824" s="4">
        <v>99</v>
      </c>
      <c r="AJ1824" s="4">
        <v>1</v>
      </c>
      <c r="AK1824" s="4">
        <v>17</v>
      </c>
      <c r="AL1824" s="4">
        <v>2</v>
      </c>
      <c r="AM1824" s="4">
        <v>58</v>
      </c>
      <c r="AN1824" s="4">
        <v>0</v>
      </c>
      <c r="AO1824" s="4">
        <v>0</v>
      </c>
      <c r="AP1824" s="4">
        <v>1</v>
      </c>
      <c r="AQ1824" s="4">
        <v>21</v>
      </c>
      <c r="AR1824" s="3" t="s">
        <v>63</v>
      </c>
      <c r="AS1824" s="3" t="s">
        <v>63</v>
      </c>
      <c r="AT1824" s="3" t="s">
        <v>62</v>
      </c>
      <c r="AU1824" s="6" t="str">
        <f>HYPERLINK("http://catalog.hathitrust.org/Record/000202851","HathiTrust Record")</f>
        <v>HathiTrust Record</v>
      </c>
      <c r="AV1824" s="6" t="str">
        <f>HYPERLINK("http://mcgill.on.worldcat.org/oclc/317519112","Catalog Record")</f>
        <v>Catalog Record</v>
      </c>
      <c r="AW1824" s="6" t="str">
        <f>HYPERLINK("http://www.worldcat.org/oclc/317519112","WorldCat Record")</f>
        <v>WorldCat Record</v>
      </c>
      <c r="AX1824" s="3" t="s">
        <v>15851</v>
      </c>
      <c r="AY1824" s="3" t="s">
        <v>15852</v>
      </c>
      <c r="AZ1824" s="3" t="s">
        <v>15853</v>
      </c>
      <c r="BA1824" s="3" t="s">
        <v>15853</v>
      </c>
      <c r="BB1824" s="3" t="s">
        <v>15854</v>
      </c>
      <c r="BC1824" s="3" t="s">
        <v>82</v>
      </c>
      <c r="BD1824" s="3" t="s">
        <v>70</v>
      </c>
      <c r="BE1824" s="3" t="s">
        <v>15855</v>
      </c>
      <c r="BF1824" s="3" t="s">
        <v>15854</v>
      </c>
      <c r="BG1824" s="3" t="s">
        <v>15856</v>
      </c>
    </row>
    <row r="1825" spans="1:59" ht="60" x14ac:dyDescent="0.25">
      <c r="A1825" s="2" t="s">
        <v>59</v>
      </c>
      <c r="B1825" s="2" t="s">
        <v>60</v>
      </c>
      <c r="C1825" s="2" t="s">
        <v>15857</v>
      </c>
      <c r="D1825" s="2" t="s">
        <v>15858</v>
      </c>
      <c r="E1825" s="2" t="s">
        <v>15859</v>
      </c>
      <c r="G1825" s="3" t="s">
        <v>63</v>
      </c>
      <c r="I1825" s="3" t="s">
        <v>63</v>
      </c>
      <c r="J1825" s="3" t="s">
        <v>63</v>
      </c>
      <c r="K1825" s="3" t="s">
        <v>64</v>
      </c>
      <c r="L1825" s="2" t="s">
        <v>324</v>
      </c>
      <c r="M1825" s="2" t="s">
        <v>15860</v>
      </c>
      <c r="N1825" s="3" t="s">
        <v>247</v>
      </c>
      <c r="P1825" s="3" t="s">
        <v>66</v>
      </c>
      <c r="R1825" s="3" t="s">
        <v>67</v>
      </c>
      <c r="S1825" s="4">
        <v>1</v>
      </c>
      <c r="T1825" s="4">
        <v>1</v>
      </c>
      <c r="U1825" s="5" t="s">
        <v>7174</v>
      </c>
      <c r="V1825" s="5" t="s">
        <v>7174</v>
      </c>
      <c r="W1825" s="5" t="s">
        <v>69</v>
      </c>
      <c r="X1825" s="5" t="s">
        <v>69</v>
      </c>
      <c r="Y1825" s="4">
        <v>165</v>
      </c>
      <c r="Z1825" s="4">
        <v>11</v>
      </c>
      <c r="AA1825" s="4">
        <v>118</v>
      </c>
      <c r="AB1825" s="4">
        <v>1</v>
      </c>
      <c r="AC1825" s="4">
        <v>18</v>
      </c>
      <c r="AD1825" s="4">
        <v>63</v>
      </c>
      <c r="AE1825" s="4">
        <v>156</v>
      </c>
      <c r="AF1825" s="4">
        <v>0</v>
      </c>
      <c r="AG1825" s="4">
        <v>8</v>
      </c>
      <c r="AH1825" s="4">
        <v>59</v>
      </c>
      <c r="AI1825" s="4">
        <v>115</v>
      </c>
      <c r="AJ1825" s="4">
        <v>8</v>
      </c>
      <c r="AK1825" s="4">
        <v>26</v>
      </c>
      <c r="AL1825" s="4">
        <v>37</v>
      </c>
      <c r="AM1825" s="4">
        <v>62</v>
      </c>
      <c r="AN1825" s="4">
        <v>0</v>
      </c>
      <c r="AO1825" s="4">
        <v>1</v>
      </c>
      <c r="AP1825" s="4">
        <v>8</v>
      </c>
      <c r="AQ1825" s="4">
        <v>49</v>
      </c>
      <c r="AR1825" s="3" t="s">
        <v>63</v>
      </c>
      <c r="AS1825" s="3" t="s">
        <v>63</v>
      </c>
      <c r="AT1825" s="3" t="s">
        <v>62</v>
      </c>
      <c r="AU1825" s="6" t="str">
        <f>HYPERLINK("http://catalog.hathitrust.org/Record/000231947","HathiTrust Record")</f>
        <v>HathiTrust Record</v>
      </c>
      <c r="AV1825" s="6" t="str">
        <f>HYPERLINK("http://mcgill.on.worldcat.org/oclc/9506165","Catalog Record")</f>
        <v>Catalog Record</v>
      </c>
      <c r="AW1825" s="6" t="str">
        <f>HYPERLINK("http://www.worldcat.org/oclc/9506165","WorldCat Record")</f>
        <v>WorldCat Record</v>
      </c>
      <c r="AX1825" s="3" t="s">
        <v>15861</v>
      </c>
      <c r="AY1825" s="3" t="s">
        <v>15862</v>
      </c>
      <c r="AZ1825" s="3" t="s">
        <v>15863</v>
      </c>
      <c r="BA1825" s="3" t="s">
        <v>15863</v>
      </c>
      <c r="BB1825" s="3" t="s">
        <v>15864</v>
      </c>
      <c r="BC1825" s="3" t="s">
        <v>82</v>
      </c>
      <c r="BD1825" s="3" t="s">
        <v>70</v>
      </c>
      <c r="BE1825" s="3" t="s">
        <v>15865</v>
      </c>
      <c r="BF1825" s="3" t="s">
        <v>15864</v>
      </c>
      <c r="BG1825" s="3" t="s">
        <v>15866</v>
      </c>
    </row>
    <row r="1826" spans="1:59" ht="75" x14ac:dyDescent="0.25">
      <c r="A1826" s="2" t="s">
        <v>59</v>
      </c>
      <c r="B1826" s="2" t="s">
        <v>60</v>
      </c>
      <c r="C1826" s="2" t="s">
        <v>15918</v>
      </c>
      <c r="D1826" s="2" t="s">
        <v>15919</v>
      </c>
      <c r="E1826" s="2" t="s">
        <v>15920</v>
      </c>
      <c r="G1826" s="3" t="s">
        <v>63</v>
      </c>
      <c r="I1826" s="3" t="s">
        <v>63</v>
      </c>
      <c r="J1826" s="3" t="s">
        <v>63</v>
      </c>
      <c r="K1826" s="3" t="s">
        <v>64</v>
      </c>
      <c r="L1826" s="2" t="s">
        <v>15410</v>
      </c>
      <c r="M1826" s="2" t="s">
        <v>15921</v>
      </c>
      <c r="N1826" s="3" t="s">
        <v>11626</v>
      </c>
      <c r="P1826" s="3" t="s">
        <v>66</v>
      </c>
      <c r="R1826" s="3" t="s">
        <v>67</v>
      </c>
      <c r="S1826" s="4">
        <v>33</v>
      </c>
      <c r="T1826" s="4">
        <v>33</v>
      </c>
      <c r="U1826" s="5" t="s">
        <v>8206</v>
      </c>
      <c r="V1826" s="5" t="s">
        <v>8206</v>
      </c>
      <c r="W1826" s="5" t="s">
        <v>69</v>
      </c>
      <c r="X1826" s="5" t="s">
        <v>69</v>
      </c>
      <c r="Y1826" s="4">
        <v>428</v>
      </c>
      <c r="Z1826" s="4">
        <v>17</v>
      </c>
      <c r="AA1826" s="4">
        <v>18</v>
      </c>
      <c r="AB1826" s="4">
        <v>2</v>
      </c>
      <c r="AC1826" s="4">
        <v>2</v>
      </c>
      <c r="AD1826" s="4">
        <v>83</v>
      </c>
      <c r="AE1826" s="4">
        <v>84</v>
      </c>
      <c r="AF1826" s="4">
        <v>1</v>
      </c>
      <c r="AG1826" s="4">
        <v>1</v>
      </c>
      <c r="AH1826" s="4">
        <v>72</v>
      </c>
      <c r="AI1826" s="4">
        <v>72</v>
      </c>
      <c r="AJ1826" s="4">
        <v>8</v>
      </c>
      <c r="AK1826" s="4">
        <v>9</v>
      </c>
      <c r="AL1826" s="4">
        <v>43</v>
      </c>
      <c r="AM1826" s="4">
        <v>43</v>
      </c>
      <c r="AN1826" s="4">
        <v>0</v>
      </c>
      <c r="AO1826" s="4">
        <v>0</v>
      </c>
      <c r="AP1826" s="4">
        <v>12</v>
      </c>
      <c r="AQ1826" s="4">
        <v>13</v>
      </c>
      <c r="AR1826" s="3" t="s">
        <v>63</v>
      </c>
      <c r="AS1826" s="3" t="s">
        <v>63</v>
      </c>
      <c r="AT1826" s="3" t="s">
        <v>62</v>
      </c>
      <c r="AU1826" s="6" t="str">
        <f>HYPERLINK("http://catalog.hathitrust.org/Record/004513830","HathiTrust Record")</f>
        <v>HathiTrust Record</v>
      </c>
      <c r="AV1826" s="6" t="str">
        <f>HYPERLINK("http://mcgill.on.worldcat.org/oclc/319684","Catalog Record")</f>
        <v>Catalog Record</v>
      </c>
      <c r="AW1826" s="6" t="str">
        <f>HYPERLINK("http://www.worldcat.org/oclc/319684","WorldCat Record")</f>
        <v>WorldCat Record</v>
      </c>
      <c r="AX1826" s="3" t="s">
        <v>15922</v>
      </c>
      <c r="AY1826" s="3" t="s">
        <v>15923</v>
      </c>
      <c r="AZ1826" s="3" t="s">
        <v>15924</v>
      </c>
      <c r="BA1826" s="3" t="s">
        <v>15924</v>
      </c>
      <c r="BB1826" s="3" t="s">
        <v>15925</v>
      </c>
      <c r="BC1826" s="3" t="s">
        <v>82</v>
      </c>
      <c r="BD1826" s="3" t="s">
        <v>70</v>
      </c>
      <c r="BF1826" s="3" t="s">
        <v>15925</v>
      </c>
      <c r="BG1826" s="3" t="s">
        <v>15926</v>
      </c>
    </row>
    <row r="1827" spans="1:59" ht="75" x14ac:dyDescent="0.25">
      <c r="A1827" s="2" t="s">
        <v>59</v>
      </c>
      <c r="B1827" s="2" t="s">
        <v>60</v>
      </c>
      <c r="C1827" s="2" t="s">
        <v>15927</v>
      </c>
      <c r="D1827" s="2" t="s">
        <v>15928</v>
      </c>
      <c r="E1827" s="2" t="s">
        <v>15929</v>
      </c>
      <c r="G1827" s="3" t="s">
        <v>63</v>
      </c>
      <c r="I1827" s="3" t="s">
        <v>62</v>
      </c>
      <c r="J1827" s="3" t="s">
        <v>63</v>
      </c>
      <c r="K1827" s="3" t="s">
        <v>64</v>
      </c>
      <c r="L1827" s="2" t="s">
        <v>324</v>
      </c>
      <c r="M1827" s="2" t="s">
        <v>15930</v>
      </c>
      <c r="N1827" s="3" t="s">
        <v>1046</v>
      </c>
      <c r="P1827" s="3" t="s">
        <v>66</v>
      </c>
      <c r="Q1827" s="2" t="s">
        <v>15931</v>
      </c>
      <c r="R1827" s="3" t="s">
        <v>67</v>
      </c>
      <c r="S1827" s="4">
        <v>49</v>
      </c>
      <c r="T1827" s="4">
        <v>59</v>
      </c>
      <c r="U1827" s="5" t="s">
        <v>15932</v>
      </c>
      <c r="V1827" s="5" t="s">
        <v>7174</v>
      </c>
      <c r="W1827" s="5" t="s">
        <v>69</v>
      </c>
      <c r="X1827" s="5" t="s">
        <v>69</v>
      </c>
      <c r="Y1827" s="4">
        <v>33</v>
      </c>
      <c r="Z1827" s="4">
        <v>5</v>
      </c>
      <c r="AA1827" s="4">
        <v>27</v>
      </c>
      <c r="AB1827" s="4">
        <v>1</v>
      </c>
      <c r="AC1827" s="4">
        <v>1</v>
      </c>
      <c r="AD1827" s="4">
        <v>4</v>
      </c>
      <c r="AE1827" s="4">
        <v>71</v>
      </c>
      <c r="AF1827" s="4">
        <v>0</v>
      </c>
      <c r="AG1827" s="4">
        <v>0</v>
      </c>
      <c r="AH1827" s="4">
        <v>3</v>
      </c>
      <c r="AI1827" s="4">
        <v>62</v>
      </c>
      <c r="AJ1827" s="4">
        <v>1</v>
      </c>
      <c r="AK1827" s="4">
        <v>14</v>
      </c>
      <c r="AL1827" s="4">
        <v>1</v>
      </c>
      <c r="AM1827" s="4">
        <v>36</v>
      </c>
      <c r="AN1827" s="4">
        <v>0</v>
      </c>
      <c r="AO1827" s="4">
        <v>0</v>
      </c>
      <c r="AP1827" s="4">
        <v>2</v>
      </c>
      <c r="AQ1827" s="4">
        <v>17</v>
      </c>
      <c r="AR1827" s="3" t="s">
        <v>63</v>
      </c>
      <c r="AS1827" s="3" t="s">
        <v>63</v>
      </c>
      <c r="AT1827" s="3" t="s">
        <v>63</v>
      </c>
      <c r="AV1827" s="6" t="str">
        <f>HYPERLINK("http://mcgill.on.worldcat.org/oclc/154164534","Catalog Record")</f>
        <v>Catalog Record</v>
      </c>
      <c r="AW1827" s="6" t="str">
        <f>HYPERLINK("http://www.worldcat.org/oclc/154164534","WorldCat Record")</f>
        <v>WorldCat Record</v>
      </c>
      <c r="AX1827" s="3" t="s">
        <v>15933</v>
      </c>
      <c r="AY1827" s="3" t="s">
        <v>15934</v>
      </c>
      <c r="AZ1827" s="3" t="s">
        <v>15935</v>
      </c>
      <c r="BA1827" s="3" t="s">
        <v>15935</v>
      </c>
      <c r="BB1827" s="3" t="s">
        <v>15936</v>
      </c>
      <c r="BC1827" s="3" t="s">
        <v>82</v>
      </c>
      <c r="BD1827" s="3" t="s">
        <v>70</v>
      </c>
      <c r="BF1827" s="3" t="s">
        <v>15936</v>
      </c>
      <c r="BG1827" s="3" t="s">
        <v>15937</v>
      </c>
    </row>
    <row r="1828" spans="1:59" ht="75" x14ac:dyDescent="0.25">
      <c r="A1828" s="2" t="s">
        <v>59</v>
      </c>
      <c r="B1828" s="2" t="s">
        <v>60</v>
      </c>
      <c r="C1828" s="2" t="s">
        <v>15927</v>
      </c>
      <c r="D1828" s="2" t="s">
        <v>15928</v>
      </c>
      <c r="E1828" s="2" t="s">
        <v>15929</v>
      </c>
      <c r="G1828" s="3" t="s">
        <v>63</v>
      </c>
      <c r="I1828" s="3" t="s">
        <v>62</v>
      </c>
      <c r="J1828" s="3" t="s">
        <v>63</v>
      </c>
      <c r="K1828" s="3" t="s">
        <v>64</v>
      </c>
      <c r="L1828" s="2" t="s">
        <v>324</v>
      </c>
      <c r="M1828" s="2" t="s">
        <v>15930</v>
      </c>
      <c r="N1828" s="3" t="s">
        <v>1046</v>
      </c>
      <c r="P1828" s="3" t="s">
        <v>66</v>
      </c>
      <c r="Q1828" s="2" t="s">
        <v>15931</v>
      </c>
      <c r="R1828" s="3" t="s">
        <v>67</v>
      </c>
      <c r="S1828" s="4">
        <v>10</v>
      </c>
      <c r="T1828" s="4">
        <v>59</v>
      </c>
      <c r="U1828" s="5" t="s">
        <v>7174</v>
      </c>
      <c r="V1828" s="5" t="s">
        <v>7174</v>
      </c>
      <c r="W1828" s="5" t="s">
        <v>69</v>
      </c>
      <c r="X1828" s="5" t="s">
        <v>69</v>
      </c>
      <c r="Y1828" s="4">
        <v>33</v>
      </c>
      <c r="Z1828" s="4">
        <v>5</v>
      </c>
      <c r="AA1828" s="4">
        <v>27</v>
      </c>
      <c r="AB1828" s="4">
        <v>1</v>
      </c>
      <c r="AC1828" s="4">
        <v>1</v>
      </c>
      <c r="AD1828" s="4">
        <v>4</v>
      </c>
      <c r="AE1828" s="4">
        <v>71</v>
      </c>
      <c r="AF1828" s="4">
        <v>0</v>
      </c>
      <c r="AG1828" s="4">
        <v>0</v>
      </c>
      <c r="AH1828" s="4">
        <v>3</v>
      </c>
      <c r="AI1828" s="4">
        <v>62</v>
      </c>
      <c r="AJ1828" s="4">
        <v>1</v>
      </c>
      <c r="AK1828" s="4">
        <v>14</v>
      </c>
      <c r="AL1828" s="4">
        <v>1</v>
      </c>
      <c r="AM1828" s="4">
        <v>36</v>
      </c>
      <c r="AN1828" s="4">
        <v>0</v>
      </c>
      <c r="AO1828" s="4">
        <v>0</v>
      </c>
      <c r="AP1828" s="4">
        <v>2</v>
      </c>
      <c r="AQ1828" s="4">
        <v>17</v>
      </c>
      <c r="AR1828" s="3" t="s">
        <v>63</v>
      </c>
      <c r="AS1828" s="3" t="s">
        <v>63</v>
      </c>
      <c r="AT1828" s="3" t="s">
        <v>63</v>
      </c>
      <c r="AV1828" s="6" t="str">
        <f>HYPERLINK("http://mcgill.on.worldcat.org/oclc/154164534","Catalog Record")</f>
        <v>Catalog Record</v>
      </c>
      <c r="AW1828" s="6" t="str">
        <f>HYPERLINK("http://www.worldcat.org/oclc/154164534","WorldCat Record")</f>
        <v>WorldCat Record</v>
      </c>
      <c r="AX1828" s="3" t="s">
        <v>15933</v>
      </c>
      <c r="AY1828" s="3" t="s">
        <v>15934</v>
      </c>
      <c r="AZ1828" s="3" t="s">
        <v>15935</v>
      </c>
      <c r="BA1828" s="3" t="s">
        <v>15935</v>
      </c>
      <c r="BB1828" s="3" t="s">
        <v>15938</v>
      </c>
      <c r="BC1828" s="3" t="s">
        <v>82</v>
      </c>
      <c r="BD1828" s="3" t="s">
        <v>70</v>
      </c>
      <c r="BF1828" s="3" t="s">
        <v>15938</v>
      </c>
      <c r="BG1828" s="3" t="s">
        <v>15939</v>
      </c>
    </row>
    <row r="1829" spans="1:59" ht="105" x14ac:dyDescent="0.25">
      <c r="A1829" s="2" t="s">
        <v>59</v>
      </c>
      <c r="B1829" s="2" t="s">
        <v>60</v>
      </c>
      <c r="C1829" s="2" t="s">
        <v>15940</v>
      </c>
      <c r="D1829" s="2" t="s">
        <v>15941</v>
      </c>
      <c r="E1829" s="2" t="s">
        <v>15942</v>
      </c>
      <c r="G1829" s="3" t="s">
        <v>63</v>
      </c>
      <c r="I1829" s="3" t="s">
        <v>63</v>
      </c>
      <c r="J1829" s="3" t="s">
        <v>63</v>
      </c>
      <c r="K1829" s="3" t="s">
        <v>64</v>
      </c>
      <c r="L1829" s="2" t="s">
        <v>324</v>
      </c>
      <c r="M1829" s="2" t="s">
        <v>325</v>
      </c>
      <c r="N1829" s="3" t="s">
        <v>326</v>
      </c>
      <c r="P1829" s="3" t="s">
        <v>66</v>
      </c>
      <c r="Q1829" s="2" t="s">
        <v>327</v>
      </c>
      <c r="R1829" s="3" t="s">
        <v>67</v>
      </c>
      <c r="S1829" s="4">
        <v>7</v>
      </c>
      <c r="T1829" s="4">
        <v>7</v>
      </c>
      <c r="U1829" s="5" t="s">
        <v>15943</v>
      </c>
      <c r="V1829" s="5" t="s">
        <v>15943</v>
      </c>
      <c r="W1829" s="5" t="s">
        <v>69</v>
      </c>
      <c r="X1829" s="5" t="s">
        <v>69</v>
      </c>
      <c r="Y1829" s="4">
        <v>85</v>
      </c>
      <c r="Z1829" s="4">
        <v>4</v>
      </c>
      <c r="AA1829" s="4">
        <v>16</v>
      </c>
      <c r="AB1829" s="4">
        <v>2</v>
      </c>
      <c r="AC1829" s="4">
        <v>3</v>
      </c>
      <c r="AD1829" s="4">
        <v>16</v>
      </c>
      <c r="AE1829" s="4">
        <v>78</v>
      </c>
      <c r="AF1829" s="4">
        <v>0</v>
      </c>
      <c r="AG1829" s="4">
        <v>0</v>
      </c>
      <c r="AH1829" s="4">
        <v>16</v>
      </c>
      <c r="AI1829" s="4">
        <v>72</v>
      </c>
      <c r="AJ1829" s="4">
        <v>2</v>
      </c>
      <c r="AK1829" s="4">
        <v>9</v>
      </c>
      <c r="AL1829" s="4">
        <v>8</v>
      </c>
      <c r="AM1829" s="4">
        <v>47</v>
      </c>
      <c r="AN1829" s="4">
        <v>0</v>
      </c>
      <c r="AO1829" s="4">
        <v>0</v>
      </c>
      <c r="AP1829" s="4">
        <v>2</v>
      </c>
      <c r="AQ1829" s="4">
        <v>10</v>
      </c>
      <c r="AR1829" s="3" t="s">
        <v>63</v>
      </c>
      <c r="AS1829" s="3" t="s">
        <v>63</v>
      </c>
      <c r="AT1829" s="3" t="s">
        <v>63</v>
      </c>
      <c r="AV1829" s="6" t="str">
        <f>HYPERLINK("http://mcgill.on.worldcat.org/oclc/314843069","Catalog Record")</f>
        <v>Catalog Record</v>
      </c>
      <c r="AW1829" s="6" t="str">
        <f>HYPERLINK("http://www.worldcat.org/oclc/314843069","WorldCat Record")</f>
        <v>WorldCat Record</v>
      </c>
      <c r="AX1829" s="3" t="s">
        <v>15944</v>
      </c>
      <c r="AY1829" s="3" t="s">
        <v>15945</v>
      </c>
      <c r="AZ1829" s="3" t="s">
        <v>15946</v>
      </c>
      <c r="BA1829" s="3" t="s">
        <v>15946</v>
      </c>
      <c r="BB1829" s="3" t="s">
        <v>15947</v>
      </c>
      <c r="BC1829" s="3" t="s">
        <v>82</v>
      </c>
      <c r="BD1829" s="3" t="s">
        <v>70</v>
      </c>
      <c r="BE1829" s="3" t="s">
        <v>15948</v>
      </c>
      <c r="BF1829" s="3" t="s">
        <v>15947</v>
      </c>
      <c r="BG1829" s="3" t="s">
        <v>15949</v>
      </c>
    </row>
    <row r="1830" spans="1:59" ht="60" x14ac:dyDescent="0.25">
      <c r="A1830" s="2" t="s">
        <v>59</v>
      </c>
      <c r="B1830" s="2" t="s">
        <v>60</v>
      </c>
      <c r="C1830" s="2" t="s">
        <v>15867</v>
      </c>
      <c r="D1830" s="2" t="s">
        <v>15868</v>
      </c>
      <c r="E1830" s="2" t="s">
        <v>15869</v>
      </c>
      <c r="G1830" s="3" t="s">
        <v>63</v>
      </c>
      <c r="I1830" s="3" t="s">
        <v>63</v>
      </c>
      <c r="J1830" s="3" t="s">
        <v>63</v>
      </c>
      <c r="K1830" s="3" t="s">
        <v>64</v>
      </c>
      <c r="L1830" s="2" t="s">
        <v>324</v>
      </c>
      <c r="M1830" s="2" t="s">
        <v>15870</v>
      </c>
      <c r="N1830" s="3" t="s">
        <v>76</v>
      </c>
      <c r="P1830" s="3" t="s">
        <v>66</v>
      </c>
      <c r="R1830" s="3" t="s">
        <v>67</v>
      </c>
      <c r="S1830" s="4">
        <v>2</v>
      </c>
      <c r="T1830" s="4">
        <v>2</v>
      </c>
      <c r="U1830" s="5" t="s">
        <v>15871</v>
      </c>
      <c r="V1830" s="5" t="s">
        <v>15871</v>
      </c>
      <c r="W1830" s="5" t="s">
        <v>69</v>
      </c>
      <c r="X1830" s="5" t="s">
        <v>69</v>
      </c>
      <c r="Y1830" s="4">
        <v>82</v>
      </c>
      <c r="Z1830" s="4">
        <v>10</v>
      </c>
      <c r="AA1830" s="4">
        <v>12</v>
      </c>
      <c r="AB1830" s="4">
        <v>1</v>
      </c>
      <c r="AC1830" s="4">
        <v>2</v>
      </c>
      <c r="AD1830" s="4">
        <v>34</v>
      </c>
      <c r="AE1830" s="4">
        <v>37</v>
      </c>
      <c r="AF1830" s="4">
        <v>0</v>
      </c>
      <c r="AG1830" s="4">
        <v>0</v>
      </c>
      <c r="AH1830" s="4">
        <v>31</v>
      </c>
      <c r="AI1830" s="4">
        <v>34</v>
      </c>
      <c r="AJ1830" s="4">
        <v>6</v>
      </c>
      <c r="AK1830" s="4">
        <v>7</v>
      </c>
      <c r="AL1830" s="4">
        <v>20</v>
      </c>
      <c r="AM1830" s="4">
        <v>22</v>
      </c>
      <c r="AN1830" s="4">
        <v>0</v>
      </c>
      <c r="AO1830" s="4">
        <v>0</v>
      </c>
      <c r="AP1830" s="4">
        <v>6</v>
      </c>
      <c r="AQ1830" s="4">
        <v>7</v>
      </c>
      <c r="AR1830" s="3" t="s">
        <v>63</v>
      </c>
      <c r="AS1830" s="3" t="s">
        <v>63</v>
      </c>
      <c r="AT1830" s="3" t="s">
        <v>63</v>
      </c>
      <c r="AV1830" s="6" t="str">
        <f>HYPERLINK("http://mcgill.on.worldcat.org/oclc/829682041","Catalog Record")</f>
        <v>Catalog Record</v>
      </c>
      <c r="AW1830" s="6" t="str">
        <f>HYPERLINK("http://www.worldcat.org/oclc/829682041","WorldCat Record")</f>
        <v>WorldCat Record</v>
      </c>
      <c r="AX1830" s="3" t="s">
        <v>15872</v>
      </c>
      <c r="AY1830" s="3" t="s">
        <v>15873</v>
      </c>
      <c r="AZ1830" s="3" t="s">
        <v>15874</v>
      </c>
      <c r="BA1830" s="3" t="s">
        <v>15874</v>
      </c>
      <c r="BB1830" s="3" t="s">
        <v>15875</v>
      </c>
      <c r="BC1830" s="3" t="s">
        <v>82</v>
      </c>
      <c r="BD1830" s="3" t="s">
        <v>538</v>
      </c>
      <c r="BE1830" s="3" t="s">
        <v>15876</v>
      </c>
      <c r="BF1830" s="3" t="s">
        <v>15875</v>
      </c>
      <c r="BG1830" s="3" t="s">
        <v>15877</v>
      </c>
    </row>
    <row r="1831" spans="1:59" ht="60" x14ac:dyDescent="0.25">
      <c r="A1831" s="2" t="s">
        <v>59</v>
      </c>
      <c r="B1831" s="2" t="s">
        <v>60</v>
      </c>
      <c r="C1831" s="2" t="s">
        <v>15878</v>
      </c>
      <c r="D1831" s="2" t="s">
        <v>15879</v>
      </c>
      <c r="E1831" s="2" t="s">
        <v>15880</v>
      </c>
      <c r="G1831" s="3" t="s">
        <v>63</v>
      </c>
      <c r="I1831" s="3" t="s">
        <v>63</v>
      </c>
      <c r="J1831" s="3" t="s">
        <v>63</v>
      </c>
      <c r="K1831" s="3" t="s">
        <v>64</v>
      </c>
      <c r="L1831" s="2" t="s">
        <v>324</v>
      </c>
      <c r="M1831" s="2" t="s">
        <v>14279</v>
      </c>
      <c r="N1831" s="3" t="s">
        <v>326</v>
      </c>
      <c r="P1831" s="3" t="s">
        <v>66</v>
      </c>
      <c r="Q1831" s="2" t="s">
        <v>14887</v>
      </c>
      <c r="R1831" s="3" t="s">
        <v>67</v>
      </c>
      <c r="S1831" s="4">
        <v>3</v>
      </c>
      <c r="T1831" s="4">
        <v>3</v>
      </c>
      <c r="U1831" s="5" t="s">
        <v>12287</v>
      </c>
      <c r="V1831" s="5" t="s">
        <v>12287</v>
      </c>
      <c r="W1831" s="5" t="s">
        <v>69</v>
      </c>
      <c r="X1831" s="5" t="s">
        <v>69</v>
      </c>
      <c r="Y1831" s="4">
        <v>167</v>
      </c>
      <c r="Z1831" s="4">
        <v>10</v>
      </c>
      <c r="AA1831" s="4">
        <v>10</v>
      </c>
      <c r="AB1831" s="4">
        <v>1</v>
      </c>
      <c r="AC1831" s="4">
        <v>1</v>
      </c>
      <c r="AD1831" s="4">
        <v>64</v>
      </c>
      <c r="AE1831" s="4">
        <v>64</v>
      </c>
      <c r="AF1831" s="4">
        <v>0</v>
      </c>
      <c r="AG1831" s="4">
        <v>0</v>
      </c>
      <c r="AH1831" s="4">
        <v>61</v>
      </c>
      <c r="AI1831" s="4">
        <v>61</v>
      </c>
      <c r="AJ1831" s="4">
        <v>7</v>
      </c>
      <c r="AK1831" s="4">
        <v>7</v>
      </c>
      <c r="AL1831" s="4">
        <v>42</v>
      </c>
      <c r="AM1831" s="4">
        <v>42</v>
      </c>
      <c r="AN1831" s="4">
        <v>0</v>
      </c>
      <c r="AO1831" s="4">
        <v>0</v>
      </c>
      <c r="AP1831" s="4">
        <v>7</v>
      </c>
      <c r="AQ1831" s="4">
        <v>7</v>
      </c>
      <c r="AR1831" s="3" t="s">
        <v>63</v>
      </c>
      <c r="AS1831" s="3" t="s">
        <v>63</v>
      </c>
      <c r="AT1831" s="3" t="s">
        <v>63</v>
      </c>
      <c r="AV1831" s="6" t="str">
        <f>HYPERLINK("http://mcgill.on.worldcat.org/oclc/318428708","Catalog Record")</f>
        <v>Catalog Record</v>
      </c>
      <c r="AW1831" s="6" t="str">
        <f>HYPERLINK("http://www.worldcat.org/oclc/318428708","WorldCat Record")</f>
        <v>WorldCat Record</v>
      </c>
      <c r="AX1831" s="3" t="s">
        <v>15881</v>
      </c>
      <c r="AY1831" s="3" t="s">
        <v>15882</v>
      </c>
      <c r="AZ1831" s="3" t="s">
        <v>15883</v>
      </c>
      <c r="BA1831" s="3" t="s">
        <v>15883</v>
      </c>
      <c r="BB1831" s="3" t="s">
        <v>15884</v>
      </c>
      <c r="BC1831" s="3" t="s">
        <v>82</v>
      </c>
      <c r="BD1831" s="3" t="s">
        <v>70</v>
      </c>
      <c r="BE1831" s="3" t="s">
        <v>15885</v>
      </c>
      <c r="BF1831" s="3" t="s">
        <v>15884</v>
      </c>
      <c r="BG1831" s="3" t="s">
        <v>15886</v>
      </c>
    </row>
    <row r="1832" spans="1:59" ht="75" x14ac:dyDescent="0.25">
      <c r="A1832" s="2" t="s">
        <v>59</v>
      </c>
      <c r="B1832" s="2" t="s">
        <v>60</v>
      </c>
      <c r="C1832" s="2" t="s">
        <v>15887</v>
      </c>
      <c r="D1832" s="2" t="s">
        <v>15888</v>
      </c>
      <c r="E1832" s="2" t="s">
        <v>15889</v>
      </c>
      <c r="G1832" s="3" t="s">
        <v>63</v>
      </c>
      <c r="I1832" s="3" t="s">
        <v>63</v>
      </c>
      <c r="J1832" s="3" t="s">
        <v>63</v>
      </c>
      <c r="K1832" s="3" t="s">
        <v>64</v>
      </c>
      <c r="L1832" s="2" t="s">
        <v>324</v>
      </c>
      <c r="M1832" s="2" t="s">
        <v>15890</v>
      </c>
      <c r="N1832" s="3" t="s">
        <v>629</v>
      </c>
      <c r="P1832" s="3" t="s">
        <v>66</v>
      </c>
      <c r="R1832" s="3" t="s">
        <v>67</v>
      </c>
      <c r="S1832" s="4">
        <v>4</v>
      </c>
      <c r="T1832" s="4">
        <v>4</v>
      </c>
      <c r="U1832" s="5" t="s">
        <v>15891</v>
      </c>
      <c r="V1832" s="5" t="s">
        <v>15891</v>
      </c>
      <c r="W1832" s="5" t="s">
        <v>69</v>
      </c>
      <c r="X1832" s="5" t="s">
        <v>69</v>
      </c>
      <c r="Y1832" s="4">
        <v>28</v>
      </c>
      <c r="Z1832" s="4">
        <v>2</v>
      </c>
      <c r="AA1832" s="4">
        <v>5</v>
      </c>
      <c r="AB1832" s="4">
        <v>1</v>
      </c>
      <c r="AC1832" s="4">
        <v>1</v>
      </c>
      <c r="AD1832" s="4">
        <v>10</v>
      </c>
      <c r="AE1832" s="4">
        <v>11</v>
      </c>
      <c r="AF1832" s="4">
        <v>0</v>
      </c>
      <c r="AG1832" s="4">
        <v>0</v>
      </c>
      <c r="AH1832" s="4">
        <v>10</v>
      </c>
      <c r="AI1832" s="4">
        <v>11</v>
      </c>
      <c r="AJ1832" s="4">
        <v>1</v>
      </c>
      <c r="AK1832" s="4">
        <v>2</v>
      </c>
      <c r="AL1832" s="4">
        <v>6</v>
      </c>
      <c r="AM1832" s="4">
        <v>7</v>
      </c>
      <c r="AN1832" s="4">
        <v>0</v>
      </c>
      <c r="AO1832" s="4">
        <v>0</v>
      </c>
      <c r="AP1832" s="4">
        <v>1</v>
      </c>
      <c r="AQ1832" s="4">
        <v>2</v>
      </c>
      <c r="AR1832" s="3" t="s">
        <v>63</v>
      </c>
      <c r="AS1832" s="3" t="s">
        <v>63</v>
      </c>
      <c r="AT1832" s="3" t="s">
        <v>63</v>
      </c>
      <c r="AV1832" s="6" t="str">
        <f>HYPERLINK("http://mcgill.on.worldcat.org/oclc/671703466","Catalog Record")</f>
        <v>Catalog Record</v>
      </c>
      <c r="AW1832" s="6" t="str">
        <f>HYPERLINK("http://www.worldcat.org/oclc/671703466","WorldCat Record")</f>
        <v>WorldCat Record</v>
      </c>
      <c r="AX1832" s="3" t="s">
        <v>15892</v>
      </c>
      <c r="AY1832" s="3" t="s">
        <v>15893</v>
      </c>
      <c r="AZ1832" s="3" t="s">
        <v>15894</v>
      </c>
      <c r="BA1832" s="3" t="s">
        <v>15894</v>
      </c>
      <c r="BB1832" s="3" t="s">
        <v>15895</v>
      </c>
      <c r="BC1832" s="3" t="s">
        <v>82</v>
      </c>
      <c r="BD1832" s="3" t="s">
        <v>70</v>
      </c>
      <c r="BE1832" s="3" t="s">
        <v>15896</v>
      </c>
      <c r="BF1832" s="3" t="s">
        <v>15895</v>
      </c>
      <c r="BG1832" s="3" t="s">
        <v>15897</v>
      </c>
    </row>
    <row r="1833" spans="1:59" ht="60" x14ac:dyDescent="0.25">
      <c r="A1833" s="2" t="s">
        <v>59</v>
      </c>
      <c r="B1833" s="2" t="s">
        <v>60</v>
      </c>
      <c r="C1833" s="2" t="s">
        <v>15898</v>
      </c>
      <c r="D1833" s="2" t="s">
        <v>15899</v>
      </c>
      <c r="E1833" s="2" t="s">
        <v>15900</v>
      </c>
      <c r="G1833" s="3" t="s">
        <v>63</v>
      </c>
      <c r="I1833" s="3" t="s">
        <v>63</v>
      </c>
      <c r="J1833" s="3" t="s">
        <v>63</v>
      </c>
      <c r="K1833" s="3" t="s">
        <v>64</v>
      </c>
      <c r="L1833" s="2" t="s">
        <v>324</v>
      </c>
      <c r="M1833" s="2" t="s">
        <v>15901</v>
      </c>
      <c r="N1833" s="3" t="s">
        <v>176</v>
      </c>
      <c r="P1833" s="3" t="s">
        <v>66</v>
      </c>
      <c r="Q1833" s="2" t="s">
        <v>9341</v>
      </c>
      <c r="R1833" s="3" t="s">
        <v>67</v>
      </c>
      <c r="S1833" s="4">
        <v>22</v>
      </c>
      <c r="T1833" s="4">
        <v>22</v>
      </c>
      <c r="U1833" s="5" t="s">
        <v>11535</v>
      </c>
      <c r="V1833" s="5" t="s">
        <v>11535</v>
      </c>
      <c r="W1833" s="5" t="s">
        <v>69</v>
      </c>
      <c r="X1833" s="5" t="s">
        <v>69</v>
      </c>
      <c r="Y1833" s="4">
        <v>193</v>
      </c>
      <c r="Z1833" s="4">
        <v>10</v>
      </c>
      <c r="AA1833" s="4">
        <v>13</v>
      </c>
      <c r="AB1833" s="4">
        <v>1</v>
      </c>
      <c r="AC1833" s="4">
        <v>2</v>
      </c>
      <c r="AD1833" s="4">
        <v>59</v>
      </c>
      <c r="AE1833" s="4">
        <v>61</v>
      </c>
      <c r="AF1833" s="4">
        <v>0</v>
      </c>
      <c r="AG1833" s="4">
        <v>0</v>
      </c>
      <c r="AH1833" s="4">
        <v>57</v>
      </c>
      <c r="AI1833" s="4">
        <v>57</v>
      </c>
      <c r="AJ1833" s="4">
        <v>3</v>
      </c>
      <c r="AK1833" s="4">
        <v>5</v>
      </c>
      <c r="AL1833" s="4">
        <v>36</v>
      </c>
      <c r="AM1833" s="4">
        <v>36</v>
      </c>
      <c r="AN1833" s="4">
        <v>0</v>
      </c>
      <c r="AO1833" s="4">
        <v>0</v>
      </c>
      <c r="AP1833" s="4">
        <v>4</v>
      </c>
      <c r="AQ1833" s="4">
        <v>6</v>
      </c>
      <c r="AR1833" s="3" t="s">
        <v>63</v>
      </c>
      <c r="AS1833" s="3" t="s">
        <v>63</v>
      </c>
      <c r="AT1833" s="3" t="s">
        <v>63</v>
      </c>
      <c r="AV1833" s="6" t="str">
        <f>HYPERLINK("http://mcgill.on.worldcat.org/oclc/39279050","Catalog Record")</f>
        <v>Catalog Record</v>
      </c>
      <c r="AW1833" s="6" t="str">
        <f>HYPERLINK("http://www.worldcat.org/oclc/39279050","WorldCat Record")</f>
        <v>WorldCat Record</v>
      </c>
      <c r="AX1833" s="3" t="s">
        <v>15902</v>
      </c>
      <c r="AY1833" s="3" t="s">
        <v>15903</v>
      </c>
      <c r="AZ1833" s="3" t="s">
        <v>15904</v>
      </c>
      <c r="BA1833" s="3" t="s">
        <v>15904</v>
      </c>
      <c r="BB1833" s="3" t="s">
        <v>15905</v>
      </c>
      <c r="BC1833" s="3" t="s">
        <v>82</v>
      </c>
      <c r="BD1833" s="3" t="s">
        <v>70</v>
      </c>
      <c r="BE1833" s="3" t="s">
        <v>15906</v>
      </c>
      <c r="BF1833" s="3" t="s">
        <v>15905</v>
      </c>
      <c r="BG1833" s="3" t="s">
        <v>15907</v>
      </c>
    </row>
    <row r="1834" spans="1:59" ht="60" x14ac:dyDescent="0.25">
      <c r="A1834" s="2" t="s">
        <v>59</v>
      </c>
      <c r="B1834" s="2" t="s">
        <v>60</v>
      </c>
      <c r="C1834" s="2" t="s">
        <v>15908</v>
      </c>
      <c r="D1834" s="2" t="s">
        <v>15909</v>
      </c>
      <c r="E1834" s="2" t="s">
        <v>15910</v>
      </c>
      <c r="G1834" s="3" t="s">
        <v>63</v>
      </c>
      <c r="I1834" s="3" t="s">
        <v>62</v>
      </c>
      <c r="J1834" s="3" t="s">
        <v>63</v>
      </c>
      <c r="K1834" s="3" t="s">
        <v>64</v>
      </c>
      <c r="L1834" s="2" t="s">
        <v>324</v>
      </c>
      <c r="M1834" s="2" t="s">
        <v>15911</v>
      </c>
      <c r="N1834" s="3" t="s">
        <v>11626</v>
      </c>
      <c r="P1834" s="3" t="s">
        <v>66</v>
      </c>
      <c r="Q1834" s="2" t="s">
        <v>11492</v>
      </c>
      <c r="R1834" s="3" t="s">
        <v>67</v>
      </c>
      <c r="S1834" s="4">
        <v>29</v>
      </c>
      <c r="T1834" s="4">
        <v>29</v>
      </c>
      <c r="U1834" s="5" t="s">
        <v>15912</v>
      </c>
      <c r="V1834" s="5" t="s">
        <v>15912</v>
      </c>
      <c r="W1834" s="5" t="s">
        <v>69</v>
      </c>
      <c r="X1834" s="5" t="s">
        <v>69</v>
      </c>
      <c r="Y1834" s="4">
        <v>834</v>
      </c>
      <c r="Z1834" s="4">
        <v>28</v>
      </c>
      <c r="AA1834" s="4">
        <v>49</v>
      </c>
      <c r="AB1834" s="4">
        <v>5</v>
      </c>
      <c r="AC1834" s="4">
        <v>8</v>
      </c>
      <c r="AD1834" s="4">
        <v>88</v>
      </c>
      <c r="AE1834" s="4">
        <v>115</v>
      </c>
      <c r="AF1834" s="4">
        <v>2</v>
      </c>
      <c r="AG1834" s="4">
        <v>4</v>
      </c>
      <c r="AH1834" s="4">
        <v>78</v>
      </c>
      <c r="AI1834" s="4">
        <v>96</v>
      </c>
      <c r="AJ1834" s="4">
        <v>10</v>
      </c>
      <c r="AK1834" s="4">
        <v>18</v>
      </c>
      <c r="AL1834" s="4">
        <v>42</v>
      </c>
      <c r="AM1834" s="4">
        <v>50</v>
      </c>
      <c r="AN1834" s="4">
        <v>0</v>
      </c>
      <c r="AO1834" s="4">
        <v>0</v>
      </c>
      <c r="AP1834" s="4">
        <v>14</v>
      </c>
      <c r="AQ1834" s="4">
        <v>26</v>
      </c>
      <c r="AR1834" s="3" t="s">
        <v>63</v>
      </c>
      <c r="AS1834" s="3" t="s">
        <v>63</v>
      </c>
      <c r="AT1834" s="3" t="s">
        <v>62</v>
      </c>
      <c r="AU1834" s="6" t="str">
        <f>HYPERLINK("http://catalog.hathitrust.org/Record/007126100","HathiTrust Record")</f>
        <v>HathiTrust Record</v>
      </c>
      <c r="AV1834" s="6" t="str">
        <f>HYPERLINK("http://mcgill.on.worldcat.org/oclc/1303214","Catalog Record")</f>
        <v>Catalog Record</v>
      </c>
      <c r="AW1834" s="6" t="str">
        <f>HYPERLINK("http://www.worldcat.org/oclc/1303214","WorldCat Record")</f>
        <v>WorldCat Record</v>
      </c>
      <c r="AX1834" s="3" t="s">
        <v>15913</v>
      </c>
      <c r="AY1834" s="3" t="s">
        <v>15914</v>
      </c>
      <c r="AZ1834" s="3" t="s">
        <v>15915</v>
      </c>
      <c r="BA1834" s="3" t="s">
        <v>15915</v>
      </c>
      <c r="BB1834" s="3" t="s">
        <v>15916</v>
      </c>
      <c r="BC1834" s="3" t="s">
        <v>82</v>
      </c>
      <c r="BD1834" s="3" t="s">
        <v>538</v>
      </c>
      <c r="BF1834" s="3" t="s">
        <v>15916</v>
      </c>
      <c r="BG1834" s="3" t="s">
        <v>15917</v>
      </c>
    </row>
    <row r="1835" spans="1:59" ht="60" x14ac:dyDescent="0.25">
      <c r="A1835" s="2" t="s">
        <v>59</v>
      </c>
      <c r="B1835" s="2" t="s">
        <v>60</v>
      </c>
      <c r="C1835" s="2" t="s">
        <v>16016</v>
      </c>
      <c r="D1835" s="2" t="s">
        <v>16017</v>
      </c>
      <c r="E1835" s="2" t="s">
        <v>16018</v>
      </c>
      <c r="G1835" s="3" t="s">
        <v>63</v>
      </c>
      <c r="I1835" s="3" t="s">
        <v>63</v>
      </c>
      <c r="J1835" s="3" t="s">
        <v>62</v>
      </c>
      <c r="K1835" s="3" t="s">
        <v>64</v>
      </c>
      <c r="L1835" s="2" t="s">
        <v>15410</v>
      </c>
      <c r="M1835" s="2" t="s">
        <v>16019</v>
      </c>
      <c r="N1835" s="3" t="s">
        <v>2459</v>
      </c>
      <c r="P1835" s="3" t="s">
        <v>66</v>
      </c>
      <c r="Q1835" s="2" t="s">
        <v>9341</v>
      </c>
      <c r="R1835" s="3" t="s">
        <v>67</v>
      </c>
      <c r="S1835" s="4">
        <v>18</v>
      </c>
      <c r="T1835" s="4">
        <v>18</v>
      </c>
      <c r="U1835" s="5" t="s">
        <v>14104</v>
      </c>
      <c r="V1835" s="5" t="s">
        <v>14104</v>
      </c>
      <c r="W1835" s="5" t="s">
        <v>69</v>
      </c>
      <c r="X1835" s="5" t="s">
        <v>69</v>
      </c>
      <c r="Y1835" s="4">
        <v>247</v>
      </c>
      <c r="Z1835" s="4">
        <v>16</v>
      </c>
      <c r="AA1835" s="4">
        <v>109</v>
      </c>
      <c r="AB1835" s="4">
        <v>2</v>
      </c>
      <c r="AC1835" s="4">
        <v>21</v>
      </c>
      <c r="AD1835" s="4">
        <v>61</v>
      </c>
      <c r="AE1835" s="4">
        <v>147</v>
      </c>
      <c r="AF1835" s="4">
        <v>0</v>
      </c>
      <c r="AG1835" s="4">
        <v>8</v>
      </c>
      <c r="AH1835" s="4">
        <v>54</v>
      </c>
      <c r="AI1835" s="4">
        <v>104</v>
      </c>
      <c r="AJ1835" s="4">
        <v>7</v>
      </c>
      <c r="AK1835" s="4">
        <v>22</v>
      </c>
      <c r="AL1835" s="4">
        <v>41</v>
      </c>
      <c r="AM1835" s="4">
        <v>62</v>
      </c>
      <c r="AN1835" s="4">
        <v>0</v>
      </c>
      <c r="AO1835" s="4">
        <v>5</v>
      </c>
      <c r="AP1835" s="4">
        <v>9</v>
      </c>
      <c r="AQ1835" s="4">
        <v>47</v>
      </c>
      <c r="AR1835" s="3" t="s">
        <v>63</v>
      </c>
      <c r="AS1835" s="3" t="s">
        <v>63</v>
      </c>
      <c r="AT1835" s="3" t="s">
        <v>62</v>
      </c>
      <c r="AU1835" s="6" t="str">
        <f>HYPERLINK("http://catalog.hathitrust.org/Record/005911729","HathiTrust Record")</f>
        <v>HathiTrust Record</v>
      </c>
      <c r="AV1835" s="6" t="str">
        <f>HYPERLINK("http://mcgill.on.worldcat.org/oclc/223803382","Catalog Record")</f>
        <v>Catalog Record</v>
      </c>
      <c r="AW1835" s="6" t="str">
        <f>HYPERLINK("http://www.worldcat.org/oclc/223803382","WorldCat Record")</f>
        <v>WorldCat Record</v>
      </c>
      <c r="AX1835" s="3" t="s">
        <v>329</v>
      </c>
      <c r="AY1835" s="3" t="s">
        <v>16020</v>
      </c>
      <c r="AZ1835" s="3" t="s">
        <v>16021</v>
      </c>
      <c r="BA1835" s="3" t="s">
        <v>16021</v>
      </c>
      <c r="BB1835" s="3" t="s">
        <v>16022</v>
      </c>
      <c r="BC1835" s="3" t="s">
        <v>82</v>
      </c>
      <c r="BD1835" s="3" t="s">
        <v>538</v>
      </c>
      <c r="BE1835" s="3" t="s">
        <v>16023</v>
      </c>
      <c r="BF1835" s="3" t="s">
        <v>16022</v>
      </c>
      <c r="BG1835" s="3" t="s">
        <v>16024</v>
      </c>
    </row>
    <row r="1836" spans="1:59" ht="60" x14ac:dyDescent="0.25">
      <c r="A1836" s="2" t="s">
        <v>59</v>
      </c>
      <c r="B1836" s="2" t="s">
        <v>60</v>
      </c>
      <c r="C1836" s="2" t="s">
        <v>16025</v>
      </c>
      <c r="D1836" s="2" t="s">
        <v>16026</v>
      </c>
      <c r="E1836" s="2" t="s">
        <v>16027</v>
      </c>
      <c r="G1836" s="3" t="s">
        <v>63</v>
      </c>
      <c r="I1836" s="3" t="s">
        <v>63</v>
      </c>
      <c r="J1836" s="3" t="s">
        <v>63</v>
      </c>
      <c r="K1836" s="3" t="s">
        <v>64</v>
      </c>
      <c r="L1836" s="2" t="s">
        <v>15410</v>
      </c>
      <c r="M1836" s="2" t="s">
        <v>16028</v>
      </c>
      <c r="N1836" s="3" t="s">
        <v>106</v>
      </c>
      <c r="P1836" s="3" t="s">
        <v>66</v>
      </c>
      <c r="R1836" s="3" t="s">
        <v>67</v>
      </c>
      <c r="S1836" s="4">
        <v>1</v>
      </c>
      <c r="T1836" s="4">
        <v>1</v>
      </c>
      <c r="U1836" s="5" t="s">
        <v>16029</v>
      </c>
      <c r="V1836" s="5" t="s">
        <v>16029</v>
      </c>
      <c r="W1836" s="5" t="s">
        <v>69</v>
      </c>
      <c r="X1836" s="5" t="s">
        <v>69</v>
      </c>
      <c r="Y1836" s="4">
        <v>89</v>
      </c>
      <c r="Z1836" s="4">
        <v>9</v>
      </c>
      <c r="AA1836" s="4">
        <v>12</v>
      </c>
      <c r="AB1836" s="4">
        <v>1</v>
      </c>
      <c r="AC1836" s="4">
        <v>3</v>
      </c>
      <c r="AD1836" s="4">
        <v>40</v>
      </c>
      <c r="AE1836" s="4">
        <v>46</v>
      </c>
      <c r="AF1836" s="4">
        <v>0</v>
      </c>
      <c r="AG1836" s="4">
        <v>0</v>
      </c>
      <c r="AH1836" s="4">
        <v>38</v>
      </c>
      <c r="AI1836" s="4">
        <v>44</v>
      </c>
      <c r="AJ1836" s="4">
        <v>5</v>
      </c>
      <c r="AK1836" s="4">
        <v>5</v>
      </c>
      <c r="AL1836" s="4">
        <v>24</v>
      </c>
      <c r="AM1836" s="4">
        <v>28</v>
      </c>
      <c r="AN1836" s="4">
        <v>0</v>
      </c>
      <c r="AO1836" s="4">
        <v>0</v>
      </c>
      <c r="AP1836" s="4">
        <v>5</v>
      </c>
      <c r="AQ1836" s="4">
        <v>5</v>
      </c>
      <c r="AR1836" s="3" t="s">
        <v>63</v>
      </c>
      <c r="AS1836" s="3" t="s">
        <v>63</v>
      </c>
      <c r="AT1836" s="3" t="s">
        <v>63</v>
      </c>
      <c r="AV1836" s="6" t="str">
        <f>HYPERLINK("http://mcgill.on.worldcat.org/oclc/948790254","Catalog Record")</f>
        <v>Catalog Record</v>
      </c>
      <c r="AW1836" s="6" t="str">
        <f>HYPERLINK("http://www.worldcat.org/oclc/948790254","WorldCat Record")</f>
        <v>WorldCat Record</v>
      </c>
      <c r="AX1836" s="3" t="s">
        <v>16030</v>
      </c>
      <c r="AY1836" s="3" t="s">
        <v>16031</v>
      </c>
      <c r="AZ1836" s="3" t="s">
        <v>16032</v>
      </c>
      <c r="BA1836" s="3" t="s">
        <v>16032</v>
      </c>
      <c r="BB1836" s="3" t="s">
        <v>16033</v>
      </c>
      <c r="BC1836" s="3" t="s">
        <v>82</v>
      </c>
      <c r="BD1836" s="3" t="s">
        <v>70</v>
      </c>
      <c r="BE1836" s="3" t="s">
        <v>16034</v>
      </c>
      <c r="BF1836" s="3" t="s">
        <v>16033</v>
      </c>
      <c r="BG1836" s="3" t="s">
        <v>16035</v>
      </c>
    </row>
    <row r="1837" spans="1:59" ht="60" x14ac:dyDescent="0.25">
      <c r="A1837" s="2" t="s">
        <v>59</v>
      </c>
      <c r="B1837" s="2" t="s">
        <v>60</v>
      </c>
      <c r="C1837" s="2" t="s">
        <v>15950</v>
      </c>
      <c r="D1837" s="2" t="s">
        <v>15951</v>
      </c>
      <c r="E1837" s="2" t="s">
        <v>15952</v>
      </c>
      <c r="G1837" s="3" t="s">
        <v>63</v>
      </c>
      <c r="I1837" s="3" t="s">
        <v>63</v>
      </c>
      <c r="J1837" s="3" t="s">
        <v>62</v>
      </c>
      <c r="K1837" s="3" t="s">
        <v>64</v>
      </c>
      <c r="L1837" s="2" t="s">
        <v>324</v>
      </c>
      <c r="M1837" s="2" t="s">
        <v>15953</v>
      </c>
      <c r="N1837" s="3" t="s">
        <v>629</v>
      </c>
      <c r="O1837" s="2" t="s">
        <v>4646</v>
      </c>
      <c r="P1837" s="3" t="s">
        <v>66</v>
      </c>
      <c r="R1837" s="3" t="s">
        <v>67</v>
      </c>
      <c r="S1837" s="4">
        <v>19</v>
      </c>
      <c r="T1837" s="4">
        <v>19</v>
      </c>
      <c r="U1837" s="5" t="s">
        <v>4600</v>
      </c>
      <c r="V1837" s="5" t="s">
        <v>4600</v>
      </c>
      <c r="W1837" s="5" t="s">
        <v>69</v>
      </c>
      <c r="X1837" s="5" t="s">
        <v>69</v>
      </c>
      <c r="Y1837" s="4">
        <v>80</v>
      </c>
      <c r="Z1837" s="4">
        <v>6</v>
      </c>
      <c r="AA1837" s="4">
        <v>42</v>
      </c>
      <c r="AB1837" s="4">
        <v>1</v>
      </c>
      <c r="AC1837" s="4">
        <v>4</v>
      </c>
      <c r="AD1837" s="4">
        <v>35</v>
      </c>
      <c r="AE1837" s="4">
        <v>128</v>
      </c>
      <c r="AF1837" s="4">
        <v>0</v>
      </c>
      <c r="AG1837" s="4">
        <v>1</v>
      </c>
      <c r="AH1837" s="4">
        <v>34</v>
      </c>
      <c r="AI1837" s="4">
        <v>108</v>
      </c>
      <c r="AJ1837" s="4">
        <v>5</v>
      </c>
      <c r="AK1837" s="4">
        <v>16</v>
      </c>
      <c r="AL1837" s="4">
        <v>20</v>
      </c>
      <c r="AM1837" s="4">
        <v>62</v>
      </c>
      <c r="AN1837" s="4">
        <v>0</v>
      </c>
      <c r="AO1837" s="4">
        <v>0</v>
      </c>
      <c r="AP1837" s="4">
        <v>5</v>
      </c>
      <c r="AQ1837" s="4">
        <v>23</v>
      </c>
      <c r="AR1837" s="3" t="s">
        <v>63</v>
      </c>
      <c r="AS1837" s="3" t="s">
        <v>63</v>
      </c>
      <c r="AT1837" s="3" t="s">
        <v>63</v>
      </c>
      <c r="AV1837" s="6" t="str">
        <f>HYPERLINK("http://mcgill.on.worldcat.org/oclc/636919040","Catalog Record")</f>
        <v>Catalog Record</v>
      </c>
      <c r="AW1837" s="6" t="str">
        <f>HYPERLINK("http://www.worldcat.org/oclc/636919040","WorldCat Record")</f>
        <v>WorldCat Record</v>
      </c>
      <c r="AX1837" s="3" t="s">
        <v>15954</v>
      </c>
      <c r="AY1837" s="3" t="s">
        <v>15955</v>
      </c>
      <c r="AZ1837" s="3" t="s">
        <v>15956</v>
      </c>
      <c r="BA1837" s="3" t="s">
        <v>15956</v>
      </c>
      <c r="BB1837" s="3" t="s">
        <v>15957</v>
      </c>
      <c r="BC1837" s="3" t="s">
        <v>82</v>
      </c>
      <c r="BD1837" s="3" t="s">
        <v>70</v>
      </c>
      <c r="BE1837" s="3" t="s">
        <v>15958</v>
      </c>
      <c r="BF1837" s="3" t="s">
        <v>15957</v>
      </c>
      <c r="BG1837" s="3" t="s">
        <v>15959</v>
      </c>
    </row>
    <row r="1838" spans="1:59" ht="165" x14ac:dyDescent="0.25">
      <c r="A1838" s="2" t="s">
        <v>59</v>
      </c>
      <c r="B1838" s="2" t="s">
        <v>60</v>
      </c>
      <c r="C1838" s="2" t="s">
        <v>15960</v>
      </c>
      <c r="D1838" s="2" t="s">
        <v>15961</v>
      </c>
      <c r="E1838" s="2" t="s">
        <v>15962</v>
      </c>
      <c r="G1838" s="3" t="s">
        <v>63</v>
      </c>
      <c r="I1838" s="3" t="s">
        <v>62</v>
      </c>
      <c r="J1838" s="3" t="s">
        <v>62</v>
      </c>
      <c r="K1838" s="3" t="s">
        <v>64</v>
      </c>
      <c r="L1838" s="2" t="s">
        <v>324</v>
      </c>
      <c r="M1838" s="2" t="s">
        <v>15963</v>
      </c>
      <c r="N1838" s="3" t="s">
        <v>1226</v>
      </c>
      <c r="O1838" s="2" t="s">
        <v>15964</v>
      </c>
      <c r="P1838" s="3" t="s">
        <v>66</v>
      </c>
      <c r="Q1838" s="2" t="s">
        <v>9341</v>
      </c>
      <c r="R1838" s="3" t="s">
        <v>67</v>
      </c>
      <c r="S1838" s="4">
        <v>24</v>
      </c>
      <c r="T1838" s="4">
        <v>64</v>
      </c>
      <c r="U1838" s="5" t="s">
        <v>13355</v>
      </c>
      <c r="V1838" s="5" t="s">
        <v>15965</v>
      </c>
      <c r="W1838" s="5" t="s">
        <v>69</v>
      </c>
      <c r="X1838" s="5" t="s">
        <v>69</v>
      </c>
      <c r="Y1838" s="4">
        <v>154</v>
      </c>
      <c r="Z1838" s="4">
        <v>7</v>
      </c>
      <c r="AA1838" s="4">
        <v>109</v>
      </c>
      <c r="AB1838" s="4">
        <v>2</v>
      </c>
      <c r="AC1838" s="4">
        <v>21</v>
      </c>
      <c r="AD1838" s="4">
        <v>26</v>
      </c>
      <c r="AE1838" s="4">
        <v>147</v>
      </c>
      <c r="AF1838" s="4">
        <v>0</v>
      </c>
      <c r="AG1838" s="4">
        <v>8</v>
      </c>
      <c r="AH1838" s="4">
        <v>25</v>
      </c>
      <c r="AI1838" s="4">
        <v>104</v>
      </c>
      <c r="AJ1838" s="4">
        <v>2</v>
      </c>
      <c r="AK1838" s="4">
        <v>22</v>
      </c>
      <c r="AL1838" s="4">
        <v>14</v>
      </c>
      <c r="AM1838" s="4">
        <v>62</v>
      </c>
      <c r="AN1838" s="4">
        <v>0</v>
      </c>
      <c r="AO1838" s="4">
        <v>5</v>
      </c>
      <c r="AP1838" s="4">
        <v>2</v>
      </c>
      <c r="AQ1838" s="4">
        <v>47</v>
      </c>
      <c r="AR1838" s="3" t="s">
        <v>63</v>
      </c>
      <c r="AS1838" s="3" t="s">
        <v>63</v>
      </c>
      <c r="AT1838" s="3" t="s">
        <v>63</v>
      </c>
      <c r="AV1838" s="6" t="str">
        <f>HYPERLINK("http://mcgill.on.worldcat.org/oclc/51272322","Catalog Record")</f>
        <v>Catalog Record</v>
      </c>
      <c r="AW1838" s="6" t="str">
        <f>HYPERLINK("http://www.worldcat.org/oclc/51272322","WorldCat Record")</f>
        <v>WorldCat Record</v>
      </c>
      <c r="AX1838" s="3" t="s">
        <v>329</v>
      </c>
      <c r="AY1838" s="3" t="s">
        <v>15966</v>
      </c>
      <c r="AZ1838" s="3" t="s">
        <v>15967</v>
      </c>
      <c r="BA1838" s="3" t="s">
        <v>15967</v>
      </c>
      <c r="BB1838" s="3" t="s">
        <v>15968</v>
      </c>
      <c r="BC1838" s="3" t="s">
        <v>82</v>
      </c>
      <c r="BD1838" s="3" t="s">
        <v>70</v>
      </c>
      <c r="BE1838" s="3" t="s">
        <v>15969</v>
      </c>
      <c r="BF1838" s="3" t="s">
        <v>15968</v>
      </c>
      <c r="BG1838" s="3" t="s">
        <v>15970</v>
      </c>
    </row>
    <row r="1839" spans="1:59" ht="165" x14ac:dyDescent="0.25">
      <c r="A1839" s="2" t="s">
        <v>59</v>
      </c>
      <c r="B1839" s="2" t="s">
        <v>60</v>
      </c>
      <c r="C1839" s="2" t="s">
        <v>15960</v>
      </c>
      <c r="D1839" s="2" t="s">
        <v>15961</v>
      </c>
      <c r="E1839" s="2" t="s">
        <v>15962</v>
      </c>
      <c r="G1839" s="3" t="s">
        <v>63</v>
      </c>
      <c r="I1839" s="3" t="s">
        <v>62</v>
      </c>
      <c r="J1839" s="3" t="s">
        <v>62</v>
      </c>
      <c r="K1839" s="3" t="s">
        <v>64</v>
      </c>
      <c r="L1839" s="2" t="s">
        <v>324</v>
      </c>
      <c r="M1839" s="2" t="s">
        <v>15963</v>
      </c>
      <c r="N1839" s="3" t="s">
        <v>1226</v>
      </c>
      <c r="O1839" s="2" t="s">
        <v>15964</v>
      </c>
      <c r="P1839" s="3" t="s">
        <v>66</v>
      </c>
      <c r="Q1839" s="2" t="s">
        <v>9341</v>
      </c>
      <c r="R1839" s="3" t="s">
        <v>67</v>
      </c>
      <c r="S1839" s="4">
        <v>40</v>
      </c>
      <c r="T1839" s="4">
        <v>64</v>
      </c>
      <c r="U1839" s="5" t="s">
        <v>15965</v>
      </c>
      <c r="V1839" s="5" t="s">
        <v>15965</v>
      </c>
      <c r="W1839" s="5" t="s">
        <v>69</v>
      </c>
      <c r="X1839" s="5" t="s">
        <v>69</v>
      </c>
      <c r="Y1839" s="4">
        <v>154</v>
      </c>
      <c r="Z1839" s="4">
        <v>7</v>
      </c>
      <c r="AA1839" s="4">
        <v>109</v>
      </c>
      <c r="AB1839" s="4">
        <v>2</v>
      </c>
      <c r="AC1839" s="4">
        <v>21</v>
      </c>
      <c r="AD1839" s="4">
        <v>26</v>
      </c>
      <c r="AE1839" s="4">
        <v>147</v>
      </c>
      <c r="AF1839" s="4">
        <v>0</v>
      </c>
      <c r="AG1839" s="4">
        <v>8</v>
      </c>
      <c r="AH1839" s="4">
        <v>25</v>
      </c>
      <c r="AI1839" s="4">
        <v>104</v>
      </c>
      <c r="AJ1839" s="4">
        <v>2</v>
      </c>
      <c r="AK1839" s="4">
        <v>22</v>
      </c>
      <c r="AL1839" s="4">
        <v>14</v>
      </c>
      <c r="AM1839" s="4">
        <v>62</v>
      </c>
      <c r="AN1839" s="4">
        <v>0</v>
      </c>
      <c r="AO1839" s="4">
        <v>5</v>
      </c>
      <c r="AP1839" s="4">
        <v>2</v>
      </c>
      <c r="AQ1839" s="4">
        <v>47</v>
      </c>
      <c r="AR1839" s="3" t="s">
        <v>63</v>
      </c>
      <c r="AS1839" s="3" t="s">
        <v>63</v>
      </c>
      <c r="AT1839" s="3" t="s">
        <v>63</v>
      </c>
      <c r="AV1839" s="6" t="str">
        <f>HYPERLINK("http://mcgill.on.worldcat.org/oclc/51272322","Catalog Record")</f>
        <v>Catalog Record</v>
      </c>
      <c r="AW1839" s="6" t="str">
        <f>HYPERLINK("http://www.worldcat.org/oclc/51272322","WorldCat Record")</f>
        <v>WorldCat Record</v>
      </c>
      <c r="AX1839" s="3" t="s">
        <v>329</v>
      </c>
      <c r="AY1839" s="3" t="s">
        <v>15966</v>
      </c>
      <c r="AZ1839" s="3" t="s">
        <v>15967</v>
      </c>
      <c r="BA1839" s="3" t="s">
        <v>15967</v>
      </c>
      <c r="BB1839" s="3" t="s">
        <v>15971</v>
      </c>
      <c r="BC1839" s="3" t="s">
        <v>82</v>
      </c>
      <c r="BD1839" s="3" t="s">
        <v>70</v>
      </c>
      <c r="BE1839" s="3" t="s">
        <v>15969</v>
      </c>
      <c r="BF1839" s="3" t="s">
        <v>15971</v>
      </c>
      <c r="BG1839" s="3" t="s">
        <v>15972</v>
      </c>
    </row>
    <row r="1840" spans="1:59" ht="60" x14ac:dyDescent="0.25">
      <c r="A1840" s="2" t="s">
        <v>59</v>
      </c>
      <c r="B1840" s="2" t="s">
        <v>60</v>
      </c>
      <c r="C1840" s="2" t="s">
        <v>15973</v>
      </c>
      <c r="D1840" s="2" t="s">
        <v>15974</v>
      </c>
      <c r="E1840" s="2" t="s">
        <v>15975</v>
      </c>
      <c r="F1840" s="3" t="s">
        <v>4184</v>
      </c>
      <c r="G1840" s="3" t="s">
        <v>62</v>
      </c>
      <c r="I1840" s="3" t="s">
        <v>63</v>
      </c>
      <c r="J1840" s="3" t="s">
        <v>62</v>
      </c>
      <c r="K1840" s="3" t="s">
        <v>64</v>
      </c>
      <c r="L1840" s="2" t="s">
        <v>15410</v>
      </c>
      <c r="M1840" s="2" t="s">
        <v>15976</v>
      </c>
      <c r="N1840" s="3" t="s">
        <v>300</v>
      </c>
      <c r="P1840" s="3" t="s">
        <v>66</v>
      </c>
      <c r="Q1840" s="2" t="s">
        <v>15977</v>
      </c>
      <c r="R1840" s="3" t="s">
        <v>67</v>
      </c>
      <c r="S1840" s="4">
        <v>11</v>
      </c>
      <c r="T1840" s="4">
        <v>73</v>
      </c>
      <c r="U1840" s="5" t="s">
        <v>6170</v>
      </c>
      <c r="V1840" s="5" t="s">
        <v>4396</v>
      </c>
      <c r="W1840" s="5" t="s">
        <v>69</v>
      </c>
      <c r="X1840" s="5" t="s">
        <v>69</v>
      </c>
      <c r="Y1840" s="4">
        <v>671</v>
      </c>
      <c r="Z1840" s="4">
        <v>32</v>
      </c>
      <c r="AA1840" s="4">
        <v>70</v>
      </c>
      <c r="AB1840" s="4">
        <v>3</v>
      </c>
      <c r="AC1840" s="4">
        <v>7</v>
      </c>
      <c r="AD1840" s="4">
        <v>111</v>
      </c>
      <c r="AE1840" s="4">
        <v>139</v>
      </c>
      <c r="AF1840" s="4">
        <v>1</v>
      </c>
      <c r="AG1840" s="4">
        <v>2</v>
      </c>
      <c r="AH1840" s="4">
        <v>94</v>
      </c>
      <c r="AI1840" s="4">
        <v>109</v>
      </c>
      <c r="AJ1840" s="4">
        <v>13</v>
      </c>
      <c r="AK1840" s="4">
        <v>19</v>
      </c>
      <c r="AL1840" s="4">
        <v>56</v>
      </c>
      <c r="AM1840" s="4">
        <v>60</v>
      </c>
      <c r="AN1840" s="4">
        <v>0</v>
      </c>
      <c r="AO1840" s="4">
        <v>5</v>
      </c>
      <c r="AP1840" s="4">
        <v>18</v>
      </c>
      <c r="AQ1840" s="4">
        <v>33</v>
      </c>
      <c r="AR1840" s="3" t="s">
        <v>63</v>
      </c>
      <c r="AS1840" s="3" t="s">
        <v>63</v>
      </c>
      <c r="AT1840" s="3" t="s">
        <v>62</v>
      </c>
      <c r="AU1840" s="6" t="str">
        <f>HYPERLINK("http://catalog.hathitrust.org/Record/001110406","HathiTrust Record")</f>
        <v>HathiTrust Record</v>
      </c>
      <c r="AV1840" s="6" t="str">
        <f>HYPERLINK("http://mcgill.on.worldcat.org/oclc/271414","Catalog Record")</f>
        <v>Catalog Record</v>
      </c>
      <c r="AW1840" s="6" t="str">
        <f>HYPERLINK("http://www.worldcat.org/oclc/271414","WorldCat Record")</f>
        <v>WorldCat Record</v>
      </c>
      <c r="AX1840" s="3" t="s">
        <v>15569</v>
      </c>
      <c r="AY1840" s="3" t="s">
        <v>15978</v>
      </c>
      <c r="AZ1840" s="3" t="s">
        <v>15979</v>
      </c>
      <c r="BA1840" s="3" t="s">
        <v>15979</v>
      </c>
      <c r="BB1840" s="3" t="s">
        <v>15980</v>
      </c>
      <c r="BC1840" s="3" t="s">
        <v>82</v>
      </c>
      <c r="BD1840" s="3" t="s">
        <v>70</v>
      </c>
      <c r="BF1840" s="3" t="s">
        <v>15980</v>
      </c>
      <c r="BG1840" s="3" t="s">
        <v>15981</v>
      </c>
    </row>
    <row r="1841" spans="1:59" ht="60" x14ac:dyDescent="0.25">
      <c r="A1841" s="2" t="s">
        <v>59</v>
      </c>
      <c r="B1841" s="2" t="s">
        <v>60</v>
      </c>
      <c r="C1841" s="2" t="s">
        <v>15973</v>
      </c>
      <c r="D1841" s="2" t="s">
        <v>15974</v>
      </c>
      <c r="E1841" s="2" t="s">
        <v>15975</v>
      </c>
      <c r="F1841" s="3" t="s">
        <v>5684</v>
      </c>
      <c r="G1841" s="3" t="s">
        <v>62</v>
      </c>
      <c r="I1841" s="3" t="s">
        <v>63</v>
      </c>
      <c r="J1841" s="3" t="s">
        <v>62</v>
      </c>
      <c r="K1841" s="3" t="s">
        <v>64</v>
      </c>
      <c r="L1841" s="2" t="s">
        <v>15410</v>
      </c>
      <c r="M1841" s="2" t="s">
        <v>15976</v>
      </c>
      <c r="N1841" s="3" t="s">
        <v>300</v>
      </c>
      <c r="P1841" s="3" t="s">
        <v>66</v>
      </c>
      <c r="Q1841" s="2" t="s">
        <v>15977</v>
      </c>
      <c r="R1841" s="3" t="s">
        <v>67</v>
      </c>
      <c r="S1841" s="4">
        <v>43</v>
      </c>
      <c r="T1841" s="4">
        <v>73</v>
      </c>
      <c r="U1841" s="5" t="s">
        <v>4396</v>
      </c>
      <c r="V1841" s="5" t="s">
        <v>4396</v>
      </c>
      <c r="W1841" s="5" t="s">
        <v>69</v>
      </c>
      <c r="X1841" s="5" t="s">
        <v>69</v>
      </c>
      <c r="Y1841" s="4">
        <v>671</v>
      </c>
      <c r="Z1841" s="4">
        <v>32</v>
      </c>
      <c r="AA1841" s="4">
        <v>70</v>
      </c>
      <c r="AB1841" s="4">
        <v>3</v>
      </c>
      <c r="AC1841" s="4">
        <v>7</v>
      </c>
      <c r="AD1841" s="4">
        <v>111</v>
      </c>
      <c r="AE1841" s="4">
        <v>139</v>
      </c>
      <c r="AF1841" s="4">
        <v>1</v>
      </c>
      <c r="AG1841" s="4">
        <v>2</v>
      </c>
      <c r="AH1841" s="4">
        <v>94</v>
      </c>
      <c r="AI1841" s="4">
        <v>109</v>
      </c>
      <c r="AJ1841" s="4">
        <v>13</v>
      </c>
      <c r="AK1841" s="4">
        <v>19</v>
      </c>
      <c r="AL1841" s="4">
        <v>56</v>
      </c>
      <c r="AM1841" s="4">
        <v>60</v>
      </c>
      <c r="AN1841" s="4">
        <v>0</v>
      </c>
      <c r="AO1841" s="4">
        <v>5</v>
      </c>
      <c r="AP1841" s="4">
        <v>18</v>
      </c>
      <c r="AQ1841" s="4">
        <v>33</v>
      </c>
      <c r="AR1841" s="3" t="s">
        <v>63</v>
      </c>
      <c r="AS1841" s="3" t="s">
        <v>63</v>
      </c>
      <c r="AT1841" s="3" t="s">
        <v>62</v>
      </c>
      <c r="AU1841" s="6" t="str">
        <f>HYPERLINK("http://catalog.hathitrust.org/Record/001110406","HathiTrust Record")</f>
        <v>HathiTrust Record</v>
      </c>
      <c r="AV1841" s="6" t="str">
        <f>HYPERLINK("http://mcgill.on.worldcat.org/oclc/271414","Catalog Record")</f>
        <v>Catalog Record</v>
      </c>
      <c r="AW1841" s="6" t="str">
        <f>HYPERLINK("http://www.worldcat.org/oclc/271414","WorldCat Record")</f>
        <v>WorldCat Record</v>
      </c>
      <c r="AX1841" s="3" t="s">
        <v>15569</v>
      </c>
      <c r="AY1841" s="3" t="s">
        <v>15978</v>
      </c>
      <c r="AZ1841" s="3" t="s">
        <v>15979</v>
      </c>
      <c r="BA1841" s="3" t="s">
        <v>15979</v>
      </c>
      <c r="BB1841" s="3" t="s">
        <v>15982</v>
      </c>
      <c r="BC1841" s="3" t="s">
        <v>82</v>
      </c>
      <c r="BD1841" s="3" t="s">
        <v>70</v>
      </c>
      <c r="BF1841" s="3" t="s">
        <v>15982</v>
      </c>
      <c r="BG1841" s="3" t="s">
        <v>15983</v>
      </c>
    </row>
    <row r="1842" spans="1:59" ht="60" x14ac:dyDescent="0.25">
      <c r="A1842" s="2" t="s">
        <v>59</v>
      </c>
      <c r="B1842" s="2" t="s">
        <v>60</v>
      </c>
      <c r="C1842" s="2" t="s">
        <v>15973</v>
      </c>
      <c r="D1842" s="2" t="s">
        <v>15974</v>
      </c>
      <c r="E1842" s="2" t="s">
        <v>15975</v>
      </c>
      <c r="F1842" s="3" t="s">
        <v>5696</v>
      </c>
      <c r="G1842" s="3" t="s">
        <v>62</v>
      </c>
      <c r="I1842" s="3" t="s">
        <v>63</v>
      </c>
      <c r="J1842" s="3" t="s">
        <v>62</v>
      </c>
      <c r="K1842" s="3" t="s">
        <v>64</v>
      </c>
      <c r="L1842" s="2" t="s">
        <v>15410</v>
      </c>
      <c r="M1842" s="2" t="s">
        <v>15976</v>
      </c>
      <c r="N1842" s="3" t="s">
        <v>300</v>
      </c>
      <c r="P1842" s="3" t="s">
        <v>66</v>
      </c>
      <c r="Q1842" s="2" t="s">
        <v>15977</v>
      </c>
      <c r="R1842" s="3" t="s">
        <v>67</v>
      </c>
      <c r="S1842" s="4">
        <v>19</v>
      </c>
      <c r="T1842" s="4">
        <v>73</v>
      </c>
      <c r="U1842" s="5" t="s">
        <v>12910</v>
      </c>
      <c r="V1842" s="5" t="s">
        <v>4396</v>
      </c>
      <c r="W1842" s="5" t="s">
        <v>69</v>
      </c>
      <c r="X1842" s="5" t="s">
        <v>69</v>
      </c>
      <c r="Y1842" s="4">
        <v>671</v>
      </c>
      <c r="Z1842" s="4">
        <v>32</v>
      </c>
      <c r="AA1842" s="4">
        <v>70</v>
      </c>
      <c r="AB1842" s="4">
        <v>3</v>
      </c>
      <c r="AC1842" s="4">
        <v>7</v>
      </c>
      <c r="AD1842" s="4">
        <v>111</v>
      </c>
      <c r="AE1842" s="4">
        <v>139</v>
      </c>
      <c r="AF1842" s="4">
        <v>1</v>
      </c>
      <c r="AG1842" s="4">
        <v>2</v>
      </c>
      <c r="AH1842" s="4">
        <v>94</v>
      </c>
      <c r="AI1842" s="4">
        <v>109</v>
      </c>
      <c r="AJ1842" s="4">
        <v>13</v>
      </c>
      <c r="AK1842" s="4">
        <v>19</v>
      </c>
      <c r="AL1842" s="4">
        <v>56</v>
      </c>
      <c r="AM1842" s="4">
        <v>60</v>
      </c>
      <c r="AN1842" s="4">
        <v>0</v>
      </c>
      <c r="AO1842" s="4">
        <v>5</v>
      </c>
      <c r="AP1842" s="4">
        <v>18</v>
      </c>
      <c r="AQ1842" s="4">
        <v>33</v>
      </c>
      <c r="AR1842" s="3" t="s">
        <v>63</v>
      </c>
      <c r="AS1842" s="3" t="s">
        <v>63</v>
      </c>
      <c r="AT1842" s="3" t="s">
        <v>62</v>
      </c>
      <c r="AU1842" s="6" t="str">
        <f>HYPERLINK("http://catalog.hathitrust.org/Record/001110406","HathiTrust Record")</f>
        <v>HathiTrust Record</v>
      </c>
      <c r="AV1842" s="6" t="str">
        <f>HYPERLINK("http://mcgill.on.worldcat.org/oclc/271414","Catalog Record")</f>
        <v>Catalog Record</v>
      </c>
      <c r="AW1842" s="6" t="str">
        <f>HYPERLINK("http://www.worldcat.org/oclc/271414","WorldCat Record")</f>
        <v>WorldCat Record</v>
      </c>
      <c r="AX1842" s="3" t="s">
        <v>15569</v>
      </c>
      <c r="AY1842" s="3" t="s">
        <v>15978</v>
      </c>
      <c r="AZ1842" s="3" t="s">
        <v>15979</v>
      </c>
      <c r="BA1842" s="3" t="s">
        <v>15979</v>
      </c>
      <c r="BB1842" s="3" t="s">
        <v>15984</v>
      </c>
      <c r="BC1842" s="3" t="s">
        <v>82</v>
      </c>
      <c r="BD1842" s="3" t="s">
        <v>70</v>
      </c>
      <c r="BF1842" s="3" t="s">
        <v>15984</v>
      </c>
      <c r="BG1842" s="3" t="s">
        <v>15985</v>
      </c>
    </row>
    <row r="1843" spans="1:59" ht="60" x14ac:dyDescent="0.25">
      <c r="A1843" s="2" t="s">
        <v>59</v>
      </c>
      <c r="B1843" s="2" t="s">
        <v>60</v>
      </c>
      <c r="C1843" s="2" t="s">
        <v>15986</v>
      </c>
      <c r="D1843" s="2" t="s">
        <v>15987</v>
      </c>
      <c r="E1843" s="2" t="s">
        <v>15988</v>
      </c>
      <c r="F1843" s="3" t="s">
        <v>5705</v>
      </c>
      <c r="G1843" s="3" t="s">
        <v>62</v>
      </c>
      <c r="I1843" s="3" t="s">
        <v>62</v>
      </c>
      <c r="J1843" s="3" t="s">
        <v>62</v>
      </c>
      <c r="K1843" s="3" t="s">
        <v>64</v>
      </c>
      <c r="L1843" s="2" t="s">
        <v>15410</v>
      </c>
      <c r="M1843" s="2" t="s">
        <v>15989</v>
      </c>
      <c r="N1843" s="3" t="s">
        <v>731</v>
      </c>
      <c r="O1843" s="2" t="s">
        <v>718</v>
      </c>
      <c r="P1843" s="3" t="s">
        <v>66</v>
      </c>
      <c r="Q1843" s="2" t="s">
        <v>15990</v>
      </c>
      <c r="R1843" s="3" t="s">
        <v>67</v>
      </c>
      <c r="S1843" s="4">
        <v>14</v>
      </c>
      <c r="T1843" s="4">
        <v>132</v>
      </c>
      <c r="U1843" s="5" t="s">
        <v>15991</v>
      </c>
      <c r="V1843" s="5" t="s">
        <v>5434</v>
      </c>
      <c r="W1843" s="5" t="s">
        <v>69</v>
      </c>
      <c r="X1843" s="5" t="s">
        <v>69</v>
      </c>
      <c r="Y1843" s="4">
        <v>397</v>
      </c>
      <c r="Z1843" s="4">
        <v>28</v>
      </c>
      <c r="AA1843" s="4">
        <v>37</v>
      </c>
      <c r="AB1843" s="4">
        <v>1</v>
      </c>
      <c r="AC1843" s="4">
        <v>2</v>
      </c>
      <c r="AD1843" s="4">
        <v>102</v>
      </c>
      <c r="AE1843" s="4">
        <v>114</v>
      </c>
      <c r="AF1843" s="4">
        <v>0</v>
      </c>
      <c r="AG1843" s="4">
        <v>1</v>
      </c>
      <c r="AH1843" s="4">
        <v>90</v>
      </c>
      <c r="AI1843" s="4">
        <v>97</v>
      </c>
      <c r="AJ1843" s="4">
        <v>14</v>
      </c>
      <c r="AK1843" s="4">
        <v>20</v>
      </c>
      <c r="AL1843" s="4">
        <v>48</v>
      </c>
      <c r="AM1843" s="4">
        <v>51</v>
      </c>
      <c r="AN1843" s="4">
        <v>0</v>
      </c>
      <c r="AO1843" s="4">
        <v>0</v>
      </c>
      <c r="AP1843" s="4">
        <v>19</v>
      </c>
      <c r="AQ1843" s="4">
        <v>26</v>
      </c>
      <c r="AR1843" s="3" t="s">
        <v>63</v>
      </c>
      <c r="AS1843" s="3" t="s">
        <v>63</v>
      </c>
      <c r="AT1843" s="3" t="s">
        <v>63</v>
      </c>
      <c r="AV1843" s="6" t="str">
        <f>HYPERLINK("http://mcgill.on.worldcat.org/oclc/1942342","Catalog Record")</f>
        <v>Catalog Record</v>
      </c>
      <c r="AW1843" s="6" t="str">
        <f>HYPERLINK("http://www.worldcat.org/oclc/1942342","WorldCat Record")</f>
        <v>WorldCat Record</v>
      </c>
      <c r="AX1843" s="3" t="s">
        <v>15992</v>
      </c>
      <c r="AY1843" s="3" t="s">
        <v>15993</v>
      </c>
      <c r="AZ1843" s="3" t="s">
        <v>15994</v>
      </c>
      <c r="BA1843" s="3" t="s">
        <v>15994</v>
      </c>
      <c r="BB1843" s="3" t="s">
        <v>15995</v>
      </c>
      <c r="BC1843" s="3" t="s">
        <v>82</v>
      </c>
      <c r="BD1843" s="3" t="s">
        <v>70</v>
      </c>
      <c r="BE1843" s="3" t="s">
        <v>15996</v>
      </c>
      <c r="BF1843" s="3" t="s">
        <v>15995</v>
      </c>
      <c r="BG1843" s="3" t="s">
        <v>15997</v>
      </c>
    </row>
    <row r="1844" spans="1:59" ht="60" x14ac:dyDescent="0.25">
      <c r="A1844" s="2" t="s">
        <v>59</v>
      </c>
      <c r="B1844" s="2" t="s">
        <v>60</v>
      </c>
      <c r="C1844" s="2" t="s">
        <v>15986</v>
      </c>
      <c r="D1844" s="2" t="s">
        <v>15987</v>
      </c>
      <c r="E1844" s="2" t="s">
        <v>15988</v>
      </c>
      <c r="F1844" s="3" t="s">
        <v>1095</v>
      </c>
      <c r="G1844" s="3" t="s">
        <v>62</v>
      </c>
      <c r="I1844" s="3" t="s">
        <v>62</v>
      </c>
      <c r="J1844" s="3" t="s">
        <v>62</v>
      </c>
      <c r="K1844" s="3" t="s">
        <v>64</v>
      </c>
      <c r="L1844" s="2" t="s">
        <v>15410</v>
      </c>
      <c r="M1844" s="2" t="s">
        <v>15989</v>
      </c>
      <c r="N1844" s="3" t="s">
        <v>731</v>
      </c>
      <c r="O1844" s="2" t="s">
        <v>718</v>
      </c>
      <c r="P1844" s="3" t="s">
        <v>66</v>
      </c>
      <c r="Q1844" s="2" t="s">
        <v>15990</v>
      </c>
      <c r="R1844" s="3" t="s">
        <v>67</v>
      </c>
      <c r="S1844" s="4">
        <v>20</v>
      </c>
      <c r="T1844" s="4">
        <v>132</v>
      </c>
      <c r="U1844" s="5" t="s">
        <v>9914</v>
      </c>
      <c r="V1844" s="5" t="s">
        <v>5434</v>
      </c>
      <c r="W1844" s="5" t="s">
        <v>69</v>
      </c>
      <c r="X1844" s="5" t="s">
        <v>69</v>
      </c>
      <c r="Y1844" s="4">
        <v>397</v>
      </c>
      <c r="Z1844" s="4">
        <v>28</v>
      </c>
      <c r="AA1844" s="4">
        <v>37</v>
      </c>
      <c r="AB1844" s="4">
        <v>1</v>
      </c>
      <c r="AC1844" s="4">
        <v>2</v>
      </c>
      <c r="AD1844" s="4">
        <v>102</v>
      </c>
      <c r="AE1844" s="4">
        <v>114</v>
      </c>
      <c r="AF1844" s="4">
        <v>0</v>
      </c>
      <c r="AG1844" s="4">
        <v>1</v>
      </c>
      <c r="AH1844" s="4">
        <v>90</v>
      </c>
      <c r="AI1844" s="4">
        <v>97</v>
      </c>
      <c r="AJ1844" s="4">
        <v>14</v>
      </c>
      <c r="AK1844" s="4">
        <v>20</v>
      </c>
      <c r="AL1844" s="4">
        <v>48</v>
      </c>
      <c r="AM1844" s="4">
        <v>51</v>
      </c>
      <c r="AN1844" s="4">
        <v>0</v>
      </c>
      <c r="AO1844" s="4">
        <v>0</v>
      </c>
      <c r="AP1844" s="4">
        <v>19</v>
      </c>
      <c r="AQ1844" s="4">
        <v>26</v>
      </c>
      <c r="AR1844" s="3" t="s">
        <v>63</v>
      </c>
      <c r="AS1844" s="3" t="s">
        <v>63</v>
      </c>
      <c r="AT1844" s="3" t="s">
        <v>63</v>
      </c>
      <c r="AV1844" s="6" t="str">
        <f>HYPERLINK("http://mcgill.on.worldcat.org/oclc/1942342","Catalog Record")</f>
        <v>Catalog Record</v>
      </c>
      <c r="AW1844" s="6" t="str">
        <f>HYPERLINK("http://www.worldcat.org/oclc/1942342","WorldCat Record")</f>
        <v>WorldCat Record</v>
      </c>
      <c r="AX1844" s="3" t="s">
        <v>15992</v>
      </c>
      <c r="AY1844" s="3" t="s">
        <v>15993</v>
      </c>
      <c r="AZ1844" s="3" t="s">
        <v>15994</v>
      </c>
      <c r="BA1844" s="3" t="s">
        <v>15994</v>
      </c>
      <c r="BB1844" s="3" t="s">
        <v>15998</v>
      </c>
      <c r="BC1844" s="3" t="s">
        <v>82</v>
      </c>
      <c r="BD1844" s="3" t="s">
        <v>538</v>
      </c>
      <c r="BE1844" s="3" t="s">
        <v>15996</v>
      </c>
      <c r="BF1844" s="3" t="s">
        <v>15998</v>
      </c>
      <c r="BG1844" s="3" t="s">
        <v>15999</v>
      </c>
    </row>
    <row r="1845" spans="1:59" ht="60" x14ac:dyDescent="0.25">
      <c r="A1845" s="2" t="s">
        <v>59</v>
      </c>
      <c r="B1845" s="2" t="s">
        <v>60</v>
      </c>
      <c r="C1845" s="2" t="s">
        <v>15986</v>
      </c>
      <c r="D1845" s="2" t="s">
        <v>15987</v>
      </c>
      <c r="E1845" s="2" t="s">
        <v>15988</v>
      </c>
      <c r="F1845" s="3" t="s">
        <v>5714</v>
      </c>
      <c r="G1845" s="3" t="s">
        <v>62</v>
      </c>
      <c r="I1845" s="3" t="s">
        <v>62</v>
      </c>
      <c r="J1845" s="3" t="s">
        <v>62</v>
      </c>
      <c r="K1845" s="3" t="s">
        <v>64</v>
      </c>
      <c r="L1845" s="2" t="s">
        <v>15410</v>
      </c>
      <c r="M1845" s="2" t="s">
        <v>15989</v>
      </c>
      <c r="N1845" s="3" t="s">
        <v>731</v>
      </c>
      <c r="O1845" s="2" t="s">
        <v>718</v>
      </c>
      <c r="P1845" s="3" t="s">
        <v>66</v>
      </c>
      <c r="Q1845" s="2" t="s">
        <v>15990</v>
      </c>
      <c r="R1845" s="3" t="s">
        <v>67</v>
      </c>
      <c r="S1845" s="4">
        <v>2</v>
      </c>
      <c r="T1845" s="4">
        <v>132</v>
      </c>
      <c r="U1845" s="5" t="s">
        <v>16000</v>
      </c>
      <c r="V1845" s="5" t="s">
        <v>5434</v>
      </c>
      <c r="W1845" s="5" t="s">
        <v>69</v>
      </c>
      <c r="X1845" s="5" t="s">
        <v>69</v>
      </c>
      <c r="Y1845" s="4">
        <v>397</v>
      </c>
      <c r="Z1845" s="4">
        <v>28</v>
      </c>
      <c r="AA1845" s="4">
        <v>37</v>
      </c>
      <c r="AB1845" s="4">
        <v>1</v>
      </c>
      <c r="AC1845" s="4">
        <v>2</v>
      </c>
      <c r="AD1845" s="4">
        <v>102</v>
      </c>
      <c r="AE1845" s="4">
        <v>114</v>
      </c>
      <c r="AF1845" s="4">
        <v>0</v>
      </c>
      <c r="AG1845" s="4">
        <v>1</v>
      </c>
      <c r="AH1845" s="4">
        <v>90</v>
      </c>
      <c r="AI1845" s="4">
        <v>97</v>
      </c>
      <c r="AJ1845" s="4">
        <v>14</v>
      </c>
      <c r="AK1845" s="4">
        <v>20</v>
      </c>
      <c r="AL1845" s="4">
        <v>48</v>
      </c>
      <c r="AM1845" s="4">
        <v>51</v>
      </c>
      <c r="AN1845" s="4">
        <v>0</v>
      </c>
      <c r="AO1845" s="4">
        <v>0</v>
      </c>
      <c r="AP1845" s="4">
        <v>19</v>
      </c>
      <c r="AQ1845" s="4">
        <v>26</v>
      </c>
      <c r="AR1845" s="3" t="s">
        <v>63</v>
      </c>
      <c r="AS1845" s="3" t="s">
        <v>63</v>
      </c>
      <c r="AT1845" s="3" t="s">
        <v>63</v>
      </c>
      <c r="AV1845" s="6" t="str">
        <f>HYPERLINK("http://mcgill.on.worldcat.org/oclc/1942342","Catalog Record")</f>
        <v>Catalog Record</v>
      </c>
      <c r="AW1845" s="6" t="str">
        <f>HYPERLINK("http://www.worldcat.org/oclc/1942342","WorldCat Record")</f>
        <v>WorldCat Record</v>
      </c>
      <c r="AX1845" s="3" t="s">
        <v>15992</v>
      </c>
      <c r="AY1845" s="3" t="s">
        <v>15993</v>
      </c>
      <c r="AZ1845" s="3" t="s">
        <v>15994</v>
      </c>
      <c r="BA1845" s="3" t="s">
        <v>15994</v>
      </c>
      <c r="BB1845" s="3" t="s">
        <v>16001</v>
      </c>
      <c r="BC1845" s="3" t="s">
        <v>82</v>
      </c>
      <c r="BD1845" s="3" t="s">
        <v>70</v>
      </c>
      <c r="BE1845" s="3" t="s">
        <v>15996</v>
      </c>
      <c r="BF1845" s="3" t="s">
        <v>16001</v>
      </c>
      <c r="BG1845" s="3" t="s">
        <v>16002</v>
      </c>
    </row>
    <row r="1846" spans="1:59" ht="60" x14ac:dyDescent="0.25">
      <c r="A1846" s="2" t="s">
        <v>59</v>
      </c>
      <c r="B1846" s="2" t="s">
        <v>60</v>
      </c>
      <c r="C1846" s="2" t="s">
        <v>15986</v>
      </c>
      <c r="D1846" s="2" t="s">
        <v>15987</v>
      </c>
      <c r="E1846" s="2" t="s">
        <v>15988</v>
      </c>
      <c r="F1846" s="3" t="s">
        <v>5684</v>
      </c>
      <c r="G1846" s="3" t="s">
        <v>62</v>
      </c>
      <c r="I1846" s="3" t="s">
        <v>62</v>
      </c>
      <c r="J1846" s="3" t="s">
        <v>62</v>
      </c>
      <c r="K1846" s="3" t="s">
        <v>64</v>
      </c>
      <c r="L1846" s="2" t="s">
        <v>15410</v>
      </c>
      <c r="M1846" s="2" t="s">
        <v>15989</v>
      </c>
      <c r="N1846" s="3" t="s">
        <v>731</v>
      </c>
      <c r="O1846" s="2" t="s">
        <v>718</v>
      </c>
      <c r="P1846" s="3" t="s">
        <v>66</v>
      </c>
      <c r="Q1846" s="2" t="s">
        <v>15990</v>
      </c>
      <c r="R1846" s="3" t="s">
        <v>67</v>
      </c>
      <c r="S1846" s="4">
        <v>56</v>
      </c>
      <c r="T1846" s="4">
        <v>132</v>
      </c>
      <c r="U1846" s="5" t="s">
        <v>16003</v>
      </c>
      <c r="V1846" s="5" t="s">
        <v>5434</v>
      </c>
      <c r="W1846" s="5" t="s">
        <v>69</v>
      </c>
      <c r="X1846" s="5" t="s">
        <v>69</v>
      </c>
      <c r="Y1846" s="4">
        <v>397</v>
      </c>
      <c r="Z1846" s="4">
        <v>28</v>
      </c>
      <c r="AA1846" s="4">
        <v>37</v>
      </c>
      <c r="AB1846" s="4">
        <v>1</v>
      </c>
      <c r="AC1846" s="4">
        <v>2</v>
      </c>
      <c r="AD1846" s="4">
        <v>102</v>
      </c>
      <c r="AE1846" s="4">
        <v>114</v>
      </c>
      <c r="AF1846" s="4">
        <v>0</v>
      </c>
      <c r="AG1846" s="4">
        <v>1</v>
      </c>
      <c r="AH1846" s="4">
        <v>90</v>
      </c>
      <c r="AI1846" s="4">
        <v>97</v>
      </c>
      <c r="AJ1846" s="4">
        <v>14</v>
      </c>
      <c r="AK1846" s="4">
        <v>20</v>
      </c>
      <c r="AL1846" s="4">
        <v>48</v>
      </c>
      <c r="AM1846" s="4">
        <v>51</v>
      </c>
      <c r="AN1846" s="4">
        <v>0</v>
      </c>
      <c r="AO1846" s="4">
        <v>0</v>
      </c>
      <c r="AP1846" s="4">
        <v>19</v>
      </c>
      <c r="AQ1846" s="4">
        <v>26</v>
      </c>
      <c r="AR1846" s="3" t="s">
        <v>63</v>
      </c>
      <c r="AS1846" s="3" t="s">
        <v>63</v>
      </c>
      <c r="AT1846" s="3" t="s">
        <v>63</v>
      </c>
      <c r="AV1846" s="6" t="str">
        <f>HYPERLINK("http://mcgill.on.worldcat.org/oclc/1942342","Catalog Record")</f>
        <v>Catalog Record</v>
      </c>
      <c r="AW1846" s="6" t="str">
        <f>HYPERLINK("http://www.worldcat.org/oclc/1942342","WorldCat Record")</f>
        <v>WorldCat Record</v>
      </c>
      <c r="AX1846" s="3" t="s">
        <v>15992</v>
      </c>
      <c r="AY1846" s="3" t="s">
        <v>15993</v>
      </c>
      <c r="AZ1846" s="3" t="s">
        <v>15994</v>
      </c>
      <c r="BA1846" s="3" t="s">
        <v>15994</v>
      </c>
      <c r="BB1846" s="3" t="s">
        <v>16004</v>
      </c>
      <c r="BC1846" s="3" t="s">
        <v>82</v>
      </c>
      <c r="BD1846" s="3" t="s">
        <v>70</v>
      </c>
      <c r="BE1846" s="3" t="s">
        <v>15996</v>
      </c>
      <c r="BF1846" s="3" t="s">
        <v>16004</v>
      </c>
      <c r="BG1846" s="3" t="s">
        <v>16005</v>
      </c>
    </row>
    <row r="1847" spans="1:59" ht="60" x14ac:dyDescent="0.25">
      <c r="A1847" s="2" t="s">
        <v>59</v>
      </c>
      <c r="B1847" s="2" t="s">
        <v>60</v>
      </c>
      <c r="C1847" s="2" t="s">
        <v>15986</v>
      </c>
      <c r="D1847" s="2" t="s">
        <v>15987</v>
      </c>
      <c r="E1847" s="2" t="s">
        <v>15988</v>
      </c>
      <c r="F1847" s="3" t="s">
        <v>5705</v>
      </c>
      <c r="G1847" s="3" t="s">
        <v>62</v>
      </c>
      <c r="I1847" s="3" t="s">
        <v>62</v>
      </c>
      <c r="J1847" s="3" t="s">
        <v>62</v>
      </c>
      <c r="K1847" s="3" t="s">
        <v>64</v>
      </c>
      <c r="L1847" s="2" t="s">
        <v>15410</v>
      </c>
      <c r="M1847" s="2" t="s">
        <v>15989</v>
      </c>
      <c r="N1847" s="3" t="s">
        <v>731</v>
      </c>
      <c r="O1847" s="2" t="s">
        <v>718</v>
      </c>
      <c r="P1847" s="3" t="s">
        <v>66</v>
      </c>
      <c r="Q1847" s="2" t="s">
        <v>15990</v>
      </c>
      <c r="R1847" s="3" t="s">
        <v>67</v>
      </c>
      <c r="S1847" s="4">
        <v>7</v>
      </c>
      <c r="T1847" s="4">
        <v>132</v>
      </c>
      <c r="U1847" s="5" t="s">
        <v>16006</v>
      </c>
      <c r="V1847" s="5" t="s">
        <v>5434</v>
      </c>
      <c r="W1847" s="5" t="s">
        <v>69</v>
      </c>
      <c r="X1847" s="5" t="s">
        <v>69</v>
      </c>
      <c r="Y1847" s="4">
        <v>397</v>
      </c>
      <c r="Z1847" s="4">
        <v>28</v>
      </c>
      <c r="AA1847" s="4">
        <v>37</v>
      </c>
      <c r="AB1847" s="4">
        <v>1</v>
      </c>
      <c r="AC1847" s="4">
        <v>2</v>
      </c>
      <c r="AD1847" s="4">
        <v>102</v>
      </c>
      <c r="AE1847" s="4">
        <v>114</v>
      </c>
      <c r="AF1847" s="4">
        <v>0</v>
      </c>
      <c r="AG1847" s="4">
        <v>1</v>
      </c>
      <c r="AH1847" s="4">
        <v>90</v>
      </c>
      <c r="AI1847" s="4">
        <v>97</v>
      </c>
      <c r="AJ1847" s="4">
        <v>14</v>
      </c>
      <c r="AK1847" s="4">
        <v>20</v>
      </c>
      <c r="AL1847" s="4">
        <v>48</v>
      </c>
      <c r="AM1847" s="4">
        <v>51</v>
      </c>
      <c r="AN1847" s="4">
        <v>0</v>
      </c>
      <c r="AO1847" s="4">
        <v>0</v>
      </c>
      <c r="AP1847" s="4">
        <v>19</v>
      </c>
      <c r="AQ1847" s="4">
        <v>26</v>
      </c>
      <c r="AR1847" s="3" t="s">
        <v>63</v>
      </c>
      <c r="AS1847" s="3" t="s">
        <v>63</v>
      </c>
      <c r="AT1847" s="3" t="s">
        <v>63</v>
      </c>
      <c r="AV1847" s="6" t="str">
        <f>HYPERLINK("http://mcgill.on.worldcat.org/oclc/1942342","Catalog Record")</f>
        <v>Catalog Record</v>
      </c>
      <c r="AW1847" s="6" t="str">
        <f>HYPERLINK("http://www.worldcat.org/oclc/1942342","WorldCat Record")</f>
        <v>WorldCat Record</v>
      </c>
      <c r="AX1847" s="3" t="s">
        <v>15992</v>
      </c>
      <c r="AY1847" s="3" t="s">
        <v>15993</v>
      </c>
      <c r="AZ1847" s="3" t="s">
        <v>15994</v>
      </c>
      <c r="BA1847" s="3" t="s">
        <v>15994</v>
      </c>
      <c r="BB1847" s="3" t="s">
        <v>16007</v>
      </c>
      <c r="BC1847" s="3" t="s">
        <v>82</v>
      </c>
      <c r="BD1847" s="3" t="s">
        <v>70</v>
      </c>
      <c r="BE1847" s="3" t="s">
        <v>15996</v>
      </c>
      <c r="BF1847" s="3" t="s">
        <v>16007</v>
      </c>
      <c r="BG1847" s="3" t="s">
        <v>16008</v>
      </c>
    </row>
    <row r="1848" spans="1:59" ht="60" x14ac:dyDescent="0.25">
      <c r="A1848" s="2" t="s">
        <v>59</v>
      </c>
      <c r="B1848" s="2" t="s">
        <v>60</v>
      </c>
      <c r="C1848" s="2" t="s">
        <v>15986</v>
      </c>
      <c r="D1848" s="2" t="s">
        <v>15987</v>
      </c>
      <c r="E1848" s="2" t="s">
        <v>15988</v>
      </c>
      <c r="F1848" s="3" t="s">
        <v>5714</v>
      </c>
      <c r="G1848" s="3" t="s">
        <v>62</v>
      </c>
      <c r="I1848" s="3" t="s">
        <v>62</v>
      </c>
      <c r="J1848" s="3" t="s">
        <v>62</v>
      </c>
      <c r="K1848" s="3" t="s">
        <v>64</v>
      </c>
      <c r="L1848" s="2" t="s">
        <v>15410</v>
      </c>
      <c r="M1848" s="2" t="s">
        <v>15989</v>
      </c>
      <c r="N1848" s="3" t="s">
        <v>731</v>
      </c>
      <c r="O1848" s="2" t="s">
        <v>718</v>
      </c>
      <c r="P1848" s="3" t="s">
        <v>66</v>
      </c>
      <c r="Q1848" s="2" t="s">
        <v>15990</v>
      </c>
      <c r="R1848" s="3" t="s">
        <v>67</v>
      </c>
      <c r="S1848" s="4">
        <v>10</v>
      </c>
      <c r="T1848" s="4">
        <v>132</v>
      </c>
      <c r="U1848" s="5" t="s">
        <v>15991</v>
      </c>
      <c r="V1848" s="5" t="s">
        <v>5434</v>
      </c>
      <c r="W1848" s="5" t="s">
        <v>69</v>
      </c>
      <c r="X1848" s="5" t="s">
        <v>69</v>
      </c>
      <c r="Y1848" s="4">
        <v>397</v>
      </c>
      <c r="Z1848" s="4">
        <v>28</v>
      </c>
      <c r="AA1848" s="4">
        <v>37</v>
      </c>
      <c r="AB1848" s="4">
        <v>1</v>
      </c>
      <c r="AC1848" s="4">
        <v>2</v>
      </c>
      <c r="AD1848" s="4">
        <v>102</v>
      </c>
      <c r="AE1848" s="4">
        <v>114</v>
      </c>
      <c r="AF1848" s="4">
        <v>0</v>
      </c>
      <c r="AG1848" s="4">
        <v>1</v>
      </c>
      <c r="AH1848" s="4">
        <v>90</v>
      </c>
      <c r="AI1848" s="4">
        <v>97</v>
      </c>
      <c r="AJ1848" s="4">
        <v>14</v>
      </c>
      <c r="AK1848" s="4">
        <v>20</v>
      </c>
      <c r="AL1848" s="4">
        <v>48</v>
      </c>
      <c r="AM1848" s="4">
        <v>51</v>
      </c>
      <c r="AN1848" s="4">
        <v>0</v>
      </c>
      <c r="AO1848" s="4">
        <v>0</v>
      </c>
      <c r="AP1848" s="4">
        <v>19</v>
      </c>
      <c r="AQ1848" s="4">
        <v>26</v>
      </c>
      <c r="AR1848" s="3" t="s">
        <v>63</v>
      </c>
      <c r="AS1848" s="3" t="s">
        <v>63</v>
      </c>
      <c r="AT1848" s="3" t="s">
        <v>63</v>
      </c>
      <c r="AV1848" s="6" t="str">
        <f>HYPERLINK("http://mcgill.on.worldcat.org/oclc/1942342","Catalog Record")</f>
        <v>Catalog Record</v>
      </c>
      <c r="AW1848" s="6" t="str">
        <f>HYPERLINK("http://www.worldcat.org/oclc/1942342","WorldCat Record")</f>
        <v>WorldCat Record</v>
      </c>
      <c r="AX1848" s="3" t="s">
        <v>15992</v>
      </c>
      <c r="AY1848" s="3" t="s">
        <v>15993</v>
      </c>
      <c r="AZ1848" s="3" t="s">
        <v>15994</v>
      </c>
      <c r="BA1848" s="3" t="s">
        <v>15994</v>
      </c>
      <c r="BB1848" s="3" t="s">
        <v>16009</v>
      </c>
      <c r="BC1848" s="3" t="s">
        <v>82</v>
      </c>
      <c r="BD1848" s="3" t="s">
        <v>70</v>
      </c>
      <c r="BE1848" s="3" t="s">
        <v>15996</v>
      </c>
      <c r="BF1848" s="3" t="s">
        <v>16009</v>
      </c>
      <c r="BG1848" s="3" t="s">
        <v>16010</v>
      </c>
    </row>
    <row r="1849" spans="1:59" ht="60" x14ac:dyDescent="0.25">
      <c r="A1849" s="2" t="s">
        <v>59</v>
      </c>
      <c r="B1849" s="2" t="s">
        <v>60</v>
      </c>
      <c r="C1849" s="2" t="s">
        <v>15986</v>
      </c>
      <c r="D1849" s="2" t="s">
        <v>15987</v>
      </c>
      <c r="E1849" s="2" t="s">
        <v>15988</v>
      </c>
      <c r="F1849" s="3" t="s">
        <v>5696</v>
      </c>
      <c r="G1849" s="3" t="s">
        <v>62</v>
      </c>
      <c r="I1849" s="3" t="s">
        <v>62</v>
      </c>
      <c r="J1849" s="3" t="s">
        <v>62</v>
      </c>
      <c r="K1849" s="3" t="s">
        <v>64</v>
      </c>
      <c r="L1849" s="2" t="s">
        <v>15410</v>
      </c>
      <c r="M1849" s="2" t="s">
        <v>15989</v>
      </c>
      <c r="N1849" s="3" t="s">
        <v>731</v>
      </c>
      <c r="O1849" s="2" t="s">
        <v>718</v>
      </c>
      <c r="P1849" s="3" t="s">
        <v>66</v>
      </c>
      <c r="Q1849" s="2" t="s">
        <v>15990</v>
      </c>
      <c r="R1849" s="3" t="s">
        <v>67</v>
      </c>
      <c r="S1849" s="4">
        <v>9</v>
      </c>
      <c r="T1849" s="4">
        <v>132</v>
      </c>
      <c r="U1849" s="5" t="s">
        <v>5434</v>
      </c>
      <c r="V1849" s="5" t="s">
        <v>5434</v>
      </c>
      <c r="W1849" s="5" t="s">
        <v>69</v>
      </c>
      <c r="X1849" s="5" t="s">
        <v>69</v>
      </c>
      <c r="Y1849" s="4">
        <v>397</v>
      </c>
      <c r="Z1849" s="4">
        <v>28</v>
      </c>
      <c r="AA1849" s="4">
        <v>37</v>
      </c>
      <c r="AB1849" s="4">
        <v>1</v>
      </c>
      <c r="AC1849" s="4">
        <v>2</v>
      </c>
      <c r="AD1849" s="4">
        <v>102</v>
      </c>
      <c r="AE1849" s="4">
        <v>114</v>
      </c>
      <c r="AF1849" s="4">
        <v>0</v>
      </c>
      <c r="AG1849" s="4">
        <v>1</v>
      </c>
      <c r="AH1849" s="4">
        <v>90</v>
      </c>
      <c r="AI1849" s="4">
        <v>97</v>
      </c>
      <c r="AJ1849" s="4">
        <v>14</v>
      </c>
      <c r="AK1849" s="4">
        <v>20</v>
      </c>
      <c r="AL1849" s="4">
        <v>48</v>
      </c>
      <c r="AM1849" s="4">
        <v>51</v>
      </c>
      <c r="AN1849" s="4">
        <v>0</v>
      </c>
      <c r="AO1849" s="4">
        <v>0</v>
      </c>
      <c r="AP1849" s="4">
        <v>19</v>
      </c>
      <c r="AQ1849" s="4">
        <v>26</v>
      </c>
      <c r="AR1849" s="3" t="s">
        <v>63</v>
      </c>
      <c r="AS1849" s="3" t="s">
        <v>63</v>
      </c>
      <c r="AT1849" s="3" t="s">
        <v>63</v>
      </c>
      <c r="AV1849" s="6" t="str">
        <f>HYPERLINK("http://mcgill.on.worldcat.org/oclc/1942342","Catalog Record")</f>
        <v>Catalog Record</v>
      </c>
      <c r="AW1849" s="6" t="str">
        <f>HYPERLINK("http://www.worldcat.org/oclc/1942342","WorldCat Record")</f>
        <v>WorldCat Record</v>
      </c>
      <c r="AX1849" s="3" t="s">
        <v>15992</v>
      </c>
      <c r="AY1849" s="3" t="s">
        <v>15993</v>
      </c>
      <c r="AZ1849" s="3" t="s">
        <v>15994</v>
      </c>
      <c r="BA1849" s="3" t="s">
        <v>15994</v>
      </c>
      <c r="BB1849" s="3" t="s">
        <v>16011</v>
      </c>
      <c r="BC1849" s="3" t="s">
        <v>82</v>
      </c>
      <c r="BD1849" s="3" t="s">
        <v>70</v>
      </c>
      <c r="BE1849" s="3" t="s">
        <v>15996</v>
      </c>
      <c r="BF1849" s="3" t="s">
        <v>16011</v>
      </c>
      <c r="BG1849" s="3" t="s">
        <v>16012</v>
      </c>
    </row>
    <row r="1850" spans="1:59" ht="60" x14ac:dyDescent="0.25">
      <c r="A1850" s="2" t="s">
        <v>59</v>
      </c>
      <c r="B1850" s="2" t="s">
        <v>60</v>
      </c>
      <c r="C1850" s="2" t="s">
        <v>15986</v>
      </c>
      <c r="D1850" s="2" t="s">
        <v>15987</v>
      </c>
      <c r="E1850" s="2" t="s">
        <v>15988</v>
      </c>
      <c r="F1850" s="3" t="s">
        <v>5696</v>
      </c>
      <c r="G1850" s="3" t="s">
        <v>62</v>
      </c>
      <c r="I1850" s="3" t="s">
        <v>62</v>
      </c>
      <c r="J1850" s="3" t="s">
        <v>62</v>
      </c>
      <c r="K1850" s="3" t="s">
        <v>64</v>
      </c>
      <c r="L1850" s="2" t="s">
        <v>15410</v>
      </c>
      <c r="M1850" s="2" t="s">
        <v>15989</v>
      </c>
      <c r="N1850" s="3" t="s">
        <v>731</v>
      </c>
      <c r="O1850" s="2" t="s">
        <v>718</v>
      </c>
      <c r="P1850" s="3" t="s">
        <v>66</v>
      </c>
      <c r="Q1850" s="2" t="s">
        <v>15990</v>
      </c>
      <c r="R1850" s="3" t="s">
        <v>67</v>
      </c>
      <c r="S1850" s="4">
        <v>14</v>
      </c>
      <c r="T1850" s="4">
        <v>132</v>
      </c>
      <c r="U1850" s="5" t="s">
        <v>16013</v>
      </c>
      <c r="V1850" s="5" t="s">
        <v>5434</v>
      </c>
      <c r="W1850" s="5" t="s">
        <v>69</v>
      </c>
      <c r="X1850" s="5" t="s">
        <v>69</v>
      </c>
      <c r="Y1850" s="4">
        <v>397</v>
      </c>
      <c r="Z1850" s="4">
        <v>28</v>
      </c>
      <c r="AA1850" s="4">
        <v>37</v>
      </c>
      <c r="AB1850" s="4">
        <v>1</v>
      </c>
      <c r="AC1850" s="4">
        <v>2</v>
      </c>
      <c r="AD1850" s="4">
        <v>102</v>
      </c>
      <c r="AE1850" s="4">
        <v>114</v>
      </c>
      <c r="AF1850" s="4">
        <v>0</v>
      </c>
      <c r="AG1850" s="4">
        <v>1</v>
      </c>
      <c r="AH1850" s="4">
        <v>90</v>
      </c>
      <c r="AI1850" s="4">
        <v>97</v>
      </c>
      <c r="AJ1850" s="4">
        <v>14</v>
      </c>
      <c r="AK1850" s="4">
        <v>20</v>
      </c>
      <c r="AL1850" s="4">
        <v>48</v>
      </c>
      <c r="AM1850" s="4">
        <v>51</v>
      </c>
      <c r="AN1850" s="4">
        <v>0</v>
      </c>
      <c r="AO1850" s="4">
        <v>0</v>
      </c>
      <c r="AP1850" s="4">
        <v>19</v>
      </c>
      <c r="AQ1850" s="4">
        <v>26</v>
      </c>
      <c r="AR1850" s="3" t="s">
        <v>63</v>
      </c>
      <c r="AS1850" s="3" t="s">
        <v>63</v>
      </c>
      <c r="AT1850" s="3" t="s">
        <v>63</v>
      </c>
      <c r="AV1850" s="6" t="str">
        <f>HYPERLINK("http://mcgill.on.worldcat.org/oclc/1942342","Catalog Record")</f>
        <v>Catalog Record</v>
      </c>
      <c r="AW1850" s="6" t="str">
        <f>HYPERLINK("http://www.worldcat.org/oclc/1942342","WorldCat Record")</f>
        <v>WorldCat Record</v>
      </c>
      <c r="AX1850" s="3" t="s">
        <v>15992</v>
      </c>
      <c r="AY1850" s="3" t="s">
        <v>15993</v>
      </c>
      <c r="AZ1850" s="3" t="s">
        <v>15994</v>
      </c>
      <c r="BA1850" s="3" t="s">
        <v>15994</v>
      </c>
      <c r="BB1850" s="3" t="s">
        <v>16014</v>
      </c>
      <c r="BC1850" s="3" t="s">
        <v>82</v>
      </c>
      <c r="BD1850" s="3" t="s">
        <v>70</v>
      </c>
      <c r="BE1850" s="3" t="s">
        <v>15996</v>
      </c>
      <c r="BF1850" s="3" t="s">
        <v>16014</v>
      </c>
      <c r="BG1850" s="3" t="s">
        <v>16015</v>
      </c>
    </row>
    <row r="1851" spans="1:59" ht="60" x14ac:dyDescent="0.25">
      <c r="A1851" s="2" t="s">
        <v>59</v>
      </c>
      <c r="B1851" s="2" t="s">
        <v>60</v>
      </c>
      <c r="C1851" s="2" t="s">
        <v>16036</v>
      </c>
      <c r="D1851" s="2" t="s">
        <v>16037</v>
      </c>
      <c r="E1851" s="2" t="s">
        <v>16038</v>
      </c>
      <c r="G1851" s="3" t="s">
        <v>63</v>
      </c>
      <c r="I1851" s="3" t="s">
        <v>63</v>
      </c>
      <c r="J1851" s="3" t="s">
        <v>63</v>
      </c>
      <c r="K1851" s="3" t="s">
        <v>64</v>
      </c>
      <c r="L1851" s="2" t="s">
        <v>324</v>
      </c>
      <c r="M1851" s="2" t="s">
        <v>16039</v>
      </c>
      <c r="N1851" s="3" t="s">
        <v>76</v>
      </c>
      <c r="P1851" s="3" t="s">
        <v>66</v>
      </c>
      <c r="Q1851" s="2" t="s">
        <v>16040</v>
      </c>
      <c r="R1851" s="3" t="s">
        <v>67</v>
      </c>
      <c r="S1851" s="4">
        <v>5</v>
      </c>
      <c r="T1851" s="4">
        <v>5</v>
      </c>
      <c r="U1851" s="5" t="s">
        <v>16041</v>
      </c>
      <c r="V1851" s="5" t="s">
        <v>16041</v>
      </c>
      <c r="W1851" s="5" t="s">
        <v>69</v>
      </c>
      <c r="X1851" s="5" t="s">
        <v>69</v>
      </c>
      <c r="Y1851" s="4">
        <v>56</v>
      </c>
      <c r="Z1851" s="4">
        <v>8</v>
      </c>
      <c r="AA1851" s="4">
        <v>8</v>
      </c>
      <c r="AB1851" s="4">
        <v>1</v>
      </c>
      <c r="AC1851" s="4">
        <v>1</v>
      </c>
      <c r="AD1851" s="4">
        <v>28</v>
      </c>
      <c r="AE1851" s="4">
        <v>28</v>
      </c>
      <c r="AF1851" s="4">
        <v>0</v>
      </c>
      <c r="AG1851" s="4">
        <v>0</v>
      </c>
      <c r="AH1851" s="4">
        <v>28</v>
      </c>
      <c r="AI1851" s="4">
        <v>28</v>
      </c>
      <c r="AJ1851" s="4">
        <v>5</v>
      </c>
      <c r="AK1851" s="4">
        <v>5</v>
      </c>
      <c r="AL1851" s="4">
        <v>21</v>
      </c>
      <c r="AM1851" s="4">
        <v>21</v>
      </c>
      <c r="AN1851" s="4">
        <v>0</v>
      </c>
      <c r="AO1851" s="4">
        <v>0</v>
      </c>
      <c r="AP1851" s="4">
        <v>5</v>
      </c>
      <c r="AQ1851" s="4">
        <v>5</v>
      </c>
      <c r="AR1851" s="3" t="s">
        <v>63</v>
      </c>
      <c r="AS1851" s="3" t="s">
        <v>63</v>
      </c>
      <c r="AT1851" s="3" t="s">
        <v>63</v>
      </c>
      <c r="AV1851" s="6" t="str">
        <f>HYPERLINK("http://mcgill.on.worldcat.org/oclc/760291810","Catalog Record")</f>
        <v>Catalog Record</v>
      </c>
      <c r="AW1851" s="6" t="str">
        <f>HYPERLINK("http://www.worldcat.org/oclc/760291810","WorldCat Record")</f>
        <v>WorldCat Record</v>
      </c>
      <c r="AX1851" s="3" t="s">
        <v>16042</v>
      </c>
      <c r="AY1851" s="3" t="s">
        <v>16043</v>
      </c>
      <c r="AZ1851" s="3" t="s">
        <v>16044</v>
      </c>
      <c r="BA1851" s="3" t="s">
        <v>16044</v>
      </c>
      <c r="BB1851" s="3" t="s">
        <v>16045</v>
      </c>
      <c r="BC1851" s="3" t="s">
        <v>82</v>
      </c>
      <c r="BD1851" s="3" t="s">
        <v>70</v>
      </c>
      <c r="BE1851" s="3" t="s">
        <v>16046</v>
      </c>
      <c r="BF1851" s="3" t="s">
        <v>16045</v>
      </c>
      <c r="BG1851" s="3" t="s">
        <v>16047</v>
      </c>
    </row>
    <row r="1852" spans="1:59" ht="60" x14ac:dyDescent="0.25">
      <c r="A1852" s="2" t="s">
        <v>59</v>
      </c>
      <c r="B1852" s="2" t="s">
        <v>60</v>
      </c>
      <c r="C1852" s="2" t="s">
        <v>16048</v>
      </c>
      <c r="D1852" s="2" t="s">
        <v>16049</v>
      </c>
      <c r="E1852" s="2" t="s">
        <v>16050</v>
      </c>
      <c r="G1852" s="3" t="s">
        <v>63</v>
      </c>
      <c r="I1852" s="3" t="s">
        <v>63</v>
      </c>
      <c r="J1852" s="3" t="s">
        <v>62</v>
      </c>
      <c r="K1852" s="3" t="s">
        <v>64</v>
      </c>
      <c r="L1852" s="2" t="s">
        <v>324</v>
      </c>
      <c r="M1852" s="2" t="s">
        <v>16051</v>
      </c>
      <c r="N1852" s="3" t="s">
        <v>326</v>
      </c>
      <c r="P1852" s="3" t="s">
        <v>66</v>
      </c>
      <c r="Q1852" s="2" t="s">
        <v>15672</v>
      </c>
      <c r="R1852" s="3" t="s">
        <v>67</v>
      </c>
      <c r="S1852" s="4">
        <v>3</v>
      </c>
      <c r="T1852" s="4">
        <v>3</v>
      </c>
      <c r="U1852" s="5" t="s">
        <v>16052</v>
      </c>
      <c r="V1852" s="5" t="s">
        <v>16052</v>
      </c>
      <c r="W1852" s="5" t="s">
        <v>69</v>
      </c>
      <c r="X1852" s="5" t="s">
        <v>69</v>
      </c>
      <c r="Y1852" s="4">
        <v>63</v>
      </c>
      <c r="Z1852" s="4">
        <v>6</v>
      </c>
      <c r="AA1852" s="4">
        <v>12</v>
      </c>
      <c r="AB1852" s="4">
        <v>2</v>
      </c>
      <c r="AC1852" s="4">
        <v>3</v>
      </c>
      <c r="AD1852" s="4">
        <v>35</v>
      </c>
      <c r="AE1852" s="4">
        <v>47</v>
      </c>
      <c r="AF1852" s="4">
        <v>0</v>
      </c>
      <c r="AG1852" s="4">
        <v>0</v>
      </c>
      <c r="AH1852" s="4">
        <v>34</v>
      </c>
      <c r="AI1852" s="4">
        <v>46</v>
      </c>
      <c r="AJ1852" s="4">
        <v>4</v>
      </c>
      <c r="AK1852" s="4">
        <v>7</v>
      </c>
      <c r="AL1852" s="4">
        <v>23</v>
      </c>
      <c r="AM1852" s="4">
        <v>29</v>
      </c>
      <c r="AN1852" s="4">
        <v>0</v>
      </c>
      <c r="AO1852" s="4">
        <v>0</v>
      </c>
      <c r="AP1852" s="4">
        <v>4</v>
      </c>
      <c r="AQ1852" s="4">
        <v>7</v>
      </c>
      <c r="AR1852" s="3" t="s">
        <v>63</v>
      </c>
      <c r="AS1852" s="3" t="s">
        <v>63</v>
      </c>
      <c r="AT1852" s="3" t="s">
        <v>62</v>
      </c>
      <c r="AU1852" s="6" t="str">
        <f>HYPERLINK("http://catalog.hathitrust.org/Record/011810618","HathiTrust Record")</f>
        <v>HathiTrust Record</v>
      </c>
      <c r="AV1852" s="6" t="str">
        <f>HYPERLINK("http://mcgill.on.worldcat.org/oclc/228367633","Catalog Record")</f>
        <v>Catalog Record</v>
      </c>
      <c r="AW1852" s="6" t="str">
        <f>HYPERLINK("http://www.worldcat.org/oclc/228367633","WorldCat Record")</f>
        <v>WorldCat Record</v>
      </c>
      <c r="AX1852" s="3" t="s">
        <v>16053</v>
      </c>
      <c r="AY1852" s="3" t="s">
        <v>16054</v>
      </c>
      <c r="AZ1852" s="3" t="s">
        <v>16055</v>
      </c>
      <c r="BA1852" s="3" t="s">
        <v>16055</v>
      </c>
      <c r="BB1852" s="3" t="s">
        <v>16056</v>
      </c>
      <c r="BC1852" s="3" t="s">
        <v>82</v>
      </c>
      <c r="BD1852" s="3" t="s">
        <v>70</v>
      </c>
      <c r="BE1852" s="3" t="s">
        <v>16057</v>
      </c>
      <c r="BF1852" s="3" t="s">
        <v>16056</v>
      </c>
      <c r="BG1852" s="3" t="s">
        <v>16058</v>
      </c>
    </row>
    <row r="1853" spans="1:59" ht="60" x14ac:dyDescent="0.25">
      <c r="A1853" s="2" t="s">
        <v>59</v>
      </c>
      <c r="B1853" s="2" t="s">
        <v>60</v>
      </c>
      <c r="C1853" s="2" t="s">
        <v>16059</v>
      </c>
      <c r="D1853" s="2" t="s">
        <v>16060</v>
      </c>
      <c r="E1853" s="2" t="s">
        <v>16061</v>
      </c>
      <c r="G1853" s="3" t="s">
        <v>63</v>
      </c>
      <c r="I1853" s="3" t="s">
        <v>63</v>
      </c>
      <c r="J1853" s="3" t="s">
        <v>63</v>
      </c>
      <c r="K1853" s="3" t="s">
        <v>64</v>
      </c>
      <c r="L1853" s="2" t="s">
        <v>324</v>
      </c>
      <c r="M1853" s="2" t="s">
        <v>14845</v>
      </c>
      <c r="N1853" s="3" t="s">
        <v>326</v>
      </c>
      <c r="O1853" s="2" t="s">
        <v>718</v>
      </c>
      <c r="P1853" s="3" t="s">
        <v>66</v>
      </c>
      <c r="R1853" s="3" t="s">
        <v>67</v>
      </c>
      <c r="S1853" s="4">
        <v>3</v>
      </c>
      <c r="T1853" s="4">
        <v>3</v>
      </c>
      <c r="U1853" s="5" t="s">
        <v>3731</v>
      </c>
      <c r="V1853" s="5" t="s">
        <v>3731</v>
      </c>
      <c r="W1853" s="5" t="s">
        <v>69</v>
      </c>
      <c r="X1853" s="5" t="s">
        <v>69</v>
      </c>
      <c r="Y1853" s="4">
        <v>46</v>
      </c>
      <c r="Z1853" s="4">
        <v>4</v>
      </c>
      <c r="AA1853" s="4">
        <v>14</v>
      </c>
      <c r="AB1853" s="4">
        <v>2</v>
      </c>
      <c r="AC1853" s="4">
        <v>3</v>
      </c>
      <c r="AD1853" s="4">
        <v>19</v>
      </c>
      <c r="AE1853" s="4">
        <v>54</v>
      </c>
      <c r="AF1853" s="4">
        <v>0</v>
      </c>
      <c r="AG1853" s="4">
        <v>0</v>
      </c>
      <c r="AH1853" s="4">
        <v>19</v>
      </c>
      <c r="AI1853" s="4">
        <v>50</v>
      </c>
      <c r="AJ1853" s="4">
        <v>2</v>
      </c>
      <c r="AK1853" s="4">
        <v>7</v>
      </c>
      <c r="AL1853" s="4">
        <v>11</v>
      </c>
      <c r="AM1853" s="4">
        <v>34</v>
      </c>
      <c r="AN1853" s="4">
        <v>0</v>
      </c>
      <c r="AO1853" s="4">
        <v>0</v>
      </c>
      <c r="AP1853" s="4">
        <v>2</v>
      </c>
      <c r="AQ1853" s="4">
        <v>8</v>
      </c>
      <c r="AR1853" s="3" t="s">
        <v>63</v>
      </c>
      <c r="AS1853" s="3" t="s">
        <v>63</v>
      </c>
      <c r="AT1853" s="3" t="s">
        <v>63</v>
      </c>
      <c r="AV1853" s="6" t="str">
        <f>HYPERLINK("http://mcgill.on.worldcat.org/oclc/427612569","Catalog Record")</f>
        <v>Catalog Record</v>
      </c>
      <c r="AW1853" s="6" t="str">
        <f>HYPERLINK("http://www.worldcat.org/oclc/427612569","WorldCat Record")</f>
        <v>WorldCat Record</v>
      </c>
      <c r="AX1853" s="3" t="s">
        <v>16062</v>
      </c>
      <c r="AY1853" s="3" t="s">
        <v>16063</v>
      </c>
      <c r="AZ1853" s="3" t="s">
        <v>16064</v>
      </c>
      <c r="BA1853" s="3" t="s">
        <v>16064</v>
      </c>
      <c r="BB1853" s="3" t="s">
        <v>16065</v>
      </c>
      <c r="BC1853" s="3" t="s">
        <v>82</v>
      </c>
      <c r="BD1853" s="3" t="s">
        <v>70</v>
      </c>
      <c r="BE1853" s="3" t="s">
        <v>16066</v>
      </c>
      <c r="BF1853" s="3" t="s">
        <v>16065</v>
      </c>
      <c r="BG1853" s="3" t="s">
        <v>16067</v>
      </c>
    </row>
    <row r="1854" spans="1:59" ht="60" x14ac:dyDescent="0.25">
      <c r="A1854" s="2" t="s">
        <v>59</v>
      </c>
      <c r="B1854" s="2" t="s">
        <v>60</v>
      </c>
      <c r="C1854" s="2" t="s">
        <v>16068</v>
      </c>
      <c r="D1854" s="2" t="s">
        <v>16069</v>
      </c>
      <c r="E1854" s="2" t="s">
        <v>16070</v>
      </c>
      <c r="F1854" s="3" t="s">
        <v>61</v>
      </c>
      <c r="G1854" s="3" t="s">
        <v>62</v>
      </c>
      <c r="I1854" s="3" t="s">
        <v>63</v>
      </c>
      <c r="J1854" s="3" t="s">
        <v>63</v>
      </c>
      <c r="K1854" s="3" t="s">
        <v>64</v>
      </c>
      <c r="L1854" s="2" t="s">
        <v>324</v>
      </c>
      <c r="M1854" s="2" t="s">
        <v>16071</v>
      </c>
      <c r="N1854" s="3" t="s">
        <v>12703</v>
      </c>
      <c r="P1854" s="3" t="s">
        <v>90</v>
      </c>
      <c r="Q1854" s="2" t="s">
        <v>16072</v>
      </c>
      <c r="R1854" s="3" t="s">
        <v>67</v>
      </c>
      <c r="S1854" s="4">
        <v>3</v>
      </c>
      <c r="T1854" s="4">
        <v>6</v>
      </c>
      <c r="U1854" s="5" t="s">
        <v>16073</v>
      </c>
      <c r="V1854" s="5" t="s">
        <v>16073</v>
      </c>
      <c r="W1854" s="5" t="s">
        <v>69</v>
      </c>
      <c r="X1854" s="5" t="s">
        <v>69</v>
      </c>
      <c r="Y1854" s="4">
        <v>1</v>
      </c>
      <c r="Z1854" s="4">
        <v>1</v>
      </c>
      <c r="AA1854" s="4">
        <v>2</v>
      </c>
      <c r="AB1854" s="4">
        <v>1</v>
      </c>
      <c r="AC1854" s="4">
        <v>1</v>
      </c>
      <c r="AD1854" s="4">
        <v>0</v>
      </c>
      <c r="AE1854" s="4">
        <v>1</v>
      </c>
      <c r="AF1854" s="4">
        <v>0</v>
      </c>
      <c r="AG1854" s="4">
        <v>0</v>
      </c>
      <c r="AH1854" s="4">
        <v>0</v>
      </c>
      <c r="AI1854" s="4">
        <v>1</v>
      </c>
      <c r="AJ1854" s="4">
        <v>0</v>
      </c>
      <c r="AK1854" s="4">
        <v>1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1</v>
      </c>
      <c r="AR1854" s="3" t="s">
        <v>63</v>
      </c>
      <c r="AS1854" s="3" t="s">
        <v>63</v>
      </c>
      <c r="AT1854" s="3" t="s">
        <v>63</v>
      </c>
      <c r="AV1854" s="6" t="str">
        <f>HYPERLINK("http://mcgill.on.worldcat.org/oclc/427266947","Catalog Record")</f>
        <v>Catalog Record</v>
      </c>
      <c r="AW1854" s="6" t="str">
        <f>HYPERLINK("http://www.worldcat.org/oclc/427266947","WorldCat Record")</f>
        <v>WorldCat Record</v>
      </c>
      <c r="AX1854" s="3" t="s">
        <v>16074</v>
      </c>
      <c r="AY1854" s="3" t="s">
        <v>16075</v>
      </c>
      <c r="AZ1854" s="3" t="s">
        <v>16076</v>
      </c>
      <c r="BA1854" s="3" t="s">
        <v>16076</v>
      </c>
      <c r="BB1854" s="3" t="s">
        <v>16077</v>
      </c>
      <c r="BC1854" s="3" t="s">
        <v>82</v>
      </c>
      <c r="BD1854" s="3" t="s">
        <v>70</v>
      </c>
      <c r="BF1854" s="3" t="s">
        <v>16077</v>
      </c>
      <c r="BG1854" s="3" t="s">
        <v>16078</v>
      </c>
    </row>
    <row r="1855" spans="1:59" ht="60" x14ac:dyDescent="0.25">
      <c r="A1855" s="2" t="s">
        <v>59</v>
      </c>
      <c r="B1855" s="2" t="s">
        <v>60</v>
      </c>
      <c r="C1855" s="2" t="s">
        <v>16068</v>
      </c>
      <c r="D1855" s="2" t="s">
        <v>16069</v>
      </c>
      <c r="E1855" s="2" t="s">
        <v>16070</v>
      </c>
      <c r="F1855" s="3" t="s">
        <v>1095</v>
      </c>
      <c r="G1855" s="3" t="s">
        <v>62</v>
      </c>
      <c r="I1855" s="3" t="s">
        <v>63</v>
      </c>
      <c r="J1855" s="3" t="s">
        <v>63</v>
      </c>
      <c r="K1855" s="3" t="s">
        <v>64</v>
      </c>
      <c r="L1855" s="2" t="s">
        <v>324</v>
      </c>
      <c r="M1855" s="2" t="s">
        <v>16071</v>
      </c>
      <c r="N1855" s="3" t="s">
        <v>12703</v>
      </c>
      <c r="P1855" s="3" t="s">
        <v>90</v>
      </c>
      <c r="Q1855" s="2" t="s">
        <v>16072</v>
      </c>
      <c r="R1855" s="3" t="s">
        <v>67</v>
      </c>
      <c r="S1855" s="4">
        <v>3</v>
      </c>
      <c r="T1855" s="4">
        <v>6</v>
      </c>
      <c r="U1855" s="5" t="s">
        <v>16073</v>
      </c>
      <c r="V1855" s="5" t="s">
        <v>16073</v>
      </c>
      <c r="W1855" s="5" t="s">
        <v>69</v>
      </c>
      <c r="X1855" s="5" t="s">
        <v>69</v>
      </c>
      <c r="Y1855" s="4">
        <v>1</v>
      </c>
      <c r="Z1855" s="4">
        <v>1</v>
      </c>
      <c r="AA1855" s="4">
        <v>2</v>
      </c>
      <c r="AB1855" s="4">
        <v>1</v>
      </c>
      <c r="AC1855" s="4">
        <v>1</v>
      </c>
      <c r="AD1855" s="4">
        <v>0</v>
      </c>
      <c r="AE1855" s="4">
        <v>1</v>
      </c>
      <c r="AF1855" s="4">
        <v>0</v>
      </c>
      <c r="AG1855" s="4">
        <v>0</v>
      </c>
      <c r="AH1855" s="4">
        <v>0</v>
      </c>
      <c r="AI1855" s="4">
        <v>1</v>
      </c>
      <c r="AJ1855" s="4">
        <v>0</v>
      </c>
      <c r="AK1855" s="4">
        <v>1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1</v>
      </c>
      <c r="AR1855" s="3" t="s">
        <v>63</v>
      </c>
      <c r="AS1855" s="3" t="s">
        <v>63</v>
      </c>
      <c r="AT1855" s="3" t="s">
        <v>63</v>
      </c>
      <c r="AV1855" s="6" t="str">
        <f>HYPERLINK("http://mcgill.on.worldcat.org/oclc/427266947","Catalog Record")</f>
        <v>Catalog Record</v>
      </c>
      <c r="AW1855" s="6" t="str">
        <f>HYPERLINK("http://www.worldcat.org/oclc/427266947","WorldCat Record")</f>
        <v>WorldCat Record</v>
      </c>
      <c r="AX1855" s="3" t="s">
        <v>16074</v>
      </c>
      <c r="AY1855" s="3" t="s">
        <v>16075</v>
      </c>
      <c r="AZ1855" s="3" t="s">
        <v>16076</v>
      </c>
      <c r="BA1855" s="3" t="s">
        <v>16076</v>
      </c>
      <c r="BB1855" s="3" t="s">
        <v>16079</v>
      </c>
      <c r="BC1855" s="3" t="s">
        <v>82</v>
      </c>
      <c r="BD1855" s="3" t="s">
        <v>70</v>
      </c>
      <c r="BF1855" s="3" t="s">
        <v>16079</v>
      </c>
      <c r="BG1855" s="3" t="s">
        <v>16080</v>
      </c>
    </row>
    <row r="1856" spans="1:59" ht="60" x14ac:dyDescent="0.25">
      <c r="A1856" s="2" t="s">
        <v>59</v>
      </c>
      <c r="B1856" s="2" t="s">
        <v>60</v>
      </c>
      <c r="C1856" s="2" t="s">
        <v>16081</v>
      </c>
      <c r="D1856" s="2" t="s">
        <v>16082</v>
      </c>
      <c r="E1856" s="2" t="s">
        <v>16083</v>
      </c>
      <c r="F1856" s="3" t="s">
        <v>6376</v>
      </c>
      <c r="G1856" s="3" t="s">
        <v>62</v>
      </c>
      <c r="I1856" s="3" t="s">
        <v>63</v>
      </c>
      <c r="J1856" s="3" t="s">
        <v>63</v>
      </c>
      <c r="K1856" s="3" t="s">
        <v>64</v>
      </c>
      <c r="L1856" s="2" t="s">
        <v>16084</v>
      </c>
      <c r="M1856" s="2" t="s">
        <v>16085</v>
      </c>
      <c r="N1856" s="3" t="s">
        <v>629</v>
      </c>
      <c r="P1856" s="3" t="s">
        <v>90</v>
      </c>
      <c r="R1856" s="3" t="s">
        <v>67</v>
      </c>
      <c r="S1856" s="4">
        <v>0</v>
      </c>
      <c r="T1856" s="4">
        <v>0</v>
      </c>
      <c r="W1856" s="5" t="s">
        <v>69</v>
      </c>
      <c r="X1856" s="5" t="s">
        <v>69</v>
      </c>
      <c r="Y1856" s="4">
        <v>6</v>
      </c>
      <c r="Z1856" s="4">
        <v>1</v>
      </c>
      <c r="AA1856" s="4">
        <v>3</v>
      </c>
      <c r="AB1856" s="4">
        <v>1</v>
      </c>
      <c r="AC1856" s="4">
        <v>1</v>
      </c>
      <c r="AD1856" s="4">
        <v>3</v>
      </c>
      <c r="AE1856" s="4">
        <v>31</v>
      </c>
      <c r="AF1856" s="4">
        <v>0</v>
      </c>
      <c r="AG1856" s="4">
        <v>0</v>
      </c>
      <c r="AH1856" s="4">
        <v>3</v>
      </c>
      <c r="AI1856" s="4">
        <v>30</v>
      </c>
      <c r="AJ1856" s="4">
        <v>0</v>
      </c>
      <c r="AK1856" s="4">
        <v>2</v>
      </c>
      <c r="AL1856" s="4">
        <v>2</v>
      </c>
      <c r="AM1856" s="4">
        <v>24</v>
      </c>
      <c r="AN1856" s="4">
        <v>0</v>
      </c>
      <c r="AO1856" s="4">
        <v>0</v>
      </c>
      <c r="AP1856" s="4">
        <v>0</v>
      </c>
      <c r="AQ1856" s="4">
        <v>2</v>
      </c>
      <c r="AR1856" s="3" t="s">
        <v>63</v>
      </c>
      <c r="AS1856" s="3" t="s">
        <v>63</v>
      </c>
      <c r="AT1856" s="3" t="s">
        <v>63</v>
      </c>
      <c r="AV1856" s="6" t="str">
        <f>HYPERLINK("http://mcgill.on.worldcat.org/oclc/759192223","Catalog Record")</f>
        <v>Catalog Record</v>
      </c>
      <c r="AW1856" s="6" t="str">
        <f>HYPERLINK("http://www.worldcat.org/oclc/759192223","WorldCat Record")</f>
        <v>WorldCat Record</v>
      </c>
      <c r="AX1856" s="3" t="s">
        <v>16086</v>
      </c>
      <c r="AY1856" s="3" t="s">
        <v>16087</v>
      </c>
      <c r="AZ1856" s="3" t="s">
        <v>16088</v>
      </c>
      <c r="BA1856" s="3" t="s">
        <v>16088</v>
      </c>
      <c r="BB1856" s="3" t="s">
        <v>16089</v>
      </c>
      <c r="BC1856" s="3" t="s">
        <v>82</v>
      </c>
      <c r="BD1856" s="3" t="s">
        <v>70</v>
      </c>
      <c r="BE1856" s="3" t="s">
        <v>16090</v>
      </c>
      <c r="BF1856" s="3" t="s">
        <v>16089</v>
      </c>
      <c r="BG1856" s="3" t="s">
        <v>16091</v>
      </c>
    </row>
    <row r="1857" spans="1:59" ht="60" x14ac:dyDescent="0.25">
      <c r="A1857" s="2" t="s">
        <v>59</v>
      </c>
      <c r="B1857" s="2" t="s">
        <v>60</v>
      </c>
      <c r="C1857" s="2" t="s">
        <v>16092</v>
      </c>
      <c r="D1857" s="2" t="s">
        <v>16093</v>
      </c>
      <c r="E1857" s="2" t="s">
        <v>16094</v>
      </c>
      <c r="G1857" s="3" t="s">
        <v>63</v>
      </c>
      <c r="I1857" s="3" t="s">
        <v>63</v>
      </c>
      <c r="J1857" s="3" t="s">
        <v>63</v>
      </c>
      <c r="K1857" s="3" t="s">
        <v>64</v>
      </c>
      <c r="L1857" s="2" t="s">
        <v>16095</v>
      </c>
      <c r="M1857" s="2" t="s">
        <v>16096</v>
      </c>
      <c r="N1857" s="3" t="s">
        <v>2459</v>
      </c>
      <c r="P1857" s="3" t="s">
        <v>66</v>
      </c>
      <c r="Q1857" s="2" t="s">
        <v>16097</v>
      </c>
      <c r="R1857" s="3" t="s">
        <v>67</v>
      </c>
      <c r="S1857" s="4">
        <v>3</v>
      </c>
      <c r="T1857" s="4">
        <v>3</v>
      </c>
      <c r="U1857" s="5" t="s">
        <v>16098</v>
      </c>
      <c r="V1857" s="5" t="s">
        <v>16098</v>
      </c>
      <c r="W1857" s="5" t="s">
        <v>69</v>
      </c>
      <c r="X1857" s="5" t="s">
        <v>69</v>
      </c>
      <c r="Y1857" s="4">
        <v>81</v>
      </c>
      <c r="Z1857" s="4">
        <v>5</v>
      </c>
      <c r="AA1857" s="4">
        <v>9</v>
      </c>
      <c r="AB1857" s="4">
        <v>1</v>
      </c>
      <c r="AC1857" s="4">
        <v>1</v>
      </c>
      <c r="AD1857" s="4">
        <v>34</v>
      </c>
      <c r="AE1857" s="4">
        <v>52</v>
      </c>
      <c r="AF1857" s="4">
        <v>0</v>
      </c>
      <c r="AG1857" s="4">
        <v>0</v>
      </c>
      <c r="AH1857" s="4">
        <v>34</v>
      </c>
      <c r="AI1857" s="4">
        <v>50</v>
      </c>
      <c r="AJ1857" s="4">
        <v>3</v>
      </c>
      <c r="AK1857" s="4">
        <v>6</v>
      </c>
      <c r="AL1857" s="4">
        <v>24</v>
      </c>
      <c r="AM1857" s="4">
        <v>35</v>
      </c>
      <c r="AN1857" s="4">
        <v>0</v>
      </c>
      <c r="AO1857" s="4">
        <v>0</v>
      </c>
      <c r="AP1857" s="4">
        <v>3</v>
      </c>
      <c r="AQ1857" s="4">
        <v>6</v>
      </c>
      <c r="AR1857" s="3" t="s">
        <v>63</v>
      </c>
      <c r="AS1857" s="3" t="s">
        <v>63</v>
      </c>
      <c r="AT1857" s="3" t="s">
        <v>63</v>
      </c>
      <c r="AV1857" s="6" t="str">
        <f>HYPERLINK("http://mcgill.on.worldcat.org/oclc/228366247","Catalog Record")</f>
        <v>Catalog Record</v>
      </c>
      <c r="AW1857" s="6" t="str">
        <f>HYPERLINK("http://www.worldcat.org/oclc/228366247","WorldCat Record")</f>
        <v>WorldCat Record</v>
      </c>
      <c r="AX1857" s="3" t="s">
        <v>16099</v>
      </c>
      <c r="AY1857" s="3" t="s">
        <v>16100</v>
      </c>
      <c r="AZ1857" s="3" t="s">
        <v>16101</v>
      </c>
      <c r="BA1857" s="3" t="s">
        <v>16101</v>
      </c>
      <c r="BB1857" s="3" t="s">
        <v>16102</v>
      </c>
      <c r="BC1857" s="3" t="s">
        <v>82</v>
      </c>
      <c r="BD1857" s="3" t="s">
        <v>70</v>
      </c>
      <c r="BE1857" s="3" t="s">
        <v>16103</v>
      </c>
      <c r="BF1857" s="3" t="s">
        <v>16102</v>
      </c>
      <c r="BG1857" s="3" t="s">
        <v>16104</v>
      </c>
    </row>
    <row r="1858" spans="1:59" ht="60" x14ac:dyDescent="0.25">
      <c r="A1858" s="2" t="s">
        <v>59</v>
      </c>
      <c r="B1858" s="2" t="s">
        <v>60</v>
      </c>
      <c r="C1858" s="2" t="s">
        <v>16105</v>
      </c>
      <c r="D1858" s="2" t="s">
        <v>16106</v>
      </c>
      <c r="E1858" s="2" t="s">
        <v>16107</v>
      </c>
      <c r="G1858" s="3" t="s">
        <v>63</v>
      </c>
      <c r="I1858" s="3" t="s">
        <v>63</v>
      </c>
      <c r="J1858" s="3" t="s">
        <v>63</v>
      </c>
      <c r="K1858" s="3" t="s">
        <v>64</v>
      </c>
      <c r="L1858" s="2" t="s">
        <v>16108</v>
      </c>
      <c r="M1858" s="2" t="s">
        <v>16109</v>
      </c>
      <c r="N1858" s="3" t="s">
        <v>313</v>
      </c>
      <c r="P1858" s="3" t="s">
        <v>90</v>
      </c>
      <c r="R1858" s="3" t="s">
        <v>67</v>
      </c>
      <c r="S1858" s="4">
        <v>0</v>
      </c>
      <c r="T1858" s="4">
        <v>0</v>
      </c>
      <c r="W1858" s="5" t="s">
        <v>69</v>
      </c>
      <c r="X1858" s="5" t="s">
        <v>69</v>
      </c>
      <c r="Y1858" s="4">
        <v>5</v>
      </c>
      <c r="Z1858" s="4">
        <v>1</v>
      </c>
      <c r="AA1858" s="4">
        <v>1</v>
      </c>
      <c r="AB1858" s="4">
        <v>1</v>
      </c>
      <c r="AC1858" s="4">
        <v>1</v>
      </c>
      <c r="AD1858" s="4">
        <v>4</v>
      </c>
      <c r="AE1858" s="4">
        <v>4</v>
      </c>
      <c r="AF1858" s="4">
        <v>0</v>
      </c>
      <c r="AG1858" s="4">
        <v>0</v>
      </c>
      <c r="AH1858" s="4">
        <v>4</v>
      </c>
      <c r="AI1858" s="4">
        <v>4</v>
      </c>
      <c r="AJ1858" s="4">
        <v>0</v>
      </c>
      <c r="AK1858" s="4">
        <v>0</v>
      </c>
      <c r="AL1858" s="4">
        <v>4</v>
      </c>
      <c r="AM1858" s="4">
        <v>4</v>
      </c>
      <c r="AN1858" s="4">
        <v>0</v>
      </c>
      <c r="AO1858" s="4">
        <v>0</v>
      </c>
      <c r="AP1858" s="4">
        <v>0</v>
      </c>
      <c r="AQ1858" s="4">
        <v>0</v>
      </c>
      <c r="AR1858" s="3" t="s">
        <v>63</v>
      </c>
      <c r="AS1858" s="3" t="s">
        <v>63</v>
      </c>
      <c r="AT1858" s="3" t="s">
        <v>63</v>
      </c>
      <c r="AV1858" s="6" t="str">
        <f>HYPERLINK("http://mcgill.on.worldcat.org/oclc/796017176","Catalog Record")</f>
        <v>Catalog Record</v>
      </c>
      <c r="AW1858" s="6" t="str">
        <f>HYPERLINK("http://www.worldcat.org/oclc/796017176","WorldCat Record")</f>
        <v>WorldCat Record</v>
      </c>
      <c r="AX1858" s="3" t="s">
        <v>16110</v>
      </c>
      <c r="AY1858" s="3" t="s">
        <v>16111</v>
      </c>
      <c r="AZ1858" s="3" t="s">
        <v>16112</v>
      </c>
      <c r="BA1858" s="3" t="s">
        <v>16112</v>
      </c>
      <c r="BB1858" s="3" t="s">
        <v>16113</v>
      </c>
      <c r="BC1858" s="3" t="s">
        <v>82</v>
      </c>
      <c r="BD1858" s="3" t="s">
        <v>70</v>
      </c>
      <c r="BE1858" s="3" t="s">
        <v>16114</v>
      </c>
      <c r="BF1858" s="3" t="s">
        <v>16113</v>
      </c>
      <c r="BG1858" s="3" t="s">
        <v>16115</v>
      </c>
    </row>
    <row r="1859" spans="1:59" ht="60" x14ac:dyDescent="0.25">
      <c r="A1859" s="2" t="s">
        <v>59</v>
      </c>
      <c r="B1859" s="2" t="s">
        <v>60</v>
      </c>
      <c r="C1859" s="2" t="s">
        <v>16116</v>
      </c>
      <c r="D1859" s="2" t="s">
        <v>16117</v>
      </c>
      <c r="E1859" s="2" t="s">
        <v>16118</v>
      </c>
      <c r="G1859" s="3" t="s">
        <v>63</v>
      </c>
      <c r="I1859" s="3" t="s">
        <v>63</v>
      </c>
      <c r="J1859" s="3" t="s">
        <v>63</v>
      </c>
      <c r="K1859" s="3" t="s">
        <v>64</v>
      </c>
      <c r="L1859" s="2" t="s">
        <v>16119</v>
      </c>
      <c r="M1859" s="2" t="s">
        <v>16120</v>
      </c>
      <c r="N1859" s="3" t="s">
        <v>1113</v>
      </c>
      <c r="P1859" s="3" t="s">
        <v>90</v>
      </c>
      <c r="R1859" s="3" t="s">
        <v>67</v>
      </c>
      <c r="S1859" s="4">
        <v>1</v>
      </c>
      <c r="T1859" s="4">
        <v>1</v>
      </c>
      <c r="U1859" s="5" t="s">
        <v>16121</v>
      </c>
      <c r="V1859" s="5" t="s">
        <v>16121</v>
      </c>
      <c r="W1859" s="5" t="s">
        <v>69</v>
      </c>
      <c r="X1859" s="5" t="s">
        <v>69</v>
      </c>
      <c r="Y1859" s="4">
        <v>62</v>
      </c>
      <c r="Z1859" s="4">
        <v>6</v>
      </c>
      <c r="AA1859" s="4">
        <v>6</v>
      </c>
      <c r="AB1859" s="4">
        <v>1</v>
      </c>
      <c r="AC1859" s="4">
        <v>1</v>
      </c>
      <c r="AD1859" s="4">
        <v>47</v>
      </c>
      <c r="AE1859" s="4">
        <v>47</v>
      </c>
      <c r="AF1859" s="4">
        <v>0</v>
      </c>
      <c r="AG1859" s="4">
        <v>0</v>
      </c>
      <c r="AH1859" s="4">
        <v>43</v>
      </c>
      <c r="AI1859" s="4">
        <v>43</v>
      </c>
      <c r="AJ1859" s="4">
        <v>5</v>
      </c>
      <c r="AK1859" s="4">
        <v>5</v>
      </c>
      <c r="AL1859" s="4">
        <v>32</v>
      </c>
      <c r="AM1859" s="4">
        <v>32</v>
      </c>
      <c r="AN1859" s="4">
        <v>0</v>
      </c>
      <c r="AO1859" s="4">
        <v>0</v>
      </c>
      <c r="AP1859" s="4">
        <v>5</v>
      </c>
      <c r="AQ1859" s="4">
        <v>5</v>
      </c>
      <c r="AR1859" s="3" t="s">
        <v>63</v>
      </c>
      <c r="AS1859" s="3" t="s">
        <v>63</v>
      </c>
      <c r="AT1859" s="3" t="s">
        <v>63</v>
      </c>
      <c r="AV1859" s="6" t="str">
        <f>HYPERLINK("http://mcgill.on.worldcat.org/oclc/39210227","Catalog Record")</f>
        <v>Catalog Record</v>
      </c>
      <c r="AW1859" s="6" t="str">
        <f>HYPERLINK("http://www.worldcat.org/oclc/39210227","WorldCat Record")</f>
        <v>WorldCat Record</v>
      </c>
      <c r="AX1859" s="3" t="s">
        <v>16122</v>
      </c>
      <c r="AY1859" s="3" t="s">
        <v>16123</v>
      </c>
      <c r="AZ1859" s="3" t="s">
        <v>16124</v>
      </c>
      <c r="BA1859" s="3" t="s">
        <v>16124</v>
      </c>
      <c r="BB1859" s="3" t="s">
        <v>16125</v>
      </c>
      <c r="BC1859" s="3" t="s">
        <v>82</v>
      </c>
      <c r="BD1859" s="3" t="s">
        <v>70</v>
      </c>
      <c r="BE1859" s="3" t="s">
        <v>16126</v>
      </c>
      <c r="BF1859" s="3" t="s">
        <v>16125</v>
      </c>
      <c r="BG1859" s="3" t="s">
        <v>16127</v>
      </c>
    </row>
    <row r="1860" spans="1:59" ht="60" x14ac:dyDescent="0.25">
      <c r="A1860" s="2" t="s">
        <v>59</v>
      </c>
      <c r="B1860" s="2" t="s">
        <v>60</v>
      </c>
      <c r="C1860" s="2" t="s">
        <v>16128</v>
      </c>
      <c r="D1860" s="2" t="s">
        <v>16129</v>
      </c>
      <c r="E1860" s="2" t="s">
        <v>16130</v>
      </c>
      <c r="G1860" s="3" t="s">
        <v>63</v>
      </c>
      <c r="I1860" s="3" t="s">
        <v>62</v>
      </c>
      <c r="J1860" s="3" t="s">
        <v>63</v>
      </c>
      <c r="K1860" s="3" t="s">
        <v>64</v>
      </c>
      <c r="L1860" s="2" t="s">
        <v>4479</v>
      </c>
      <c r="M1860" s="2" t="s">
        <v>16131</v>
      </c>
      <c r="N1860" s="3" t="s">
        <v>374</v>
      </c>
      <c r="P1860" s="3" t="s">
        <v>90</v>
      </c>
      <c r="R1860" s="3" t="s">
        <v>67</v>
      </c>
      <c r="S1860" s="4">
        <v>9</v>
      </c>
      <c r="T1860" s="4">
        <v>19</v>
      </c>
      <c r="U1860" s="5" t="s">
        <v>16132</v>
      </c>
      <c r="V1860" s="5" t="s">
        <v>7292</v>
      </c>
      <c r="W1860" s="5" t="s">
        <v>69</v>
      </c>
      <c r="X1860" s="5" t="s">
        <v>69</v>
      </c>
      <c r="Y1860" s="4">
        <v>132</v>
      </c>
      <c r="Z1860" s="4">
        <v>9</v>
      </c>
      <c r="AA1860" s="4">
        <v>9</v>
      </c>
      <c r="AB1860" s="4">
        <v>1</v>
      </c>
      <c r="AC1860" s="4">
        <v>1</v>
      </c>
      <c r="AD1860" s="4">
        <v>71</v>
      </c>
      <c r="AE1860" s="4">
        <v>72</v>
      </c>
      <c r="AF1860" s="4">
        <v>0</v>
      </c>
      <c r="AG1860" s="4">
        <v>0</v>
      </c>
      <c r="AH1860" s="4">
        <v>69</v>
      </c>
      <c r="AI1860" s="4">
        <v>70</v>
      </c>
      <c r="AJ1860" s="4">
        <v>7</v>
      </c>
      <c r="AK1860" s="4">
        <v>7</v>
      </c>
      <c r="AL1860" s="4">
        <v>45</v>
      </c>
      <c r="AM1860" s="4">
        <v>46</v>
      </c>
      <c r="AN1860" s="4">
        <v>0</v>
      </c>
      <c r="AO1860" s="4">
        <v>0</v>
      </c>
      <c r="AP1860" s="4">
        <v>7</v>
      </c>
      <c r="AQ1860" s="4">
        <v>7</v>
      </c>
      <c r="AR1860" s="3" t="s">
        <v>63</v>
      </c>
      <c r="AS1860" s="3" t="s">
        <v>63</v>
      </c>
      <c r="AT1860" s="3" t="s">
        <v>62</v>
      </c>
      <c r="AU1860" s="6" t="str">
        <f>HYPERLINK("http://catalog.hathitrust.org/Record/004003021","HathiTrust Record")</f>
        <v>HathiTrust Record</v>
      </c>
      <c r="AV1860" s="6" t="str">
        <f>HYPERLINK("http://mcgill.on.worldcat.org/oclc/33921611","Catalog Record")</f>
        <v>Catalog Record</v>
      </c>
      <c r="AW1860" s="6" t="str">
        <f>HYPERLINK("http://www.worldcat.org/oclc/33921611","WorldCat Record")</f>
        <v>WorldCat Record</v>
      </c>
      <c r="AX1860" s="3" t="s">
        <v>16133</v>
      </c>
      <c r="AY1860" s="3" t="s">
        <v>16134</v>
      </c>
      <c r="AZ1860" s="3" t="s">
        <v>16135</v>
      </c>
      <c r="BA1860" s="3" t="s">
        <v>16135</v>
      </c>
      <c r="BB1860" s="3" t="s">
        <v>16136</v>
      </c>
      <c r="BC1860" s="3" t="s">
        <v>82</v>
      </c>
      <c r="BD1860" s="3" t="s">
        <v>70</v>
      </c>
      <c r="BE1860" s="3" t="s">
        <v>16137</v>
      </c>
      <c r="BF1860" s="3" t="s">
        <v>16136</v>
      </c>
      <c r="BG1860" s="3" t="s">
        <v>16138</v>
      </c>
    </row>
    <row r="1861" spans="1:59" ht="60" x14ac:dyDescent="0.25">
      <c r="A1861" s="2" t="s">
        <v>59</v>
      </c>
      <c r="B1861" s="2" t="s">
        <v>60</v>
      </c>
      <c r="C1861" s="2" t="s">
        <v>16128</v>
      </c>
      <c r="D1861" s="2" t="s">
        <v>16129</v>
      </c>
      <c r="E1861" s="2" t="s">
        <v>16130</v>
      </c>
      <c r="G1861" s="3" t="s">
        <v>63</v>
      </c>
      <c r="I1861" s="3" t="s">
        <v>62</v>
      </c>
      <c r="J1861" s="3" t="s">
        <v>63</v>
      </c>
      <c r="K1861" s="3" t="s">
        <v>64</v>
      </c>
      <c r="L1861" s="2" t="s">
        <v>4479</v>
      </c>
      <c r="M1861" s="2" t="s">
        <v>16131</v>
      </c>
      <c r="N1861" s="3" t="s">
        <v>374</v>
      </c>
      <c r="P1861" s="3" t="s">
        <v>90</v>
      </c>
      <c r="R1861" s="3" t="s">
        <v>67</v>
      </c>
      <c r="S1861" s="4">
        <v>10</v>
      </c>
      <c r="T1861" s="4">
        <v>19</v>
      </c>
      <c r="U1861" s="5" t="s">
        <v>7292</v>
      </c>
      <c r="V1861" s="5" t="s">
        <v>7292</v>
      </c>
      <c r="W1861" s="5" t="s">
        <v>69</v>
      </c>
      <c r="X1861" s="5" t="s">
        <v>69</v>
      </c>
      <c r="Y1861" s="4">
        <v>132</v>
      </c>
      <c r="Z1861" s="4">
        <v>9</v>
      </c>
      <c r="AA1861" s="4">
        <v>9</v>
      </c>
      <c r="AB1861" s="4">
        <v>1</v>
      </c>
      <c r="AC1861" s="4">
        <v>1</v>
      </c>
      <c r="AD1861" s="4">
        <v>71</v>
      </c>
      <c r="AE1861" s="4">
        <v>72</v>
      </c>
      <c r="AF1861" s="4">
        <v>0</v>
      </c>
      <c r="AG1861" s="4">
        <v>0</v>
      </c>
      <c r="AH1861" s="4">
        <v>69</v>
      </c>
      <c r="AI1861" s="4">
        <v>70</v>
      </c>
      <c r="AJ1861" s="4">
        <v>7</v>
      </c>
      <c r="AK1861" s="4">
        <v>7</v>
      </c>
      <c r="AL1861" s="4">
        <v>45</v>
      </c>
      <c r="AM1861" s="4">
        <v>46</v>
      </c>
      <c r="AN1861" s="4">
        <v>0</v>
      </c>
      <c r="AO1861" s="4">
        <v>0</v>
      </c>
      <c r="AP1861" s="4">
        <v>7</v>
      </c>
      <c r="AQ1861" s="4">
        <v>7</v>
      </c>
      <c r="AR1861" s="3" t="s">
        <v>63</v>
      </c>
      <c r="AS1861" s="3" t="s">
        <v>63</v>
      </c>
      <c r="AT1861" s="3" t="s">
        <v>62</v>
      </c>
      <c r="AU1861" s="6" t="str">
        <f>HYPERLINK("http://catalog.hathitrust.org/Record/004003021","HathiTrust Record")</f>
        <v>HathiTrust Record</v>
      </c>
      <c r="AV1861" s="6" t="str">
        <f>HYPERLINK("http://mcgill.on.worldcat.org/oclc/33921611","Catalog Record")</f>
        <v>Catalog Record</v>
      </c>
      <c r="AW1861" s="6" t="str">
        <f>HYPERLINK("http://www.worldcat.org/oclc/33921611","WorldCat Record")</f>
        <v>WorldCat Record</v>
      </c>
      <c r="AX1861" s="3" t="s">
        <v>16133</v>
      </c>
      <c r="AY1861" s="3" t="s">
        <v>16134</v>
      </c>
      <c r="AZ1861" s="3" t="s">
        <v>16135</v>
      </c>
      <c r="BA1861" s="3" t="s">
        <v>16135</v>
      </c>
      <c r="BB1861" s="3" t="s">
        <v>16139</v>
      </c>
      <c r="BC1861" s="3" t="s">
        <v>82</v>
      </c>
      <c r="BD1861" s="3" t="s">
        <v>70</v>
      </c>
      <c r="BE1861" s="3" t="s">
        <v>16137</v>
      </c>
      <c r="BF1861" s="3" t="s">
        <v>16139</v>
      </c>
      <c r="BG1861" s="3" t="s">
        <v>16140</v>
      </c>
    </row>
    <row r="1862" spans="1:59" ht="60" x14ac:dyDescent="0.25">
      <c r="A1862" s="2" t="s">
        <v>59</v>
      </c>
      <c r="B1862" s="2" t="s">
        <v>60</v>
      </c>
      <c r="C1862" s="2" t="s">
        <v>16141</v>
      </c>
      <c r="D1862" s="2" t="s">
        <v>16142</v>
      </c>
      <c r="E1862" s="2" t="s">
        <v>16143</v>
      </c>
      <c r="G1862" s="3" t="s">
        <v>63</v>
      </c>
      <c r="I1862" s="3" t="s">
        <v>63</v>
      </c>
      <c r="J1862" s="3" t="s">
        <v>63</v>
      </c>
      <c r="K1862" s="3" t="s">
        <v>64</v>
      </c>
      <c r="L1862" s="2" t="s">
        <v>16144</v>
      </c>
      <c r="M1862" s="2" t="s">
        <v>16145</v>
      </c>
      <c r="N1862" s="3" t="s">
        <v>2182</v>
      </c>
      <c r="P1862" s="3" t="s">
        <v>90</v>
      </c>
      <c r="R1862" s="3" t="s">
        <v>67</v>
      </c>
      <c r="S1862" s="4">
        <v>1</v>
      </c>
      <c r="T1862" s="4">
        <v>1</v>
      </c>
      <c r="U1862" s="5" t="s">
        <v>15471</v>
      </c>
      <c r="V1862" s="5" t="s">
        <v>15471</v>
      </c>
      <c r="W1862" s="5" t="s">
        <v>69</v>
      </c>
      <c r="X1862" s="5" t="s">
        <v>69</v>
      </c>
      <c r="Y1862" s="4">
        <v>141</v>
      </c>
      <c r="Z1862" s="4">
        <v>8</v>
      </c>
      <c r="AA1862" s="4">
        <v>8</v>
      </c>
      <c r="AB1862" s="4">
        <v>1</v>
      </c>
      <c r="AC1862" s="4">
        <v>1</v>
      </c>
      <c r="AD1862" s="4">
        <v>71</v>
      </c>
      <c r="AE1862" s="4">
        <v>71</v>
      </c>
      <c r="AF1862" s="4">
        <v>0</v>
      </c>
      <c r="AG1862" s="4">
        <v>0</v>
      </c>
      <c r="AH1862" s="4">
        <v>67</v>
      </c>
      <c r="AI1862" s="4">
        <v>67</v>
      </c>
      <c r="AJ1862" s="4">
        <v>7</v>
      </c>
      <c r="AK1862" s="4">
        <v>7</v>
      </c>
      <c r="AL1862" s="4">
        <v>47</v>
      </c>
      <c r="AM1862" s="4">
        <v>47</v>
      </c>
      <c r="AN1862" s="4">
        <v>0</v>
      </c>
      <c r="AO1862" s="4">
        <v>0</v>
      </c>
      <c r="AP1862" s="4">
        <v>7</v>
      </c>
      <c r="AQ1862" s="4">
        <v>7</v>
      </c>
      <c r="AR1862" s="3" t="s">
        <v>63</v>
      </c>
      <c r="AS1862" s="3" t="s">
        <v>63</v>
      </c>
      <c r="AT1862" s="3" t="s">
        <v>62</v>
      </c>
      <c r="AU1862" s="6" t="str">
        <f>HYPERLINK("http://catalog.hathitrust.org/Record/001060452","HathiTrust Record")</f>
        <v>HathiTrust Record</v>
      </c>
      <c r="AV1862" s="6" t="str">
        <f>HYPERLINK("http://mcgill.on.worldcat.org/oclc/382021","Catalog Record")</f>
        <v>Catalog Record</v>
      </c>
      <c r="AW1862" s="6" t="str">
        <f>HYPERLINK("http://www.worldcat.org/oclc/382021","WorldCat Record")</f>
        <v>WorldCat Record</v>
      </c>
      <c r="AX1862" s="3" t="s">
        <v>16146</v>
      </c>
      <c r="AY1862" s="3" t="s">
        <v>16147</v>
      </c>
      <c r="AZ1862" s="3" t="s">
        <v>16148</v>
      </c>
      <c r="BA1862" s="3" t="s">
        <v>16148</v>
      </c>
      <c r="BB1862" s="3" t="s">
        <v>16149</v>
      </c>
      <c r="BC1862" s="3" t="s">
        <v>82</v>
      </c>
      <c r="BD1862" s="3" t="s">
        <v>70</v>
      </c>
      <c r="BF1862" s="3" t="s">
        <v>16149</v>
      </c>
      <c r="BG1862" s="3" t="s">
        <v>16150</v>
      </c>
    </row>
    <row r="1863" spans="1:59" ht="60" x14ac:dyDescent="0.25">
      <c r="A1863" s="2" t="s">
        <v>59</v>
      </c>
      <c r="B1863" s="2" t="s">
        <v>60</v>
      </c>
      <c r="C1863" s="2" t="s">
        <v>16151</v>
      </c>
      <c r="D1863" s="2" t="s">
        <v>16152</v>
      </c>
      <c r="E1863" s="2" t="s">
        <v>16153</v>
      </c>
      <c r="G1863" s="3" t="s">
        <v>63</v>
      </c>
      <c r="I1863" s="3" t="s">
        <v>63</v>
      </c>
      <c r="J1863" s="3" t="s">
        <v>63</v>
      </c>
      <c r="K1863" s="3" t="s">
        <v>64</v>
      </c>
      <c r="M1863" s="2" t="s">
        <v>16154</v>
      </c>
      <c r="N1863" s="3" t="s">
        <v>106</v>
      </c>
      <c r="P1863" s="3" t="s">
        <v>90</v>
      </c>
      <c r="Q1863" s="2" t="s">
        <v>16155</v>
      </c>
      <c r="R1863" s="3" t="s">
        <v>67</v>
      </c>
      <c r="S1863" s="4">
        <v>1</v>
      </c>
      <c r="T1863" s="4">
        <v>1</v>
      </c>
      <c r="U1863" s="5" t="s">
        <v>3523</v>
      </c>
      <c r="V1863" s="5" t="s">
        <v>3523</v>
      </c>
      <c r="W1863" s="5" t="s">
        <v>69</v>
      </c>
      <c r="X1863" s="5" t="s">
        <v>69</v>
      </c>
      <c r="Y1863" s="4">
        <v>1</v>
      </c>
      <c r="Z1863" s="4">
        <v>1</v>
      </c>
      <c r="AA1863" s="4">
        <v>6</v>
      </c>
      <c r="AB1863" s="4">
        <v>1</v>
      </c>
      <c r="AC1863" s="4">
        <v>1</v>
      </c>
      <c r="AD1863" s="4">
        <v>0</v>
      </c>
      <c r="AE1863" s="4">
        <v>24</v>
      </c>
      <c r="AF1863" s="4">
        <v>0</v>
      </c>
      <c r="AG1863" s="4">
        <v>0</v>
      </c>
      <c r="AH1863" s="4">
        <v>0</v>
      </c>
      <c r="AI1863" s="4">
        <v>23</v>
      </c>
      <c r="AJ1863" s="4">
        <v>0</v>
      </c>
      <c r="AK1863" s="4">
        <v>2</v>
      </c>
      <c r="AL1863" s="4">
        <v>0</v>
      </c>
      <c r="AM1863" s="4">
        <v>19</v>
      </c>
      <c r="AN1863" s="4">
        <v>0</v>
      </c>
      <c r="AO1863" s="4">
        <v>0</v>
      </c>
      <c r="AP1863" s="4">
        <v>0</v>
      </c>
      <c r="AQ1863" s="4">
        <v>2</v>
      </c>
      <c r="AR1863" s="3" t="s">
        <v>63</v>
      </c>
      <c r="AS1863" s="3" t="s">
        <v>63</v>
      </c>
      <c r="AT1863" s="3" t="s">
        <v>63</v>
      </c>
      <c r="AV1863" s="6" t="str">
        <f>HYPERLINK("http://mcgill.on.worldcat.org/oclc/960051616","Catalog Record")</f>
        <v>Catalog Record</v>
      </c>
      <c r="AW1863" s="6" t="str">
        <f>HYPERLINK("http://www.worldcat.org/oclc/960051616","WorldCat Record")</f>
        <v>WorldCat Record</v>
      </c>
      <c r="AX1863" s="3" t="s">
        <v>16156</v>
      </c>
      <c r="AY1863" s="3" t="s">
        <v>16157</v>
      </c>
      <c r="AZ1863" s="3" t="s">
        <v>16158</v>
      </c>
      <c r="BA1863" s="3" t="s">
        <v>16158</v>
      </c>
      <c r="BB1863" s="3" t="s">
        <v>16159</v>
      </c>
      <c r="BC1863" s="3" t="s">
        <v>82</v>
      </c>
      <c r="BD1863" s="3" t="s">
        <v>70</v>
      </c>
      <c r="BE1863" s="3" t="s">
        <v>16160</v>
      </c>
      <c r="BF1863" s="3" t="s">
        <v>16159</v>
      </c>
      <c r="BG1863" s="3" t="s">
        <v>16161</v>
      </c>
    </row>
    <row r="1864" spans="1:59" ht="60" x14ac:dyDescent="0.25">
      <c r="A1864" s="2" t="s">
        <v>59</v>
      </c>
      <c r="B1864" s="2" t="s">
        <v>60</v>
      </c>
      <c r="C1864" s="2" t="s">
        <v>16162</v>
      </c>
      <c r="D1864" s="2" t="s">
        <v>16163</v>
      </c>
      <c r="E1864" s="2" t="s">
        <v>16164</v>
      </c>
      <c r="G1864" s="3" t="s">
        <v>63</v>
      </c>
      <c r="I1864" s="3" t="s">
        <v>63</v>
      </c>
      <c r="J1864" s="3" t="s">
        <v>63</v>
      </c>
      <c r="K1864" s="3" t="s">
        <v>64</v>
      </c>
      <c r="L1864" s="2" t="s">
        <v>16165</v>
      </c>
      <c r="M1864" s="2" t="s">
        <v>16166</v>
      </c>
      <c r="N1864" s="3" t="s">
        <v>76</v>
      </c>
      <c r="P1864" s="3" t="s">
        <v>548</v>
      </c>
      <c r="Q1864" s="2" t="s">
        <v>16167</v>
      </c>
      <c r="R1864" s="3" t="s">
        <v>67</v>
      </c>
      <c r="S1864" s="4">
        <v>0</v>
      </c>
      <c r="T1864" s="4">
        <v>0</v>
      </c>
      <c r="U1864" s="5" t="s">
        <v>16168</v>
      </c>
      <c r="V1864" s="5" t="s">
        <v>16168</v>
      </c>
      <c r="W1864" s="5" t="s">
        <v>69</v>
      </c>
      <c r="X1864" s="5" t="s">
        <v>69</v>
      </c>
      <c r="Y1864" s="4">
        <v>4</v>
      </c>
      <c r="Z1864" s="4">
        <v>3</v>
      </c>
      <c r="AA1864" s="4">
        <v>6</v>
      </c>
      <c r="AB1864" s="4">
        <v>1</v>
      </c>
      <c r="AC1864" s="4">
        <v>3</v>
      </c>
      <c r="AD1864" s="4">
        <v>2</v>
      </c>
      <c r="AE1864" s="4">
        <v>4</v>
      </c>
      <c r="AF1864" s="4">
        <v>0</v>
      </c>
      <c r="AG1864" s="4">
        <v>1</v>
      </c>
      <c r="AH1864" s="4">
        <v>2</v>
      </c>
      <c r="AI1864" s="4">
        <v>3</v>
      </c>
      <c r="AJ1864" s="4">
        <v>1</v>
      </c>
      <c r="AK1864" s="4">
        <v>3</v>
      </c>
      <c r="AL1864" s="4">
        <v>2</v>
      </c>
      <c r="AM1864" s="4">
        <v>2</v>
      </c>
      <c r="AN1864" s="4">
        <v>0</v>
      </c>
      <c r="AO1864" s="4">
        <v>0</v>
      </c>
      <c r="AP1864" s="4">
        <v>1</v>
      </c>
      <c r="AQ1864" s="4">
        <v>2</v>
      </c>
      <c r="AR1864" s="3" t="s">
        <v>63</v>
      </c>
      <c r="AS1864" s="3" t="s">
        <v>63</v>
      </c>
      <c r="AT1864" s="3" t="s">
        <v>63</v>
      </c>
      <c r="AV1864" s="6" t="str">
        <f>HYPERLINK("http://mcgill.on.worldcat.org/oclc/833590265","Catalog Record")</f>
        <v>Catalog Record</v>
      </c>
      <c r="AW1864" s="6" t="str">
        <f>HYPERLINK("http://www.worldcat.org/oclc/833590265","WorldCat Record")</f>
        <v>WorldCat Record</v>
      </c>
      <c r="AX1864" s="3" t="s">
        <v>16169</v>
      </c>
      <c r="AY1864" s="3" t="s">
        <v>16170</v>
      </c>
      <c r="AZ1864" s="3" t="s">
        <v>16171</v>
      </c>
      <c r="BA1864" s="3" t="s">
        <v>16171</v>
      </c>
      <c r="BB1864" s="3" t="s">
        <v>16172</v>
      </c>
      <c r="BC1864" s="3" t="s">
        <v>82</v>
      </c>
      <c r="BD1864" s="3" t="s">
        <v>70</v>
      </c>
      <c r="BE1864" s="3" t="s">
        <v>16173</v>
      </c>
      <c r="BF1864" s="3" t="s">
        <v>16172</v>
      </c>
      <c r="BG1864" s="3" t="s">
        <v>16174</v>
      </c>
    </row>
    <row r="1865" spans="1:59" ht="60" x14ac:dyDescent="0.25">
      <c r="A1865" s="2" t="s">
        <v>59</v>
      </c>
      <c r="B1865" s="2" t="s">
        <v>60</v>
      </c>
      <c r="C1865" s="2" t="s">
        <v>16175</v>
      </c>
      <c r="D1865" s="2" t="s">
        <v>16176</v>
      </c>
      <c r="E1865" s="2" t="s">
        <v>16177</v>
      </c>
      <c r="G1865" s="3" t="s">
        <v>63</v>
      </c>
      <c r="I1865" s="3" t="s">
        <v>63</v>
      </c>
      <c r="J1865" s="3" t="s">
        <v>63</v>
      </c>
      <c r="K1865" s="3" t="s">
        <v>64</v>
      </c>
      <c r="L1865" s="2" t="s">
        <v>2029</v>
      </c>
      <c r="M1865" s="2" t="s">
        <v>6262</v>
      </c>
      <c r="N1865" s="3" t="s">
        <v>731</v>
      </c>
      <c r="P1865" s="3" t="s">
        <v>66</v>
      </c>
      <c r="Q1865" s="2" t="s">
        <v>16178</v>
      </c>
      <c r="R1865" s="3" t="s">
        <v>67</v>
      </c>
      <c r="S1865" s="4">
        <v>12</v>
      </c>
      <c r="T1865" s="4">
        <v>12</v>
      </c>
      <c r="U1865" s="5" t="s">
        <v>4955</v>
      </c>
      <c r="V1865" s="5" t="s">
        <v>4955</v>
      </c>
      <c r="W1865" s="5" t="s">
        <v>69</v>
      </c>
      <c r="X1865" s="5" t="s">
        <v>69</v>
      </c>
      <c r="Y1865" s="4">
        <v>225</v>
      </c>
      <c r="Z1865" s="4">
        <v>18</v>
      </c>
      <c r="AA1865" s="4">
        <v>21</v>
      </c>
      <c r="AB1865" s="4">
        <v>1</v>
      </c>
      <c r="AC1865" s="4">
        <v>3</v>
      </c>
      <c r="AD1865" s="4">
        <v>88</v>
      </c>
      <c r="AE1865" s="4">
        <v>91</v>
      </c>
      <c r="AF1865" s="4">
        <v>0</v>
      </c>
      <c r="AG1865" s="4">
        <v>1</v>
      </c>
      <c r="AH1865" s="4">
        <v>82</v>
      </c>
      <c r="AI1865" s="4">
        <v>85</v>
      </c>
      <c r="AJ1865" s="4">
        <v>14</v>
      </c>
      <c r="AK1865" s="4">
        <v>16</v>
      </c>
      <c r="AL1865" s="4">
        <v>50</v>
      </c>
      <c r="AM1865" s="4">
        <v>50</v>
      </c>
      <c r="AN1865" s="4">
        <v>0</v>
      </c>
      <c r="AO1865" s="4">
        <v>0</v>
      </c>
      <c r="AP1865" s="4">
        <v>15</v>
      </c>
      <c r="AQ1865" s="4">
        <v>17</v>
      </c>
      <c r="AR1865" s="3" t="s">
        <v>63</v>
      </c>
      <c r="AS1865" s="3" t="s">
        <v>63</v>
      </c>
      <c r="AT1865" s="3" t="s">
        <v>62</v>
      </c>
      <c r="AU1865" s="6" t="str">
        <f>HYPERLINK("http://catalog.hathitrust.org/Record/000711574","HathiTrust Record")</f>
        <v>HathiTrust Record</v>
      </c>
      <c r="AV1865" s="6" t="str">
        <f>HYPERLINK("http://mcgill.on.worldcat.org/oclc/2021009","Catalog Record")</f>
        <v>Catalog Record</v>
      </c>
      <c r="AW1865" s="6" t="str">
        <f>HYPERLINK("http://www.worldcat.org/oclc/2021009","WorldCat Record")</f>
        <v>WorldCat Record</v>
      </c>
      <c r="AX1865" s="3" t="s">
        <v>16179</v>
      </c>
      <c r="AY1865" s="3" t="s">
        <v>16180</v>
      </c>
      <c r="AZ1865" s="3" t="s">
        <v>16181</v>
      </c>
      <c r="BA1865" s="3" t="s">
        <v>16181</v>
      </c>
      <c r="BB1865" s="3" t="s">
        <v>16182</v>
      </c>
      <c r="BC1865" s="3" t="s">
        <v>82</v>
      </c>
      <c r="BD1865" s="3" t="s">
        <v>70</v>
      </c>
      <c r="BE1865" s="3" t="s">
        <v>16183</v>
      </c>
      <c r="BF1865" s="3" t="s">
        <v>16182</v>
      </c>
      <c r="BG1865" s="3" t="s">
        <v>16184</v>
      </c>
    </row>
    <row r="1866" spans="1:59" ht="60" x14ac:dyDescent="0.25">
      <c r="A1866" s="2" t="s">
        <v>59</v>
      </c>
      <c r="B1866" s="2" t="s">
        <v>60</v>
      </c>
      <c r="C1866" s="2" t="s">
        <v>16185</v>
      </c>
      <c r="D1866" s="2" t="s">
        <v>16186</v>
      </c>
      <c r="E1866" s="2" t="s">
        <v>16187</v>
      </c>
      <c r="G1866" s="3" t="s">
        <v>63</v>
      </c>
      <c r="I1866" s="3" t="s">
        <v>63</v>
      </c>
      <c r="J1866" s="3" t="s">
        <v>63</v>
      </c>
      <c r="K1866" s="3" t="s">
        <v>64</v>
      </c>
      <c r="L1866" s="2" t="s">
        <v>16188</v>
      </c>
      <c r="M1866" s="2" t="s">
        <v>16189</v>
      </c>
      <c r="N1866" s="3" t="s">
        <v>76</v>
      </c>
      <c r="P1866" s="3" t="s">
        <v>90</v>
      </c>
      <c r="Q1866" s="2" t="s">
        <v>16190</v>
      </c>
      <c r="R1866" s="3" t="s">
        <v>67</v>
      </c>
      <c r="S1866" s="4">
        <v>0</v>
      </c>
      <c r="T1866" s="4">
        <v>0</v>
      </c>
      <c r="W1866" s="5" t="s">
        <v>69</v>
      </c>
      <c r="X1866" s="5" t="s">
        <v>69</v>
      </c>
      <c r="Y1866" s="4">
        <v>12</v>
      </c>
      <c r="Z1866" s="4">
        <v>1</v>
      </c>
      <c r="AA1866" s="4">
        <v>1</v>
      </c>
      <c r="AB1866" s="4">
        <v>1</v>
      </c>
      <c r="AC1866" s="4">
        <v>1</v>
      </c>
      <c r="AD1866" s="4">
        <v>9</v>
      </c>
      <c r="AE1866" s="4">
        <v>9</v>
      </c>
      <c r="AF1866" s="4">
        <v>0</v>
      </c>
      <c r="AG1866" s="4">
        <v>0</v>
      </c>
      <c r="AH1866" s="4">
        <v>9</v>
      </c>
      <c r="AI1866" s="4">
        <v>9</v>
      </c>
      <c r="AJ1866" s="4">
        <v>0</v>
      </c>
      <c r="AK1866" s="4">
        <v>0</v>
      </c>
      <c r="AL1866" s="4">
        <v>7</v>
      </c>
      <c r="AM1866" s="4">
        <v>7</v>
      </c>
      <c r="AN1866" s="4">
        <v>0</v>
      </c>
      <c r="AO1866" s="4">
        <v>0</v>
      </c>
      <c r="AP1866" s="4">
        <v>0</v>
      </c>
      <c r="AQ1866" s="4">
        <v>0</v>
      </c>
      <c r="AR1866" s="3" t="s">
        <v>63</v>
      </c>
      <c r="AS1866" s="3" t="s">
        <v>63</v>
      </c>
      <c r="AT1866" s="3" t="s">
        <v>63</v>
      </c>
      <c r="AV1866" s="6" t="str">
        <f>HYPERLINK("http://mcgill.on.worldcat.org/oclc/823894279","Catalog Record")</f>
        <v>Catalog Record</v>
      </c>
      <c r="AW1866" s="6" t="str">
        <f>HYPERLINK("http://www.worldcat.org/oclc/823894279","WorldCat Record")</f>
        <v>WorldCat Record</v>
      </c>
      <c r="AX1866" s="3" t="s">
        <v>16191</v>
      </c>
      <c r="AY1866" s="3" t="s">
        <v>16192</v>
      </c>
      <c r="AZ1866" s="3" t="s">
        <v>16193</v>
      </c>
      <c r="BA1866" s="3" t="s">
        <v>16193</v>
      </c>
      <c r="BB1866" s="3" t="s">
        <v>16194</v>
      </c>
      <c r="BC1866" s="3" t="s">
        <v>82</v>
      </c>
      <c r="BD1866" s="3" t="s">
        <v>70</v>
      </c>
      <c r="BE1866" s="3" t="s">
        <v>16195</v>
      </c>
      <c r="BF1866" s="3" t="s">
        <v>16194</v>
      </c>
      <c r="BG1866" s="3" t="s">
        <v>16196</v>
      </c>
    </row>
    <row r="1867" spans="1:59" ht="60" x14ac:dyDescent="0.25">
      <c r="A1867" s="2" t="s">
        <v>59</v>
      </c>
      <c r="B1867" s="2" t="s">
        <v>60</v>
      </c>
      <c r="C1867" s="2" t="s">
        <v>16197</v>
      </c>
      <c r="D1867" s="2" t="s">
        <v>16198</v>
      </c>
      <c r="E1867" s="2" t="s">
        <v>16199</v>
      </c>
      <c r="G1867" s="3" t="s">
        <v>63</v>
      </c>
      <c r="I1867" s="3" t="s">
        <v>63</v>
      </c>
      <c r="J1867" s="3" t="s">
        <v>63</v>
      </c>
      <c r="K1867" s="3" t="s">
        <v>64</v>
      </c>
      <c r="L1867" s="2" t="s">
        <v>16200</v>
      </c>
      <c r="M1867" s="2" t="s">
        <v>16201</v>
      </c>
      <c r="N1867" s="3" t="s">
        <v>274</v>
      </c>
      <c r="P1867" s="3" t="s">
        <v>66</v>
      </c>
      <c r="R1867" s="3" t="s">
        <v>67</v>
      </c>
      <c r="S1867" s="4">
        <v>6</v>
      </c>
      <c r="T1867" s="4">
        <v>6</v>
      </c>
      <c r="U1867" s="5" t="s">
        <v>11583</v>
      </c>
      <c r="V1867" s="5" t="s">
        <v>11583</v>
      </c>
      <c r="W1867" s="5" t="s">
        <v>69</v>
      </c>
      <c r="X1867" s="5" t="s">
        <v>69</v>
      </c>
      <c r="Y1867" s="4">
        <v>546</v>
      </c>
      <c r="Z1867" s="4">
        <v>15</v>
      </c>
      <c r="AA1867" s="4">
        <v>22</v>
      </c>
      <c r="AB1867" s="4">
        <v>1</v>
      </c>
      <c r="AC1867" s="4">
        <v>2</v>
      </c>
      <c r="AD1867" s="4">
        <v>92</v>
      </c>
      <c r="AE1867" s="4">
        <v>99</v>
      </c>
      <c r="AF1867" s="4">
        <v>0</v>
      </c>
      <c r="AG1867" s="4">
        <v>0</v>
      </c>
      <c r="AH1867" s="4">
        <v>88</v>
      </c>
      <c r="AI1867" s="4">
        <v>94</v>
      </c>
      <c r="AJ1867" s="4">
        <v>7</v>
      </c>
      <c r="AK1867" s="4">
        <v>8</v>
      </c>
      <c r="AL1867" s="4">
        <v>47</v>
      </c>
      <c r="AM1867" s="4">
        <v>50</v>
      </c>
      <c r="AN1867" s="4">
        <v>0</v>
      </c>
      <c r="AO1867" s="4">
        <v>0</v>
      </c>
      <c r="AP1867" s="4">
        <v>7</v>
      </c>
      <c r="AQ1867" s="4">
        <v>9</v>
      </c>
      <c r="AR1867" s="3" t="s">
        <v>63</v>
      </c>
      <c r="AS1867" s="3" t="s">
        <v>63</v>
      </c>
      <c r="AT1867" s="3" t="s">
        <v>63</v>
      </c>
      <c r="AV1867" s="6" t="str">
        <f>HYPERLINK("http://mcgill.on.worldcat.org/oclc/37862695","Catalog Record")</f>
        <v>Catalog Record</v>
      </c>
      <c r="AW1867" s="6" t="str">
        <f>HYPERLINK("http://www.worldcat.org/oclc/37862695","WorldCat Record")</f>
        <v>WorldCat Record</v>
      </c>
      <c r="AX1867" s="3" t="s">
        <v>16202</v>
      </c>
      <c r="AY1867" s="3" t="s">
        <v>16203</v>
      </c>
      <c r="AZ1867" s="3" t="s">
        <v>16204</v>
      </c>
      <c r="BA1867" s="3" t="s">
        <v>16204</v>
      </c>
      <c r="BB1867" s="3" t="s">
        <v>16205</v>
      </c>
      <c r="BC1867" s="3" t="s">
        <v>82</v>
      </c>
      <c r="BD1867" s="3" t="s">
        <v>70</v>
      </c>
      <c r="BE1867" s="3" t="s">
        <v>16206</v>
      </c>
      <c r="BF1867" s="3" t="s">
        <v>16205</v>
      </c>
      <c r="BG1867" s="3" t="s">
        <v>16207</v>
      </c>
    </row>
    <row r="1868" spans="1:59" ht="60" x14ac:dyDescent="0.25">
      <c r="A1868" s="2" t="s">
        <v>59</v>
      </c>
      <c r="B1868" s="2" t="s">
        <v>60</v>
      </c>
      <c r="C1868" s="2" t="s">
        <v>16208</v>
      </c>
      <c r="D1868" s="2" t="s">
        <v>16209</v>
      </c>
      <c r="E1868" s="2" t="s">
        <v>16210</v>
      </c>
      <c r="G1868" s="3" t="s">
        <v>63</v>
      </c>
      <c r="I1868" s="3" t="s">
        <v>63</v>
      </c>
      <c r="J1868" s="3" t="s">
        <v>63</v>
      </c>
      <c r="K1868" s="3" t="s">
        <v>64</v>
      </c>
      <c r="L1868" s="2" t="s">
        <v>16200</v>
      </c>
      <c r="M1868" s="2" t="s">
        <v>16211</v>
      </c>
      <c r="N1868" s="3" t="s">
        <v>130</v>
      </c>
      <c r="P1868" s="3" t="s">
        <v>90</v>
      </c>
      <c r="Q1868" s="2" t="s">
        <v>16190</v>
      </c>
      <c r="R1868" s="3" t="s">
        <v>67</v>
      </c>
      <c r="S1868" s="4">
        <v>1</v>
      </c>
      <c r="T1868" s="4">
        <v>1</v>
      </c>
      <c r="U1868" s="5" t="s">
        <v>16212</v>
      </c>
      <c r="V1868" s="5" t="s">
        <v>16212</v>
      </c>
      <c r="W1868" s="5" t="s">
        <v>69</v>
      </c>
      <c r="X1868" s="5" t="s">
        <v>69</v>
      </c>
      <c r="Y1868" s="4">
        <v>4</v>
      </c>
      <c r="Z1868" s="4">
        <v>1</v>
      </c>
      <c r="AA1868" s="4">
        <v>4</v>
      </c>
      <c r="AB1868" s="4">
        <v>1</v>
      </c>
      <c r="AC1868" s="4">
        <v>1</v>
      </c>
      <c r="AD1868" s="4">
        <v>0</v>
      </c>
      <c r="AE1868" s="4">
        <v>16</v>
      </c>
      <c r="AF1868" s="4">
        <v>0</v>
      </c>
      <c r="AG1868" s="4">
        <v>0</v>
      </c>
      <c r="AH1868" s="4">
        <v>0</v>
      </c>
      <c r="AI1868" s="4">
        <v>15</v>
      </c>
      <c r="AJ1868" s="4">
        <v>0</v>
      </c>
      <c r="AK1868" s="4">
        <v>1</v>
      </c>
      <c r="AL1868" s="4">
        <v>0</v>
      </c>
      <c r="AM1868" s="4">
        <v>13</v>
      </c>
      <c r="AN1868" s="4">
        <v>0</v>
      </c>
      <c r="AO1868" s="4">
        <v>0</v>
      </c>
      <c r="AP1868" s="4">
        <v>0</v>
      </c>
      <c r="AQ1868" s="4">
        <v>1</v>
      </c>
      <c r="AR1868" s="3" t="s">
        <v>63</v>
      </c>
      <c r="AS1868" s="3" t="s">
        <v>63</v>
      </c>
      <c r="AT1868" s="3" t="s">
        <v>63</v>
      </c>
      <c r="AV1868" s="6" t="str">
        <f>HYPERLINK("http://mcgill.on.worldcat.org/oclc/830310633","Catalog Record")</f>
        <v>Catalog Record</v>
      </c>
      <c r="AW1868" s="6" t="str">
        <f>HYPERLINK("http://www.worldcat.org/oclc/830310633","WorldCat Record")</f>
        <v>WorldCat Record</v>
      </c>
      <c r="AX1868" s="3" t="s">
        <v>16213</v>
      </c>
      <c r="AY1868" s="3" t="s">
        <v>16214</v>
      </c>
      <c r="AZ1868" s="3" t="s">
        <v>16215</v>
      </c>
      <c r="BA1868" s="3" t="s">
        <v>16215</v>
      </c>
      <c r="BB1868" s="3" t="s">
        <v>16216</v>
      </c>
      <c r="BC1868" s="3" t="s">
        <v>82</v>
      </c>
      <c r="BD1868" s="3" t="s">
        <v>70</v>
      </c>
      <c r="BE1868" s="3" t="s">
        <v>16217</v>
      </c>
      <c r="BF1868" s="3" t="s">
        <v>16216</v>
      </c>
      <c r="BG1868" s="3" t="s">
        <v>16218</v>
      </c>
    </row>
    <row r="1869" spans="1:59" ht="60" x14ac:dyDescent="0.25">
      <c r="A1869" s="2" t="s">
        <v>59</v>
      </c>
      <c r="B1869" s="2" t="s">
        <v>60</v>
      </c>
      <c r="C1869" s="2" t="s">
        <v>16219</v>
      </c>
      <c r="D1869" s="2" t="s">
        <v>16220</v>
      </c>
      <c r="E1869" s="2" t="s">
        <v>16221</v>
      </c>
      <c r="G1869" s="3" t="s">
        <v>63</v>
      </c>
      <c r="I1869" s="3" t="s">
        <v>63</v>
      </c>
      <c r="J1869" s="3" t="s">
        <v>63</v>
      </c>
      <c r="K1869" s="3" t="s">
        <v>64</v>
      </c>
      <c r="L1869" s="2" t="s">
        <v>16222</v>
      </c>
      <c r="M1869" s="2" t="s">
        <v>16189</v>
      </c>
      <c r="N1869" s="3" t="s">
        <v>76</v>
      </c>
      <c r="P1869" s="3" t="s">
        <v>90</v>
      </c>
      <c r="Q1869" s="2" t="s">
        <v>16190</v>
      </c>
      <c r="R1869" s="3" t="s">
        <v>67</v>
      </c>
      <c r="S1869" s="4">
        <v>0</v>
      </c>
      <c r="T1869" s="4">
        <v>0</v>
      </c>
      <c r="W1869" s="5" t="s">
        <v>69</v>
      </c>
      <c r="X1869" s="5" t="s">
        <v>69</v>
      </c>
      <c r="Y1869" s="4">
        <v>5</v>
      </c>
      <c r="Z1869" s="4">
        <v>3</v>
      </c>
      <c r="AA1869" s="4">
        <v>3</v>
      </c>
      <c r="AB1869" s="4">
        <v>1</v>
      </c>
      <c r="AC1869" s="4">
        <v>1</v>
      </c>
      <c r="AD1869" s="4">
        <v>2</v>
      </c>
      <c r="AE1869" s="4">
        <v>4</v>
      </c>
      <c r="AF1869" s="4">
        <v>0</v>
      </c>
      <c r="AG1869" s="4">
        <v>0</v>
      </c>
      <c r="AH1869" s="4">
        <v>2</v>
      </c>
      <c r="AI1869" s="4">
        <v>4</v>
      </c>
      <c r="AJ1869" s="4">
        <v>1</v>
      </c>
      <c r="AK1869" s="4">
        <v>1</v>
      </c>
      <c r="AL1869" s="4">
        <v>2</v>
      </c>
      <c r="AM1869" s="4">
        <v>3</v>
      </c>
      <c r="AN1869" s="4">
        <v>0</v>
      </c>
      <c r="AO1869" s="4">
        <v>0</v>
      </c>
      <c r="AP1869" s="4">
        <v>1</v>
      </c>
      <c r="AQ1869" s="4">
        <v>1</v>
      </c>
      <c r="AR1869" s="3" t="s">
        <v>63</v>
      </c>
      <c r="AS1869" s="3" t="s">
        <v>63</v>
      </c>
      <c r="AT1869" s="3" t="s">
        <v>63</v>
      </c>
      <c r="AV1869" s="6" t="str">
        <f>HYPERLINK("http://mcgill.on.worldcat.org/oclc/829951029","Catalog Record")</f>
        <v>Catalog Record</v>
      </c>
      <c r="AW1869" s="6" t="str">
        <f>HYPERLINK("http://www.worldcat.org/oclc/829951029","WorldCat Record")</f>
        <v>WorldCat Record</v>
      </c>
      <c r="AX1869" s="3" t="s">
        <v>16223</v>
      </c>
      <c r="AY1869" s="3" t="s">
        <v>16224</v>
      </c>
      <c r="AZ1869" s="3" t="s">
        <v>16225</v>
      </c>
      <c r="BA1869" s="3" t="s">
        <v>16225</v>
      </c>
      <c r="BB1869" s="3" t="s">
        <v>16226</v>
      </c>
      <c r="BC1869" s="3" t="s">
        <v>82</v>
      </c>
      <c r="BD1869" s="3" t="s">
        <v>70</v>
      </c>
      <c r="BE1869" s="3" t="s">
        <v>16227</v>
      </c>
      <c r="BF1869" s="3" t="s">
        <v>16226</v>
      </c>
      <c r="BG1869" s="3" t="s">
        <v>16228</v>
      </c>
    </row>
    <row r="1870" spans="1:59" ht="60" x14ac:dyDescent="0.25">
      <c r="A1870" s="2" t="s">
        <v>59</v>
      </c>
      <c r="B1870" s="2" t="s">
        <v>60</v>
      </c>
      <c r="C1870" s="2" t="s">
        <v>16229</v>
      </c>
      <c r="D1870" s="2" t="s">
        <v>16230</v>
      </c>
      <c r="E1870" s="2" t="s">
        <v>16231</v>
      </c>
      <c r="G1870" s="3" t="s">
        <v>63</v>
      </c>
      <c r="I1870" s="3" t="s">
        <v>63</v>
      </c>
      <c r="J1870" s="3" t="s">
        <v>63</v>
      </c>
      <c r="K1870" s="3" t="s">
        <v>64</v>
      </c>
      <c r="L1870" s="2" t="s">
        <v>16232</v>
      </c>
      <c r="M1870" s="2" t="s">
        <v>16233</v>
      </c>
      <c r="N1870" s="3" t="s">
        <v>76</v>
      </c>
      <c r="P1870" s="3" t="s">
        <v>90</v>
      </c>
      <c r="Q1870" s="2" t="s">
        <v>16190</v>
      </c>
      <c r="R1870" s="3" t="s">
        <v>67</v>
      </c>
      <c r="S1870" s="4">
        <v>1</v>
      </c>
      <c r="T1870" s="4">
        <v>1</v>
      </c>
      <c r="U1870" s="5" t="s">
        <v>16234</v>
      </c>
      <c r="V1870" s="5" t="s">
        <v>16234</v>
      </c>
      <c r="W1870" s="5" t="s">
        <v>69</v>
      </c>
      <c r="X1870" s="5" t="s">
        <v>69</v>
      </c>
      <c r="Y1870" s="4">
        <v>22</v>
      </c>
      <c r="Z1870" s="4">
        <v>1</v>
      </c>
      <c r="AA1870" s="4">
        <v>1</v>
      </c>
      <c r="AB1870" s="4">
        <v>1</v>
      </c>
      <c r="AC1870" s="4">
        <v>1</v>
      </c>
      <c r="AD1870" s="4">
        <v>10</v>
      </c>
      <c r="AE1870" s="4">
        <v>10</v>
      </c>
      <c r="AF1870" s="4">
        <v>0</v>
      </c>
      <c r="AG1870" s="4">
        <v>0</v>
      </c>
      <c r="AH1870" s="4">
        <v>10</v>
      </c>
      <c r="AI1870" s="4">
        <v>10</v>
      </c>
      <c r="AJ1870" s="4">
        <v>0</v>
      </c>
      <c r="AK1870" s="4">
        <v>0</v>
      </c>
      <c r="AL1870" s="4">
        <v>7</v>
      </c>
      <c r="AM1870" s="4">
        <v>7</v>
      </c>
      <c r="AN1870" s="4">
        <v>0</v>
      </c>
      <c r="AO1870" s="4">
        <v>0</v>
      </c>
      <c r="AP1870" s="4">
        <v>0</v>
      </c>
      <c r="AQ1870" s="4">
        <v>0</v>
      </c>
      <c r="AR1870" s="3" t="s">
        <v>63</v>
      </c>
      <c r="AS1870" s="3" t="s">
        <v>63</v>
      </c>
      <c r="AT1870" s="3" t="s">
        <v>63</v>
      </c>
      <c r="AV1870" s="6" t="str">
        <f>HYPERLINK("http://mcgill.on.worldcat.org/oclc/820775565","Catalog Record")</f>
        <v>Catalog Record</v>
      </c>
      <c r="AW1870" s="6" t="str">
        <f>HYPERLINK("http://www.worldcat.org/oclc/820775565","WorldCat Record")</f>
        <v>WorldCat Record</v>
      </c>
      <c r="AX1870" s="3" t="s">
        <v>16235</v>
      </c>
      <c r="AY1870" s="3" t="s">
        <v>16236</v>
      </c>
      <c r="AZ1870" s="3" t="s">
        <v>16237</v>
      </c>
      <c r="BA1870" s="3" t="s">
        <v>16237</v>
      </c>
      <c r="BB1870" s="3" t="s">
        <v>16238</v>
      </c>
      <c r="BC1870" s="3" t="s">
        <v>82</v>
      </c>
      <c r="BD1870" s="3" t="s">
        <v>70</v>
      </c>
      <c r="BE1870" s="3" t="s">
        <v>16239</v>
      </c>
      <c r="BF1870" s="3" t="s">
        <v>16238</v>
      </c>
      <c r="BG1870" s="3" t="s">
        <v>16240</v>
      </c>
    </row>
    <row r="1871" spans="1:59" ht="60" x14ac:dyDescent="0.25">
      <c r="A1871" s="2" t="s">
        <v>59</v>
      </c>
      <c r="B1871" s="2" t="s">
        <v>60</v>
      </c>
      <c r="C1871" s="2" t="s">
        <v>16241</v>
      </c>
      <c r="D1871" s="2" t="s">
        <v>16242</v>
      </c>
      <c r="E1871" s="2" t="s">
        <v>16243</v>
      </c>
      <c r="G1871" s="3" t="s">
        <v>63</v>
      </c>
      <c r="I1871" s="3" t="s">
        <v>63</v>
      </c>
      <c r="J1871" s="3" t="s">
        <v>63</v>
      </c>
      <c r="K1871" s="3" t="s">
        <v>64</v>
      </c>
      <c r="L1871" s="2" t="s">
        <v>16244</v>
      </c>
      <c r="M1871" s="2" t="s">
        <v>16245</v>
      </c>
      <c r="N1871" s="3" t="s">
        <v>629</v>
      </c>
      <c r="P1871" s="3" t="s">
        <v>90</v>
      </c>
      <c r="Q1871" s="2" t="s">
        <v>16246</v>
      </c>
      <c r="R1871" s="3" t="s">
        <v>67</v>
      </c>
      <c r="S1871" s="4">
        <v>1</v>
      </c>
      <c r="T1871" s="4">
        <v>1</v>
      </c>
      <c r="U1871" s="5" t="s">
        <v>16234</v>
      </c>
      <c r="V1871" s="5" t="s">
        <v>16234</v>
      </c>
      <c r="W1871" s="5" t="s">
        <v>69</v>
      </c>
      <c r="X1871" s="5" t="s">
        <v>69</v>
      </c>
      <c r="Y1871" s="4">
        <v>19</v>
      </c>
      <c r="Z1871" s="4">
        <v>3</v>
      </c>
      <c r="AA1871" s="4">
        <v>3</v>
      </c>
      <c r="AB1871" s="4">
        <v>1</v>
      </c>
      <c r="AC1871" s="4">
        <v>1</v>
      </c>
      <c r="AD1871" s="4">
        <v>13</v>
      </c>
      <c r="AE1871" s="4">
        <v>13</v>
      </c>
      <c r="AF1871" s="4">
        <v>0</v>
      </c>
      <c r="AG1871" s="4">
        <v>0</v>
      </c>
      <c r="AH1871" s="4">
        <v>13</v>
      </c>
      <c r="AI1871" s="4">
        <v>13</v>
      </c>
      <c r="AJ1871" s="4">
        <v>1</v>
      </c>
      <c r="AK1871" s="4">
        <v>1</v>
      </c>
      <c r="AL1871" s="4">
        <v>11</v>
      </c>
      <c r="AM1871" s="4">
        <v>11</v>
      </c>
      <c r="AN1871" s="4">
        <v>0</v>
      </c>
      <c r="AO1871" s="4">
        <v>0</v>
      </c>
      <c r="AP1871" s="4">
        <v>1</v>
      </c>
      <c r="AQ1871" s="4">
        <v>1</v>
      </c>
      <c r="AR1871" s="3" t="s">
        <v>63</v>
      </c>
      <c r="AS1871" s="3" t="s">
        <v>63</v>
      </c>
      <c r="AT1871" s="3" t="s">
        <v>63</v>
      </c>
      <c r="AV1871" s="6" t="str">
        <f>HYPERLINK("http://mcgill.on.worldcat.org/oclc/713496079","Catalog Record")</f>
        <v>Catalog Record</v>
      </c>
      <c r="AW1871" s="6" t="str">
        <f>HYPERLINK("http://www.worldcat.org/oclc/713496079","WorldCat Record")</f>
        <v>WorldCat Record</v>
      </c>
      <c r="AX1871" s="3" t="s">
        <v>16247</v>
      </c>
      <c r="AY1871" s="3" t="s">
        <v>16248</v>
      </c>
      <c r="AZ1871" s="3" t="s">
        <v>16249</v>
      </c>
      <c r="BA1871" s="3" t="s">
        <v>16249</v>
      </c>
      <c r="BB1871" s="3" t="s">
        <v>16250</v>
      </c>
      <c r="BC1871" s="3" t="s">
        <v>82</v>
      </c>
      <c r="BD1871" s="3" t="s">
        <v>70</v>
      </c>
      <c r="BE1871" s="3" t="s">
        <v>16251</v>
      </c>
      <c r="BF1871" s="3" t="s">
        <v>16250</v>
      </c>
      <c r="BG1871" s="3" t="s">
        <v>16252</v>
      </c>
    </row>
    <row r="1872" spans="1:59" ht="60" x14ac:dyDescent="0.25">
      <c r="A1872" s="2" t="s">
        <v>59</v>
      </c>
      <c r="B1872" s="2" t="s">
        <v>60</v>
      </c>
      <c r="C1872" s="2" t="s">
        <v>16253</v>
      </c>
      <c r="D1872" s="2" t="s">
        <v>16254</v>
      </c>
      <c r="E1872" s="2" t="s">
        <v>16255</v>
      </c>
      <c r="G1872" s="3" t="s">
        <v>63</v>
      </c>
      <c r="I1872" s="3" t="s">
        <v>63</v>
      </c>
      <c r="J1872" s="3" t="s">
        <v>63</v>
      </c>
      <c r="K1872" s="3" t="s">
        <v>64</v>
      </c>
      <c r="L1872" s="2" t="s">
        <v>16256</v>
      </c>
      <c r="M1872" s="2" t="s">
        <v>16189</v>
      </c>
      <c r="N1872" s="3" t="s">
        <v>76</v>
      </c>
      <c r="P1872" s="3" t="s">
        <v>90</v>
      </c>
      <c r="Q1872" s="2" t="s">
        <v>16190</v>
      </c>
      <c r="R1872" s="3" t="s">
        <v>67</v>
      </c>
      <c r="S1872" s="4">
        <v>1</v>
      </c>
      <c r="T1872" s="4">
        <v>1</v>
      </c>
      <c r="U1872" s="5" t="s">
        <v>12925</v>
      </c>
      <c r="V1872" s="5" t="s">
        <v>12925</v>
      </c>
      <c r="W1872" s="5" t="s">
        <v>69</v>
      </c>
      <c r="X1872" s="5" t="s">
        <v>69</v>
      </c>
      <c r="Y1872" s="4">
        <v>15</v>
      </c>
      <c r="Z1872" s="4">
        <v>3</v>
      </c>
      <c r="AA1872" s="4">
        <v>3</v>
      </c>
      <c r="AB1872" s="4">
        <v>1</v>
      </c>
      <c r="AC1872" s="4">
        <v>1</v>
      </c>
      <c r="AD1872" s="4">
        <v>10</v>
      </c>
      <c r="AE1872" s="4">
        <v>10</v>
      </c>
      <c r="AF1872" s="4">
        <v>0</v>
      </c>
      <c r="AG1872" s="4">
        <v>0</v>
      </c>
      <c r="AH1872" s="4">
        <v>9</v>
      </c>
      <c r="AI1872" s="4">
        <v>9</v>
      </c>
      <c r="AJ1872" s="4">
        <v>1</v>
      </c>
      <c r="AK1872" s="4">
        <v>1</v>
      </c>
      <c r="AL1872" s="4">
        <v>8</v>
      </c>
      <c r="AM1872" s="4">
        <v>8</v>
      </c>
      <c r="AN1872" s="4">
        <v>0</v>
      </c>
      <c r="AO1872" s="4">
        <v>0</v>
      </c>
      <c r="AP1872" s="4">
        <v>1</v>
      </c>
      <c r="AQ1872" s="4">
        <v>1</v>
      </c>
      <c r="AR1872" s="3" t="s">
        <v>63</v>
      </c>
      <c r="AS1872" s="3" t="s">
        <v>63</v>
      </c>
      <c r="AT1872" s="3" t="s">
        <v>63</v>
      </c>
      <c r="AV1872" s="6" t="str">
        <f>HYPERLINK("http://mcgill.on.worldcat.org/oclc/807995894","Catalog Record")</f>
        <v>Catalog Record</v>
      </c>
      <c r="AW1872" s="6" t="str">
        <f>HYPERLINK("http://www.worldcat.org/oclc/807995894","WorldCat Record")</f>
        <v>WorldCat Record</v>
      </c>
      <c r="AX1872" s="3" t="s">
        <v>16257</v>
      </c>
      <c r="AY1872" s="3" t="s">
        <v>16258</v>
      </c>
      <c r="AZ1872" s="3" t="s">
        <v>16259</v>
      </c>
      <c r="BA1872" s="3" t="s">
        <v>16259</v>
      </c>
      <c r="BB1872" s="3" t="s">
        <v>16260</v>
      </c>
      <c r="BC1872" s="3" t="s">
        <v>82</v>
      </c>
      <c r="BD1872" s="3" t="s">
        <v>70</v>
      </c>
      <c r="BE1872" s="3" t="s">
        <v>16261</v>
      </c>
      <c r="BF1872" s="3" t="s">
        <v>16260</v>
      </c>
      <c r="BG1872" s="3" t="s">
        <v>16262</v>
      </c>
    </row>
    <row r="1873" spans="1:59" ht="60" x14ac:dyDescent="0.25">
      <c r="A1873" s="2" t="s">
        <v>59</v>
      </c>
      <c r="B1873" s="2" t="s">
        <v>60</v>
      </c>
      <c r="C1873" s="2" t="s">
        <v>16263</v>
      </c>
      <c r="D1873" s="2" t="s">
        <v>16264</v>
      </c>
      <c r="E1873" s="2" t="s">
        <v>16265</v>
      </c>
      <c r="G1873" s="3" t="s">
        <v>63</v>
      </c>
      <c r="I1873" s="3" t="s">
        <v>63</v>
      </c>
      <c r="J1873" s="3" t="s">
        <v>63</v>
      </c>
      <c r="K1873" s="3" t="s">
        <v>64</v>
      </c>
      <c r="L1873" s="2" t="s">
        <v>16266</v>
      </c>
      <c r="M1873" s="2" t="s">
        <v>16211</v>
      </c>
      <c r="N1873" s="3" t="s">
        <v>130</v>
      </c>
      <c r="P1873" s="3" t="s">
        <v>90</v>
      </c>
      <c r="Q1873" s="2" t="s">
        <v>16190</v>
      </c>
      <c r="R1873" s="3" t="s">
        <v>67</v>
      </c>
      <c r="S1873" s="4">
        <v>0</v>
      </c>
      <c r="T1873" s="4">
        <v>0</v>
      </c>
      <c r="W1873" s="5" t="s">
        <v>69</v>
      </c>
      <c r="X1873" s="5" t="s">
        <v>69</v>
      </c>
      <c r="Y1873" s="4">
        <v>11</v>
      </c>
      <c r="Z1873" s="4">
        <v>1</v>
      </c>
      <c r="AA1873" s="4">
        <v>1</v>
      </c>
      <c r="AB1873" s="4">
        <v>1</v>
      </c>
      <c r="AC1873" s="4">
        <v>1</v>
      </c>
      <c r="AD1873" s="4">
        <v>7</v>
      </c>
      <c r="AE1873" s="4">
        <v>8</v>
      </c>
      <c r="AF1873" s="4">
        <v>0</v>
      </c>
      <c r="AG1873" s="4">
        <v>0</v>
      </c>
      <c r="AH1873" s="4">
        <v>7</v>
      </c>
      <c r="AI1873" s="4">
        <v>8</v>
      </c>
      <c r="AJ1873" s="4">
        <v>0</v>
      </c>
      <c r="AK1873" s="4">
        <v>0</v>
      </c>
      <c r="AL1873" s="4">
        <v>6</v>
      </c>
      <c r="AM1873" s="4">
        <v>6</v>
      </c>
      <c r="AN1873" s="4">
        <v>0</v>
      </c>
      <c r="AO1873" s="4">
        <v>0</v>
      </c>
      <c r="AP1873" s="4">
        <v>0</v>
      </c>
      <c r="AQ1873" s="4">
        <v>0</v>
      </c>
      <c r="AR1873" s="3" t="s">
        <v>63</v>
      </c>
      <c r="AS1873" s="3" t="s">
        <v>63</v>
      </c>
      <c r="AT1873" s="3" t="s">
        <v>63</v>
      </c>
      <c r="AV1873" s="6" t="str">
        <f>HYPERLINK("http://mcgill.on.worldcat.org/oclc/826862730","Catalog Record")</f>
        <v>Catalog Record</v>
      </c>
      <c r="AW1873" s="6" t="str">
        <f>HYPERLINK("http://www.worldcat.org/oclc/826862730","WorldCat Record")</f>
        <v>WorldCat Record</v>
      </c>
      <c r="AX1873" s="3" t="s">
        <v>16267</v>
      </c>
      <c r="AY1873" s="3" t="s">
        <v>16268</v>
      </c>
      <c r="AZ1873" s="3" t="s">
        <v>16269</v>
      </c>
      <c r="BA1873" s="3" t="s">
        <v>16269</v>
      </c>
      <c r="BB1873" s="3" t="s">
        <v>16270</v>
      </c>
      <c r="BC1873" s="3" t="s">
        <v>82</v>
      </c>
      <c r="BD1873" s="3" t="s">
        <v>70</v>
      </c>
      <c r="BE1873" s="3" t="s">
        <v>16271</v>
      </c>
      <c r="BF1873" s="3" t="s">
        <v>16270</v>
      </c>
      <c r="BG1873" s="3" t="s">
        <v>16272</v>
      </c>
    </row>
    <row r="1874" spans="1:59" ht="60" x14ac:dyDescent="0.25">
      <c r="A1874" s="2" t="s">
        <v>59</v>
      </c>
      <c r="B1874" s="2" t="s">
        <v>60</v>
      </c>
      <c r="C1874" s="2" t="s">
        <v>16273</v>
      </c>
      <c r="D1874" s="2" t="s">
        <v>16274</v>
      </c>
      <c r="E1874" s="2" t="s">
        <v>16275</v>
      </c>
      <c r="G1874" s="3" t="s">
        <v>63</v>
      </c>
      <c r="I1874" s="3" t="s">
        <v>63</v>
      </c>
      <c r="J1874" s="3" t="s">
        <v>63</v>
      </c>
      <c r="K1874" s="3" t="s">
        <v>64</v>
      </c>
      <c r="L1874" s="2" t="s">
        <v>5640</v>
      </c>
      <c r="M1874" s="2" t="s">
        <v>10405</v>
      </c>
      <c r="N1874" s="3" t="s">
        <v>161</v>
      </c>
      <c r="P1874" s="3" t="s">
        <v>66</v>
      </c>
      <c r="Q1874" s="2" t="s">
        <v>5152</v>
      </c>
      <c r="R1874" s="3" t="s">
        <v>67</v>
      </c>
      <c r="S1874" s="4">
        <v>12</v>
      </c>
      <c r="T1874" s="4">
        <v>12</v>
      </c>
      <c r="U1874" s="5" t="s">
        <v>16276</v>
      </c>
      <c r="V1874" s="5" t="s">
        <v>16276</v>
      </c>
      <c r="W1874" s="5" t="s">
        <v>69</v>
      </c>
      <c r="X1874" s="5" t="s">
        <v>69</v>
      </c>
      <c r="Y1874" s="4">
        <v>343</v>
      </c>
      <c r="Z1874" s="4">
        <v>20</v>
      </c>
      <c r="AA1874" s="4">
        <v>26</v>
      </c>
      <c r="AB1874" s="4">
        <v>1</v>
      </c>
      <c r="AC1874" s="4">
        <v>4</v>
      </c>
      <c r="AD1874" s="4">
        <v>112</v>
      </c>
      <c r="AE1874" s="4">
        <v>114</v>
      </c>
      <c r="AF1874" s="4">
        <v>0</v>
      </c>
      <c r="AG1874" s="4">
        <v>0</v>
      </c>
      <c r="AH1874" s="4">
        <v>103</v>
      </c>
      <c r="AI1874" s="4">
        <v>104</v>
      </c>
      <c r="AJ1874" s="4">
        <v>15</v>
      </c>
      <c r="AK1874" s="4">
        <v>15</v>
      </c>
      <c r="AL1874" s="4">
        <v>55</v>
      </c>
      <c r="AM1874" s="4">
        <v>56</v>
      </c>
      <c r="AN1874" s="4">
        <v>0</v>
      </c>
      <c r="AO1874" s="4">
        <v>0</v>
      </c>
      <c r="AP1874" s="4">
        <v>16</v>
      </c>
      <c r="AQ1874" s="4">
        <v>17</v>
      </c>
      <c r="AR1874" s="3" t="s">
        <v>63</v>
      </c>
      <c r="AS1874" s="3" t="s">
        <v>63</v>
      </c>
      <c r="AT1874" s="3" t="s">
        <v>62</v>
      </c>
      <c r="AU1874" s="6" t="str">
        <f>HYPERLINK("http://catalog.hathitrust.org/Record/001301703","HathiTrust Record")</f>
        <v>HathiTrust Record</v>
      </c>
      <c r="AV1874" s="6" t="str">
        <f>HYPERLINK("http://mcgill.on.worldcat.org/oclc/18779524","Catalog Record")</f>
        <v>Catalog Record</v>
      </c>
      <c r="AW1874" s="6" t="str">
        <f>HYPERLINK("http://www.worldcat.org/oclc/18779524","WorldCat Record")</f>
        <v>WorldCat Record</v>
      </c>
      <c r="AX1874" s="3" t="s">
        <v>16277</v>
      </c>
      <c r="AY1874" s="3" t="s">
        <v>16278</v>
      </c>
      <c r="AZ1874" s="3" t="s">
        <v>16279</v>
      </c>
      <c r="BA1874" s="3" t="s">
        <v>16279</v>
      </c>
      <c r="BB1874" s="3" t="s">
        <v>16280</v>
      </c>
      <c r="BC1874" s="3" t="s">
        <v>82</v>
      </c>
      <c r="BD1874" s="3" t="s">
        <v>70</v>
      </c>
      <c r="BE1874" s="3" t="s">
        <v>16281</v>
      </c>
      <c r="BF1874" s="3" t="s">
        <v>16280</v>
      </c>
      <c r="BG1874" s="3" t="s">
        <v>16282</v>
      </c>
    </row>
    <row r="1875" spans="1:59" ht="60" x14ac:dyDescent="0.25">
      <c r="A1875" s="2" t="s">
        <v>59</v>
      </c>
      <c r="B1875" s="2" t="s">
        <v>60</v>
      </c>
      <c r="C1875" s="2" t="s">
        <v>16283</v>
      </c>
      <c r="D1875" s="2" t="s">
        <v>16284</v>
      </c>
      <c r="E1875" s="2" t="s">
        <v>16285</v>
      </c>
      <c r="G1875" s="3" t="s">
        <v>63</v>
      </c>
      <c r="I1875" s="3" t="s">
        <v>63</v>
      </c>
      <c r="J1875" s="3" t="s">
        <v>63</v>
      </c>
      <c r="K1875" s="3" t="s">
        <v>64</v>
      </c>
      <c r="L1875" s="2" t="s">
        <v>16286</v>
      </c>
      <c r="M1875" s="2" t="s">
        <v>16287</v>
      </c>
      <c r="N1875" s="3" t="s">
        <v>1226</v>
      </c>
      <c r="P1875" s="3" t="s">
        <v>66</v>
      </c>
      <c r="R1875" s="3" t="s">
        <v>67</v>
      </c>
      <c r="S1875" s="4">
        <v>4</v>
      </c>
      <c r="T1875" s="4">
        <v>4</v>
      </c>
      <c r="U1875" s="5" t="s">
        <v>16288</v>
      </c>
      <c r="V1875" s="5" t="s">
        <v>16288</v>
      </c>
      <c r="W1875" s="5" t="s">
        <v>69</v>
      </c>
      <c r="X1875" s="5" t="s">
        <v>69</v>
      </c>
      <c r="Y1875" s="4">
        <v>180</v>
      </c>
      <c r="Z1875" s="4">
        <v>12</v>
      </c>
      <c r="AA1875" s="4">
        <v>12</v>
      </c>
      <c r="AB1875" s="4">
        <v>1</v>
      </c>
      <c r="AC1875" s="4">
        <v>1</v>
      </c>
      <c r="AD1875" s="4">
        <v>86</v>
      </c>
      <c r="AE1875" s="4">
        <v>86</v>
      </c>
      <c r="AF1875" s="4">
        <v>0</v>
      </c>
      <c r="AG1875" s="4">
        <v>0</v>
      </c>
      <c r="AH1875" s="4">
        <v>81</v>
      </c>
      <c r="AI1875" s="4">
        <v>81</v>
      </c>
      <c r="AJ1875" s="4">
        <v>10</v>
      </c>
      <c r="AK1875" s="4">
        <v>10</v>
      </c>
      <c r="AL1875" s="4">
        <v>48</v>
      </c>
      <c r="AM1875" s="4">
        <v>48</v>
      </c>
      <c r="AN1875" s="4">
        <v>0</v>
      </c>
      <c r="AO1875" s="4">
        <v>0</v>
      </c>
      <c r="AP1875" s="4">
        <v>10</v>
      </c>
      <c r="AQ1875" s="4">
        <v>10</v>
      </c>
      <c r="AR1875" s="3" t="s">
        <v>63</v>
      </c>
      <c r="AS1875" s="3" t="s">
        <v>63</v>
      </c>
      <c r="AT1875" s="3" t="s">
        <v>62</v>
      </c>
      <c r="AU1875" s="6" t="str">
        <f>HYPERLINK("http://catalog.hathitrust.org/Record/004321526","HathiTrust Record")</f>
        <v>HathiTrust Record</v>
      </c>
      <c r="AV1875" s="6" t="str">
        <f>HYPERLINK("http://mcgill.on.worldcat.org/oclc/51251700","Catalog Record")</f>
        <v>Catalog Record</v>
      </c>
      <c r="AW1875" s="6" t="str">
        <f>HYPERLINK("http://www.worldcat.org/oclc/51251700","WorldCat Record")</f>
        <v>WorldCat Record</v>
      </c>
      <c r="AX1875" s="3" t="s">
        <v>16289</v>
      </c>
      <c r="AY1875" s="3" t="s">
        <v>16290</v>
      </c>
      <c r="AZ1875" s="3" t="s">
        <v>16291</v>
      </c>
      <c r="BA1875" s="3" t="s">
        <v>16291</v>
      </c>
      <c r="BB1875" s="3" t="s">
        <v>16292</v>
      </c>
      <c r="BC1875" s="3" t="s">
        <v>82</v>
      </c>
      <c r="BD1875" s="3" t="s">
        <v>70</v>
      </c>
      <c r="BE1875" s="3" t="s">
        <v>16293</v>
      </c>
      <c r="BF1875" s="3" t="s">
        <v>16292</v>
      </c>
      <c r="BG1875" s="3" t="s">
        <v>16294</v>
      </c>
    </row>
    <row r="1876" spans="1:59" ht="60" x14ac:dyDescent="0.25">
      <c r="A1876" s="2" t="s">
        <v>59</v>
      </c>
      <c r="B1876" s="2" t="s">
        <v>60</v>
      </c>
      <c r="C1876" s="2" t="s">
        <v>16295</v>
      </c>
      <c r="D1876" s="2" t="s">
        <v>16296</v>
      </c>
      <c r="E1876" s="2" t="s">
        <v>16297</v>
      </c>
      <c r="G1876" s="3" t="s">
        <v>63</v>
      </c>
      <c r="I1876" s="3" t="s">
        <v>63</v>
      </c>
      <c r="J1876" s="3" t="s">
        <v>63</v>
      </c>
      <c r="K1876" s="3" t="s">
        <v>64</v>
      </c>
      <c r="L1876" s="2" t="s">
        <v>16298</v>
      </c>
      <c r="M1876" s="2" t="s">
        <v>3986</v>
      </c>
      <c r="N1876" s="3" t="s">
        <v>313</v>
      </c>
      <c r="P1876" s="3" t="s">
        <v>90</v>
      </c>
      <c r="R1876" s="3" t="s">
        <v>67</v>
      </c>
      <c r="S1876" s="4">
        <v>0</v>
      </c>
      <c r="T1876" s="4">
        <v>0</v>
      </c>
      <c r="W1876" s="5" t="s">
        <v>69</v>
      </c>
      <c r="X1876" s="5" t="s">
        <v>69</v>
      </c>
      <c r="Y1876" s="4">
        <v>29</v>
      </c>
      <c r="Z1876" s="4">
        <v>3</v>
      </c>
      <c r="AA1876" s="4">
        <v>3</v>
      </c>
      <c r="AB1876" s="4">
        <v>1</v>
      </c>
      <c r="AC1876" s="4">
        <v>1</v>
      </c>
      <c r="AD1876" s="4">
        <v>24</v>
      </c>
      <c r="AE1876" s="4">
        <v>24</v>
      </c>
      <c r="AF1876" s="4">
        <v>0</v>
      </c>
      <c r="AG1876" s="4">
        <v>0</v>
      </c>
      <c r="AH1876" s="4">
        <v>23</v>
      </c>
      <c r="AI1876" s="4">
        <v>23</v>
      </c>
      <c r="AJ1876" s="4">
        <v>2</v>
      </c>
      <c r="AK1876" s="4">
        <v>2</v>
      </c>
      <c r="AL1876" s="4">
        <v>19</v>
      </c>
      <c r="AM1876" s="4">
        <v>19</v>
      </c>
      <c r="AN1876" s="4">
        <v>0</v>
      </c>
      <c r="AO1876" s="4">
        <v>0</v>
      </c>
      <c r="AP1876" s="4">
        <v>2</v>
      </c>
      <c r="AQ1876" s="4">
        <v>2</v>
      </c>
      <c r="AR1876" s="3" t="s">
        <v>63</v>
      </c>
      <c r="AS1876" s="3" t="s">
        <v>63</v>
      </c>
      <c r="AT1876" s="3" t="s">
        <v>63</v>
      </c>
      <c r="AV1876" s="6" t="str">
        <f>HYPERLINK("http://mcgill.on.worldcat.org/oclc/670280606","Catalog Record")</f>
        <v>Catalog Record</v>
      </c>
      <c r="AW1876" s="6" t="str">
        <f>HYPERLINK("http://www.worldcat.org/oclc/670280606","WorldCat Record")</f>
        <v>WorldCat Record</v>
      </c>
      <c r="AX1876" s="3" t="s">
        <v>16299</v>
      </c>
      <c r="AY1876" s="3" t="s">
        <v>16300</v>
      </c>
      <c r="AZ1876" s="3" t="s">
        <v>16301</v>
      </c>
      <c r="BA1876" s="3" t="s">
        <v>16301</v>
      </c>
      <c r="BB1876" s="3" t="s">
        <v>16302</v>
      </c>
      <c r="BC1876" s="3" t="s">
        <v>82</v>
      </c>
      <c r="BD1876" s="3" t="s">
        <v>70</v>
      </c>
      <c r="BE1876" s="3" t="s">
        <v>16303</v>
      </c>
      <c r="BF1876" s="3" t="s">
        <v>16302</v>
      </c>
      <c r="BG1876" s="3" t="s">
        <v>16304</v>
      </c>
    </row>
    <row r="1877" spans="1:59" ht="60" x14ac:dyDescent="0.25">
      <c r="A1877" s="2" t="s">
        <v>59</v>
      </c>
      <c r="B1877" s="2" t="s">
        <v>60</v>
      </c>
      <c r="C1877" s="2" t="s">
        <v>16305</v>
      </c>
      <c r="D1877" s="2" t="s">
        <v>16306</v>
      </c>
      <c r="E1877" s="2" t="s">
        <v>16307</v>
      </c>
      <c r="G1877" s="3" t="s">
        <v>63</v>
      </c>
      <c r="I1877" s="3" t="s">
        <v>63</v>
      </c>
      <c r="J1877" s="3" t="s">
        <v>63</v>
      </c>
      <c r="K1877" s="3" t="s">
        <v>64</v>
      </c>
      <c r="M1877" s="2" t="s">
        <v>643</v>
      </c>
      <c r="N1877" s="3" t="s">
        <v>76</v>
      </c>
      <c r="P1877" s="3" t="s">
        <v>66</v>
      </c>
      <c r="Q1877" s="2" t="s">
        <v>5117</v>
      </c>
      <c r="R1877" s="3" t="s">
        <v>67</v>
      </c>
      <c r="S1877" s="4">
        <v>0</v>
      </c>
      <c r="T1877" s="4">
        <v>0</v>
      </c>
      <c r="W1877" s="5" t="s">
        <v>69</v>
      </c>
      <c r="X1877" s="5" t="s">
        <v>69</v>
      </c>
      <c r="Y1877" s="4">
        <v>168</v>
      </c>
      <c r="Z1877" s="4">
        <v>13</v>
      </c>
      <c r="AA1877" s="4">
        <v>96</v>
      </c>
      <c r="AB1877" s="4">
        <v>1</v>
      </c>
      <c r="AC1877" s="4">
        <v>17</v>
      </c>
      <c r="AD1877" s="4">
        <v>72</v>
      </c>
      <c r="AE1877" s="4">
        <v>135</v>
      </c>
      <c r="AF1877" s="4">
        <v>0</v>
      </c>
      <c r="AG1877" s="4">
        <v>8</v>
      </c>
      <c r="AH1877" s="4">
        <v>67</v>
      </c>
      <c r="AI1877" s="4">
        <v>97</v>
      </c>
      <c r="AJ1877" s="4">
        <v>9</v>
      </c>
      <c r="AK1877" s="4">
        <v>22</v>
      </c>
      <c r="AL1877" s="4">
        <v>42</v>
      </c>
      <c r="AM1877" s="4">
        <v>54</v>
      </c>
      <c r="AN1877" s="4">
        <v>0</v>
      </c>
      <c r="AO1877" s="4">
        <v>0</v>
      </c>
      <c r="AP1877" s="4">
        <v>9</v>
      </c>
      <c r="AQ1877" s="4">
        <v>44</v>
      </c>
      <c r="AR1877" s="3" t="s">
        <v>63</v>
      </c>
      <c r="AS1877" s="3" t="s">
        <v>63</v>
      </c>
      <c r="AT1877" s="3" t="s">
        <v>63</v>
      </c>
      <c r="AV1877" s="6" t="str">
        <f>HYPERLINK("http://mcgill.on.worldcat.org/oclc/757838340","Catalog Record")</f>
        <v>Catalog Record</v>
      </c>
      <c r="AW1877" s="6" t="str">
        <f>HYPERLINK("http://www.worldcat.org/oclc/757838340","WorldCat Record")</f>
        <v>WorldCat Record</v>
      </c>
      <c r="AX1877" s="3" t="s">
        <v>16308</v>
      </c>
      <c r="AY1877" s="3" t="s">
        <v>16309</v>
      </c>
      <c r="AZ1877" s="3" t="s">
        <v>16310</v>
      </c>
      <c r="BA1877" s="3" t="s">
        <v>16310</v>
      </c>
      <c r="BB1877" s="3" t="s">
        <v>16311</v>
      </c>
      <c r="BC1877" s="3" t="s">
        <v>82</v>
      </c>
      <c r="BD1877" s="3" t="s">
        <v>70</v>
      </c>
      <c r="BE1877" s="3" t="s">
        <v>16312</v>
      </c>
      <c r="BF1877" s="3" t="s">
        <v>16311</v>
      </c>
      <c r="BG1877" s="3" t="s">
        <v>16313</v>
      </c>
    </row>
    <row r="1878" spans="1:59" ht="60" x14ac:dyDescent="0.25">
      <c r="A1878" s="2" t="s">
        <v>59</v>
      </c>
      <c r="B1878" s="2" t="s">
        <v>60</v>
      </c>
      <c r="C1878" s="2" t="s">
        <v>16314</v>
      </c>
      <c r="D1878" s="2" t="s">
        <v>16315</v>
      </c>
      <c r="E1878" s="2" t="s">
        <v>16316</v>
      </c>
      <c r="G1878" s="3" t="s">
        <v>63</v>
      </c>
      <c r="I1878" s="3" t="s">
        <v>63</v>
      </c>
      <c r="J1878" s="3" t="s">
        <v>63</v>
      </c>
      <c r="K1878" s="3" t="s">
        <v>64</v>
      </c>
      <c r="L1878" s="2" t="s">
        <v>16317</v>
      </c>
      <c r="M1878" s="2" t="s">
        <v>16318</v>
      </c>
      <c r="N1878" s="3" t="s">
        <v>826</v>
      </c>
      <c r="P1878" s="3" t="s">
        <v>66</v>
      </c>
      <c r="Q1878" s="2" t="s">
        <v>16319</v>
      </c>
      <c r="R1878" s="3" t="s">
        <v>67</v>
      </c>
      <c r="S1878" s="4">
        <v>21</v>
      </c>
      <c r="T1878" s="4">
        <v>21</v>
      </c>
      <c r="U1878" s="5" t="s">
        <v>759</v>
      </c>
      <c r="V1878" s="5" t="s">
        <v>759</v>
      </c>
      <c r="W1878" s="5" t="s">
        <v>69</v>
      </c>
      <c r="X1878" s="5" t="s">
        <v>69</v>
      </c>
      <c r="Y1878" s="4">
        <v>899</v>
      </c>
      <c r="Z1878" s="4">
        <v>41</v>
      </c>
      <c r="AA1878" s="4">
        <v>45</v>
      </c>
      <c r="AB1878" s="4">
        <v>4</v>
      </c>
      <c r="AC1878" s="4">
        <v>5</v>
      </c>
      <c r="AD1878" s="4">
        <v>131</v>
      </c>
      <c r="AE1878" s="4">
        <v>134</v>
      </c>
      <c r="AF1878" s="4">
        <v>2</v>
      </c>
      <c r="AG1878" s="4">
        <v>3</v>
      </c>
      <c r="AH1878" s="4">
        <v>107</v>
      </c>
      <c r="AI1878" s="4">
        <v>108</v>
      </c>
      <c r="AJ1878" s="4">
        <v>20</v>
      </c>
      <c r="AK1878" s="4">
        <v>22</v>
      </c>
      <c r="AL1878" s="4">
        <v>58</v>
      </c>
      <c r="AM1878" s="4">
        <v>58</v>
      </c>
      <c r="AN1878" s="4">
        <v>0</v>
      </c>
      <c r="AO1878" s="4">
        <v>0</v>
      </c>
      <c r="AP1878" s="4">
        <v>29</v>
      </c>
      <c r="AQ1878" s="4">
        <v>32</v>
      </c>
      <c r="AR1878" s="3" t="s">
        <v>63</v>
      </c>
      <c r="AS1878" s="3" t="s">
        <v>63</v>
      </c>
      <c r="AT1878" s="3" t="s">
        <v>62</v>
      </c>
      <c r="AU1878" s="6" t="str">
        <f>HYPERLINK("http://catalog.hathitrust.org/Record/000002060","HathiTrust Record")</f>
        <v>HathiTrust Record</v>
      </c>
      <c r="AV1878" s="6" t="str">
        <f>HYPERLINK("http://mcgill.on.worldcat.org/oclc/139860","Catalog Record")</f>
        <v>Catalog Record</v>
      </c>
      <c r="AW1878" s="6" t="str">
        <f>HYPERLINK("http://www.worldcat.org/oclc/139860","WorldCat Record")</f>
        <v>WorldCat Record</v>
      </c>
      <c r="AX1878" s="3" t="s">
        <v>16320</v>
      </c>
      <c r="AY1878" s="3" t="s">
        <v>16321</v>
      </c>
      <c r="AZ1878" s="3" t="s">
        <v>16322</v>
      </c>
      <c r="BA1878" s="3" t="s">
        <v>16322</v>
      </c>
      <c r="BB1878" s="3" t="s">
        <v>16323</v>
      </c>
      <c r="BC1878" s="3" t="s">
        <v>82</v>
      </c>
      <c r="BD1878" s="3" t="s">
        <v>70</v>
      </c>
      <c r="BE1878" s="3" t="s">
        <v>16324</v>
      </c>
      <c r="BF1878" s="3" t="s">
        <v>16323</v>
      </c>
      <c r="BG1878" s="3" t="s">
        <v>16325</v>
      </c>
    </row>
    <row r="1879" spans="1:59" ht="60" x14ac:dyDescent="0.25">
      <c r="A1879" s="2" t="s">
        <v>59</v>
      </c>
      <c r="B1879" s="2" t="s">
        <v>60</v>
      </c>
      <c r="C1879" s="2" t="s">
        <v>16326</v>
      </c>
      <c r="D1879" s="2" t="s">
        <v>16327</v>
      </c>
      <c r="E1879" s="2" t="s">
        <v>16328</v>
      </c>
      <c r="G1879" s="3" t="s">
        <v>63</v>
      </c>
      <c r="I1879" s="3" t="s">
        <v>63</v>
      </c>
      <c r="J1879" s="3" t="s">
        <v>63</v>
      </c>
      <c r="K1879" s="3" t="s">
        <v>64</v>
      </c>
      <c r="L1879" s="2" t="s">
        <v>16329</v>
      </c>
      <c r="M1879" s="2" t="s">
        <v>10169</v>
      </c>
      <c r="N1879" s="3" t="s">
        <v>313</v>
      </c>
      <c r="P1879" s="3" t="s">
        <v>90</v>
      </c>
      <c r="R1879" s="3" t="s">
        <v>67</v>
      </c>
      <c r="S1879" s="4">
        <v>0</v>
      </c>
      <c r="T1879" s="4">
        <v>0</v>
      </c>
      <c r="W1879" s="5" t="s">
        <v>69</v>
      </c>
      <c r="X1879" s="5" t="s">
        <v>69</v>
      </c>
      <c r="Y1879" s="4">
        <v>37</v>
      </c>
      <c r="Z1879" s="4">
        <v>5</v>
      </c>
      <c r="AA1879" s="4">
        <v>5</v>
      </c>
      <c r="AB1879" s="4">
        <v>1</v>
      </c>
      <c r="AC1879" s="4">
        <v>1</v>
      </c>
      <c r="AD1879" s="4">
        <v>30</v>
      </c>
      <c r="AE1879" s="4">
        <v>30</v>
      </c>
      <c r="AF1879" s="4">
        <v>0</v>
      </c>
      <c r="AG1879" s="4">
        <v>0</v>
      </c>
      <c r="AH1879" s="4">
        <v>29</v>
      </c>
      <c r="AI1879" s="4">
        <v>29</v>
      </c>
      <c r="AJ1879" s="4">
        <v>3</v>
      </c>
      <c r="AK1879" s="4">
        <v>3</v>
      </c>
      <c r="AL1879" s="4">
        <v>24</v>
      </c>
      <c r="AM1879" s="4">
        <v>24</v>
      </c>
      <c r="AN1879" s="4">
        <v>5</v>
      </c>
      <c r="AO1879" s="4">
        <v>5</v>
      </c>
      <c r="AP1879" s="4">
        <v>3</v>
      </c>
      <c r="AQ1879" s="4">
        <v>3</v>
      </c>
      <c r="AR1879" s="3" t="s">
        <v>63</v>
      </c>
      <c r="AS1879" s="3" t="s">
        <v>63</v>
      </c>
      <c r="AT1879" s="3" t="s">
        <v>62</v>
      </c>
      <c r="AU1879" s="6" t="str">
        <f>HYPERLINK("http://catalog.hathitrust.org/Record/010595860","HathiTrust Record")</f>
        <v>HathiTrust Record</v>
      </c>
      <c r="AV1879" s="6" t="str">
        <f>HYPERLINK("http://mcgill.on.worldcat.org/oclc/650974875","Catalog Record")</f>
        <v>Catalog Record</v>
      </c>
      <c r="AW1879" s="6" t="str">
        <f>HYPERLINK("http://www.worldcat.org/oclc/650974875","WorldCat Record")</f>
        <v>WorldCat Record</v>
      </c>
      <c r="AX1879" s="3" t="s">
        <v>16330</v>
      </c>
      <c r="AY1879" s="3" t="s">
        <v>16331</v>
      </c>
      <c r="AZ1879" s="3" t="s">
        <v>16332</v>
      </c>
      <c r="BA1879" s="3" t="s">
        <v>16332</v>
      </c>
      <c r="BB1879" s="3" t="s">
        <v>16333</v>
      </c>
      <c r="BC1879" s="3" t="s">
        <v>82</v>
      </c>
      <c r="BD1879" s="3" t="s">
        <v>70</v>
      </c>
      <c r="BE1879" s="3" t="s">
        <v>16334</v>
      </c>
      <c r="BF1879" s="3" t="s">
        <v>16333</v>
      </c>
      <c r="BG1879" s="3" t="s">
        <v>16335</v>
      </c>
    </row>
    <row r="1880" spans="1:59" ht="60" x14ac:dyDescent="0.25">
      <c r="A1880" s="2" t="s">
        <v>59</v>
      </c>
      <c r="B1880" s="2" t="s">
        <v>60</v>
      </c>
      <c r="C1880" s="2" t="s">
        <v>16336</v>
      </c>
      <c r="D1880" s="2" t="s">
        <v>16337</v>
      </c>
      <c r="E1880" s="2" t="s">
        <v>16338</v>
      </c>
      <c r="G1880" s="3" t="s">
        <v>63</v>
      </c>
      <c r="I1880" s="3" t="s">
        <v>63</v>
      </c>
      <c r="J1880" s="3" t="s">
        <v>62</v>
      </c>
      <c r="K1880" s="3" t="s">
        <v>64</v>
      </c>
      <c r="L1880" s="2" t="s">
        <v>16339</v>
      </c>
      <c r="M1880" s="2" t="s">
        <v>16340</v>
      </c>
      <c r="N1880" s="3" t="s">
        <v>814</v>
      </c>
      <c r="P1880" s="3" t="s">
        <v>90</v>
      </c>
      <c r="R1880" s="3" t="s">
        <v>67</v>
      </c>
      <c r="S1880" s="4">
        <v>1</v>
      </c>
      <c r="T1880" s="4">
        <v>1</v>
      </c>
      <c r="U1880" s="5" t="s">
        <v>694</v>
      </c>
      <c r="V1880" s="5" t="s">
        <v>694</v>
      </c>
      <c r="W1880" s="5" t="s">
        <v>69</v>
      </c>
      <c r="X1880" s="5" t="s">
        <v>69</v>
      </c>
      <c r="Y1880" s="4">
        <v>95</v>
      </c>
      <c r="Z1880" s="4">
        <v>7</v>
      </c>
      <c r="AA1880" s="4">
        <v>13</v>
      </c>
      <c r="AB1880" s="4">
        <v>1</v>
      </c>
      <c r="AC1880" s="4">
        <v>1</v>
      </c>
      <c r="AD1880" s="4">
        <v>57</v>
      </c>
      <c r="AE1880" s="4">
        <v>66</v>
      </c>
      <c r="AF1880" s="4">
        <v>0</v>
      </c>
      <c r="AG1880" s="4">
        <v>0</v>
      </c>
      <c r="AH1880" s="4">
        <v>53</v>
      </c>
      <c r="AI1880" s="4">
        <v>61</v>
      </c>
      <c r="AJ1880" s="4">
        <v>5</v>
      </c>
      <c r="AK1880" s="4">
        <v>10</v>
      </c>
      <c r="AL1880" s="4">
        <v>36</v>
      </c>
      <c r="AM1880" s="4">
        <v>39</v>
      </c>
      <c r="AN1880" s="4">
        <v>0</v>
      </c>
      <c r="AO1880" s="4">
        <v>0</v>
      </c>
      <c r="AP1880" s="4">
        <v>5</v>
      </c>
      <c r="AQ1880" s="4">
        <v>10</v>
      </c>
      <c r="AR1880" s="3" t="s">
        <v>63</v>
      </c>
      <c r="AS1880" s="3" t="s">
        <v>63</v>
      </c>
      <c r="AT1880" s="3" t="s">
        <v>62</v>
      </c>
      <c r="AU1880" s="6" t="str">
        <f>HYPERLINK("http://catalog.hathitrust.org/Record/000302663","HathiTrust Record")</f>
        <v>HathiTrust Record</v>
      </c>
      <c r="AV1880" s="6" t="str">
        <f>HYPERLINK("http://mcgill.on.worldcat.org/oclc/5054758","Catalog Record")</f>
        <v>Catalog Record</v>
      </c>
      <c r="AW1880" s="6" t="str">
        <f>HYPERLINK("http://www.worldcat.org/oclc/5054758","WorldCat Record")</f>
        <v>WorldCat Record</v>
      </c>
      <c r="AX1880" s="3" t="s">
        <v>16341</v>
      </c>
      <c r="AY1880" s="3" t="s">
        <v>16342</v>
      </c>
      <c r="AZ1880" s="3" t="s">
        <v>16343</v>
      </c>
      <c r="BA1880" s="3" t="s">
        <v>16343</v>
      </c>
      <c r="BB1880" s="3" t="s">
        <v>16344</v>
      </c>
      <c r="BC1880" s="3" t="s">
        <v>82</v>
      </c>
      <c r="BD1880" s="3" t="s">
        <v>70</v>
      </c>
      <c r="BF1880" s="3" t="s">
        <v>16344</v>
      </c>
      <c r="BG1880" s="3" t="s">
        <v>16345</v>
      </c>
    </row>
    <row r="1881" spans="1:59" ht="60" x14ac:dyDescent="0.25">
      <c r="A1881" s="2" t="s">
        <v>59</v>
      </c>
      <c r="B1881" s="2" t="s">
        <v>60</v>
      </c>
      <c r="C1881" s="2" t="s">
        <v>16346</v>
      </c>
      <c r="D1881" s="2" t="s">
        <v>16347</v>
      </c>
      <c r="E1881" s="2" t="s">
        <v>16348</v>
      </c>
      <c r="G1881" s="3" t="s">
        <v>63</v>
      </c>
      <c r="I1881" s="3" t="s">
        <v>63</v>
      </c>
      <c r="J1881" s="3" t="s">
        <v>62</v>
      </c>
      <c r="K1881" s="3" t="s">
        <v>64</v>
      </c>
      <c r="L1881" s="2" t="s">
        <v>15683</v>
      </c>
      <c r="M1881" s="2" t="s">
        <v>16349</v>
      </c>
      <c r="N1881" s="3" t="s">
        <v>3640</v>
      </c>
      <c r="P1881" s="3" t="s">
        <v>66</v>
      </c>
      <c r="R1881" s="3" t="s">
        <v>67</v>
      </c>
      <c r="S1881" s="4">
        <v>27</v>
      </c>
      <c r="T1881" s="4">
        <v>27</v>
      </c>
      <c r="U1881" s="5" t="s">
        <v>694</v>
      </c>
      <c r="V1881" s="5" t="s">
        <v>694</v>
      </c>
      <c r="W1881" s="5" t="s">
        <v>69</v>
      </c>
      <c r="X1881" s="5" t="s">
        <v>69</v>
      </c>
      <c r="Y1881" s="4">
        <v>444</v>
      </c>
      <c r="Z1881" s="4">
        <v>29</v>
      </c>
      <c r="AA1881" s="4">
        <v>42</v>
      </c>
      <c r="AB1881" s="4">
        <v>1</v>
      </c>
      <c r="AC1881" s="4">
        <v>3</v>
      </c>
      <c r="AD1881" s="4">
        <v>107</v>
      </c>
      <c r="AE1881" s="4">
        <v>129</v>
      </c>
      <c r="AF1881" s="4">
        <v>0</v>
      </c>
      <c r="AG1881" s="4">
        <v>2</v>
      </c>
      <c r="AH1881" s="4">
        <v>92</v>
      </c>
      <c r="AI1881" s="4">
        <v>109</v>
      </c>
      <c r="AJ1881" s="4">
        <v>17</v>
      </c>
      <c r="AK1881" s="4">
        <v>23</v>
      </c>
      <c r="AL1881" s="4">
        <v>51</v>
      </c>
      <c r="AM1881" s="4">
        <v>57</v>
      </c>
      <c r="AN1881" s="4">
        <v>0</v>
      </c>
      <c r="AO1881" s="4">
        <v>0</v>
      </c>
      <c r="AP1881" s="4">
        <v>20</v>
      </c>
      <c r="AQ1881" s="4">
        <v>29</v>
      </c>
      <c r="AR1881" s="3" t="s">
        <v>63</v>
      </c>
      <c r="AS1881" s="3" t="s">
        <v>63</v>
      </c>
      <c r="AT1881" s="3" t="s">
        <v>63</v>
      </c>
      <c r="AV1881" s="6" t="str">
        <f>HYPERLINK("http://mcgill.on.worldcat.org/oclc/8729194","Catalog Record")</f>
        <v>Catalog Record</v>
      </c>
      <c r="AW1881" s="6" t="str">
        <f>HYPERLINK("http://www.worldcat.org/oclc/8729194","WorldCat Record")</f>
        <v>WorldCat Record</v>
      </c>
      <c r="AX1881" s="3" t="s">
        <v>15609</v>
      </c>
      <c r="AY1881" s="3" t="s">
        <v>16350</v>
      </c>
      <c r="AZ1881" s="3" t="s">
        <v>16351</v>
      </c>
      <c r="BA1881" s="3" t="s">
        <v>16351</v>
      </c>
      <c r="BB1881" s="3" t="s">
        <v>16352</v>
      </c>
      <c r="BC1881" s="3" t="s">
        <v>82</v>
      </c>
      <c r="BD1881" s="3" t="s">
        <v>70</v>
      </c>
      <c r="BE1881" s="3" t="s">
        <v>16353</v>
      </c>
      <c r="BF1881" s="3" t="s">
        <v>16352</v>
      </c>
      <c r="BG1881" s="3" t="s">
        <v>16354</v>
      </c>
    </row>
    <row r="1882" spans="1:59" ht="60" x14ac:dyDescent="0.25">
      <c r="A1882" s="2" t="s">
        <v>59</v>
      </c>
      <c r="B1882" s="2" t="s">
        <v>60</v>
      </c>
      <c r="C1882" s="2" t="s">
        <v>16355</v>
      </c>
      <c r="D1882" s="2" t="s">
        <v>16356</v>
      </c>
      <c r="E1882" s="2" t="s">
        <v>16357</v>
      </c>
      <c r="G1882" s="3" t="s">
        <v>63</v>
      </c>
      <c r="I1882" s="3" t="s">
        <v>63</v>
      </c>
      <c r="J1882" s="3" t="s">
        <v>63</v>
      </c>
      <c r="K1882" s="3" t="s">
        <v>64</v>
      </c>
      <c r="M1882" s="2" t="s">
        <v>16358</v>
      </c>
      <c r="N1882" s="3" t="s">
        <v>234</v>
      </c>
      <c r="O1882" s="2" t="s">
        <v>590</v>
      </c>
      <c r="P1882" s="3" t="s">
        <v>66</v>
      </c>
      <c r="Q1882" s="2" t="s">
        <v>8323</v>
      </c>
      <c r="R1882" s="3" t="s">
        <v>67</v>
      </c>
      <c r="S1882" s="4">
        <v>21</v>
      </c>
      <c r="T1882" s="4">
        <v>21</v>
      </c>
      <c r="U1882" s="5" t="s">
        <v>6873</v>
      </c>
      <c r="V1882" s="5" t="s">
        <v>6873</v>
      </c>
      <c r="W1882" s="5" t="s">
        <v>69</v>
      </c>
      <c r="X1882" s="5" t="s">
        <v>69</v>
      </c>
      <c r="Y1882" s="4">
        <v>342</v>
      </c>
      <c r="Z1882" s="4">
        <v>21</v>
      </c>
      <c r="AA1882" s="4">
        <v>29</v>
      </c>
      <c r="AB1882" s="4">
        <v>1</v>
      </c>
      <c r="AC1882" s="4">
        <v>5</v>
      </c>
      <c r="AD1882" s="4">
        <v>99</v>
      </c>
      <c r="AE1882" s="4">
        <v>109</v>
      </c>
      <c r="AF1882" s="4">
        <v>0</v>
      </c>
      <c r="AG1882" s="4">
        <v>3</v>
      </c>
      <c r="AH1882" s="4">
        <v>91</v>
      </c>
      <c r="AI1882" s="4">
        <v>96</v>
      </c>
      <c r="AJ1882" s="4">
        <v>13</v>
      </c>
      <c r="AK1882" s="4">
        <v>18</v>
      </c>
      <c r="AL1882" s="4">
        <v>50</v>
      </c>
      <c r="AM1882" s="4">
        <v>52</v>
      </c>
      <c r="AN1882" s="4">
        <v>0</v>
      </c>
      <c r="AO1882" s="4">
        <v>0</v>
      </c>
      <c r="AP1882" s="4">
        <v>14</v>
      </c>
      <c r="AQ1882" s="4">
        <v>19</v>
      </c>
      <c r="AR1882" s="3" t="s">
        <v>63</v>
      </c>
      <c r="AS1882" s="3" t="s">
        <v>63</v>
      </c>
      <c r="AT1882" s="3" t="s">
        <v>63</v>
      </c>
      <c r="AV1882" s="6" t="str">
        <f>HYPERLINK("http://mcgill.on.worldcat.org/oclc/71808129","Catalog Record")</f>
        <v>Catalog Record</v>
      </c>
      <c r="AW1882" s="6" t="str">
        <f>HYPERLINK("http://www.worldcat.org/oclc/71808129","WorldCat Record")</f>
        <v>WorldCat Record</v>
      </c>
      <c r="AX1882" s="3" t="s">
        <v>16359</v>
      </c>
      <c r="AY1882" s="3" t="s">
        <v>16360</v>
      </c>
      <c r="AZ1882" s="3" t="s">
        <v>16361</v>
      </c>
      <c r="BA1882" s="3" t="s">
        <v>16361</v>
      </c>
      <c r="BB1882" s="3" t="s">
        <v>16362</v>
      </c>
      <c r="BC1882" s="3" t="s">
        <v>82</v>
      </c>
      <c r="BD1882" s="3" t="s">
        <v>70</v>
      </c>
      <c r="BE1882" s="3" t="s">
        <v>16363</v>
      </c>
      <c r="BF1882" s="3" t="s">
        <v>16362</v>
      </c>
      <c r="BG1882" s="3" t="s">
        <v>16364</v>
      </c>
    </row>
    <row r="1883" spans="1:59" ht="60" x14ac:dyDescent="0.25">
      <c r="A1883" s="2" t="s">
        <v>59</v>
      </c>
      <c r="B1883" s="2" t="s">
        <v>60</v>
      </c>
      <c r="C1883" s="2" t="s">
        <v>16365</v>
      </c>
      <c r="D1883" s="2" t="s">
        <v>16366</v>
      </c>
      <c r="E1883" s="2" t="s">
        <v>16367</v>
      </c>
      <c r="G1883" s="3" t="s">
        <v>63</v>
      </c>
      <c r="I1883" s="3" t="s">
        <v>63</v>
      </c>
      <c r="J1883" s="3" t="s">
        <v>63</v>
      </c>
      <c r="K1883" s="3" t="s">
        <v>64</v>
      </c>
      <c r="L1883" s="2" t="s">
        <v>16368</v>
      </c>
      <c r="M1883" s="2" t="s">
        <v>4910</v>
      </c>
      <c r="N1883" s="3" t="s">
        <v>1113</v>
      </c>
      <c r="P1883" s="3" t="s">
        <v>66</v>
      </c>
      <c r="R1883" s="3" t="s">
        <v>67</v>
      </c>
      <c r="S1883" s="4">
        <v>20</v>
      </c>
      <c r="T1883" s="4">
        <v>20</v>
      </c>
      <c r="U1883" s="5" t="s">
        <v>12910</v>
      </c>
      <c r="V1883" s="5" t="s">
        <v>12910</v>
      </c>
      <c r="W1883" s="5" t="s">
        <v>69</v>
      </c>
      <c r="X1883" s="5" t="s">
        <v>69</v>
      </c>
      <c r="Y1883" s="4">
        <v>348</v>
      </c>
      <c r="Z1883" s="4">
        <v>20</v>
      </c>
      <c r="AA1883" s="4">
        <v>21</v>
      </c>
      <c r="AB1883" s="4">
        <v>2</v>
      </c>
      <c r="AC1883" s="4">
        <v>3</v>
      </c>
      <c r="AD1883" s="4">
        <v>110</v>
      </c>
      <c r="AE1883" s="4">
        <v>111</v>
      </c>
      <c r="AF1883" s="4">
        <v>1</v>
      </c>
      <c r="AG1883" s="4">
        <v>2</v>
      </c>
      <c r="AH1883" s="4">
        <v>100</v>
      </c>
      <c r="AI1883" s="4">
        <v>101</v>
      </c>
      <c r="AJ1883" s="4">
        <v>14</v>
      </c>
      <c r="AK1883" s="4">
        <v>15</v>
      </c>
      <c r="AL1883" s="4">
        <v>57</v>
      </c>
      <c r="AM1883" s="4">
        <v>57</v>
      </c>
      <c r="AN1883" s="4">
        <v>0</v>
      </c>
      <c r="AO1883" s="4">
        <v>0</v>
      </c>
      <c r="AP1883" s="4">
        <v>17</v>
      </c>
      <c r="AQ1883" s="4">
        <v>18</v>
      </c>
      <c r="AR1883" s="3" t="s">
        <v>63</v>
      </c>
      <c r="AS1883" s="3" t="s">
        <v>63</v>
      </c>
      <c r="AT1883" s="3" t="s">
        <v>62</v>
      </c>
      <c r="AU1883" s="6" t="str">
        <f>HYPERLINK("http://catalog.hathitrust.org/Record/003150391","HathiTrust Record")</f>
        <v>HathiTrust Record</v>
      </c>
      <c r="AV1883" s="6" t="str">
        <f>HYPERLINK("http://mcgill.on.worldcat.org/oclc/34515241","Catalog Record")</f>
        <v>Catalog Record</v>
      </c>
      <c r="AW1883" s="6" t="str">
        <f>HYPERLINK("http://www.worldcat.org/oclc/34515241","WorldCat Record")</f>
        <v>WorldCat Record</v>
      </c>
      <c r="AX1883" s="3" t="s">
        <v>16369</v>
      </c>
      <c r="AY1883" s="3" t="s">
        <v>16370</v>
      </c>
      <c r="AZ1883" s="3" t="s">
        <v>16371</v>
      </c>
      <c r="BA1883" s="3" t="s">
        <v>16371</v>
      </c>
      <c r="BB1883" s="3" t="s">
        <v>16372</v>
      </c>
      <c r="BC1883" s="3" t="s">
        <v>82</v>
      </c>
      <c r="BD1883" s="3" t="s">
        <v>70</v>
      </c>
      <c r="BE1883" s="3" t="s">
        <v>16373</v>
      </c>
      <c r="BF1883" s="3" t="s">
        <v>16372</v>
      </c>
      <c r="BG1883" s="3" t="s">
        <v>16374</v>
      </c>
    </row>
    <row r="1884" spans="1:59" ht="60" x14ac:dyDescent="0.25">
      <c r="A1884" s="2" t="s">
        <v>59</v>
      </c>
      <c r="B1884" s="2" t="s">
        <v>60</v>
      </c>
      <c r="C1884" s="2" t="s">
        <v>16375</v>
      </c>
      <c r="D1884" s="2" t="s">
        <v>16376</v>
      </c>
      <c r="E1884" s="2" t="s">
        <v>16377</v>
      </c>
      <c r="G1884" s="3" t="s">
        <v>63</v>
      </c>
      <c r="I1884" s="3" t="s">
        <v>63</v>
      </c>
      <c r="J1884" s="3" t="s">
        <v>63</v>
      </c>
      <c r="K1884" s="3" t="s">
        <v>64</v>
      </c>
      <c r="L1884" s="2" t="s">
        <v>16378</v>
      </c>
      <c r="M1884" s="2" t="s">
        <v>16379</v>
      </c>
      <c r="N1884" s="3" t="s">
        <v>2765</v>
      </c>
      <c r="P1884" s="3" t="s">
        <v>90</v>
      </c>
      <c r="Q1884" s="2" t="s">
        <v>16380</v>
      </c>
      <c r="R1884" s="3" t="s">
        <v>67</v>
      </c>
      <c r="S1884" s="4">
        <v>0</v>
      </c>
      <c r="T1884" s="4">
        <v>0</v>
      </c>
      <c r="W1884" s="5" t="s">
        <v>69</v>
      </c>
      <c r="X1884" s="5" t="s">
        <v>69</v>
      </c>
      <c r="Y1884" s="4">
        <v>43</v>
      </c>
      <c r="Z1884" s="4">
        <v>6</v>
      </c>
      <c r="AA1884" s="4">
        <v>6</v>
      </c>
      <c r="AB1884" s="4">
        <v>1</v>
      </c>
      <c r="AC1884" s="4">
        <v>1</v>
      </c>
      <c r="AD1884" s="4">
        <v>30</v>
      </c>
      <c r="AE1884" s="4">
        <v>31</v>
      </c>
      <c r="AF1884" s="4">
        <v>0</v>
      </c>
      <c r="AG1884" s="4">
        <v>0</v>
      </c>
      <c r="AH1884" s="4">
        <v>29</v>
      </c>
      <c r="AI1884" s="4">
        <v>30</v>
      </c>
      <c r="AJ1884" s="4">
        <v>4</v>
      </c>
      <c r="AK1884" s="4">
        <v>4</v>
      </c>
      <c r="AL1884" s="4">
        <v>22</v>
      </c>
      <c r="AM1884" s="4">
        <v>23</v>
      </c>
      <c r="AN1884" s="4">
        <v>0</v>
      </c>
      <c r="AO1884" s="4">
        <v>0</v>
      </c>
      <c r="AP1884" s="4">
        <v>4</v>
      </c>
      <c r="AQ1884" s="4">
        <v>4</v>
      </c>
      <c r="AR1884" s="3" t="s">
        <v>63</v>
      </c>
      <c r="AS1884" s="3" t="s">
        <v>63</v>
      </c>
      <c r="AT1884" s="3" t="s">
        <v>63</v>
      </c>
      <c r="AV1884" s="6" t="str">
        <f>HYPERLINK("http://mcgill.on.worldcat.org/oclc/906151093","Catalog Record")</f>
        <v>Catalog Record</v>
      </c>
      <c r="AW1884" s="6" t="str">
        <f>HYPERLINK("http://www.worldcat.org/oclc/906151093","WorldCat Record")</f>
        <v>WorldCat Record</v>
      </c>
      <c r="AX1884" s="3" t="s">
        <v>16381</v>
      </c>
      <c r="AY1884" s="3" t="s">
        <v>16382</v>
      </c>
      <c r="AZ1884" s="3" t="s">
        <v>16383</v>
      </c>
      <c r="BA1884" s="3" t="s">
        <v>16383</v>
      </c>
      <c r="BB1884" s="3" t="s">
        <v>16384</v>
      </c>
      <c r="BC1884" s="3" t="s">
        <v>82</v>
      </c>
      <c r="BD1884" s="3" t="s">
        <v>70</v>
      </c>
      <c r="BE1884" s="3" t="s">
        <v>16385</v>
      </c>
      <c r="BF1884" s="3" t="s">
        <v>16384</v>
      </c>
      <c r="BG1884" s="3" t="s">
        <v>16386</v>
      </c>
    </row>
    <row r="1885" spans="1:59" ht="60" x14ac:dyDescent="0.25">
      <c r="A1885" s="2" t="s">
        <v>59</v>
      </c>
      <c r="B1885" s="2" t="s">
        <v>60</v>
      </c>
      <c r="C1885" s="2" t="s">
        <v>16387</v>
      </c>
      <c r="D1885" s="2" t="s">
        <v>16388</v>
      </c>
      <c r="E1885" s="2" t="s">
        <v>16389</v>
      </c>
      <c r="G1885" s="3" t="s">
        <v>63</v>
      </c>
      <c r="I1885" s="3" t="s">
        <v>63</v>
      </c>
      <c r="J1885" s="3" t="s">
        <v>63</v>
      </c>
      <c r="K1885" s="3" t="s">
        <v>64</v>
      </c>
      <c r="L1885" s="2" t="s">
        <v>16390</v>
      </c>
      <c r="M1885" s="2" t="s">
        <v>16391</v>
      </c>
      <c r="N1885" s="3" t="s">
        <v>2459</v>
      </c>
      <c r="P1885" s="3" t="s">
        <v>66</v>
      </c>
      <c r="R1885" s="3" t="s">
        <v>67</v>
      </c>
      <c r="S1885" s="4">
        <v>3</v>
      </c>
      <c r="T1885" s="4">
        <v>3</v>
      </c>
      <c r="U1885" s="5" t="s">
        <v>15686</v>
      </c>
      <c r="V1885" s="5" t="s">
        <v>15686</v>
      </c>
      <c r="W1885" s="5" t="s">
        <v>69</v>
      </c>
      <c r="X1885" s="5" t="s">
        <v>69</v>
      </c>
      <c r="Y1885" s="4">
        <v>191</v>
      </c>
      <c r="Z1885" s="4">
        <v>14</v>
      </c>
      <c r="AA1885" s="4">
        <v>21</v>
      </c>
      <c r="AB1885" s="4">
        <v>1</v>
      </c>
      <c r="AC1885" s="4">
        <v>5</v>
      </c>
      <c r="AD1885" s="4">
        <v>76</v>
      </c>
      <c r="AE1885" s="4">
        <v>87</v>
      </c>
      <c r="AF1885" s="4">
        <v>0</v>
      </c>
      <c r="AG1885" s="4">
        <v>1</v>
      </c>
      <c r="AH1885" s="4">
        <v>70</v>
      </c>
      <c r="AI1885" s="4">
        <v>79</v>
      </c>
      <c r="AJ1885" s="4">
        <v>11</v>
      </c>
      <c r="AK1885" s="4">
        <v>12</v>
      </c>
      <c r="AL1885" s="4">
        <v>46</v>
      </c>
      <c r="AM1885" s="4">
        <v>48</v>
      </c>
      <c r="AN1885" s="4">
        <v>0</v>
      </c>
      <c r="AO1885" s="4">
        <v>0</v>
      </c>
      <c r="AP1885" s="4">
        <v>11</v>
      </c>
      <c r="AQ1885" s="4">
        <v>14</v>
      </c>
      <c r="AR1885" s="3" t="s">
        <v>63</v>
      </c>
      <c r="AS1885" s="3" t="s">
        <v>63</v>
      </c>
      <c r="AT1885" s="3" t="s">
        <v>63</v>
      </c>
      <c r="AV1885" s="6" t="str">
        <f>HYPERLINK("http://mcgill.on.worldcat.org/oclc/212893722","Catalog Record")</f>
        <v>Catalog Record</v>
      </c>
      <c r="AW1885" s="6" t="str">
        <f>HYPERLINK("http://www.worldcat.org/oclc/212893722","WorldCat Record")</f>
        <v>WorldCat Record</v>
      </c>
      <c r="AX1885" s="3" t="s">
        <v>16392</v>
      </c>
      <c r="AY1885" s="3" t="s">
        <v>16393</v>
      </c>
      <c r="AZ1885" s="3" t="s">
        <v>16394</v>
      </c>
      <c r="BA1885" s="3" t="s">
        <v>16394</v>
      </c>
      <c r="BB1885" s="3" t="s">
        <v>16395</v>
      </c>
      <c r="BC1885" s="3" t="s">
        <v>82</v>
      </c>
      <c r="BD1885" s="3" t="s">
        <v>70</v>
      </c>
      <c r="BE1885" s="3" t="s">
        <v>16396</v>
      </c>
      <c r="BF1885" s="3" t="s">
        <v>16395</v>
      </c>
      <c r="BG1885" s="3" t="s">
        <v>16397</v>
      </c>
    </row>
    <row r="1886" spans="1:59" ht="60" x14ac:dyDescent="0.25">
      <c r="A1886" s="2" t="s">
        <v>59</v>
      </c>
      <c r="B1886" s="2" t="s">
        <v>60</v>
      </c>
      <c r="C1886" s="2" t="s">
        <v>16398</v>
      </c>
      <c r="D1886" s="2" t="s">
        <v>16399</v>
      </c>
      <c r="E1886" s="2" t="s">
        <v>16400</v>
      </c>
      <c r="G1886" s="3" t="s">
        <v>63</v>
      </c>
      <c r="I1886" s="3" t="s">
        <v>63</v>
      </c>
      <c r="J1886" s="3" t="s">
        <v>62</v>
      </c>
      <c r="K1886" s="3" t="s">
        <v>64</v>
      </c>
      <c r="L1886" s="2" t="s">
        <v>16401</v>
      </c>
      <c r="M1886" s="2" t="s">
        <v>16402</v>
      </c>
      <c r="N1886" s="3" t="s">
        <v>531</v>
      </c>
      <c r="O1886" s="2" t="s">
        <v>718</v>
      </c>
      <c r="P1886" s="3" t="s">
        <v>66</v>
      </c>
      <c r="Q1886" s="2" t="s">
        <v>16403</v>
      </c>
      <c r="R1886" s="3" t="s">
        <v>67</v>
      </c>
      <c r="S1886" s="4">
        <v>27</v>
      </c>
      <c r="T1886" s="4">
        <v>27</v>
      </c>
      <c r="U1886" s="5" t="s">
        <v>6873</v>
      </c>
      <c r="V1886" s="5" t="s">
        <v>6873</v>
      </c>
      <c r="W1886" s="5" t="s">
        <v>69</v>
      </c>
      <c r="X1886" s="5" t="s">
        <v>69</v>
      </c>
      <c r="Y1886" s="4">
        <v>488</v>
      </c>
      <c r="Z1886" s="4">
        <v>20</v>
      </c>
      <c r="AA1886" s="4">
        <v>53</v>
      </c>
      <c r="AB1886" s="4">
        <v>1</v>
      </c>
      <c r="AC1886" s="4">
        <v>4</v>
      </c>
      <c r="AD1886" s="4">
        <v>101</v>
      </c>
      <c r="AE1886" s="4">
        <v>137</v>
      </c>
      <c r="AF1886" s="4">
        <v>0</v>
      </c>
      <c r="AG1886" s="4">
        <v>1</v>
      </c>
      <c r="AH1886" s="4">
        <v>90</v>
      </c>
      <c r="AI1886" s="4">
        <v>112</v>
      </c>
      <c r="AJ1886" s="4">
        <v>11</v>
      </c>
      <c r="AK1886" s="4">
        <v>22</v>
      </c>
      <c r="AL1886" s="4">
        <v>50</v>
      </c>
      <c r="AM1886" s="4">
        <v>60</v>
      </c>
      <c r="AN1886" s="4">
        <v>0</v>
      </c>
      <c r="AO1886" s="4">
        <v>0</v>
      </c>
      <c r="AP1886" s="4">
        <v>14</v>
      </c>
      <c r="AQ1886" s="4">
        <v>32</v>
      </c>
      <c r="AR1886" s="3" t="s">
        <v>63</v>
      </c>
      <c r="AS1886" s="3" t="s">
        <v>63</v>
      </c>
      <c r="AT1886" s="3" t="s">
        <v>62</v>
      </c>
      <c r="AU1886" s="6" t="str">
        <f>HYPERLINK("http://catalog.hathitrust.org/Record/002607738","HathiTrust Record")</f>
        <v>HathiTrust Record</v>
      </c>
      <c r="AV1886" s="6" t="str">
        <f>HYPERLINK("http://mcgill.on.worldcat.org/oclc/24468367","Catalog Record")</f>
        <v>Catalog Record</v>
      </c>
      <c r="AW1886" s="6" t="str">
        <f>HYPERLINK("http://www.worldcat.org/oclc/24468367","WorldCat Record")</f>
        <v>WorldCat Record</v>
      </c>
      <c r="AX1886" s="3" t="s">
        <v>16404</v>
      </c>
      <c r="AY1886" s="3" t="s">
        <v>16405</v>
      </c>
      <c r="AZ1886" s="3" t="s">
        <v>16406</v>
      </c>
      <c r="BA1886" s="3" t="s">
        <v>16406</v>
      </c>
      <c r="BB1886" s="3" t="s">
        <v>16407</v>
      </c>
      <c r="BC1886" s="3" t="s">
        <v>82</v>
      </c>
      <c r="BD1886" s="3" t="s">
        <v>70</v>
      </c>
      <c r="BE1886" s="3" t="s">
        <v>16408</v>
      </c>
      <c r="BF1886" s="3" t="s">
        <v>16407</v>
      </c>
      <c r="BG1886" s="3" t="s">
        <v>16409</v>
      </c>
    </row>
    <row r="1887" spans="1:59" ht="60" x14ac:dyDescent="0.25">
      <c r="A1887" s="2" t="s">
        <v>59</v>
      </c>
      <c r="B1887" s="2" t="s">
        <v>60</v>
      </c>
      <c r="C1887" s="2" t="s">
        <v>16410</v>
      </c>
      <c r="D1887" s="2" t="s">
        <v>16411</v>
      </c>
      <c r="E1887" s="2" t="s">
        <v>16412</v>
      </c>
      <c r="G1887" s="3" t="s">
        <v>63</v>
      </c>
      <c r="I1887" s="3" t="s">
        <v>63</v>
      </c>
      <c r="J1887" s="3" t="s">
        <v>63</v>
      </c>
      <c r="K1887" s="3" t="s">
        <v>64</v>
      </c>
      <c r="L1887" s="2" t="s">
        <v>7520</v>
      </c>
      <c r="M1887" s="2" t="s">
        <v>16413</v>
      </c>
      <c r="N1887" s="3" t="s">
        <v>629</v>
      </c>
      <c r="P1887" s="3" t="s">
        <v>66</v>
      </c>
      <c r="Q1887" s="2" t="s">
        <v>5117</v>
      </c>
      <c r="R1887" s="3" t="s">
        <v>67</v>
      </c>
      <c r="S1887" s="4">
        <v>1</v>
      </c>
      <c r="T1887" s="4">
        <v>1</v>
      </c>
      <c r="U1887" s="5" t="s">
        <v>11266</v>
      </c>
      <c r="V1887" s="5" t="s">
        <v>11266</v>
      </c>
      <c r="W1887" s="5" t="s">
        <v>69</v>
      </c>
      <c r="X1887" s="5" t="s">
        <v>69</v>
      </c>
      <c r="Y1887" s="4">
        <v>189</v>
      </c>
      <c r="Z1887" s="4">
        <v>16</v>
      </c>
      <c r="AA1887" s="4">
        <v>92</v>
      </c>
      <c r="AB1887" s="4">
        <v>1</v>
      </c>
      <c r="AC1887" s="4">
        <v>16</v>
      </c>
      <c r="AD1887" s="4">
        <v>75</v>
      </c>
      <c r="AE1887" s="4">
        <v>130</v>
      </c>
      <c r="AF1887" s="4">
        <v>0</v>
      </c>
      <c r="AG1887" s="4">
        <v>8</v>
      </c>
      <c r="AH1887" s="4">
        <v>68</v>
      </c>
      <c r="AI1887" s="4">
        <v>92</v>
      </c>
      <c r="AJ1887" s="4">
        <v>10</v>
      </c>
      <c r="AK1887" s="4">
        <v>23</v>
      </c>
      <c r="AL1887" s="4">
        <v>45</v>
      </c>
      <c r="AM1887" s="4">
        <v>52</v>
      </c>
      <c r="AN1887" s="4">
        <v>0</v>
      </c>
      <c r="AO1887" s="4">
        <v>0</v>
      </c>
      <c r="AP1887" s="4">
        <v>12</v>
      </c>
      <c r="AQ1887" s="4">
        <v>45</v>
      </c>
      <c r="AR1887" s="3" t="s">
        <v>63</v>
      </c>
      <c r="AS1887" s="3" t="s">
        <v>63</v>
      </c>
      <c r="AT1887" s="3" t="s">
        <v>63</v>
      </c>
      <c r="AV1887" s="6" t="str">
        <f>HYPERLINK("http://mcgill.on.worldcat.org/oclc/708648574","Catalog Record")</f>
        <v>Catalog Record</v>
      </c>
      <c r="AW1887" s="6" t="str">
        <f>HYPERLINK("http://www.worldcat.org/oclc/708648574","WorldCat Record")</f>
        <v>WorldCat Record</v>
      </c>
      <c r="AX1887" s="3" t="s">
        <v>16414</v>
      </c>
      <c r="AY1887" s="3" t="s">
        <v>16415</v>
      </c>
      <c r="AZ1887" s="3" t="s">
        <v>16416</v>
      </c>
      <c r="BA1887" s="3" t="s">
        <v>16416</v>
      </c>
      <c r="BB1887" s="3" t="s">
        <v>16417</v>
      </c>
      <c r="BC1887" s="3" t="s">
        <v>82</v>
      </c>
      <c r="BD1887" s="3" t="s">
        <v>70</v>
      </c>
      <c r="BE1887" s="3" t="s">
        <v>16418</v>
      </c>
      <c r="BF1887" s="3" t="s">
        <v>16417</v>
      </c>
      <c r="BG1887" s="3" t="s">
        <v>16419</v>
      </c>
    </row>
    <row r="1888" spans="1:59" ht="60" x14ac:dyDescent="0.25">
      <c r="A1888" s="2" t="s">
        <v>59</v>
      </c>
      <c r="B1888" s="2" t="s">
        <v>60</v>
      </c>
      <c r="C1888" s="2" t="s">
        <v>16420</v>
      </c>
      <c r="D1888" s="2" t="s">
        <v>16421</v>
      </c>
      <c r="E1888" s="2" t="s">
        <v>16422</v>
      </c>
      <c r="G1888" s="3" t="s">
        <v>63</v>
      </c>
      <c r="I1888" s="3" t="s">
        <v>63</v>
      </c>
      <c r="J1888" s="3" t="s">
        <v>63</v>
      </c>
      <c r="K1888" s="3" t="s">
        <v>64</v>
      </c>
      <c r="M1888" s="2" t="s">
        <v>16423</v>
      </c>
      <c r="N1888" s="3" t="s">
        <v>1226</v>
      </c>
      <c r="P1888" s="3" t="s">
        <v>66</v>
      </c>
      <c r="Q1888" s="2" t="s">
        <v>5117</v>
      </c>
      <c r="R1888" s="3" t="s">
        <v>67</v>
      </c>
      <c r="S1888" s="4">
        <v>15</v>
      </c>
      <c r="T1888" s="4">
        <v>15</v>
      </c>
      <c r="U1888" s="5" t="s">
        <v>16424</v>
      </c>
      <c r="V1888" s="5" t="s">
        <v>16424</v>
      </c>
      <c r="W1888" s="5" t="s">
        <v>69</v>
      </c>
      <c r="X1888" s="5" t="s">
        <v>69</v>
      </c>
      <c r="Y1888" s="4">
        <v>390</v>
      </c>
      <c r="Z1888" s="4">
        <v>19</v>
      </c>
      <c r="AA1888" s="4">
        <v>20</v>
      </c>
      <c r="AB1888" s="4">
        <v>1</v>
      </c>
      <c r="AC1888" s="4">
        <v>2</v>
      </c>
      <c r="AD1888" s="4">
        <v>106</v>
      </c>
      <c r="AE1888" s="4">
        <v>107</v>
      </c>
      <c r="AF1888" s="4">
        <v>0</v>
      </c>
      <c r="AG1888" s="4">
        <v>1</v>
      </c>
      <c r="AH1888" s="4">
        <v>97</v>
      </c>
      <c r="AI1888" s="4">
        <v>98</v>
      </c>
      <c r="AJ1888" s="4">
        <v>14</v>
      </c>
      <c r="AK1888" s="4">
        <v>15</v>
      </c>
      <c r="AL1888" s="4">
        <v>57</v>
      </c>
      <c r="AM1888" s="4">
        <v>57</v>
      </c>
      <c r="AN1888" s="4">
        <v>0</v>
      </c>
      <c r="AO1888" s="4">
        <v>0</v>
      </c>
      <c r="AP1888" s="4">
        <v>15</v>
      </c>
      <c r="AQ1888" s="4">
        <v>16</v>
      </c>
      <c r="AR1888" s="3" t="s">
        <v>63</v>
      </c>
      <c r="AS1888" s="3" t="s">
        <v>63</v>
      </c>
      <c r="AT1888" s="3" t="s">
        <v>62</v>
      </c>
      <c r="AU1888" s="6" t="str">
        <f>HYPERLINK("http://catalog.hathitrust.org/Record/004360999","HathiTrust Record")</f>
        <v>HathiTrust Record</v>
      </c>
      <c r="AV1888" s="6" t="str">
        <f>HYPERLINK("http://mcgill.on.worldcat.org/oclc/51977962","Catalog Record")</f>
        <v>Catalog Record</v>
      </c>
      <c r="AW1888" s="6" t="str">
        <f>HYPERLINK("http://www.worldcat.org/oclc/51977962","WorldCat Record")</f>
        <v>WorldCat Record</v>
      </c>
      <c r="AX1888" s="3" t="s">
        <v>16425</v>
      </c>
      <c r="AY1888" s="3" t="s">
        <v>16426</v>
      </c>
      <c r="AZ1888" s="3" t="s">
        <v>16427</v>
      </c>
      <c r="BA1888" s="3" t="s">
        <v>16427</v>
      </c>
      <c r="BB1888" s="3" t="s">
        <v>16428</v>
      </c>
      <c r="BC1888" s="3" t="s">
        <v>82</v>
      </c>
      <c r="BD1888" s="3" t="s">
        <v>70</v>
      </c>
      <c r="BE1888" s="3" t="s">
        <v>16429</v>
      </c>
      <c r="BF1888" s="3" t="s">
        <v>16428</v>
      </c>
      <c r="BG1888" s="3" t="s">
        <v>16430</v>
      </c>
    </row>
    <row r="1889" spans="1:59" ht="60" x14ac:dyDescent="0.25">
      <c r="A1889" s="2" t="s">
        <v>59</v>
      </c>
      <c r="B1889" s="2" t="s">
        <v>60</v>
      </c>
      <c r="C1889" s="2" t="s">
        <v>16431</v>
      </c>
      <c r="D1889" s="2" t="s">
        <v>16432</v>
      </c>
      <c r="E1889" s="2" t="s">
        <v>16433</v>
      </c>
      <c r="G1889" s="3" t="s">
        <v>63</v>
      </c>
      <c r="I1889" s="3" t="s">
        <v>63</v>
      </c>
      <c r="J1889" s="3" t="s">
        <v>63</v>
      </c>
      <c r="K1889" s="3" t="s">
        <v>64</v>
      </c>
      <c r="L1889" s="2" t="s">
        <v>16434</v>
      </c>
      <c r="M1889" s="2" t="s">
        <v>16435</v>
      </c>
      <c r="N1889" s="3" t="s">
        <v>65</v>
      </c>
      <c r="P1889" s="3" t="s">
        <v>90</v>
      </c>
      <c r="R1889" s="3" t="s">
        <v>67</v>
      </c>
      <c r="S1889" s="4">
        <v>3</v>
      </c>
      <c r="T1889" s="4">
        <v>3</v>
      </c>
      <c r="U1889" s="5" t="s">
        <v>11266</v>
      </c>
      <c r="V1889" s="5" t="s">
        <v>11266</v>
      </c>
      <c r="W1889" s="5" t="s">
        <v>69</v>
      </c>
      <c r="X1889" s="5" t="s">
        <v>69</v>
      </c>
      <c r="Y1889" s="4">
        <v>103</v>
      </c>
      <c r="Z1889" s="4">
        <v>14</v>
      </c>
      <c r="AA1889" s="4">
        <v>14</v>
      </c>
      <c r="AB1889" s="4">
        <v>2</v>
      </c>
      <c r="AC1889" s="4">
        <v>2</v>
      </c>
      <c r="AD1889" s="4">
        <v>64</v>
      </c>
      <c r="AE1889" s="4">
        <v>64</v>
      </c>
      <c r="AF1889" s="4">
        <v>1</v>
      </c>
      <c r="AG1889" s="4">
        <v>1</v>
      </c>
      <c r="AH1889" s="4">
        <v>58</v>
      </c>
      <c r="AI1889" s="4">
        <v>58</v>
      </c>
      <c r="AJ1889" s="4">
        <v>12</v>
      </c>
      <c r="AK1889" s="4">
        <v>12</v>
      </c>
      <c r="AL1889" s="4">
        <v>39</v>
      </c>
      <c r="AM1889" s="4">
        <v>39</v>
      </c>
      <c r="AN1889" s="4">
        <v>0</v>
      </c>
      <c r="AO1889" s="4">
        <v>0</v>
      </c>
      <c r="AP1889" s="4">
        <v>12</v>
      </c>
      <c r="AQ1889" s="4">
        <v>12</v>
      </c>
      <c r="AR1889" s="3" t="s">
        <v>63</v>
      </c>
      <c r="AS1889" s="3" t="s">
        <v>63</v>
      </c>
      <c r="AT1889" s="3" t="s">
        <v>62</v>
      </c>
      <c r="AU1889" s="6" t="str">
        <f>HYPERLINK("http://catalog.hathitrust.org/Record/001729153","HathiTrust Record")</f>
        <v>HathiTrust Record</v>
      </c>
      <c r="AV1889" s="6" t="str">
        <f>HYPERLINK("http://mcgill.on.worldcat.org/oclc/3581304","Catalog Record")</f>
        <v>Catalog Record</v>
      </c>
      <c r="AW1889" s="6" t="str">
        <f>HYPERLINK("http://www.worldcat.org/oclc/3581304","WorldCat Record")</f>
        <v>WorldCat Record</v>
      </c>
      <c r="AX1889" s="3" t="s">
        <v>16436</v>
      </c>
      <c r="AY1889" s="3" t="s">
        <v>16437</v>
      </c>
      <c r="AZ1889" s="3" t="s">
        <v>16438</v>
      </c>
      <c r="BA1889" s="3" t="s">
        <v>16438</v>
      </c>
      <c r="BB1889" s="3" t="s">
        <v>16439</v>
      </c>
      <c r="BC1889" s="3" t="s">
        <v>82</v>
      </c>
      <c r="BD1889" s="3" t="s">
        <v>70</v>
      </c>
      <c r="BF1889" s="3" t="s">
        <v>16439</v>
      </c>
      <c r="BG1889" s="3" t="s">
        <v>16440</v>
      </c>
    </row>
    <row r="1890" spans="1:59" ht="60" x14ac:dyDescent="0.25">
      <c r="A1890" s="2" t="s">
        <v>59</v>
      </c>
      <c r="B1890" s="2" t="s">
        <v>60</v>
      </c>
      <c r="C1890" s="2" t="s">
        <v>16441</v>
      </c>
      <c r="D1890" s="2" t="s">
        <v>16442</v>
      </c>
      <c r="E1890" s="2" t="s">
        <v>16443</v>
      </c>
      <c r="G1890" s="3" t="s">
        <v>63</v>
      </c>
      <c r="I1890" s="3" t="s">
        <v>62</v>
      </c>
      <c r="J1890" s="3" t="s">
        <v>63</v>
      </c>
      <c r="K1890" s="3" t="s">
        <v>64</v>
      </c>
      <c r="L1890" s="2" t="s">
        <v>16368</v>
      </c>
      <c r="M1890" s="2" t="s">
        <v>15825</v>
      </c>
      <c r="N1890" s="3" t="s">
        <v>3640</v>
      </c>
      <c r="P1890" s="3" t="s">
        <v>66</v>
      </c>
      <c r="R1890" s="3" t="s">
        <v>67</v>
      </c>
      <c r="S1890" s="4">
        <v>26</v>
      </c>
      <c r="T1890" s="4">
        <v>52</v>
      </c>
      <c r="U1890" s="5" t="s">
        <v>16121</v>
      </c>
      <c r="V1890" s="5" t="s">
        <v>16121</v>
      </c>
      <c r="W1890" s="5" t="s">
        <v>69</v>
      </c>
      <c r="X1890" s="5" t="s">
        <v>69</v>
      </c>
      <c r="Y1890" s="4">
        <v>593</v>
      </c>
      <c r="Z1890" s="4">
        <v>31</v>
      </c>
      <c r="AA1890" s="4">
        <v>31</v>
      </c>
      <c r="AB1890" s="4">
        <v>1</v>
      </c>
      <c r="AC1890" s="4">
        <v>1</v>
      </c>
      <c r="AD1890" s="4">
        <v>121</v>
      </c>
      <c r="AE1890" s="4">
        <v>121</v>
      </c>
      <c r="AF1890" s="4">
        <v>0</v>
      </c>
      <c r="AG1890" s="4">
        <v>0</v>
      </c>
      <c r="AH1890" s="4">
        <v>103</v>
      </c>
      <c r="AI1890" s="4">
        <v>103</v>
      </c>
      <c r="AJ1890" s="4">
        <v>18</v>
      </c>
      <c r="AK1890" s="4">
        <v>18</v>
      </c>
      <c r="AL1890" s="4">
        <v>56</v>
      </c>
      <c r="AM1890" s="4">
        <v>56</v>
      </c>
      <c r="AN1890" s="4">
        <v>0</v>
      </c>
      <c r="AO1890" s="4">
        <v>0</v>
      </c>
      <c r="AP1890" s="4">
        <v>23</v>
      </c>
      <c r="AQ1890" s="4">
        <v>23</v>
      </c>
      <c r="AR1890" s="3" t="s">
        <v>63</v>
      </c>
      <c r="AS1890" s="3" t="s">
        <v>63</v>
      </c>
      <c r="AT1890" s="3" t="s">
        <v>63</v>
      </c>
      <c r="AV1890" s="6" t="str">
        <f>HYPERLINK("http://mcgill.on.worldcat.org/oclc/9616862","Catalog Record")</f>
        <v>Catalog Record</v>
      </c>
      <c r="AW1890" s="6" t="str">
        <f>HYPERLINK("http://www.worldcat.org/oclc/9616862","WorldCat Record")</f>
        <v>WorldCat Record</v>
      </c>
      <c r="AX1890" s="3" t="s">
        <v>16444</v>
      </c>
      <c r="AY1890" s="3" t="s">
        <v>16445</v>
      </c>
      <c r="AZ1890" s="3" t="s">
        <v>16446</v>
      </c>
      <c r="BA1890" s="3" t="s">
        <v>16446</v>
      </c>
      <c r="BB1890" s="3" t="s">
        <v>16447</v>
      </c>
      <c r="BC1890" s="3" t="s">
        <v>82</v>
      </c>
      <c r="BD1890" s="3" t="s">
        <v>70</v>
      </c>
      <c r="BE1890" s="3" t="s">
        <v>16448</v>
      </c>
      <c r="BF1890" s="3" t="s">
        <v>16447</v>
      </c>
      <c r="BG1890" s="3" t="s">
        <v>16449</v>
      </c>
    </row>
    <row r="1891" spans="1:59" ht="60" x14ac:dyDescent="0.25">
      <c r="A1891" s="2" t="s">
        <v>59</v>
      </c>
      <c r="B1891" s="2" t="s">
        <v>60</v>
      </c>
      <c r="C1891" s="2" t="s">
        <v>16441</v>
      </c>
      <c r="D1891" s="2" t="s">
        <v>16442</v>
      </c>
      <c r="E1891" s="2" t="s">
        <v>16443</v>
      </c>
      <c r="G1891" s="3" t="s">
        <v>63</v>
      </c>
      <c r="I1891" s="3" t="s">
        <v>62</v>
      </c>
      <c r="J1891" s="3" t="s">
        <v>63</v>
      </c>
      <c r="K1891" s="3" t="s">
        <v>64</v>
      </c>
      <c r="L1891" s="2" t="s">
        <v>16368</v>
      </c>
      <c r="M1891" s="2" t="s">
        <v>15825</v>
      </c>
      <c r="N1891" s="3" t="s">
        <v>3640</v>
      </c>
      <c r="P1891" s="3" t="s">
        <v>66</v>
      </c>
      <c r="R1891" s="3" t="s">
        <v>67</v>
      </c>
      <c r="S1891" s="4">
        <v>26</v>
      </c>
      <c r="T1891" s="4">
        <v>52</v>
      </c>
      <c r="U1891" s="5" t="s">
        <v>16450</v>
      </c>
      <c r="V1891" s="5" t="s">
        <v>16121</v>
      </c>
      <c r="W1891" s="5" t="s">
        <v>69</v>
      </c>
      <c r="X1891" s="5" t="s">
        <v>69</v>
      </c>
      <c r="Y1891" s="4">
        <v>593</v>
      </c>
      <c r="Z1891" s="4">
        <v>31</v>
      </c>
      <c r="AA1891" s="4">
        <v>31</v>
      </c>
      <c r="AB1891" s="4">
        <v>1</v>
      </c>
      <c r="AC1891" s="4">
        <v>1</v>
      </c>
      <c r="AD1891" s="4">
        <v>121</v>
      </c>
      <c r="AE1891" s="4">
        <v>121</v>
      </c>
      <c r="AF1891" s="4">
        <v>0</v>
      </c>
      <c r="AG1891" s="4">
        <v>0</v>
      </c>
      <c r="AH1891" s="4">
        <v>103</v>
      </c>
      <c r="AI1891" s="4">
        <v>103</v>
      </c>
      <c r="AJ1891" s="4">
        <v>18</v>
      </c>
      <c r="AK1891" s="4">
        <v>18</v>
      </c>
      <c r="AL1891" s="4">
        <v>56</v>
      </c>
      <c r="AM1891" s="4">
        <v>56</v>
      </c>
      <c r="AN1891" s="4">
        <v>0</v>
      </c>
      <c r="AO1891" s="4">
        <v>0</v>
      </c>
      <c r="AP1891" s="4">
        <v>23</v>
      </c>
      <c r="AQ1891" s="4">
        <v>23</v>
      </c>
      <c r="AR1891" s="3" t="s">
        <v>63</v>
      </c>
      <c r="AS1891" s="3" t="s">
        <v>63</v>
      </c>
      <c r="AT1891" s="3" t="s">
        <v>63</v>
      </c>
      <c r="AV1891" s="6" t="str">
        <f>HYPERLINK("http://mcgill.on.worldcat.org/oclc/9616862","Catalog Record")</f>
        <v>Catalog Record</v>
      </c>
      <c r="AW1891" s="6" t="str">
        <f>HYPERLINK("http://www.worldcat.org/oclc/9616862","WorldCat Record")</f>
        <v>WorldCat Record</v>
      </c>
      <c r="AX1891" s="3" t="s">
        <v>16444</v>
      </c>
      <c r="AY1891" s="3" t="s">
        <v>16445</v>
      </c>
      <c r="AZ1891" s="3" t="s">
        <v>16446</v>
      </c>
      <c r="BA1891" s="3" t="s">
        <v>16446</v>
      </c>
      <c r="BB1891" s="3" t="s">
        <v>16451</v>
      </c>
      <c r="BC1891" s="3" t="s">
        <v>82</v>
      </c>
      <c r="BD1891" s="3" t="s">
        <v>70</v>
      </c>
      <c r="BE1891" s="3" t="s">
        <v>16448</v>
      </c>
      <c r="BF1891" s="3" t="s">
        <v>16451</v>
      </c>
      <c r="BG1891" s="3" t="s">
        <v>16452</v>
      </c>
    </row>
    <row r="1892" spans="1:59" ht="60" x14ac:dyDescent="0.25">
      <c r="A1892" s="2" t="s">
        <v>59</v>
      </c>
      <c r="B1892" s="2" t="s">
        <v>60</v>
      </c>
      <c r="C1892" s="2" t="s">
        <v>16453</v>
      </c>
      <c r="D1892" s="2" t="s">
        <v>16454</v>
      </c>
      <c r="E1892" s="2" t="s">
        <v>16455</v>
      </c>
      <c r="G1892" s="3" t="s">
        <v>63</v>
      </c>
      <c r="I1892" s="3" t="s">
        <v>63</v>
      </c>
      <c r="J1892" s="3" t="s">
        <v>63</v>
      </c>
      <c r="K1892" s="3" t="s">
        <v>64</v>
      </c>
      <c r="L1892" s="2" t="s">
        <v>16456</v>
      </c>
      <c r="M1892" s="2" t="s">
        <v>16457</v>
      </c>
      <c r="N1892" s="3" t="s">
        <v>274</v>
      </c>
      <c r="P1892" s="3" t="s">
        <v>66</v>
      </c>
      <c r="Q1892" s="2" t="s">
        <v>16458</v>
      </c>
      <c r="R1892" s="3" t="s">
        <v>67</v>
      </c>
      <c r="S1892" s="4">
        <v>22</v>
      </c>
      <c r="T1892" s="4">
        <v>22</v>
      </c>
      <c r="U1892" s="5" t="s">
        <v>15471</v>
      </c>
      <c r="V1892" s="5" t="s">
        <v>15471</v>
      </c>
      <c r="W1892" s="5" t="s">
        <v>69</v>
      </c>
      <c r="X1892" s="5" t="s">
        <v>69</v>
      </c>
      <c r="Y1892" s="4">
        <v>392</v>
      </c>
      <c r="Z1892" s="4">
        <v>19</v>
      </c>
      <c r="AA1892" s="4">
        <v>25</v>
      </c>
      <c r="AB1892" s="4">
        <v>1</v>
      </c>
      <c r="AC1892" s="4">
        <v>3</v>
      </c>
      <c r="AD1892" s="4">
        <v>112</v>
      </c>
      <c r="AE1892" s="4">
        <v>118</v>
      </c>
      <c r="AF1892" s="4">
        <v>0</v>
      </c>
      <c r="AG1892" s="4">
        <v>1</v>
      </c>
      <c r="AH1892" s="4">
        <v>103</v>
      </c>
      <c r="AI1892" s="4">
        <v>107</v>
      </c>
      <c r="AJ1892" s="4">
        <v>13</v>
      </c>
      <c r="AK1892" s="4">
        <v>14</v>
      </c>
      <c r="AL1892" s="4">
        <v>56</v>
      </c>
      <c r="AM1892" s="4">
        <v>58</v>
      </c>
      <c r="AN1892" s="4">
        <v>0</v>
      </c>
      <c r="AO1892" s="4">
        <v>0</v>
      </c>
      <c r="AP1892" s="4">
        <v>16</v>
      </c>
      <c r="AQ1892" s="4">
        <v>19</v>
      </c>
      <c r="AR1892" s="3" t="s">
        <v>63</v>
      </c>
      <c r="AS1892" s="3" t="s">
        <v>63</v>
      </c>
      <c r="AT1892" s="3" t="s">
        <v>62</v>
      </c>
      <c r="AU1892" s="6" t="str">
        <f>HYPERLINK("http://catalog.hathitrust.org/Record/004017377","HathiTrust Record")</f>
        <v>HathiTrust Record</v>
      </c>
      <c r="AV1892" s="6" t="str">
        <f>HYPERLINK("http://mcgill.on.worldcat.org/oclc/38199366","Catalog Record")</f>
        <v>Catalog Record</v>
      </c>
      <c r="AW1892" s="6" t="str">
        <f>HYPERLINK("http://www.worldcat.org/oclc/38199366","WorldCat Record")</f>
        <v>WorldCat Record</v>
      </c>
      <c r="AX1892" s="3" t="s">
        <v>16459</v>
      </c>
      <c r="AY1892" s="3" t="s">
        <v>16460</v>
      </c>
      <c r="AZ1892" s="3" t="s">
        <v>16461</v>
      </c>
      <c r="BA1892" s="3" t="s">
        <v>16461</v>
      </c>
      <c r="BB1892" s="3" t="s">
        <v>16462</v>
      </c>
      <c r="BC1892" s="3" t="s">
        <v>82</v>
      </c>
      <c r="BD1892" s="3" t="s">
        <v>70</v>
      </c>
      <c r="BE1892" s="3" t="s">
        <v>16463</v>
      </c>
      <c r="BF1892" s="3" t="s">
        <v>16462</v>
      </c>
      <c r="BG1892" s="3" t="s">
        <v>16464</v>
      </c>
    </row>
    <row r="1893" spans="1:59" ht="60" x14ac:dyDescent="0.25">
      <c r="A1893" s="2" t="s">
        <v>59</v>
      </c>
      <c r="B1893" s="2" t="s">
        <v>60</v>
      </c>
      <c r="C1893" s="2" t="s">
        <v>16475</v>
      </c>
      <c r="D1893" s="2" t="s">
        <v>16476</v>
      </c>
      <c r="E1893" s="2" t="s">
        <v>16467</v>
      </c>
      <c r="G1893" s="3" t="s">
        <v>63</v>
      </c>
      <c r="I1893" s="3" t="s">
        <v>62</v>
      </c>
      <c r="J1893" s="3" t="s">
        <v>63</v>
      </c>
      <c r="K1893" s="3" t="s">
        <v>64</v>
      </c>
      <c r="L1893" s="2" t="s">
        <v>16468</v>
      </c>
      <c r="M1893" s="2" t="s">
        <v>16469</v>
      </c>
      <c r="N1893" s="3" t="s">
        <v>1402</v>
      </c>
      <c r="P1893" s="3" t="s">
        <v>90</v>
      </c>
      <c r="R1893" s="3" t="s">
        <v>67</v>
      </c>
      <c r="S1893" s="4">
        <v>1</v>
      </c>
      <c r="T1893" s="4">
        <v>1</v>
      </c>
      <c r="U1893" s="5" t="s">
        <v>15471</v>
      </c>
      <c r="V1893" s="5" t="s">
        <v>15471</v>
      </c>
      <c r="W1893" s="5" t="s">
        <v>69</v>
      </c>
      <c r="X1893" s="5" t="s">
        <v>69</v>
      </c>
      <c r="Y1893" s="4">
        <v>113</v>
      </c>
      <c r="Z1893" s="4">
        <v>11</v>
      </c>
      <c r="AA1893" s="4">
        <v>12</v>
      </c>
      <c r="AB1893" s="4">
        <v>1</v>
      </c>
      <c r="AC1893" s="4">
        <v>1</v>
      </c>
      <c r="AD1893" s="4">
        <v>67</v>
      </c>
      <c r="AE1893" s="4">
        <v>71</v>
      </c>
      <c r="AF1893" s="4">
        <v>0</v>
      </c>
      <c r="AG1893" s="4">
        <v>0</v>
      </c>
      <c r="AH1893" s="4">
        <v>63</v>
      </c>
      <c r="AI1893" s="4">
        <v>67</v>
      </c>
      <c r="AJ1893" s="4">
        <v>9</v>
      </c>
      <c r="AK1893" s="4">
        <v>10</v>
      </c>
      <c r="AL1893" s="4">
        <v>44</v>
      </c>
      <c r="AM1893" s="4">
        <v>45</v>
      </c>
      <c r="AN1893" s="4">
        <v>0</v>
      </c>
      <c r="AO1893" s="4">
        <v>0</v>
      </c>
      <c r="AP1893" s="4">
        <v>9</v>
      </c>
      <c r="AQ1893" s="4">
        <v>10</v>
      </c>
      <c r="AR1893" s="3" t="s">
        <v>63</v>
      </c>
      <c r="AS1893" s="3" t="s">
        <v>63</v>
      </c>
      <c r="AT1893" s="3" t="s">
        <v>62</v>
      </c>
      <c r="AU1893" s="6" t="str">
        <f>HYPERLINK("http://catalog.hathitrust.org/Record/001060463","HathiTrust Record")</f>
        <v>HathiTrust Record</v>
      </c>
      <c r="AV1893" s="6" t="str">
        <f>HYPERLINK("http://mcgill.on.worldcat.org/oclc/4078490","Catalog Record")</f>
        <v>Catalog Record</v>
      </c>
      <c r="AW1893" s="6" t="str">
        <f>HYPERLINK("http://www.worldcat.org/oclc/4078490","WorldCat Record")</f>
        <v>WorldCat Record</v>
      </c>
      <c r="AX1893" s="3" t="s">
        <v>16470</v>
      </c>
      <c r="AY1893" s="3" t="s">
        <v>16471</v>
      </c>
      <c r="AZ1893" s="3" t="s">
        <v>16472</v>
      </c>
      <c r="BA1893" s="3" t="s">
        <v>16472</v>
      </c>
      <c r="BB1893" s="3" t="s">
        <v>16477</v>
      </c>
      <c r="BC1893" s="3" t="s">
        <v>82</v>
      </c>
      <c r="BD1893" s="3" t="s">
        <v>70</v>
      </c>
      <c r="BF1893" s="3" t="s">
        <v>16477</v>
      </c>
      <c r="BG1893" s="3" t="s">
        <v>16478</v>
      </c>
    </row>
    <row r="1894" spans="1:59" ht="60" x14ac:dyDescent="0.25">
      <c r="A1894" s="2" t="s">
        <v>59</v>
      </c>
      <c r="B1894" s="2" t="s">
        <v>60</v>
      </c>
      <c r="C1894" s="2" t="s">
        <v>16479</v>
      </c>
      <c r="D1894" s="2" t="s">
        <v>16480</v>
      </c>
      <c r="E1894" s="2" t="s">
        <v>16481</v>
      </c>
      <c r="G1894" s="3" t="s">
        <v>63</v>
      </c>
      <c r="I1894" s="3" t="s">
        <v>63</v>
      </c>
      <c r="J1894" s="3" t="s">
        <v>63</v>
      </c>
      <c r="K1894" s="3" t="s">
        <v>64</v>
      </c>
      <c r="L1894" s="2" t="s">
        <v>16482</v>
      </c>
      <c r="M1894" s="2" t="s">
        <v>16483</v>
      </c>
      <c r="N1894" s="3" t="s">
        <v>5468</v>
      </c>
      <c r="P1894" s="3" t="s">
        <v>90</v>
      </c>
      <c r="Q1894" s="2" t="s">
        <v>16484</v>
      </c>
      <c r="R1894" s="3" t="s">
        <v>67</v>
      </c>
      <c r="S1894" s="4">
        <v>1</v>
      </c>
      <c r="T1894" s="4">
        <v>1</v>
      </c>
      <c r="U1894" s="5" t="s">
        <v>15471</v>
      </c>
      <c r="V1894" s="5" t="s">
        <v>15471</v>
      </c>
      <c r="W1894" s="5" t="s">
        <v>69</v>
      </c>
      <c r="X1894" s="5" t="s">
        <v>69</v>
      </c>
      <c r="Y1894" s="4">
        <v>90</v>
      </c>
      <c r="Z1894" s="4">
        <v>9</v>
      </c>
      <c r="AA1894" s="4">
        <v>10</v>
      </c>
      <c r="AB1894" s="4">
        <v>1</v>
      </c>
      <c r="AC1894" s="4">
        <v>2</v>
      </c>
      <c r="AD1894" s="4">
        <v>52</v>
      </c>
      <c r="AE1894" s="4">
        <v>53</v>
      </c>
      <c r="AF1894" s="4">
        <v>0</v>
      </c>
      <c r="AG1894" s="4">
        <v>1</v>
      </c>
      <c r="AH1894" s="4">
        <v>48</v>
      </c>
      <c r="AI1894" s="4">
        <v>49</v>
      </c>
      <c r="AJ1894" s="4">
        <v>7</v>
      </c>
      <c r="AK1894" s="4">
        <v>8</v>
      </c>
      <c r="AL1894" s="4">
        <v>35</v>
      </c>
      <c r="AM1894" s="4">
        <v>35</v>
      </c>
      <c r="AN1894" s="4">
        <v>0</v>
      </c>
      <c r="AO1894" s="4">
        <v>0</v>
      </c>
      <c r="AP1894" s="4">
        <v>7</v>
      </c>
      <c r="AQ1894" s="4">
        <v>8</v>
      </c>
      <c r="AR1894" s="3" t="s">
        <v>63</v>
      </c>
      <c r="AS1894" s="3" t="s">
        <v>63</v>
      </c>
      <c r="AT1894" s="3" t="s">
        <v>62</v>
      </c>
      <c r="AU1894" s="6" t="str">
        <f>HYPERLINK("http://catalog.hathitrust.org/Record/001060406","HathiTrust Record")</f>
        <v>HathiTrust Record</v>
      </c>
      <c r="AV1894" s="6" t="str">
        <f>HYPERLINK("http://mcgill.on.worldcat.org/oclc/372404","Catalog Record")</f>
        <v>Catalog Record</v>
      </c>
      <c r="AW1894" s="6" t="str">
        <f>HYPERLINK("http://www.worldcat.org/oclc/372404","WorldCat Record")</f>
        <v>WorldCat Record</v>
      </c>
      <c r="AX1894" s="3" t="s">
        <v>16485</v>
      </c>
      <c r="AY1894" s="3" t="s">
        <v>16486</v>
      </c>
      <c r="AZ1894" s="3" t="s">
        <v>16487</v>
      </c>
      <c r="BA1894" s="3" t="s">
        <v>16487</v>
      </c>
      <c r="BB1894" s="3" t="s">
        <v>16488</v>
      </c>
      <c r="BC1894" s="3" t="s">
        <v>82</v>
      </c>
      <c r="BD1894" s="3" t="s">
        <v>70</v>
      </c>
      <c r="BF1894" s="3" t="s">
        <v>16488</v>
      </c>
      <c r="BG1894" s="3" t="s">
        <v>16489</v>
      </c>
    </row>
    <row r="1895" spans="1:59" ht="75" x14ac:dyDescent="0.25">
      <c r="A1895" s="2" t="s">
        <v>59</v>
      </c>
      <c r="B1895" s="2" t="s">
        <v>60</v>
      </c>
      <c r="C1895" s="2" t="s">
        <v>16490</v>
      </c>
      <c r="D1895" s="2" t="s">
        <v>16491</v>
      </c>
      <c r="E1895" s="2" t="s">
        <v>16492</v>
      </c>
      <c r="G1895" s="3" t="s">
        <v>63</v>
      </c>
      <c r="I1895" s="3" t="s">
        <v>63</v>
      </c>
      <c r="J1895" s="3" t="s">
        <v>63</v>
      </c>
      <c r="K1895" s="3" t="s">
        <v>64</v>
      </c>
      <c r="L1895" s="2" t="s">
        <v>11338</v>
      </c>
      <c r="M1895" s="2" t="s">
        <v>5116</v>
      </c>
      <c r="N1895" s="3" t="s">
        <v>1226</v>
      </c>
      <c r="P1895" s="3" t="s">
        <v>66</v>
      </c>
      <c r="Q1895" s="2" t="s">
        <v>5117</v>
      </c>
      <c r="R1895" s="3" t="s">
        <v>67</v>
      </c>
      <c r="S1895" s="4">
        <v>17</v>
      </c>
      <c r="T1895" s="4">
        <v>17</v>
      </c>
      <c r="U1895" s="5" t="s">
        <v>15686</v>
      </c>
      <c r="V1895" s="5" t="s">
        <v>15686</v>
      </c>
      <c r="W1895" s="5" t="s">
        <v>69</v>
      </c>
      <c r="X1895" s="5" t="s">
        <v>69</v>
      </c>
      <c r="Y1895" s="4">
        <v>262</v>
      </c>
      <c r="Z1895" s="4">
        <v>17</v>
      </c>
      <c r="AA1895" s="4">
        <v>18</v>
      </c>
      <c r="AB1895" s="4">
        <v>1</v>
      </c>
      <c r="AC1895" s="4">
        <v>2</v>
      </c>
      <c r="AD1895" s="4">
        <v>106</v>
      </c>
      <c r="AE1895" s="4">
        <v>107</v>
      </c>
      <c r="AF1895" s="4">
        <v>0</v>
      </c>
      <c r="AG1895" s="4">
        <v>1</v>
      </c>
      <c r="AH1895" s="4">
        <v>98</v>
      </c>
      <c r="AI1895" s="4">
        <v>99</v>
      </c>
      <c r="AJ1895" s="4">
        <v>15</v>
      </c>
      <c r="AK1895" s="4">
        <v>16</v>
      </c>
      <c r="AL1895" s="4">
        <v>55</v>
      </c>
      <c r="AM1895" s="4">
        <v>55</v>
      </c>
      <c r="AN1895" s="4">
        <v>0</v>
      </c>
      <c r="AO1895" s="4">
        <v>0</v>
      </c>
      <c r="AP1895" s="4">
        <v>15</v>
      </c>
      <c r="AQ1895" s="4">
        <v>16</v>
      </c>
      <c r="AR1895" s="3" t="s">
        <v>63</v>
      </c>
      <c r="AS1895" s="3" t="s">
        <v>63</v>
      </c>
      <c r="AT1895" s="3" t="s">
        <v>62</v>
      </c>
      <c r="AU1895" s="6" t="str">
        <f>HYPERLINK("http://catalog.hathitrust.org/Record/004353736","HathiTrust Record")</f>
        <v>HathiTrust Record</v>
      </c>
      <c r="AV1895" s="6" t="str">
        <f>HYPERLINK("http://mcgill.on.worldcat.org/oclc/51878457","Catalog Record")</f>
        <v>Catalog Record</v>
      </c>
      <c r="AW1895" s="6" t="str">
        <f>HYPERLINK("http://www.worldcat.org/oclc/51878457","WorldCat Record")</f>
        <v>WorldCat Record</v>
      </c>
      <c r="AX1895" s="3" t="s">
        <v>16493</v>
      </c>
      <c r="AY1895" s="3" t="s">
        <v>16494</v>
      </c>
      <c r="AZ1895" s="3" t="s">
        <v>16495</v>
      </c>
      <c r="BA1895" s="3" t="s">
        <v>16495</v>
      </c>
      <c r="BB1895" s="3" t="s">
        <v>16496</v>
      </c>
      <c r="BC1895" s="3" t="s">
        <v>82</v>
      </c>
      <c r="BD1895" s="3" t="s">
        <v>70</v>
      </c>
      <c r="BE1895" s="3" t="s">
        <v>16497</v>
      </c>
      <c r="BF1895" s="3" t="s">
        <v>16496</v>
      </c>
      <c r="BG1895" s="3" t="s">
        <v>16498</v>
      </c>
    </row>
    <row r="1896" spans="1:59" ht="60" x14ac:dyDescent="0.25">
      <c r="A1896" s="2" t="s">
        <v>59</v>
      </c>
      <c r="B1896" s="2" t="s">
        <v>60</v>
      </c>
      <c r="C1896" s="2" t="s">
        <v>16499</v>
      </c>
      <c r="D1896" s="2" t="s">
        <v>16500</v>
      </c>
      <c r="E1896" s="2" t="s">
        <v>16501</v>
      </c>
      <c r="G1896" s="3" t="s">
        <v>63</v>
      </c>
      <c r="I1896" s="3" t="s">
        <v>63</v>
      </c>
      <c r="J1896" s="3" t="s">
        <v>63</v>
      </c>
      <c r="K1896" s="3" t="s">
        <v>64</v>
      </c>
      <c r="L1896" s="2" t="s">
        <v>16502</v>
      </c>
      <c r="M1896" s="2" t="s">
        <v>16503</v>
      </c>
      <c r="N1896" s="3" t="s">
        <v>2393</v>
      </c>
      <c r="P1896" s="3" t="s">
        <v>90</v>
      </c>
      <c r="R1896" s="3" t="s">
        <v>67</v>
      </c>
      <c r="S1896" s="4">
        <v>4</v>
      </c>
      <c r="T1896" s="4">
        <v>4</v>
      </c>
      <c r="U1896" s="5" t="s">
        <v>6320</v>
      </c>
      <c r="V1896" s="5" t="s">
        <v>6320</v>
      </c>
      <c r="W1896" s="5" t="s">
        <v>69</v>
      </c>
      <c r="X1896" s="5" t="s">
        <v>69</v>
      </c>
      <c r="Y1896" s="4">
        <v>73</v>
      </c>
      <c r="Z1896" s="4">
        <v>12</v>
      </c>
      <c r="AA1896" s="4">
        <v>12</v>
      </c>
      <c r="AB1896" s="4">
        <v>1</v>
      </c>
      <c r="AC1896" s="4">
        <v>1</v>
      </c>
      <c r="AD1896" s="4">
        <v>54</v>
      </c>
      <c r="AE1896" s="4">
        <v>55</v>
      </c>
      <c r="AF1896" s="4">
        <v>0</v>
      </c>
      <c r="AG1896" s="4">
        <v>0</v>
      </c>
      <c r="AH1896" s="4">
        <v>48</v>
      </c>
      <c r="AI1896" s="4">
        <v>49</v>
      </c>
      <c r="AJ1896" s="4">
        <v>10</v>
      </c>
      <c r="AK1896" s="4">
        <v>10</v>
      </c>
      <c r="AL1896" s="4">
        <v>37</v>
      </c>
      <c r="AM1896" s="4">
        <v>37</v>
      </c>
      <c r="AN1896" s="4">
        <v>0</v>
      </c>
      <c r="AO1896" s="4">
        <v>0</v>
      </c>
      <c r="AP1896" s="4">
        <v>10</v>
      </c>
      <c r="AQ1896" s="4">
        <v>10</v>
      </c>
      <c r="AR1896" s="3" t="s">
        <v>63</v>
      </c>
      <c r="AS1896" s="3" t="s">
        <v>63</v>
      </c>
      <c r="AT1896" s="3" t="s">
        <v>62</v>
      </c>
      <c r="AU1896" s="6" t="str">
        <f>HYPERLINK("http://catalog.hathitrust.org/Record/001060447","HathiTrust Record")</f>
        <v>HathiTrust Record</v>
      </c>
      <c r="AV1896" s="6" t="str">
        <f>HYPERLINK("http://mcgill.on.worldcat.org/oclc/1667698","Catalog Record")</f>
        <v>Catalog Record</v>
      </c>
      <c r="AW1896" s="6" t="str">
        <f>HYPERLINK("http://www.worldcat.org/oclc/1667698","WorldCat Record")</f>
        <v>WorldCat Record</v>
      </c>
      <c r="AX1896" s="3" t="s">
        <v>16504</v>
      </c>
      <c r="AY1896" s="3" t="s">
        <v>16505</v>
      </c>
      <c r="AZ1896" s="3" t="s">
        <v>16506</v>
      </c>
      <c r="BA1896" s="3" t="s">
        <v>16506</v>
      </c>
      <c r="BB1896" s="3" t="s">
        <v>16507</v>
      </c>
      <c r="BC1896" s="3" t="s">
        <v>82</v>
      </c>
      <c r="BD1896" s="3" t="s">
        <v>70</v>
      </c>
      <c r="BF1896" s="3" t="s">
        <v>16507</v>
      </c>
      <c r="BG1896" s="3" t="s">
        <v>16508</v>
      </c>
    </row>
    <row r="1897" spans="1:59" ht="60" x14ac:dyDescent="0.25">
      <c r="A1897" s="2" t="s">
        <v>59</v>
      </c>
      <c r="B1897" s="2" t="s">
        <v>60</v>
      </c>
      <c r="C1897" s="2" t="s">
        <v>16509</v>
      </c>
      <c r="D1897" s="2" t="s">
        <v>16510</v>
      </c>
      <c r="E1897" s="2" t="s">
        <v>16511</v>
      </c>
      <c r="G1897" s="3" t="s">
        <v>63</v>
      </c>
      <c r="I1897" s="3" t="s">
        <v>63</v>
      </c>
      <c r="J1897" s="3" t="s">
        <v>63</v>
      </c>
      <c r="K1897" s="3" t="s">
        <v>64</v>
      </c>
      <c r="L1897" s="2" t="s">
        <v>16512</v>
      </c>
      <c r="M1897" s="2" t="s">
        <v>16513</v>
      </c>
      <c r="N1897" s="3" t="s">
        <v>76</v>
      </c>
      <c r="O1897" s="2" t="s">
        <v>16514</v>
      </c>
      <c r="P1897" s="3" t="s">
        <v>90</v>
      </c>
      <c r="R1897" s="3" t="s">
        <v>67</v>
      </c>
      <c r="S1897" s="4">
        <v>0</v>
      </c>
      <c r="T1897" s="4">
        <v>0</v>
      </c>
      <c r="W1897" s="5" t="s">
        <v>69</v>
      </c>
      <c r="X1897" s="5" t="s">
        <v>69</v>
      </c>
      <c r="Y1897" s="4">
        <v>9</v>
      </c>
      <c r="Z1897" s="4">
        <v>3</v>
      </c>
      <c r="AA1897" s="4">
        <v>3</v>
      </c>
      <c r="AB1897" s="4">
        <v>1</v>
      </c>
      <c r="AC1897" s="4">
        <v>1</v>
      </c>
      <c r="AD1897" s="4">
        <v>4</v>
      </c>
      <c r="AE1897" s="4">
        <v>5</v>
      </c>
      <c r="AF1897" s="4">
        <v>0</v>
      </c>
      <c r="AG1897" s="4">
        <v>0</v>
      </c>
      <c r="AH1897" s="4">
        <v>4</v>
      </c>
      <c r="AI1897" s="4">
        <v>5</v>
      </c>
      <c r="AJ1897" s="4">
        <v>1</v>
      </c>
      <c r="AK1897" s="4">
        <v>1</v>
      </c>
      <c r="AL1897" s="4">
        <v>4</v>
      </c>
      <c r="AM1897" s="4">
        <v>5</v>
      </c>
      <c r="AN1897" s="4">
        <v>0</v>
      </c>
      <c r="AO1897" s="4">
        <v>0</v>
      </c>
      <c r="AP1897" s="4">
        <v>1</v>
      </c>
      <c r="AQ1897" s="4">
        <v>1</v>
      </c>
      <c r="AR1897" s="3" t="s">
        <v>63</v>
      </c>
      <c r="AS1897" s="3" t="s">
        <v>63</v>
      </c>
      <c r="AT1897" s="3" t="s">
        <v>62</v>
      </c>
      <c r="AU1897" s="6" t="str">
        <f>HYPERLINK("http://catalog.hathitrust.org/Record/100645867","HathiTrust Record")</f>
        <v>HathiTrust Record</v>
      </c>
      <c r="AV1897" s="6" t="str">
        <f>HYPERLINK("http://mcgill.on.worldcat.org/oclc/793187419","Catalog Record")</f>
        <v>Catalog Record</v>
      </c>
      <c r="AW1897" s="6" t="str">
        <f>HYPERLINK("http://www.worldcat.org/oclc/793187419","WorldCat Record")</f>
        <v>WorldCat Record</v>
      </c>
      <c r="AX1897" s="3" t="s">
        <v>16515</v>
      </c>
      <c r="AY1897" s="3" t="s">
        <v>16516</v>
      </c>
      <c r="AZ1897" s="3" t="s">
        <v>16517</v>
      </c>
      <c r="BA1897" s="3" t="s">
        <v>16517</v>
      </c>
      <c r="BB1897" s="3" t="s">
        <v>16518</v>
      </c>
      <c r="BC1897" s="3" t="s">
        <v>82</v>
      </c>
      <c r="BD1897" s="3" t="s">
        <v>70</v>
      </c>
      <c r="BE1897" s="3" t="s">
        <v>16519</v>
      </c>
      <c r="BF1897" s="3" t="s">
        <v>16518</v>
      </c>
      <c r="BG1897" s="3" t="s">
        <v>16520</v>
      </c>
    </row>
    <row r="1898" spans="1:59" ht="60" x14ac:dyDescent="0.25">
      <c r="A1898" s="2" t="s">
        <v>59</v>
      </c>
      <c r="B1898" s="2" t="s">
        <v>60</v>
      </c>
      <c r="C1898" s="2" t="s">
        <v>16521</v>
      </c>
      <c r="D1898" s="2" t="s">
        <v>16522</v>
      </c>
      <c r="E1898" s="2" t="s">
        <v>16523</v>
      </c>
      <c r="G1898" s="3" t="s">
        <v>63</v>
      </c>
      <c r="I1898" s="3" t="s">
        <v>63</v>
      </c>
      <c r="J1898" s="3" t="s">
        <v>63</v>
      </c>
      <c r="K1898" s="3" t="s">
        <v>64</v>
      </c>
      <c r="L1898" s="2" t="s">
        <v>7541</v>
      </c>
      <c r="M1898" s="2" t="s">
        <v>16524</v>
      </c>
      <c r="N1898" s="3" t="s">
        <v>213</v>
      </c>
      <c r="P1898" s="3" t="s">
        <v>90</v>
      </c>
      <c r="R1898" s="3" t="s">
        <v>67</v>
      </c>
      <c r="S1898" s="4">
        <v>7</v>
      </c>
      <c r="T1898" s="4">
        <v>7</v>
      </c>
      <c r="U1898" s="5" t="s">
        <v>16288</v>
      </c>
      <c r="V1898" s="5" t="s">
        <v>16288</v>
      </c>
      <c r="W1898" s="5" t="s">
        <v>69</v>
      </c>
      <c r="X1898" s="5" t="s">
        <v>69</v>
      </c>
      <c r="Y1898" s="4">
        <v>6</v>
      </c>
      <c r="Z1898" s="4">
        <v>1</v>
      </c>
      <c r="AA1898" s="4">
        <v>8</v>
      </c>
      <c r="AB1898" s="4">
        <v>1</v>
      </c>
      <c r="AC1898" s="4">
        <v>1</v>
      </c>
      <c r="AD1898" s="4">
        <v>4</v>
      </c>
      <c r="AE1898" s="4">
        <v>55</v>
      </c>
      <c r="AF1898" s="4">
        <v>0</v>
      </c>
      <c r="AG1898" s="4">
        <v>0</v>
      </c>
      <c r="AH1898" s="4">
        <v>3</v>
      </c>
      <c r="AI1898" s="4">
        <v>52</v>
      </c>
      <c r="AJ1898" s="4">
        <v>0</v>
      </c>
      <c r="AK1898" s="4">
        <v>5</v>
      </c>
      <c r="AL1898" s="4">
        <v>4</v>
      </c>
      <c r="AM1898" s="4">
        <v>39</v>
      </c>
      <c r="AN1898" s="4">
        <v>0</v>
      </c>
      <c r="AO1898" s="4">
        <v>0</v>
      </c>
      <c r="AP1898" s="4">
        <v>0</v>
      </c>
      <c r="AQ1898" s="4">
        <v>6</v>
      </c>
      <c r="AR1898" s="3" t="s">
        <v>63</v>
      </c>
      <c r="AS1898" s="3" t="s">
        <v>63</v>
      </c>
      <c r="AT1898" s="3" t="s">
        <v>63</v>
      </c>
      <c r="AV1898" s="6" t="str">
        <f>HYPERLINK("http://mcgill.on.worldcat.org/oclc/23048099","Catalog Record")</f>
        <v>Catalog Record</v>
      </c>
      <c r="AW1898" s="6" t="str">
        <f>HYPERLINK("http://www.worldcat.org/oclc/23048099","WorldCat Record")</f>
        <v>WorldCat Record</v>
      </c>
      <c r="AX1898" s="3" t="s">
        <v>16525</v>
      </c>
      <c r="AY1898" s="3" t="s">
        <v>16526</v>
      </c>
      <c r="AZ1898" s="3" t="s">
        <v>16527</v>
      </c>
      <c r="BA1898" s="3" t="s">
        <v>16527</v>
      </c>
      <c r="BB1898" s="3" t="s">
        <v>16528</v>
      </c>
      <c r="BC1898" s="3" t="s">
        <v>82</v>
      </c>
      <c r="BD1898" s="3" t="s">
        <v>70</v>
      </c>
      <c r="BF1898" s="3" t="s">
        <v>16528</v>
      </c>
      <c r="BG1898" s="3" t="s">
        <v>16529</v>
      </c>
    </row>
    <row r="1899" spans="1:59" ht="60" x14ac:dyDescent="0.25">
      <c r="A1899" s="2" t="s">
        <v>59</v>
      </c>
      <c r="B1899" s="2" t="s">
        <v>60</v>
      </c>
      <c r="C1899" s="2" t="s">
        <v>16465</v>
      </c>
      <c r="D1899" s="2" t="s">
        <v>16466</v>
      </c>
      <c r="E1899" s="2" t="s">
        <v>16467</v>
      </c>
      <c r="G1899" s="3" t="s">
        <v>63</v>
      </c>
      <c r="I1899" s="3" t="s">
        <v>62</v>
      </c>
      <c r="J1899" s="3" t="s">
        <v>63</v>
      </c>
      <c r="K1899" s="3" t="s">
        <v>64</v>
      </c>
      <c r="L1899" s="2" t="s">
        <v>16468</v>
      </c>
      <c r="M1899" s="2" t="s">
        <v>16469</v>
      </c>
      <c r="N1899" s="3" t="s">
        <v>1402</v>
      </c>
      <c r="P1899" s="3" t="s">
        <v>90</v>
      </c>
      <c r="R1899" s="3" t="s">
        <v>67</v>
      </c>
      <c r="S1899" s="4">
        <v>0</v>
      </c>
      <c r="T1899" s="4">
        <v>1</v>
      </c>
      <c r="V1899" s="5" t="s">
        <v>15471</v>
      </c>
      <c r="W1899" s="5" t="s">
        <v>69</v>
      </c>
      <c r="X1899" s="5" t="s">
        <v>69</v>
      </c>
      <c r="Y1899" s="4">
        <v>113</v>
      </c>
      <c r="Z1899" s="4">
        <v>11</v>
      </c>
      <c r="AA1899" s="4">
        <v>12</v>
      </c>
      <c r="AB1899" s="4">
        <v>1</v>
      </c>
      <c r="AC1899" s="4">
        <v>1</v>
      </c>
      <c r="AD1899" s="4">
        <v>67</v>
      </c>
      <c r="AE1899" s="4">
        <v>71</v>
      </c>
      <c r="AF1899" s="4">
        <v>0</v>
      </c>
      <c r="AG1899" s="4">
        <v>0</v>
      </c>
      <c r="AH1899" s="4">
        <v>63</v>
      </c>
      <c r="AI1899" s="4">
        <v>67</v>
      </c>
      <c r="AJ1899" s="4">
        <v>9</v>
      </c>
      <c r="AK1899" s="4">
        <v>10</v>
      </c>
      <c r="AL1899" s="4">
        <v>44</v>
      </c>
      <c r="AM1899" s="4">
        <v>45</v>
      </c>
      <c r="AN1899" s="4">
        <v>0</v>
      </c>
      <c r="AO1899" s="4">
        <v>0</v>
      </c>
      <c r="AP1899" s="4">
        <v>9</v>
      </c>
      <c r="AQ1899" s="4">
        <v>10</v>
      </c>
      <c r="AR1899" s="3" t="s">
        <v>63</v>
      </c>
      <c r="AS1899" s="3" t="s">
        <v>63</v>
      </c>
      <c r="AT1899" s="3" t="s">
        <v>62</v>
      </c>
      <c r="AU1899" s="6" t="str">
        <f>HYPERLINK("http://catalog.hathitrust.org/Record/001060463","HathiTrust Record")</f>
        <v>HathiTrust Record</v>
      </c>
      <c r="AV1899" s="6" t="str">
        <f>HYPERLINK("http://mcgill.on.worldcat.org/oclc/4078490","Catalog Record")</f>
        <v>Catalog Record</v>
      </c>
      <c r="AW1899" s="6" t="str">
        <f>HYPERLINK("http://www.worldcat.org/oclc/4078490","WorldCat Record")</f>
        <v>WorldCat Record</v>
      </c>
      <c r="AX1899" s="3" t="s">
        <v>16470</v>
      </c>
      <c r="AY1899" s="3" t="s">
        <v>16471</v>
      </c>
      <c r="AZ1899" s="3" t="s">
        <v>16472</v>
      </c>
      <c r="BA1899" s="3" t="s">
        <v>16472</v>
      </c>
      <c r="BB1899" s="3" t="s">
        <v>16473</v>
      </c>
      <c r="BC1899" s="3" t="s">
        <v>82</v>
      </c>
      <c r="BD1899" s="3" t="s">
        <v>70</v>
      </c>
      <c r="BF1899" s="3" t="s">
        <v>16473</v>
      </c>
      <c r="BG1899" s="3" t="s">
        <v>16474</v>
      </c>
    </row>
    <row r="1900" spans="1:59" ht="60" x14ac:dyDescent="0.25">
      <c r="A1900" s="2" t="s">
        <v>59</v>
      </c>
      <c r="B1900" s="2" t="s">
        <v>60</v>
      </c>
      <c r="C1900" s="2" t="s">
        <v>16530</v>
      </c>
      <c r="D1900" s="2" t="s">
        <v>16531</v>
      </c>
      <c r="E1900" s="2" t="s">
        <v>16532</v>
      </c>
      <c r="G1900" s="3" t="s">
        <v>63</v>
      </c>
      <c r="I1900" s="3" t="s">
        <v>63</v>
      </c>
      <c r="J1900" s="3" t="s">
        <v>63</v>
      </c>
      <c r="K1900" s="3" t="s">
        <v>64</v>
      </c>
      <c r="L1900" s="2" t="s">
        <v>16533</v>
      </c>
      <c r="M1900" s="2" t="s">
        <v>16534</v>
      </c>
      <c r="N1900" s="3" t="s">
        <v>274</v>
      </c>
      <c r="P1900" s="3" t="s">
        <v>90</v>
      </c>
      <c r="R1900" s="3" t="s">
        <v>67</v>
      </c>
      <c r="S1900" s="4">
        <v>13</v>
      </c>
      <c r="T1900" s="4">
        <v>13</v>
      </c>
      <c r="U1900" s="5" t="s">
        <v>16535</v>
      </c>
      <c r="V1900" s="5" t="s">
        <v>16535</v>
      </c>
      <c r="W1900" s="5" t="s">
        <v>69</v>
      </c>
      <c r="X1900" s="5" t="s">
        <v>69</v>
      </c>
      <c r="Y1900" s="4">
        <v>32</v>
      </c>
      <c r="Z1900" s="4">
        <v>2</v>
      </c>
      <c r="AA1900" s="4">
        <v>11</v>
      </c>
      <c r="AB1900" s="4">
        <v>1</v>
      </c>
      <c r="AC1900" s="4">
        <v>1</v>
      </c>
      <c r="AD1900" s="4">
        <v>24</v>
      </c>
      <c r="AE1900" s="4">
        <v>66</v>
      </c>
      <c r="AF1900" s="4">
        <v>0</v>
      </c>
      <c r="AG1900" s="4">
        <v>0</v>
      </c>
      <c r="AH1900" s="4">
        <v>23</v>
      </c>
      <c r="AI1900" s="4">
        <v>61</v>
      </c>
      <c r="AJ1900" s="4">
        <v>1</v>
      </c>
      <c r="AK1900" s="4">
        <v>9</v>
      </c>
      <c r="AL1900" s="4">
        <v>16</v>
      </c>
      <c r="AM1900" s="4">
        <v>43</v>
      </c>
      <c r="AN1900" s="4">
        <v>0</v>
      </c>
      <c r="AO1900" s="4">
        <v>0</v>
      </c>
      <c r="AP1900" s="4">
        <v>1</v>
      </c>
      <c r="AQ1900" s="4">
        <v>9</v>
      </c>
      <c r="AR1900" s="3" t="s">
        <v>63</v>
      </c>
      <c r="AS1900" s="3" t="s">
        <v>63</v>
      </c>
      <c r="AT1900" s="3" t="s">
        <v>63</v>
      </c>
      <c r="AV1900" s="6" t="str">
        <f>HYPERLINK("http://mcgill.on.worldcat.org/oclc/42707753","Catalog Record")</f>
        <v>Catalog Record</v>
      </c>
      <c r="AW1900" s="6" t="str">
        <f>HYPERLINK("http://www.worldcat.org/oclc/42707753","WorldCat Record")</f>
        <v>WorldCat Record</v>
      </c>
      <c r="AX1900" s="3" t="s">
        <v>16536</v>
      </c>
      <c r="AY1900" s="3" t="s">
        <v>16537</v>
      </c>
      <c r="AZ1900" s="3" t="s">
        <v>16538</v>
      </c>
      <c r="BA1900" s="3" t="s">
        <v>16538</v>
      </c>
      <c r="BB1900" s="3" t="s">
        <v>16539</v>
      </c>
      <c r="BC1900" s="3" t="s">
        <v>82</v>
      </c>
      <c r="BD1900" s="3" t="s">
        <v>70</v>
      </c>
      <c r="BE1900" s="3" t="s">
        <v>16540</v>
      </c>
      <c r="BF1900" s="3" t="s">
        <v>16539</v>
      </c>
      <c r="BG1900" s="3" t="s">
        <v>16541</v>
      </c>
    </row>
    <row r="1901" spans="1:59" ht="60" x14ac:dyDescent="0.25">
      <c r="A1901" s="2" t="s">
        <v>59</v>
      </c>
      <c r="B1901" s="2" t="s">
        <v>60</v>
      </c>
      <c r="C1901" s="2" t="s">
        <v>16626</v>
      </c>
      <c r="D1901" s="2" t="s">
        <v>16627</v>
      </c>
      <c r="E1901" s="2" t="s">
        <v>16628</v>
      </c>
      <c r="F1901" s="3" t="s">
        <v>9085</v>
      </c>
      <c r="G1901" s="3" t="s">
        <v>62</v>
      </c>
      <c r="I1901" s="3" t="s">
        <v>63</v>
      </c>
      <c r="J1901" s="3" t="s">
        <v>63</v>
      </c>
      <c r="K1901" s="3" t="s">
        <v>64</v>
      </c>
      <c r="L1901" s="2" t="s">
        <v>16545</v>
      </c>
      <c r="M1901" s="2" t="s">
        <v>16629</v>
      </c>
      <c r="N1901" s="3" t="s">
        <v>16630</v>
      </c>
      <c r="P1901" s="3" t="s">
        <v>90</v>
      </c>
      <c r="R1901" s="3" t="s">
        <v>67</v>
      </c>
      <c r="S1901" s="4">
        <v>0</v>
      </c>
      <c r="T1901" s="4">
        <v>1</v>
      </c>
      <c r="V1901" s="5" t="s">
        <v>16631</v>
      </c>
      <c r="W1901" s="5" t="s">
        <v>69</v>
      </c>
      <c r="X1901" s="5" t="s">
        <v>69</v>
      </c>
      <c r="Y1901" s="4">
        <v>3</v>
      </c>
      <c r="Z1901" s="4">
        <v>1</v>
      </c>
      <c r="AA1901" s="4">
        <v>5</v>
      </c>
      <c r="AB1901" s="4">
        <v>1</v>
      </c>
      <c r="AC1901" s="4">
        <v>1</v>
      </c>
      <c r="AD1901" s="4">
        <v>0</v>
      </c>
      <c r="AE1901" s="4">
        <v>40</v>
      </c>
      <c r="AF1901" s="4">
        <v>0</v>
      </c>
      <c r="AG1901" s="4">
        <v>0</v>
      </c>
      <c r="AH1901" s="4">
        <v>0</v>
      </c>
      <c r="AI1901" s="4">
        <v>38</v>
      </c>
      <c r="AJ1901" s="4">
        <v>0</v>
      </c>
      <c r="AK1901" s="4">
        <v>3</v>
      </c>
      <c r="AL1901" s="4">
        <v>0</v>
      </c>
      <c r="AM1901" s="4">
        <v>27</v>
      </c>
      <c r="AN1901" s="4">
        <v>0</v>
      </c>
      <c r="AO1901" s="4">
        <v>0</v>
      </c>
      <c r="AP1901" s="4">
        <v>0</v>
      </c>
      <c r="AQ1901" s="4">
        <v>3</v>
      </c>
      <c r="AR1901" s="3" t="s">
        <v>63</v>
      </c>
      <c r="AS1901" s="3" t="s">
        <v>63</v>
      </c>
      <c r="AT1901" s="3" t="s">
        <v>63</v>
      </c>
      <c r="AV1901" s="6" t="str">
        <f>HYPERLINK("http://mcgill.on.worldcat.org/oclc/74814791","Catalog Record")</f>
        <v>Catalog Record</v>
      </c>
      <c r="AW1901" s="6" t="str">
        <f>HYPERLINK("http://www.worldcat.org/oclc/74814791","WorldCat Record")</f>
        <v>WorldCat Record</v>
      </c>
      <c r="AX1901" s="3" t="s">
        <v>16632</v>
      </c>
      <c r="AY1901" s="3" t="s">
        <v>16633</v>
      </c>
      <c r="AZ1901" s="3" t="s">
        <v>16634</v>
      </c>
      <c r="BA1901" s="3" t="s">
        <v>16634</v>
      </c>
      <c r="BB1901" s="3" t="s">
        <v>16635</v>
      </c>
      <c r="BC1901" s="3" t="s">
        <v>82</v>
      </c>
      <c r="BD1901" s="3" t="s">
        <v>70</v>
      </c>
      <c r="BF1901" s="3" t="s">
        <v>16635</v>
      </c>
      <c r="BG1901" s="3" t="s">
        <v>16636</v>
      </c>
    </row>
    <row r="1902" spans="1:59" ht="60" x14ac:dyDescent="0.25">
      <c r="A1902" s="2" t="s">
        <v>59</v>
      </c>
      <c r="B1902" s="2" t="s">
        <v>60</v>
      </c>
      <c r="C1902" s="2" t="s">
        <v>16626</v>
      </c>
      <c r="D1902" s="2" t="s">
        <v>16627</v>
      </c>
      <c r="E1902" s="2" t="s">
        <v>16628</v>
      </c>
      <c r="F1902" s="3" t="s">
        <v>4437</v>
      </c>
      <c r="G1902" s="3" t="s">
        <v>62</v>
      </c>
      <c r="I1902" s="3" t="s">
        <v>63</v>
      </c>
      <c r="J1902" s="3" t="s">
        <v>63</v>
      </c>
      <c r="K1902" s="3" t="s">
        <v>64</v>
      </c>
      <c r="L1902" s="2" t="s">
        <v>16545</v>
      </c>
      <c r="M1902" s="2" t="s">
        <v>16629</v>
      </c>
      <c r="N1902" s="3" t="s">
        <v>16630</v>
      </c>
      <c r="P1902" s="3" t="s">
        <v>90</v>
      </c>
      <c r="R1902" s="3" t="s">
        <v>67</v>
      </c>
      <c r="S1902" s="4">
        <v>0</v>
      </c>
      <c r="T1902" s="4">
        <v>1</v>
      </c>
      <c r="V1902" s="5" t="s">
        <v>16631</v>
      </c>
      <c r="W1902" s="5" t="s">
        <v>69</v>
      </c>
      <c r="X1902" s="5" t="s">
        <v>69</v>
      </c>
      <c r="Y1902" s="4">
        <v>3</v>
      </c>
      <c r="Z1902" s="4">
        <v>1</v>
      </c>
      <c r="AA1902" s="4">
        <v>5</v>
      </c>
      <c r="AB1902" s="4">
        <v>1</v>
      </c>
      <c r="AC1902" s="4">
        <v>1</v>
      </c>
      <c r="AD1902" s="4">
        <v>0</v>
      </c>
      <c r="AE1902" s="4">
        <v>40</v>
      </c>
      <c r="AF1902" s="4">
        <v>0</v>
      </c>
      <c r="AG1902" s="4">
        <v>0</v>
      </c>
      <c r="AH1902" s="4">
        <v>0</v>
      </c>
      <c r="AI1902" s="4">
        <v>38</v>
      </c>
      <c r="AJ1902" s="4">
        <v>0</v>
      </c>
      <c r="AK1902" s="4">
        <v>3</v>
      </c>
      <c r="AL1902" s="4">
        <v>0</v>
      </c>
      <c r="AM1902" s="4">
        <v>27</v>
      </c>
      <c r="AN1902" s="4">
        <v>0</v>
      </c>
      <c r="AO1902" s="4">
        <v>0</v>
      </c>
      <c r="AP1902" s="4">
        <v>0</v>
      </c>
      <c r="AQ1902" s="4">
        <v>3</v>
      </c>
      <c r="AR1902" s="3" t="s">
        <v>63</v>
      </c>
      <c r="AS1902" s="3" t="s">
        <v>63</v>
      </c>
      <c r="AT1902" s="3" t="s">
        <v>63</v>
      </c>
      <c r="AV1902" s="6" t="str">
        <f>HYPERLINK("http://mcgill.on.worldcat.org/oclc/74814791","Catalog Record")</f>
        <v>Catalog Record</v>
      </c>
      <c r="AW1902" s="6" t="str">
        <f>HYPERLINK("http://www.worldcat.org/oclc/74814791","WorldCat Record")</f>
        <v>WorldCat Record</v>
      </c>
      <c r="AX1902" s="3" t="s">
        <v>16632</v>
      </c>
      <c r="AY1902" s="3" t="s">
        <v>16633</v>
      </c>
      <c r="AZ1902" s="3" t="s">
        <v>16634</v>
      </c>
      <c r="BA1902" s="3" t="s">
        <v>16634</v>
      </c>
      <c r="BB1902" s="3" t="s">
        <v>16637</v>
      </c>
      <c r="BC1902" s="3" t="s">
        <v>82</v>
      </c>
      <c r="BD1902" s="3" t="s">
        <v>70</v>
      </c>
      <c r="BF1902" s="3" t="s">
        <v>16637</v>
      </c>
      <c r="BG1902" s="3" t="s">
        <v>16638</v>
      </c>
    </row>
    <row r="1903" spans="1:59" ht="60" x14ac:dyDescent="0.25">
      <c r="A1903" s="2" t="s">
        <v>59</v>
      </c>
      <c r="B1903" s="2" t="s">
        <v>60</v>
      </c>
      <c r="C1903" s="2" t="s">
        <v>16626</v>
      </c>
      <c r="D1903" s="2" t="s">
        <v>16627</v>
      </c>
      <c r="E1903" s="2" t="s">
        <v>16628</v>
      </c>
      <c r="F1903" s="3" t="s">
        <v>571</v>
      </c>
      <c r="G1903" s="3" t="s">
        <v>62</v>
      </c>
      <c r="I1903" s="3" t="s">
        <v>63</v>
      </c>
      <c r="J1903" s="3" t="s">
        <v>63</v>
      </c>
      <c r="K1903" s="3" t="s">
        <v>64</v>
      </c>
      <c r="L1903" s="2" t="s">
        <v>16545</v>
      </c>
      <c r="M1903" s="2" t="s">
        <v>16629</v>
      </c>
      <c r="N1903" s="3" t="s">
        <v>16630</v>
      </c>
      <c r="P1903" s="3" t="s">
        <v>90</v>
      </c>
      <c r="R1903" s="3" t="s">
        <v>67</v>
      </c>
      <c r="S1903" s="4">
        <v>1</v>
      </c>
      <c r="T1903" s="4">
        <v>1</v>
      </c>
      <c r="U1903" s="5" t="s">
        <v>16631</v>
      </c>
      <c r="V1903" s="5" t="s">
        <v>16631</v>
      </c>
      <c r="W1903" s="5" t="s">
        <v>69</v>
      </c>
      <c r="X1903" s="5" t="s">
        <v>69</v>
      </c>
      <c r="Y1903" s="4">
        <v>3</v>
      </c>
      <c r="Z1903" s="4">
        <v>1</v>
      </c>
      <c r="AA1903" s="4">
        <v>5</v>
      </c>
      <c r="AB1903" s="4">
        <v>1</v>
      </c>
      <c r="AC1903" s="4">
        <v>1</v>
      </c>
      <c r="AD1903" s="4">
        <v>0</v>
      </c>
      <c r="AE1903" s="4">
        <v>40</v>
      </c>
      <c r="AF1903" s="4">
        <v>0</v>
      </c>
      <c r="AG1903" s="4">
        <v>0</v>
      </c>
      <c r="AH1903" s="4">
        <v>0</v>
      </c>
      <c r="AI1903" s="4">
        <v>38</v>
      </c>
      <c r="AJ1903" s="4">
        <v>0</v>
      </c>
      <c r="AK1903" s="4">
        <v>3</v>
      </c>
      <c r="AL1903" s="4">
        <v>0</v>
      </c>
      <c r="AM1903" s="4">
        <v>27</v>
      </c>
      <c r="AN1903" s="4">
        <v>0</v>
      </c>
      <c r="AO1903" s="4">
        <v>0</v>
      </c>
      <c r="AP1903" s="4">
        <v>0</v>
      </c>
      <c r="AQ1903" s="4">
        <v>3</v>
      </c>
      <c r="AR1903" s="3" t="s">
        <v>63</v>
      </c>
      <c r="AS1903" s="3" t="s">
        <v>63</v>
      </c>
      <c r="AT1903" s="3" t="s">
        <v>63</v>
      </c>
      <c r="AV1903" s="6" t="str">
        <f>HYPERLINK("http://mcgill.on.worldcat.org/oclc/74814791","Catalog Record")</f>
        <v>Catalog Record</v>
      </c>
      <c r="AW1903" s="6" t="str">
        <f>HYPERLINK("http://www.worldcat.org/oclc/74814791","WorldCat Record")</f>
        <v>WorldCat Record</v>
      </c>
      <c r="AX1903" s="3" t="s">
        <v>16632</v>
      </c>
      <c r="AY1903" s="3" t="s">
        <v>16633</v>
      </c>
      <c r="AZ1903" s="3" t="s">
        <v>16634</v>
      </c>
      <c r="BA1903" s="3" t="s">
        <v>16634</v>
      </c>
      <c r="BB1903" s="3" t="s">
        <v>16639</v>
      </c>
      <c r="BC1903" s="3" t="s">
        <v>82</v>
      </c>
      <c r="BD1903" s="3" t="s">
        <v>70</v>
      </c>
      <c r="BF1903" s="3" t="s">
        <v>16639</v>
      </c>
      <c r="BG1903" s="3" t="s">
        <v>16640</v>
      </c>
    </row>
    <row r="1904" spans="1:59" ht="60" x14ac:dyDescent="0.25">
      <c r="A1904" s="2" t="s">
        <v>59</v>
      </c>
      <c r="B1904" s="2" t="s">
        <v>60</v>
      </c>
      <c r="C1904" s="2" t="s">
        <v>16626</v>
      </c>
      <c r="D1904" s="2" t="s">
        <v>16627</v>
      </c>
      <c r="E1904" s="2" t="s">
        <v>16628</v>
      </c>
      <c r="F1904" s="3" t="s">
        <v>582</v>
      </c>
      <c r="G1904" s="3" t="s">
        <v>62</v>
      </c>
      <c r="I1904" s="3" t="s">
        <v>63</v>
      </c>
      <c r="J1904" s="3" t="s">
        <v>63</v>
      </c>
      <c r="K1904" s="3" t="s">
        <v>64</v>
      </c>
      <c r="L1904" s="2" t="s">
        <v>16545</v>
      </c>
      <c r="M1904" s="2" t="s">
        <v>16629</v>
      </c>
      <c r="N1904" s="3" t="s">
        <v>16630</v>
      </c>
      <c r="P1904" s="3" t="s">
        <v>90</v>
      </c>
      <c r="R1904" s="3" t="s">
        <v>67</v>
      </c>
      <c r="S1904" s="4">
        <v>0</v>
      </c>
      <c r="T1904" s="4">
        <v>1</v>
      </c>
      <c r="V1904" s="5" t="s">
        <v>16631</v>
      </c>
      <c r="W1904" s="5" t="s">
        <v>69</v>
      </c>
      <c r="X1904" s="5" t="s">
        <v>69</v>
      </c>
      <c r="Y1904" s="4">
        <v>3</v>
      </c>
      <c r="Z1904" s="4">
        <v>1</v>
      </c>
      <c r="AA1904" s="4">
        <v>5</v>
      </c>
      <c r="AB1904" s="4">
        <v>1</v>
      </c>
      <c r="AC1904" s="4">
        <v>1</v>
      </c>
      <c r="AD1904" s="4">
        <v>0</v>
      </c>
      <c r="AE1904" s="4">
        <v>40</v>
      </c>
      <c r="AF1904" s="4">
        <v>0</v>
      </c>
      <c r="AG1904" s="4">
        <v>0</v>
      </c>
      <c r="AH1904" s="4">
        <v>0</v>
      </c>
      <c r="AI1904" s="4">
        <v>38</v>
      </c>
      <c r="AJ1904" s="4">
        <v>0</v>
      </c>
      <c r="AK1904" s="4">
        <v>3</v>
      </c>
      <c r="AL1904" s="4">
        <v>0</v>
      </c>
      <c r="AM1904" s="4">
        <v>27</v>
      </c>
      <c r="AN1904" s="4">
        <v>0</v>
      </c>
      <c r="AO1904" s="4">
        <v>0</v>
      </c>
      <c r="AP1904" s="4">
        <v>0</v>
      </c>
      <c r="AQ1904" s="4">
        <v>3</v>
      </c>
      <c r="AR1904" s="3" t="s">
        <v>63</v>
      </c>
      <c r="AS1904" s="3" t="s">
        <v>63</v>
      </c>
      <c r="AT1904" s="3" t="s">
        <v>63</v>
      </c>
      <c r="AV1904" s="6" t="str">
        <f>HYPERLINK("http://mcgill.on.worldcat.org/oclc/74814791","Catalog Record")</f>
        <v>Catalog Record</v>
      </c>
      <c r="AW1904" s="6" t="str">
        <f>HYPERLINK("http://www.worldcat.org/oclc/74814791","WorldCat Record")</f>
        <v>WorldCat Record</v>
      </c>
      <c r="AX1904" s="3" t="s">
        <v>16632</v>
      </c>
      <c r="AY1904" s="3" t="s">
        <v>16633</v>
      </c>
      <c r="AZ1904" s="3" t="s">
        <v>16634</v>
      </c>
      <c r="BA1904" s="3" t="s">
        <v>16634</v>
      </c>
      <c r="BB1904" s="3" t="s">
        <v>16641</v>
      </c>
      <c r="BC1904" s="3" t="s">
        <v>82</v>
      </c>
      <c r="BD1904" s="3" t="s">
        <v>70</v>
      </c>
      <c r="BF1904" s="3" t="s">
        <v>16641</v>
      </c>
      <c r="BG1904" s="3" t="s">
        <v>16642</v>
      </c>
    </row>
    <row r="1905" spans="1:59" ht="60" x14ac:dyDescent="0.25">
      <c r="A1905" s="2" t="s">
        <v>59</v>
      </c>
      <c r="B1905" s="2" t="s">
        <v>60</v>
      </c>
      <c r="C1905" s="2" t="s">
        <v>16626</v>
      </c>
      <c r="D1905" s="2" t="s">
        <v>16627</v>
      </c>
      <c r="E1905" s="2" t="s">
        <v>16628</v>
      </c>
      <c r="F1905" s="3" t="s">
        <v>4439</v>
      </c>
      <c r="G1905" s="3" t="s">
        <v>62</v>
      </c>
      <c r="I1905" s="3" t="s">
        <v>63</v>
      </c>
      <c r="J1905" s="3" t="s">
        <v>63</v>
      </c>
      <c r="K1905" s="3" t="s">
        <v>64</v>
      </c>
      <c r="L1905" s="2" t="s">
        <v>16545</v>
      </c>
      <c r="M1905" s="2" t="s">
        <v>16629</v>
      </c>
      <c r="N1905" s="3" t="s">
        <v>16630</v>
      </c>
      <c r="P1905" s="3" t="s">
        <v>90</v>
      </c>
      <c r="R1905" s="3" t="s">
        <v>67</v>
      </c>
      <c r="S1905" s="4">
        <v>0</v>
      </c>
      <c r="T1905" s="4">
        <v>1</v>
      </c>
      <c r="V1905" s="5" t="s">
        <v>16631</v>
      </c>
      <c r="W1905" s="5" t="s">
        <v>69</v>
      </c>
      <c r="X1905" s="5" t="s">
        <v>69</v>
      </c>
      <c r="Y1905" s="4">
        <v>3</v>
      </c>
      <c r="Z1905" s="4">
        <v>1</v>
      </c>
      <c r="AA1905" s="4">
        <v>5</v>
      </c>
      <c r="AB1905" s="4">
        <v>1</v>
      </c>
      <c r="AC1905" s="4">
        <v>1</v>
      </c>
      <c r="AD1905" s="4">
        <v>0</v>
      </c>
      <c r="AE1905" s="4">
        <v>40</v>
      </c>
      <c r="AF1905" s="4">
        <v>0</v>
      </c>
      <c r="AG1905" s="4">
        <v>0</v>
      </c>
      <c r="AH1905" s="4">
        <v>0</v>
      </c>
      <c r="AI1905" s="4">
        <v>38</v>
      </c>
      <c r="AJ1905" s="4">
        <v>0</v>
      </c>
      <c r="AK1905" s="4">
        <v>3</v>
      </c>
      <c r="AL1905" s="4">
        <v>0</v>
      </c>
      <c r="AM1905" s="4">
        <v>27</v>
      </c>
      <c r="AN1905" s="4">
        <v>0</v>
      </c>
      <c r="AO1905" s="4">
        <v>0</v>
      </c>
      <c r="AP1905" s="4">
        <v>0</v>
      </c>
      <c r="AQ1905" s="4">
        <v>3</v>
      </c>
      <c r="AR1905" s="3" t="s">
        <v>63</v>
      </c>
      <c r="AS1905" s="3" t="s">
        <v>63</v>
      </c>
      <c r="AT1905" s="3" t="s">
        <v>63</v>
      </c>
      <c r="AV1905" s="6" t="str">
        <f>HYPERLINK("http://mcgill.on.worldcat.org/oclc/74814791","Catalog Record")</f>
        <v>Catalog Record</v>
      </c>
      <c r="AW1905" s="6" t="str">
        <f>HYPERLINK("http://www.worldcat.org/oclc/74814791","WorldCat Record")</f>
        <v>WorldCat Record</v>
      </c>
      <c r="AX1905" s="3" t="s">
        <v>16632</v>
      </c>
      <c r="AY1905" s="3" t="s">
        <v>16633</v>
      </c>
      <c r="AZ1905" s="3" t="s">
        <v>16634</v>
      </c>
      <c r="BA1905" s="3" t="s">
        <v>16634</v>
      </c>
      <c r="BB1905" s="3" t="s">
        <v>16643</v>
      </c>
      <c r="BC1905" s="3" t="s">
        <v>82</v>
      </c>
      <c r="BD1905" s="3" t="s">
        <v>70</v>
      </c>
      <c r="BF1905" s="3" t="s">
        <v>16643</v>
      </c>
      <c r="BG1905" s="3" t="s">
        <v>16644</v>
      </c>
    </row>
    <row r="1906" spans="1:59" ht="60" x14ac:dyDescent="0.25">
      <c r="A1906" s="2" t="s">
        <v>59</v>
      </c>
      <c r="B1906" s="2" t="s">
        <v>60</v>
      </c>
      <c r="C1906" s="2" t="s">
        <v>16626</v>
      </c>
      <c r="D1906" s="2" t="s">
        <v>16627</v>
      </c>
      <c r="E1906" s="2" t="s">
        <v>16628</v>
      </c>
      <c r="F1906" s="3" t="s">
        <v>4432</v>
      </c>
      <c r="G1906" s="3" t="s">
        <v>62</v>
      </c>
      <c r="I1906" s="3" t="s">
        <v>63</v>
      </c>
      <c r="J1906" s="3" t="s">
        <v>63</v>
      </c>
      <c r="K1906" s="3" t="s">
        <v>64</v>
      </c>
      <c r="L1906" s="2" t="s">
        <v>16545</v>
      </c>
      <c r="M1906" s="2" t="s">
        <v>16629</v>
      </c>
      <c r="N1906" s="3" t="s">
        <v>16630</v>
      </c>
      <c r="P1906" s="3" t="s">
        <v>90</v>
      </c>
      <c r="R1906" s="3" t="s">
        <v>67</v>
      </c>
      <c r="S1906" s="4">
        <v>0</v>
      </c>
      <c r="T1906" s="4">
        <v>1</v>
      </c>
      <c r="V1906" s="5" t="s">
        <v>16631</v>
      </c>
      <c r="W1906" s="5" t="s">
        <v>69</v>
      </c>
      <c r="X1906" s="5" t="s">
        <v>69</v>
      </c>
      <c r="Y1906" s="4">
        <v>3</v>
      </c>
      <c r="Z1906" s="4">
        <v>1</v>
      </c>
      <c r="AA1906" s="4">
        <v>5</v>
      </c>
      <c r="AB1906" s="4">
        <v>1</v>
      </c>
      <c r="AC1906" s="4">
        <v>1</v>
      </c>
      <c r="AD1906" s="4">
        <v>0</v>
      </c>
      <c r="AE1906" s="4">
        <v>40</v>
      </c>
      <c r="AF1906" s="4">
        <v>0</v>
      </c>
      <c r="AG1906" s="4">
        <v>0</v>
      </c>
      <c r="AH1906" s="4">
        <v>0</v>
      </c>
      <c r="AI1906" s="4">
        <v>38</v>
      </c>
      <c r="AJ1906" s="4">
        <v>0</v>
      </c>
      <c r="AK1906" s="4">
        <v>3</v>
      </c>
      <c r="AL1906" s="4">
        <v>0</v>
      </c>
      <c r="AM1906" s="4">
        <v>27</v>
      </c>
      <c r="AN1906" s="4">
        <v>0</v>
      </c>
      <c r="AO1906" s="4">
        <v>0</v>
      </c>
      <c r="AP1906" s="4">
        <v>0</v>
      </c>
      <c r="AQ1906" s="4">
        <v>3</v>
      </c>
      <c r="AR1906" s="3" t="s">
        <v>63</v>
      </c>
      <c r="AS1906" s="3" t="s">
        <v>63</v>
      </c>
      <c r="AT1906" s="3" t="s">
        <v>63</v>
      </c>
      <c r="AV1906" s="6" t="str">
        <f>HYPERLINK("http://mcgill.on.worldcat.org/oclc/74814791","Catalog Record")</f>
        <v>Catalog Record</v>
      </c>
      <c r="AW1906" s="6" t="str">
        <f>HYPERLINK("http://www.worldcat.org/oclc/74814791","WorldCat Record")</f>
        <v>WorldCat Record</v>
      </c>
      <c r="AX1906" s="3" t="s">
        <v>16632</v>
      </c>
      <c r="AY1906" s="3" t="s">
        <v>16633</v>
      </c>
      <c r="AZ1906" s="3" t="s">
        <v>16634</v>
      </c>
      <c r="BA1906" s="3" t="s">
        <v>16634</v>
      </c>
      <c r="BB1906" s="3" t="s">
        <v>16645</v>
      </c>
      <c r="BC1906" s="3" t="s">
        <v>82</v>
      </c>
      <c r="BD1906" s="3" t="s">
        <v>70</v>
      </c>
      <c r="BF1906" s="3" t="s">
        <v>16645</v>
      </c>
      <c r="BG1906" s="3" t="s">
        <v>16646</v>
      </c>
    </row>
    <row r="1907" spans="1:59" ht="60" x14ac:dyDescent="0.25">
      <c r="A1907" s="2" t="s">
        <v>59</v>
      </c>
      <c r="B1907" s="2" t="s">
        <v>60</v>
      </c>
      <c r="C1907" s="2" t="s">
        <v>16626</v>
      </c>
      <c r="D1907" s="2" t="s">
        <v>16627</v>
      </c>
      <c r="E1907" s="2" t="s">
        <v>16628</v>
      </c>
      <c r="F1907" s="3" t="s">
        <v>4434</v>
      </c>
      <c r="G1907" s="3" t="s">
        <v>62</v>
      </c>
      <c r="I1907" s="3" t="s">
        <v>63</v>
      </c>
      <c r="J1907" s="3" t="s">
        <v>63</v>
      </c>
      <c r="K1907" s="3" t="s">
        <v>64</v>
      </c>
      <c r="L1907" s="2" t="s">
        <v>16545</v>
      </c>
      <c r="M1907" s="2" t="s">
        <v>16629</v>
      </c>
      <c r="N1907" s="3" t="s">
        <v>16630</v>
      </c>
      <c r="P1907" s="3" t="s">
        <v>90</v>
      </c>
      <c r="R1907" s="3" t="s">
        <v>67</v>
      </c>
      <c r="S1907" s="4">
        <v>0</v>
      </c>
      <c r="T1907" s="4">
        <v>1</v>
      </c>
      <c r="V1907" s="5" t="s">
        <v>16631</v>
      </c>
      <c r="W1907" s="5" t="s">
        <v>69</v>
      </c>
      <c r="X1907" s="5" t="s">
        <v>69</v>
      </c>
      <c r="Y1907" s="4">
        <v>3</v>
      </c>
      <c r="Z1907" s="4">
        <v>1</v>
      </c>
      <c r="AA1907" s="4">
        <v>5</v>
      </c>
      <c r="AB1907" s="4">
        <v>1</v>
      </c>
      <c r="AC1907" s="4">
        <v>1</v>
      </c>
      <c r="AD1907" s="4">
        <v>0</v>
      </c>
      <c r="AE1907" s="4">
        <v>40</v>
      </c>
      <c r="AF1907" s="4">
        <v>0</v>
      </c>
      <c r="AG1907" s="4">
        <v>0</v>
      </c>
      <c r="AH1907" s="4">
        <v>0</v>
      </c>
      <c r="AI1907" s="4">
        <v>38</v>
      </c>
      <c r="AJ1907" s="4">
        <v>0</v>
      </c>
      <c r="AK1907" s="4">
        <v>3</v>
      </c>
      <c r="AL1907" s="4">
        <v>0</v>
      </c>
      <c r="AM1907" s="4">
        <v>27</v>
      </c>
      <c r="AN1907" s="4">
        <v>0</v>
      </c>
      <c r="AO1907" s="4">
        <v>0</v>
      </c>
      <c r="AP1907" s="4">
        <v>0</v>
      </c>
      <c r="AQ1907" s="4">
        <v>3</v>
      </c>
      <c r="AR1907" s="3" t="s">
        <v>63</v>
      </c>
      <c r="AS1907" s="3" t="s">
        <v>63</v>
      </c>
      <c r="AT1907" s="3" t="s">
        <v>63</v>
      </c>
      <c r="AV1907" s="6" t="str">
        <f>HYPERLINK("http://mcgill.on.worldcat.org/oclc/74814791","Catalog Record")</f>
        <v>Catalog Record</v>
      </c>
      <c r="AW1907" s="6" t="str">
        <f>HYPERLINK("http://www.worldcat.org/oclc/74814791","WorldCat Record")</f>
        <v>WorldCat Record</v>
      </c>
      <c r="AX1907" s="3" t="s">
        <v>16632</v>
      </c>
      <c r="AY1907" s="3" t="s">
        <v>16633</v>
      </c>
      <c r="AZ1907" s="3" t="s">
        <v>16634</v>
      </c>
      <c r="BA1907" s="3" t="s">
        <v>16634</v>
      </c>
      <c r="BB1907" s="3" t="s">
        <v>16647</v>
      </c>
      <c r="BC1907" s="3" t="s">
        <v>82</v>
      </c>
      <c r="BD1907" s="3" t="s">
        <v>70</v>
      </c>
      <c r="BF1907" s="3" t="s">
        <v>16647</v>
      </c>
      <c r="BG1907" s="3" t="s">
        <v>16648</v>
      </c>
    </row>
    <row r="1908" spans="1:59" ht="60" x14ac:dyDescent="0.25">
      <c r="A1908" s="2" t="s">
        <v>59</v>
      </c>
      <c r="B1908" s="2" t="s">
        <v>60</v>
      </c>
      <c r="C1908" s="2" t="s">
        <v>16626</v>
      </c>
      <c r="D1908" s="2" t="s">
        <v>16627</v>
      </c>
      <c r="E1908" s="2" t="s">
        <v>16628</v>
      </c>
      <c r="F1908" s="3" t="s">
        <v>4435</v>
      </c>
      <c r="G1908" s="3" t="s">
        <v>62</v>
      </c>
      <c r="I1908" s="3" t="s">
        <v>63</v>
      </c>
      <c r="J1908" s="3" t="s">
        <v>63</v>
      </c>
      <c r="K1908" s="3" t="s">
        <v>64</v>
      </c>
      <c r="L1908" s="2" t="s">
        <v>16545</v>
      </c>
      <c r="M1908" s="2" t="s">
        <v>16629</v>
      </c>
      <c r="N1908" s="3" t="s">
        <v>16630</v>
      </c>
      <c r="P1908" s="3" t="s">
        <v>90</v>
      </c>
      <c r="R1908" s="3" t="s">
        <v>67</v>
      </c>
      <c r="S1908" s="4">
        <v>0</v>
      </c>
      <c r="T1908" s="4">
        <v>1</v>
      </c>
      <c r="V1908" s="5" t="s">
        <v>16631</v>
      </c>
      <c r="W1908" s="5" t="s">
        <v>69</v>
      </c>
      <c r="X1908" s="5" t="s">
        <v>69</v>
      </c>
      <c r="Y1908" s="4">
        <v>3</v>
      </c>
      <c r="Z1908" s="4">
        <v>1</v>
      </c>
      <c r="AA1908" s="4">
        <v>5</v>
      </c>
      <c r="AB1908" s="4">
        <v>1</v>
      </c>
      <c r="AC1908" s="4">
        <v>1</v>
      </c>
      <c r="AD1908" s="4">
        <v>0</v>
      </c>
      <c r="AE1908" s="4">
        <v>40</v>
      </c>
      <c r="AF1908" s="4">
        <v>0</v>
      </c>
      <c r="AG1908" s="4">
        <v>0</v>
      </c>
      <c r="AH1908" s="4">
        <v>0</v>
      </c>
      <c r="AI1908" s="4">
        <v>38</v>
      </c>
      <c r="AJ1908" s="4">
        <v>0</v>
      </c>
      <c r="AK1908" s="4">
        <v>3</v>
      </c>
      <c r="AL1908" s="4">
        <v>0</v>
      </c>
      <c r="AM1908" s="4">
        <v>27</v>
      </c>
      <c r="AN1908" s="4">
        <v>0</v>
      </c>
      <c r="AO1908" s="4">
        <v>0</v>
      </c>
      <c r="AP1908" s="4">
        <v>0</v>
      </c>
      <c r="AQ1908" s="4">
        <v>3</v>
      </c>
      <c r="AR1908" s="3" t="s">
        <v>63</v>
      </c>
      <c r="AS1908" s="3" t="s">
        <v>63</v>
      </c>
      <c r="AT1908" s="3" t="s">
        <v>63</v>
      </c>
      <c r="AV1908" s="6" t="str">
        <f>HYPERLINK("http://mcgill.on.worldcat.org/oclc/74814791","Catalog Record")</f>
        <v>Catalog Record</v>
      </c>
      <c r="AW1908" s="6" t="str">
        <f>HYPERLINK("http://www.worldcat.org/oclc/74814791","WorldCat Record")</f>
        <v>WorldCat Record</v>
      </c>
      <c r="AX1908" s="3" t="s">
        <v>16632</v>
      </c>
      <c r="AY1908" s="3" t="s">
        <v>16633</v>
      </c>
      <c r="AZ1908" s="3" t="s">
        <v>16634</v>
      </c>
      <c r="BA1908" s="3" t="s">
        <v>16634</v>
      </c>
      <c r="BB1908" s="3" t="s">
        <v>16649</v>
      </c>
      <c r="BC1908" s="3" t="s">
        <v>82</v>
      </c>
      <c r="BD1908" s="3" t="s">
        <v>70</v>
      </c>
      <c r="BF1908" s="3" t="s">
        <v>16649</v>
      </c>
      <c r="BG1908" s="3" t="s">
        <v>16650</v>
      </c>
    </row>
    <row r="1909" spans="1:59" ht="60" x14ac:dyDescent="0.25">
      <c r="A1909" s="2" t="s">
        <v>59</v>
      </c>
      <c r="B1909" s="2" t="s">
        <v>60</v>
      </c>
      <c r="C1909" s="2" t="s">
        <v>16626</v>
      </c>
      <c r="D1909" s="2" t="s">
        <v>16627</v>
      </c>
      <c r="E1909" s="2" t="s">
        <v>16628</v>
      </c>
      <c r="F1909" s="3" t="s">
        <v>4427</v>
      </c>
      <c r="G1909" s="3" t="s">
        <v>62</v>
      </c>
      <c r="I1909" s="3" t="s">
        <v>63</v>
      </c>
      <c r="J1909" s="3" t="s">
        <v>63</v>
      </c>
      <c r="K1909" s="3" t="s">
        <v>64</v>
      </c>
      <c r="L1909" s="2" t="s">
        <v>16545</v>
      </c>
      <c r="M1909" s="2" t="s">
        <v>16629</v>
      </c>
      <c r="N1909" s="3" t="s">
        <v>16630</v>
      </c>
      <c r="P1909" s="3" t="s">
        <v>90</v>
      </c>
      <c r="R1909" s="3" t="s">
        <v>67</v>
      </c>
      <c r="S1909" s="4">
        <v>0</v>
      </c>
      <c r="T1909" s="4">
        <v>1</v>
      </c>
      <c r="V1909" s="5" t="s">
        <v>16631</v>
      </c>
      <c r="W1909" s="5" t="s">
        <v>69</v>
      </c>
      <c r="X1909" s="5" t="s">
        <v>69</v>
      </c>
      <c r="Y1909" s="4">
        <v>3</v>
      </c>
      <c r="Z1909" s="4">
        <v>1</v>
      </c>
      <c r="AA1909" s="4">
        <v>5</v>
      </c>
      <c r="AB1909" s="4">
        <v>1</v>
      </c>
      <c r="AC1909" s="4">
        <v>1</v>
      </c>
      <c r="AD1909" s="4">
        <v>0</v>
      </c>
      <c r="AE1909" s="4">
        <v>40</v>
      </c>
      <c r="AF1909" s="4">
        <v>0</v>
      </c>
      <c r="AG1909" s="4">
        <v>0</v>
      </c>
      <c r="AH1909" s="4">
        <v>0</v>
      </c>
      <c r="AI1909" s="4">
        <v>38</v>
      </c>
      <c r="AJ1909" s="4">
        <v>0</v>
      </c>
      <c r="AK1909" s="4">
        <v>3</v>
      </c>
      <c r="AL1909" s="4">
        <v>0</v>
      </c>
      <c r="AM1909" s="4">
        <v>27</v>
      </c>
      <c r="AN1909" s="4">
        <v>0</v>
      </c>
      <c r="AO1909" s="4">
        <v>0</v>
      </c>
      <c r="AP1909" s="4">
        <v>0</v>
      </c>
      <c r="AQ1909" s="4">
        <v>3</v>
      </c>
      <c r="AR1909" s="3" t="s">
        <v>63</v>
      </c>
      <c r="AS1909" s="3" t="s">
        <v>63</v>
      </c>
      <c r="AT1909" s="3" t="s">
        <v>63</v>
      </c>
      <c r="AV1909" s="6" t="str">
        <f>HYPERLINK("http://mcgill.on.worldcat.org/oclc/74814791","Catalog Record")</f>
        <v>Catalog Record</v>
      </c>
      <c r="AW1909" s="6" t="str">
        <f>HYPERLINK("http://www.worldcat.org/oclc/74814791","WorldCat Record")</f>
        <v>WorldCat Record</v>
      </c>
      <c r="AX1909" s="3" t="s">
        <v>16632</v>
      </c>
      <c r="AY1909" s="3" t="s">
        <v>16633</v>
      </c>
      <c r="AZ1909" s="3" t="s">
        <v>16634</v>
      </c>
      <c r="BA1909" s="3" t="s">
        <v>16634</v>
      </c>
      <c r="BB1909" s="3" t="s">
        <v>16651</v>
      </c>
      <c r="BC1909" s="3" t="s">
        <v>82</v>
      </c>
      <c r="BD1909" s="3" t="s">
        <v>70</v>
      </c>
      <c r="BF1909" s="3" t="s">
        <v>16651</v>
      </c>
      <c r="BG1909" s="3" t="s">
        <v>16652</v>
      </c>
    </row>
    <row r="1910" spans="1:59" ht="60" x14ac:dyDescent="0.25">
      <c r="A1910" s="2" t="s">
        <v>59</v>
      </c>
      <c r="B1910" s="2" t="s">
        <v>60</v>
      </c>
      <c r="C1910" s="2" t="s">
        <v>16626</v>
      </c>
      <c r="D1910" s="2" t="s">
        <v>16627</v>
      </c>
      <c r="E1910" s="2" t="s">
        <v>16628</v>
      </c>
      <c r="F1910" s="3" t="s">
        <v>4032</v>
      </c>
      <c r="G1910" s="3" t="s">
        <v>62</v>
      </c>
      <c r="I1910" s="3" t="s">
        <v>63</v>
      </c>
      <c r="J1910" s="3" t="s">
        <v>63</v>
      </c>
      <c r="K1910" s="3" t="s">
        <v>64</v>
      </c>
      <c r="L1910" s="2" t="s">
        <v>16545</v>
      </c>
      <c r="M1910" s="2" t="s">
        <v>16629</v>
      </c>
      <c r="N1910" s="3" t="s">
        <v>16630</v>
      </c>
      <c r="P1910" s="3" t="s">
        <v>90</v>
      </c>
      <c r="R1910" s="3" t="s">
        <v>67</v>
      </c>
      <c r="S1910" s="4">
        <v>0</v>
      </c>
      <c r="T1910" s="4">
        <v>1</v>
      </c>
      <c r="V1910" s="5" t="s">
        <v>16631</v>
      </c>
      <c r="W1910" s="5" t="s">
        <v>69</v>
      </c>
      <c r="X1910" s="5" t="s">
        <v>69</v>
      </c>
      <c r="Y1910" s="4">
        <v>3</v>
      </c>
      <c r="Z1910" s="4">
        <v>1</v>
      </c>
      <c r="AA1910" s="4">
        <v>5</v>
      </c>
      <c r="AB1910" s="4">
        <v>1</v>
      </c>
      <c r="AC1910" s="4">
        <v>1</v>
      </c>
      <c r="AD1910" s="4">
        <v>0</v>
      </c>
      <c r="AE1910" s="4">
        <v>40</v>
      </c>
      <c r="AF1910" s="4">
        <v>0</v>
      </c>
      <c r="AG1910" s="4">
        <v>0</v>
      </c>
      <c r="AH1910" s="4">
        <v>0</v>
      </c>
      <c r="AI1910" s="4">
        <v>38</v>
      </c>
      <c r="AJ1910" s="4">
        <v>0</v>
      </c>
      <c r="AK1910" s="4">
        <v>3</v>
      </c>
      <c r="AL1910" s="4">
        <v>0</v>
      </c>
      <c r="AM1910" s="4">
        <v>27</v>
      </c>
      <c r="AN1910" s="4">
        <v>0</v>
      </c>
      <c r="AO1910" s="4">
        <v>0</v>
      </c>
      <c r="AP1910" s="4">
        <v>0</v>
      </c>
      <c r="AQ1910" s="4">
        <v>3</v>
      </c>
      <c r="AR1910" s="3" t="s">
        <v>63</v>
      </c>
      <c r="AS1910" s="3" t="s">
        <v>63</v>
      </c>
      <c r="AT1910" s="3" t="s">
        <v>63</v>
      </c>
      <c r="AV1910" s="6" t="str">
        <f>HYPERLINK("http://mcgill.on.worldcat.org/oclc/74814791","Catalog Record")</f>
        <v>Catalog Record</v>
      </c>
      <c r="AW1910" s="6" t="str">
        <f>HYPERLINK("http://www.worldcat.org/oclc/74814791","WorldCat Record")</f>
        <v>WorldCat Record</v>
      </c>
      <c r="AX1910" s="3" t="s">
        <v>16632</v>
      </c>
      <c r="AY1910" s="3" t="s">
        <v>16633</v>
      </c>
      <c r="AZ1910" s="3" t="s">
        <v>16634</v>
      </c>
      <c r="BA1910" s="3" t="s">
        <v>16634</v>
      </c>
      <c r="BB1910" s="3" t="s">
        <v>16653</v>
      </c>
      <c r="BC1910" s="3" t="s">
        <v>82</v>
      </c>
      <c r="BD1910" s="3" t="s">
        <v>70</v>
      </c>
      <c r="BF1910" s="3" t="s">
        <v>16653</v>
      </c>
      <c r="BG1910" s="3" t="s">
        <v>16654</v>
      </c>
    </row>
    <row r="1911" spans="1:59" ht="60" x14ac:dyDescent="0.25">
      <c r="A1911" s="2" t="s">
        <v>59</v>
      </c>
      <c r="B1911" s="2" t="s">
        <v>60</v>
      </c>
      <c r="C1911" s="2" t="s">
        <v>16626</v>
      </c>
      <c r="D1911" s="2" t="s">
        <v>16627</v>
      </c>
      <c r="E1911" s="2" t="s">
        <v>16628</v>
      </c>
      <c r="F1911" s="3" t="s">
        <v>9069</v>
      </c>
      <c r="G1911" s="3" t="s">
        <v>62</v>
      </c>
      <c r="I1911" s="3" t="s">
        <v>63</v>
      </c>
      <c r="J1911" s="3" t="s">
        <v>63</v>
      </c>
      <c r="K1911" s="3" t="s">
        <v>64</v>
      </c>
      <c r="L1911" s="2" t="s">
        <v>16545</v>
      </c>
      <c r="M1911" s="2" t="s">
        <v>16629</v>
      </c>
      <c r="N1911" s="3" t="s">
        <v>16630</v>
      </c>
      <c r="P1911" s="3" t="s">
        <v>90</v>
      </c>
      <c r="R1911" s="3" t="s">
        <v>67</v>
      </c>
      <c r="S1911" s="4">
        <v>0</v>
      </c>
      <c r="T1911" s="4">
        <v>1</v>
      </c>
      <c r="V1911" s="5" t="s">
        <v>16631</v>
      </c>
      <c r="W1911" s="5" t="s">
        <v>69</v>
      </c>
      <c r="X1911" s="5" t="s">
        <v>69</v>
      </c>
      <c r="Y1911" s="4">
        <v>3</v>
      </c>
      <c r="Z1911" s="4">
        <v>1</v>
      </c>
      <c r="AA1911" s="4">
        <v>5</v>
      </c>
      <c r="AB1911" s="4">
        <v>1</v>
      </c>
      <c r="AC1911" s="4">
        <v>1</v>
      </c>
      <c r="AD1911" s="4">
        <v>0</v>
      </c>
      <c r="AE1911" s="4">
        <v>40</v>
      </c>
      <c r="AF1911" s="4">
        <v>0</v>
      </c>
      <c r="AG1911" s="4">
        <v>0</v>
      </c>
      <c r="AH1911" s="4">
        <v>0</v>
      </c>
      <c r="AI1911" s="4">
        <v>38</v>
      </c>
      <c r="AJ1911" s="4">
        <v>0</v>
      </c>
      <c r="AK1911" s="4">
        <v>3</v>
      </c>
      <c r="AL1911" s="4">
        <v>0</v>
      </c>
      <c r="AM1911" s="4">
        <v>27</v>
      </c>
      <c r="AN1911" s="4">
        <v>0</v>
      </c>
      <c r="AO1911" s="4">
        <v>0</v>
      </c>
      <c r="AP1911" s="4">
        <v>0</v>
      </c>
      <c r="AQ1911" s="4">
        <v>3</v>
      </c>
      <c r="AR1911" s="3" t="s">
        <v>63</v>
      </c>
      <c r="AS1911" s="3" t="s">
        <v>63</v>
      </c>
      <c r="AT1911" s="3" t="s">
        <v>63</v>
      </c>
      <c r="AV1911" s="6" t="str">
        <f>HYPERLINK("http://mcgill.on.worldcat.org/oclc/74814791","Catalog Record")</f>
        <v>Catalog Record</v>
      </c>
      <c r="AW1911" s="6" t="str">
        <f>HYPERLINK("http://www.worldcat.org/oclc/74814791","WorldCat Record")</f>
        <v>WorldCat Record</v>
      </c>
      <c r="AX1911" s="3" t="s">
        <v>16632</v>
      </c>
      <c r="AY1911" s="3" t="s">
        <v>16633</v>
      </c>
      <c r="AZ1911" s="3" t="s">
        <v>16634</v>
      </c>
      <c r="BA1911" s="3" t="s">
        <v>16634</v>
      </c>
      <c r="BB1911" s="3" t="s">
        <v>16655</v>
      </c>
      <c r="BC1911" s="3" t="s">
        <v>82</v>
      </c>
      <c r="BD1911" s="3" t="s">
        <v>70</v>
      </c>
      <c r="BF1911" s="3" t="s">
        <v>16655</v>
      </c>
      <c r="BG1911" s="3" t="s">
        <v>16656</v>
      </c>
    </row>
    <row r="1912" spans="1:59" ht="60" x14ac:dyDescent="0.25">
      <c r="A1912" s="2" t="s">
        <v>59</v>
      </c>
      <c r="B1912" s="2" t="s">
        <v>60</v>
      </c>
      <c r="C1912" s="2" t="s">
        <v>16626</v>
      </c>
      <c r="D1912" s="2" t="s">
        <v>16627</v>
      </c>
      <c r="E1912" s="2" t="s">
        <v>16628</v>
      </c>
      <c r="F1912" s="3" t="s">
        <v>4428</v>
      </c>
      <c r="G1912" s="3" t="s">
        <v>62</v>
      </c>
      <c r="I1912" s="3" t="s">
        <v>63</v>
      </c>
      <c r="J1912" s="3" t="s">
        <v>63</v>
      </c>
      <c r="K1912" s="3" t="s">
        <v>64</v>
      </c>
      <c r="L1912" s="2" t="s">
        <v>16545</v>
      </c>
      <c r="M1912" s="2" t="s">
        <v>16629</v>
      </c>
      <c r="N1912" s="3" t="s">
        <v>16630</v>
      </c>
      <c r="P1912" s="3" t="s">
        <v>90</v>
      </c>
      <c r="R1912" s="3" t="s">
        <v>67</v>
      </c>
      <c r="S1912" s="4">
        <v>0</v>
      </c>
      <c r="T1912" s="4">
        <v>1</v>
      </c>
      <c r="V1912" s="5" t="s">
        <v>16631</v>
      </c>
      <c r="W1912" s="5" t="s">
        <v>69</v>
      </c>
      <c r="X1912" s="5" t="s">
        <v>69</v>
      </c>
      <c r="Y1912" s="4">
        <v>3</v>
      </c>
      <c r="Z1912" s="4">
        <v>1</v>
      </c>
      <c r="AA1912" s="4">
        <v>5</v>
      </c>
      <c r="AB1912" s="4">
        <v>1</v>
      </c>
      <c r="AC1912" s="4">
        <v>1</v>
      </c>
      <c r="AD1912" s="4">
        <v>0</v>
      </c>
      <c r="AE1912" s="4">
        <v>40</v>
      </c>
      <c r="AF1912" s="4">
        <v>0</v>
      </c>
      <c r="AG1912" s="4">
        <v>0</v>
      </c>
      <c r="AH1912" s="4">
        <v>0</v>
      </c>
      <c r="AI1912" s="4">
        <v>38</v>
      </c>
      <c r="AJ1912" s="4">
        <v>0</v>
      </c>
      <c r="AK1912" s="4">
        <v>3</v>
      </c>
      <c r="AL1912" s="4">
        <v>0</v>
      </c>
      <c r="AM1912" s="4">
        <v>27</v>
      </c>
      <c r="AN1912" s="4">
        <v>0</v>
      </c>
      <c r="AO1912" s="4">
        <v>0</v>
      </c>
      <c r="AP1912" s="4">
        <v>0</v>
      </c>
      <c r="AQ1912" s="4">
        <v>3</v>
      </c>
      <c r="AR1912" s="3" t="s">
        <v>63</v>
      </c>
      <c r="AS1912" s="3" t="s">
        <v>63</v>
      </c>
      <c r="AT1912" s="3" t="s">
        <v>63</v>
      </c>
      <c r="AV1912" s="6" t="str">
        <f>HYPERLINK("http://mcgill.on.worldcat.org/oclc/74814791","Catalog Record")</f>
        <v>Catalog Record</v>
      </c>
      <c r="AW1912" s="6" t="str">
        <f>HYPERLINK("http://www.worldcat.org/oclc/74814791","WorldCat Record")</f>
        <v>WorldCat Record</v>
      </c>
      <c r="AX1912" s="3" t="s">
        <v>16632</v>
      </c>
      <c r="AY1912" s="3" t="s">
        <v>16633</v>
      </c>
      <c r="AZ1912" s="3" t="s">
        <v>16634</v>
      </c>
      <c r="BA1912" s="3" t="s">
        <v>16634</v>
      </c>
      <c r="BB1912" s="3" t="s">
        <v>16657</v>
      </c>
      <c r="BC1912" s="3" t="s">
        <v>82</v>
      </c>
      <c r="BD1912" s="3" t="s">
        <v>70</v>
      </c>
      <c r="BF1912" s="3" t="s">
        <v>16657</v>
      </c>
      <c r="BG1912" s="3" t="s">
        <v>16658</v>
      </c>
    </row>
    <row r="1913" spans="1:59" ht="75" x14ac:dyDescent="0.25">
      <c r="A1913" s="2" t="s">
        <v>59</v>
      </c>
      <c r="B1913" s="2" t="s">
        <v>60</v>
      </c>
      <c r="C1913" s="2" t="s">
        <v>16659</v>
      </c>
      <c r="D1913" s="2" t="s">
        <v>16660</v>
      </c>
      <c r="E1913" s="2" t="s">
        <v>16661</v>
      </c>
      <c r="F1913" s="3" t="s">
        <v>61</v>
      </c>
      <c r="G1913" s="3" t="s">
        <v>62</v>
      </c>
      <c r="I1913" s="3" t="s">
        <v>62</v>
      </c>
      <c r="J1913" s="3" t="s">
        <v>63</v>
      </c>
      <c r="K1913" s="3" t="s">
        <v>64</v>
      </c>
      <c r="L1913" s="2" t="s">
        <v>16545</v>
      </c>
      <c r="M1913" s="2" t="s">
        <v>16662</v>
      </c>
      <c r="N1913" s="3" t="s">
        <v>2225</v>
      </c>
      <c r="P1913" s="3" t="s">
        <v>90</v>
      </c>
      <c r="R1913" s="3" t="s">
        <v>67</v>
      </c>
      <c r="S1913" s="4">
        <v>2</v>
      </c>
      <c r="T1913" s="4">
        <v>37</v>
      </c>
      <c r="U1913" s="5" t="s">
        <v>15128</v>
      </c>
      <c r="V1913" s="5" t="s">
        <v>16663</v>
      </c>
      <c r="W1913" s="5" t="s">
        <v>69</v>
      </c>
      <c r="X1913" s="5" t="s">
        <v>69</v>
      </c>
      <c r="Y1913" s="4">
        <v>196</v>
      </c>
      <c r="Z1913" s="4">
        <v>7</v>
      </c>
      <c r="AA1913" s="4">
        <v>15</v>
      </c>
      <c r="AB1913" s="4">
        <v>1</v>
      </c>
      <c r="AC1913" s="4">
        <v>1</v>
      </c>
      <c r="AD1913" s="4">
        <v>82</v>
      </c>
      <c r="AE1913" s="4">
        <v>100</v>
      </c>
      <c r="AF1913" s="4">
        <v>0</v>
      </c>
      <c r="AG1913" s="4">
        <v>0</v>
      </c>
      <c r="AH1913" s="4">
        <v>76</v>
      </c>
      <c r="AI1913" s="4">
        <v>91</v>
      </c>
      <c r="AJ1913" s="4">
        <v>6</v>
      </c>
      <c r="AK1913" s="4">
        <v>13</v>
      </c>
      <c r="AL1913" s="4">
        <v>49</v>
      </c>
      <c r="AM1913" s="4">
        <v>54</v>
      </c>
      <c r="AN1913" s="4">
        <v>0</v>
      </c>
      <c r="AO1913" s="4">
        <v>0</v>
      </c>
      <c r="AP1913" s="4">
        <v>6</v>
      </c>
      <c r="AQ1913" s="4">
        <v>13</v>
      </c>
      <c r="AR1913" s="3" t="s">
        <v>63</v>
      </c>
      <c r="AS1913" s="3" t="s">
        <v>63</v>
      </c>
      <c r="AT1913" s="3" t="s">
        <v>62</v>
      </c>
      <c r="AU1913" s="6" t="str">
        <f>HYPERLINK("http://catalog.hathitrust.org/Record/001848701","HathiTrust Record")</f>
        <v>HathiTrust Record</v>
      </c>
      <c r="AV1913" s="6" t="str">
        <f>HYPERLINK("http://mcgill.on.worldcat.org/oclc/2683732","Catalog Record")</f>
        <v>Catalog Record</v>
      </c>
      <c r="AW1913" s="6" t="str">
        <f>HYPERLINK("http://www.worldcat.org/oclc/2683732","WorldCat Record")</f>
        <v>WorldCat Record</v>
      </c>
      <c r="AX1913" s="3" t="s">
        <v>16664</v>
      </c>
      <c r="AY1913" s="3" t="s">
        <v>16665</v>
      </c>
      <c r="AZ1913" s="3" t="s">
        <v>16666</v>
      </c>
      <c r="BA1913" s="3" t="s">
        <v>16666</v>
      </c>
      <c r="BB1913" s="3" t="s">
        <v>16667</v>
      </c>
      <c r="BC1913" s="3" t="s">
        <v>82</v>
      </c>
      <c r="BD1913" s="3" t="s">
        <v>70</v>
      </c>
      <c r="BF1913" s="3" t="s">
        <v>16667</v>
      </c>
      <c r="BG1913" s="3" t="s">
        <v>16668</v>
      </c>
    </row>
    <row r="1914" spans="1:59" ht="75" x14ac:dyDescent="0.25">
      <c r="A1914" s="2" t="s">
        <v>59</v>
      </c>
      <c r="B1914" s="2" t="s">
        <v>60</v>
      </c>
      <c r="C1914" s="2" t="s">
        <v>16659</v>
      </c>
      <c r="D1914" s="2" t="s">
        <v>16660</v>
      </c>
      <c r="E1914" s="2" t="s">
        <v>16661</v>
      </c>
      <c r="F1914" s="3" t="s">
        <v>4184</v>
      </c>
      <c r="G1914" s="3" t="s">
        <v>62</v>
      </c>
      <c r="I1914" s="3" t="s">
        <v>62</v>
      </c>
      <c r="J1914" s="3" t="s">
        <v>63</v>
      </c>
      <c r="K1914" s="3" t="s">
        <v>64</v>
      </c>
      <c r="L1914" s="2" t="s">
        <v>16545</v>
      </c>
      <c r="M1914" s="2" t="s">
        <v>16662</v>
      </c>
      <c r="N1914" s="3" t="s">
        <v>2225</v>
      </c>
      <c r="P1914" s="3" t="s">
        <v>90</v>
      </c>
      <c r="R1914" s="3" t="s">
        <v>67</v>
      </c>
      <c r="S1914" s="4">
        <v>0</v>
      </c>
      <c r="T1914" s="4">
        <v>37</v>
      </c>
      <c r="V1914" s="5" t="s">
        <v>16663</v>
      </c>
      <c r="W1914" s="5" t="s">
        <v>69</v>
      </c>
      <c r="X1914" s="5" t="s">
        <v>69</v>
      </c>
      <c r="Y1914" s="4">
        <v>196</v>
      </c>
      <c r="Z1914" s="4">
        <v>7</v>
      </c>
      <c r="AA1914" s="4">
        <v>15</v>
      </c>
      <c r="AB1914" s="4">
        <v>1</v>
      </c>
      <c r="AC1914" s="4">
        <v>1</v>
      </c>
      <c r="AD1914" s="4">
        <v>82</v>
      </c>
      <c r="AE1914" s="4">
        <v>100</v>
      </c>
      <c r="AF1914" s="4">
        <v>0</v>
      </c>
      <c r="AG1914" s="4">
        <v>0</v>
      </c>
      <c r="AH1914" s="4">
        <v>76</v>
      </c>
      <c r="AI1914" s="4">
        <v>91</v>
      </c>
      <c r="AJ1914" s="4">
        <v>6</v>
      </c>
      <c r="AK1914" s="4">
        <v>13</v>
      </c>
      <c r="AL1914" s="4">
        <v>49</v>
      </c>
      <c r="AM1914" s="4">
        <v>54</v>
      </c>
      <c r="AN1914" s="4">
        <v>0</v>
      </c>
      <c r="AO1914" s="4">
        <v>0</v>
      </c>
      <c r="AP1914" s="4">
        <v>6</v>
      </c>
      <c r="AQ1914" s="4">
        <v>13</v>
      </c>
      <c r="AR1914" s="3" t="s">
        <v>63</v>
      </c>
      <c r="AS1914" s="3" t="s">
        <v>63</v>
      </c>
      <c r="AT1914" s="3" t="s">
        <v>62</v>
      </c>
      <c r="AU1914" s="6" t="str">
        <f>HYPERLINK("http://catalog.hathitrust.org/Record/001848701","HathiTrust Record")</f>
        <v>HathiTrust Record</v>
      </c>
      <c r="AV1914" s="6" t="str">
        <f>HYPERLINK("http://mcgill.on.worldcat.org/oclc/2683732","Catalog Record")</f>
        <v>Catalog Record</v>
      </c>
      <c r="AW1914" s="6" t="str">
        <f>HYPERLINK("http://www.worldcat.org/oclc/2683732","WorldCat Record")</f>
        <v>WorldCat Record</v>
      </c>
      <c r="AX1914" s="3" t="s">
        <v>16664</v>
      </c>
      <c r="AY1914" s="3" t="s">
        <v>16665</v>
      </c>
      <c r="AZ1914" s="3" t="s">
        <v>16666</v>
      </c>
      <c r="BA1914" s="3" t="s">
        <v>16666</v>
      </c>
      <c r="BB1914" s="3" t="s">
        <v>16669</v>
      </c>
      <c r="BC1914" s="3" t="s">
        <v>82</v>
      </c>
      <c r="BD1914" s="3" t="s">
        <v>70</v>
      </c>
      <c r="BF1914" s="3" t="s">
        <v>16669</v>
      </c>
      <c r="BG1914" s="3" t="s">
        <v>16670</v>
      </c>
    </row>
    <row r="1915" spans="1:59" ht="75" x14ac:dyDescent="0.25">
      <c r="A1915" s="2" t="s">
        <v>59</v>
      </c>
      <c r="B1915" s="2" t="s">
        <v>60</v>
      </c>
      <c r="C1915" s="2" t="s">
        <v>16659</v>
      </c>
      <c r="D1915" s="2" t="s">
        <v>16660</v>
      </c>
      <c r="E1915" s="2" t="s">
        <v>16661</v>
      </c>
      <c r="F1915" s="3" t="s">
        <v>15115</v>
      </c>
      <c r="G1915" s="3" t="s">
        <v>62</v>
      </c>
      <c r="I1915" s="3" t="s">
        <v>62</v>
      </c>
      <c r="J1915" s="3" t="s">
        <v>63</v>
      </c>
      <c r="K1915" s="3" t="s">
        <v>64</v>
      </c>
      <c r="L1915" s="2" t="s">
        <v>16545</v>
      </c>
      <c r="M1915" s="2" t="s">
        <v>16662</v>
      </c>
      <c r="N1915" s="3" t="s">
        <v>2225</v>
      </c>
      <c r="P1915" s="3" t="s">
        <v>90</v>
      </c>
      <c r="R1915" s="3" t="s">
        <v>67</v>
      </c>
      <c r="S1915" s="4">
        <v>1</v>
      </c>
      <c r="T1915" s="4">
        <v>37</v>
      </c>
      <c r="U1915" s="5" t="s">
        <v>16671</v>
      </c>
      <c r="V1915" s="5" t="s">
        <v>16663</v>
      </c>
      <c r="W1915" s="5" t="s">
        <v>69</v>
      </c>
      <c r="X1915" s="5" t="s">
        <v>69</v>
      </c>
      <c r="Y1915" s="4">
        <v>196</v>
      </c>
      <c r="Z1915" s="4">
        <v>7</v>
      </c>
      <c r="AA1915" s="4">
        <v>15</v>
      </c>
      <c r="AB1915" s="4">
        <v>1</v>
      </c>
      <c r="AC1915" s="4">
        <v>1</v>
      </c>
      <c r="AD1915" s="4">
        <v>82</v>
      </c>
      <c r="AE1915" s="4">
        <v>100</v>
      </c>
      <c r="AF1915" s="4">
        <v>0</v>
      </c>
      <c r="AG1915" s="4">
        <v>0</v>
      </c>
      <c r="AH1915" s="4">
        <v>76</v>
      </c>
      <c r="AI1915" s="4">
        <v>91</v>
      </c>
      <c r="AJ1915" s="4">
        <v>6</v>
      </c>
      <c r="AK1915" s="4">
        <v>13</v>
      </c>
      <c r="AL1915" s="4">
        <v>49</v>
      </c>
      <c r="AM1915" s="4">
        <v>54</v>
      </c>
      <c r="AN1915" s="4">
        <v>0</v>
      </c>
      <c r="AO1915" s="4">
        <v>0</v>
      </c>
      <c r="AP1915" s="4">
        <v>6</v>
      </c>
      <c r="AQ1915" s="4">
        <v>13</v>
      </c>
      <c r="AR1915" s="3" t="s">
        <v>63</v>
      </c>
      <c r="AS1915" s="3" t="s">
        <v>63</v>
      </c>
      <c r="AT1915" s="3" t="s">
        <v>62</v>
      </c>
      <c r="AU1915" s="6" t="str">
        <f>HYPERLINK("http://catalog.hathitrust.org/Record/001848701","HathiTrust Record")</f>
        <v>HathiTrust Record</v>
      </c>
      <c r="AV1915" s="6" t="str">
        <f>HYPERLINK("http://mcgill.on.worldcat.org/oclc/2683732","Catalog Record")</f>
        <v>Catalog Record</v>
      </c>
      <c r="AW1915" s="6" t="str">
        <f>HYPERLINK("http://www.worldcat.org/oclc/2683732","WorldCat Record")</f>
        <v>WorldCat Record</v>
      </c>
      <c r="AX1915" s="3" t="s">
        <v>16664</v>
      </c>
      <c r="AY1915" s="3" t="s">
        <v>16665</v>
      </c>
      <c r="AZ1915" s="3" t="s">
        <v>16666</v>
      </c>
      <c r="BA1915" s="3" t="s">
        <v>16666</v>
      </c>
      <c r="BB1915" s="3" t="s">
        <v>16672</v>
      </c>
      <c r="BC1915" s="3" t="s">
        <v>82</v>
      </c>
      <c r="BD1915" s="3" t="s">
        <v>70</v>
      </c>
      <c r="BF1915" s="3" t="s">
        <v>16672</v>
      </c>
      <c r="BG1915" s="3" t="s">
        <v>16673</v>
      </c>
    </row>
    <row r="1916" spans="1:59" ht="75" x14ac:dyDescent="0.25">
      <c r="A1916" s="2" t="s">
        <v>59</v>
      </c>
      <c r="B1916" s="2" t="s">
        <v>60</v>
      </c>
      <c r="C1916" s="2" t="s">
        <v>16659</v>
      </c>
      <c r="D1916" s="2" t="s">
        <v>16660</v>
      </c>
      <c r="E1916" s="2" t="s">
        <v>16661</v>
      </c>
      <c r="F1916" s="3" t="s">
        <v>4168</v>
      </c>
      <c r="G1916" s="3" t="s">
        <v>62</v>
      </c>
      <c r="I1916" s="3" t="s">
        <v>62</v>
      </c>
      <c r="J1916" s="3" t="s">
        <v>63</v>
      </c>
      <c r="K1916" s="3" t="s">
        <v>64</v>
      </c>
      <c r="L1916" s="2" t="s">
        <v>16545</v>
      </c>
      <c r="M1916" s="2" t="s">
        <v>16662</v>
      </c>
      <c r="N1916" s="3" t="s">
        <v>2225</v>
      </c>
      <c r="P1916" s="3" t="s">
        <v>90</v>
      </c>
      <c r="R1916" s="3" t="s">
        <v>67</v>
      </c>
      <c r="S1916" s="4">
        <v>0</v>
      </c>
      <c r="T1916" s="4">
        <v>37</v>
      </c>
      <c r="V1916" s="5" t="s">
        <v>16663</v>
      </c>
      <c r="W1916" s="5" t="s">
        <v>69</v>
      </c>
      <c r="X1916" s="5" t="s">
        <v>69</v>
      </c>
      <c r="Y1916" s="4">
        <v>196</v>
      </c>
      <c r="Z1916" s="4">
        <v>7</v>
      </c>
      <c r="AA1916" s="4">
        <v>15</v>
      </c>
      <c r="AB1916" s="4">
        <v>1</v>
      </c>
      <c r="AC1916" s="4">
        <v>1</v>
      </c>
      <c r="AD1916" s="4">
        <v>82</v>
      </c>
      <c r="AE1916" s="4">
        <v>100</v>
      </c>
      <c r="AF1916" s="4">
        <v>0</v>
      </c>
      <c r="AG1916" s="4">
        <v>0</v>
      </c>
      <c r="AH1916" s="4">
        <v>76</v>
      </c>
      <c r="AI1916" s="4">
        <v>91</v>
      </c>
      <c r="AJ1916" s="4">
        <v>6</v>
      </c>
      <c r="AK1916" s="4">
        <v>13</v>
      </c>
      <c r="AL1916" s="4">
        <v>49</v>
      </c>
      <c r="AM1916" s="4">
        <v>54</v>
      </c>
      <c r="AN1916" s="4">
        <v>0</v>
      </c>
      <c r="AO1916" s="4">
        <v>0</v>
      </c>
      <c r="AP1916" s="4">
        <v>6</v>
      </c>
      <c r="AQ1916" s="4">
        <v>13</v>
      </c>
      <c r="AR1916" s="3" t="s">
        <v>63</v>
      </c>
      <c r="AS1916" s="3" t="s">
        <v>63</v>
      </c>
      <c r="AT1916" s="3" t="s">
        <v>62</v>
      </c>
      <c r="AU1916" s="6" t="str">
        <f>HYPERLINK("http://catalog.hathitrust.org/Record/001848701","HathiTrust Record")</f>
        <v>HathiTrust Record</v>
      </c>
      <c r="AV1916" s="6" t="str">
        <f>HYPERLINK("http://mcgill.on.worldcat.org/oclc/2683732","Catalog Record")</f>
        <v>Catalog Record</v>
      </c>
      <c r="AW1916" s="6" t="str">
        <f>HYPERLINK("http://www.worldcat.org/oclc/2683732","WorldCat Record")</f>
        <v>WorldCat Record</v>
      </c>
      <c r="AX1916" s="3" t="s">
        <v>16664</v>
      </c>
      <c r="AY1916" s="3" t="s">
        <v>16665</v>
      </c>
      <c r="AZ1916" s="3" t="s">
        <v>16666</v>
      </c>
      <c r="BA1916" s="3" t="s">
        <v>16666</v>
      </c>
      <c r="BB1916" s="3" t="s">
        <v>16674</v>
      </c>
      <c r="BC1916" s="3" t="s">
        <v>82</v>
      </c>
      <c r="BD1916" s="3" t="s">
        <v>70</v>
      </c>
      <c r="BF1916" s="3" t="s">
        <v>16674</v>
      </c>
      <c r="BG1916" s="3" t="s">
        <v>16675</v>
      </c>
    </row>
    <row r="1917" spans="1:59" ht="75" x14ac:dyDescent="0.25">
      <c r="A1917" s="2" t="s">
        <v>59</v>
      </c>
      <c r="B1917" s="2" t="s">
        <v>60</v>
      </c>
      <c r="C1917" s="2" t="s">
        <v>16659</v>
      </c>
      <c r="D1917" s="2" t="s">
        <v>16660</v>
      </c>
      <c r="E1917" s="2" t="s">
        <v>16661</v>
      </c>
      <c r="F1917" s="3" t="s">
        <v>16676</v>
      </c>
      <c r="G1917" s="3" t="s">
        <v>62</v>
      </c>
      <c r="I1917" s="3" t="s">
        <v>62</v>
      </c>
      <c r="J1917" s="3" t="s">
        <v>63</v>
      </c>
      <c r="K1917" s="3" t="s">
        <v>64</v>
      </c>
      <c r="L1917" s="2" t="s">
        <v>16545</v>
      </c>
      <c r="M1917" s="2" t="s">
        <v>16662</v>
      </c>
      <c r="N1917" s="3" t="s">
        <v>2225</v>
      </c>
      <c r="P1917" s="3" t="s">
        <v>90</v>
      </c>
      <c r="R1917" s="3" t="s">
        <v>67</v>
      </c>
      <c r="S1917" s="4">
        <v>0</v>
      </c>
      <c r="T1917" s="4">
        <v>37</v>
      </c>
      <c r="V1917" s="5" t="s">
        <v>16663</v>
      </c>
      <c r="W1917" s="5" t="s">
        <v>69</v>
      </c>
      <c r="X1917" s="5" t="s">
        <v>69</v>
      </c>
      <c r="Y1917" s="4">
        <v>196</v>
      </c>
      <c r="Z1917" s="4">
        <v>7</v>
      </c>
      <c r="AA1917" s="4">
        <v>15</v>
      </c>
      <c r="AB1917" s="4">
        <v>1</v>
      </c>
      <c r="AC1917" s="4">
        <v>1</v>
      </c>
      <c r="AD1917" s="4">
        <v>82</v>
      </c>
      <c r="AE1917" s="4">
        <v>100</v>
      </c>
      <c r="AF1917" s="4">
        <v>0</v>
      </c>
      <c r="AG1917" s="4">
        <v>0</v>
      </c>
      <c r="AH1917" s="4">
        <v>76</v>
      </c>
      <c r="AI1917" s="4">
        <v>91</v>
      </c>
      <c r="AJ1917" s="4">
        <v>6</v>
      </c>
      <c r="AK1917" s="4">
        <v>13</v>
      </c>
      <c r="AL1917" s="4">
        <v>49</v>
      </c>
      <c r="AM1917" s="4">
        <v>54</v>
      </c>
      <c r="AN1917" s="4">
        <v>0</v>
      </c>
      <c r="AO1917" s="4">
        <v>0</v>
      </c>
      <c r="AP1917" s="4">
        <v>6</v>
      </c>
      <c r="AQ1917" s="4">
        <v>13</v>
      </c>
      <c r="AR1917" s="3" t="s">
        <v>63</v>
      </c>
      <c r="AS1917" s="3" t="s">
        <v>63</v>
      </c>
      <c r="AT1917" s="3" t="s">
        <v>62</v>
      </c>
      <c r="AU1917" s="6" t="str">
        <f>HYPERLINK("http://catalog.hathitrust.org/Record/001848701","HathiTrust Record")</f>
        <v>HathiTrust Record</v>
      </c>
      <c r="AV1917" s="6" t="str">
        <f>HYPERLINK("http://mcgill.on.worldcat.org/oclc/2683732","Catalog Record")</f>
        <v>Catalog Record</v>
      </c>
      <c r="AW1917" s="6" t="str">
        <f>HYPERLINK("http://www.worldcat.org/oclc/2683732","WorldCat Record")</f>
        <v>WorldCat Record</v>
      </c>
      <c r="AX1917" s="3" t="s">
        <v>16664</v>
      </c>
      <c r="AY1917" s="3" t="s">
        <v>16665</v>
      </c>
      <c r="AZ1917" s="3" t="s">
        <v>16666</v>
      </c>
      <c r="BA1917" s="3" t="s">
        <v>16666</v>
      </c>
      <c r="BB1917" s="3" t="s">
        <v>16677</v>
      </c>
      <c r="BC1917" s="3" t="s">
        <v>82</v>
      </c>
      <c r="BD1917" s="3" t="s">
        <v>70</v>
      </c>
      <c r="BF1917" s="3" t="s">
        <v>16677</v>
      </c>
      <c r="BG1917" s="3" t="s">
        <v>16678</v>
      </c>
    </row>
    <row r="1918" spans="1:59" ht="75" x14ac:dyDescent="0.25">
      <c r="A1918" s="2" t="s">
        <v>59</v>
      </c>
      <c r="B1918" s="2" t="s">
        <v>60</v>
      </c>
      <c r="C1918" s="2" t="s">
        <v>16659</v>
      </c>
      <c r="D1918" s="2" t="s">
        <v>16660</v>
      </c>
      <c r="E1918" s="2" t="s">
        <v>16661</v>
      </c>
      <c r="F1918" s="3" t="s">
        <v>15318</v>
      </c>
      <c r="G1918" s="3" t="s">
        <v>62</v>
      </c>
      <c r="I1918" s="3" t="s">
        <v>62</v>
      </c>
      <c r="J1918" s="3" t="s">
        <v>63</v>
      </c>
      <c r="K1918" s="3" t="s">
        <v>64</v>
      </c>
      <c r="L1918" s="2" t="s">
        <v>16545</v>
      </c>
      <c r="M1918" s="2" t="s">
        <v>16662</v>
      </c>
      <c r="N1918" s="3" t="s">
        <v>2225</v>
      </c>
      <c r="P1918" s="3" t="s">
        <v>90</v>
      </c>
      <c r="R1918" s="3" t="s">
        <v>67</v>
      </c>
      <c r="S1918" s="4">
        <v>4</v>
      </c>
      <c r="T1918" s="4">
        <v>37</v>
      </c>
      <c r="U1918" s="5" t="s">
        <v>7280</v>
      </c>
      <c r="V1918" s="5" t="s">
        <v>16663</v>
      </c>
      <c r="W1918" s="5" t="s">
        <v>69</v>
      </c>
      <c r="X1918" s="5" t="s">
        <v>69</v>
      </c>
      <c r="Y1918" s="4">
        <v>196</v>
      </c>
      <c r="Z1918" s="4">
        <v>7</v>
      </c>
      <c r="AA1918" s="4">
        <v>15</v>
      </c>
      <c r="AB1918" s="4">
        <v>1</v>
      </c>
      <c r="AC1918" s="4">
        <v>1</v>
      </c>
      <c r="AD1918" s="4">
        <v>82</v>
      </c>
      <c r="AE1918" s="4">
        <v>100</v>
      </c>
      <c r="AF1918" s="4">
        <v>0</v>
      </c>
      <c r="AG1918" s="4">
        <v>0</v>
      </c>
      <c r="AH1918" s="4">
        <v>76</v>
      </c>
      <c r="AI1918" s="4">
        <v>91</v>
      </c>
      <c r="AJ1918" s="4">
        <v>6</v>
      </c>
      <c r="AK1918" s="4">
        <v>13</v>
      </c>
      <c r="AL1918" s="4">
        <v>49</v>
      </c>
      <c r="AM1918" s="4">
        <v>54</v>
      </c>
      <c r="AN1918" s="4">
        <v>0</v>
      </c>
      <c r="AO1918" s="4">
        <v>0</v>
      </c>
      <c r="AP1918" s="4">
        <v>6</v>
      </c>
      <c r="AQ1918" s="4">
        <v>13</v>
      </c>
      <c r="AR1918" s="3" t="s">
        <v>63</v>
      </c>
      <c r="AS1918" s="3" t="s">
        <v>63</v>
      </c>
      <c r="AT1918" s="3" t="s">
        <v>62</v>
      </c>
      <c r="AU1918" s="6" t="str">
        <f>HYPERLINK("http://catalog.hathitrust.org/Record/001848701","HathiTrust Record")</f>
        <v>HathiTrust Record</v>
      </c>
      <c r="AV1918" s="6" t="str">
        <f>HYPERLINK("http://mcgill.on.worldcat.org/oclc/2683732","Catalog Record")</f>
        <v>Catalog Record</v>
      </c>
      <c r="AW1918" s="6" t="str">
        <f>HYPERLINK("http://www.worldcat.org/oclc/2683732","WorldCat Record")</f>
        <v>WorldCat Record</v>
      </c>
      <c r="AX1918" s="3" t="s">
        <v>16664</v>
      </c>
      <c r="AY1918" s="3" t="s">
        <v>16665</v>
      </c>
      <c r="AZ1918" s="3" t="s">
        <v>16666</v>
      </c>
      <c r="BA1918" s="3" t="s">
        <v>16666</v>
      </c>
      <c r="BB1918" s="3" t="s">
        <v>16679</v>
      </c>
      <c r="BC1918" s="3" t="s">
        <v>82</v>
      </c>
      <c r="BD1918" s="3" t="s">
        <v>70</v>
      </c>
      <c r="BF1918" s="3" t="s">
        <v>16679</v>
      </c>
      <c r="BG1918" s="3" t="s">
        <v>16680</v>
      </c>
    </row>
    <row r="1919" spans="1:59" ht="75" x14ac:dyDescent="0.25">
      <c r="A1919" s="2" t="s">
        <v>59</v>
      </c>
      <c r="B1919" s="2" t="s">
        <v>60</v>
      </c>
      <c r="C1919" s="2" t="s">
        <v>16659</v>
      </c>
      <c r="D1919" s="2" t="s">
        <v>16660</v>
      </c>
      <c r="E1919" s="2" t="s">
        <v>16661</v>
      </c>
      <c r="F1919" s="3" t="s">
        <v>16681</v>
      </c>
      <c r="G1919" s="3" t="s">
        <v>62</v>
      </c>
      <c r="I1919" s="3" t="s">
        <v>62</v>
      </c>
      <c r="J1919" s="3" t="s">
        <v>63</v>
      </c>
      <c r="K1919" s="3" t="s">
        <v>64</v>
      </c>
      <c r="L1919" s="2" t="s">
        <v>16545</v>
      </c>
      <c r="M1919" s="2" t="s">
        <v>16662</v>
      </c>
      <c r="N1919" s="3" t="s">
        <v>2225</v>
      </c>
      <c r="P1919" s="3" t="s">
        <v>90</v>
      </c>
      <c r="R1919" s="3" t="s">
        <v>67</v>
      </c>
      <c r="S1919" s="4">
        <v>2</v>
      </c>
      <c r="T1919" s="4">
        <v>37</v>
      </c>
      <c r="U1919" s="5" t="s">
        <v>16663</v>
      </c>
      <c r="V1919" s="5" t="s">
        <v>16663</v>
      </c>
      <c r="W1919" s="5" t="s">
        <v>69</v>
      </c>
      <c r="X1919" s="5" t="s">
        <v>69</v>
      </c>
      <c r="Y1919" s="4">
        <v>196</v>
      </c>
      <c r="Z1919" s="4">
        <v>7</v>
      </c>
      <c r="AA1919" s="4">
        <v>15</v>
      </c>
      <c r="AB1919" s="4">
        <v>1</v>
      </c>
      <c r="AC1919" s="4">
        <v>1</v>
      </c>
      <c r="AD1919" s="4">
        <v>82</v>
      </c>
      <c r="AE1919" s="4">
        <v>100</v>
      </c>
      <c r="AF1919" s="4">
        <v>0</v>
      </c>
      <c r="AG1919" s="4">
        <v>0</v>
      </c>
      <c r="AH1919" s="4">
        <v>76</v>
      </c>
      <c r="AI1919" s="4">
        <v>91</v>
      </c>
      <c r="AJ1919" s="4">
        <v>6</v>
      </c>
      <c r="AK1919" s="4">
        <v>13</v>
      </c>
      <c r="AL1919" s="4">
        <v>49</v>
      </c>
      <c r="AM1919" s="4">
        <v>54</v>
      </c>
      <c r="AN1919" s="4">
        <v>0</v>
      </c>
      <c r="AO1919" s="4">
        <v>0</v>
      </c>
      <c r="AP1919" s="4">
        <v>6</v>
      </c>
      <c r="AQ1919" s="4">
        <v>13</v>
      </c>
      <c r="AR1919" s="3" t="s">
        <v>63</v>
      </c>
      <c r="AS1919" s="3" t="s">
        <v>63</v>
      </c>
      <c r="AT1919" s="3" t="s">
        <v>62</v>
      </c>
      <c r="AU1919" s="6" t="str">
        <f>HYPERLINK("http://catalog.hathitrust.org/Record/001848701","HathiTrust Record")</f>
        <v>HathiTrust Record</v>
      </c>
      <c r="AV1919" s="6" t="str">
        <f>HYPERLINK("http://mcgill.on.worldcat.org/oclc/2683732","Catalog Record")</f>
        <v>Catalog Record</v>
      </c>
      <c r="AW1919" s="6" t="str">
        <f>HYPERLINK("http://www.worldcat.org/oclc/2683732","WorldCat Record")</f>
        <v>WorldCat Record</v>
      </c>
      <c r="AX1919" s="3" t="s">
        <v>16664</v>
      </c>
      <c r="AY1919" s="3" t="s">
        <v>16665</v>
      </c>
      <c r="AZ1919" s="3" t="s">
        <v>16666</v>
      </c>
      <c r="BA1919" s="3" t="s">
        <v>16666</v>
      </c>
      <c r="BB1919" s="3" t="s">
        <v>16682</v>
      </c>
      <c r="BC1919" s="3" t="s">
        <v>82</v>
      </c>
      <c r="BD1919" s="3" t="s">
        <v>70</v>
      </c>
      <c r="BF1919" s="3" t="s">
        <v>16682</v>
      </c>
      <c r="BG1919" s="3" t="s">
        <v>16683</v>
      </c>
    </row>
    <row r="1920" spans="1:59" ht="75" x14ac:dyDescent="0.25">
      <c r="A1920" s="2" t="s">
        <v>59</v>
      </c>
      <c r="B1920" s="2" t="s">
        <v>60</v>
      </c>
      <c r="C1920" s="2" t="s">
        <v>16659</v>
      </c>
      <c r="D1920" s="2" t="s">
        <v>16660</v>
      </c>
      <c r="E1920" s="2" t="s">
        <v>16661</v>
      </c>
      <c r="F1920" s="3" t="s">
        <v>16684</v>
      </c>
      <c r="G1920" s="3" t="s">
        <v>62</v>
      </c>
      <c r="I1920" s="3" t="s">
        <v>62</v>
      </c>
      <c r="J1920" s="3" t="s">
        <v>63</v>
      </c>
      <c r="K1920" s="3" t="s">
        <v>64</v>
      </c>
      <c r="L1920" s="2" t="s">
        <v>16545</v>
      </c>
      <c r="M1920" s="2" t="s">
        <v>16662</v>
      </c>
      <c r="N1920" s="3" t="s">
        <v>2225</v>
      </c>
      <c r="P1920" s="3" t="s">
        <v>90</v>
      </c>
      <c r="R1920" s="3" t="s">
        <v>67</v>
      </c>
      <c r="S1920" s="4">
        <v>0</v>
      </c>
      <c r="T1920" s="4">
        <v>37</v>
      </c>
      <c r="V1920" s="5" t="s">
        <v>16663</v>
      </c>
      <c r="W1920" s="5" t="s">
        <v>69</v>
      </c>
      <c r="X1920" s="5" t="s">
        <v>69</v>
      </c>
      <c r="Y1920" s="4">
        <v>196</v>
      </c>
      <c r="Z1920" s="4">
        <v>7</v>
      </c>
      <c r="AA1920" s="4">
        <v>15</v>
      </c>
      <c r="AB1920" s="4">
        <v>1</v>
      </c>
      <c r="AC1920" s="4">
        <v>1</v>
      </c>
      <c r="AD1920" s="4">
        <v>82</v>
      </c>
      <c r="AE1920" s="4">
        <v>100</v>
      </c>
      <c r="AF1920" s="4">
        <v>0</v>
      </c>
      <c r="AG1920" s="4">
        <v>0</v>
      </c>
      <c r="AH1920" s="4">
        <v>76</v>
      </c>
      <c r="AI1920" s="4">
        <v>91</v>
      </c>
      <c r="AJ1920" s="4">
        <v>6</v>
      </c>
      <c r="AK1920" s="4">
        <v>13</v>
      </c>
      <c r="AL1920" s="4">
        <v>49</v>
      </c>
      <c r="AM1920" s="4">
        <v>54</v>
      </c>
      <c r="AN1920" s="4">
        <v>0</v>
      </c>
      <c r="AO1920" s="4">
        <v>0</v>
      </c>
      <c r="AP1920" s="4">
        <v>6</v>
      </c>
      <c r="AQ1920" s="4">
        <v>13</v>
      </c>
      <c r="AR1920" s="3" t="s">
        <v>63</v>
      </c>
      <c r="AS1920" s="3" t="s">
        <v>63</v>
      </c>
      <c r="AT1920" s="3" t="s">
        <v>62</v>
      </c>
      <c r="AU1920" s="6" t="str">
        <f>HYPERLINK("http://catalog.hathitrust.org/Record/001848701","HathiTrust Record")</f>
        <v>HathiTrust Record</v>
      </c>
      <c r="AV1920" s="6" t="str">
        <f>HYPERLINK("http://mcgill.on.worldcat.org/oclc/2683732","Catalog Record")</f>
        <v>Catalog Record</v>
      </c>
      <c r="AW1920" s="6" t="str">
        <f>HYPERLINK("http://www.worldcat.org/oclc/2683732","WorldCat Record")</f>
        <v>WorldCat Record</v>
      </c>
      <c r="AX1920" s="3" t="s">
        <v>16664</v>
      </c>
      <c r="AY1920" s="3" t="s">
        <v>16665</v>
      </c>
      <c r="AZ1920" s="3" t="s">
        <v>16666</v>
      </c>
      <c r="BA1920" s="3" t="s">
        <v>16666</v>
      </c>
      <c r="BB1920" s="3" t="s">
        <v>16685</v>
      </c>
      <c r="BC1920" s="3" t="s">
        <v>82</v>
      </c>
      <c r="BD1920" s="3" t="s">
        <v>70</v>
      </c>
      <c r="BF1920" s="3" t="s">
        <v>16685</v>
      </c>
      <c r="BG1920" s="3" t="s">
        <v>16686</v>
      </c>
    </row>
    <row r="1921" spans="1:59" ht="75" x14ac:dyDescent="0.25">
      <c r="A1921" s="2" t="s">
        <v>59</v>
      </c>
      <c r="B1921" s="2" t="s">
        <v>60</v>
      </c>
      <c r="C1921" s="2" t="s">
        <v>16659</v>
      </c>
      <c r="D1921" s="2" t="s">
        <v>16660</v>
      </c>
      <c r="E1921" s="2" t="s">
        <v>16661</v>
      </c>
      <c r="F1921" s="3" t="s">
        <v>1376</v>
      </c>
      <c r="G1921" s="3" t="s">
        <v>62</v>
      </c>
      <c r="I1921" s="3" t="s">
        <v>62</v>
      </c>
      <c r="J1921" s="3" t="s">
        <v>63</v>
      </c>
      <c r="K1921" s="3" t="s">
        <v>64</v>
      </c>
      <c r="L1921" s="2" t="s">
        <v>16545</v>
      </c>
      <c r="M1921" s="2" t="s">
        <v>16662</v>
      </c>
      <c r="N1921" s="3" t="s">
        <v>2225</v>
      </c>
      <c r="P1921" s="3" t="s">
        <v>90</v>
      </c>
      <c r="R1921" s="3" t="s">
        <v>67</v>
      </c>
      <c r="S1921" s="4">
        <v>2</v>
      </c>
      <c r="T1921" s="4">
        <v>37</v>
      </c>
      <c r="U1921" s="5" t="s">
        <v>14260</v>
      </c>
      <c r="V1921" s="5" t="s">
        <v>16663</v>
      </c>
      <c r="W1921" s="5" t="s">
        <v>69</v>
      </c>
      <c r="X1921" s="5" t="s">
        <v>69</v>
      </c>
      <c r="Y1921" s="4">
        <v>196</v>
      </c>
      <c r="Z1921" s="4">
        <v>7</v>
      </c>
      <c r="AA1921" s="4">
        <v>15</v>
      </c>
      <c r="AB1921" s="4">
        <v>1</v>
      </c>
      <c r="AC1921" s="4">
        <v>1</v>
      </c>
      <c r="AD1921" s="4">
        <v>82</v>
      </c>
      <c r="AE1921" s="4">
        <v>100</v>
      </c>
      <c r="AF1921" s="4">
        <v>0</v>
      </c>
      <c r="AG1921" s="4">
        <v>0</v>
      </c>
      <c r="AH1921" s="4">
        <v>76</v>
      </c>
      <c r="AI1921" s="4">
        <v>91</v>
      </c>
      <c r="AJ1921" s="4">
        <v>6</v>
      </c>
      <c r="AK1921" s="4">
        <v>13</v>
      </c>
      <c r="AL1921" s="4">
        <v>49</v>
      </c>
      <c r="AM1921" s="4">
        <v>54</v>
      </c>
      <c r="AN1921" s="4">
        <v>0</v>
      </c>
      <c r="AO1921" s="4">
        <v>0</v>
      </c>
      <c r="AP1921" s="4">
        <v>6</v>
      </c>
      <c r="AQ1921" s="4">
        <v>13</v>
      </c>
      <c r="AR1921" s="3" t="s">
        <v>63</v>
      </c>
      <c r="AS1921" s="3" t="s">
        <v>63</v>
      </c>
      <c r="AT1921" s="3" t="s">
        <v>62</v>
      </c>
      <c r="AU1921" s="6" t="str">
        <f>HYPERLINK("http://catalog.hathitrust.org/Record/001848701","HathiTrust Record")</f>
        <v>HathiTrust Record</v>
      </c>
      <c r="AV1921" s="6" t="str">
        <f>HYPERLINK("http://mcgill.on.worldcat.org/oclc/2683732","Catalog Record")</f>
        <v>Catalog Record</v>
      </c>
      <c r="AW1921" s="6" t="str">
        <f>HYPERLINK("http://www.worldcat.org/oclc/2683732","WorldCat Record")</f>
        <v>WorldCat Record</v>
      </c>
      <c r="AX1921" s="3" t="s">
        <v>16664</v>
      </c>
      <c r="AY1921" s="3" t="s">
        <v>16665</v>
      </c>
      <c r="AZ1921" s="3" t="s">
        <v>16666</v>
      </c>
      <c r="BA1921" s="3" t="s">
        <v>16666</v>
      </c>
      <c r="BB1921" s="3" t="s">
        <v>16687</v>
      </c>
      <c r="BC1921" s="3" t="s">
        <v>82</v>
      </c>
      <c r="BD1921" s="3" t="s">
        <v>70</v>
      </c>
      <c r="BF1921" s="3" t="s">
        <v>16687</v>
      </c>
      <c r="BG1921" s="3" t="s">
        <v>16688</v>
      </c>
    </row>
    <row r="1922" spans="1:59" ht="75" x14ac:dyDescent="0.25">
      <c r="A1922" s="2" t="s">
        <v>59</v>
      </c>
      <c r="B1922" s="2" t="s">
        <v>60</v>
      </c>
      <c r="C1922" s="2" t="s">
        <v>16659</v>
      </c>
      <c r="D1922" s="2" t="s">
        <v>16660</v>
      </c>
      <c r="E1922" s="2" t="s">
        <v>16661</v>
      </c>
      <c r="F1922" s="3" t="s">
        <v>1379</v>
      </c>
      <c r="G1922" s="3" t="s">
        <v>62</v>
      </c>
      <c r="I1922" s="3" t="s">
        <v>62</v>
      </c>
      <c r="J1922" s="3" t="s">
        <v>63</v>
      </c>
      <c r="K1922" s="3" t="s">
        <v>64</v>
      </c>
      <c r="L1922" s="2" t="s">
        <v>16545</v>
      </c>
      <c r="M1922" s="2" t="s">
        <v>16662</v>
      </c>
      <c r="N1922" s="3" t="s">
        <v>2225</v>
      </c>
      <c r="P1922" s="3" t="s">
        <v>90</v>
      </c>
      <c r="R1922" s="3" t="s">
        <v>67</v>
      </c>
      <c r="S1922" s="4">
        <v>2</v>
      </c>
      <c r="T1922" s="4">
        <v>37</v>
      </c>
      <c r="U1922" s="5" t="s">
        <v>15109</v>
      </c>
      <c r="V1922" s="5" t="s">
        <v>16663</v>
      </c>
      <c r="W1922" s="5" t="s">
        <v>69</v>
      </c>
      <c r="X1922" s="5" t="s">
        <v>69</v>
      </c>
      <c r="Y1922" s="4">
        <v>196</v>
      </c>
      <c r="Z1922" s="4">
        <v>7</v>
      </c>
      <c r="AA1922" s="4">
        <v>15</v>
      </c>
      <c r="AB1922" s="4">
        <v>1</v>
      </c>
      <c r="AC1922" s="4">
        <v>1</v>
      </c>
      <c r="AD1922" s="4">
        <v>82</v>
      </c>
      <c r="AE1922" s="4">
        <v>100</v>
      </c>
      <c r="AF1922" s="4">
        <v>0</v>
      </c>
      <c r="AG1922" s="4">
        <v>0</v>
      </c>
      <c r="AH1922" s="4">
        <v>76</v>
      </c>
      <c r="AI1922" s="4">
        <v>91</v>
      </c>
      <c r="AJ1922" s="4">
        <v>6</v>
      </c>
      <c r="AK1922" s="4">
        <v>13</v>
      </c>
      <c r="AL1922" s="4">
        <v>49</v>
      </c>
      <c r="AM1922" s="4">
        <v>54</v>
      </c>
      <c r="AN1922" s="4">
        <v>0</v>
      </c>
      <c r="AO1922" s="4">
        <v>0</v>
      </c>
      <c r="AP1922" s="4">
        <v>6</v>
      </c>
      <c r="AQ1922" s="4">
        <v>13</v>
      </c>
      <c r="AR1922" s="3" t="s">
        <v>63</v>
      </c>
      <c r="AS1922" s="3" t="s">
        <v>63</v>
      </c>
      <c r="AT1922" s="3" t="s">
        <v>62</v>
      </c>
      <c r="AU1922" s="6" t="str">
        <f>HYPERLINK("http://catalog.hathitrust.org/Record/001848701","HathiTrust Record")</f>
        <v>HathiTrust Record</v>
      </c>
      <c r="AV1922" s="6" t="str">
        <f>HYPERLINK("http://mcgill.on.worldcat.org/oclc/2683732","Catalog Record")</f>
        <v>Catalog Record</v>
      </c>
      <c r="AW1922" s="6" t="str">
        <f>HYPERLINK("http://www.worldcat.org/oclc/2683732","WorldCat Record")</f>
        <v>WorldCat Record</v>
      </c>
      <c r="AX1922" s="3" t="s">
        <v>16664</v>
      </c>
      <c r="AY1922" s="3" t="s">
        <v>16665</v>
      </c>
      <c r="AZ1922" s="3" t="s">
        <v>16666</v>
      </c>
      <c r="BA1922" s="3" t="s">
        <v>16666</v>
      </c>
      <c r="BB1922" s="3" t="s">
        <v>16689</v>
      </c>
      <c r="BC1922" s="3" t="s">
        <v>82</v>
      </c>
      <c r="BD1922" s="3" t="s">
        <v>70</v>
      </c>
      <c r="BF1922" s="3" t="s">
        <v>16689</v>
      </c>
      <c r="BG1922" s="3" t="s">
        <v>16690</v>
      </c>
    </row>
    <row r="1923" spans="1:59" ht="75" x14ac:dyDescent="0.25">
      <c r="A1923" s="2" t="s">
        <v>59</v>
      </c>
      <c r="B1923" s="2" t="s">
        <v>60</v>
      </c>
      <c r="C1923" s="2" t="s">
        <v>16659</v>
      </c>
      <c r="D1923" s="2" t="s">
        <v>16660</v>
      </c>
      <c r="E1923" s="2" t="s">
        <v>16661</v>
      </c>
      <c r="F1923" s="3" t="s">
        <v>16691</v>
      </c>
      <c r="G1923" s="3" t="s">
        <v>62</v>
      </c>
      <c r="I1923" s="3" t="s">
        <v>62</v>
      </c>
      <c r="J1923" s="3" t="s">
        <v>63</v>
      </c>
      <c r="K1923" s="3" t="s">
        <v>64</v>
      </c>
      <c r="L1923" s="2" t="s">
        <v>16545</v>
      </c>
      <c r="M1923" s="2" t="s">
        <v>16662</v>
      </c>
      <c r="N1923" s="3" t="s">
        <v>2225</v>
      </c>
      <c r="P1923" s="3" t="s">
        <v>90</v>
      </c>
      <c r="R1923" s="3" t="s">
        <v>67</v>
      </c>
      <c r="S1923" s="4">
        <v>0</v>
      </c>
      <c r="T1923" s="4">
        <v>37</v>
      </c>
      <c r="V1923" s="5" t="s">
        <v>16663</v>
      </c>
      <c r="W1923" s="5" t="s">
        <v>69</v>
      </c>
      <c r="X1923" s="5" t="s">
        <v>69</v>
      </c>
      <c r="Y1923" s="4">
        <v>196</v>
      </c>
      <c r="Z1923" s="4">
        <v>7</v>
      </c>
      <c r="AA1923" s="4">
        <v>15</v>
      </c>
      <c r="AB1923" s="4">
        <v>1</v>
      </c>
      <c r="AC1923" s="4">
        <v>1</v>
      </c>
      <c r="AD1923" s="4">
        <v>82</v>
      </c>
      <c r="AE1923" s="4">
        <v>100</v>
      </c>
      <c r="AF1923" s="4">
        <v>0</v>
      </c>
      <c r="AG1923" s="4">
        <v>0</v>
      </c>
      <c r="AH1923" s="4">
        <v>76</v>
      </c>
      <c r="AI1923" s="4">
        <v>91</v>
      </c>
      <c r="AJ1923" s="4">
        <v>6</v>
      </c>
      <c r="AK1923" s="4">
        <v>13</v>
      </c>
      <c r="AL1923" s="4">
        <v>49</v>
      </c>
      <c r="AM1923" s="4">
        <v>54</v>
      </c>
      <c r="AN1923" s="4">
        <v>0</v>
      </c>
      <c r="AO1923" s="4">
        <v>0</v>
      </c>
      <c r="AP1923" s="4">
        <v>6</v>
      </c>
      <c r="AQ1923" s="4">
        <v>13</v>
      </c>
      <c r="AR1923" s="3" t="s">
        <v>63</v>
      </c>
      <c r="AS1923" s="3" t="s">
        <v>63</v>
      </c>
      <c r="AT1923" s="3" t="s">
        <v>62</v>
      </c>
      <c r="AU1923" s="6" t="str">
        <f>HYPERLINK("http://catalog.hathitrust.org/Record/001848701","HathiTrust Record")</f>
        <v>HathiTrust Record</v>
      </c>
      <c r="AV1923" s="6" t="str">
        <f>HYPERLINK("http://mcgill.on.worldcat.org/oclc/2683732","Catalog Record")</f>
        <v>Catalog Record</v>
      </c>
      <c r="AW1923" s="6" t="str">
        <f>HYPERLINK("http://www.worldcat.org/oclc/2683732","WorldCat Record")</f>
        <v>WorldCat Record</v>
      </c>
      <c r="AX1923" s="3" t="s">
        <v>16664</v>
      </c>
      <c r="AY1923" s="3" t="s">
        <v>16665</v>
      </c>
      <c r="AZ1923" s="3" t="s">
        <v>16666</v>
      </c>
      <c r="BA1923" s="3" t="s">
        <v>16666</v>
      </c>
      <c r="BB1923" s="3" t="s">
        <v>16692</v>
      </c>
      <c r="BC1923" s="3" t="s">
        <v>82</v>
      </c>
      <c r="BD1923" s="3" t="s">
        <v>70</v>
      </c>
      <c r="BF1923" s="3" t="s">
        <v>16692</v>
      </c>
      <c r="BG1923" s="3" t="s">
        <v>16693</v>
      </c>
    </row>
    <row r="1924" spans="1:59" ht="75" x14ac:dyDescent="0.25">
      <c r="A1924" s="2" t="s">
        <v>59</v>
      </c>
      <c r="B1924" s="2" t="s">
        <v>60</v>
      </c>
      <c r="C1924" s="2" t="s">
        <v>16659</v>
      </c>
      <c r="D1924" s="2" t="s">
        <v>16660</v>
      </c>
      <c r="E1924" s="2" t="s">
        <v>16661</v>
      </c>
      <c r="F1924" s="3" t="s">
        <v>16694</v>
      </c>
      <c r="G1924" s="3" t="s">
        <v>62</v>
      </c>
      <c r="I1924" s="3" t="s">
        <v>62</v>
      </c>
      <c r="J1924" s="3" t="s">
        <v>63</v>
      </c>
      <c r="K1924" s="3" t="s">
        <v>64</v>
      </c>
      <c r="L1924" s="2" t="s">
        <v>16545</v>
      </c>
      <c r="M1924" s="2" t="s">
        <v>16662</v>
      </c>
      <c r="N1924" s="3" t="s">
        <v>2225</v>
      </c>
      <c r="P1924" s="3" t="s">
        <v>90</v>
      </c>
      <c r="R1924" s="3" t="s">
        <v>67</v>
      </c>
      <c r="S1924" s="4">
        <v>0</v>
      </c>
      <c r="T1924" s="4">
        <v>37</v>
      </c>
      <c r="V1924" s="5" t="s">
        <v>16663</v>
      </c>
      <c r="W1924" s="5" t="s">
        <v>69</v>
      </c>
      <c r="X1924" s="5" t="s">
        <v>69</v>
      </c>
      <c r="Y1924" s="4">
        <v>196</v>
      </c>
      <c r="Z1924" s="4">
        <v>7</v>
      </c>
      <c r="AA1924" s="4">
        <v>15</v>
      </c>
      <c r="AB1924" s="4">
        <v>1</v>
      </c>
      <c r="AC1924" s="4">
        <v>1</v>
      </c>
      <c r="AD1924" s="4">
        <v>82</v>
      </c>
      <c r="AE1924" s="4">
        <v>100</v>
      </c>
      <c r="AF1924" s="4">
        <v>0</v>
      </c>
      <c r="AG1924" s="4">
        <v>0</v>
      </c>
      <c r="AH1924" s="4">
        <v>76</v>
      </c>
      <c r="AI1924" s="4">
        <v>91</v>
      </c>
      <c r="AJ1924" s="4">
        <v>6</v>
      </c>
      <c r="AK1924" s="4">
        <v>13</v>
      </c>
      <c r="AL1924" s="4">
        <v>49</v>
      </c>
      <c r="AM1924" s="4">
        <v>54</v>
      </c>
      <c r="AN1924" s="4">
        <v>0</v>
      </c>
      <c r="AO1924" s="4">
        <v>0</v>
      </c>
      <c r="AP1924" s="4">
        <v>6</v>
      </c>
      <c r="AQ1924" s="4">
        <v>13</v>
      </c>
      <c r="AR1924" s="3" t="s">
        <v>63</v>
      </c>
      <c r="AS1924" s="3" t="s">
        <v>63</v>
      </c>
      <c r="AT1924" s="3" t="s">
        <v>62</v>
      </c>
      <c r="AU1924" s="6" t="str">
        <f>HYPERLINK("http://catalog.hathitrust.org/Record/001848701","HathiTrust Record")</f>
        <v>HathiTrust Record</v>
      </c>
      <c r="AV1924" s="6" t="str">
        <f>HYPERLINK("http://mcgill.on.worldcat.org/oclc/2683732","Catalog Record")</f>
        <v>Catalog Record</v>
      </c>
      <c r="AW1924" s="6" t="str">
        <f>HYPERLINK("http://www.worldcat.org/oclc/2683732","WorldCat Record")</f>
        <v>WorldCat Record</v>
      </c>
      <c r="AX1924" s="3" t="s">
        <v>16664</v>
      </c>
      <c r="AY1924" s="3" t="s">
        <v>16665</v>
      </c>
      <c r="AZ1924" s="3" t="s">
        <v>16666</v>
      </c>
      <c r="BA1924" s="3" t="s">
        <v>16666</v>
      </c>
      <c r="BB1924" s="3" t="s">
        <v>16695</v>
      </c>
      <c r="BC1924" s="3" t="s">
        <v>82</v>
      </c>
      <c r="BD1924" s="3" t="s">
        <v>70</v>
      </c>
      <c r="BF1924" s="3" t="s">
        <v>16695</v>
      </c>
      <c r="BG1924" s="3" t="s">
        <v>16696</v>
      </c>
    </row>
    <row r="1925" spans="1:59" ht="75" x14ac:dyDescent="0.25">
      <c r="A1925" s="2" t="s">
        <v>59</v>
      </c>
      <c r="B1925" s="2" t="s">
        <v>60</v>
      </c>
      <c r="C1925" s="2" t="s">
        <v>16659</v>
      </c>
      <c r="D1925" s="2" t="s">
        <v>16660</v>
      </c>
      <c r="E1925" s="2" t="s">
        <v>16661</v>
      </c>
      <c r="F1925" s="3" t="s">
        <v>16697</v>
      </c>
      <c r="G1925" s="3" t="s">
        <v>62</v>
      </c>
      <c r="I1925" s="3" t="s">
        <v>62</v>
      </c>
      <c r="J1925" s="3" t="s">
        <v>63</v>
      </c>
      <c r="K1925" s="3" t="s">
        <v>64</v>
      </c>
      <c r="L1925" s="2" t="s">
        <v>16545</v>
      </c>
      <c r="M1925" s="2" t="s">
        <v>16662</v>
      </c>
      <c r="N1925" s="3" t="s">
        <v>2225</v>
      </c>
      <c r="P1925" s="3" t="s">
        <v>90</v>
      </c>
      <c r="R1925" s="3" t="s">
        <v>67</v>
      </c>
      <c r="S1925" s="4">
        <v>0</v>
      </c>
      <c r="T1925" s="4">
        <v>37</v>
      </c>
      <c r="V1925" s="5" t="s">
        <v>16663</v>
      </c>
      <c r="W1925" s="5" t="s">
        <v>69</v>
      </c>
      <c r="X1925" s="5" t="s">
        <v>69</v>
      </c>
      <c r="Y1925" s="4">
        <v>196</v>
      </c>
      <c r="Z1925" s="4">
        <v>7</v>
      </c>
      <c r="AA1925" s="4">
        <v>15</v>
      </c>
      <c r="AB1925" s="4">
        <v>1</v>
      </c>
      <c r="AC1925" s="4">
        <v>1</v>
      </c>
      <c r="AD1925" s="4">
        <v>82</v>
      </c>
      <c r="AE1925" s="4">
        <v>100</v>
      </c>
      <c r="AF1925" s="4">
        <v>0</v>
      </c>
      <c r="AG1925" s="4">
        <v>0</v>
      </c>
      <c r="AH1925" s="4">
        <v>76</v>
      </c>
      <c r="AI1925" s="4">
        <v>91</v>
      </c>
      <c r="AJ1925" s="4">
        <v>6</v>
      </c>
      <c r="AK1925" s="4">
        <v>13</v>
      </c>
      <c r="AL1925" s="4">
        <v>49</v>
      </c>
      <c r="AM1925" s="4">
        <v>54</v>
      </c>
      <c r="AN1925" s="4">
        <v>0</v>
      </c>
      <c r="AO1925" s="4">
        <v>0</v>
      </c>
      <c r="AP1925" s="4">
        <v>6</v>
      </c>
      <c r="AQ1925" s="4">
        <v>13</v>
      </c>
      <c r="AR1925" s="3" t="s">
        <v>63</v>
      </c>
      <c r="AS1925" s="3" t="s">
        <v>63</v>
      </c>
      <c r="AT1925" s="3" t="s">
        <v>62</v>
      </c>
      <c r="AU1925" s="6" t="str">
        <f>HYPERLINK("http://catalog.hathitrust.org/Record/001848701","HathiTrust Record")</f>
        <v>HathiTrust Record</v>
      </c>
      <c r="AV1925" s="6" t="str">
        <f>HYPERLINK("http://mcgill.on.worldcat.org/oclc/2683732","Catalog Record")</f>
        <v>Catalog Record</v>
      </c>
      <c r="AW1925" s="6" t="str">
        <f>HYPERLINK("http://www.worldcat.org/oclc/2683732","WorldCat Record")</f>
        <v>WorldCat Record</v>
      </c>
      <c r="AX1925" s="3" t="s">
        <v>16664</v>
      </c>
      <c r="AY1925" s="3" t="s">
        <v>16665</v>
      </c>
      <c r="AZ1925" s="3" t="s">
        <v>16666</v>
      </c>
      <c r="BA1925" s="3" t="s">
        <v>16666</v>
      </c>
      <c r="BB1925" s="3" t="s">
        <v>16698</v>
      </c>
      <c r="BC1925" s="3" t="s">
        <v>82</v>
      </c>
      <c r="BD1925" s="3" t="s">
        <v>70</v>
      </c>
      <c r="BF1925" s="3" t="s">
        <v>16698</v>
      </c>
      <c r="BG1925" s="3" t="s">
        <v>16699</v>
      </c>
    </row>
    <row r="1926" spans="1:59" ht="75" x14ac:dyDescent="0.25">
      <c r="A1926" s="2" t="s">
        <v>59</v>
      </c>
      <c r="B1926" s="2" t="s">
        <v>60</v>
      </c>
      <c r="C1926" s="2" t="s">
        <v>16659</v>
      </c>
      <c r="D1926" s="2" t="s">
        <v>16660</v>
      </c>
      <c r="E1926" s="2" t="s">
        <v>16661</v>
      </c>
      <c r="F1926" s="3" t="s">
        <v>1366</v>
      </c>
      <c r="G1926" s="3" t="s">
        <v>62</v>
      </c>
      <c r="I1926" s="3" t="s">
        <v>62</v>
      </c>
      <c r="J1926" s="3" t="s">
        <v>63</v>
      </c>
      <c r="K1926" s="3" t="s">
        <v>64</v>
      </c>
      <c r="L1926" s="2" t="s">
        <v>16545</v>
      </c>
      <c r="M1926" s="2" t="s">
        <v>16662</v>
      </c>
      <c r="N1926" s="3" t="s">
        <v>2225</v>
      </c>
      <c r="P1926" s="3" t="s">
        <v>90</v>
      </c>
      <c r="R1926" s="3" t="s">
        <v>67</v>
      </c>
      <c r="S1926" s="4">
        <v>2</v>
      </c>
      <c r="T1926" s="4">
        <v>37</v>
      </c>
      <c r="U1926" s="5" t="s">
        <v>15137</v>
      </c>
      <c r="V1926" s="5" t="s">
        <v>16663</v>
      </c>
      <c r="W1926" s="5" t="s">
        <v>69</v>
      </c>
      <c r="X1926" s="5" t="s">
        <v>69</v>
      </c>
      <c r="Y1926" s="4">
        <v>196</v>
      </c>
      <c r="Z1926" s="4">
        <v>7</v>
      </c>
      <c r="AA1926" s="4">
        <v>15</v>
      </c>
      <c r="AB1926" s="4">
        <v>1</v>
      </c>
      <c r="AC1926" s="4">
        <v>1</v>
      </c>
      <c r="AD1926" s="4">
        <v>82</v>
      </c>
      <c r="AE1926" s="4">
        <v>100</v>
      </c>
      <c r="AF1926" s="4">
        <v>0</v>
      </c>
      <c r="AG1926" s="4">
        <v>0</v>
      </c>
      <c r="AH1926" s="4">
        <v>76</v>
      </c>
      <c r="AI1926" s="4">
        <v>91</v>
      </c>
      <c r="AJ1926" s="4">
        <v>6</v>
      </c>
      <c r="AK1926" s="4">
        <v>13</v>
      </c>
      <c r="AL1926" s="4">
        <v>49</v>
      </c>
      <c r="AM1926" s="4">
        <v>54</v>
      </c>
      <c r="AN1926" s="4">
        <v>0</v>
      </c>
      <c r="AO1926" s="4">
        <v>0</v>
      </c>
      <c r="AP1926" s="4">
        <v>6</v>
      </c>
      <c r="AQ1926" s="4">
        <v>13</v>
      </c>
      <c r="AR1926" s="3" t="s">
        <v>63</v>
      </c>
      <c r="AS1926" s="3" t="s">
        <v>63</v>
      </c>
      <c r="AT1926" s="3" t="s">
        <v>62</v>
      </c>
      <c r="AU1926" s="6" t="str">
        <f>HYPERLINK("http://catalog.hathitrust.org/Record/001848701","HathiTrust Record")</f>
        <v>HathiTrust Record</v>
      </c>
      <c r="AV1926" s="6" t="str">
        <f>HYPERLINK("http://mcgill.on.worldcat.org/oclc/2683732","Catalog Record")</f>
        <v>Catalog Record</v>
      </c>
      <c r="AW1926" s="6" t="str">
        <f>HYPERLINK("http://www.worldcat.org/oclc/2683732","WorldCat Record")</f>
        <v>WorldCat Record</v>
      </c>
      <c r="AX1926" s="3" t="s">
        <v>16664</v>
      </c>
      <c r="AY1926" s="3" t="s">
        <v>16665</v>
      </c>
      <c r="AZ1926" s="3" t="s">
        <v>16666</v>
      </c>
      <c r="BA1926" s="3" t="s">
        <v>16666</v>
      </c>
      <c r="BB1926" s="3" t="s">
        <v>16700</v>
      </c>
      <c r="BC1926" s="3" t="s">
        <v>82</v>
      </c>
      <c r="BD1926" s="3" t="s">
        <v>70</v>
      </c>
      <c r="BF1926" s="3" t="s">
        <v>16700</v>
      </c>
      <c r="BG1926" s="3" t="s">
        <v>16701</v>
      </c>
    </row>
    <row r="1927" spans="1:59" ht="75" x14ac:dyDescent="0.25">
      <c r="A1927" s="2" t="s">
        <v>59</v>
      </c>
      <c r="B1927" s="2" t="s">
        <v>60</v>
      </c>
      <c r="C1927" s="2" t="s">
        <v>16659</v>
      </c>
      <c r="D1927" s="2" t="s">
        <v>16660</v>
      </c>
      <c r="E1927" s="2" t="s">
        <v>16661</v>
      </c>
      <c r="F1927" s="3" t="s">
        <v>1384</v>
      </c>
      <c r="G1927" s="3" t="s">
        <v>62</v>
      </c>
      <c r="I1927" s="3" t="s">
        <v>62</v>
      </c>
      <c r="J1927" s="3" t="s">
        <v>63</v>
      </c>
      <c r="K1927" s="3" t="s">
        <v>64</v>
      </c>
      <c r="L1927" s="2" t="s">
        <v>16545</v>
      </c>
      <c r="M1927" s="2" t="s">
        <v>16662</v>
      </c>
      <c r="N1927" s="3" t="s">
        <v>2225</v>
      </c>
      <c r="P1927" s="3" t="s">
        <v>90</v>
      </c>
      <c r="R1927" s="3" t="s">
        <v>67</v>
      </c>
      <c r="S1927" s="4">
        <v>1</v>
      </c>
      <c r="T1927" s="4">
        <v>37</v>
      </c>
      <c r="U1927" s="5" t="s">
        <v>15148</v>
      </c>
      <c r="V1927" s="5" t="s">
        <v>16663</v>
      </c>
      <c r="W1927" s="5" t="s">
        <v>69</v>
      </c>
      <c r="X1927" s="5" t="s">
        <v>69</v>
      </c>
      <c r="Y1927" s="4">
        <v>196</v>
      </c>
      <c r="Z1927" s="4">
        <v>7</v>
      </c>
      <c r="AA1927" s="4">
        <v>15</v>
      </c>
      <c r="AB1927" s="4">
        <v>1</v>
      </c>
      <c r="AC1927" s="4">
        <v>1</v>
      </c>
      <c r="AD1927" s="4">
        <v>82</v>
      </c>
      <c r="AE1927" s="4">
        <v>100</v>
      </c>
      <c r="AF1927" s="4">
        <v>0</v>
      </c>
      <c r="AG1927" s="4">
        <v>0</v>
      </c>
      <c r="AH1927" s="4">
        <v>76</v>
      </c>
      <c r="AI1927" s="4">
        <v>91</v>
      </c>
      <c r="AJ1927" s="4">
        <v>6</v>
      </c>
      <c r="AK1927" s="4">
        <v>13</v>
      </c>
      <c r="AL1927" s="4">
        <v>49</v>
      </c>
      <c r="AM1927" s="4">
        <v>54</v>
      </c>
      <c r="AN1927" s="4">
        <v>0</v>
      </c>
      <c r="AO1927" s="4">
        <v>0</v>
      </c>
      <c r="AP1927" s="4">
        <v>6</v>
      </c>
      <c r="AQ1927" s="4">
        <v>13</v>
      </c>
      <c r="AR1927" s="3" t="s">
        <v>63</v>
      </c>
      <c r="AS1927" s="3" t="s">
        <v>63</v>
      </c>
      <c r="AT1927" s="3" t="s">
        <v>62</v>
      </c>
      <c r="AU1927" s="6" t="str">
        <f>HYPERLINK("http://catalog.hathitrust.org/Record/001848701","HathiTrust Record")</f>
        <v>HathiTrust Record</v>
      </c>
      <c r="AV1927" s="6" t="str">
        <f>HYPERLINK("http://mcgill.on.worldcat.org/oclc/2683732","Catalog Record")</f>
        <v>Catalog Record</v>
      </c>
      <c r="AW1927" s="6" t="str">
        <f>HYPERLINK("http://www.worldcat.org/oclc/2683732","WorldCat Record")</f>
        <v>WorldCat Record</v>
      </c>
      <c r="AX1927" s="3" t="s">
        <v>16664</v>
      </c>
      <c r="AY1927" s="3" t="s">
        <v>16665</v>
      </c>
      <c r="AZ1927" s="3" t="s">
        <v>16666</v>
      </c>
      <c r="BA1927" s="3" t="s">
        <v>16666</v>
      </c>
      <c r="BB1927" s="3" t="s">
        <v>16702</v>
      </c>
      <c r="BC1927" s="3" t="s">
        <v>82</v>
      </c>
      <c r="BD1927" s="3" t="s">
        <v>70</v>
      </c>
      <c r="BF1927" s="3" t="s">
        <v>16702</v>
      </c>
      <c r="BG1927" s="3" t="s">
        <v>16703</v>
      </c>
    </row>
    <row r="1928" spans="1:59" ht="75" x14ac:dyDescent="0.25">
      <c r="A1928" s="2" t="s">
        <v>59</v>
      </c>
      <c r="B1928" s="2" t="s">
        <v>60</v>
      </c>
      <c r="C1928" s="2" t="s">
        <v>16659</v>
      </c>
      <c r="D1928" s="2" t="s">
        <v>16660</v>
      </c>
      <c r="E1928" s="2" t="s">
        <v>16661</v>
      </c>
      <c r="F1928" s="3" t="s">
        <v>16704</v>
      </c>
      <c r="G1928" s="3" t="s">
        <v>62</v>
      </c>
      <c r="I1928" s="3" t="s">
        <v>62</v>
      </c>
      <c r="J1928" s="3" t="s">
        <v>63</v>
      </c>
      <c r="K1928" s="3" t="s">
        <v>64</v>
      </c>
      <c r="L1928" s="2" t="s">
        <v>16545</v>
      </c>
      <c r="M1928" s="2" t="s">
        <v>16662</v>
      </c>
      <c r="N1928" s="3" t="s">
        <v>2225</v>
      </c>
      <c r="P1928" s="3" t="s">
        <v>90</v>
      </c>
      <c r="R1928" s="3" t="s">
        <v>67</v>
      </c>
      <c r="S1928" s="4">
        <v>0</v>
      </c>
      <c r="T1928" s="4">
        <v>37</v>
      </c>
      <c r="V1928" s="5" t="s">
        <v>16663</v>
      </c>
      <c r="W1928" s="5" t="s">
        <v>69</v>
      </c>
      <c r="X1928" s="5" t="s">
        <v>69</v>
      </c>
      <c r="Y1928" s="4">
        <v>196</v>
      </c>
      <c r="Z1928" s="4">
        <v>7</v>
      </c>
      <c r="AA1928" s="4">
        <v>15</v>
      </c>
      <c r="AB1928" s="4">
        <v>1</v>
      </c>
      <c r="AC1928" s="4">
        <v>1</v>
      </c>
      <c r="AD1928" s="4">
        <v>82</v>
      </c>
      <c r="AE1928" s="4">
        <v>100</v>
      </c>
      <c r="AF1928" s="4">
        <v>0</v>
      </c>
      <c r="AG1928" s="4">
        <v>0</v>
      </c>
      <c r="AH1928" s="4">
        <v>76</v>
      </c>
      <c r="AI1928" s="4">
        <v>91</v>
      </c>
      <c r="AJ1928" s="4">
        <v>6</v>
      </c>
      <c r="AK1928" s="4">
        <v>13</v>
      </c>
      <c r="AL1928" s="4">
        <v>49</v>
      </c>
      <c r="AM1928" s="4">
        <v>54</v>
      </c>
      <c r="AN1928" s="4">
        <v>0</v>
      </c>
      <c r="AO1928" s="4">
        <v>0</v>
      </c>
      <c r="AP1928" s="4">
        <v>6</v>
      </c>
      <c r="AQ1928" s="4">
        <v>13</v>
      </c>
      <c r="AR1928" s="3" t="s">
        <v>63</v>
      </c>
      <c r="AS1928" s="3" t="s">
        <v>63</v>
      </c>
      <c r="AT1928" s="3" t="s">
        <v>62</v>
      </c>
      <c r="AU1928" s="6" t="str">
        <f>HYPERLINK("http://catalog.hathitrust.org/Record/001848701","HathiTrust Record")</f>
        <v>HathiTrust Record</v>
      </c>
      <c r="AV1928" s="6" t="str">
        <f>HYPERLINK("http://mcgill.on.worldcat.org/oclc/2683732","Catalog Record")</f>
        <v>Catalog Record</v>
      </c>
      <c r="AW1928" s="6" t="str">
        <f>HYPERLINK("http://www.worldcat.org/oclc/2683732","WorldCat Record")</f>
        <v>WorldCat Record</v>
      </c>
      <c r="AX1928" s="3" t="s">
        <v>16664</v>
      </c>
      <c r="AY1928" s="3" t="s">
        <v>16665</v>
      </c>
      <c r="AZ1928" s="3" t="s">
        <v>16666</v>
      </c>
      <c r="BA1928" s="3" t="s">
        <v>16666</v>
      </c>
      <c r="BB1928" s="3" t="s">
        <v>16705</v>
      </c>
      <c r="BC1928" s="3" t="s">
        <v>82</v>
      </c>
      <c r="BD1928" s="3" t="s">
        <v>70</v>
      </c>
      <c r="BF1928" s="3" t="s">
        <v>16705</v>
      </c>
      <c r="BG1928" s="3" t="s">
        <v>16706</v>
      </c>
    </row>
    <row r="1929" spans="1:59" ht="75" x14ac:dyDescent="0.25">
      <c r="A1929" s="2" t="s">
        <v>59</v>
      </c>
      <c r="B1929" s="2" t="s">
        <v>60</v>
      </c>
      <c r="C1929" s="2" t="s">
        <v>16659</v>
      </c>
      <c r="D1929" s="2" t="s">
        <v>16660</v>
      </c>
      <c r="E1929" s="2" t="s">
        <v>16661</v>
      </c>
      <c r="F1929" s="3" t="s">
        <v>16707</v>
      </c>
      <c r="G1929" s="3" t="s">
        <v>62</v>
      </c>
      <c r="I1929" s="3" t="s">
        <v>62</v>
      </c>
      <c r="J1929" s="3" t="s">
        <v>63</v>
      </c>
      <c r="K1929" s="3" t="s">
        <v>64</v>
      </c>
      <c r="L1929" s="2" t="s">
        <v>16545</v>
      </c>
      <c r="M1929" s="2" t="s">
        <v>16662</v>
      </c>
      <c r="N1929" s="3" t="s">
        <v>2225</v>
      </c>
      <c r="P1929" s="3" t="s">
        <v>90</v>
      </c>
      <c r="R1929" s="3" t="s">
        <v>67</v>
      </c>
      <c r="S1929" s="4">
        <v>0</v>
      </c>
      <c r="T1929" s="4">
        <v>37</v>
      </c>
      <c r="V1929" s="5" t="s">
        <v>16663</v>
      </c>
      <c r="W1929" s="5" t="s">
        <v>69</v>
      </c>
      <c r="X1929" s="5" t="s">
        <v>69</v>
      </c>
      <c r="Y1929" s="4">
        <v>196</v>
      </c>
      <c r="Z1929" s="4">
        <v>7</v>
      </c>
      <c r="AA1929" s="4">
        <v>15</v>
      </c>
      <c r="AB1929" s="4">
        <v>1</v>
      </c>
      <c r="AC1929" s="4">
        <v>1</v>
      </c>
      <c r="AD1929" s="4">
        <v>82</v>
      </c>
      <c r="AE1929" s="4">
        <v>100</v>
      </c>
      <c r="AF1929" s="4">
        <v>0</v>
      </c>
      <c r="AG1929" s="4">
        <v>0</v>
      </c>
      <c r="AH1929" s="4">
        <v>76</v>
      </c>
      <c r="AI1929" s="4">
        <v>91</v>
      </c>
      <c r="AJ1929" s="4">
        <v>6</v>
      </c>
      <c r="AK1929" s="4">
        <v>13</v>
      </c>
      <c r="AL1929" s="4">
        <v>49</v>
      </c>
      <c r="AM1929" s="4">
        <v>54</v>
      </c>
      <c r="AN1929" s="4">
        <v>0</v>
      </c>
      <c r="AO1929" s="4">
        <v>0</v>
      </c>
      <c r="AP1929" s="4">
        <v>6</v>
      </c>
      <c r="AQ1929" s="4">
        <v>13</v>
      </c>
      <c r="AR1929" s="3" t="s">
        <v>63</v>
      </c>
      <c r="AS1929" s="3" t="s">
        <v>63</v>
      </c>
      <c r="AT1929" s="3" t="s">
        <v>62</v>
      </c>
      <c r="AU1929" s="6" t="str">
        <f>HYPERLINK("http://catalog.hathitrust.org/Record/001848701","HathiTrust Record")</f>
        <v>HathiTrust Record</v>
      </c>
      <c r="AV1929" s="6" t="str">
        <f>HYPERLINK("http://mcgill.on.worldcat.org/oclc/2683732","Catalog Record")</f>
        <v>Catalog Record</v>
      </c>
      <c r="AW1929" s="6" t="str">
        <f>HYPERLINK("http://www.worldcat.org/oclc/2683732","WorldCat Record")</f>
        <v>WorldCat Record</v>
      </c>
      <c r="AX1929" s="3" t="s">
        <v>16664</v>
      </c>
      <c r="AY1929" s="3" t="s">
        <v>16665</v>
      </c>
      <c r="AZ1929" s="3" t="s">
        <v>16666</v>
      </c>
      <c r="BA1929" s="3" t="s">
        <v>16666</v>
      </c>
      <c r="BB1929" s="3" t="s">
        <v>16708</v>
      </c>
      <c r="BC1929" s="3" t="s">
        <v>82</v>
      </c>
      <c r="BD1929" s="3" t="s">
        <v>70</v>
      </c>
      <c r="BF1929" s="3" t="s">
        <v>16708</v>
      </c>
      <c r="BG1929" s="3" t="s">
        <v>16709</v>
      </c>
    </row>
    <row r="1930" spans="1:59" ht="75" x14ac:dyDescent="0.25">
      <c r="A1930" s="2" t="s">
        <v>59</v>
      </c>
      <c r="B1930" s="2" t="s">
        <v>60</v>
      </c>
      <c r="C1930" s="2" t="s">
        <v>16659</v>
      </c>
      <c r="D1930" s="2" t="s">
        <v>16660</v>
      </c>
      <c r="E1930" s="2" t="s">
        <v>16661</v>
      </c>
      <c r="F1930" s="3" t="s">
        <v>1387</v>
      </c>
      <c r="G1930" s="3" t="s">
        <v>62</v>
      </c>
      <c r="I1930" s="3" t="s">
        <v>62</v>
      </c>
      <c r="J1930" s="3" t="s">
        <v>63</v>
      </c>
      <c r="K1930" s="3" t="s">
        <v>64</v>
      </c>
      <c r="L1930" s="2" t="s">
        <v>16545</v>
      </c>
      <c r="M1930" s="2" t="s">
        <v>16662</v>
      </c>
      <c r="N1930" s="3" t="s">
        <v>2225</v>
      </c>
      <c r="P1930" s="3" t="s">
        <v>90</v>
      </c>
      <c r="R1930" s="3" t="s">
        <v>67</v>
      </c>
      <c r="S1930" s="4">
        <v>0</v>
      </c>
      <c r="T1930" s="4">
        <v>37</v>
      </c>
      <c r="V1930" s="5" t="s">
        <v>16663</v>
      </c>
      <c r="W1930" s="5" t="s">
        <v>69</v>
      </c>
      <c r="X1930" s="5" t="s">
        <v>69</v>
      </c>
      <c r="Y1930" s="4">
        <v>196</v>
      </c>
      <c r="Z1930" s="4">
        <v>7</v>
      </c>
      <c r="AA1930" s="4">
        <v>15</v>
      </c>
      <c r="AB1930" s="4">
        <v>1</v>
      </c>
      <c r="AC1930" s="4">
        <v>1</v>
      </c>
      <c r="AD1930" s="4">
        <v>82</v>
      </c>
      <c r="AE1930" s="4">
        <v>100</v>
      </c>
      <c r="AF1930" s="4">
        <v>0</v>
      </c>
      <c r="AG1930" s="4">
        <v>0</v>
      </c>
      <c r="AH1930" s="4">
        <v>76</v>
      </c>
      <c r="AI1930" s="4">
        <v>91</v>
      </c>
      <c r="AJ1930" s="4">
        <v>6</v>
      </c>
      <c r="AK1930" s="4">
        <v>13</v>
      </c>
      <c r="AL1930" s="4">
        <v>49</v>
      </c>
      <c r="AM1930" s="4">
        <v>54</v>
      </c>
      <c r="AN1930" s="4">
        <v>0</v>
      </c>
      <c r="AO1930" s="4">
        <v>0</v>
      </c>
      <c r="AP1930" s="4">
        <v>6</v>
      </c>
      <c r="AQ1930" s="4">
        <v>13</v>
      </c>
      <c r="AR1930" s="3" t="s">
        <v>63</v>
      </c>
      <c r="AS1930" s="3" t="s">
        <v>63</v>
      </c>
      <c r="AT1930" s="3" t="s">
        <v>62</v>
      </c>
      <c r="AU1930" s="6" t="str">
        <f>HYPERLINK("http://catalog.hathitrust.org/Record/001848701","HathiTrust Record")</f>
        <v>HathiTrust Record</v>
      </c>
      <c r="AV1930" s="6" t="str">
        <f>HYPERLINK("http://mcgill.on.worldcat.org/oclc/2683732","Catalog Record")</f>
        <v>Catalog Record</v>
      </c>
      <c r="AW1930" s="6" t="str">
        <f>HYPERLINK("http://www.worldcat.org/oclc/2683732","WorldCat Record")</f>
        <v>WorldCat Record</v>
      </c>
      <c r="AX1930" s="3" t="s">
        <v>16664</v>
      </c>
      <c r="AY1930" s="3" t="s">
        <v>16665</v>
      </c>
      <c r="AZ1930" s="3" t="s">
        <v>16666</v>
      </c>
      <c r="BA1930" s="3" t="s">
        <v>16666</v>
      </c>
      <c r="BB1930" s="3" t="s">
        <v>16710</v>
      </c>
      <c r="BC1930" s="3" t="s">
        <v>82</v>
      </c>
      <c r="BD1930" s="3" t="s">
        <v>70</v>
      </c>
      <c r="BF1930" s="3" t="s">
        <v>16710</v>
      </c>
      <c r="BG1930" s="3" t="s">
        <v>16711</v>
      </c>
    </row>
    <row r="1931" spans="1:59" ht="75" x14ac:dyDescent="0.25">
      <c r="A1931" s="2" t="s">
        <v>59</v>
      </c>
      <c r="B1931" s="2" t="s">
        <v>60</v>
      </c>
      <c r="C1931" s="2" t="s">
        <v>16659</v>
      </c>
      <c r="D1931" s="2" t="s">
        <v>16660</v>
      </c>
      <c r="E1931" s="2" t="s">
        <v>16661</v>
      </c>
      <c r="F1931" s="3" t="s">
        <v>10528</v>
      </c>
      <c r="G1931" s="3" t="s">
        <v>62</v>
      </c>
      <c r="I1931" s="3" t="s">
        <v>62</v>
      </c>
      <c r="J1931" s="3" t="s">
        <v>63</v>
      </c>
      <c r="K1931" s="3" t="s">
        <v>64</v>
      </c>
      <c r="L1931" s="2" t="s">
        <v>16545</v>
      </c>
      <c r="M1931" s="2" t="s">
        <v>16662</v>
      </c>
      <c r="N1931" s="3" t="s">
        <v>2225</v>
      </c>
      <c r="P1931" s="3" t="s">
        <v>90</v>
      </c>
      <c r="R1931" s="3" t="s">
        <v>67</v>
      </c>
      <c r="S1931" s="4">
        <v>0</v>
      </c>
      <c r="T1931" s="4">
        <v>37</v>
      </c>
      <c r="V1931" s="5" t="s">
        <v>16663</v>
      </c>
      <c r="W1931" s="5" t="s">
        <v>69</v>
      </c>
      <c r="X1931" s="5" t="s">
        <v>69</v>
      </c>
      <c r="Y1931" s="4">
        <v>196</v>
      </c>
      <c r="Z1931" s="4">
        <v>7</v>
      </c>
      <c r="AA1931" s="4">
        <v>15</v>
      </c>
      <c r="AB1931" s="4">
        <v>1</v>
      </c>
      <c r="AC1931" s="4">
        <v>1</v>
      </c>
      <c r="AD1931" s="4">
        <v>82</v>
      </c>
      <c r="AE1931" s="4">
        <v>100</v>
      </c>
      <c r="AF1931" s="4">
        <v>0</v>
      </c>
      <c r="AG1931" s="4">
        <v>0</v>
      </c>
      <c r="AH1931" s="4">
        <v>76</v>
      </c>
      <c r="AI1931" s="4">
        <v>91</v>
      </c>
      <c r="AJ1931" s="4">
        <v>6</v>
      </c>
      <c r="AK1931" s="4">
        <v>13</v>
      </c>
      <c r="AL1931" s="4">
        <v>49</v>
      </c>
      <c r="AM1931" s="4">
        <v>54</v>
      </c>
      <c r="AN1931" s="4">
        <v>0</v>
      </c>
      <c r="AO1931" s="4">
        <v>0</v>
      </c>
      <c r="AP1931" s="4">
        <v>6</v>
      </c>
      <c r="AQ1931" s="4">
        <v>13</v>
      </c>
      <c r="AR1931" s="3" t="s">
        <v>63</v>
      </c>
      <c r="AS1931" s="3" t="s">
        <v>63</v>
      </c>
      <c r="AT1931" s="3" t="s">
        <v>62</v>
      </c>
      <c r="AU1931" s="6" t="str">
        <f>HYPERLINK("http://catalog.hathitrust.org/Record/001848701","HathiTrust Record")</f>
        <v>HathiTrust Record</v>
      </c>
      <c r="AV1931" s="6" t="str">
        <f>HYPERLINK("http://mcgill.on.worldcat.org/oclc/2683732","Catalog Record")</f>
        <v>Catalog Record</v>
      </c>
      <c r="AW1931" s="6" t="str">
        <f>HYPERLINK("http://www.worldcat.org/oclc/2683732","WorldCat Record")</f>
        <v>WorldCat Record</v>
      </c>
      <c r="AX1931" s="3" t="s">
        <v>16664</v>
      </c>
      <c r="AY1931" s="3" t="s">
        <v>16665</v>
      </c>
      <c r="AZ1931" s="3" t="s">
        <v>16666</v>
      </c>
      <c r="BA1931" s="3" t="s">
        <v>16666</v>
      </c>
      <c r="BB1931" s="3" t="s">
        <v>16712</v>
      </c>
      <c r="BC1931" s="3" t="s">
        <v>82</v>
      </c>
      <c r="BD1931" s="3" t="s">
        <v>70</v>
      </c>
      <c r="BF1931" s="3" t="s">
        <v>16712</v>
      </c>
      <c r="BG1931" s="3" t="s">
        <v>16713</v>
      </c>
    </row>
    <row r="1932" spans="1:59" ht="75" x14ac:dyDescent="0.25">
      <c r="A1932" s="2" t="s">
        <v>59</v>
      </c>
      <c r="B1932" s="2" t="s">
        <v>60</v>
      </c>
      <c r="C1932" s="2" t="s">
        <v>16659</v>
      </c>
      <c r="D1932" s="2" t="s">
        <v>16660</v>
      </c>
      <c r="E1932" s="2" t="s">
        <v>16661</v>
      </c>
      <c r="F1932" s="3" t="s">
        <v>1105</v>
      </c>
      <c r="G1932" s="3" t="s">
        <v>62</v>
      </c>
      <c r="I1932" s="3" t="s">
        <v>62</v>
      </c>
      <c r="J1932" s="3" t="s">
        <v>63</v>
      </c>
      <c r="K1932" s="3" t="s">
        <v>64</v>
      </c>
      <c r="L1932" s="2" t="s">
        <v>16545</v>
      </c>
      <c r="M1932" s="2" t="s">
        <v>16662</v>
      </c>
      <c r="N1932" s="3" t="s">
        <v>2225</v>
      </c>
      <c r="P1932" s="3" t="s">
        <v>90</v>
      </c>
      <c r="R1932" s="3" t="s">
        <v>67</v>
      </c>
      <c r="S1932" s="4">
        <v>0</v>
      </c>
      <c r="T1932" s="4">
        <v>37</v>
      </c>
      <c r="V1932" s="5" t="s">
        <v>16663</v>
      </c>
      <c r="W1932" s="5" t="s">
        <v>69</v>
      </c>
      <c r="X1932" s="5" t="s">
        <v>69</v>
      </c>
      <c r="Y1932" s="4">
        <v>196</v>
      </c>
      <c r="Z1932" s="4">
        <v>7</v>
      </c>
      <c r="AA1932" s="4">
        <v>15</v>
      </c>
      <c r="AB1932" s="4">
        <v>1</v>
      </c>
      <c r="AC1932" s="4">
        <v>1</v>
      </c>
      <c r="AD1932" s="4">
        <v>82</v>
      </c>
      <c r="AE1932" s="4">
        <v>100</v>
      </c>
      <c r="AF1932" s="4">
        <v>0</v>
      </c>
      <c r="AG1932" s="4">
        <v>0</v>
      </c>
      <c r="AH1932" s="4">
        <v>76</v>
      </c>
      <c r="AI1932" s="4">
        <v>91</v>
      </c>
      <c r="AJ1932" s="4">
        <v>6</v>
      </c>
      <c r="AK1932" s="4">
        <v>13</v>
      </c>
      <c r="AL1932" s="4">
        <v>49</v>
      </c>
      <c r="AM1932" s="4">
        <v>54</v>
      </c>
      <c r="AN1932" s="4">
        <v>0</v>
      </c>
      <c r="AO1932" s="4">
        <v>0</v>
      </c>
      <c r="AP1932" s="4">
        <v>6</v>
      </c>
      <c r="AQ1932" s="4">
        <v>13</v>
      </c>
      <c r="AR1932" s="3" t="s">
        <v>63</v>
      </c>
      <c r="AS1932" s="3" t="s">
        <v>63</v>
      </c>
      <c r="AT1932" s="3" t="s">
        <v>62</v>
      </c>
      <c r="AU1932" s="6" t="str">
        <f>HYPERLINK("http://catalog.hathitrust.org/Record/001848701","HathiTrust Record")</f>
        <v>HathiTrust Record</v>
      </c>
      <c r="AV1932" s="6" t="str">
        <f>HYPERLINK("http://mcgill.on.worldcat.org/oclc/2683732","Catalog Record")</f>
        <v>Catalog Record</v>
      </c>
      <c r="AW1932" s="6" t="str">
        <f>HYPERLINK("http://www.worldcat.org/oclc/2683732","WorldCat Record")</f>
        <v>WorldCat Record</v>
      </c>
      <c r="AX1932" s="3" t="s">
        <v>16664</v>
      </c>
      <c r="AY1932" s="3" t="s">
        <v>16665</v>
      </c>
      <c r="AZ1932" s="3" t="s">
        <v>16666</v>
      </c>
      <c r="BA1932" s="3" t="s">
        <v>16666</v>
      </c>
      <c r="BB1932" s="3" t="s">
        <v>16714</v>
      </c>
      <c r="BC1932" s="3" t="s">
        <v>82</v>
      </c>
      <c r="BD1932" s="3" t="s">
        <v>70</v>
      </c>
      <c r="BF1932" s="3" t="s">
        <v>16714</v>
      </c>
      <c r="BG1932" s="3" t="s">
        <v>16715</v>
      </c>
    </row>
    <row r="1933" spans="1:59" ht="75" x14ac:dyDescent="0.25">
      <c r="A1933" s="2" t="s">
        <v>59</v>
      </c>
      <c r="B1933" s="2" t="s">
        <v>60</v>
      </c>
      <c r="C1933" s="2" t="s">
        <v>16659</v>
      </c>
      <c r="D1933" s="2" t="s">
        <v>16660</v>
      </c>
      <c r="E1933" s="2" t="s">
        <v>16661</v>
      </c>
      <c r="F1933" s="3" t="s">
        <v>1390</v>
      </c>
      <c r="G1933" s="3" t="s">
        <v>62</v>
      </c>
      <c r="I1933" s="3" t="s">
        <v>62</v>
      </c>
      <c r="J1933" s="3" t="s">
        <v>63</v>
      </c>
      <c r="K1933" s="3" t="s">
        <v>64</v>
      </c>
      <c r="L1933" s="2" t="s">
        <v>16545</v>
      </c>
      <c r="M1933" s="2" t="s">
        <v>16662</v>
      </c>
      <c r="N1933" s="3" t="s">
        <v>2225</v>
      </c>
      <c r="P1933" s="3" t="s">
        <v>90</v>
      </c>
      <c r="R1933" s="3" t="s">
        <v>67</v>
      </c>
      <c r="S1933" s="4">
        <v>2</v>
      </c>
      <c r="T1933" s="4">
        <v>37</v>
      </c>
      <c r="U1933" s="5" t="s">
        <v>15137</v>
      </c>
      <c r="V1933" s="5" t="s">
        <v>16663</v>
      </c>
      <c r="W1933" s="5" t="s">
        <v>69</v>
      </c>
      <c r="X1933" s="5" t="s">
        <v>69</v>
      </c>
      <c r="Y1933" s="4">
        <v>196</v>
      </c>
      <c r="Z1933" s="4">
        <v>7</v>
      </c>
      <c r="AA1933" s="4">
        <v>15</v>
      </c>
      <c r="AB1933" s="4">
        <v>1</v>
      </c>
      <c r="AC1933" s="4">
        <v>1</v>
      </c>
      <c r="AD1933" s="4">
        <v>82</v>
      </c>
      <c r="AE1933" s="4">
        <v>100</v>
      </c>
      <c r="AF1933" s="4">
        <v>0</v>
      </c>
      <c r="AG1933" s="4">
        <v>0</v>
      </c>
      <c r="AH1933" s="4">
        <v>76</v>
      </c>
      <c r="AI1933" s="4">
        <v>91</v>
      </c>
      <c r="AJ1933" s="4">
        <v>6</v>
      </c>
      <c r="AK1933" s="4">
        <v>13</v>
      </c>
      <c r="AL1933" s="4">
        <v>49</v>
      </c>
      <c r="AM1933" s="4">
        <v>54</v>
      </c>
      <c r="AN1933" s="4">
        <v>0</v>
      </c>
      <c r="AO1933" s="4">
        <v>0</v>
      </c>
      <c r="AP1933" s="4">
        <v>6</v>
      </c>
      <c r="AQ1933" s="4">
        <v>13</v>
      </c>
      <c r="AR1933" s="3" t="s">
        <v>63</v>
      </c>
      <c r="AS1933" s="3" t="s">
        <v>63</v>
      </c>
      <c r="AT1933" s="3" t="s">
        <v>62</v>
      </c>
      <c r="AU1933" s="6" t="str">
        <f>HYPERLINK("http://catalog.hathitrust.org/Record/001848701","HathiTrust Record")</f>
        <v>HathiTrust Record</v>
      </c>
      <c r="AV1933" s="6" t="str">
        <f>HYPERLINK("http://mcgill.on.worldcat.org/oclc/2683732","Catalog Record")</f>
        <v>Catalog Record</v>
      </c>
      <c r="AW1933" s="6" t="str">
        <f>HYPERLINK("http://www.worldcat.org/oclc/2683732","WorldCat Record")</f>
        <v>WorldCat Record</v>
      </c>
      <c r="AX1933" s="3" t="s">
        <v>16664</v>
      </c>
      <c r="AY1933" s="3" t="s">
        <v>16665</v>
      </c>
      <c r="AZ1933" s="3" t="s">
        <v>16666</v>
      </c>
      <c r="BA1933" s="3" t="s">
        <v>16666</v>
      </c>
      <c r="BB1933" s="3" t="s">
        <v>16716</v>
      </c>
      <c r="BC1933" s="3" t="s">
        <v>82</v>
      </c>
      <c r="BD1933" s="3" t="s">
        <v>70</v>
      </c>
      <c r="BF1933" s="3" t="s">
        <v>16716</v>
      </c>
      <c r="BG1933" s="3" t="s">
        <v>16717</v>
      </c>
    </row>
    <row r="1934" spans="1:59" ht="75" x14ac:dyDescent="0.25">
      <c r="A1934" s="2" t="s">
        <v>59</v>
      </c>
      <c r="B1934" s="2" t="s">
        <v>60</v>
      </c>
      <c r="C1934" s="2" t="s">
        <v>16659</v>
      </c>
      <c r="D1934" s="2" t="s">
        <v>16660</v>
      </c>
      <c r="E1934" s="2" t="s">
        <v>16661</v>
      </c>
      <c r="F1934" s="3" t="s">
        <v>16718</v>
      </c>
      <c r="G1934" s="3" t="s">
        <v>62</v>
      </c>
      <c r="I1934" s="3" t="s">
        <v>62</v>
      </c>
      <c r="J1934" s="3" t="s">
        <v>63</v>
      </c>
      <c r="K1934" s="3" t="s">
        <v>64</v>
      </c>
      <c r="L1934" s="2" t="s">
        <v>16545</v>
      </c>
      <c r="M1934" s="2" t="s">
        <v>16662</v>
      </c>
      <c r="N1934" s="3" t="s">
        <v>2225</v>
      </c>
      <c r="P1934" s="3" t="s">
        <v>90</v>
      </c>
      <c r="R1934" s="3" t="s">
        <v>67</v>
      </c>
      <c r="S1934" s="4">
        <v>0</v>
      </c>
      <c r="T1934" s="4">
        <v>37</v>
      </c>
      <c r="V1934" s="5" t="s">
        <v>16663</v>
      </c>
      <c r="W1934" s="5" t="s">
        <v>69</v>
      </c>
      <c r="X1934" s="5" t="s">
        <v>69</v>
      </c>
      <c r="Y1934" s="4">
        <v>196</v>
      </c>
      <c r="Z1934" s="4">
        <v>7</v>
      </c>
      <c r="AA1934" s="4">
        <v>15</v>
      </c>
      <c r="AB1934" s="4">
        <v>1</v>
      </c>
      <c r="AC1934" s="4">
        <v>1</v>
      </c>
      <c r="AD1934" s="4">
        <v>82</v>
      </c>
      <c r="AE1934" s="4">
        <v>100</v>
      </c>
      <c r="AF1934" s="4">
        <v>0</v>
      </c>
      <c r="AG1934" s="4">
        <v>0</v>
      </c>
      <c r="AH1934" s="4">
        <v>76</v>
      </c>
      <c r="AI1934" s="4">
        <v>91</v>
      </c>
      <c r="AJ1934" s="4">
        <v>6</v>
      </c>
      <c r="AK1934" s="4">
        <v>13</v>
      </c>
      <c r="AL1934" s="4">
        <v>49</v>
      </c>
      <c r="AM1934" s="4">
        <v>54</v>
      </c>
      <c r="AN1934" s="4">
        <v>0</v>
      </c>
      <c r="AO1934" s="4">
        <v>0</v>
      </c>
      <c r="AP1934" s="4">
        <v>6</v>
      </c>
      <c r="AQ1934" s="4">
        <v>13</v>
      </c>
      <c r="AR1934" s="3" t="s">
        <v>63</v>
      </c>
      <c r="AS1934" s="3" t="s">
        <v>63</v>
      </c>
      <c r="AT1934" s="3" t="s">
        <v>62</v>
      </c>
      <c r="AU1934" s="6" t="str">
        <f>HYPERLINK("http://catalog.hathitrust.org/Record/001848701","HathiTrust Record")</f>
        <v>HathiTrust Record</v>
      </c>
      <c r="AV1934" s="6" t="str">
        <f>HYPERLINK("http://mcgill.on.worldcat.org/oclc/2683732","Catalog Record")</f>
        <v>Catalog Record</v>
      </c>
      <c r="AW1934" s="6" t="str">
        <f>HYPERLINK("http://www.worldcat.org/oclc/2683732","WorldCat Record")</f>
        <v>WorldCat Record</v>
      </c>
      <c r="AX1934" s="3" t="s">
        <v>16664</v>
      </c>
      <c r="AY1934" s="3" t="s">
        <v>16665</v>
      </c>
      <c r="AZ1934" s="3" t="s">
        <v>16666</v>
      </c>
      <c r="BA1934" s="3" t="s">
        <v>16666</v>
      </c>
      <c r="BB1934" s="3" t="s">
        <v>16719</v>
      </c>
      <c r="BC1934" s="3" t="s">
        <v>82</v>
      </c>
      <c r="BD1934" s="3" t="s">
        <v>70</v>
      </c>
      <c r="BF1934" s="3" t="s">
        <v>16719</v>
      </c>
      <c r="BG1934" s="3" t="s">
        <v>16720</v>
      </c>
    </row>
    <row r="1935" spans="1:59" ht="75" x14ac:dyDescent="0.25">
      <c r="A1935" s="2" t="s">
        <v>59</v>
      </c>
      <c r="B1935" s="2" t="s">
        <v>60</v>
      </c>
      <c r="C1935" s="2" t="s">
        <v>16659</v>
      </c>
      <c r="D1935" s="2" t="s">
        <v>16660</v>
      </c>
      <c r="E1935" s="2" t="s">
        <v>16661</v>
      </c>
      <c r="F1935" s="3" t="s">
        <v>16721</v>
      </c>
      <c r="G1935" s="3" t="s">
        <v>62</v>
      </c>
      <c r="I1935" s="3" t="s">
        <v>62</v>
      </c>
      <c r="J1935" s="3" t="s">
        <v>63</v>
      </c>
      <c r="K1935" s="3" t="s">
        <v>64</v>
      </c>
      <c r="L1935" s="2" t="s">
        <v>16545</v>
      </c>
      <c r="M1935" s="2" t="s">
        <v>16662</v>
      </c>
      <c r="N1935" s="3" t="s">
        <v>2225</v>
      </c>
      <c r="P1935" s="3" t="s">
        <v>90</v>
      </c>
      <c r="R1935" s="3" t="s">
        <v>67</v>
      </c>
      <c r="S1935" s="4">
        <v>1</v>
      </c>
      <c r="T1935" s="4">
        <v>37</v>
      </c>
      <c r="U1935" s="5" t="s">
        <v>16722</v>
      </c>
      <c r="V1935" s="5" t="s">
        <v>16663</v>
      </c>
      <c r="W1935" s="5" t="s">
        <v>69</v>
      </c>
      <c r="X1935" s="5" t="s">
        <v>69</v>
      </c>
      <c r="Y1935" s="4">
        <v>196</v>
      </c>
      <c r="Z1935" s="4">
        <v>7</v>
      </c>
      <c r="AA1935" s="4">
        <v>15</v>
      </c>
      <c r="AB1935" s="4">
        <v>1</v>
      </c>
      <c r="AC1935" s="4">
        <v>1</v>
      </c>
      <c r="AD1935" s="4">
        <v>82</v>
      </c>
      <c r="AE1935" s="4">
        <v>100</v>
      </c>
      <c r="AF1935" s="4">
        <v>0</v>
      </c>
      <c r="AG1935" s="4">
        <v>0</v>
      </c>
      <c r="AH1935" s="4">
        <v>76</v>
      </c>
      <c r="AI1935" s="4">
        <v>91</v>
      </c>
      <c r="AJ1935" s="4">
        <v>6</v>
      </c>
      <c r="AK1935" s="4">
        <v>13</v>
      </c>
      <c r="AL1935" s="4">
        <v>49</v>
      </c>
      <c r="AM1935" s="4">
        <v>54</v>
      </c>
      <c r="AN1935" s="4">
        <v>0</v>
      </c>
      <c r="AO1935" s="4">
        <v>0</v>
      </c>
      <c r="AP1935" s="4">
        <v>6</v>
      </c>
      <c r="AQ1935" s="4">
        <v>13</v>
      </c>
      <c r="AR1935" s="3" t="s">
        <v>63</v>
      </c>
      <c r="AS1935" s="3" t="s">
        <v>63</v>
      </c>
      <c r="AT1935" s="3" t="s">
        <v>62</v>
      </c>
      <c r="AU1935" s="6" t="str">
        <f>HYPERLINK("http://catalog.hathitrust.org/Record/001848701","HathiTrust Record")</f>
        <v>HathiTrust Record</v>
      </c>
      <c r="AV1935" s="6" t="str">
        <f>HYPERLINK("http://mcgill.on.worldcat.org/oclc/2683732","Catalog Record")</f>
        <v>Catalog Record</v>
      </c>
      <c r="AW1935" s="6" t="str">
        <f>HYPERLINK("http://www.worldcat.org/oclc/2683732","WorldCat Record")</f>
        <v>WorldCat Record</v>
      </c>
      <c r="AX1935" s="3" t="s">
        <v>16664</v>
      </c>
      <c r="AY1935" s="3" t="s">
        <v>16665</v>
      </c>
      <c r="AZ1935" s="3" t="s">
        <v>16666</v>
      </c>
      <c r="BA1935" s="3" t="s">
        <v>16666</v>
      </c>
      <c r="BB1935" s="3" t="s">
        <v>16723</v>
      </c>
      <c r="BC1935" s="3" t="s">
        <v>82</v>
      </c>
      <c r="BD1935" s="3" t="s">
        <v>70</v>
      </c>
      <c r="BF1935" s="3" t="s">
        <v>16723</v>
      </c>
      <c r="BG1935" s="3" t="s">
        <v>16724</v>
      </c>
    </row>
    <row r="1936" spans="1:59" ht="75" x14ac:dyDescent="0.25">
      <c r="A1936" s="2" t="s">
        <v>59</v>
      </c>
      <c r="B1936" s="2" t="s">
        <v>60</v>
      </c>
      <c r="C1936" s="2" t="s">
        <v>16659</v>
      </c>
      <c r="D1936" s="2" t="s">
        <v>16660</v>
      </c>
      <c r="E1936" s="2" t="s">
        <v>16661</v>
      </c>
      <c r="F1936" s="3" t="s">
        <v>15352</v>
      </c>
      <c r="G1936" s="3" t="s">
        <v>62</v>
      </c>
      <c r="I1936" s="3" t="s">
        <v>62</v>
      </c>
      <c r="J1936" s="3" t="s">
        <v>63</v>
      </c>
      <c r="K1936" s="3" t="s">
        <v>64</v>
      </c>
      <c r="L1936" s="2" t="s">
        <v>16545</v>
      </c>
      <c r="M1936" s="2" t="s">
        <v>16662</v>
      </c>
      <c r="N1936" s="3" t="s">
        <v>2225</v>
      </c>
      <c r="P1936" s="3" t="s">
        <v>90</v>
      </c>
      <c r="R1936" s="3" t="s">
        <v>67</v>
      </c>
      <c r="S1936" s="4">
        <v>0</v>
      </c>
      <c r="T1936" s="4">
        <v>37</v>
      </c>
      <c r="V1936" s="5" t="s">
        <v>16663</v>
      </c>
      <c r="W1936" s="5" t="s">
        <v>69</v>
      </c>
      <c r="X1936" s="5" t="s">
        <v>69</v>
      </c>
      <c r="Y1936" s="4">
        <v>196</v>
      </c>
      <c r="Z1936" s="4">
        <v>7</v>
      </c>
      <c r="AA1936" s="4">
        <v>15</v>
      </c>
      <c r="AB1936" s="4">
        <v>1</v>
      </c>
      <c r="AC1936" s="4">
        <v>1</v>
      </c>
      <c r="AD1936" s="4">
        <v>82</v>
      </c>
      <c r="AE1936" s="4">
        <v>100</v>
      </c>
      <c r="AF1936" s="4">
        <v>0</v>
      </c>
      <c r="AG1936" s="4">
        <v>0</v>
      </c>
      <c r="AH1936" s="4">
        <v>76</v>
      </c>
      <c r="AI1936" s="4">
        <v>91</v>
      </c>
      <c r="AJ1936" s="4">
        <v>6</v>
      </c>
      <c r="AK1936" s="4">
        <v>13</v>
      </c>
      <c r="AL1936" s="4">
        <v>49</v>
      </c>
      <c r="AM1936" s="4">
        <v>54</v>
      </c>
      <c r="AN1936" s="4">
        <v>0</v>
      </c>
      <c r="AO1936" s="4">
        <v>0</v>
      </c>
      <c r="AP1936" s="4">
        <v>6</v>
      </c>
      <c r="AQ1936" s="4">
        <v>13</v>
      </c>
      <c r="AR1936" s="3" t="s">
        <v>63</v>
      </c>
      <c r="AS1936" s="3" t="s">
        <v>63</v>
      </c>
      <c r="AT1936" s="3" t="s">
        <v>62</v>
      </c>
      <c r="AU1936" s="6" t="str">
        <f>HYPERLINK("http://catalog.hathitrust.org/Record/001848701","HathiTrust Record")</f>
        <v>HathiTrust Record</v>
      </c>
      <c r="AV1936" s="6" t="str">
        <f>HYPERLINK("http://mcgill.on.worldcat.org/oclc/2683732","Catalog Record")</f>
        <v>Catalog Record</v>
      </c>
      <c r="AW1936" s="6" t="str">
        <f>HYPERLINK("http://www.worldcat.org/oclc/2683732","WorldCat Record")</f>
        <v>WorldCat Record</v>
      </c>
      <c r="AX1936" s="3" t="s">
        <v>16664</v>
      </c>
      <c r="AY1936" s="3" t="s">
        <v>16665</v>
      </c>
      <c r="AZ1936" s="3" t="s">
        <v>16666</v>
      </c>
      <c r="BA1936" s="3" t="s">
        <v>16666</v>
      </c>
      <c r="BB1936" s="3" t="s">
        <v>16725</v>
      </c>
      <c r="BC1936" s="3" t="s">
        <v>82</v>
      </c>
      <c r="BD1936" s="3" t="s">
        <v>70</v>
      </c>
      <c r="BF1936" s="3" t="s">
        <v>16725</v>
      </c>
      <c r="BG1936" s="3" t="s">
        <v>16726</v>
      </c>
    </row>
    <row r="1937" spans="1:59" ht="75" x14ac:dyDescent="0.25">
      <c r="A1937" s="2" t="s">
        <v>59</v>
      </c>
      <c r="B1937" s="2" t="s">
        <v>60</v>
      </c>
      <c r="C1937" s="2" t="s">
        <v>16659</v>
      </c>
      <c r="D1937" s="2" t="s">
        <v>16660</v>
      </c>
      <c r="E1937" s="2" t="s">
        <v>16661</v>
      </c>
      <c r="F1937" s="3" t="s">
        <v>1095</v>
      </c>
      <c r="G1937" s="3" t="s">
        <v>62</v>
      </c>
      <c r="I1937" s="3" t="s">
        <v>62</v>
      </c>
      <c r="J1937" s="3" t="s">
        <v>63</v>
      </c>
      <c r="K1937" s="3" t="s">
        <v>64</v>
      </c>
      <c r="L1937" s="2" t="s">
        <v>16545</v>
      </c>
      <c r="M1937" s="2" t="s">
        <v>16662</v>
      </c>
      <c r="N1937" s="3" t="s">
        <v>2225</v>
      </c>
      <c r="P1937" s="3" t="s">
        <v>90</v>
      </c>
      <c r="R1937" s="3" t="s">
        <v>67</v>
      </c>
      <c r="S1937" s="4">
        <v>2</v>
      </c>
      <c r="T1937" s="4">
        <v>37</v>
      </c>
      <c r="U1937" s="5" t="s">
        <v>16722</v>
      </c>
      <c r="V1937" s="5" t="s">
        <v>16663</v>
      </c>
      <c r="W1937" s="5" t="s">
        <v>69</v>
      </c>
      <c r="X1937" s="5" t="s">
        <v>69</v>
      </c>
      <c r="Y1937" s="4">
        <v>196</v>
      </c>
      <c r="Z1937" s="4">
        <v>7</v>
      </c>
      <c r="AA1937" s="4">
        <v>15</v>
      </c>
      <c r="AB1937" s="4">
        <v>1</v>
      </c>
      <c r="AC1937" s="4">
        <v>1</v>
      </c>
      <c r="AD1937" s="4">
        <v>82</v>
      </c>
      <c r="AE1937" s="4">
        <v>100</v>
      </c>
      <c r="AF1937" s="4">
        <v>0</v>
      </c>
      <c r="AG1937" s="4">
        <v>0</v>
      </c>
      <c r="AH1937" s="4">
        <v>76</v>
      </c>
      <c r="AI1937" s="4">
        <v>91</v>
      </c>
      <c r="AJ1937" s="4">
        <v>6</v>
      </c>
      <c r="AK1937" s="4">
        <v>13</v>
      </c>
      <c r="AL1937" s="4">
        <v>49</v>
      </c>
      <c r="AM1937" s="4">
        <v>54</v>
      </c>
      <c r="AN1937" s="4">
        <v>0</v>
      </c>
      <c r="AO1937" s="4">
        <v>0</v>
      </c>
      <c r="AP1937" s="4">
        <v>6</v>
      </c>
      <c r="AQ1937" s="4">
        <v>13</v>
      </c>
      <c r="AR1937" s="3" t="s">
        <v>63</v>
      </c>
      <c r="AS1937" s="3" t="s">
        <v>63</v>
      </c>
      <c r="AT1937" s="3" t="s">
        <v>62</v>
      </c>
      <c r="AU1937" s="6" t="str">
        <f>HYPERLINK("http://catalog.hathitrust.org/Record/001848701","HathiTrust Record")</f>
        <v>HathiTrust Record</v>
      </c>
      <c r="AV1937" s="6" t="str">
        <f>HYPERLINK("http://mcgill.on.worldcat.org/oclc/2683732","Catalog Record")</f>
        <v>Catalog Record</v>
      </c>
      <c r="AW1937" s="6" t="str">
        <f>HYPERLINK("http://www.worldcat.org/oclc/2683732","WorldCat Record")</f>
        <v>WorldCat Record</v>
      </c>
      <c r="AX1937" s="3" t="s">
        <v>16664</v>
      </c>
      <c r="AY1937" s="3" t="s">
        <v>16665</v>
      </c>
      <c r="AZ1937" s="3" t="s">
        <v>16666</v>
      </c>
      <c r="BA1937" s="3" t="s">
        <v>16666</v>
      </c>
      <c r="BB1937" s="3" t="s">
        <v>16727</v>
      </c>
      <c r="BC1937" s="3" t="s">
        <v>82</v>
      </c>
      <c r="BD1937" s="3" t="s">
        <v>70</v>
      </c>
      <c r="BF1937" s="3" t="s">
        <v>16727</v>
      </c>
      <c r="BG1937" s="3" t="s">
        <v>16728</v>
      </c>
    </row>
    <row r="1938" spans="1:59" ht="75" x14ac:dyDescent="0.25">
      <c r="A1938" s="2" t="s">
        <v>59</v>
      </c>
      <c r="B1938" s="2" t="s">
        <v>60</v>
      </c>
      <c r="C1938" s="2" t="s">
        <v>16659</v>
      </c>
      <c r="D1938" s="2" t="s">
        <v>16660</v>
      </c>
      <c r="E1938" s="2" t="s">
        <v>16661</v>
      </c>
      <c r="F1938" s="3" t="s">
        <v>1395</v>
      </c>
      <c r="G1938" s="3" t="s">
        <v>62</v>
      </c>
      <c r="I1938" s="3" t="s">
        <v>62</v>
      </c>
      <c r="J1938" s="3" t="s">
        <v>63</v>
      </c>
      <c r="K1938" s="3" t="s">
        <v>64</v>
      </c>
      <c r="L1938" s="2" t="s">
        <v>16545</v>
      </c>
      <c r="M1938" s="2" t="s">
        <v>16662</v>
      </c>
      <c r="N1938" s="3" t="s">
        <v>2225</v>
      </c>
      <c r="P1938" s="3" t="s">
        <v>90</v>
      </c>
      <c r="R1938" s="3" t="s">
        <v>67</v>
      </c>
      <c r="S1938" s="4">
        <v>7</v>
      </c>
      <c r="T1938" s="4">
        <v>37</v>
      </c>
      <c r="U1938" s="5" t="s">
        <v>15148</v>
      </c>
      <c r="V1938" s="5" t="s">
        <v>16663</v>
      </c>
      <c r="W1938" s="5" t="s">
        <v>69</v>
      </c>
      <c r="X1938" s="5" t="s">
        <v>69</v>
      </c>
      <c r="Y1938" s="4">
        <v>196</v>
      </c>
      <c r="Z1938" s="4">
        <v>7</v>
      </c>
      <c r="AA1938" s="4">
        <v>15</v>
      </c>
      <c r="AB1938" s="4">
        <v>1</v>
      </c>
      <c r="AC1938" s="4">
        <v>1</v>
      </c>
      <c r="AD1938" s="4">
        <v>82</v>
      </c>
      <c r="AE1938" s="4">
        <v>100</v>
      </c>
      <c r="AF1938" s="4">
        <v>0</v>
      </c>
      <c r="AG1938" s="4">
        <v>0</v>
      </c>
      <c r="AH1938" s="4">
        <v>76</v>
      </c>
      <c r="AI1938" s="4">
        <v>91</v>
      </c>
      <c r="AJ1938" s="4">
        <v>6</v>
      </c>
      <c r="AK1938" s="4">
        <v>13</v>
      </c>
      <c r="AL1938" s="4">
        <v>49</v>
      </c>
      <c r="AM1938" s="4">
        <v>54</v>
      </c>
      <c r="AN1938" s="4">
        <v>0</v>
      </c>
      <c r="AO1938" s="4">
        <v>0</v>
      </c>
      <c r="AP1938" s="4">
        <v>6</v>
      </c>
      <c r="AQ1938" s="4">
        <v>13</v>
      </c>
      <c r="AR1938" s="3" t="s">
        <v>63</v>
      </c>
      <c r="AS1938" s="3" t="s">
        <v>63</v>
      </c>
      <c r="AT1938" s="3" t="s">
        <v>62</v>
      </c>
      <c r="AU1938" s="6" t="str">
        <f>HYPERLINK("http://catalog.hathitrust.org/Record/001848701","HathiTrust Record")</f>
        <v>HathiTrust Record</v>
      </c>
      <c r="AV1938" s="6" t="str">
        <f>HYPERLINK("http://mcgill.on.worldcat.org/oclc/2683732","Catalog Record")</f>
        <v>Catalog Record</v>
      </c>
      <c r="AW1938" s="6" t="str">
        <f>HYPERLINK("http://www.worldcat.org/oclc/2683732","WorldCat Record")</f>
        <v>WorldCat Record</v>
      </c>
      <c r="AX1938" s="3" t="s">
        <v>16664</v>
      </c>
      <c r="AY1938" s="3" t="s">
        <v>16665</v>
      </c>
      <c r="AZ1938" s="3" t="s">
        <v>16666</v>
      </c>
      <c r="BA1938" s="3" t="s">
        <v>16666</v>
      </c>
      <c r="BB1938" s="3" t="s">
        <v>16729</v>
      </c>
      <c r="BC1938" s="3" t="s">
        <v>82</v>
      </c>
      <c r="BD1938" s="3" t="s">
        <v>70</v>
      </c>
      <c r="BF1938" s="3" t="s">
        <v>16729</v>
      </c>
      <c r="BG1938" s="3" t="s">
        <v>16730</v>
      </c>
    </row>
    <row r="1939" spans="1:59" ht="75" x14ac:dyDescent="0.25">
      <c r="A1939" s="2" t="s">
        <v>59</v>
      </c>
      <c r="B1939" s="2" t="s">
        <v>60</v>
      </c>
      <c r="C1939" s="2" t="s">
        <v>16659</v>
      </c>
      <c r="D1939" s="2" t="s">
        <v>16660</v>
      </c>
      <c r="E1939" s="2" t="s">
        <v>16661</v>
      </c>
      <c r="F1939" s="3" t="s">
        <v>15330</v>
      </c>
      <c r="G1939" s="3" t="s">
        <v>62</v>
      </c>
      <c r="I1939" s="3" t="s">
        <v>62</v>
      </c>
      <c r="J1939" s="3" t="s">
        <v>63</v>
      </c>
      <c r="K1939" s="3" t="s">
        <v>64</v>
      </c>
      <c r="L1939" s="2" t="s">
        <v>16545</v>
      </c>
      <c r="M1939" s="2" t="s">
        <v>16662</v>
      </c>
      <c r="N1939" s="3" t="s">
        <v>2225</v>
      </c>
      <c r="P1939" s="3" t="s">
        <v>90</v>
      </c>
      <c r="R1939" s="3" t="s">
        <v>67</v>
      </c>
      <c r="S1939" s="4">
        <v>2</v>
      </c>
      <c r="T1939" s="4">
        <v>37</v>
      </c>
      <c r="U1939" s="5" t="s">
        <v>12050</v>
      </c>
      <c r="V1939" s="5" t="s">
        <v>16663</v>
      </c>
      <c r="W1939" s="5" t="s">
        <v>69</v>
      </c>
      <c r="X1939" s="5" t="s">
        <v>69</v>
      </c>
      <c r="Y1939" s="4">
        <v>196</v>
      </c>
      <c r="Z1939" s="4">
        <v>7</v>
      </c>
      <c r="AA1939" s="4">
        <v>15</v>
      </c>
      <c r="AB1939" s="4">
        <v>1</v>
      </c>
      <c r="AC1939" s="4">
        <v>1</v>
      </c>
      <c r="AD1939" s="4">
        <v>82</v>
      </c>
      <c r="AE1939" s="4">
        <v>100</v>
      </c>
      <c r="AF1939" s="4">
        <v>0</v>
      </c>
      <c r="AG1939" s="4">
        <v>0</v>
      </c>
      <c r="AH1939" s="4">
        <v>76</v>
      </c>
      <c r="AI1939" s="4">
        <v>91</v>
      </c>
      <c r="AJ1939" s="4">
        <v>6</v>
      </c>
      <c r="AK1939" s="4">
        <v>13</v>
      </c>
      <c r="AL1939" s="4">
        <v>49</v>
      </c>
      <c r="AM1939" s="4">
        <v>54</v>
      </c>
      <c r="AN1939" s="4">
        <v>0</v>
      </c>
      <c r="AO1939" s="4">
        <v>0</v>
      </c>
      <c r="AP1939" s="4">
        <v>6</v>
      </c>
      <c r="AQ1939" s="4">
        <v>13</v>
      </c>
      <c r="AR1939" s="3" t="s">
        <v>63</v>
      </c>
      <c r="AS1939" s="3" t="s">
        <v>63</v>
      </c>
      <c r="AT1939" s="3" t="s">
        <v>62</v>
      </c>
      <c r="AU1939" s="6" t="str">
        <f>HYPERLINK("http://catalog.hathitrust.org/Record/001848701","HathiTrust Record")</f>
        <v>HathiTrust Record</v>
      </c>
      <c r="AV1939" s="6" t="str">
        <f>HYPERLINK("http://mcgill.on.worldcat.org/oclc/2683732","Catalog Record")</f>
        <v>Catalog Record</v>
      </c>
      <c r="AW1939" s="6" t="str">
        <f>HYPERLINK("http://www.worldcat.org/oclc/2683732","WorldCat Record")</f>
        <v>WorldCat Record</v>
      </c>
      <c r="AX1939" s="3" t="s">
        <v>16664</v>
      </c>
      <c r="AY1939" s="3" t="s">
        <v>16665</v>
      </c>
      <c r="AZ1939" s="3" t="s">
        <v>16666</v>
      </c>
      <c r="BA1939" s="3" t="s">
        <v>16666</v>
      </c>
      <c r="BB1939" s="3" t="s">
        <v>16731</v>
      </c>
      <c r="BC1939" s="3" t="s">
        <v>82</v>
      </c>
      <c r="BD1939" s="3" t="s">
        <v>70</v>
      </c>
      <c r="BF1939" s="3" t="s">
        <v>16731</v>
      </c>
      <c r="BG1939" s="3" t="s">
        <v>16732</v>
      </c>
    </row>
    <row r="1940" spans="1:59" ht="75" x14ac:dyDescent="0.25">
      <c r="A1940" s="2" t="s">
        <v>59</v>
      </c>
      <c r="B1940" s="2" t="s">
        <v>60</v>
      </c>
      <c r="C1940" s="2" t="s">
        <v>16659</v>
      </c>
      <c r="D1940" s="2" t="s">
        <v>16660</v>
      </c>
      <c r="E1940" s="2" t="s">
        <v>16661</v>
      </c>
      <c r="F1940" s="3" t="s">
        <v>2601</v>
      </c>
      <c r="G1940" s="3" t="s">
        <v>62</v>
      </c>
      <c r="I1940" s="3" t="s">
        <v>62</v>
      </c>
      <c r="J1940" s="3" t="s">
        <v>63</v>
      </c>
      <c r="K1940" s="3" t="s">
        <v>64</v>
      </c>
      <c r="L1940" s="2" t="s">
        <v>16545</v>
      </c>
      <c r="M1940" s="2" t="s">
        <v>16662</v>
      </c>
      <c r="N1940" s="3" t="s">
        <v>2225</v>
      </c>
      <c r="P1940" s="3" t="s">
        <v>90</v>
      </c>
      <c r="R1940" s="3" t="s">
        <v>67</v>
      </c>
      <c r="S1940" s="4">
        <v>1</v>
      </c>
      <c r="T1940" s="4">
        <v>37</v>
      </c>
      <c r="U1940" s="5" t="s">
        <v>15128</v>
      </c>
      <c r="V1940" s="5" t="s">
        <v>16663</v>
      </c>
      <c r="W1940" s="5" t="s">
        <v>69</v>
      </c>
      <c r="X1940" s="5" t="s">
        <v>69</v>
      </c>
      <c r="Y1940" s="4">
        <v>196</v>
      </c>
      <c r="Z1940" s="4">
        <v>7</v>
      </c>
      <c r="AA1940" s="4">
        <v>15</v>
      </c>
      <c r="AB1940" s="4">
        <v>1</v>
      </c>
      <c r="AC1940" s="4">
        <v>1</v>
      </c>
      <c r="AD1940" s="4">
        <v>82</v>
      </c>
      <c r="AE1940" s="4">
        <v>100</v>
      </c>
      <c r="AF1940" s="4">
        <v>0</v>
      </c>
      <c r="AG1940" s="4">
        <v>0</v>
      </c>
      <c r="AH1940" s="4">
        <v>76</v>
      </c>
      <c r="AI1940" s="4">
        <v>91</v>
      </c>
      <c r="AJ1940" s="4">
        <v>6</v>
      </c>
      <c r="AK1940" s="4">
        <v>13</v>
      </c>
      <c r="AL1940" s="4">
        <v>49</v>
      </c>
      <c r="AM1940" s="4">
        <v>54</v>
      </c>
      <c r="AN1940" s="4">
        <v>0</v>
      </c>
      <c r="AO1940" s="4">
        <v>0</v>
      </c>
      <c r="AP1940" s="4">
        <v>6</v>
      </c>
      <c r="AQ1940" s="4">
        <v>13</v>
      </c>
      <c r="AR1940" s="3" t="s">
        <v>63</v>
      </c>
      <c r="AS1940" s="3" t="s">
        <v>63</v>
      </c>
      <c r="AT1940" s="3" t="s">
        <v>62</v>
      </c>
      <c r="AU1940" s="6" t="str">
        <f>HYPERLINK("http://catalog.hathitrust.org/Record/001848701","HathiTrust Record")</f>
        <v>HathiTrust Record</v>
      </c>
      <c r="AV1940" s="6" t="str">
        <f>HYPERLINK("http://mcgill.on.worldcat.org/oclc/2683732","Catalog Record")</f>
        <v>Catalog Record</v>
      </c>
      <c r="AW1940" s="6" t="str">
        <f>HYPERLINK("http://www.worldcat.org/oclc/2683732","WorldCat Record")</f>
        <v>WorldCat Record</v>
      </c>
      <c r="AX1940" s="3" t="s">
        <v>16664</v>
      </c>
      <c r="AY1940" s="3" t="s">
        <v>16665</v>
      </c>
      <c r="AZ1940" s="3" t="s">
        <v>16666</v>
      </c>
      <c r="BA1940" s="3" t="s">
        <v>16666</v>
      </c>
      <c r="BB1940" s="3" t="s">
        <v>16733</v>
      </c>
      <c r="BC1940" s="3" t="s">
        <v>82</v>
      </c>
      <c r="BD1940" s="3" t="s">
        <v>70</v>
      </c>
      <c r="BF1940" s="3" t="s">
        <v>16733</v>
      </c>
      <c r="BG1940" s="3" t="s">
        <v>16734</v>
      </c>
    </row>
    <row r="1941" spans="1:59" ht="75" x14ac:dyDescent="0.25">
      <c r="A1941" s="2" t="s">
        <v>59</v>
      </c>
      <c r="B1941" s="2" t="s">
        <v>60</v>
      </c>
      <c r="C1941" s="2" t="s">
        <v>16659</v>
      </c>
      <c r="D1941" s="2" t="s">
        <v>16660</v>
      </c>
      <c r="E1941" s="2" t="s">
        <v>16661</v>
      </c>
      <c r="F1941" s="3" t="s">
        <v>15297</v>
      </c>
      <c r="G1941" s="3" t="s">
        <v>62</v>
      </c>
      <c r="I1941" s="3" t="s">
        <v>62</v>
      </c>
      <c r="J1941" s="3" t="s">
        <v>63</v>
      </c>
      <c r="K1941" s="3" t="s">
        <v>64</v>
      </c>
      <c r="L1941" s="2" t="s">
        <v>16545</v>
      </c>
      <c r="M1941" s="2" t="s">
        <v>16662</v>
      </c>
      <c r="N1941" s="3" t="s">
        <v>2225</v>
      </c>
      <c r="P1941" s="3" t="s">
        <v>90</v>
      </c>
      <c r="R1941" s="3" t="s">
        <v>67</v>
      </c>
      <c r="S1941" s="4">
        <v>6</v>
      </c>
      <c r="T1941" s="4">
        <v>37</v>
      </c>
      <c r="U1941" s="5" t="s">
        <v>7280</v>
      </c>
      <c r="V1941" s="5" t="s">
        <v>16663</v>
      </c>
      <c r="W1941" s="5" t="s">
        <v>69</v>
      </c>
      <c r="X1941" s="5" t="s">
        <v>69</v>
      </c>
      <c r="Y1941" s="4">
        <v>196</v>
      </c>
      <c r="Z1941" s="4">
        <v>7</v>
      </c>
      <c r="AA1941" s="4">
        <v>15</v>
      </c>
      <c r="AB1941" s="4">
        <v>1</v>
      </c>
      <c r="AC1941" s="4">
        <v>1</v>
      </c>
      <c r="AD1941" s="4">
        <v>82</v>
      </c>
      <c r="AE1941" s="4">
        <v>100</v>
      </c>
      <c r="AF1941" s="4">
        <v>0</v>
      </c>
      <c r="AG1941" s="4">
        <v>0</v>
      </c>
      <c r="AH1941" s="4">
        <v>76</v>
      </c>
      <c r="AI1941" s="4">
        <v>91</v>
      </c>
      <c r="AJ1941" s="4">
        <v>6</v>
      </c>
      <c r="AK1941" s="4">
        <v>13</v>
      </c>
      <c r="AL1941" s="4">
        <v>49</v>
      </c>
      <c r="AM1941" s="4">
        <v>54</v>
      </c>
      <c r="AN1941" s="4">
        <v>0</v>
      </c>
      <c r="AO1941" s="4">
        <v>0</v>
      </c>
      <c r="AP1941" s="4">
        <v>6</v>
      </c>
      <c r="AQ1941" s="4">
        <v>13</v>
      </c>
      <c r="AR1941" s="3" t="s">
        <v>63</v>
      </c>
      <c r="AS1941" s="3" t="s">
        <v>63</v>
      </c>
      <c r="AT1941" s="3" t="s">
        <v>62</v>
      </c>
      <c r="AU1941" s="6" t="str">
        <f>HYPERLINK("http://catalog.hathitrust.org/Record/001848701","HathiTrust Record")</f>
        <v>HathiTrust Record</v>
      </c>
      <c r="AV1941" s="6" t="str">
        <f>HYPERLINK("http://mcgill.on.worldcat.org/oclc/2683732","Catalog Record")</f>
        <v>Catalog Record</v>
      </c>
      <c r="AW1941" s="6" t="str">
        <f>HYPERLINK("http://www.worldcat.org/oclc/2683732","WorldCat Record")</f>
        <v>WorldCat Record</v>
      </c>
      <c r="AX1941" s="3" t="s">
        <v>16664</v>
      </c>
      <c r="AY1941" s="3" t="s">
        <v>16665</v>
      </c>
      <c r="AZ1941" s="3" t="s">
        <v>16666</v>
      </c>
      <c r="BA1941" s="3" t="s">
        <v>16666</v>
      </c>
      <c r="BB1941" s="3" t="s">
        <v>16735</v>
      </c>
      <c r="BC1941" s="3" t="s">
        <v>82</v>
      </c>
      <c r="BD1941" s="3" t="s">
        <v>70</v>
      </c>
      <c r="BF1941" s="3" t="s">
        <v>16735</v>
      </c>
      <c r="BG1941" s="3" t="s">
        <v>16736</v>
      </c>
    </row>
    <row r="1942" spans="1:59" ht="60" x14ac:dyDescent="0.25">
      <c r="A1942" s="2" t="s">
        <v>59</v>
      </c>
      <c r="B1942" s="2" t="s">
        <v>60</v>
      </c>
      <c r="C1942" s="2" t="s">
        <v>16542</v>
      </c>
      <c r="D1942" s="2" t="s">
        <v>16543</v>
      </c>
      <c r="E1942" s="2" t="s">
        <v>16544</v>
      </c>
      <c r="G1942" s="3" t="s">
        <v>63</v>
      </c>
      <c r="I1942" s="3" t="s">
        <v>63</v>
      </c>
      <c r="J1942" s="3" t="s">
        <v>63</v>
      </c>
      <c r="K1942" s="3" t="s">
        <v>64</v>
      </c>
      <c r="L1942" s="2" t="s">
        <v>16545</v>
      </c>
      <c r="M1942" s="2" t="s">
        <v>16546</v>
      </c>
      <c r="N1942" s="3" t="s">
        <v>65</v>
      </c>
      <c r="P1942" s="3" t="s">
        <v>66</v>
      </c>
      <c r="R1942" s="3" t="s">
        <v>67</v>
      </c>
      <c r="S1942" s="4">
        <v>7</v>
      </c>
      <c r="T1942" s="4">
        <v>7</v>
      </c>
      <c r="U1942" s="5" t="s">
        <v>155</v>
      </c>
      <c r="V1942" s="5" t="s">
        <v>155</v>
      </c>
      <c r="W1942" s="5" t="s">
        <v>69</v>
      </c>
      <c r="X1942" s="5" t="s">
        <v>69</v>
      </c>
      <c r="Y1942" s="4">
        <v>190</v>
      </c>
      <c r="Z1942" s="4">
        <v>25</v>
      </c>
      <c r="AA1942" s="4">
        <v>25</v>
      </c>
      <c r="AB1942" s="4">
        <v>2</v>
      </c>
      <c r="AC1942" s="4">
        <v>2</v>
      </c>
      <c r="AD1942" s="4">
        <v>82</v>
      </c>
      <c r="AE1942" s="4">
        <v>83</v>
      </c>
      <c r="AF1942" s="4">
        <v>1</v>
      </c>
      <c r="AG1942" s="4">
        <v>1</v>
      </c>
      <c r="AH1942" s="4">
        <v>69</v>
      </c>
      <c r="AI1942" s="4">
        <v>70</v>
      </c>
      <c r="AJ1942" s="4">
        <v>20</v>
      </c>
      <c r="AK1942" s="4">
        <v>20</v>
      </c>
      <c r="AL1942" s="4">
        <v>33</v>
      </c>
      <c r="AM1942" s="4">
        <v>34</v>
      </c>
      <c r="AN1942" s="4">
        <v>0</v>
      </c>
      <c r="AO1942" s="4">
        <v>0</v>
      </c>
      <c r="AP1942" s="4">
        <v>20</v>
      </c>
      <c r="AQ1942" s="4">
        <v>20</v>
      </c>
      <c r="AR1942" s="3" t="s">
        <v>63</v>
      </c>
      <c r="AS1942" s="3" t="s">
        <v>63</v>
      </c>
      <c r="AT1942" s="3" t="s">
        <v>62</v>
      </c>
      <c r="AU1942" s="6" t="str">
        <f>HYPERLINK("http://catalog.hathitrust.org/Record/000296626","HathiTrust Record")</f>
        <v>HathiTrust Record</v>
      </c>
      <c r="AV1942" s="6" t="str">
        <f>HYPERLINK("http://mcgill.on.worldcat.org/oclc/3265388","Catalog Record")</f>
        <v>Catalog Record</v>
      </c>
      <c r="AW1942" s="6" t="str">
        <f>HYPERLINK("http://www.worldcat.org/oclc/3265388","WorldCat Record")</f>
        <v>WorldCat Record</v>
      </c>
      <c r="AX1942" s="3" t="s">
        <v>16547</v>
      </c>
      <c r="AY1942" s="3" t="s">
        <v>16548</v>
      </c>
      <c r="AZ1942" s="3" t="s">
        <v>16549</v>
      </c>
      <c r="BA1942" s="3" t="s">
        <v>16549</v>
      </c>
      <c r="BB1942" s="3" t="s">
        <v>16550</v>
      </c>
      <c r="BC1942" s="3" t="s">
        <v>82</v>
      </c>
      <c r="BD1942" s="3" t="s">
        <v>70</v>
      </c>
      <c r="BE1942" s="3" t="s">
        <v>16551</v>
      </c>
      <c r="BF1942" s="3" t="s">
        <v>16550</v>
      </c>
      <c r="BG1942" s="3" t="s">
        <v>16552</v>
      </c>
    </row>
    <row r="1943" spans="1:59" ht="60" x14ac:dyDescent="0.25">
      <c r="A1943" s="2" t="s">
        <v>59</v>
      </c>
      <c r="B1943" s="2" t="s">
        <v>60</v>
      </c>
      <c r="C1943" s="2" t="s">
        <v>16553</v>
      </c>
      <c r="D1943" s="2" t="s">
        <v>16554</v>
      </c>
      <c r="E1943" s="2" t="s">
        <v>16555</v>
      </c>
      <c r="G1943" s="3" t="s">
        <v>63</v>
      </c>
      <c r="I1943" s="3" t="s">
        <v>63</v>
      </c>
      <c r="J1943" s="3" t="s">
        <v>63</v>
      </c>
      <c r="K1943" s="3" t="s">
        <v>64</v>
      </c>
      <c r="L1943" s="2" t="s">
        <v>16545</v>
      </c>
      <c r="M1943" s="2" t="s">
        <v>16556</v>
      </c>
      <c r="N1943" s="3" t="s">
        <v>65</v>
      </c>
      <c r="P1943" s="3" t="s">
        <v>66</v>
      </c>
      <c r="Q1943" s="2" t="s">
        <v>16557</v>
      </c>
      <c r="R1943" s="3" t="s">
        <v>67</v>
      </c>
      <c r="S1943" s="4">
        <v>6</v>
      </c>
      <c r="T1943" s="4">
        <v>6</v>
      </c>
      <c r="U1943" s="5" t="s">
        <v>155</v>
      </c>
      <c r="V1943" s="5" t="s">
        <v>155</v>
      </c>
      <c r="W1943" s="5" t="s">
        <v>69</v>
      </c>
      <c r="X1943" s="5" t="s">
        <v>69</v>
      </c>
      <c r="Y1943" s="4">
        <v>133</v>
      </c>
      <c r="Z1943" s="4">
        <v>7</v>
      </c>
      <c r="AA1943" s="4">
        <v>24</v>
      </c>
      <c r="AB1943" s="4">
        <v>2</v>
      </c>
      <c r="AC1943" s="4">
        <v>3</v>
      </c>
      <c r="AD1943" s="4">
        <v>41</v>
      </c>
      <c r="AE1943" s="4">
        <v>106</v>
      </c>
      <c r="AF1943" s="4">
        <v>1</v>
      </c>
      <c r="AG1943" s="4">
        <v>2</v>
      </c>
      <c r="AH1943" s="4">
        <v>37</v>
      </c>
      <c r="AI1943" s="4">
        <v>89</v>
      </c>
      <c r="AJ1943" s="4">
        <v>5</v>
      </c>
      <c r="AK1943" s="4">
        <v>17</v>
      </c>
      <c r="AL1943" s="4">
        <v>24</v>
      </c>
      <c r="AM1943" s="4">
        <v>54</v>
      </c>
      <c r="AN1943" s="4">
        <v>5</v>
      </c>
      <c r="AO1943" s="4">
        <v>5</v>
      </c>
      <c r="AP1943" s="4">
        <v>5</v>
      </c>
      <c r="AQ1943" s="4">
        <v>21</v>
      </c>
      <c r="AR1943" s="3" t="s">
        <v>63</v>
      </c>
      <c r="AS1943" s="3" t="s">
        <v>63</v>
      </c>
      <c r="AT1943" s="3" t="s">
        <v>62</v>
      </c>
      <c r="AU1943" s="6" t="str">
        <f>HYPERLINK("http://catalog.hathitrust.org/Record/004424348","HathiTrust Record")</f>
        <v>HathiTrust Record</v>
      </c>
      <c r="AV1943" s="6" t="str">
        <f>HYPERLINK("http://mcgill.on.worldcat.org/oclc/2940435","Catalog Record")</f>
        <v>Catalog Record</v>
      </c>
      <c r="AW1943" s="6" t="str">
        <f>HYPERLINK("http://www.worldcat.org/oclc/2940435","WorldCat Record")</f>
        <v>WorldCat Record</v>
      </c>
      <c r="AX1943" s="3" t="s">
        <v>16558</v>
      </c>
      <c r="AY1943" s="3" t="s">
        <v>16559</v>
      </c>
      <c r="AZ1943" s="3" t="s">
        <v>16560</v>
      </c>
      <c r="BA1943" s="3" t="s">
        <v>16560</v>
      </c>
      <c r="BB1943" s="3" t="s">
        <v>16561</v>
      </c>
      <c r="BC1943" s="3" t="s">
        <v>82</v>
      </c>
      <c r="BD1943" s="3" t="s">
        <v>70</v>
      </c>
      <c r="BE1943" s="3" t="s">
        <v>16562</v>
      </c>
      <c r="BF1943" s="3" t="s">
        <v>16561</v>
      </c>
      <c r="BG1943" s="3" t="s">
        <v>16563</v>
      </c>
    </row>
    <row r="1944" spans="1:59" ht="60" x14ac:dyDescent="0.25">
      <c r="A1944" s="2" t="s">
        <v>59</v>
      </c>
      <c r="B1944" s="2" t="s">
        <v>60</v>
      </c>
      <c r="C1944" s="2" t="s">
        <v>16564</v>
      </c>
      <c r="D1944" s="2" t="s">
        <v>16565</v>
      </c>
      <c r="E1944" s="2" t="s">
        <v>16566</v>
      </c>
      <c r="G1944" s="3" t="s">
        <v>63</v>
      </c>
      <c r="I1944" s="3" t="s">
        <v>63</v>
      </c>
      <c r="J1944" s="3" t="s">
        <v>63</v>
      </c>
      <c r="K1944" s="3" t="s">
        <v>64</v>
      </c>
      <c r="L1944" s="2" t="s">
        <v>16545</v>
      </c>
      <c r="M1944" s="2" t="s">
        <v>16567</v>
      </c>
      <c r="N1944" s="3" t="s">
        <v>300</v>
      </c>
      <c r="P1944" s="3" t="s">
        <v>90</v>
      </c>
      <c r="R1944" s="3" t="s">
        <v>67</v>
      </c>
      <c r="S1944" s="4">
        <v>5</v>
      </c>
      <c r="T1944" s="4">
        <v>5</v>
      </c>
      <c r="U1944" s="5" t="s">
        <v>11969</v>
      </c>
      <c r="V1944" s="5" t="s">
        <v>11969</v>
      </c>
      <c r="W1944" s="5" t="s">
        <v>69</v>
      </c>
      <c r="X1944" s="5" t="s">
        <v>69</v>
      </c>
      <c r="Y1944" s="4">
        <v>56</v>
      </c>
      <c r="Z1944" s="4">
        <v>4</v>
      </c>
      <c r="AA1944" s="4">
        <v>19</v>
      </c>
      <c r="AB1944" s="4">
        <v>1</v>
      </c>
      <c r="AC1944" s="4">
        <v>4</v>
      </c>
      <c r="AD1944" s="4">
        <v>22</v>
      </c>
      <c r="AE1944" s="4">
        <v>89</v>
      </c>
      <c r="AF1944" s="4">
        <v>0</v>
      </c>
      <c r="AG1944" s="4">
        <v>2</v>
      </c>
      <c r="AH1944" s="4">
        <v>21</v>
      </c>
      <c r="AI1944" s="4">
        <v>80</v>
      </c>
      <c r="AJ1944" s="4">
        <v>2</v>
      </c>
      <c r="AK1944" s="4">
        <v>13</v>
      </c>
      <c r="AL1944" s="4">
        <v>15</v>
      </c>
      <c r="AM1944" s="4">
        <v>46</v>
      </c>
      <c r="AN1944" s="4">
        <v>0</v>
      </c>
      <c r="AO1944" s="4">
        <v>6</v>
      </c>
      <c r="AP1944" s="4">
        <v>2</v>
      </c>
      <c r="AQ1944" s="4">
        <v>13</v>
      </c>
      <c r="AR1944" s="3" t="s">
        <v>63</v>
      </c>
      <c r="AS1944" s="3" t="s">
        <v>63</v>
      </c>
      <c r="AT1944" s="3" t="s">
        <v>62</v>
      </c>
      <c r="AU1944" s="6" t="str">
        <f>HYPERLINK("http://catalog.hathitrust.org/Record/006232945","HathiTrust Record")</f>
        <v>HathiTrust Record</v>
      </c>
      <c r="AV1944" s="6" t="str">
        <f>HYPERLINK("http://mcgill.on.worldcat.org/oclc/10071188","Catalog Record")</f>
        <v>Catalog Record</v>
      </c>
      <c r="AW1944" s="6" t="str">
        <f>HYPERLINK("http://www.worldcat.org/oclc/10071188","WorldCat Record")</f>
        <v>WorldCat Record</v>
      </c>
      <c r="AX1944" s="3" t="s">
        <v>16568</v>
      </c>
      <c r="AY1944" s="3" t="s">
        <v>16569</v>
      </c>
      <c r="AZ1944" s="3" t="s">
        <v>16570</v>
      </c>
      <c r="BA1944" s="3" t="s">
        <v>16570</v>
      </c>
      <c r="BB1944" s="3" t="s">
        <v>16571</v>
      </c>
      <c r="BC1944" s="3" t="s">
        <v>82</v>
      </c>
      <c r="BD1944" s="3" t="s">
        <v>70</v>
      </c>
      <c r="BF1944" s="3" t="s">
        <v>16571</v>
      </c>
      <c r="BG1944" s="3" t="s">
        <v>16572</v>
      </c>
    </row>
    <row r="1945" spans="1:59" ht="60" x14ac:dyDescent="0.25">
      <c r="A1945" s="2" t="s">
        <v>59</v>
      </c>
      <c r="B1945" s="2" t="s">
        <v>60</v>
      </c>
      <c r="C1945" s="2" t="s">
        <v>16573</v>
      </c>
      <c r="D1945" s="2" t="s">
        <v>16574</v>
      </c>
      <c r="E1945" s="2" t="s">
        <v>16575</v>
      </c>
      <c r="G1945" s="3" t="s">
        <v>63</v>
      </c>
      <c r="I1945" s="3" t="s">
        <v>63</v>
      </c>
      <c r="J1945" s="3" t="s">
        <v>62</v>
      </c>
      <c r="K1945" s="3" t="s">
        <v>64</v>
      </c>
      <c r="L1945" s="2" t="s">
        <v>16545</v>
      </c>
      <c r="M1945" s="2" t="s">
        <v>16576</v>
      </c>
      <c r="N1945" s="3" t="s">
        <v>16577</v>
      </c>
      <c r="P1945" s="3" t="s">
        <v>66</v>
      </c>
      <c r="R1945" s="3" t="s">
        <v>67</v>
      </c>
      <c r="S1945" s="4">
        <v>1</v>
      </c>
      <c r="T1945" s="4">
        <v>1</v>
      </c>
      <c r="U1945" s="5" t="s">
        <v>1047</v>
      </c>
      <c r="V1945" s="5" t="s">
        <v>1047</v>
      </c>
      <c r="W1945" s="5" t="s">
        <v>69</v>
      </c>
      <c r="X1945" s="5" t="s">
        <v>69</v>
      </c>
      <c r="Y1945" s="4">
        <v>30</v>
      </c>
      <c r="Z1945" s="4">
        <v>2</v>
      </c>
      <c r="AA1945" s="4">
        <v>51</v>
      </c>
      <c r="AB1945" s="4">
        <v>1</v>
      </c>
      <c r="AC1945" s="4">
        <v>5</v>
      </c>
      <c r="AD1945" s="4">
        <v>14</v>
      </c>
      <c r="AE1945" s="4">
        <v>139</v>
      </c>
      <c r="AF1945" s="4">
        <v>0</v>
      </c>
      <c r="AG1945" s="4">
        <v>3</v>
      </c>
      <c r="AH1945" s="4">
        <v>11</v>
      </c>
      <c r="AI1945" s="4">
        <v>112</v>
      </c>
      <c r="AJ1945" s="4">
        <v>1</v>
      </c>
      <c r="AK1945" s="4">
        <v>23</v>
      </c>
      <c r="AL1945" s="4">
        <v>10</v>
      </c>
      <c r="AM1945" s="4">
        <v>59</v>
      </c>
      <c r="AN1945" s="4">
        <v>0</v>
      </c>
      <c r="AO1945" s="4">
        <v>0</v>
      </c>
      <c r="AP1945" s="4">
        <v>1</v>
      </c>
      <c r="AQ1945" s="4">
        <v>34</v>
      </c>
      <c r="AR1945" s="3" t="s">
        <v>63</v>
      </c>
      <c r="AS1945" s="3" t="s">
        <v>63</v>
      </c>
      <c r="AT1945" s="3" t="s">
        <v>63</v>
      </c>
      <c r="AV1945" s="6" t="str">
        <f>HYPERLINK("http://mcgill.on.worldcat.org/oclc/2145421","Catalog Record")</f>
        <v>Catalog Record</v>
      </c>
      <c r="AW1945" s="6" t="str">
        <f>HYPERLINK("http://www.worldcat.org/oclc/2145421","WorldCat Record")</f>
        <v>WorldCat Record</v>
      </c>
      <c r="AX1945" s="3" t="s">
        <v>16578</v>
      </c>
      <c r="AY1945" s="3" t="s">
        <v>16579</v>
      </c>
      <c r="AZ1945" s="3" t="s">
        <v>16580</v>
      </c>
      <c r="BA1945" s="3" t="s">
        <v>16580</v>
      </c>
      <c r="BB1945" s="3" t="s">
        <v>16581</v>
      </c>
      <c r="BC1945" s="3" t="s">
        <v>82</v>
      </c>
      <c r="BD1945" s="3" t="s">
        <v>70</v>
      </c>
      <c r="BF1945" s="3" t="s">
        <v>16581</v>
      </c>
      <c r="BG1945" s="3" t="s">
        <v>16582</v>
      </c>
    </row>
    <row r="1946" spans="1:59" ht="60" x14ac:dyDescent="0.25">
      <c r="A1946" s="2" t="s">
        <v>59</v>
      </c>
      <c r="B1946" s="2" t="s">
        <v>60</v>
      </c>
      <c r="C1946" s="2" t="s">
        <v>16583</v>
      </c>
      <c r="D1946" s="2" t="s">
        <v>16584</v>
      </c>
      <c r="E1946" s="2" t="s">
        <v>16585</v>
      </c>
      <c r="G1946" s="3" t="s">
        <v>63</v>
      </c>
      <c r="I1946" s="3" t="s">
        <v>63</v>
      </c>
      <c r="J1946" s="3" t="s">
        <v>62</v>
      </c>
      <c r="K1946" s="3" t="s">
        <v>64</v>
      </c>
      <c r="L1946" s="2" t="s">
        <v>16545</v>
      </c>
      <c r="M1946" s="2" t="s">
        <v>16586</v>
      </c>
      <c r="N1946" s="3" t="s">
        <v>706</v>
      </c>
      <c r="P1946" s="3" t="s">
        <v>66</v>
      </c>
      <c r="Q1946" s="2" t="s">
        <v>16587</v>
      </c>
      <c r="R1946" s="3" t="s">
        <v>67</v>
      </c>
      <c r="S1946" s="4">
        <v>15</v>
      </c>
      <c r="T1946" s="4">
        <v>15</v>
      </c>
      <c r="U1946" s="5" t="s">
        <v>16588</v>
      </c>
      <c r="V1946" s="5" t="s">
        <v>16588</v>
      </c>
      <c r="W1946" s="5" t="s">
        <v>69</v>
      </c>
      <c r="X1946" s="5" t="s">
        <v>69</v>
      </c>
      <c r="Y1946" s="4">
        <v>127</v>
      </c>
      <c r="Z1946" s="4">
        <v>6</v>
      </c>
      <c r="AA1946" s="4">
        <v>51</v>
      </c>
      <c r="AB1946" s="4">
        <v>1</v>
      </c>
      <c r="AC1946" s="4">
        <v>5</v>
      </c>
      <c r="AD1946" s="4">
        <v>36</v>
      </c>
      <c r="AE1946" s="4">
        <v>139</v>
      </c>
      <c r="AF1946" s="4">
        <v>0</v>
      </c>
      <c r="AG1946" s="4">
        <v>3</v>
      </c>
      <c r="AH1946" s="4">
        <v>33</v>
      </c>
      <c r="AI1946" s="4">
        <v>112</v>
      </c>
      <c r="AJ1946" s="4">
        <v>3</v>
      </c>
      <c r="AK1946" s="4">
        <v>23</v>
      </c>
      <c r="AL1946" s="4">
        <v>24</v>
      </c>
      <c r="AM1946" s="4">
        <v>59</v>
      </c>
      <c r="AN1946" s="4">
        <v>0</v>
      </c>
      <c r="AO1946" s="4">
        <v>0</v>
      </c>
      <c r="AP1946" s="4">
        <v>4</v>
      </c>
      <c r="AQ1946" s="4">
        <v>34</v>
      </c>
      <c r="AR1946" s="3" t="s">
        <v>63</v>
      </c>
      <c r="AS1946" s="3" t="s">
        <v>63</v>
      </c>
      <c r="AT1946" s="3" t="s">
        <v>63</v>
      </c>
      <c r="AV1946" s="6" t="str">
        <f>HYPERLINK("http://mcgill.on.worldcat.org/oclc/12663290","Catalog Record")</f>
        <v>Catalog Record</v>
      </c>
      <c r="AW1946" s="6" t="str">
        <f>HYPERLINK("http://www.worldcat.org/oclc/12663290","WorldCat Record")</f>
        <v>WorldCat Record</v>
      </c>
      <c r="AX1946" s="3" t="s">
        <v>16578</v>
      </c>
      <c r="AY1946" s="3" t="s">
        <v>16589</v>
      </c>
      <c r="AZ1946" s="3" t="s">
        <v>16590</v>
      </c>
      <c r="BA1946" s="3" t="s">
        <v>16590</v>
      </c>
      <c r="BB1946" s="3" t="s">
        <v>16591</v>
      </c>
      <c r="BC1946" s="3" t="s">
        <v>82</v>
      </c>
      <c r="BD1946" s="3" t="s">
        <v>70</v>
      </c>
      <c r="BE1946" s="3" t="s">
        <v>16592</v>
      </c>
      <c r="BF1946" s="3" t="s">
        <v>16591</v>
      </c>
      <c r="BG1946" s="3" t="s">
        <v>16593</v>
      </c>
    </row>
    <row r="1947" spans="1:59" ht="60" x14ac:dyDescent="0.25">
      <c r="A1947" s="2" t="s">
        <v>59</v>
      </c>
      <c r="B1947" s="2" t="s">
        <v>60</v>
      </c>
      <c r="C1947" s="2" t="s">
        <v>16594</v>
      </c>
      <c r="D1947" s="2" t="s">
        <v>16595</v>
      </c>
      <c r="E1947" s="2" t="s">
        <v>16596</v>
      </c>
      <c r="G1947" s="3" t="s">
        <v>63</v>
      </c>
      <c r="I1947" s="3" t="s">
        <v>63</v>
      </c>
      <c r="J1947" s="3" t="s">
        <v>63</v>
      </c>
      <c r="K1947" s="3" t="s">
        <v>64</v>
      </c>
      <c r="M1947" s="2" t="s">
        <v>16597</v>
      </c>
      <c r="N1947" s="3" t="s">
        <v>1113</v>
      </c>
      <c r="P1947" s="3" t="s">
        <v>66</v>
      </c>
      <c r="Q1947" s="2" t="s">
        <v>10845</v>
      </c>
      <c r="R1947" s="3" t="s">
        <v>67</v>
      </c>
      <c r="S1947" s="4">
        <v>6</v>
      </c>
      <c r="T1947" s="4">
        <v>6</v>
      </c>
      <c r="U1947" s="5" t="s">
        <v>16598</v>
      </c>
      <c r="V1947" s="5" t="s">
        <v>16598</v>
      </c>
      <c r="W1947" s="5" t="s">
        <v>69</v>
      </c>
      <c r="X1947" s="5" t="s">
        <v>69</v>
      </c>
      <c r="Y1947" s="4">
        <v>154</v>
      </c>
      <c r="Z1947" s="4">
        <v>12</v>
      </c>
      <c r="AA1947" s="4">
        <v>12</v>
      </c>
      <c r="AB1947" s="4">
        <v>1</v>
      </c>
      <c r="AC1947" s="4">
        <v>1</v>
      </c>
      <c r="AD1947" s="4">
        <v>72</v>
      </c>
      <c r="AE1947" s="4">
        <v>72</v>
      </c>
      <c r="AF1947" s="4">
        <v>0</v>
      </c>
      <c r="AG1947" s="4">
        <v>0</v>
      </c>
      <c r="AH1947" s="4">
        <v>69</v>
      </c>
      <c r="AI1947" s="4">
        <v>69</v>
      </c>
      <c r="AJ1947" s="4">
        <v>9</v>
      </c>
      <c r="AK1947" s="4">
        <v>9</v>
      </c>
      <c r="AL1947" s="4">
        <v>41</v>
      </c>
      <c r="AM1947" s="4">
        <v>41</v>
      </c>
      <c r="AN1947" s="4">
        <v>0</v>
      </c>
      <c r="AO1947" s="4">
        <v>0</v>
      </c>
      <c r="AP1947" s="4">
        <v>9</v>
      </c>
      <c r="AQ1947" s="4">
        <v>9</v>
      </c>
      <c r="AR1947" s="3" t="s">
        <v>63</v>
      </c>
      <c r="AS1947" s="3" t="s">
        <v>63</v>
      </c>
      <c r="AT1947" s="3" t="s">
        <v>62</v>
      </c>
      <c r="AU1947" s="6" t="str">
        <f>HYPERLINK("http://catalog.hathitrust.org/Record/003955256","HathiTrust Record")</f>
        <v>HathiTrust Record</v>
      </c>
      <c r="AV1947" s="6" t="str">
        <f>HYPERLINK("http://mcgill.on.worldcat.org/oclc/37457830","Catalog Record")</f>
        <v>Catalog Record</v>
      </c>
      <c r="AW1947" s="6" t="str">
        <f>HYPERLINK("http://www.worldcat.org/oclc/37457830","WorldCat Record")</f>
        <v>WorldCat Record</v>
      </c>
      <c r="AX1947" s="3" t="s">
        <v>16599</v>
      </c>
      <c r="AY1947" s="3" t="s">
        <v>16600</v>
      </c>
      <c r="AZ1947" s="3" t="s">
        <v>16601</v>
      </c>
      <c r="BA1947" s="3" t="s">
        <v>16601</v>
      </c>
      <c r="BB1947" s="3" t="s">
        <v>16602</v>
      </c>
      <c r="BC1947" s="3" t="s">
        <v>82</v>
      </c>
      <c r="BD1947" s="3" t="s">
        <v>70</v>
      </c>
      <c r="BE1947" s="3" t="s">
        <v>16603</v>
      </c>
      <c r="BF1947" s="3" t="s">
        <v>16602</v>
      </c>
      <c r="BG1947" s="3" t="s">
        <v>16604</v>
      </c>
    </row>
    <row r="1948" spans="1:59" ht="60" x14ac:dyDescent="0.25">
      <c r="A1948" s="2" t="s">
        <v>59</v>
      </c>
      <c r="B1948" s="2" t="s">
        <v>60</v>
      </c>
      <c r="C1948" s="2" t="s">
        <v>16605</v>
      </c>
      <c r="D1948" s="2" t="s">
        <v>16606</v>
      </c>
      <c r="E1948" s="2" t="s">
        <v>16607</v>
      </c>
      <c r="G1948" s="3" t="s">
        <v>63</v>
      </c>
      <c r="I1948" s="3" t="s">
        <v>63</v>
      </c>
      <c r="J1948" s="3" t="s">
        <v>63</v>
      </c>
      <c r="K1948" s="3" t="s">
        <v>64</v>
      </c>
      <c r="L1948" s="2" t="s">
        <v>16545</v>
      </c>
      <c r="M1948" s="2" t="s">
        <v>11567</v>
      </c>
      <c r="N1948" s="3" t="s">
        <v>247</v>
      </c>
      <c r="P1948" s="3" t="s">
        <v>66</v>
      </c>
      <c r="R1948" s="3" t="s">
        <v>67</v>
      </c>
      <c r="S1948" s="4">
        <v>13</v>
      </c>
      <c r="T1948" s="4">
        <v>13</v>
      </c>
      <c r="U1948" s="5" t="s">
        <v>155</v>
      </c>
      <c r="V1948" s="5" t="s">
        <v>155</v>
      </c>
      <c r="W1948" s="5" t="s">
        <v>69</v>
      </c>
      <c r="X1948" s="5" t="s">
        <v>69</v>
      </c>
      <c r="Y1948" s="4">
        <v>206</v>
      </c>
      <c r="Z1948" s="4">
        <v>16</v>
      </c>
      <c r="AA1948" s="4">
        <v>27</v>
      </c>
      <c r="AB1948" s="4">
        <v>1</v>
      </c>
      <c r="AC1948" s="4">
        <v>1</v>
      </c>
      <c r="AD1948" s="4">
        <v>91</v>
      </c>
      <c r="AE1948" s="4">
        <v>109</v>
      </c>
      <c r="AF1948" s="4">
        <v>0</v>
      </c>
      <c r="AG1948" s="4">
        <v>0</v>
      </c>
      <c r="AH1948" s="4">
        <v>82</v>
      </c>
      <c r="AI1948" s="4">
        <v>96</v>
      </c>
      <c r="AJ1948" s="4">
        <v>13</v>
      </c>
      <c r="AK1948" s="4">
        <v>21</v>
      </c>
      <c r="AL1948" s="4">
        <v>48</v>
      </c>
      <c r="AM1948" s="4">
        <v>54</v>
      </c>
      <c r="AN1948" s="4">
        <v>0</v>
      </c>
      <c r="AO1948" s="4">
        <v>0</v>
      </c>
      <c r="AP1948" s="4">
        <v>13</v>
      </c>
      <c r="AQ1948" s="4">
        <v>21</v>
      </c>
      <c r="AR1948" s="3" t="s">
        <v>63</v>
      </c>
      <c r="AS1948" s="3" t="s">
        <v>63</v>
      </c>
      <c r="AT1948" s="3" t="s">
        <v>62</v>
      </c>
      <c r="AU1948" s="6" t="str">
        <f>HYPERLINK("http://catalog.hathitrust.org/Record/000304515","HathiTrust Record")</f>
        <v>HathiTrust Record</v>
      </c>
      <c r="AV1948" s="6" t="str">
        <f>HYPERLINK("http://mcgill.on.worldcat.org/oclc/7977325","Catalog Record")</f>
        <v>Catalog Record</v>
      </c>
      <c r="AW1948" s="6" t="str">
        <f>HYPERLINK("http://www.worldcat.org/oclc/7977325","WorldCat Record")</f>
        <v>WorldCat Record</v>
      </c>
      <c r="AX1948" s="3" t="s">
        <v>16608</v>
      </c>
      <c r="AY1948" s="3" t="s">
        <v>16609</v>
      </c>
      <c r="AZ1948" s="3" t="s">
        <v>16610</v>
      </c>
      <c r="BA1948" s="3" t="s">
        <v>16610</v>
      </c>
      <c r="BB1948" s="3" t="s">
        <v>16611</v>
      </c>
      <c r="BC1948" s="3" t="s">
        <v>82</v>
      </c>
      <c r="BD1948" s="3" t="s">
        <v>70</v>
      </c>
      <c r="BE1948" s="3" t="s">
        <v>16612</v>
      </c>
      <c r="BF1948" s="3" t="s">
        <v>16611</v>
      </c>
      <c r="BG1948" s="3" t="s">
        <v>16613</v>
      </c>
    </row>
    <row r="1949" spans="1:59" ht="60" x14ac:dyDescent="0.25">
      <c r="A1949" s="2" t="s">
        <v>59</v>
      </c>
      <c r="B1949" s="2" t="s">
        <v>60</v>
      </c>
      <c r="C1949" s="2" t="s">
        <v>16614</v>
      </c>
      <c r="D1949" s="2" t="s">
        <v>16615</v>
      </c>
      <c r="E1949" s="2" t="s">
        <v>16616</v>
      </c>
      <c r="G1949" s="3" t="s">
        <v>63</v>
      </c>
      <c r="I1949" s="3" t="s">
        <v>63</v>
      </c>
      <c r="J1949" s="3" t="s">
        <v>63</v>
      </c>
      <c r="K1949" s="3" t="s">
        <v>64</v>
      </c>
      <c r="L1949" s="2" t="s">
        <v>16617</v>
      </c>
      <c r="M1949" s="2" t="s">
        <v>16618</v>
      </c>
      <c r="N1949" s="3" t="s">
        <v>468</v>
      </c>
      <c r="O1949" s="2" t="s">
        <v>16619</v>
      </c>
      <c r="P1949" s="3" t="s">
        <v>90</v>
      </c>
      <c r="R1949" s="3" t="s">
        <v>67</v>
      </c>
      <c r="S1949" s="4">
        <v>1</v>
      </c>
      <c r="T1949" s="4">
        <v>1</v>
      </c>
      <c r="U1949" s="5" t="s">
        <v>16620</v>
      </c>
      <c r="V1949" s="5" t="s">
        <v>16620</v>
      </c>
      <c r="W1949" s="5" t="s">
        <v>69</v>
      </c>
      <c r="X1949" s="5" t="s">
        <v>69</v>
      </c>
      <c r="Y1949" s="4">
        <v>46</v>
      </c>
      <c r="Z1949" s="4">
        <v>6</v>
      </c>
      <c r="AA1949" s="4">
        <v>7</v>
      </c>
      <c r="AB1949" s="4">
        <v>1</v>
      </c>
      <c r="AC1949" s="4">
        <v>1</v>
      </c>
      <c r="AD1949" s="4">
        <v>32</v>
      </c>
      <c r="AE1949" s="4">
        <v>56</v>
      </c>
      <c r="AF1949" s="4">
        <v>0</v>
      </c>
      <c r="AG1949" s="4">
        <v>0</v>
      </c>
      <c r="AH1949" s="4">
        <v>28</v>
      </c>
      <c r="AI1949" s="4">
        <v>51</v>
      </c>
      <c r="AJ1949" s="4">
        <v>4</v>
      </c>
      <c r="AK1949" s="4">
        <v>5</v>
      </c>
      <c r="AL1949" s="4">
        <v>19</v>
      </c>
      <c r="AM1949" s="4">
        <v>37</v>
      </c>
      <c r="AN1949" s="4">
        <v>0</v>
      </c>
      <c r="AO1949" s="4">
        <v>0</v>
      </c>
      <c r="AP1949" s="4">
        <v>4</v>
      </c>
      <c r="AQ1949" s="4">
        <v>5</v>
      </c>
      <c r="AR1949" s="3" t="s">
        <v>63</v>
      </c>
      <c r="AS1949" s="3" t="s">
        <v>63</v>
      </c>
      <c r="AT1949" s="3" t="s">
        <v>63</v>
      </c>
      <c r="AV1949" s="6" t="str">
        <f>HYPERLINK("http://mcgill.on.worldcat.org/oclc/2860323","Catalog Record")</f>
        <v>Catalog Record</v>
      </c>
      <c r="AW1949" s="6" t="str">
        <f>HYPERLINK("http://www.worldcat.org/oclc/2860323","WorldCat Record")</f>
        <v>WorldCat Record</v>
      </c>
      <c r="AX1949" s="3" t="s">
        <v>16621</v>
      </c>
      <c r="AY1949" s="3" t="s">
        <v>16622</v>
      </c>
      <c r="AZ1949" s="3" t="s">
        <v>16623</v>
      </c>
      <c r="BA1949" s="3" t="s">
        <v>16623</v>
      </c>
      <c r="BB1949" s="3" t="s">
        <v>16624</v>
      </c>
      <c r="BC1949" s="3" t="s">
        <v>82</v>
      </c>
      <c r="BD1949" s="3" t="s">
        <v>70</v>
      </c>
      <c r="BF1949" s="3" t="s">
        <v>16624</v>
      </c>
      <c r="BG1949" s="3" t="s">
        <v>16625</v>
      </c>
    </row>
    <row r="1950" spans="1:59" ht="105" x14ac:dyDescent="0.25">
      <c r="A1950" s="2" t="s">
        <v>59</v>
      </c>
      <c r="B1950" s="2" t="s">
        <v>60</v>
      </c>
      <c r="C1950" s="2" t="s">
        <v>16737</v>
      </c>
      <c r="D1950" s="2" t="s">
        <v>16738</v>
      </c>
      <c r="E1950" s="2" t="s">
        <v>16739</v>
      </c>
      <c r="G1950" s="3" t="s">
        <v>63</v>
      </c>
      <c r="I1950" s="3" t="s">
        <v>63</v>
      </c>
      <c r="J1950" s="3" t="s">
        <v>63</v>
      </c>
      <c r="K1950" s="3" t="s">
        <v>64</v>
      </c>
      <c r="L1950" s="2" t="s">
        <v>16740</v>
      </c>
      <c r="M1950" s="2" t="s">
        <v>16741</v>
      </c>
      <c r="N1950" s="3" t="s">
        <v>247</v>
      </c>
      <c r="P1950" s="3" t="s">
        <v>66</v>
      </c>
      <c r="R1950" s="3" t="s">
        <v>67</v>
      </c>
      <c r="S1950" s="4">
        <v>8</v>
      </c>
      <c r="T1950" s="4">
        <v>8</v>
      </c>
      <c r="U1950" s="5" t="s">
        <v>9342</v>
      </c>
      <c r="V1950" s="5" t="s">
        <v>9342</v>
      </c>
      <c r="W1950" s="5" t="s">
        <v>69</v>
      </c>
      <c r="X1950" s="5" t="s">
        <v>69</v>
      </c>
      <c r="Y1950" s="4">
        <v>146</v>
      </c>
      <c r="Z1950" s="4">
        <v>14</v>
      </c>
      <c r="AA1950" s="4">
        <v>15</v>
      </c>
      <c r="AB1950" s="4">
        <v>1</v>
      </c>
      <c r="AC1950" s="4">
        <v>1</v>
      </c>
      <c r="AD1950" s="4">
        <v>71</v>
      </c>
      <c r="AE1950" s="4">
        <v>76</v>
      </c>
      <c r="AF1950" s="4">
        <v>0</v>
      </c>
      <c r="AG1950" s="4">
        <v>0</v>
      </c>
      <c r="AH1950" s="4">
        <v>64</v>
      </c>
      <c r="AI1950" s="4">
        <v>69</v>
      </c>
      <c r="AJ1950" s="4">
        <v>11</v>
      </c>
      <c r="AK1950" s="4">
        <v>12</v>
      </c>
      <c r="AL1950" s="4">
        <v>40</v>
      </c>
      <c r="AM1950" s="4">
        <v>43</v>
      </c>
      <c r="AN1950" s="4">
        <v>0</v>
      </c>
      <c r="AO1950" s="4">
        <v>0</v>
      </c>
      <c r="AP1950" s="4">
        <v>10</v>
      </c>
      <c r="AQ1950" s="4">
        <v>11</v>
      </c>
      <c r="AR1950" s="3" t="s">
        <v>63</v>
      </c>
      <c r="AS1950" s="3" t="s">
        <v>63</v>
      </c>
      <c r="AT1950" s="3" t="s">
        <v>62</v>
      </c>
      <c r="AU1950" s="6" t="str">
        <f>HYPERLINK("http://catalog.hathitrust.org/Record/000269579","HathiTrust Record")</f>
        <v>HathiTrust Record</v>
      </c>
      <c r="AV1950" s="6" t="str">
        <f>HYPERLINK("http://mcgill.on.worldcat.org/oclc/9388568","Catalog Record")</f>
        <v>Catalog Record</v>
      </c>
      <c r="AW1950" s="6" t="str">
        <f>HYPERLINK("http://www.worldcat.org/oclc/9388568","WorldCat Record")</f>
        <v>WorldCat Record</v>
      </c>
      <c r="AX1950" s="3" t="s">
        <v>16742</v>
      </c>
      <c r="AY1950" s="3" t="s">
        <v>16743</v>
      </c>
      <c r="AZ1950" s="3" t="s">
        <v>16744</v>
      </c>
      <c r="BA1950" s="3" t="s">
        <v>16744</v>
      </c>
      <c r="BB1950" s="3" t="s">
        <v>16745</v>
      </c>
      <c r="BC1950" s="3" t="s">
        <v>82</v>
      </c>
      <c r="BD1950" s="3" t="s">
        <v>70</v>
      </c>
      <c r="BE1950" s="3" t="s">
        <v>16746</v>
      </c>
      <c r="BF1950" s="3" t="s">
        <v>16745</v>
      </c>
      <c r="BG1950" s="3" t="s">
        <v>16747</v>
      </c>
    </row>
    <row r="1951" spans="1:59" ht="60" x14ac:dyDescent="0.25">
      <c r="A1951" s="2" t="s">
        <v>59</v>
      </c>
      <c r="B1951" s="2" t="s">
        <v>60</v>
      </c>
      <c r="C1951" s="2" t="s">
        <v>16748</v>
      </c>
      <c r="D1951" s="2" t="s">
        <v>16749</v>
      </c>
      <c r="E1951" s="2" t="s">
        <v>16750</v>
      </c>
      <c r="G1951" s="3" t="s">
        <v>63</v>
      </c>
      <c r="I1951" s="3" t="s">
        <v>63</v>
      </c>
      <c r="J1951" s="3" t="s">
        <v>63</v>
      </c>
      <c r="K1951" s="3" t="s">
        <v>64</v>
      </c>
      <c r="L1951" s="2" t="s">
        <v>8345</v>
      </c>
      <c r="M1951" s="2" t="s">
        <v>16751</v>
      </c>
      <c r="N1951" s="3" t="s">
        <v>161</v>
      </c>
      <c r="P1951" s="3" t="s">
        <v>66</v>
      </c>
      <c r="R1951" s="3" t="s">
        <v>67</v>
      </c>
      <c r="S1951" s="4">
        <v>5</v>
      </c>
      <c r="T1951" s="4">
        <v>5</v>
      </c>
      <c r="U1951" s="5" t="s">
        <v>3117</v>
      </c>
      <c r="V1951" s="5" t="s">
        <v>3117</v>
      </c>
      <c r="W1951" s="5" t="s">
        <v>69</v>
      </c>
      <c r="X1951" s="5" t="s">
        <v>69</v>
      </c>
      <c r="Y1951" s="4">
        <v>192</v>
      </c>
      <c r="Z1951" s="4">
        <v>12</v>
      </c>
      <c r="AA1951" s="4">
        <v>16</v>
      </c>
      <c r="AB1951" s="4">
        <v>1</v>
      </c>
      <c r="AC1951" s="4">
        <v>1</v>
      </c>
      <c r="AD1951" s="4">
        <v>92</v>
      </c>
      <c r="AE1951" s="4">
        <v>97</v>
      </c>
      <c r="AF1951" s="4">
        <v>0</v>
      </c>
      <c r="AG1951" s="4">
        <v>0</v>
      </c>
      <c r="AH1951" s="4">
        <v>86</v>
      </c>
      <c r="AI1951" s="4">
        <v>89</v>
      </c>
      <c r="AJ1951" s="4">
        <v>10</v>
      </c>
      <c r="AK1951" s="4">
        <v>13</v>
      </c>
      <c r="AL1951" s="4">
        <v>47</v>
      </c>
      <c r="AM1951" s="4">
        <v>50</v>
      </c>
      <c r="AN1951" s="4">
        <v>0</v>
      </c>
      <c r="AO1951" s="4">
        <v>0</v>
      </c>
      <c r="AP1951" s="4">
        <v>11</v>
      </c>
      <c r="AQ1951" s="4">
        <v>14</v>
      </c>
      <c r="AR1951" s="3" t="s">
        <v>63</v>
      </c>
      <c r="AS1951" s="3" t="s">
        <v>63</v>
      </c>
      <c r="AT1951" s="3" t="s">
        <v>62</v>
      </c>
      <c r="AU1951" s="6" t="str">
        <f>HYPERLINK("http://catalog.hathitrust.org/Record/001532903","HathiTrust Record")</f>
        <v>HathiTrust Record</v>
      </c>
      <c r="AV1951" s="6" t="str">
        <f>HYPERLINK("http://mcgill.on.worldcat.org/oclc/18949629","Catalog Record")</f>
        <v>Catalog Record</v>
      </c>
      <c r="AW1951" s="6" t="str">
        <f>HYPERLINK("http://www.worldcat.org/oclc/18949629","WorldCat Record")</f>
        <v>WorldCat Record</v>
      </c>
      <c r="AX1951" s="3" t="s">
        <v>16752</v>
      </c>
      <c r="AY1951" s="3" t="s">
        <v>16753</v>
      </c>
      <c r="AZ1951" s="3" t="s">
        <v>16754</v>
      </c>
      <c r="BA1951" s="3" t="s">
        <v>16754</v>
      </c>
      <c r="BB1951" s="3" t="s">
        <v>16755</v>
      </c>
      <c r="BC1951" s="3" t="s">
        <v>82</v>
      </c>
      <c r="BD1951" s="3" t="s">
        <v>70</v>
      </c>
      <c r="BE1951" s="3" t="s">
        <v>16756</v>
      </c>
      <c r="BF1951" s="3" t="s">
        <v>16755</v>
      </c>
      <c r="BG1951" s="3" t="s">
        <v>16757</v>
      </c>
    </row>
    <row r="1952" spans="1:59" ht="150" x14ac:dyDescent="0.25">
      <c r="A1952" s="2" t="s">
        <v>59</v>
      </c>
      <c r="B1952" s="2" t="s">
        <v>60</v>
      </c>
      <c r="C1952" s="2" t="s">
        <v>16758</v>
      </c>
      <c r="D1952" s="2" t="s">
        <v>16759</v>
      </c>
      <c r="E1952" s="2" t="s">
        <v>16760</v>
      </c>
      <c r="G1952" s="3" t="s">
        <v>63</v>
      </c>
      <c r="I1952" s="3" t="s">
        <v>63</v>
      </c>
      <c r="J1952" s="3" t="s">
        <v>63</v>
      </c>
      <c r="K1952" s="3" t="s">
        <v>64</v>
      </c>
      <c r="M1952" s="2" t="s">
        <v>16761</v>
      </c>
      <c r="N1952" s="3" t="s">
        <v>313</v>
      </c>
      <c r="P1952" s="3" t="s">
        <v>90</v>
      </c>
      <c r="Q1952" s="2" t="s">
        <v>16762</v>
      </c>
      <c r="R1952" s="3" t="s">
        <v>67</v>
      </c>
      <c r="S1952" s="4">
        <v>0</v>
      </c>
      <c r="T1952" s="4">
        <v>0</v>
      </c>
      <c r="W1952" s="5" t="s">
        <v>69</v>
      </c>
      <c r="X1952" s="5" t="s">
        <v>69</v>
      </c>
      <c r="Y1952" s="4">
        <v>33</v>
      </c>
      <c r="Z1952" s="4">
        <v>3</v>
      </c>
      <c r="AA1952" s="4">
        <v>3</v>
      </c>
      <c r="AB1952" s="4">
        <v>1</v>
      </c>
      <c r="AC1952" s="4">
        <v>1</v>
      </c>
      <c r="AD1952" s="4">
        <v>22</v>
      </c>
      <c r="AE1952" s="4">
        <v>22</v>
      </c>
      <c r="AF1952" s="4">
        <v>0</v>
      </c>
      <c r="AG1952" s="4">
        <v>0</v>
      </c>
      <c r="AH1952" s="4">
        <v>21</v>
      </c>
      <c r="AI1952" s="4">
        <v>21</v>
      </c>
      <c r="AJ1952" s="4">
        <v>1</v>
      </c>
      <c r="AK1952" s="4">
        <v>1</v>
      </c>
      <c r="AL1952" s="4">
        <v>19</v>
      </c>
      <c r="AM1952" s="4">
        <v>19</v>
      </c>
      <c r="AN1952" s="4">
        <v>0</v>
      </c>
      <c r="AO1952" s="4">
        <v>0</v>
      </c>
      <c r="AP1952" s="4">
        <v>1</v>
      </c>
      <c r="AQ1952" s="4">
        <v>1</v>
      </c>
      <c r="AR1952" s="3" t="s">
        <v>63</v>
      </c>
      <c r="AS1952" s="3" t="s">
        <v>63</v>
      </c>
      <c r="AT1952" s="3" t="s">
        <v>63</v>
      </c>
      <c r="AV1952" s="6" t="str">
        <f>HYPERLINK("http://mcgill.on.worldcat.org/oclc/743393830","Catalog Record")</f>
        <v>Catalog Record</v>
      </c>
      <c r="AW1952" s="6" t="str">
        <f>HYPERLINK("http://www.worldcat.org/oclc/743393830","WorldCat Record")</f>
        <v>WorldCat Record</v>
      </c>
      <c r="AX1952" s="3" t="s">
        <v>16763</v>
      </c>
      <c r="AY1952" s="3" t="s">
        <v>16764</v>
      </c>
      <c r="AZ1952" s="3" t="s">
        <v>16765</v>
      </c>
      <c r="BA1952" s="3" t="s">
        <v>16765</v>
      </c>
      <c r="BB1952" s="3" t="s">
        <v>16766</v>
      </c>
      <c r="BC1952" s="3" t="s">
        <v>82</v>
      </c>
      <c r="BD1952" s="3" t="s">
        <v>70</v>
      </c>
      <c r="BE1952" s="3" t="s">
        <v>16767</v>
      </c>
      <c r="BF1952" s="3" t="s">
        <v>16766</v>
      </c>
      <c r="BG1952" s="3" t="s">
        <v>16768</v>
      </c>
    </row>
    <row r="1953" spans="1:59" ht="60" x14ac:dyDescent="0.25">
      <c r="A1953" s="2" t="s">
        <v>59</v>
      </c>
      <c r="B1953" s="2" t="s">
        <v>60</v>
      </c>
      <c r="C1953" s="2" t="s">
        <v>16769</v>
      </c>
      <c r="D1953" s="2" t="s">
        <v>16770</v>
      </c>
      <c r="E1953" s="2" t="s">
        <v>16771</v>
      </c>
      <c r="G1953" s="3" t="s">
        <v>63</v>
      </c>
      <c r="I1953" s="3" t="s">
        <v>63</v>
      </c>
      <c r="J1953" s="3" t="s">
        <v>63</v>
      </c>
      <c r="K1953" s="3" t="s">
        <v>64</v>
      </c>
      <c r="L1953" s="2" t="s">
        <v>16772</v>
      </c>
      <c r="M1953" s="2" t="s">
        <v>16773</v>
      </c>
      <c r="N1953" s="3" t="s">
        <v>220</v>
      </c>
      <c r="P1953" s="3" t="s">
        <v>66</v>
      </c>
      <c r="Q1953" s="2" t="s">
        <v>16774</v>
      </c>
      <c r="R1953" s="3" t="s">
        <v>67</v>
      </c>
      <c r="S1953" s="4">
        <v>14</v>
      </c>
      <c r="T1953" s="4">
        <v>14</v>
      </c>
      <c r="U1953" s="5" t="s">
        <v>9342</v>
      </c>
      <c r="V1953" s="5" t="s">
        <v>9342</v>
      </c>
      <c r="W1953" s="5" t="s">
        <v>69</v>
      </c>
      <c r="X1953" s="5" t="s">
        <v>69</v>
      </c>
      <c r="Y1953" s="4">
        <v>142</v>
      </c>
      <c r="Z1953" s="4">
        <v>10</v>
      </c>
      <c r="AA1953" s="4">
        <v>10</v>
      </c>
      <c r="AB1953" s="4">
        <v>1</v>
      </c>
      <c r="AC1953" s="4">
        <v>1</v>
      </c>
      <c r="AD1953" s="4">
        <v>66</v>
      </c>
      <c r="AE1953" s="4">
        <v>67</v>
      </c>
      <c r="AF1953" s="4">
        <v>0</v>
      </c>
      <c r="AG1953" s="4">
        <v>0</v>
      </c>
      <c r="AH1953" s="4">
        <v>58</v>
      </c>
      <c r="AI1953" s="4">
        <v>59</v>
      </c>
      <c r="AJ1953" s="4">
        <v>6</v>
      </c>
      <c r="AK1953" s="4">
        <v>6</v>
      </c>
      <c r="AL1953" s="4">
        <v>41</v>
      </c>
      <c r="AM1953" s="4">
        <v>42</v>
      </c>
      <c r="AN1953" s="4">
        <v>0</v>
      </c>
      <c r="AO1953" s="4">
        <v>0</v>
      </c>
      <c r="AP1953" s="4">
        <v>8</v>
      </c>
      <c r="AQ1953" s="4">
        <v>8</v>
      </c>
      <c r="AR1953" s="3" t="s">
        <v>63</v>
      </c>
      <c r="AS1953" s="3" t="s">
        <v>63</v>
      </c>
      <c r="AT1953" s="3" t="s">
        <v>62</v>
      </c>
      <c r="AU1953" s="6" t="str">
        <f>HYPERLINK("http://catalog.hathitrust.org/Record/002780057","HathiTrust Record")</f>
        <v>HathiTrust Record</v>
      </c>
      <c r="AV1953" s="6" t="str">
        <f>HYPERLINK("http://mcgill.on.worldcat.org/oclc/26761440","Catalog Record")</f>
        <v>Catalog Record</v>
      </c>
      <c r="AW1953" s="6" t="str">
        <f>HYPERLINK("http://www.worldcat.org/oclc/26761440","WorldCat Record")</f>
        <v>WorldCat Record</v>
      </c>
      <c r="AX1953" s="3" t="s">
        <v>16775</v>
      </c>
      <c r="AY1953" s="3" t="s">
        <v>16776</v>
      </c>
      <c r="AZ1953" s="3" t="s">
        <v>16777</v>
      </c>
      <c r="BA1953" s="3" t="s">
        <v>16777</v>
      </c>
      <c r="BB1953" s="3" t="s">
        <v>16778</v>
      </c>
      <c r="BC1953" s="3" t="s">
        <v>82</v>
      </c>
      <c r="BD1953" s="3" t="s">
        <v>70</v>
      </c>
      <c r="BE1953" s="3" t="s">
        <v>16779</v>
      </c>
      <c r="BF1953" s="3" t="s">
        <v>16778</v>
      </c>
      <c r="BG1953" s="3" t="s">
        <v>16780</v>
      </c>
    </row>
    <row r="1954" spans="1:59" ht="60" x14ac:dyDescent="0.25">
      <c r="A1954" s="2" t="s">
        <v>59</v>
      </c>
      <c r="B1954" s="2" t="s">
        <v>60</v>
      </c>
      <c r="C1954" s="2" t="s">
        <v>16781</v>
      </c>
      <c r="D1954" s="2" t="s">
        <v>16782</v>
      </c>
      <c r="E1954" s="2" t="s">
        <v>16783</v>
      </c>
      <c r="G1954" s="3" t="s">
        <v>63</v>
      </c>
      <c r="I1954" s="3" t="s">
        <v>63</v>
      </c>
      <c r="J1954" s="3" t="s">
        <v>63</v>
      </c>
      <c r="K1954" s="3" t="s">
        <v>64</v>
      </c>
      <c r="L1954" s="2" t="s">
        <v>16784</v>
      </c>
      <c r="M1954" s="2" t="s">
        <v>16785</v>
      </c>
      <c r="N1954" s="3" t="s">
        <v>455</v>
      </c>
      <c r="P1954" s="3" t="s">
        <v>66</v>
      </c>
      <c r="Q1954" s="2" t="s">
        <v>6895</v>
      </c>
      <c r="R1954" s="3" t="s">
        <v>67</v>
      </c>
      <c r="S1954" s="4">
        <v>7</v>
      </c>
      <c r="T1954" s="4">
        <v>7</v>
      </c>
      <c r="U1954" s="5" t="s">
        <v>16786</v>
      </c>
      <c r="V1954" s="5" t="s">
        <v>16786</v>
      </c>
      <c r="W1954" s="5" t="s">
        <v>69</v>
      </c>
      <c r="X1954" s="5" t="s">
        <v>69</v>
      </c>
      <c r="Y1954" s="4">
        <v>320</v>
      </c>
      <c r="Z1954" s="4">
        <v>23</v>
      </c>
      <c r="AA1954" s="4">
        <v>23</v>
      </c>
      <c r="AB1954" s="4">
        <v>2</v>
      </c>
      <c r="AC1954" s="4">
        <v>2</v>
      </c>
      <c r="AD1954" s="4">
        <v>116</v>
      </c>
      <c r="AE1954" s="4">
        <v>116</v>
      </c>
      <c r="AF1954" s="4">
        <v>1</v>
      </c>
      <c r="AG1954" s="4">
        <v>1</v>
      </c>
      <c r="AH1954" s="4">
        <v>103</v>
      </c>
      <c r="AI1954" s="4">
        <v>103</v>
      </c>
      <c r="AJ1954" s="4">
        <v>18</v>
      </c>
      <c r="AK1954" s="4">
        <v>18</v>
      </c>
      <c r="AL1954" s="4">
        <v>58</v>
      </c>
      <c r="AM1954" s="4">
        <v>58</v>
      </c>
      <c r="AN1954" s="4">
        <v>0</v>
      </c>
      <c r="AO1954" s="4">
        <v>0</v>
      </c>
      <c r="AP1954" s="4">
        <v>19</v>
      </c>
      <c r="AQ1954" s="4">
        <v>19</v>
      </c>
      <c r="AR1954" s="3" t="s">
        <v>63</v>
      </c>
      <c r="AS1954" s="3" t="s">
        <v>63</v>
      </c>
      <c r="AT1954" s="3" t="s">
        <v>63</v>
      </c>
      <c r="AV1954" s="6" t="str">
        <f>HYPERLINK("http://mcgill.on.worldcat.org/oclc/11130054","Catalog Record")</f>
        <v>Catalog Record</v>
      </c>
      <c r="AW1954" s="6" t="str">
        <f>HYPERLINK("http://www.worldcat.org/oclc/11130054","WorldCat Record")</f>
        <v>WorldCat Record</v>
      </c>
      <c r="AX1954" s="3" t="s">
        <v>16787</v>
      </c>
      <c r="AY1954" s="3" t="s">
        <v>16788</v>
      </c>
      <c r="AZ1954" s="3" t="s">
        <v>16789</v>
      </c>
      <c r="BA1954" s="3" t="s">
        <v>16789</v>
      </c>
      <c r="BB1954" s="3" t="s">
        <v>16790</v>
      </c>
      <c r="BC1954" s="3" t="s">
        <v>82</v>
      </c>
      <c r="BD1954" s="3" t="s">
        <v>70</v>
      </c>
      <c r="BE1954" s="3" t="s">
        <v>16791</v>
      </c>
      <c r="BF1954" s="3" t="s">
        <v>16790</v>
      </c>
      <c r="BG1954" s="3" t="s">
        <v>16792</v>
      </c>
    </row>
    <row r="1955" spans="1:59" ht="60" x14ac:dyDescent="0.25">
      <c r="A1955" s="2" t="s">
        <v>59</v>
      </c>
      <c r="B1955" s="2" t="s">
        <v>60</v>
      </c>
      <c r="C1955" s="2" t="s">
        <v>16793</v>
      </c>
      <c r="D1955" s="2" t="s">
        <v>16794</v>
      </c>
      <c r="E1955" s="2" t="s">
        <v>16795</v>
      </c>
      <c r="F1955" s="3" t="s">
        <v>1095</v>
      </c>
      <c r="G1955" s="3" t="s">
        <v>62</v>
      </c>
      <c r="I1955" s="3" t="s">
        <v>62</v>
      </c>
      <c r="J1955" s="3" t="s">
        <v>63</v>
      </c>
      <c r="K1955" s="3" t="s">
        <v>64</v>
      </c>
      <c r="L1955" s="2" t="s">
        <v>16796</v>
      </c>
      <c r="M1955" s="2" t="s">
        <v>16797</v>
      </c>
      <c r="N1955" s="3" t="s">
        <v>2271</v>
      </c>
      <c r="P1955" s="3" t="s">
        <v>90</v>
      </c>
      <c r="R1955" s="3" t="s">
        <v>67</v>
      </c>
      <c r="S1955" s="4">
        <v>0</v>
      </c>
      <c r="T1955" s="4">
        <v>1</v>
      </c>
      <c r="V1955" s="5" t="s">
        <v>16798</v>
      </c>
      <c r="W1955" s="5" t="s">
        <v>69</v>
      </c>
      <c r="X1955" s="5" t="s">
        <v>69</v>
      </c>
      <c r="Y1955" s="4">
        <v>35</v>
      </c>
      <c r="Z1955" s="4">
        <v>6</v>
      </c>
      <c r="AA1955" s="4">
        <v>10</v>
      </c>
      <c r="AB1955" s="4">
        <v>1</v>
      </c>
      <c r="AC1955" s="4">
        <v>1</v>
      </c>
      <c r="AD1955" s="4">
        <v>10</v>
      </c>
      <c r="AE1955" s="4">
        <v>32</v>
      </c>
      <c r="AF1955" s="4">
        <v>0</v>
      </c>
      <c r="AG1955" s="4">
        <v>0</v>
      </c>
      <c r="AH1955" s="4">
        <v>8</v>
      </c>
      <c r="AI1955" s="4">
        <v>28</v>
      </c>
      <c r="AJ1955" s="4">
        <v>3</v>
      </c>
      <c r="AK1955" s="4">
        <v>6</v>
      </c>
      <c r="AL1955" s="4">
        <v>5</v>
      </c>
      <c r="AM1955" s="4">
        <v>17</v>
      </c>
      <c r="AN1955" s="4">
        <v>0</v>
      </c>
      <c r="AO1955" s="4">
        <v>0</v>
      </c>
      <c r="AP1955" s="4">
        <v>2</v>
      </c>
      <c r="AQ1955" s="4">
        <v>5</v>
      </c>
      <c r="AR1955" s="3" t="s">
        <v>63</v>
      </c>
      <c r="AS1955" s="3" t="s">
        <v>63</v>
      </c>
      <c r="AT1955" s="3" t="s">
        <v>63</v>
      </c>
      <c r="AV1955" s="6" t="str">
        <f>HYPERLINK("http://mcgill.on.worldcat.org/oclc/25457860","Catalog Record")</f>
        <v>Catalog Record</v>
      </c>
      <c r="AW1955" s="6" t="str">
        <f>HYPERLINK("http://www.worldcat.org/oclc/25457860","WorldCat Record")</f>
        <v>WorldCat Record</v>
      </c>
      <c r="AX1955" s="3" t="s">
        <v>16799</v>
      </c>
      <c r="AY1955" s="3" t="s">
        <v>16800</v>
      </c>
      <c r="AZ1955" s="3" t="s">
        <v>16801</v>
      </c>
      <c r="BA1955" s="3" t="s">
        <v>16801</v>
      </c>
      <c r="BB1955" s="3" t="s">
        <v>16802</v>
      </c>
      <c r="BC1955" s="3" t="s">
        <v>82</v>
      </c>
      <c r="BD1955" s="3" t="s">
        <v>70</v>
      </c>
      <c r="BF1955" s="3" t="s">
        <v>16802</v>
      </c>
      <c r="BG1955" s="3" t="s">
        <v>16803</v>
      </c>
    </row>
    <row r="1956" spans="1:59" ht="60" x14ac:dyDescent="0.25">
      <c r="A1956" s="2" t="s">
        <v>59</v>
      </c>
      <c r="B1956" s="2" t="s">
        <v>60</v>
      </c>
      <c r="C1956" s="2" t="s">
        <v>16793</v>
      </c>
      <c r="D1956" s="2" t="s">
        <v>16794</v>
      </c>
      <c r="E1956" s="2" t="s">
        <v>16795</v>
      </c>
      <c r="F1956" s="3" t="s">
        <v>61</v>
      </c>
      <c r="G1956" s="3" t="s">
        <v>62</v>
      </c>
      <c r="I1956" s="3" t="s">
        <v>62</v>
      </c>
      <c r="J1956" s="3" t="s">
        <v>63</v>
      </c>
      <c r="K1956" s="3" t="s">
        <v>64</v>
      </c>
      <c r="L1956" s="2" t="s">
        <v>16796</v>
      </c>
      <c r="M1956" s="2" t="s">
        <v>16797</v>
      </c>
      <c r="N1956" s="3" t="s">
        <v>2271</v>
      </c>
      <c r="P1956" s="3" t="s">
        <v>90</v>
      </c>
      <c r="R1956" s="3" t="s">
        <v>67</v>
      </c>
      <c r="S1956" s="4">
        <v>0</v>
      </c>
      <c r="T1956" s="4">
        <v>1</v>
      </c>
      <c r="V1956" s="5" t="s">
        <v>16798</v>
      </c>
      <c r="W1956" s="5" t="s">
        <v>69</v>
      </c>
      <c r="X1956" s="5" t="s">
        <v>69</v>
      </c>
      <c r="Y1956" s="4">
        <v>35</v>
      </c>
      <c r="Z1956" s="4">
        <v>6</v>
      </c>
      <c r="AA1956" s="4">
        <v>10</v>
      </c>
      <c r="AB1956" s="4">
        <v>1</v>
      </c>
      <c r="AC1956" s="4">
        <v>1</v>
      </c>
      <c r="AD1956" s="4">
        <v>10</v>
      </c>
      <c r="AE1956" s="4">
        <v>32</v>
      </c>
      <c r="AF1956" s="4">
        <v>0</v>
      </c>
      <c r="AG1956" s="4">
        <v>0</v>
      </c>
      <c r="AH1956" s="4">
        <v>8</v>
      </c>
      <c r="AI1956" s="4">
        <v>28</v>
      </c>
      <c r="AJ1956" s="4">
        <v>3</v>
      </c>
      <c r="AK1956" s="4">
        <v>6</v>
      </c>
      <c r="AL1956" s="4">
        <v>5</v>
      </c>
      <c r="AM1956" s="4">
        <v>17</v>
      </c>
      <c r="AN1956" s="4">
        <v>0</v>
      </c>
      <c r="AO1956" s="4">
        <v>0</v>
      </c>
      <c r="AP1956" s="4">
        <v>2</v>
      </c>
      <c r="AQ1956" s="4">
        <v>5</v>
      </c>
      <c r="AR1956" s="3" t="s">
        <v>63</v>
      </c>
      <c r="AS1956" s="3" t="s">
        <v>63</v>
      </c>
      <c r="AT1956" s="3" t="s">
        <v>63</v>
      </c>
      <c r="AV1956" s="6" t="str">
        <f>HYPERLINK("http://mcgill.on.worldcat.org/oclc/25457860","Catalog Record")</f>
        <v>Catalog Record</v>
      </c>
      <c r="AW1956" s="6" t="str">
        <f>HYPERLINK("http://www.worldcat.org/oclc/25457860","WorldCat Record")</f>
        <v>WorldCat Record</v>
      </c>
      <c r="AX1956" s="3" t="s">
        <v>16799</v>
      </c>
      <c r="AY1956" s="3" t="s">
        <v>16800</v>
      </c>
      <c r="AZ1956" s="3" t="s">
        <v>16801</v>
      </c>
      <c r="BA1956" s="3" t="s">
        <v>16801</v>
      </c>
      <c r="BB1956" s="3" t="s">
        <v>16804</v>
      </c>
      <c r="BC1956" s="3" t="s">
        <v>82</v>
      </c>
      <c r="BD1956" s="3" t="s">
        <v>70</v>
      </c>
      <c r="BF1956" s="3" t="s">
        <v>16804</v>
      </c>
      <c r="BG1956" s="3" t="s">
        <v>16805</v>
      </c>
    </row>
    <row r="1957" spans="1:59" ht="60" x14ac:dyDescent="0.25">
      <c r="A1957" s="2" t="s">
        <v>59</v>
      </c>
      <c r="B1957" s="2" t="s">
        <v>60</v>
      </c>
      <c r="C1957" s="2" t="s">
        <v>16793</v>
      </c>
      <c r="D1957" s="2" t="s">
        <v>16794</v>
      </c>
      <c r="E1957" s="2" t="s">
        <v>16795</v>
      </c>
      <c r="F1957" s="3" t="s">
        <v>2601</v>
      </c>
      <c r="G1957" s="3" t="s">
        <v>62</v>
      </c>
      <c r="I1957" s="3" t="s">
        <v>62</v>
      </c>
      <c r="J1957" s="3" t="s">
        <v>63</v>
      </c>
      <c r="K1957" s="3" t="s">
        <v>64</v>
      </c>
      <c r="L1957" s="2" t="s">
        <v>16796</v>
      </c>
      <c r="M1957" s="2" t="s">
        <v>16797</v>
      </c>
      <c r="N1957" s="3" t="s">
        <v>2271</v>
      </c>
      <c r="P1957" s="3" t="s">
        <v>90</v>
      </c>
      <c r="R1957" s="3" t="s">
        <v>67</v>
      </c>
      <c r="S1957" s="4">
        <v>0</v>
      </c>
      <c r="T1957" s="4">
        <v>1</v>
      </c>
      <c r="V1957" s="5" t="s">
        <v>16798</v>
      </c>
      <c r="W1957" s="5" t="s">
        <v>69</v>
      </c>
      <c r="X1957" s="5" t="s">
        <v>69</v>
      </c>
      <c r="Y1957" s="4">
        <v>35</v>
      </c>
      <c r="Z1957" s="4">
        <v>6</v>
      </c>
      <c r="AA1957" s="4">
        <v>10</v>
      </c>
      <c r="AB1957" s="4">
        <v>1</v>
      </c>
      <c r="AC1957" s="4">
        <v>1</v>
      </c>
      <c r="AD1957" s="4">
        <v>10</v>
      </c>
      <c r="AE1957" s="4">
        <v>32</v>
      </c>
      <c r="AF1957" s="4">
        <v>0</v>
      </c>
      <c r="AG1957" s="4">
        <v>0</v>
      </c>
      <c r="AH1957" s="4">
        <v>8</v>
      </c>
      <c r="AI1957" s="4">
        <v>28</v>
      </c>
      <c r="AJ1957" s="4">
        <v>3</v>
      </c>
      <c r="AK1957" s="4">
        <v>6</v>
      </c>
      <c r="AL1957" s="4">
        <v>5</v>
      </c>
      <c r="AM1957" s="4">
        <v>17</v>
      </c>
      <c r="AN1957" s="4">
        <v>0</v>
      </c>
      <c r="AO1957" s="4">
        <v>0</v>
      </c>
      <c r="AP1957" s="4">
        <v>2</v>
      </c>
      <c r="AQ1957" s="4">
        <v>5</v>
      </c>
      <c r="AR1957" s="3" t="s">
        <v>63</v>
      </c>
      <c r="AS1957" s="3" t="s">
        <v>63</v>
      </c>
      <c r="AT1957" s="3" t="s">
        <v>63</v>
      </c>
      <c r="AV1957" s="6" t="str">
        <f>HYPERLINK("http://mcgill.on.worldcat.org/oclc/25457860","Catalog Record")</f>
        <v>Catalog Record</v>
      </c>
      <c r="AW1957" s="6" t="str">
        <f>HYPERLINK("http://www.worldcat.org/oclc/25457860","WorldCat Record")</f>
        <v>WorldCat Record</v>
      </c>
      <c r="AX1957" s="3" t="s">
        <v>16799</v>
      </c>
      <c r="AY1957" s="3" t="s">
        <v>16800</v>
      </c>
      <c r="AZ1957" s="3" t="s">
        <v>16801</v>
      </c>
      <c r="BA1957" s="3" t="s">
        <v>16801</v>
      </c>
      <c r="BB1957" s="3" t="s">
        <v>16806</v>
      </c>
      <c r="BC1957" s="3" t="s">
        <v>82</v>
      </c>
      <c r="BD1957" s="3" t="s">
        <v>70</v>
      </c>
      <c r="BF1957" s="3" t="s">
        <v>16806</v>
      </c>
      <c r="BG1957" s="3" t="s">
        <v>16807</v>
      </c>
    </row>
    <row r="1958" spans="1:59" ht="60" x14ac:dyDescent="0.25">
      <c r="A1958" s="2" t="s">
        <v>59</v>
      </c>
      <c r="B1958" s="2" t="s">
        <v>60</v>
      </c>
      <c r="C1958" s="2" t="s">
        <v>16793</v>
      </c>
      <c r="D1958" s="2" t="s">
        <v>16794</v>
      </c>
      <c r="E1958" s="2" t="s">
        <v>16795</v>
      </c>
      <c r="F1958" s="3" t="s">
        <v>4168</v>
      </c>
      <c r="G1958" s="3" t="s">
        <v>62</v>
      </c>
      <c r="I1958" s="3" t="s">
        <v>62</v>
      </c>
      <c r="J1958" s="3" t="s">
        <v>63</v>
      </c>
      <c r="K1958" s="3" t="s">
        <v>64</v>
      </c>
      <c r="L1958" s="2" t="s">
        <v>16796</v>
      </c>
      <c r="M1958" s="2" t="s">
        <v>16797</v>
      </c>
      <c r="N1958" s="3" t="s">
        <v>2271</v>
      </c>
      <c r="P1958" s="3" t="s">
        <v>90</v>
      </c>
      <c r="R1958" s="3" t="s">
        <v>67</v>
      </c>
      <c r="S1958" s="4">
        <v>0</v>
      </c>
      <c r="T1958" s="4">
        <v>1</v>
      </c>
      <c r="V1958" s="5" t="s">
        <v>16798</v>
      </c>
      <c r="W1958" s="5" t="s">
        <v>69</v>
      </c>
      <c r="X1958" s="5" t="s">
        <v>69</v>
      </c>
      <c r="Y1958" s="4">
        <v>35</v>
      </c>
      <c r="Z1958" s="4">
        <v>6</v>
      </c>
      <c r="AA1958" s="4">
        <v>10</v>
      </c>
      <c r="AB1958" s="4">
        <v>1</v>
      </c>
      <c r="AC1958" s="4">
        <v>1</v>
      </c>
      <c r="AD1958" s="4">
        <v>10</v>
      </c>
      <c r="AE1958" s="4">
        <v>32</v>
      </c>
      <c r="AF1958" s="4">
        <v>0</v>
      </c>
      <c r="AG1958" s="4">
        <v>0</v>
      </c>
      <c r="AH1958" s="4">
        <v>8</v>
      </c>
      <c r="AI1958" s="4">
        <v>28</v>
      </c>
      <c r="AJ1958" s="4">
        <v>3</v>
      </c>
      <c r="AK1958" s="4">
        <v>6</v>
      </c>
      <c r="AL1958" s="4">
        <v>5</v>
      </c>
      <c r="AM1958" s="4">
        <v>17</v>
      </c>
      <c r="AN1958" s="4">
        <v>0</v>
      </c>
      <c r="AO1958" s="4">
        <v>0</v>
      </c>
      <c r="AP1958" s="4">
        <v>2</v>
      </c>
      <c r="AQ1958" s="4">
        <v>5</v>
      </c>
      <c r="AR1958" s="3" t="s">
        <v>63</v>
      </c>
      <c r="AS1958" s="3" t="s">
        <v>63</v>
      </c>
      <c r="AT1958" s="3" t="s">
        <v>63</v>
      </c>
      <c r="AV1958" s="6" t="str">
        <f>HYPERLINK("http://mcgill.on.worldcat.org/oclc/25457860","Catalog Record")</f>
        <v>Catalog Record</v>
      </c>
      <c r="AW1958" s="6" t="str">
        <f>HYPERLINK("http://www.worldcat.org/oclc/25457860","WorldCat Record")</f>
        <v>WorldCat Record</v>
      </c>
      <c r="AX1958" s="3" t="s">
        <v>16799</v>
      </c>
      <c r="AY1958" s="3" t="s">
        <v>16800</v>
      </c>
      <c r="AZ1958" s="3" t="s">
        <v>16801</v>
      </c>
      <c r="BA1958" s="3" t="s">
        <v>16801</v>
      </c>
      <c r="BB1958" s="3" t="s">
        <v>16808</v>
      </c>
      <c r="BC1958" s="3" t="s">
        <v>82</v>
      </c>
      <c r="BD1958" s="3" t="s">
        <v>70</v>
      </c>
      <c r="BF1958" s="3" t="s">
        <v>16808</v>
      </c>
      <c r="BG1958" s="3" t="s">
        <v>16809</v>
      </c>
    </row>
    <row r="1959" spans="1:59" ht="60" x14ac:dyDescent="0.25">
      <c r="A1959" s="2" t="s">
        <v>59</v>
      </c>
      <c r="B1959" s="2" t="s">
        <v>60</v>
      </c>
      <c r="C1959" s="2" t="s">
        <v>16793</v>
      </c>
      <c r="D1959" s="2" t="s">
        <v>16794</v>
      </c>
      <c r="E1959" s="2" t="s">
        <v>16795</v>
      </c>
      <c r="F1959" s="3" t="s">
        <v>4181</v>
      </c>
      <c r="G1959" s="3" t="s">
        <v>62</v>
      </c>
      <c r="I1959" s="3" t="s">
        <v>62</v>
      </c>
      <c r="J1959" s="3" t="s">
        <v>63</v>
      </c>
      <c r="K1959" s="3" t="s">
        <v>64</v>
      </c>
      <c r="L1959" s="2" t="s">
        <v>16796</v>
      </c>
      <c r="M1959" s="2" t="s">
        <v>16797</v>
      </c>
      <c r="N1959" s="3" t="s">
        <v>2271</v>
      </c>
      <c r="P1959" s="3" t="s">
        <v>90</v>
      </c>
      <c r="R1959" s="3" t="s">
        <v>67</v>
      </c>
      <c r="S1959" s="4">
        <v>0</v>
      </c>
      <c r="T1959" s="4">
        <v>1</v>
      </c>
      <c r="V1959" s="5" t="s">
        <v>16798</v>
      </c>
      <c r="W1959" s="5" t="s">
        <v>69</v>
      </c>
      <c r="X1959" s="5" t="s">
        <v>69</v>
      </c>
      <c r="Y1959" s="4">
        <v>35</v>
      </c>
      <c r="Z1959" s="4">
        <v>6</v>
      </c>
      <c r="AA1959" s="4">
        <v>10</v>
      </c>
      <c r="AB1959" s="4">
        <v>1</v>
      </c>
      <c r="AC1959" s="4">
        <v>1</v>
      </c>
      <c r="AD1959" s="4">
        <v>10</v>
      </c>
      <c r="AE1959" s="4">
        <v>32</v>
      </c>
      <c r="AF1959" s="4">
        <v>0</v>
      </c>
      <c r="AG1959" s="4">
        <v>0</v>
      </c>
      <c r="AH1959" s="4">
        <v>8</v>
      </c>
      <c r="AI1959" s="4">
        <v>28</v>
      </c>
      <c r="AJ1959" s="4">
        <v>3</v>
      </c>
      <c r="AK1959" s="4">
        <v>6</v>
      </c>
      <c r="AL1959" s="4">
        <v>5</v>
      </c>
      <c r="AM1959" s="4">
        <v>17</v>
      </c>
      <c r="AN1959" s="4">
        <v>0</v>
      </c>
      <c r="AO1959" s="4">
        <v>0</v>
      </c>
      <c r="AP1959" s="4">
        <v>2</v>
      </c>
      <c r="AQ1959" s="4">
        <v>5</v>
      </c>
      <c r="AR1959" s="3" t="s">
        <v>63</v>
      </c>
      <c r="AS1959" s="3" t="s">
        <v>63</v>
      </c>
      <c r="AT1959" s="3" t="s">
        <v>63</v>
      </c>
      <c r="AV1959" s="6" t="str">
        <f>HYPERLINK("http://mcgill.on.worldcat.org/oclc/25457860","Catalog Record")</f>
        <v>Catalog Record</v>
      </c>
      <c r="AW1959" s="6" t="str">
        <f>HYPERLINK("http://www.worldcat.org/oclc/25457860","WorldCat Record")</f>
        <v>WorldCat Record</v>
      </c>
      <c r="AX1959" s="3" t="s">
        <v>16799</v>
      </c>
      <c r="AY1959" s="3" t="s">
        <v>16800</v>
      </c>
      <c r="AZ1959" s="3" t="s">
        <v>16801</v>
      </c>
      <c r="BA1959" s="3" t="s">
        <v>16801</v>
      </c>
      <c r="BB1959" s="3" t="s">
        <v>16810</v>
      </c>
      <c r="BC1959" s="3" t="s">
        <v>82</v>
      </c>
      <c r="BD1959" s="3" t="s">
        <v>70</v>
      </c>
      <c r="BF1959" s="3" t="s">
        <v>16810</v>
      </c>
      <c r="BG1959" s="3" t="s">
        <v>16811</v>
      </c>
    </row>
    <row r="1960" spans="1:59" ht="60" x14ac:dyDescent="0.25">
      <c r="A1960" s="2" t="s">
        <v>59</v>
      </c>
      <c r="B1960" s="2" t="s">
        <v>60</v>
      </c>
      <c r="C1960" s="2" t="s">
        <v>16793</v>
      </c>
      <c r="D1960" s="2" t="s">
        <v>16794</v>
      </c>
      <c r="E1960" s="2" t="s">
        <v>16795</v>
      </c>
      <c r="F1960" s="3" t="s">
        <v>4184</v>
      </c>
      <c r="G1960" s="3" t="s">
        <v>62</v>
      </c>
      <c r="I1960" s="3" t="s">
        <v>62</v>
      </c>
      <c r="J1960" s="3" t="s">
        <v>63</v>
      </c>
      <c r="K1960" s="3" t="s">
        <v>64</v>
      </c>
      <c r="L1960" s="2" t="s">
        <v>16796</v>
      </c>
      <c r="M1960" s="2" t="s">
        <v>16797</v>
      </c>
      <c r="N1960" s="3" t="s">
        <v>2271</v>
      </c>
      <c r="P1960" s="3" t="s">
        <v>90</v>
      </c>
      <c r="R1960" s="3" t="s">
        <v>67</v>
      </c>
      <c r="S1960" s="4">
        <v>1</v>
      </c>
      <c r="T1960" s="4">
        <v>1</v>
      </c>
      <c r="U1960" s="5" t="s">
        <v>16798</v>
      </c>
      <c r="V1960" s="5" t="s">
        <v>16798</v>
      </c>
      <c r="W1960" s="5" t="s">
        <v>69</v>
      </c>
      <c r="X1960" s="5" t="s">
        <v>69</v>
      </c>
      <c r="Y1960" s="4">
        <v>35</v>
      </c>
      <c r="Z1960" s="4">
        <v>6</v>
      </c>
      <c r="AA1960" s="4">
        <v>10</v>
      </c>
      <c r="AB1960" s="4">
        <v>1</v>
      </c>
      <c r="AC1960" s="4">
        <v>1</v>
      </c>
      <c r="AD1960" s="4">
        <v>10</v>
      </c>
      <c r="AE1960" s="4">
        <v>32</v>
      </c>
      <c r="AF1960" s="4">
        <v>0</v>
      </c>
      <c r="AG1960" s="4">
        <v>0</v>
      </c>
      <c r="AH1960" s="4">
        <v>8</v>
      </c>
      <c r="AI1960" s="4">
        <v>28</v>
      </c>
      <c r="AJ1960" s="4">
        <v>3</v>
      </c>
      <c r="AK1960" s="4">
        <v>6</v>
      </c>
      <c r="AL1960" s="4">
        <v>5</v>
      </c>
      <c r="AM1960" s="4">
        <v>17</v>
      </c>
      <c r="AN1960" s="4">
        <v>0</v>
      </c>
      <c r="AO1960" s="4">
        <v>0</v>
      </c>
      <c r="AP1960" s="4">
        <v>2</v>
      </c>
      <c r="AQ1960" s="4">
        <v>5</v>
      </c>
      <c r="AR1960" s="3" t="s">
        <v>63</v>
      </c>
      <c r="AS1960" s="3" t="s">
        <v>63</v>
      </c>
      <c r="AT1960" s="3" t="s">
        <v>63</v>
      </c>
      <c r="AV1960" s="6" t="str">
        <f>HYPERLINK("http://mcgill.on.worldcat.org/oclc/25457860","Catalog Record")</f>
        <v>Catalog Record</v>
      </c>
      <c r="AW1960" s="6" t="str">
        <f>HYPERLINK("http://www.worldcat.org/oclc/25457860","WorldCat Record")</f>
        <v>WorldCat Record</v>
      </c>
      <c r="AX1960" s="3" t="s">
        <v>16799</v>
      </c>
      <c r="AY1960" s="3" t="s">
        <v>16800</v>
      </c>
      <c r="AZ1960" s="3" t="s">
        <v>16801</v>
      </c>
      <c r="BA1960" s="3" t="s">
        <v>16801</v>
      </c>
      <c r="BB1960" s="3" t="s">
        <v>16812</v>
      </c>
      <c r="BC1960" s="3" t="s">
        <v>82</v>
      </c>
      <c r="BD1960" s="3" t="s">
        <v>70</v>
      </c>
      <c r="BF1960" s="3" t="s">
        <v>16812</v>
      </c>
      <c r="BG1960" s="3" t="s">
        <v>16813</v>
      </c>
    </row>
    <row r="1961" spans="1:59" ht="60" x14ac:dyDescent="0.25">
      <c r="A1961" s="2" t="s">
        <v>59</v>
      </c>
      <c r="B1961" s="2" t="s">
        <v>60</v>
      </c>
      <c r="C1961" s="2" t="s">
        <v>16814</v>
      </c>
      <c r="D1961" s="2" t="s">
        <v>16815</v>
      </c>
      <c r="E1961" s="2" t="s">
        <v>16816</v>
      </c>
      <c r="G1961" s="3" t="s">
        <v>63</v>
      </c>
      <c r="I1961" s="3" t="s">
        <v>63</v>
      </c>
      <c r="J1961" s="3" t="s">
        <v>63</v>
      </c>
      <c r="K1961" s="3" t="s">
        <v>64</v>
      </c>
      <c r="L1961" s="2" t="s">
        <v>16796</v>
      </c>
      <c r="M1961" s="2" t="s">
        <v>16817</v>
      </c>
      <c r="N1961" s="3" t="s">
        <v>8667</v>
      </c>
      <c r="P1961" s="3" t="s">
        <v>66</v>
      </c>
      <c r="Q1961" s="2" t="s">
        <v>16818</v>
      </c>
      <c r="R1961" s="3" t="s">
        <v>67</v>
      </c>
      <c r="S1961" s="4">
        <v>1</v>
      </c>
      <c r="T1961" s="4">
        <v>1</v>
      </c>
      <c r="U1961" s="5" t="s">
        <v>16819</v>
      </c>
      <c r="V1961" s="5" t="s">
        <v>16819</v>
      </c>
      <c r="W1961" s="5" t="s">
        <v>69</v>
      </c>
      <c r="X1961" s="5" t="s">
        <v>69</v>
      </c>
      <c r="Y1961" s="4">
        <v>108</v>
      </c>
      <c r="Z1961" s="4">
        <v>5</v>
      </c>
      <c r="AA1961" s="4">
        <v>10</v>
      </c>
      <c r="AB1961" s="4">
        <v>1</v>
      </c>
      <c r="AC1961" s="4">
        <v>3</v>
      </c>
      <c r="AD1961" s="4">
        <v>48</v>
      </c>
      <c r="AE1961" s="4">
        <v>72</v>
      </c>
      <c r="AF1961" s="4">
        <v>0</v>
      </c>
      <c r="AG1961" s="4">
        <v>1</v>
      </c>
      <c r="AH1961" s="4">
        <v>41</v>
      </c>
      <c r="AI1961" s="4">
        <v>62</v>
      </c>
      <c r="AJ1961" s="4">
        <v>3</v>
      </c>
      <c r="AK1961" s="4">
        <v>4</v>
      </c>
      <c r="AL1961" s="4">
        <v>31</v>
      </c>
      <c r="AM1961" s="4">
        <v>42</v>
      </c>
      <c r="AN1961" s="4">
        <v>0</v>
      </c>
      <c r="AO1961" s="4">
        <v>0</v>
      </c>
      <c r="AP1961" s="4">
        <v>4</v>
      </c>
      <c r="AQ1961" s="4">
        <v>7</v>
      </c>
      <c r="AR1961" s="3" t="s">
        <v>63</v>
      </c>
      <c r="AS1961" s="3" t="s">
        <v>62</v>
      </c>
      <c r="AT1961" s="3" t="s">
        <v>63</v>
      </c>
      <c r="AU1961" s="6" t="str">
        <f>HYPERLINK("http://catalog.hathitrust.org/Record/001730225","HathiTrust Record")</f>
        <v>HathiTrust Record</v>
      </c>
      <c r="AV1961" s="6" t="str">
        <f>HYPERLINK("http://mcgill.on.worldcat.org/oclc/1409571","Catalog Record")</f>
        <v>Catalog Record</v>
      </c>
      <c r="AW1961" s="6" t="str">
        <f>HYPERLINK("http://www.worldcat.org/oclc/1409571","WorldCat Record")</f>
        <v>WorldCat Record</v>
      </c>
      <c r="AX1961" s="3" t="s">
        <v>16820</v>
      </c>
      <c r="AY1961" s="3" t="s">
        <v>16821</v>
      </c>
      <c r="AZ1961" s="3" t="s">
        <v>16822</v>
      </c>
      <c r="BA1961" s="3" t="s">
        <v>16822</v>
      </c>
      <c r="BB1961" s="3" t="s">
        <v>16823</v>
      </c>
      <c r="BC1961" s="3" t="s">
        <v>82</v>
      </c>
      <c r="BD1961" s="3" t="s">
        <v>70</v>
      </c>
      <c r="BF1961" s="3" t="s">
        <v>16823</v>
      </c>
      <c r="BG1961" s="3" t="s">
        <v>16824</v>
      </c>
    </row>
    <row r="1962" spans="1:59" ht="60" x14ac:dyDescent="0.25">
      <c r="A1962" s="2" t="s">
        <v>59</v>
      </c>
      <c r="B1962" s="2" t="s">
        <v>60</v>
      </c>
      <c r="C1962" s="2" t="s">
        <v>16825</v>
      </c>
      <c r="D1962" s="2" t="s">
        <v>16826</v>
      </c>
      <c r="E1962" s="2" t="s">
        <v>16827</v>
      </c>
      <c r="G1962" s="3" t="s">
        <v>63</v>
      </c>
      <c r="I1962" s="3" t="s">
        <v>63</v>
      </c>
      <c r="J1962" s="3" t="s">
        <v>63</v>
      </c>
      <c r="K1962" s="3" t="s">
        <v>64</v>
      </c>
      <c r="L1962" s="2" t="s">
        <v>16828</v>
      </c>
      <c r="M1962" s="2" t="s">
        <v>16829</v>
      </c>
      <c r="N1962" s="3" t="s">
        <v>743</v>
      </c>
      <c r="P1962" s="3" t="s">
        <v>66</v>
      </c>
      <c r="Q1962" s="2" t="s">
        <v>16830</v>
      </c>
      <c r="R1962" s="3" t="s">
        <v>67</v>
      </c>
      <c r="S1962" s="4">
        <v>2</v>
      </c>
      <c r="T1962" s="4">
        <v>2</v>
      </c>
      <c r="U1962" s="5" t="s">
        <v>11927</v>
      </c>
      <c r="V1962" s="5" t="s">
        <v>11927</v>
      </c>
      <c r="W1962" s="5" t="s">
        <v>69</v>
      </c>
      <c r="X1962" s="5" t="s">
        <v>69</v>
      </c>
      <c r="Y1962" s="4">
        <v>736</v>
      </c>
      <c r="Z1962" s="4">
        <v>33</v>
      </c>
      <c r="AA1962" s="4">
        <v>33</v>
      </c>
      <c r="AB1962" s="4">
        <v>3</v>
      </c>
      <c r="AC1962" s="4">
        <v>3</v>
      </c>
      <c r="AD1962" s="4">
        <v>112</v>
      </c>
      <c r="AE1962" s="4">
        <v>112</v>
      </c>
      <c r="AF1962" s="4">
        <v>1</v>
      </c>
      <c r="AG1962" s="4">
        <v>1</v>
      </c>
      <c r="AH1962" s="4">
        <v>95</v>
      </c>
      <c r="AI1962" s="4">
        <v>95</v>
      </c>
      <c r="AJ1962" s="4">
        <v>19</v>
      </c>
      <c r="AK1962" s="4">
        <v>19</v>
      </c>
      <c r="AL1962" s="4">
        <v>50</v>
      </c>
      <c r="AM1962" s="4">
        <v>50</v>
      </c>
      <c r="AN1962" s="4">
        <v>0</v>
      </c>
      <c r="AO1962" s="4">
        <v>0</v>
      </c>
      <c r="AP1962" s="4">
        <v>24</v>
      </c>
      <c r="AQ1962" s="4">
        <v>24</v>
      </c>
      <c r="AR1962" s="3" t="s">
        <v>63</v>
      </c>
      <c r="AS1962" s="3" t="s">
        <v>63</v>
      </c>
      <c r="AT1962" s="3" t="s">
        <v>62</v>
      </c>
      <c r="AU1962" s="6" t="str">
        <f>HYPERLINK("http://catalog.hathitrust.org/Record/001061011","HathiTrust Record")</f>
        <v>HathiTrust Record</v>
      </c>
      <c r="AV1962" s="6" t="str">
        <f>HYPERLINK("http://mcgill.on.worldcat.org/oclc/251477","Catalog Record")</f>
        <v>Catalog Record</v>
      </c>
      <c r="AW1962" s="6" t="str">
        <f>HYPERLINK("http://www.worldcat.org/oclc/251477","WorldCat Record")</f>
        <v>WorldCat Record</v>
      </c>
      <c r="AX1962" s="3" t="s">
        <v>16831</v>
      </c>
      <c r="AY1962" s="3" t="s">
        <v>16832</v>
      </c>
      <c r="AZ1962" s="3" t="s">
        <v>16833</v>
      </c>
      <c r="BA1962" s="3" t="s">
        <v>16833</v>
      </c>
      <c r="BB1962" s="3" t="s">
        <v>16834</v>
      </c>
      <c r="BC1962" s="3" t="s">
        <v>82</v>
      </c>
      <c r="BD1962" s="3" t="s">
        <v>70</v>
      </c>
      <c r="BF1962" s="3" t="s">
        <v>16834</v>
      </c>
      <c r="BG1962" s="3" t="s">
        <v>16835</v>
      </c>
    </row>
    <row r="1963" spans="1:59" ht="60" x14ac:dyDescent="0.25">
      <c r="A1963" s="2" t="s">
        <v>59</v>
      </c>
      <c r="B1963" s="2" t="s">
        <v>60</v>
      </c>
      <c r="C1963" s="2" t="s">
        <v>16836</v>
      </c>
      <c r="D1963" s="2" t="s">
        <v>16837</v>
      </c>
      <c r="E1963" s="2" t="s">
        <v>16838</v>
      </c>
      <c r="G1963" s="3" t="s">
        <v>63</v>
      </c>
      <c r="I1963" s="3" t="s">
        <v>63</v>
      </c>
      <c r="J1963" s="3" t="s">
        <v>63</v>
      </c>
      <c r="K1963" s="3" t="s">
        <v>64</v>
      </c>
      <c r="L1963" s="2" t="s">
        <v>16839</v>
      </c>
      <c r="M1963" s="2" t="s">
        <v>16840</v>
      </c>
      <c r="N1963" s="3" t="s">
        <v>4685</v>
      </c>
      <c r="O1963" s="2" t="s">
        <v>3337</v>
      </c>
      <c r="P1963" s="3" t="s">
        <v>90</v>
      </c>
      <c r="R1963" s="3" t="s">
        <v>67</v>
      </c>
      <c r="S1963" s="4">
        <v>1</v>
      </c>
      <c r="T1963" s="4">
        <v>1</v>
      </c>
      <c r="U1963" s="5" t="s">
        <v>1162</v>
      </c>
      <c r="V1963" s="5" t="s">
        <v>1162</v>
      </c>
      <c r="W1963" s="5" t="s">
        <v>69</v>
      </c>
      <c r="X1963" s="5" t="s">
        <v>69</v>
      </c>
      <c r="Y1963" s="4">
        <v>12</v>
      </c>
      <c r="Z1963" s="4">
        <v>1</v>
      </c>
      <c r="AA1963" s="4">
        <v>1</v>
      </c>
      <c r="AB1963" s="4">
        <v>1</v>
      </c>
      <c r="AC1963" s="4">
        <v>1</v>
      </c>
      <c r="AD1963" s="4">
        <v>8</v>
      </c>
      <c r="AE1963" s="4">
        <v>17</v>
      </c>
      <c r="AF1963" s="4">
        <v>0</v>
      </c>
      <c r="AG1963" s="4">
        <v>0</v>
      </c>
      <c r="AH1963" s="4">
        <v>8</v>
      </c>
      <c r="AI1963" s="4">
        <v>16</v>
      </c>
      <c r="AJ1963" s="4">
        <v>0</v>
      </c>
      <c r="AK1963" s="4">
        <v>0</v>
      </c>
      <c r="AL1963" s="4">
        <v>6</v>
      </c>
      <c r="AM1963" s="4">
        <v>14</v>
      </c>
      <c r="AN1963" s="4">
        <v>0</v>
      </c>
      <c r="AO1963" s="4">
        <v>0</v>
      </c>
      <c r="AP1963" s="4">
        <v>0</v>
      </c>
      <c r="AQ1963" s="4">
        <v>0</v>
      </c>
      <c r="AR1963" s="3" t="s">
        <v>63</v>
      </c>
      <c r="AS1963" s="3" t="s">
        <v>63</v>
      </c>
      <c r="AT1963" s="3" t="s">
        <v>63</v>
      </c>
      <c r="AU1963" s="6" t="str">
        <f>HYPERLINK("http://catalog.hathitrust.org/Record/009012725","HathiTrust Record")</f>
        <v>HathiTrust Record</v>
      </c>
      <c r="AV1963" s="6" t="str">
        <f>HYPERLINK("http://mcgill.on.worldcat.org/oclc/4239614","Catalog Record")</f>
        <v>Catalog Record</v>
      </c>
      <c r="AW1963" s="6" t="str">
        <f>HYPERLINK("http://www.worldcat.org/oclc/4239614","WorldCat Record")</f>
        <v>WorldCat Record</v>
      </c>
      <c r="AX1963" s="3" t="s">
        <v>16841</v>
      </c>
      <c r="AY1963" s="3" t="s">
        <v>16842</v>
      </c>
      <c r="AZ1963" s="3" t="s">
        <v>16843</v>
      </c>
      <c r="BA1963" s="3" t="s">
        <v>16843</v>
      </c>
      <c r="BB1963" s="3" t="s">
        <v>16844</v>
      </c>
      <c r="BC1963" s="3" t="s">
        <v>82</v>
      </c>
      <c r="BD1963" s="3" t="s">
        <v>70</v>
      </c>
      <c r="BF1963" s="3" t="s">
        <v>16844</v>
      </c>
      <c r="BG1963" s="3" t="s">
        <v>16845</v>
      </c>
    </row>
    <row r="1964" spans="1:59" ht="60" x14ac:dyDescent="0.25">
      <c r="A1964" s="2" t="s">
        <v>59</v>
      </c>
      <c r="B1964" s="2" t="s">
        <v>60</v>
      </c>
      <c r="C1964" s="2" t="s">
        <v>16846</v>
      </c>
      <c r="D1964" s="2" t="s">
        <v>16847</v>
      </c>
      <c r="E1964" s="2" t="s">
        <v>16848</v>
      </c>
      <c r="F1964" s="3" t="s">
        <v>10507</v>
      </c>
      <c r="G1964" s="3" t="s">
        <v>62</v>
      </c>
      <c r="I1964" s="3" t="s">
        <v>62</v>
      </c>
      <c r="J1964" s="3" t="s">
        <v>63</v>
      </c>
      <c r="K1964" s="3" t="s">
        <v>64</v>
      </c>
      <c r="L1964" s="2" t="s">
        <v>16849</v>
      </c>
      <c r="M1964" s="2" t="s">
        <v>16850</v>
      </c>
      <c r="N1964" s="3" t="s">
        <v>758</v>
      </c>
      <c r="P1964" s="3" t="s">
        <v>90</v>
      </c>
      <c r="Q1964" s="2" t="s">
        <v>16851</v>
      </c>
      <c r="R1964" s="3" t="s">
        <v>67</v>
      </c>
      <c r="S1964" s="4">
        <v>3</v>
      </c>
      <c r="T1964" s="4">
        <v>60</v>
      </c>
      <c r="U1964" s="5" t="s">
        <v>12947</v>
      </c>
      <c r="V1964" s="5" t="s">
        <v>16852</v>
      </c>
      <c r="W1964" s="5" t="s">
        <v>69</v>
      </c>
      <c r="X1964" s="5" t="s">
        <v>69</v>
      </c>
      <c r="Y1964" s="4">
        <v>1</v>
      </c>
      <c r="Z1964" s="4">
        <v>1</v>
      </c>
      <c r="AA1964" s="4">
        <v>1</v>
      </c>
      <c r="AB1964" s="4">
        <v>1</v>
      </c>
      <c r="AC1964" s="4">
        <v>1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3" t="s">
        <v>63</v>
      </c>
      <c r="AS1964" s="3" t="s">
        <v>63</v>
      </c>
      <c r="AT1964" s="3" t="s">
        <v>63</v>
      </c>
      <c r="AV1964" s="6" t="str">
        <f>HYPERLINK("http://mcgill.on.worldcat.org/oclc/427855453","Catalog Record")</f>
        <v>Catalog Record</v>
      </c>
      <c r="AW1964" s="6" t="str">
        <f>HYPERLINK("http://www.worldcat.org/oclc/427855453","WorldCat Record")</f>
        <v>WorldCat Record</v>
      </c>
      <c r="AX1964" s="3" t="s">
        <v>16853</v>
      </c>
      <c r="AY1964" s="3" t="s">
        <v>16854</v>
      </c>
      <c r="AZ1964" s="3" t="s">
        <v>16855</v>
      </c>
      <c r="BA1964" s="3" t="s">
        <v>16855</v>
      </c>
      <c r="BB1964" s="3" t="s">
        <v>16856</v>
      </c>
      <c r="BC1964" s="3" t="s">
        <v>82</v>
      </c>
      <c r="BD1964" s="3" t="s">
        <v>70</v>
      </c>
      <c r="BF1964" s="3" t="s">
        <v>16856</v>
      </c>
      <c r="BG1964" s="3" t="s">
        <v>16857</v>
      </c>
    </row>
    <row r="1965" spans="1:59" ht="60" x14ac:dyDescent="0.25">
      <c r="A1965" s="2" t="s">
        <v>59</v>
      </c>
      <c r="B1965" s="2" t="s">
        <v>60</v>
      </c>
      <c r="C1965" s="2" t="s">
        <v>16846</v>
      </c>
      <c r="D1965" s="2" t="s">
        <v>16847</v>
      </c>
      <c r="E1965" s="2" t="s">
        <v>16848</v>
      </c>
      <c r="F1965" s="3" t="s">
        <v>15800</v>
      </c>
      <c r="G1965" s="3" t="s">
        <v>62</v>
      </c>
      <c r="I1965" s="3" t="s">
        <v>62</v>
      </c>
      <c r="J1965" s="3" t="s">
        <v>63</v>
      </c>
      <c r="K1965" s="3" t="s">
        <v>64</v>
      </c>
      <c r="L1965" s="2" t="s">
        <v>16849</v>
      </c>
      <c r="M1965" s="2" t="s">
        <v>16850</v>
      </c>
      <c r="N1965" s="3" t="s">
        <v>758</v>
      </c>
      <c r="P1965" s="3" t="s">
        <v>90</v>
      </c>
      <c r="Q1965" s="2" t="s">
        <v>16851</v>
      </c>
      <c r="R1965" s="3" t="s">
        <v>67</v>
      </c>
      <c r="S1965" s="4">
        <v>6</v>
      </c>
      <c r="T1965" s="4">
        <v>60</v>
      </c>
      <c r="U1965" s="5" t="s">
        <v>16858</v>
      </c>
      <c r="V1965" s="5" t="s">
        <v>16852</v>
      </c>
      <c r="W1965" s="5" t="s">
        <v>69</v>
      </c>
      <c r="X1965" s="5" t="s">
        <v>69</v>
      </c>
      <c r="Y1965" s="4">
        <v>1</v>
      </c>
      <c r="Z1965" s="4">
        <v>1</v>
      </c>
      <c r="AA1965" s="4">
        <v>1</v>
      </c>
      <c r="AB1965" s="4">
        <v>1</v>
      </c>
      <c r="AC1965" s="4">
        <v>1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3" t="s">
        <v>63</v>
      </c>
      <c r="AS1965" s="3" t="s">
        <v>63</v>
      </c>
      <c r="AT1965" s="3" t="s">
        <v>63</v>
      </c>
      <c r="AV1965" s="6" t="str">
        <f>HYPERLINK("http://mcgill.on.worldcat.org/oclc/427855453","Catalog Record")</f>
        <v>Catalog Record</v>
      </c>
      <c r="AW1965" s="6" t="str">
        <f>HYPERLINK("http://www.worldcat.org/oclc/427855453","WorldCat Record")</f>
        <v>WorldCat Record</v>
      </c>
      <c r="AX1965" s="3" t="s">
        <v>16853</v>
      </c>
      <c r="AY1965" s="3" t="s">
        <v>16854</v>
      </c>
      <c r="AZ1965" s="3" t="s">
        <v>16855</v>
      </c>
      <c r="BA1965" s="3" t="s">
        <v>16855</v>
      </c>
      <c r="BB1965" s="3" t="s">
        <v>16859</v>
      </c>
      <c r="BC1965" s="3" t="s">
        <v>82</v>
      </c>
      <c r="BD1965" s="3" t="s">
        <v>70</v>
      </c>
      <c r="BF1965" s="3" t="s">
        <v>16859</v>
      </c>
      <c r="BG1965" s="3" t="s">
        <v>16860</v>
      </c>
    </row>
    <row r="1966" spans="1:59" ht="60" x14ac:dyDescent="0.25">
      <c r="A1966" s="2" t="s">
        <v>59</v>
      </c>
      <c r="B1966" s="2" t="s">
        <v>60</v>
      </c>
      <c r="C1966" s="2" t="s">
        <v>16846</v>
      </c>
      <c r="D1966" s="2" t="s">
        <v>16847</v>
      </c>
      <c r="E1966" s="2" t="s">
        <v>16848</v>
      </c>
      <c r="F1966" s="3" t="s">
        <v>15791</v>
      </c>
      <c r="G1966" s="3" t="s">
        <v>62</v>
      </c>
      <c r="I1966" s="3" t="s">
        <v>62</v>
      </c>
      <c r="J1966" s="3" t="s">
        <v>63</v>
      </c>
      <c r="K1966" s="3" t="s">
        <v>64</v>
      </c>
      <c r="L1966" s="2" t="s">
        <v>16849</v>
      </c>
      <c r="M1966" s="2" t="s">
        <v>16850</v>
      </c>
      <c r="N1966" s="3" t="s">
        <v>758</v>
      </c>
      <c r="P1966" s="3" t="s">
        <v>90</v>
      </c>
      <c r="Q1966" s="2" t="s">
        <v>16851</v>
      </c>
      <c r="R1966" s="3" t="s">
        <v>67</v>
      </c>
      <c r="S1966" s="4">
        <v>2</v>
      </c>
      <c r="T1966" s="4">
        <v>60</v>
      </c>
      <c r="U1966" s="5" t="s">
        <v>16861</v>
      </c>
      <c r="V1966" s="5" t="s">
        <v>16852</v>
      </c>
      <c r="W1966" s="5" t="s">
        <v>69</v>
      </c>
      <c r="X1966" s="5" t="s">
        <v>69</v>
      </c>
      <c r="Y1966" s="4">
        <v>1</v>
      </c>
      <c r="Z1966" s="4">
        <v>1</v>
      </c>
      <c r="AA1966" s="4">
        <v>1</v>
      </c>
      <c r="AB1966" s="4">
        <v>1</v>
      </c>
      <c r="AC1966" s="4">
        <v>1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3" t="s">
        <v>63</v>
      </c>
      <c r="AS1966" s="3" t="s">
        <v>63</v>
      </c>
      <c r="AT1966" s="3" t="s">
        <v>63</v>
      </c>
      <c r="AV1966" s="6" t="str">
        <f>HYPERLINK("http://mcgill.on.worldcat.org/oclc/427855453","Catalog Record")</f>
        <v>Catalog Record</v>
      </c>
      <c r="AW1966" s="6" t="str">
        <f>HYPERLINK("http://www.worldcat.org/oclc/427855453","WorldCat Record")</f>
        <v>WorldCat Record</v>
      </c>
      <c r="AX1966" s="3" t="s">
        <v>16853</v>
      </c>
      <c r="AY1966" s="3" t="s">
        <v>16854</v>
      </c>
      <c r="AZ1966" s="3" t="s">
        <v>16855</v>
      </c>
      <c r="BA1966" s="3" t="s">
        <v>16855</v>
      </c>
      <c r="BB1966" s="3" t="s">
        <v>16862</v>
      </c>
      <c r="BC1966" s="3" t="s">
        <v>82</v>
      </c>
      <c r="BD1966" s="3" t="s">
        <v>70</v>
      </c>
      <c r="BF1966" s="3" t="s">
        <v>16862</v>
      </c>
      <c r="BG1966" s="3" t="s">
        <v>16863</v>
      </c>
    </row>
    <row r="1967" spans="1:59" ht="60" x14ac:dyDescent="0.25">
      <c r="A1967" s="2" t="s">
        <v>59</v>
      </c>
      <c r="B1967" s="2" t="s">
        <v>60</v>
      </c>
      <c r="C1967" s="2" t="s">
        <v>16846</v>
      </c>
      <c r="D1967" s="2" t="s">
        <v>16847</v>
      </c>
      <c r="E1967" s="2" t="s">
        <v>16848</v>
      </c>
      <c r="F1967" s="3" t="s">
        <v>5684</v>
      </c>
      <c r="G1967" s="3" t="s">
        <v>62</v>
      </c>
      <c r="I1967" s="3" t="s">
        <v>62</v>
      </c>
      <c r="J1967" s="3" t="s">
        <v>63</v>
      </c>
      <c r="K1967" s="3" t="s">
        <v>64</v>
      </c>
      <c r="L1967" s="2" t="s">
        <v>16849</v>
      </c>
      <c r="M1967" s="2" t="s">
        <v>16850</v>
      </c>
      <c r="N1967" s="3" t="s">
        <v>758</v>
      </c>
      <c r="P1967" s="3" t="s">
        <v>90</v>
      </c>
      <c r="Q1967" s="2" t="s">
        <v>16851</v>
      </c>
      <c r="R1967" s="3" t="s">
        <v>67</v>
      </c>
      <c r="S1967" s="4">
        <v>2</v>
      </c>
      <c r="T1967" s="4">
        <v>60</v>
      </c>
      <c r="U1967" s="5" t="s">
        <v>16864</v>
      </c>
      <c r="V1967" s="5" t="s">
        <v>16852</v>
      </c>
      <c r="W1967" s="5" t="s">
        <v>69</v>
      </c>
      <c r="X1967" s="5" t="s">
        <v>69</v>
      </c>
      <c r="Y1967" s="4">
        <v>1</v>
      </c>
      <c r="Z1967" s="4">
        <v>1</v>
      </c>
      <c r="AA1967" s="4">
        <v>1</v>
      </c>
      <c r="AB1967" s="4">
        <v>1</v>
      </c>
      <c r="AC1967" s="4">
        <v>1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3" t="s">
        <v>63</v>
      </c>
      <c r="AS1967" s="3" t="s">
        <v>63</v>
      </c>
      <c r="AT1967" s="3" t="s">
        <v>63</v>
      </c>
      <c r="AV1967" s="6" t="str">
        <f>HYPERLINK("http://mcgill.on.worldcat.org/oclc/427855453","Catalog Record")</f>
        <v>Catalog Record</v>
      </c>
      <c r="AW1967" s="6" t="str">
        <f>HYPERLINK("http://www.worldcat.org/oclc/427855453","WorldCat Record")</f>
        <v>WorldCat Record</v>
      </c>
      <c r="AX1967" s="3" t="s">
        <v>16853</v>
      </c>
      <c r="AY1967" s="3" t="s">
        <v>16854</v>
      </c>
      <c r="AZ1967" s="3" t="s">
        <v>16855</v>
      </c>
      <c r="BA1967" s="3" t="s">
        <v>16855</v>
      </c>
      <c r="BB1967" s="3" t="s">
        <v>16865</v>
      </c>
      <c r="BC1967" s="3" t="s">
        <v>82</v>
      </c>
      <c r="BD1967" s="3" t="s">
        <v>70</v>
      </c>
      <c r="BF1967" s="3" t="s">
        <v>16865</v>
      </c>
      <c r="BG1967" s="3" t="s">
        <v>16866</v>
      </c>
    </row>
    <row r="1968" spans="1:59" ht="60" x14ac:dyDescent="0.25">
      <c r="A1968" s="2" t="s">
        <v>59</v>
      </c>
      <c r="B1968" s="2" t="s">
        <v>60</v>
      </c>
      <c r="C1968" s="2" t="s">
        <v>16846</v>
      </c>
      <c r="D1968" s="2" t="s">
        <v>16847</v>
      </c>
      <c r="E1968" s="2" t="s">
        <v>16848</v>
      </c>
      <c r="F1968" s="3" t="s">
        <v>15794</v>
      </c>
      <c r="G1968" s="3" t="s">
        <v>62</v>
      </c>
      <c r="I1968" s="3" t="s">
        <v>62</v>
      </c>
      <c r="J1968" s="3" t="s">
        <v>63</v>
      </c>
      <c r="K1968" s="3" t="s">
        <v>64</v>
      </c>
      <c r="L1968" s="2" t="s">
        <v>16849</v>
      </c>
      <c r="M1968" s="2" t="s">
        <v>16850</v>
      </c>
      <c r="N1968" s="3" t="s">
        <v>758</v>
      </c>
      <c r="P1968" s="3" t="s">
        <v>90</v>
      </c>
      <c r="Q1968" s="2" t="s">
        <v>16851</v>
      </c>
      <c r="R1968" s="3" t="s">
        <v>67</v>
      </c>
      <c r="S1968" s="4">
        <v>0</v>
      </c>
      <c r="T1968" s="4">
        <v>60</v>
      </c>
      <c r="V1968" s="5" t="s">
        <v>16852</v>
      </c>
      <c r="W1968" s="5" t="s">
        <v>69</v>
      </c>
      <c r="X1968" s="5" t="s">
        <v>69</v>
      </c>
      <c r="Y1968" s="4">
        <v>1</v>
      </c>
      <c r="Z1968" s="4">
        <v>1</v>
      </c>
      <c r="AA1968" s="4">
        <v>1</v>
      </c>
      <c r="AB1968" s="4">
        <v>1</v>
      </c>
      <c r="AC1968" s="4">
        <v>1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3" t="s">
        <v>63</v>
      </c>
      <c r="AS1968" s="3" t="s">
        <v>63</v>
      </c>
      <c r="AT1968" s="3" t="s">
        <v>63</v>
      </c>
      <c r="AV1968" s="6" t="str">
        <f>HYPERLINK("http://mcgill.on.worldcat.org/oclc/427855453","Catalog Record")</f>
        <v>Catalog Record</v>
      </c>
      <c r="AW1968" s="6" t="str">
        <f>HYPERLINK("http://www.worldcat.org/oclc/427855453","WorldCat Record")</f>
        <v>WorldCat Record</v>
      </c>
      <c r="AX1968" s="3" t="s">
        <v>16853</v>
      </c>
      <c r="AY1968" s="3" t="s">
        <v>16854</v>
      </c>
      <c r="AZ1968" s="3" t="s">
        <v>16855</v>
      </c>
      <c r="BA1968" s="3" t="s">
        <v>16855</v>
      </c>
      <c r="BB1968" s="3" t="s">
        <v>16867</v>
      </c>
      <c r="BC1968" s="3" t="s">
        <v>82</v>
      </c>
      <c r="BD1968" s="3" t="s">
        <v>70</v>
      </c>
      <c r="BF1968" s="3" t="s">
        <v>16867</v>
      </c>
      <c r="BG1968" s="3" t="s">
        <v>16868</v>
      </c>
    </row>
    <row r="1969" spans="1:59" ht="60" x14ac:dyDescent="0.25">
      <c r="A1969" s="2" t="s">
        <v>59</v>
      </c>
      <c r="B1969" s="2" t="s">
        <v>60</v>
      </c>
      <c r="C1969" s="2" t="s">
        <v>16846</v>
      </c>
      <c r="D1969" s="2" t="s">
        <v>16847</v>
      </c>
      <c r="E1969" s="2" t="s">
        <v>16848</v>
      </c>
      <c r="F1969" s="3" t="s">
        <v>15809</v>
      </c>
      <c r="G1969" s="3" t="s">
        <v>62</v>
      </c>
      <c r="I1969" s="3" t="s">
        <v>62</v>
      </c>
      <c r="J1969" s="3" t="s">
        <v>63</v>
      </c>
      <c r="K1969" s="3" t="s">
        <v>64</v>
      </c>
      <c r="L1969" s="2" t="s">
        <v>16849</v>
      </c>
      <c r="M1969" s="2" t="s">
        <v>16850</v>
      </c>
      <c r="N1969" s="3" t="s">
        <v>758</v>
      </c>
      <c r="P1969" s="3" t="s">
        <v>90</v>
      </c>
      <c r="Q1969" s="2" t="s">
        <v>16851</v>
      </c>
      <c r="R1969" s="3" t="s">
        <v>67</v>
      </c>
      <c r="S1969" s="4">
        <v>2</v>
      </c>
      <c r="T1969" s="4">
        <v>60</v>
      </c>
      <c r="U1969" s="5" t="s">
        <v>4171</v>
      </c>
      <c r="V1969" s="5" t="s">
        <v>16852</v>
      </c>
      <c r="W1969" s="5" t="s">
        <v>69</v>
      </c>
      <c r="X1969" s="5" t="s">
        <v>69</v>
      </c>
      <c r="Y1969" s="4">
        <v>1</v>
      </c>
      <c r="Z1969" s="4">
        <v>1</v>
      </c>
      <c r="AA1969" s="4">
        <v>1</v>
      </c>
      <c r="AB1969" s="4">
        <v>1</v>
      </c>
      <c r="AC1969" s="4">
        <v>1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3" t="s">
        <v>63</v>
      </c>
      <c r="AS1969" s="3" t="s">
        <v>63</v>
      </c>
      <c r="AT1969" s="3" t="s">
        <v>63</v>
      </c>
      <c r="AV1969" s="6" t="str">
        <f>HYPERLINK("http://mcgill.on.worldcat.org/oclc/427855453","Catalog Record")</f>
        <v>Catalog Record</v>
      </c>
      <c r="AW1969" s="6" t="str">
        <f>HYPERLINK("http://www.worldcat.org/oclc/427855453","WorldCat Record")</f>
        <v>WorldCat Record</v>
      </c>
      <c r="AX1969" s="3" t="s">
        <v>16853</v>
      </c>
      <c r="AY1969" s="3" t="s">
        <v>16854</v>
      </c>
      <c r="AZ1969" s="3" t="s">
        <v>16855</v>
      </c>
      <c r="BA1969" s="3" t="s">
        <v>16855</v>
      </c>
      <c r="BB1969" s="3" t="s">
        <v>16869</v>
      </c>
      <c r="BC1969" s="3" t="s">
        <v>82</v>
      </c>
      <c r="BD1969" s="3" t="s">
        <v>70</v>
      </c>
      <c r="BF1969" s="3" t="s">
        <v>16869</v>
      </c>
      <c r="BG1969" s="3" t="s">
        <v>16870</v>
      </c>
    </row>
    <row r="1970" spans="1:59" ht="60" x14ac:dyDescent="0.25">
      <c r="A1970" s="2" t="s">
        <v>59</v>
      </c>
      <c r="B1970" s="2" t="s">
        <v>60</v>
      </c>
      <c r="C1970" s="2" t="s">
        <v>16846</v>
      </c>
      <c r="D1970" s="2" t="s">
        <v>16847</v>
      </c>
      <c r="E1970" s="2" t="s">
        <v>16848</v>
      </c>
      <c r="F1970" s="3" t="s">
        <v>4184</v>
      </c>
      <c r="G1970" s="3" t="s">
        <v>62</v>
      </c>
      <c r="I1970" s="3" t="s">
        <v>62</v>
      </c>
      <c r="J1970" s="3" t="s">
        <v>63</v>
      </c>
      <c r="K1970" s="3" t="s">
        <v>64</v>
      </c>
      <c r="L1970" s="2" t="s">
        <v>16849</v>
      </c>
      <c r="M1970" s="2" t="s">
        <v>16850</v>
      </c>
      <c r="N1970" s="3" t="s">
        <v>758</v>
      </c>
      <c r="P1970" s="3" t="s">
        <v>90</v>
      </c>
      <c r="Q1970" s="2" t="s">
        <v>16851</v>
      </c>
      <c r="R1970" s="3" t="s">
        <v>67</v>
      </c>
      <c r="S1970" s="4">
        <v>1</v>
      </c>
      <c r="T1970" s="4">
        <v>60</v>
      </c>
      <c r="U1970" s="5" t="s">
        <v>16871</v>
      </c>
      <c r="V1970" s="5" t="s">
        <v>16852</v>
      </c>
      <c r="W1970" s="5" t="s">
        <v>69</v>
      </c>
      <c r="X1970" s="5" t="s">
        <v>69</v>
      </c>
      <c r="Y1970" s="4">
        <v>1</v>
      </c>
      <c r="Z1970" s="4">
        <v>1</v>
      </c>
      <c r="AA1970" s="4">
        <v>1</v>
      </c>
      <c r="AB1970" s="4">
        <v>1</v>
      </c>
      <c r="AC1970" s="4">
        <v>1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3" t="s">
        <v>63</v>
      </c>
      <c r="AS1970" s="3" t="s">
        <v>63</v>
      </c>
      <c r="AT1970" s="3" t="s">
        <v>63</v>
      </c>
      <c r="AV1970" s="6" t="str">
        <f>HYPERLINK("http://mcgill.on.worldcat.org/oclc/427855453","Catalog Record")</f>
        <v>Catalog Record</v>
      </c>
      <c r="AW1970" s="6" t="str">
        <f>HYPERLINK("http://www.worldcat.org/oclc/427855453","WorldCat Record")</f>
        <v>WorldCat Record</v>
      </c>
      <c r="AX1970" s="3" t="s">
        <v>16853</v>
      </c>
      <c r="AY1970" s="3" t="s">
        <v>16854</v>
      </c>
      <c r="AZ1970" s="3" t="s">
        <v>16855</v>
      </c>
      <c r="BA1970" s="3" t="s">
        <v>16855</v>
      </c>
      <c r="BB1970" s="3" t="s">
        <v>16872</v>
      </c>
      <c r="BC1970" s="3" t="s">
        <v>82</v>
      </c>
      <c r="BD1970" s="3" t="s">
        <v>70</v>
      </c>
      <c r="BF1970" s="3" t="s">
        <v>16872</v>
      </c>
      <c r="BG1970" s="3" t="s">
        <v>16873</v>
      </c>
    </row>
    <row r="1971" spans="1:59" ht="60" x14ac:dyDescent="0.25">
      <c r="A1971" s="2" t="s">
        <v>59</v>
      </c>
      <c r="B1971" s="2" t="s">
        <v>60</v>
      </c>
      <c r="C1971" s="2" t="s">
        <v>16846</v>
      </c>
      <c r="D1971" s="2" t="s">
        <v>16847</v>
      </c>
      <c r="E1971" s="2" t="s">
        <v>16848</v>
      </c>
      <c r="F1971" s="3" t="s">
        <v>4168</v>
      </c>
      <c r="G1971" s="3" t="s">
        <v>62</v>
      </c>
      <c r="I1971" s="3" t="s">
        <v>62</v>
      </c>
      <c r="J1971" s="3" t="s">
        <v>63</v>
      </c>
      <c r="K1971" s="3" t="s">
        <v>64</v>
      </c>
      <c r="L1971" s="2" t="s">
        <v>16849</v>
      </c>
      <c r="M1971" s="2" t="s">
        <v>16850</v>
      </c>
      <c r="N1971" s="3" t="s">
        <v>758</v>
      </c>
      <c r="P1971" s="3" t="s">
        <v>90</v>
      </c>
      <c r="Q1971" s="2" t="s">
        <v>16851</v>
      </c>
      <c r="R1971" s="3" t="s">
        <v>67</v>
      </c>
      <c r="S1971" s="4">
        <v>1</v>
      </c>
      <c r="T1971" s="4">
        <v>60</v>
      </c>
      <c r="U1971" s="5" t="s">
        <v>10600</v>
      </c>
      <c r="V1971" s="5" t="s">
        <v>16852</v>
      </c>
      <c r="W1971" s="5" t="s">
        <v>69</v>
      </c>
      <c r="X1971" s="5" t="s">
        <v>69</v>
      </c>
      <c r="Y1971" s="4">
        <v>1</v>
      </c>
      <c r="Z1971" s="4">
        <v>1</v>
      </c>
      <c r="AA1971" s="4">
        <v>1</v>
      </c>
      <c r="AB1971" s="4">
        <v>1</v>
      </c>
      <c r="AC1971" s="4">
        <v>1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3" t="s">
        <v>63</v>
      </c>
      <c r="AS1971" s="3" t="s">
        <v>63</v>
      </c>
      <c r="AT1971" s="3" t="s">
        <v>63</v>
      </c>
      <c r="AV1971" s="6" t="str">
        <f>HYPERLINK("http://mcgill.on.worldcat.org/oclc/427855453","Catalog Record")</f>
        <v>Catalog Record</v>
      </c>
      <c r="AW1971" s="6" t="str">
        <f>HYPERLINK("http://www.worldcat.org/oclc/427855453","WorldCat Record")</f>
        <v>WorldCat Record</v>
      </c>
      <c r="AX1971" s="3" t="s">
        <v>16853</v>
      </c>
      <c r="AY1971" s="3" t="s">
        <v>16854</v>
      </c>
      <c r="AZ1971" s="3" t="s">
        <v>16855</v>
      </c>
      <c r="BA1971" s="3" t="s">
        <v>16855</v>
      </c>
      <c r="BB1971" s="3" t="s">
        <v>16874</v>
      </c>
      <c r="BC1971" s="3" t="s">
        <v>82</v>
      </c>
      <c r="BD1971" s="3" t="s">
        <v>70</v>
      </c>
      <c r="BF1971" s="3" t="s">
        <v>16874</v>
      </c>
      <c r="BG1971" s="3" t="s">
        <v>16875</v>
      </c>
    </row>
    <row r="1972" spans="1:59" ht="60" x14ac:dyDescent="0.25">
      <c r="A1972" s="2" t="s">
        <v>59</v>
      </c>
      <c r="B1972" s="2" t="s">
        <v>60</v>
      </c>
      <c r="C1972" s="2" t="s">
        <v>16846</v>
      </c>
      <c r="D1972" s="2" t="s">
        <v>16847</v>
      </c>
      <c r="E1972" s="2" t="s">
        <v>16848</v>
      </c>
      <c r="F1972" s="3" t="s">
        <v>4181</v>
      </c>
      <c r="G1972" s="3" t="s">
        <v>62</v>
      </c>
      <c r="I1972" s="3" t="s">
        <v>62</v>
      </c>
      <c r="J1972" s="3" t="s">
        <v>63</v>
      </c>
      <c r="K1972" s="3" t="s">
        <v>64</v>
      </c>
      <c r="L1972" s="2" t="s">
        <v>16849</v>
      </c>
      <c r="M1972" s="2" t="s">
        <v>16850</v>
      </c>
      <c r="N1972" s="3" t="s">
        <v>758</v>
      </c>
      <c r="P1972" s="3" t="s">
        <v>90</v>
      </c>
      <c r="Q1972" s="2" t="s">
        <v>16851</v>
      </c>
      <c r="R1972" s="3" t="s">
        <v>67</v>
      </c>
      <c r="S1972" s="4">
        <v>1</v>
      </c>
      <c r="T1972" s="4">
        <v>60</v>
      </c>
      <c r="U1972" s="5" t="s">
        <v>16861</v>
      </c>
      <c r="V1972" s="5" t="s">
        <v>16852</v>
      </c>
      <c r="W1972" s="5" t="s">
        <v>69</v>
      </c>
      <c r="X1972" s="5" t="s">
        <v>69</v>
      </c>
      <c r="Y1972" s="4">
        <v>1</v>
      </c>
      <c r="Z1972" s="4">
        <v>1</v>
      </c>
      <c r="AA1972" s="4">
        <v>1</v>
      </c>
      <c r="AB1972" s="4">
        <v>1</v>
      </c>
      <c r="AC1972" s="4">
        <v>1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3" t="s">
        <v>63</v>
      </c>
      <c r="AS1972" s="3" t="s">
        <v>63</v>
      </c>
      <c r="AT1972" s="3" t="s">
        <v>63</v>
      </c>
      <c r="AV1972" s="6" t="str">
        <f>HYPERLINK("http://mcgill.on.worldcat.org/oclc/427855453","Catalog Record")</f>
        <v>Catalog Record</v>
      </c>
      <c r="AW1972" s="6" t="str">
        <f>HYPERLINK("http://www.worldcat.org/oclc/427855453","WorldCat Record")</f>
        <v>WorldCat Record</v>
      </c>
      <c r="AX1972" s="3" t="s">
        <v>16853</v>
      </c>
      <c r="AY1972" s="3" t="s">
        <v>16854</v>
      </c>
      <c r="AZ1972" s="3" t="s">
        <v>16855</v>
      </c>
      <c r="BA1972" s="3" t="s">
        <v>16855</v>
      </c>
      <c r="BB1972" s="3" t="s">
        <v>16876</v>
      </c>
      <c r="BC1972" s="3" t="s">
        <v>82</v>
      </c>
      <c r="BD1972" s="3" t="s">
        <v>70</v>
      </c>
      <c r="BF1972" s="3" t="s">
        <v>16876</v>
      </c>
      <c r="BG1972" s="3" t="s">
        <v>16877</v>
      </c>
    </row>
    <row r="1973" spans="1:59" ht="60" x14ac:dyDescent="0.25">
      <c r="A1973" s="2" t="s">
        <v>59</v>
      </c>
      <c r="B1973" s="2" t="s">
        <v>60</v>
      </c>
      <c r="C1973" s="2" t="s">
        <v>16846</v>
      </c>
      <c r="D1973" s="2" t="s">
        <v>16847</v>
      </c>
      <c r="E1973" s="2" t="s">
        <v>16848</v>
      </c>
      <c r="F1973" s="3" t="s">
        <v>16878</v>
      </c>
      <c r="G1973" s="3" t="s">
        <v>62</v>
      </c>
      <c r="I1973" s="3" t="s">
        <v>62</v>
      </c>
      <c r="J1973" s="3" t="s">
        <v>63</v>
      </c>
      <c r="K1973" s="3" t="s">
        <v>64</v>
      </c>
      <c r="L1973" s="2" t="s">
        <v>16849</v>
      </c>
      <c r="M1973" s="2" t="s">
        <v>16850</v>
      </c>
      <c r="N1973" s="3" t="s">
        <v>758</v>
      </c>
      <c r="P1973" s="3" t="s">
        <v>90</v>
      </c>
      <c r="Q1973" s="2" t="s">
        <v>16851</v>
      </c>
      <c r="R1973" s="3" t="s">
        <v>67</v>
      </c>
      <c r="S1973" s="4">
        <v>2</v>
      </c>
      <c r="T1973" s="4">
        <v>60</v>
      </c>
      <c r="U1973" s="5" t="s">
        <v>16879</v>
      </c>
      <c r="V1973" s="5" t="s">
        <v>16852</v>
      </c>
      <c r="W1973" s="5" t="s">
        <v>69</v>
      </c>
      <c r="X1973" s="5" t="s">
        <v>69</v>
      </c>
      <c r="Y1973" s="4">
        <v>1</v>
      </c>
      <c r="Z1973" s="4">
        <v>1</v>
      </c>
      <c r="AA1973" s="4">
        <v>1</v>
      </c>
      <c r="AB1973" s="4">
        <v>1</v>
      </c>
      <c r="AC1973" s="4">
        <v>1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3" t="s">
        <v>63</v>
      </c>
      <c r="AS1973" s="3" t="s">
        <v>63</v>
      </c>
      <c r="AT1973" s="3" t="s">
        <v>63</v>
      </c>
      <c r="AV1973" s="6" t="str">
        <f>HYPERLINK("http://mcgill.on.worldcat.org/oclc/427855453","Catalog Record")</f>
        <v>Catalog Record</v>
      </c>
      <c r="AW1973" s="6" t="str">
        <f>HYPERLINK("http://www.worldcat.org/oclc/427855453","WorldCat Record")</f>
        <v>WorldCat Record</v>
      </c>
      <c r="AX1973" s="3" t="s">
        <v>16853</v>
      </c>
      <c r="AY1973" s="3" t="s">
        <v>16854</v>
      </c>
      <c r="AZ1973" s="3" t="s">
        <v>16855</v>
      </c>
      <c r="BA1973" s="3" t="s">
        <v>16855</v>
      </c>
      <c r="BB1973" s="3" t="s">
        <v>16880</v>
      </c>
      <c r="BC1973" s="3" t="s">
        <v>82</v>
      </c>
      <c r="BD1973" s="3" t="s">
        <v>70</v>
      </c>
      <c r="BF1973" s="3" t="s">
        <v>16880</v>
      </c>
      <c r="BG1973" s="3" t="s">
        <v>16881</v>
      </c>
    </row>
    <row r="1974" spans="1:59" ht="60" x14ac:dyDescent="0.25">
      <c r="A1974" s="2" t="s">
        <v>59</v>
      </c>
      <c r="B1974" s="2" t="s">
        <v>60</v>
      </c>
      <c r="C1974" s="2" t="s">
        <v>16846</v>
      </c>
      <c r="D1974" s="2" t="s">
        <v>16847</v>
      </c>
      <c r="E1974" s="2" t="s">
        <v>16848</v>
      </c>
      <c r="F1974" s="3" t="s">
        <v>10473</v>
      </c>
      <c r="G1974" s="3" t="s">
        <v>62</v>
      </c>
      <c r="I1974" s="3" t="s">
        <v>62</v>
      </c>
      <c r="J1974" s="3" t="s">
        <v>63</v>
      </c>
      <c r="K1974" s="3" t="s">
        <v>64</v>
      </c>
      <c r="L1974" s="2" t="s">
        <v>16849</v>
      </c>
      <c r="M1974" s="2" t="s">
        <v>16850</v>
      </c>
      <c r="N1974" s="3" t="s">
        <v>758</v>
      </c>
      <c r="P1974" s="3" t="s">
        <v>90</v>
      </c>
      <c r="Q1974" s="2" t="s">
        <v>16851</v>
      </c>
      <c r="R1974" s="3" t="s">
        <v>67</v>
      </c>
      <c r="S1974" s="4">
        <v>2</v>
      </c>
      <c r="T1974" s="4">
        <v>60</v>
      </c>
      <c r="U1974" s="5" t="s">
        <v>16882</v>
      </c>
      <c r="V1974" s="5" t="s">
        <v>16852</v>
      </c>
      <c r="W1974" s="5" t="s">
        <v>69</v>
      </c>
      <c r="X1974" s="5" t="s">
        <v>69</v>
      </c>
      <c r="Y1974" s="4">
        <v>1</v>
      </c>
      <c r="Z1974" s="4">
        <v>1</v>
      </c>
      <c r="AA1974" s="4">
        <v>1</v>
      </c>
      <c r="AB1974" s="4">
        <v>1</v>
      </c>
      <c r="AC1974" s="4">
        <v>1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3" t="s">
        <v>63</v>
      </c>
      <c r="AS1974" s="3" t="s">
        <v>63</v>
      </c>
      <c r="AT1974" s="3" t="s">
        <v>63</v>
      </c>
      <c r="AV1974" s="6" t="str">
        <f>HYPERLINK("http://mcgill.on.worldcat.org/oclc/427855453","Catalog Record")</f>
        <v>Catalog Record</v>
      </c>
      <c r="AW1974" s="6" t="str">
        <f>HYPERLINK("http://www.worldcat.org/oclc/427855453","WorldCat Record")</f>
        <v>WorldCat Record</v>
      </c>
      <c r="AX1974" s="3" t="s">
        <v>16853</v>
      </c>
      <c r="AY1974" s="3" t="s">
        <v>16854</v>
      </c>
      <c r="AZ1974" s="3" t="s">
        <v>16855</v>
      </c>
      <c r="BA1974" s="3" t="s">
        <v>16855</v>
      </c>
      <c r="BB1974" s="3" t="s">
        <v>16883</v>
      </c>
      <c r="BC1974" s="3" t="s">
        <v>82</v>
      </c>
      <c r="BD1974" s="3" t="s">
        <v>70</v>
      </c>
      <c r="BF1974" s="3" t="s">
        <v>16883</v>
      </c>
      <c r="BG1974" s="3" t="s">
        <v>16884</v>
      </c>
    </row>
    <row r="1975" spans="1:59" ht="60" x14ac:dyDescent="0.25">
      <c r="A1975" s="2" t="s">
        <v>59</v>
      </c>
      <c r="B1975" s="2" t="s">
        <v>60</v>
      </c>
      <c r="C1975" s="2" t="s">
        <v>16846</v>
      </c>
      <c r="D1975" s="2" t="s">
        <v>16847</v>
      </c>
      <c r="E1975" s="2" t="s">
        <v>16848</v>
      </c>
      <c r="F1975" s="3" t="s">
        <v>16885</v>
      </c>
      <c r="G1975" s="3" t="s">
        <v>62</v>
      </c>
      <c r="I1975" s="3" t="s">
        <v>62</v>
      </c>
      <c r="J1975" s="3" t="s">
        <v>63</v>
      </c>
      <c r="K1975" s="3" t="s">
        <v>64</v>
      </c>
      <c r="L1975" s="2" t="s">
        <v>16849</v>
      </c>
      <c r="M1975" s="2" t="s">
        <v>16850</v>
      </c>
      <c r="N1975" s="3" t="s">
        <v>758</v>
      </c>
      <c r="P1975" s="3" t="s">
        <v>90</v>
      </c>
      <c r="Q1975" s="2" t="s">
        <v>16851</v>
      </c>
      <c r="R1975" s="3" t="s">
        <v>67</v>
      </c>
      <c r="S1975" s="4">
        <v>0</v>
      </c>
      <c r="T1975" s="4">
        <v>60</v>
      </c>
      <c r="V1975" s="5" t="s">
        <v>16852</v>
      </c>
      <c r="W1975" s="5" t="s">
        <v>69</v>
      </c>
      <c r="X1975" s="5" t="s">
        <v>69</v>
      </c>
      <c r="Y1975" s="4">
        <v>1</v>
      </c>
      <c r="Z1975" s="4">
        <v>1</v>
      </c>
      <c r="AA1975" s="4">
        <v>1</v>
      </c>
      <c r="AB1975" s="4">
        <v>1</v>
      </c>
      <c r="AC1975" s="4">
        <v>1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3" t="s">
        <v>63</v>
      </c>
      <c r="AS1975" s="3" t="s">
        <v>63</v>
      </c>
      <c r="AT1975" s="3" t="s">
        <v>63</v>
      </c>
      <c r="AV1975" s="6" t="str">
        <f>HYPERLINK("http://mcgill.on.worldcat.org/oclc/427855453","Catalog Record")</f>
        <v>Catalog Record</v>
      </c>
      <c r="AW1975" s="6" t="str">
        <f>HYPERLINK("http://www.worldcat.org/oclc/427855453","WorldCat Record")</f>
        <v>WorldCat Record</v>
      </c>
      <c r="AX1975" s="3" t="s">
        <v>16853</v>
      </c>
      <c r="AY1975" s="3" t="s">
        <v>16854</v>
      </c>
      <c r="AZ1975" s="3" t="s">
        <v>16855</v>
      </c>
      <c r="BA1975" s="3" t="s">
        <v>16855</v>
      </c>
      <c r="BB1975" s="3" t="s">
        <v>16886</v>
      </c>
      <c r="BC1975" s="3" t="s">
        <v>82</v>
      </c>
      <c r="BD1975" s="3" t="s">
        <v>70</v>
      </c>
      <c r="BF1975" s="3" t="s">
        <v>16886</v>
      </c>
      <c r="BG1975" s="3" t="s">
        <v>16887</v>
      </c>
    </row>
    <row r="1976" spans="1:59" ht="60" x14ac:dyDescent="0.25">
      <c r="A1976" s="2" t="s">
        <v>59</v>
      </c>
      <c r="B1976" s="2" t="s">
        <v>60</v>
      </c>
      <c r="C1976" s="2" t="s">
        <v>16846</v>
      </c>
      <c r="D1976" s="2" t="s">
        <v>16847</v>
      </c>
      <c r="E1976" s="2" t="s">
        <v>16848</v>
      </c>
      <c r="F1976" s="3" t="s">
        <v>16888</v>
      </c>
      <c r="G1976" s="3" t="s">
        <v>62</v>
      </c>
      <c r="I1976" s="3" t="s">
        <v>62</v>
      </c>
      <c r="J1976" s="3" t="s">
        <v>63</v>
      </c>
      <c r="K1976" s="3" t="s">
        <v>64</v>
      </c>
      <c r="L1976" s="2" t="s">
        <v>16849</v>
      </c>
      <c r="M1976" s="2" t="s">
        <v>16850</v>
      </c>
      <c r="N1976" s="3" t="s">
        <v>758</v>
      </c>
      <c r="P1976" s="3" t="s">
        <v>90</v>
      </c>
      <c r="Q1976" s="2" t="s">
        <v>16851</v>
      </c>
      <c r="R1976" s="3" t="s">
        <v>67</v>
      </c>
      <c r="S1976" s="4">
        <v>1</v>
      </c>
      <c r="T1976" s="4">
        <v>60</v>
      </c>
      <c r="U1976" s="5" t="s">
        <v>16879</v>
      </c>
      <c r="V1976" s="5" t="s">
        <v>16852</v>
      </c>
      <c r="W1976" s="5" t="s">
        <v>69</v>
      </c>
      <c r="X1976" s="5" t="s">
        <v>69</v>
      </c>
      <c r="Y1976" s="4">
        <v>1</v>
      </c>
      <c r="Z1976" s="4">
        <v>1</v>
      </c>
      <c r="AA1976" s="4">
        <v>1</v>
      </c>
      <c r="AB1976" s="4">
        <v>1</v>
      </c>
      <c r="AC1976" s="4">
        <v>1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3" t="s">
        <v>63</v>
      </c>
      <c r="AS1976" s="3" t="s">
        <v>63</v>
      </c>
      <c r="AT1976" s="3" t="s">
        <v>63</v>
      </c>
      <c r="AV1976" s="6" t="str">
        <f>HYPERLINK("http://mcgill.on.worldcat.org/oclc/427855453","Catalog Record")</f>
        <v>Catalog Record</v>
      </c>
      <c r="AW1976" s="6" t="str">
        <f>HYPERLINK("http://www.worldcat.org/oclc/427855453","WorldCat Record")</f>
        <v>WorldCat Record</v>
      </c>
      <c r="AX1976" s="3" t="s">
        <v>16853</v>
      </c>
      <c r="AY1976" s="3" t="s">
        <v>16854</v>
      </c>
      <c r="AZ1976" s="3" t="s">
        <v>16855</v>
      </c>
      <c r="BA1976" s="3" t="s">
        <v>16855</v>
      </c>
      <c r="BB1976" s="3" t="s">
        <v>16889</v>
      </c>
      <c r="BC1976" s="3" t="s">
        <v>82</v>
      </c>
      <c r="BD1976" s="3" t="s">
        <v>70</v>
      </c>
      <c r="BF1976" s="3" t="s">
        <v>16889</v>
      </c>
      <c r="BG1976" s="3" t="s">
        <v>16890</v>
      </c>
    </row>
    <row r="1977" spans="1:59" ht="60" x14ac:dyDescent="0.25">
      <c r="A1977" s="2" t="s">
        <v>59</v>
      </c>
      <c r="B1977" s="2" t="s">
        <v>60</v>
      </c>
      <c r="C1977" s="2" t="s">
        <v>16846</v>
      </c>
      <c r="D1977" s="2" t="s">
        <v>16847</v>
      </c>
      <c r="E1977" s="2" t="s">
        <v>16848</v>
      </c>
      <c r="F1977" s="3" t="s">
        <v>10528</v>
      </c>
      <c r="G1977" s="3" t="s">
        <v>62</v>
      </c>
      <c r="I1977" s="3" t="s">
        <v>62</v>
      </c>
      <c r="J1977" s="3" t="s">
        <v>63</v>
      </c>
      <c r="K1977" s="3" t="s">
        <v>64</v>
      </c>
      <c r="L1977" s="2" t="s">
        <v>16849</v>
      </c>
      <c r="M1977" s="2" t="s">
        <v>16850</v>
      </c>
      <c r="N1977" s="3" t="s">
        <v>758</v>
      </c>
      <c r="P1977" s="3" t="s">
        <v>90</v>
      </c>
      <c r="Q1977" s="2" t="s">
        <v>16851</v>
      </c>
      <c r="R1977" s="3" t="s">
        <v>67</v>
      </c>
      <c r="S1977" s="4">
        <v>1</v>
      </c>
      <c r="T1977" s="4">
        <v>60</v>
      </c>
      <c r="U1977" s="5" t="s">
        <v>10600</v>
      </c>
      <c r="V1977" s="5" t="s">
        <v>16852</v>
      </c>
      <c r="W1977" s="5" t="s">
        <v>69</v>
      </c>
      <c r="X1977" s="5" t="s">
        <v>69</v>
      </c>
      <c r="Y1977" s="4">
        <v>1</v>
      </c>
      <c r="Z1977" s="4">
        <v>1</v>
      </c>
      <c r="AA1977" s="4">
        <v>1</v>
      </c>
      <c r="AB1977" s="4">
        <v>1</v>
      </c>
      <c r="AC1977" s="4">
        <v>1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3" t="s">
        <v>63</v>
      </c>
      <c r="AS1977" s="3" t="s">
        <v>63</v>
      </c>
      <c r="AT1977" s="3" t="s">
        <v>63</v>
      </c>
      <c r="AV1977" s="6" t="str">
        <f>HYPERLINK("http://mcgill.on.worldcat.org/oclc/427855453","Catalog Record")</f>
        <v>Catalog Record</v>
      </c>
      <c r="AW1977" s="6" t="str">
        <f>HYPERLINK("http://www.worldcat.org/oclc/427855453","WorldCat Record")</f>
        <v>WorldCat Record</v>
      </c>
      <c r="AX1977" s="3" t="s">
        <v>16853</v>
      </c>
      <c r="AY1977" s="3" t="s">
        <v>16854</v>
      </c>
      <c r="AZ1977" s="3" t="s">
        <v>16855</v>
      </c>
      <c r="BA1977" s="3" t="s">
        <v>16855</v>
      </c>
      <c r="BB1977" s="3" t="s">
        <v>16891</v>
      </c>
      <c r="BC1977" s="3" t="s">
        <v>82</v>
      </c>
      <c r="BD1977" s="3" t="s">
        <v>70</v>
      </c>
      <c r="BF1977" s="3" t="s">
        <v>16891</v>
      </c>
      <c r="BG1977" s="3" t="s">
        <v>16892</v>
      </c>
    </row>
    <row r="1978" spans="1:59" ht="60" x14ac:dyDescent="0.25">
      <c r="A1978" s="2" t="s">
        <v>59</v>
      </c>
      <c r="B1978" s="2" t="s">
        <v>60</v>
      </c>
      <c r="C1978" s="2" t="s">
        <v>16846</v>
      </c>
      <c r="D1978" s="2" t="s">
        <v>16847</v>
      </c>
      <c r="E1978" s="2" t="s">
        <v>16848</v>
      </c>
      <c r="F1978" s="3" t="s">
        <v>10477</v>
      </c>
      <c r="G1978" s="3" t="s">
        <v>62</v>
      </c>
      <c r="I1978" s="3" t="s">
        <v>62</v>
      </c>
      <c r="J1978" s="3" t="s">
        <v>63</v>
      </c>
      <c r="K1978" s="3" t="s">
        <v>64</v>
      </c>
      <c r="L1978" s="2" t="s">
        <v>16849</v>
      </c>
      <c r="M1978" s="2" t="s">
        <v>16850</v>
      </c>
      <c r="N1978" s="3" t="s">
        <v>758</v>
      </c>
      <c r="P1978" s="3" t="s">
        <v>90</v>
      </c>
      <c r="Q1978" s="2" t="s">
        <v>16851</v>
      </c>
      <c r="R1978" s="3" t="s">
        <v>67</v>
      </c>
      <c r="S1978" s="4">
        <v>1</v>
      </c>
      <c r="T1978" s="4">
        <v>60</v>
      </c>
      <c r="U1978" s="5" t="s">
        <v>13219</v>
      </c>
      <c r="V1978" s="5" t="s">
        <v>16852</v>
      </c>
      <c r="W1978" s="5" t="s">
        <v>69</v>
      </c>
      <c r="X1978" s="5" t="s">
        <v>69</v>
      </c>
      <c r="Y1978" s="4">
        <v>1</v>
      </c>
      <c r="Z1978" s="4">
        <v>1</v>
      </c>
      <c r="AA1978" s="4">
        <v>1</v>
      </c>
      <c r="AB1978" s="4">
        <v>1</v>
      </c>
      <c r="AC1978" s="4">
        <v>1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3" t="s">
        <v>63</v>
      </c>
      <c r="AS1978" s="3" t="s">
        <v>63</v>
      </c>
      <c r="AT1978" s="3" t="s">
        <v>63</v>
      </c>
      <c r="AV1978" s="6" t="str">
        <f>HYPERLINK("http://mcgill.on.worldcat.org/oclc/427855453","Catalog Record")</f>
        <v>Catalog Record</v>
      </c>
      <c r="AW1978" s="6" t="str">
        <f>HYPERLINK("http://www.worldcat.org/oclc/427855453","WorldCat Record")</f>
        <v>WorldCat Record</v>
      </c>
      <c r="AX1978" s="3" t="s">
        <v>16853</v>
      </c>
      <c r="AY1978" s="3" t="s">
        <v>16854</v>
      </c>
      <c r="AZ1978" s="3" t="s">
        <v>16855</v>
      </c>
      <c r="BA1978" s="3" t="s">
        <v>16855</v>
      </c>
      <c r="BB1978" s="3" t="s">
        <v>16893</v>
      </c>
      <c r="BC1978" s="3" t="s">
        <v>82</v>
      </c>
      <c r="BD1978" s="3" t="s">
        <v>70</v>
      </c>
      <c r="BF1978" s="3" t="s">
        <v>16893</v>
      </c>
      <c r="BG1978" s="3" t="s">
        <v>16894</v>
      </c>
    </row>
    <row r="1979" spans="1:59" ht="60" x14ac:dyDescent="0.25">
      <c r="A1979" s="2" t="s">
        <v>59</v>
      </c>
      <c r="B1979" s="2" t="s">
        <v>60</v>
      </c>
      <c r="C1979" s="2" t="s">
        <v>16846</v>
      </c>
      <c r="D1979" s="2" t="s">
        <v>16847</v>
      </c>
      <c r="E1979" s="2" t="s">
        <v>16848</v>
      </c>
      <c r="F1979" s="3" t="s">
        <v>10499</v>
      </c>
      <c r="G1979" s="3" t="s">
        <v>62</v>
      </c>
      <c r="I1979" s="3" t="s">
        <v>62</v>
      </c>
      <c r="J1979" s="3" t="s">
        <v>63</v>
      </c>
      <c r="K1979" s="3" t="s">
        <v>64</v>
      </c>
      <c r="L1979" s="2" t="s">
        <v>16849</v>
      </c>
      <c r="M1979" s="2" t="s">
        <v>16850</v>
      </c>
      <c r="N1979" s="3" t="s">
        <v>758</v>
      </c>
      <c r="P1979" s="3" t="s">
        <v>90</v>
      </c>
      <c r="Q1979" s="2" t="s">
        <v>16851</v>
      </c>
      <c r="R1979" s="3" t="s">
        <v>67</v>
      </c>
      <c r="S1979" s="4">
        <v>0</v>
      </c>
      <c r="T1979" s="4">
        <v>60</v>
      </c>
      <c r="V1979" s="5" t="s">
        <v>16852</v>
      </c>
      <c r="W1979" s="5" t="s">
        <v>69</v>
      </c>
      <c r="X1979" s="5" t="s">
        <v>69</v>
      </c>
      <c r="Y1979" s="4">
        <v>1</v>
      </c>
      <c r="Z1979" s="4">
        <v>1</v>
      </c>
      <c r="AA1979" s="4">
        <v>1</v>
      </c>
      <c r="AB1979" s="4">
        <v>1</v>
      </c>
      <c r="AC1979" s="4">
        <v>1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3" t="s">
        <v>63</v>
      </c>
      <c r="AS1979" s="3" t="s">
        <v>63</v>
      </c>
      <c r="AT1979" s="3" t="s">
        <v>63</v>
      </c>
      <c r="AV1979" s="6" t="str">
        <f>HYPERLINK("http://mcgill.on.worldcat.org/oclc/427855453","Catalog Record")</f>
        <v>Catalog Record</v>
      </c>
      <c r="AW1979" s="6" t="str">
        <f>HYPERLINK("http://www.worldcat.org/oclc/427855453","WorldCat Record")</f>
        <v>WorldCat Record</v>
      </c>
      <c r="AX1979" s="3" t="s">
        <v>16853</v>
      </c>
      <c r="AY1979" s="3" t="s">
        <v>16854</v>
      </c>
      <c r="AZ1979" s="3" t="s">
        <v>16855</v>
      </c>
      <c r="BA1979" s="3" t="s">
        <v>16855</v>
      </c>
      <c r="BB1979" s="3" t="s">
        <v>16895</v>
      </c>
      <c r="BC1979" s="3" t="s">
        <v>82</v>
      </c>
      <c r="BD1979" s="3" t="s">
        <v>70</v>
      </c>
      <c r="BF1979" s="3" t="s">
        <v>16895</v>
      </c>
      <c r="BG1979" s="3" t="s">
        <v>16896</v>
      </c>
    </row>
    <row r="1980" spans="1:59" ht="60" x14ac:dyDescent="0.25">
      <c r="A1980" s="2" t="s">
        <v>59</v>
      </c>
      <c r="B1980" s="2" t="s">
        <v>60</v>
      </c>
      <c r="C1980" s="2" t="s">
        <v>16846</v>
      </c>
      <c r="D1980" s="2" t="s">
        <v>16847</v>
      </c>
      <c r="E1980" s="2" t="s">
        <v>16848</v>
      </c>
      <c r="F1980" s="3" t="s">
        <v>16897</v>
      </c>
      <c r="G1980" s="3" t="s">
        <v>62</v>
      </c>
      <c r="I1980" s="3" t="s">
        <v>62</v>
      </c>
      <c r="J1980" s="3" t="s">
        <v>63</v>
      </c>
      <c r="K1980" s="3" t="s">
        <v>64</v>
      </c>
      <c r="L1980" s="2" t="s">
        <v>16849</v>
      </c>
      <c r="M1980" s="2" t="s">
        <v>16850</v>
      </c>
      <c r="N1980" s="3" t="s">
        <v>758</v>
      </c>
      <c r="P1980" s="3" t="s">
        <v>90</v>
      </c>
      <c r="Q1980" s="2" t="s">
        <v>16851</v>
      </c>
      <c r="R1980" s="3" t="s">
        <v>67</v>
      </c>
      <c r="S1980" s="4">
        <v>1</v>
      </c>
      <c r="T1980" s="4">
        <v>60</v>
      </c>
      <c r="U1980" s="5" t="s">
        <v>8371</v>
      </c>
      <c r="V1980" s="5" t="s">
        <v>16852</v>
      </c>
      <c r="W1980" s="5" t="s">
        <v>69</v>
      </c>
      <c r="X1980" s="5" t="s">
        <v>69</v>
      </c>
      <c r="Y1980" s="4">
        <v>1</v>
      </c>
      <c r="Z1980" s="4">
        <v>1</v>
      </c>
      <c r="AA1980" s="4">
        <v>1</v>
      </c>
      <c r="AB1980" s="4">
        <v>1</v>
      </c>
      <c r="AC1980" s="4">
        <v>1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3" t="s">
        <v>63</v>
      </c>
      <c r="AS1980" s="3" t="s">
        <v>63</v>
      </c>
      <c r="AT1980" s="3" t="s">
        <v>63</v>
      </c>
      <c r="AV1980" s="6" t="str">
        <f>HYPERLINK("http://mcgill.on.worldcat.org/oclc/427855453","Catalog Record")</f>
        <v>Catalog Record</v>
      </c>
      <c r="AW1980" s="6" t="str">
        <f>HYPERLINK("http://www.worldcat.org/oclc/427855453","WorldCat Record")</f>
        <v>WorldCat Record</v>
      </c>
      <c r="AX1980" s="3" t="s">
        <v>16853</v>
      </c>
      <c r="AY1980" s="3" t="s">
        <v>16854</v>
      </c>
      <c r="AZ1980" s="3" t="s">
        <v>16855</v>
      </c>
      <c r="BA1980" s="3" t="s">
        <v>16855</v>
      </c>
      <c r="BB1980" s="3" t="s">
        <v>16898</v>
      </c>
      <c r="BC1980" s="3" t="s">
        <v>82</v>
      </c>
      <c r="BD1980" s="3" t="s">
        <v>70</v>
      </c>
      <c r="BF1980" s="3" t="s">
        <v>16898</v>
      </c>
      <c r="BG1980" s="3" t="s">
        <v>16899</v>
      </c>
    </row>
    <row r="1981" spans="1:59" ht="60" x14ac:dyDescent="0.25">
      <c r="A1981" s="2" t="s">
        <v>59</v>
      </c>
      <c r="B1981" s="2" t="s">
        <v>60</v>
      </c>
      <c r="C1981" s="2" t="s">
        <v>16846</v>
      </c>
      <c r="D1981" s="2" t="s">
        <v>16847</v>
      </c>
      <c r="E1981" s="2" t="s">
        <v>16848</v>
      </c>
      <c r="F1981" s="3" t="s">
        <v>10499</v>
      </c>
      <c r="G1981" s="3" t="s">
        <v>62</v>
      </c>
      <c r="I1981" s="3" t="s">
        <v>62</v>
      </c>
      <c r="J1981" s="3" t="s">
        <v>63</v>
      </c>
      <c r="K1981" s="3" t="s">
        <v>64</v>
      </c>
      <c r="L1981" s="2" t="s">
        <v>16849</v>
      </c>
      <c r="M1981" s="2" t="s">
        <v>16850</v>
      </c>
      <c r="N1981" s="3" t="s">
        <v>758</v>
      </c>
      <c r="P1981" s="3" t="s">
        <v>90</v>
      </c>
      <c r="Q1981" s="2" t="s">
        <v>16851</v>
      </c>
      <c r="R1981" s="3" t="s">
        <v>67</v>
      </c>
      <c r="S1981" s="4">
        <v>8</v>
      </c>
      <c r="T1981" s="4">
        <v>60</v>
      </c>
      <c r="U1981" s="5" t="s">
        <v>16900</v>
      </c>
      <c r="V1981" s="5" t="s">
        <v>16852</v>
      </c>
      <c r="W1981" s="5" t="s">
        <v>69</v>
      </c>
      <c r="X1981" s="5" t="s">
        <v>69</v>
      </c>
      <c r="Y1981" s="4">
        <v>1</v>
      </c>
      <c r="Z1981" s="4">
        <v>1</v>
      </c>
      <c r="AA1981" s="4">
        <v>1</v>
      </c>
      <c r="AB1981" s="4">
        <v>1</v>
      </c>
      <c r="AC1981" s="4">
        <v>1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3" t="s">
        <v>63</v>
      </c>
      <c r="AS1981" s="3" t="s">
        <v>63</v>
      </c>
      <c r="AT1981" s="3" t="s">
        <v>63</v>
      </c>
      <c r="AV1981" s="6" t="str">
        <f>HYPERLINK("http://mcgill.on.worldcat.org/oclc/427855453","Catalog Record")</f>
        <v>Catalog Record</v>
      </c>
      <c r="AW1981" s="6" t="str">
        <f>HYPERLINK("http://www.worldcat.org/oclc/427855453","WorldCat Record")</f>
        <v>WorldCat Record</v>
      </c>
      <c r="AX1981" s="3" t="s">
        <v>16853</v>
      </c>
      <c r="AY1981" s="3" t="s">
        <v>16854</v>
      </c>
      <c r="AZ1981" s="3" t="s">
        <v>16855</v>
      </c>
      <c r="BA1981" s="3" t="s">
        <v>16855</v>
      </c>
      <c r="BB1981" s="3" t="s">
        <v>16901</v>
      </c>
      <c r="BC1981" s="3" t="s">
        <v>82</v>
      </c>
      <c r="BD1981" s="3" t="s">
        <v>70</v>
      </c>
      <c r="BF1981" s="3" t="s">
        <v>16901</v>
      </c>
      <c r="BG1981" s="3" t="s">
        <v>16902</v>
      </c>
    </row>
    <row r="1982" spans="1:59" ht="60" x14ac:dyDescent="0.25">
      <c r="A1982" s="2" t="s">
        <v>59</v>
      </c>
      <c r="B1982" s="2" t="s">
        <v>60</v>
      </c>
      <c r="C1982" s="2" t="s">
        <v>16846</v>
      </c>
      <c r="D1982" s="2" t="s">
        <v>16847</v>
      </c>
      <c r="E1982" s="2" t="s">
        <v>16848</v>
      </c>
      <c r="F1982" s="3" t="s">
        <v>10705</v>
      </c>
      <c r="G1982" s="3" t="s">
        <v>62</v>
      </c>
      <c r="I1982" s="3" t="s">
        <v>62</v>
      </c>
      <c r="J1982" s="3" t="s">
        <v>63</v>
      </c>
      <c r="K1982" s="3" t="s">
        <v>64</v>
      </c>
      <c r="L1982" s="2" t="s">
        <v>16849</v>
      </c>
      <c r="M1982" s="2" t="s">
        <v>16850</v>
      </c>
      <c r="N1982" s="3" t="s">
        <v>758</v>
      </c>
      <c r="P1982" s="3" t="s">
        <v>90</v>
      </c>
      <c r="Q1982" s="2" t="s">
        <v>16851</v>
      </c>
      <c r="R1982" s="3" t="s">
        <v>67</v>
      </c>
      <c r="S1982" s="4">
        <v>0</v>
      </c>
      <c r="T1982" s="4">
        <v>60</v>
      </c>
      <c r="V1982" s="5" t="s">
        <v>16852</v>
      </c>
      <c r="W1982" s="5" t="s">
        <v>69</v>
      </c>
      <c r="X1982" s="5" t="s">
        <v>69</v>
      </c>
      <c r="Y1982" s="4">
        <v>1</v>
      </c>
      <c r="Z1982" s="4">
        <v>1</v>
      </c>
      <c r="AA1982" s="4">
        <v>1</v>
      </c>
      <c r="AB1982" s="4">
        <v>1</v>
      </c>
      <c r="AC1982" s="4">
        <v>1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3" t="s">
        <v>63</v>
      </c>
      <c r="AS1982" s="3" t="s">
        <v>63</v>
      </c>
      <c r="AT1982" s="3" t="s">
        <v>63</v>
      </c>
      <c r="AV1982" s="6" t="str">
        <f>HYPERLINK("http://mcgill.on.worldcat.org/oclc/427855453","Catalog Record")</f>
        <v>Catalog Record</v>
      </c>
      <c r="AW1982" s="6" t="str">
        <f>HYPERLINK("http://www.worldcat.org/oclc/427855453","WorldCat Record")</f>
        <v>WorldCat Record</v>
      </c>
      <c r="AX1982" s="3" t="s">
        <v>16853</v>
      </c>
      <c r="AY1982" s="3" t="s">
        <v>16854</v>
      </c>
      <c r="AZ1982" s="3" t="s">
        <v>16855</v>
      </c>
      <c r="BA1982" s="3" t="s">
        <v>16855</v>
      </c>
      <c r="BB1982" s="3" t="s">
        <v>16903</v>
      </c>
      <c r="BC1982" s="3" t="s">
        <v>82</v>
      </c>
      <c r="BD1982" s="3" t="s">
        <v>70</v>
      </c>
      <c r="BF1982" s="3" t="s">
        <v>16903</v>
      </c>
      <c r="BG1982" s="3" t="s">
        <v>16904</v>
      </c>
    </row>
    <row r="1983" spans="1:59" ht="60" x14ac:dyDescent="0.25">
      <c r="A1983" s="2" t="s">
        <v>59</v>
      </c>
      <c r="B1983" s="2" t="s">
        <v>60</v>
      </c>
      <c r="C1983" s="2" t="s">
        <v>16846</v>
      </c>
      <c r="D1983" s="2" t="s">
        <v>16847</v>
      </c>
      <c r="E1983" s="2" t="s">
        <v>16848</v>
      </c>
      <c r="F1983" s="3" t="s">
        <v>10521</v>
      </c>
      <c r="G1983" s="3" t="s">
        <v>62</v>
      </c>
      <c r="I1983" s="3" t="s">
        <v>62</v>
      </c>
      <c r="J1983" s="3" t="s">
        <v>63</v>
      </c>
      <c r="K1983" s="3" t="s">
        <v>64</v>
      </c>
      <c r="L1983" s="2" t="s">
        <v>16849</v>
      </c>
      <c r="M1983" s="2" t="s">
        <v>16850</v>
      </c>
      <c r="N1983" s="3" t="s">
        <v>758</v>
      </c>
      <c r="P1983" s="3" t="s">
        <v>90</v>
      </c>
      <c r="Q1983" s="2" t="s">
        <v>16851</v>
      </c>
      <c r="R1983" s="3" t="s">
        <v>67</v>
      </c>
      <c r="S1983" s="4">
        <v>3</v>
      </c>
      <c r="T1983" s="4">
        <v>60</v>
      </c>
      <c r="U1983" s="5" t="s">
        <v>12947</v>
      </c>
      <c r="V1983" s="5" t="s">
        <v>16852</v>
      </c>
      <c r="W1983" s="5" t="s">
        <v>69</v>
      </c>
      <c r="X1983" s="5" t="s">
        <v>69</v>
      </c>
      <c r="Y1983" s="4">
        <v>1</v>
      </c>
      <c r="Z1983" s="4">
        <v>1</v>
      </c>
      <c r="AA1983" s="4">
        <v>1</v>
      </c>
      <c r="AB1983" s="4">
        <v>1</v>
      </c>
      <c r="AC1983" s="4">
        <v>1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3" t="s">
        <v>63</v>
      </c>
      <c r="AS1983" s="3" t="s">
        <v>63</v>
      </c>
      <c r="AT1983" s="3" t="s">
        <v>63</v>
      </c>
      <c r="AV1983" s="6" t="str">
        <f>HYPERLINK("http://mcgill.on.worldcat.org/oclc/427855453","Catalog Record")</f>
        <v>Catalog Record</v>
      </c>
      <c r="AW1983" s="6" t="str">
        <f>HYPERLINK("http://www.worldcat.org/oclc/427855453","WorldCat Record")</f>
        <v>WorldCat Record</v>
      </c>
      <c r="AX1983" s="3" t="s">
        <v>16853</v>
      </c>
      <c r="AY1983" s="3" t="s">
        <v>16854</v>
      </c>
      <c r="AZ1983" s="3" t="s">
        <v>16855</v>
      </c>
      <c r="BA1983" s="3" t="s">
        <v>16855</v>
      </c>
      <c r="BB1983" s="3" t="s">
        <v>16905</v>
      </c>
      <c r="BC1983" s="3" t="s">
        <v>82</v>
      </c>
      <c r="BD1983" s="3" t="s">
        <v>70</v>
      </c>
      <c r="BF1983" s="3" t="s">
        <v>16905</v>
      </c>
      <c r="BG1983" s="3" t="s">
        <v>16906</v>
      </c>
    </row>
    <row r="1984" spans="1:59" ht="60" x14ac:dyDescent="0.25">
      <c r="A1984" s="2" t="s">
        <v>59</v>
      </c>
      <c r="B1984" s="2" t="s">
        <v>60</v>
      </c>
      <c r="C1984" s="2" t="s">
        <v>16846</v>
      </c>
      <c r="D1984" s="2" t="s">
        <v>16847</v>
      </c>
      <c r="E1984" s="2" t="s">
        <v>16848</v>
      </c>
      <c r="F1984" s="3" t="s">
        <v>4168</v>
      </c>
      <c r="G1984" s="3" t="s">
        <v>62</v>
      </c>
      <c r="I1984" s="3" t="s">
        <v>62</v>
      </c>
      <c r="J1984" s="3" t="s">
        <v>63</v>
      </c>
      <c r="K1984" s="3" t="s">
        <v>64</v>
      </c>
      <c r="L1984" s="2" t="s">
        <v>16849</v>
      </c>
      <c r="M1984" s="2" t="s">
        <v>16850</v>
      </c>
      <c r="N1984" s="3" t="s">
        <v>758</v>
      </c>
      <c r="P1984" s="3" t="s">
        <v>90</v>
      </c>
      <c r="Q1984" s="2" t="s">
        <v>16851</v>
      </c>
      <c r="R1984" s="3" t="s">
        <v>67</v>
      </c>
      <c r="S1984" s="4">
        <v>22</v>
      </c>
      <c r="T1984" s="4">
        <v>60</v>
      </c>
      <c r="U1984" s="5" t="s">
        <v>16852</v>
      </c>
      <c r="V1984" s="5" t="s">
        <v>16852</v>
      </c>
      <c r="W1984" s="5" t="s">
        <v>69</v>
      </c>
      <c r="X1984" s="5" t="s">
        <v>69</v>
      </c>
      <c r="Y1984" s="4">
        <v>1</v>
      </c>
      <c r="Z1984" s="4">
        <v>1</v>
      </c>
      <c r="AA1984" s="4">
        <v>1</v>
      </c>
      <c r="AB1984" s="4">
        <v>1</v>
      </c>
      <c r="AC1984" s="4">
        <v>1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3" t="s">
        <v>63</v>
      </c>
      <c r="AS1984" s="3" t="s">
        <v>63</v>
      </c>
      <c r="AT1984" s="3" t="s">
        <v>63</v>
      </c>
      <c r="AV1984" s="6" t="str">
        <f>HYPERLINK("http://mcgill.on.worldcat.org/oclc/427855453","Catalog Record")</f>
        <v>Catalog Record</v>
      </c>
      <c r="AW1984" s="6" t="str">
        <f>HYPERLINK("http://www.worldcat.org/oclc/427855453","WorldCat Record")</f>
        <v>WorldCat Record</v>
      </c>
      <c r="AX1984" s="3" t="s">
        <v>16853</v>
      </c>
      <c r="AY1984" s="3" t="s">
        <v>16854</v>
      </c>
      <c r="AZ1984" s="3" t="s">
        <v>16855</v>
      </c>
      <c r="BA1984" s="3" t="s">
        <v>16855</v>
      </c>
      <c r="BB1984" s="3" t="s">
        <v>16907</v>
      </c>
      <c r="BC1984" s="3" t="s">
        <v>82</v>
      </c>
      <c r="BD1984" s="3" t="s">
        <v>70</v>
      </c>
      <c r="BF1984" s="3" t="s">
        <v>16907</v>
      </c>
      <c r="BG1984" s="3" t="s">
        <v>16908</v>
      </c>
    </row>
    <row r="1985" spans="1:59" ht="60" x14ac:dyDescent="0.25">
      <c r="A1985" s="2" t="s">
        <v>59</v>
      </c>
      <c r="B1985" s="2" t="s">
        <v>60</v>
      </c>
      <c r="C1985" s="2" t="s">
        <v>16846</v>
      </c>
      <c r="D1985" s="2" t="s">
        <v>16847</v>
      </c>
      <c r="E1985" s="2" t="s">
        <v>16848</v>
      </c>
      <c r="F1985" s="3" t="s">
        <v>16909</v>
      </c>
      <c r="G1985" s="3" t="s">
        <v>62</v>
      </c>
      <c r="I1985" s="3" t="s">
        <v>62</v>
      </c>
      <c r="J1985" s="3" t="s">
        <v>63</v>
      </c>
      <c r="K1985" s="3" t="s">
        <v>64</v>
      </c>
      <c r="L1985" s="2" t="s">
        <v>16849</v>
      </c>
      <c r="M1985" s="2" t="s">
        <v>16850</v>
      </c>
      <c r="N1985" s="3" t="s">
        <v>758</v>
      </c>
      <c r="P1985" s="3" t="s">
        <v>90</v>
      </c>
      <c r="Q1985" s="2" t="s">
        <v>16851</v>
      </c>
      <c r="R1985" s="3" t="s">
        <v>67</v>
      </c>
      <c r="S1985" s="4">
        <v>1</v>
      </c>
      <c r="T1985" s="4">
        <v>60</v>
      </c>
      <c r="U1985" s="5" t="s">
        <v>8371</v>
      </c>
      <c r="V1985" s="5" t="s">
        <v>16852</v>
      </c>
      <c r="W1985" s="5" t="s">
        <v>69</v>
      </c>
      <c r="X1985" s="5" t="s">
        <v>69</v>
      </c>
      <c r="Y1985" s="4">
        <v>1</v>
      </c>
      <c r="Z1985" s="4">
        <v>1</v>
      </c>
      <c r="AA1985" s="4">
        <v>1</v>
      </c>
      <c r="AB1985" s="4">
        <v>1</v>
      </c>
      <c r="AC1985" s="4">
        <v>1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3" t="s">
        <v>63</v>
      </c>
      <c r="AS1985" s="3" t="s">
        <v>63</v>
      </c>
      <c r="AT1985" s="3" t="s">
        <v>63</v>
      </c>
      <c r="AV1985" s="6" t="str">
        <f>HYPERLINK("http://mcgill.on.worldcat.org/oclc/427855453","Catalog Record")</f>
        <v>Catalog Record</v>
      </c>
      <c r="AW1985" s="6" t="str">
        <f>HYPERLINK("http://www.worldcat.org/oclc/427855453","WorldCat Record")</f>
        <v>WorldCat Record</v>
      </c>
      <c r="AX1985" s="3" t="s">
        <v>16853</v>
      </c>
      <c r="AY1985" s="3" t="s">
        <v>16854</v>
      </c>
      <c r="AZ1985" s="3" t="s">
        <v>16855</v>
      </c>
      <c r="BA1985" s="3" t="s">
        <v>16855</v>
      </c>
      <c r="BB1985" s="3" t="s">
        <v>16910</v>
      </c>
      <c r="BC1985" s="3" t="s">
        <v>82</v>
      </c>
      <c r="BD1985" s="3" t="s">
        <v>70</v>
      </c>
      <c r="BF1985" s="3" t="s">
        <v>16910</v>
      </c>
      <c r="BG1985" s="3" t="s">
        <v>16911</v>
      </c>
    </row>
    <row r="1986" spans="1:59" ht="60" x14ac:dyDescent="0.25">
      <c r="A1986" s="2" t="s">
        <v>59</v>
      </c>
      <c r="B1986" s="2" t="s">
        <v>60</v>
      </c>
      <c r="C1986" s="2" t="s">
        <v>16912</v>
      </c>
      <c r="D1986" s="2" t="s">
        <v>16913</v>
      </c>
      <c r="E1986" s="2" t="s">
        <v>16914</v>
      </c>
      <c r="F1986" s="3" t="s">
        <v>571</v>
      </c>
      <c r="G1986" s="3" t="s">
        <v>62</v>
      </c>
      <c r="I1986" s="3" t="s">
        <v>63</v>
      </c>
      <c r="J1986" s="3" t="s">
        <v>63</v>
      </c>
      <c r="K1986" s="3" t="s">
        <v>64</v>
      </c>
      <c r="L1986" s="2" t="s">
        <v>16849</v>
      </c>
      <c r="M1986" s="2" t="s">
        <v>16915</v>
      </c>
      <c r="N1986" s="3" t="s">
        <v>1023</v>
      </c>
      <c r="P1986" s="3" t="s">
        <v>90</v>
      </c>
      <c r="R1986" s="3" t="s">
        <v>67</v>
      </c>
      <c r="S1986" s="4">
        <v>3</v>
      </c>
      <c r="T1986" s="4">
        <v>3</v>
      </c>
      <c r="U1986" s="5" t="s">
        <v>16916</v>
      </c>
      <c r="V1986" s="5" t="s">
        <v>16916</v>
      </c>
      <c r="W1986" s="5" t="s">
        <v>69</v>
      </c>
      <c r="X1986" s="5" t="s">
        <v>69</v>
      </c>
      <c r="Y1986" s="4">
        <v>6</v>
      </c>
      <c r="Z1986" s="4">
        <v>1</v>
      </c>
      <c r="AA1986" s="4">
        <v>11</v>
      </c>
      <c r="AB1986" s="4">
        <v>1</v>
      </c>
      <c r="AC1986" s="4">
        <v>1</v>
      </c>
      <c r="AD1986" s="4">
        <v>0</v>
      </c>
      <c r="AE1986" s="4">
        <v>64</v>
      </c>
      <c r="AF1986" s="4">
        <v>0</v>
      </c>
      <c r="AG1986" s="4">
        <v>0</v>
      </c>
      <c r="AH1986" s="4">
        <v>0</v>
      </c>
      <c r="AI1986" s="4">
        <v>59</v>
      </c>
      <c r="AJ1986" s="4">
        <v>0</v>
      </c>
      <c r="AK1986" s="4">
        <v>9</v>
      </c>
      <c r="AL1986" s="4">
        <v>0</v>
      </c>
      <c r="AM1986" s="4">
        <v>34</v>
      </c>
      <c r="AN1986" s="4">
        <v>0</v>
      </c>
      <c r="AO1986" s="4">
        <v>2</v>
      </c>
      <c r="AP1986" s="4">
        <v>0</v>
      </c>
      <c r="AQ1986" s="4">
        <v>9</v>
      </c>
      <c r="AR1986" s="3" t="s">
        <v>63</v>
      </c>
      <c r="AS1986" s="3" t="s">
        <v>63</v>
      </c>
      <c r="AT1986" s="3" t="s">
        <v>63</v>
      </c>
      <c r="AV1986" s="6" t="str">
        <f>HYPERLINK("http://mcgill.on.worldcat.org/oclc/35205507","Catalog Record")</f>
        <v>Catalog Record</v>
      </c>
      <c r="AW1986" s="6" t="str">
        <f>HYPERLINK("http://www.worldcat.org/oclc/35205507","WorldCat Record")</f>
        <v>WorldCat Record</v>
      </c>
      <c r="AX1986" s="3" t="s">
        <v>16917</v>
      </c>
      <c r="AY1986" s="3" t="s">
        <v>16918</v>
      </c>
      <c r="AZ1986" s="3" t="s">
        <v>16919</v>
      </c>
      <c r="BA1986" s="3" t="s">
        <v>16919</v>
      </c>
      <c r="BB1986" s="3" t="s">
        <v>16920</v>
      </c>
      <c r="BC1986" s="3" t="s">
        <v>82</v>
      </c>
      <c r="BD1986" s="3" t="s">
        <v>70</v>
      </c>
      <c r="BE1986" s="3" t="s">
        <v>16921</v>
      </c>
      <c r="BF1986" s="3" t="s">
        <v>16920</v>
      </c>
      <c r="BG1986" s="3" t="s">
        <v>16922</v>
      </c>
    </row>
    <row r="1987" spans="1:59" ht="60" x14ac:dyDescent="0.25">
      <c r="A1987" s="2" t="s">
        <v>59</v>
      </c>
      <c r="B1987" s="2" t="s">
        <v>60</v>
      </c>
      <c r="C1987" s="2" t="s">
        <v>16937</v>
      </c>
      <c r="D1987" s="2" t="s">
        <v>16938</v>
      </c>
      <c r="E1987" s="2" t="s">
        <v>16939</v>
      </c>
      <c r="G1987" s="3" t="s">
        <v>63</v>
      </c>
      <c r="I1987" s="3" t="s">
        <v>63</v>
      </c>
      <c r="J1987" s="3" t="s">
        <v>63</v>
      </c>
      <c r="K1987" s="3" t="s">
        <v>64</v>
      </c>
      <c r="L1987" s="2" t="s">
        <v>16849</v>
      </c>
      <c r="M1987" s="2" t="s">
        <v>16940</v>
      </c>
      <c r="N1987" s="3" t="s">
        <v>12157</v>
      </c>
      <c r="P1987" s="3" t="s">
        <v>90</v>
      </c>
      <c r="R1987" s="3" t="s">
        <v>67</v>
      </c>
      <c r="S1987" s="4">
        <v>2</v>
      </c>
      <c r="T1987" s="4">
        <v>2</v>
      </c>
      <c r="U1987" s="5" t="s">
        <v>16941</v>
      </c>
      <c r="V1987" s="5" t="s">
        <v>16941</v>
      </c>
      <c r="W1987" s="5" t="s">
        <v>69</v>
      </c>
      <c r="X1987" s="5" t="s">
        <v>69</v>
      </c>
      <c r="Y1987" s="4">
        <v>21</v>
      </c>
      <c r="Z1987" s="4">
        <v>1</v>
      </c>
      <c r="AA1987" s="4">
        <v>1</v>
      </c>
      <c r="AB1987" s="4">
        <v>1</v>
      </c>
      <c r="AC1987" s="4">
        <v>1</v>
      </c>
      <c r="AD1987" s="4">
        <v>7</v>
      </c>
      <c r="AE1987" s="4">
        <v>7</v>
      </c>
      <c r="AF1987" s="4">
        <v>0</v>
      </c>
      <c r="AG1987" s="4">
        <v>0</v>
      </c>
      <c r="AH1987" s="4">
        <v>7</v>
      </c>
      <c r="AI1987" s="4">
        <v>7</v>
      </c>
      <c r="AJ1987" s="4">
        <v>0</v>
      </c>
      <c r="AK1987" s="4">
        <v>0</v>
      </c>
      <c r="AL1987" s="4">
        <v>6</v>
      </c>
      <c r="AM1987" s="4">
        <v>6</v>
      </c>
      <c r="AN1987" s="4">
        <v>0</v>
      </c>
      <c r="AO1987" s="4">
        <v>0</v>
      </c>
      <c r="AP1987" s="4">
        <v>0</v>
      </c>
      <c r="AQ1987" s="4">
        <v>0</v>
      </c>
      <c r="AR1987" s="3" t="s">
        <v>63</v>
      </c>
      <c r="AS1987" s="3" t="s">
        <v>63</v>
      </c>
      <c r="AT1987" s="3" t="s">
        <v>63</v>
      </c>
      <c r="AV1987" s="6" t="str">
        <f>HYPERLINK("http://mcgill.on.worldcat.org/oclc/2276940","Catalog Record")</f>
        <v>Catalog Record</v>
      </c>
      <c r="AW1987" s="6" t="str">
        <f>HYPERLINK("http://www.worldcat.org/oclc/2276940","WorldCat Record")</f>
        <v>WorldCat Record</v>
      </c>
      <c r="AX1987" s="3" t="s">
        <v>16942</v>
      </c>
      <c r="AY1987" s="3" t="s">
        <v>16943</v>
      </c>
      <c r="AZ1987" s="3" t="s">
        <v>16944</v>
      </c>
      <c r="BA1987" s="3" t="s">
        <v>16944</v>
      </c>
      <c r="BB1987" s="3" t="s">
        <v>16945</v>
      </c>
      <c r="BC1987" s="3" t="s">
        <v>82</v>
      </c>
      <c r="BD1987" s="3" t="s">
        <v>70</v>
      </c>
      <c r="BF1987" s="3" t="s">
        <v>16945</v>
      </c>
      <c r="BG1987" s="3" t="s">
        <v>16946</v>
      </c>
    </row>
    <row r="1988" spans="1:59" ht="60" x14ac:dyDescent="0.25">
      <c r="A1988" s="2" t="s">
        <v>59</v>
      </c>
      <c r="B1988" s="2" t="s">
        <v>60</v>
      </c>
      <c r="C1988" s="2" t="s">
        <v>16947</v>
      </c>
      <c r="D1988" s="2" t="s">
        <v>16948</v>
      </c>
      <c r="E1988" s="2" t="s">
        <v>16949</v>
      </c>
      <c r="G1988" s="3" t="s">
        <v>63</v>
      </c>
      <c r="I1988" s="3" t="s">
        <v>62</v>
      </c>
      <c r="J1988" s="3" t="s">
        <v>63</v>
      </c>
      <c r="K1988" s="3" t="s">
        <v>64</v>
      </c>
      <c r="L1988" s="2" t="s">
        <v>16849</v>
      </c>
      <c r="M1988" s="2" t="s">
        <v>16950</v>
      </c>
      <c r="N1988" s="3" t="s">
        <v>758</v>
      </c>
      <c r="P1988" s="3" t="s">
        <v>66</v>
      </c>
      <c r="Q1988" s="2" t="s">
        <v>16951</v>
      </c>
      <c r="R1988" s="3" t="s">
        <v>67</v>
      </c>
      <c r="S1988" s="4">
        <v>2</v>
      </c>
      <c r="T1988" s="4">
        <v>3</v>
      </c>
      <c r="U1988" s="5" t="s">
        <v>2557</v>
      </c>
      <c r="V1988" s="5" t="s">
        <v>2557</v>
      </c>
      <c r="W1988" s="5" t="s">
        <v>69</v>
      </c>
      <c r="X1988" s="5" t="s">
        <v>69</v>
      </c>
      <c r="Y1988" s="4">
        <v>3</v>
      </c>
      <c r="Z1988" s="4">
        <v>1</v>
      </c>
      <c r="AA1988" s="4">
        <v>4</v>
      </c>
      <c r="AB1988" s="4">
        <v>1</v>
      </c>
      <c r="AC1988" s="4">
        <v>1</v>
      </c>
      <c r="AD1988" s="4">
        <v>0</v>
      </c>
      <c r="AE1988" s="4">
        <v>2</v>
      </c>
      <c r="AF1988" s="4">
        <v>0</v>
      </c>
      <c r="AG1988" s="4">
        <v>0</v>
      </c>
      <c r="AH1988" s="4">
        <v>0</v>
      </c>
      <c r="AI1988" s="4">
        <v>1</v>
      </c>
      <c r="AJ1988" s="4">
        <v>0</v>
      </c>
      <c r="AK1988" s="4">
        <v>2</v>
      </c>
      <c r="AL1988" s="4">
        <v>0</v>
      </c>
      <c r="AM1988" s="4">
        <v>1</v>
      </c>
      <c r="AN1988" s="4">
        <v>0</v>
      </c>
      <c r="AO1988" s="4">
        <v>0</v>
      </c>
      <c r="AP1988" s="4">
        <v>0</v>
      </c>
      <c r="AQ1988" s="4">
        <v>2</v>
      </c>
      <c r="AR1988" s="3" t="s">
        <v>63</v>
      </c>
      <c r="AS1988" s="3" t="s">
        <v>63</v>
      </c>
      <c r="AT1988" s="3" t="s">
        <v>63</v>
      </c>
      <c r="AV1988" s="6" t="str">
        <f>HYPERLINK("http://mcgill.on.worldcat.org/oclc/61585967","Catalog Record")</f>
        <v>Catalog Record</v>
      </c>
      <c r="AW1988" s="6" t="str">
        <f>HYPERLINK("http://www.worldcat.org/oclc/61585967","WorldCat Record")</f>
        <v>WorldCat Record</v>
      </c>
      <c r="AX1988" s="3" t="s">
        <v>16952</v>
      </c>
      <c r="AY1988" s="3" t="s">
        <v>16953</v>
      </c>
      <c r="AZ1988" s="3" t="s">
        <v>16954</v>
      </c>
      <c r="BA1988" s="3" t="s">
        <v>16954</v>
      </c>
      <c r="BB1988" s="3" t="s">
        <v>16955</v>
      </c>
      <c r="BC1988" s="3" t="s">
        <v>82</v>
      </c>
      <c r="BD1988" s="3" t="s">
        <v>70</v>
      </c>
      <c r="BF1988" s="3" t="s">
        <v>16955</v>
      </c>
      <c r="BG1988" s="3" t="s">
        <v>16956</v>
      </c>
    </row>
    <row r="1989" spans="1:59" ht="60" x14ac:dyDescent="0.25">
      <c r="A1989" s="2" t="s">
        <v>59</v>
      </c>
      <c r="B1989" s="2" t="s">
        <v>60</v>
      </c>
      <c r="C1989" s="2" t="s">
        <v>16947</v>
      </c>
      <c r="D1989" s="2" t="s">
        <v>16948</v>
      </c>
      <c r="E1989" s="2" t="s">
        <v>16949</v>
      </c>
      <c r="G1989" s="3" t="s">
        <v>63</v>
      </c>
      <c r="I1989" s="3" t="s">
        <v>62</v>
      </c>
      <c r="J1989" s="3" t="s">
        <v>63</v>
      </c>
      <c r="K1989" s="3" t="s">
        <v>64</v>
      </c>
      <c r="L1989" s="2" t="s">
        <v>16849</v>
      </c>
      <c r="M1989" s="2" t="s">
        <v>16950</v>
      </c>
      <c r="N1989" s="3" t="s">
        <v>758</v>
      </c>
      <c r="P1989" s="3" t="s">
        <v>66</v>
      </c>
      <c r="Q1989" s="2" t="s">
        <v>16951</v>
      </c>
      <c r="R1989" s="3" t="s">
        <v>67</v>
      </c>
      <c r="S1989" s="4">
        <v>1</v>
      </c>
      <c r="T1989" s="4">
        <v>3</v>
      </c>
      <c r="U1989" s="5" t="s">
        <v>14950</v>
      </c>
      <c r="V1989" s="5" t="s">
        <v>2557</v>
      </c>
      <c r="W1989" s="5" t="s">
        <v>69</v>
      </c>
      <c r="X1989" s="5" t="s">
        <v>69</v>
      </c>
      <c r="Y1989" s="4">
        <v>3</v>
      </c>
      <c r="Z1989" s="4">
        <v>1</v>
      </c>
      <c r="AA1989" s="4">
        <v>4</v>
      </c>
      <c r="AB1989" s="4">
        <v>1</v>
      </c>
      <c r="AC1989" s="4">
        <v>1</v>
      </c>
      <c r="AD1989" s="4">
        <v>0</v>
      </c>
      <c r="AE1989" s="4">
        <v>2</v>
      </c>
      <c r="AF1989" s="4">
        <v>0</v>
      </c>
      <c r="AG1989" s="4">
        <v>0</v>
      </c>
      <c r="AH1989" s="4">
        <v>0</v>
      </c>
      <c r="AI1989" s="4">
        <v>1</v>
      </c>
      <c r="AJ1989" s="4">
        <v>0</v>
      </c>
      <c r="AK1989" s="4">
        <v>2</v>
      </c>
      <c r="AL1989" s="4">
        <v>0</v>
      </c>
      <c r="AM1989" s="4">
        <v>1</v>
      </c>
      <c r="AN1989" s="4">
        <v>0</v>
      </c>
      <c r="AO1989" s="4">
        <v>0</v>
      </c>
      <c r="AP1989" s="4">
        <v>0</v>
      </c>
      <c r="AQ1989" s="4">
        <v>2</v>
      </c>
      <c r="AR1989" s="3" t="s">
        <v>63</v>
      </c>
      <c r="AS1989" s="3" t="s">
        <v>63</v>
      </c>
      <c r="AT1989" s="3" t="s">
        <v>63</v>
      </c>
      <c r="AV1989" s="6" t="str">
        <f>HYPERLINK("http://mcgill.on.worldcat.org/oclc/61585967","Catalog Record")</f>
        <v>Catalog Record</v>
      </c>
      <c r="AW1989" s="6" t="str">
        <f>HYPERLINK("http://www.worldcat.org/oclc/61585967","WorldCat Record")</f>
        <v>WorldCat Record</v>
      </c>
      <c r="AX1989" s="3" t="s">
        <v>16952</v>
      </c>
      <c r="AY1989" s="3" t="s">
        <v>16953</v>
      </c>
      <c r="AZ1989" s="3" t="s">
        <v>16954</v>
      </c>
      <c r="BA1989" s="3" t="s">
        <v>16954</v>
      </c>
      <c r="BB1989" s="3" t="s">
        <v>16957</v>
      </c>
      <c r="BC1989" s="3" t="s">
        <v>82</v>
      </c>
      <c r="BD1989" s="3" t="s">
        <v>70</v>
      </c>
      <c r="BF1989" s="3" t="s">
        <v>16957</v>
      </c>
      <c r="BG1989" s="3" t="s">
        <v>16958</v>
      </c>
    </row>
    <row r="1990" spans="1:59" ht="90" x14ac:dyDescent="0.25">
      <c r="A1990" s="2" t="s">
        <v>59</v>
      </c>
      <c r="B1990" s="2" t="s">
        <v>16959</v>
      </c>
      <c r="C1990" s="2" t="s">
        <v>16960</v>
      </c>
      <c r="D1990" s="2" t="s">
        <v>16961</v>
      </c>
      <c r="E1990" s="2" t="s">
        <v>16962</v>
      </c>
      <c r="G1990" s="3" t="s">
        <v>63</v>
      </c>
      <c r="I1990" s="3" t="s">
        <v>63</v>
      </c>
      <c r="J1990" s="3" t="s">
        <v>62</v>
      </c>
      <c r="K1990" s="3" t="s">
        <v>64</v>
      </c>
      <c r="L1990" s="2" t="s">
        <v>16849</v>
      </c>
      <c r="M1990" s="2" t="s">
        <v>2132</v>
      </c>
      <c r="N1990" s="3" t="s">
        <v>918</v>
      </c>
      <c r="P1990" s="3" t="s">
        <v>66</v>
      </c>
      <c r="Q1990" s="2" t="s">
        <v>16963</v>
      </c>
      <c r="R1990" s="3" t="s">
        <v>67</v>
      </c>
      <c r="S1990" s="4">
        <v>9</v>
      </c>
      <c r="T1990" s="4">
        <v>9</v>
      </c>
      <c r="U1990" s="5" t="s">
        <v>16964</v>
      </c>
      <c r="V1990" s="5" t="s">
        <v>16964</v>
      </c>
      <c r="W1990" s="5" t="s">
        <v>69</v>
      </c>
      <c r="X1990" s="5" t="s">
        <v>69</v>
      </c>
      <c r="Y1990" s="4">
        <v>506</v>
      </c>
      <c r="Z1990" s="4">
        <v>23</v>
      </c>
      <c r="AA1990" s="4">
        <v>35</v>
      </c>
      <c r="AB1990" s="4">
        <v>1</v>
      </c>
      <c r="AC1990" s="4">
        <v>5</v>
      </c>
      <c r="AD1990" s="4">
        <v>68</v>
      </c>
      <c r="AE1990" s="4">
        <v>84</v>
      </c>
      <c r="AF1990" s="4">
        <v>0</v>
      </c>
      <c r="AG1990" s="4">
        <v>1</v>
      </c>
      <c r="AH1990" s="4">
        <v>59</v>
      </c>
      <c r="AI1990" s="4">
        <v>72</v>
      </c>
      <c r="AJ1990" s="4">
        <v>9</v>
      </c>
      <c r="AK1990" s="4">
        <v>11</v>
      </c>
      <c r="AL1990" s="4">
        <v>34</v>
      </c>
      <c r="AM1990" s="4">
        <v>42</v>
      </c>
      <c r="AN1990" s="4">
        <v>5</v>
      </c>
      <c r="AO1990" s="4">
        <v>5</v>
      </c>
      <c r="AP1990" s="4">
        <v>15</v>
      </c>
      <c r="AQ1990" s="4">
        <v>18</v>
      </c>
      <c r="AR1990" s="3" t="s">
        <v>63</v>
      </c>
      <c r="AS1990" s="3" t="s">
        <v>63</v>
      </c>
      <c r="AT1990" s="3" t="s">
        <v>62</v>
      </c>
      <c r="AU1990" s="6" t="str">
        <f>HYPERLINK("http://catalog.hathitrust.org/Record/001538957","HathiTrust Record")</f>
        <v>HathiTrust Record</v>
      </c>
      <c r="AV1990" s="6" t="str">
        <f>HYPERLINK("http://mcgill.on.worldcat.org/oclc/256596","Catalog Record")</f>
        <v>Catalog Record</v>
      </c>
      <c r="AW1990" s="6" t="str">
        <f>HYPERLINK("http://www.worldcat.org/oclc/256596","WorldCat Record")</f>
        <v>WorldCat Record</v>
      </c>
      <c r="AX1990" s="3" t="s">
        <v>16928</v>
      </c>
      <c r="AY1990" s="3" t="s">
        <v>16965</v>
      </c>
      <c r="AZ1990" s="3" t="s">
        <v>16966</v>
      </c>
      <c r="BA1990" s="3" t="s">
        <v>16966</v>
      </c>
      <c r="BB1990" s="3" t="s">
        <v>16967</v>
      </c>
      <c r="BC1990" s="3" t="s">
        <v>82</v>
      </c>
      <c r="BD1990" s="3" t="s">
        <v>70</v>
      </c>
      <c r="BE1990" s="3" t="s">
        <v>16968</v>
      </c>
      <c r="BF1990" s="3" t="s">
        <v>16967</v>
      </c>
      <c r="BG1990" s="3" t="s">
        <v>16969</v>
      </c>
    </row>
    <row r="1991" spans="1:59" ht="75" x14ac:dyDescent="0.25">
      <c r="A1991" s="2" t="s">
        <v>59</v>
      </c>
      <c r="B1991" s="2" t="s">
        <v>60</v>
      </c>
      <c r="C1991" s="2" t="s">
        <v>16923</v>
      </c>
      <c r="D1991" s="2" t="s">
        <v>16924</v>
      </c>
      <c r="E1991" s="2" t="s">
        <v>16925</v>
      </c>
      <c r="G1991" s="3" t="s">
        <v>63</v>
      </c>
      <c r="I1991" s="3" t="s">
        <v>62</v>
      </c>
      <c r="J1991" s="3" t="s">
        <v>62</v>
      </c>
      <c r="K1991" s="3" t="s">
        <v>64</v>
      </c>
      <c r="L1991" s="2" t="s">
        <v>16849</v>
      </c>
      <c r="M1991" s="2" t="s">
        <v>16926</v>
      </c>
      <c r="N1991" s="3" t="s">
        <v>693</v>
      </c>
      <c r="P1991" s="3" t="s">
        <v>66</v>
      </c>
      <c r="R1991" s="3" t="s">
        <v>67</v>
      </c>
      <c r="S1991" s="4">
        <v>17</v>
      </c>
      <c r="T1991" s="4">
        <v>26</v>
      </c>
      <c r="U1991" s="5" t="s">
        <v>16927</v>
      </c>
      <c r="V1991" s="5" t="s">
        <v>16927</v>
      </c>
      <c r="W1991" s="5" t="s">
        <v>69</v>
      </c>
      <c r="X1991" s="5" t="s">
        <v>69</v>
      </c>
      <c r="Y1991" s="4">
        <v>217</v>
      </c>
      <c r="Z1991" s="4">
        <v>9</v>
      </c>
      <c r="AA1991" s="4">
        <v>35</v>
      </c>
      <c r="AB1991" s="4">
        <v>3</v>
      </c>
      <c r="AC1991" s="4">
        <v>5</v>
      </c>
      <c r="AD1991" s="4">
        <v>15</v>
      </c>
      <c r="AE1991" s="4">
        <v>84</v>
      </c>
      <c r="AF1991" s="4">
        <v>1</v>
      </c>
      <c r="AG1991" s="4">
        <v>1</v>
      </c>
      <c r="AH1991" s="4">
        <v>13</v>
      </c>
      <c r="AI1991" s="4">
        <v>72</v>
      </c>
      <c r="AJ1991" s="4">
        <v>1</v>
      </c>
      <c r="AK1991" s="4">
        <v>11</v>
      </c>
      <c r="AL1991" s="4">
        <v>12</v>
      </c>
      <c r="AM1991" s="4">
        <v>42</v>
      </c>
      <c r="AN1991" s="4">
        <v>0</v>
      </c>
      <c r="AO1991" s="4">
        <v>5</v>
      </c>
      <c r="AP1991" s="4">
        <v>2</v>
      </c>
      <c r="AQ1991" s="4">
        <v>18</v>
      </c>
      <c r="AR1991" s="3" t="s">
        <v>63</v>
      </c>
      <c r="AS1991" s="3" t="s">
        <v>63</v>
      </c>
      <c r="AT1991" s="3" t="s">
        <v>63</v>
      </c>
      <c r="AV1991" s="6" t="str">
        <f>HYPERLINK("http://mcgill.on.worldcat.org/oclc/54707173","Catalog Record")</f>
        <v>Catalog Record</v>
      </c>
      <c r="AW1991" s="6" t="str">
        <f>HYPERLINK("http://www.worldcat.org/oclc/54707173","WorldCat Record")</f>
        <v>WorldCat Record</v>
      </c>
      <c r="AX1991" s="3" t="s">
        <v>16928</v>
      </c>
      <c r="AY1991" s="3" t="s">
        <v>16929</v>
      </c>
      <c r="AZ1991" s="3" t="s">
        <v>16930</v>
      </c>
      <c r="BA1991" s="3" t="s">
        <v>16930</v>
      </c>
      <c r="BB1991" s="3" t="s">
        <v>16931</v>
      </c>
      <c r="BC1991" s="3" t="s">
        <v>82</v>
      </c>
      <c r="BD1991" s="3" t="s">
        <v>70</v>
      </c>
      <c r="BE1991" s="3" t="s">
        <v>16932</v>
      </c>
      <c r="BF1991" s="3" t="s">
        <v>16931</v>
      </c>
      <c r="BG1991" s="3" t="s">
        <v>16933</v>
      </c>
    </row>
    <row r="1992" spans="1:59" ht="75" x14ac:dyDescent="0.25">
      <c r="A1992" s="2" t="s">
        <v>59</v>
      </c>
      <c r="B1992" s="2" t="s">
        <v>60</v>
      </c>
      <c r="C1992" s="2" t="s">
        <v>16923</v>
      </c>
      <c r="D1992" s="2" t="s">
        <v>16924</v>
      </c>
      <c r="E1992" s="2" t="s">
        <v>16925</v>
      </c>
      <c r="G1992" s="3" t="s">
        <v>63</v>
      </c>
      <c r="I1992" s="3" t="s">
        <v>62</v>
      </c>
      <c r="J1992" s="3" t="s">
        <v>62</v>
      </c>
      <c r="K1992" s="3" t="s">
        <v>64</v>
      </c>
      <c r="L1992" s="2" t="s">
        <v>16849</v>
      </c>
      <c r="M1992" s="2" t="s">
        <v>16926</v>
      </c>
      <c r="N1992" s="3" t="s">
        <v>693</v>
      </c>
      <c r="P1992" s="3" t="s">
        <v>66</v>
      </c>
      <c r="R1992" s="3" t="s">
        <v>67</v>
      </c>
      <c r="S1992" s="4">
        <v>9</v>
      </c>
      <c r="T1992" s="4">
        <v>26</v>
      </c>
      <c r="U1992" s="5" t="s">
        <v>16934</v>
      </c>
      <c r="V1992" s="5" t="s">
        <v>16927</v>
      </c>
      <c r="W1992" s="5" t="s">
        <v>69</v>
      </c>
      <c r="X1992" s="5" t="s">
        <v>69</v>
      </c>
      <c r="Y1992" s="4">
        <v>217</v>
      </c>
      <c r="Z1992" s="4">
        <v>9</v>
      </c>
      <c r="AA1992" s="4">
        <v>35</v>
      </c>
      <c r="AB1992" s="4">
        <v>3</v>
      </c>
      <c r="AC1992" s="4">
        <v>5</v>
      </c>
      <c r="AD1992" s="4">
        <v>15</v>
      </c>
      <c r="AE1992" s="4">
        <v>84</v>
      </c>
      <c r="AF1992" s="4">
        <v>1</v>
      </c>
      <c r="AG1992" s="4">
        <v>1</v>
      </c>
      <c r="AH1992" s="4">
        <v>13</v>
      </c>
      <c r="AI1992" s="4">
        <v>72</v>
      </c>
      <c r="AJ1992" s="4">
        <v>1</v>
      </c>
      <c r="AK1992" s="4">
        <v>11</v>
      </c>
      <c r="AL1992" s="4">
        <v>12</v>
      </c>
      <c r="AM1992" s="4">
        <v>42</v>
      </c>
      <c r="AN1992" s="4">
        <v>0</v>
      </c>
      <c r="AO1992" s="4">
        <v>5</v>
      </c>
      <c r="AP1992" s="4">
        <v>2</v>
      </c>
      <c r="AQ1992" s="4">
        <v>18</v>
      </c>
      <c r="AR1992" s="3" t="s">
        <v>63</v>
      </c>
      <c r="AS1992" s="3" t="s">
        <v>63</v>
      </c>
      <c r="AT1992" s="3" t="s">
        <v>63</v>
      </c>
      <c r="AV1992" s="6" t="str">
        <f>HYPERLINK("http://mcgill.on.worldcat.org/oclc/54707173","Catalog Record")</f>
        <v>Catalog Record</v>
      </c>
      <c r="AW1992" s="6" t="str">
        <f>HYPERLINK("http://www.worldcat.org/oclc/54707173","WorldCat Record")</f>
        <v>WorldCat Record</v>
      </c>
      <c r="AX1992" s="3" t="s">
        <v>16928</v>
      </c>
      <c r="AY1992" s="3" t="s">
        <v>16929</v>
      </c>
      <c r="AZ1992" s="3" t="s">
        <v>16930</v>
      </c>
      <c r="BA1992" s="3" t="s">
        <v>16930</v>
      </c>
      <c r="BB1992" s="3" t="s">
        <v>16935</v>
      </c>
      <c r="BC1992" s="3" t="s">
        <v>82</v>
      </c>
      <c r="BD1992" s="3" t="s">
        <v>538</v>
      </c>
      <c r="BE1992" s="3" t="s">
        <v>16932</v>
      </c>
      <c r="BF1992" s="3" t="s">
        <v>16935</v>
      </c>
      <c r="BG1992" s="3" t="s">
        <v>16936</v>
      </c>
    </row>
    <row r="1993" spans="1:59" ht="60" x14ac:dyDescent="0.25">
      <c r="A1993" s="2" t="s">
        <v>59</v>
      </c>
      <c r="B1993" s="2" t="s">
        <v>60</v>
      </c>
      <c r="C1993" s="2" t="s">
        <v>16970</v>
      </c>
      <c r="D1993" s="2" t="s">
        <v>16971</v>
      </c>
      <c r="E1993" s="2" t="s">
        <v>16972</v>
      </c>
      <c r="G1993" s="3" t="s">
        <v>63</v>
      </c>
      <c r="I1993" s="3" t="s">
        <v>63</v>
      </c>
      <c r="J1993" s="3" t="s">
        <v>63</v>
      </c>
      <c r="K1993" s="3" t="s">
        <v>64</v>
      </c>
      <c r="L1993" s="2" t="s">
        <v>16973</v>
      </c>
      <c r="M1993" s="2" t="s">
        <v>16974</v>
      </c>
      <c r="N1993" s="3" t="s">
        <v>143</v>
      </c>
      <c r="P1993" s="3" t="s">
        <v>90</v>
      </c>
      <c r="R1993" s="3" t="s">
        <v>67</v>
      </c>
      <c r="S1993" s="4">
        <v>2</v>
      </c>
      <c r="T1993" s="4">
        <v>2</v>
      </c>
      <c r="U1993" s="5" t="s">
        <v>12201</v>
      </c>
      <c r="V1993" s="5" t="s">
        <v>12201</v>
      </c>
      <c r="W1993" s="5" t="s">
        <v>69</v>
      </c>
      <c r="X1993" s="5" t="s">
        <v>69</v>
      </c>
      <c r="Y1993" s="4">
        <v>1</v>
      </c>
      <c r="Z1993" s="4">
        <v>1</v>
      </c>
      <c r="AA1993" s="4">
        <v>2</v>
      </c>
      <c r="AB1993" s="4">
        <v>1</v>
      </c>
      <c r="AC1993" s="4">
        <v>1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3" t="s">
        <v>63</v>
      </c>
      <c r="AS1993" s="3" t="s">
        <v>63</v>
      </c>
      <c r="AT1993" s="3" t="s">
        <v>63</v>
      </c>
      <c r="AV1993" s="6" t="str">
        <f>HYPERLINK("http://mcgill.on.worldcat.org/oclc/903913264","Catalog Record")</f>
        <v>Catalog Record</v>
      </c>
      <c r="AW1993" s="6" t="str">
        <f>HYPERLINK("http://www.worldcat.org/oclc/903913264","WorldCat Record")</f>
        <v>WorldCat Record</v>
      </c>
      <c r="AX1993" s="3" t="s">
        <v>16975</v>
      </c>
      <c r="AY1993" s="3" t="s">
        <v>16976</v>
      </c>
      <c r="AZ1993" s="3" t="s">
        <v>16977</v>
      </c>
      <c r="BA1993" s="3" t="s">
        <v>16977</v>
      </c>
      <c r="BB1993" s="3" t="s">
        <v>16978</v>
      </c>
      <c r="BC1993" s="3" t="s">
        <v>82</v>
      </c>
      <c r="BD1993" s="3" t="s">
        <v>70</v>
      </c>
      <c r="BE1993" s="3" t="s">
        <v>16979</v>
      </c>
      <c r="BF1993" s="3" t="s">
        <v>16978</v>
      </c>
      <c r="BG1993" s="3" t="s">
        <v>16980</v>
      </c>
    </row>
    <row r="1994" spans="1:59" ht="60" x14ac:dyDescent="0.25">
      <c r="A1994" s="2" t="s">
        <v>59</v>
      </c>
      <c r="B1994" s="2" t="s">
        <v>60</v>
      </c>
      <c r="C1994" s="2" t="s">
        <v>16981</v>
      </c>
      <c r="D1994" s="2" t="s">
        <v>16982</v>
      </c>
      <c r="E1994" s="2" t="s">
        <v>16983</v>
      </c>
      <c r="G1994" s="3" t="s">
        <v>63</v>
      </c>
      <c r="I1994" s="3" t="s">
        <v>63</v>
      </c>
      <c r="J1994" s="3" t="s">
        <v>62</v>
      </c>
      <c r="K1994" s="3" t="s">
        <v>64</v>
      </c>
      <c r="L1994" s="2" t="s">
        <v>16849</v>
      </c>
      <c r="M1994" s="2" t="s">
        <v>16984</v>
      </c>
      <c r="N1994" s="3" t="s">
        <v>234</v>
      </c>
      <c r="P1994" s="3" t="s">
        <v>90</v>
      </c>
      <c r="Q1994" s="2" t="s">
        <v>16985</v>
      </c>
      <c r="R1994" s="3" t="s">
        <v>67</v>
      </c>
      <c r="S1994" s="4">
        <v>5</v>
      </c>
      <c r="T1994" s="4">
        <v>5</v>
      </c>
      <c r="U1994" s="5" t="s">
        <v>16986</v>
      </c>
      <c r="V1994" s="5" t="s">
        <v>16986</v>
      </c>
      <c r="W1994" s="5" t="s">
        <v>69</v>
      </c>
      <c r="X1994" s="5" t="s">
        <v>69</v>
      </c>
      <c r="Y1994" s="4">
        <v>3</v>
      </c>
      <c r="Z1994" s="4">
        <v>2</v>
      </c>
      <c r="AA1994" s="4">
        <v>40</v>
      </c>
      <c r="AB1994" s="4">
        <v>2</v>
      </c>
      <c r="AC1994" s="4">
        <v>5</v>
      </c>
      <c r="AD1994" s="4">
        <v>0</v>
      </c>
      <c r="AE1994" s="4">
        <v>109</v>
      </c>
      <c r="AF1994" s="4">
        <v>0</v>
      </c>
      <c r="AG1994" s="4">
        <v>1</v>
      </c>
      <c r="AH1994" s="4">
        <v>0</v>
      </c>
      <c r="AI1994" s="4">
        <v>94</v>
      </c>
      <c r="AJ1994" s="4">
        <v>0</v>
      </c>
      <c r="AK1994" s="4">
        <v>18</v>
      </c>
      <c r="AL1994" s="4">
        <v>0</v>
      </c>
      <c r="AM1994" s="4">
        <v>54</v>
      </c>
      <c r="AN1994" s="4">
        <v>0</v>
      </c>
      <c r="AO1994" s="4">
        <v>1</v>
      </c>
      <c r="AP1994" s="4">
        <v>0</v>
      </c>
      <c r="AQ1994" s="4">
        <v>21</v>
      </c>
      <c r="AR1994" s="3" t="s">
        <v>63</v>
      </c>
      <c r="AS1994" s="3" t="s">
        <v>63</v>
      </c>
      <c r="AT1994" s="3" t="s">
        <v>63</v>
      </c>
      <c r="AV1994" s="6" t="str">
        <f>HYPERLINK("http://mcgill.on.worldcat.org/oclc/469710298","Catalog Record")</f>
        <v>Catalog Record</v>
      </c>
      <c r="AW1994" s="6" t="str">
        <f>HYPERLINK("http://www.worldcat.org/oclc/469710298","WorldCat Record")</f>
        <v>WorldCat Record</v>
      </c>
      <c r="AX1994" s="3" t="s">
        <v>16987</v>
      </c>
      <c r="AY1994" s="3" t="s">
        <v>16988</v>
      </c>
      <c r="AZ1994" s="3" t="s">
        <v>16989</v>
      </c>
      <c r="BA1994" s="3" t="s">
        <v>16989</v>
      </c>
      <c r="BB1994" s="3" t="s">
        <v>16990</v>
      </c>
      <c r="BC1994" s="3" t="s">
        <v>82</v>
      </c>
      <c r="BD1994" s="3" t="s">
        <v>70</v>
      </c>
      <c r="BE1994" s="3" t="s">
        <v>15476</v>
      </c>
      <c r="BF1994" s="3" t="s">
        <v>16990</v>
      </c>
      <c r="BG1994" s="3" t="s">
        <v>16991</v>
      </c>
    </row>
    <row r="1995" spans="1:59" ht="60" x14ac:dyDescent="0.25">
      <c r="A1995" s="2" t="s">
        <v>59</v>
      </c>
      <c r="B1995" s="2" t="s">
        <v>60</v>
      </c>
      <c r="C1995" s="2" t="s">
        <v>16992</v>
      </c>
      <c r="D1995" s="2" t="s">
        <v>16993</v>
      </c>
      <c r="E1995" s="2" t="s">
        <v>16994</v>
      </c>
      <c r="G1995" s="3" t="s">
        <v>63</v>
      </c>
      <c r="I1995" s="3" t="s">
        <v>63</v>
      </c>
      <c r="J1995" s="3" t="s">
        <v>62</v>
      </c>
      <c r="K1995" s="3" t="s">
        <v>64</v>
      </c>
      <c r="L1995" s="2" t="s">
        <v>16849</v>
      </c>
      <c r="M1995" s="2" t="s">
        <v>16995</v>
      </c>
      <c r="N1995" s="3" t="s">
        <v>261</v>
      </c>
      <c r="P1995" s="3" t="s">
        <v>90</v>
      </c>
      <c r="Q1995" s="2" t="s">
        <v>16996</v>
      </c>
      <c r="R1995" s="3" t="s">
        <v>67</v>
      </c>
      <c r="S1995" s="4">
        <v>9</v>
      </c>
      <c r="T1995" s="4">
        <v>9</v>
      </c>
      <c r="U1995" s="5" t="s">
        <v>3569</v>
      </c>
      <c r="V1995" s="5" t="s">
        <v>3569</v>
      </c>
      <c r="W1995" s="5" t="s">
        <v>69</v>
      </c>
      <c r="X1995" s="5" t="s">
        <v>69</v>
      </c>
      <c r="Y1995" s="4">
        <v>5</v>
      </c>
      <c r="Z1995" s="4">
        <v>1</v>
      </c>
      <c r="AA1995" s="4">
        <v>40</v>
      </c>
      <c r="AB1995" s="4">
        <v>1</v>
      </c>
      <c r="AC1995" s="4">
        <v>5</v>
      </c>
      <c r="AD1995" s="4">
        <v>0</v>
      </c>
      <c r="AE1995" s="4">
        <v>109</v>
      </c>
      <c r="AF1995" s="4">
        <v>0</v>
      </c>
      <c r="AG1995" s="4">
        <v>1</v>
      </c>
      <c r="AH1995" s="4">
        <v>0</v>
      </c>
      <c r="AI1995" s="4">
        <v>94</v>
      </c>
      <c r="AJ1995" s="4">
        <v>0</v>
      </c>
      <c r="AK1995" s="4">
        <v>18</v>
      </c>
      <c r="AL1995" s="4">
        <v>0</v>
      </c>
      <c r="AM1995" s="4">
        <v>54</v>
      </c>
      <c r="AN1995" s="4">
        <v>0</v>
      </c>
      <c r="AO1995" s="4">
        <v>1</v>
      </c>
      <c r="AP1995" s="4">
        <v>0</v>
      </c>
      <c r="AQ1995" s="4">
        <v>21</v>
      </c>
      <c r="AR1995" s="3" t="s">
        <v>63</v>
      </c>
      <c r="AS1995" s="3" t="s">
        <v>63</v>
      </c>
      <c r="AT1995" s="3" t="s">
        <v>63</v>
      </c>
      <c r="AV1995" s="6" t="str">
        <f>HYPERLINK("http://mcgill.on.worldcat.org/oclc/229411796","Catalog Record")</f>
        <v>Catalog Record</v>
      </c>
      <c r="AW1995" s="6" t="str">
        <f>HYPERLINK("http://www.worldcat.org/oclc/229411796","WorldCat Record")</f>
        <v>WorldCat Record</v>
      </c>
      <c r="AX1995" s="3" t="s">
        <v>16987</v>
      </c>
      <c r="AY1995" s="3" t="s">
        <v>16997</v>
      </c>
      <c r="AZ1995" s="3" t="s">
        <v>16998</v>
      </c>
      <c r="BA1995" s="3" t="s">
        <v>16998</v>
      </c>
      <c r="BB1995" s="3" t="s">
        <v>16999</v>
      </c>
      <c r="BC1995" s="3" t="s">
        <v>82</v>
      </c>
      <c r="BD1995" s="3" t="s">
        <v>70</v>
      </c>
      <c r="BE1995" s="3" t="s">
        <v>17000</v>
      </c>
      <c r="BF1995" s="3" t="s">
        <v>16999</v>
      </c>
      <c r="BG1995" s="3" t="s">
        <v>17001</v>
      </c>
    </row>
    <row r="1996" spans="1:59" ht="60" x14ac:dyDescent="0.25">
      <c r="A1996" s="2" t="s">
        <v>59</v>
      </c>
      <c r="B1996" s="2" t="s">
        <v>60</v>
      </c>
      <c r="C1996" s="2" t="s">
        <v>17002</v>
      </c>
      <c r="D1996" s="2" t="s">
        <v>17003</v>
      </c>
      <c r="E1996" s="2" t="s">
        <v>17004</v>
      </c>
      <c r="G1996" s="3" t="s">
        <v>63</v>
      </c>
      <c r="I1996" s="3" t="s">
        <v>63</v>
      </c>
      <c r="J1996" s="3" t="s">
        <v>63</v>
      </c>
      <c r="K1996" s="3" t="s">
        <v>64</v>
      </c>
      <c r="L1996" s="2" t="s">
        <v>17005</v>
      </c>
      <c r="M1996" s="2" t="s">
        <v>11264</v>
      </c>
      <c r="N1996" s="3" t="s">
        <v>668</v>
      </c>
      <c r="P1996" s="3" t="s">
        <v>66</v>
      </c>
      <c r="Q1996" s="2" t="s">
        <v>17006</v>
      </c>
      <c r="R1996" s="3" t="s">
        <v>67</v>
      </c>
      <c r="S1996" s="4">
        <v>54</v>
      </c>
      <c r="T1996" s="4">
        <v>54</v>
      </c>
      <c r="U1996" s="5" t="s">
        <v>17007</v>
      </c>
      <c r="V1996" s="5" t="s">
        <v>17007</v>
      </c>
      <c r="W1996" s="5" t="s">
        <v>69</v>
      </c>
      <c r="X1996" s="5" t="s">
        <v>69</v>
      </c>
      <c r="Y1996" s="4">
        <v>821</v>
      </c>
      <c r="Z1996" s="4">
        <v>33</v>
      </c>
      <c r="AA1996" s="4">
        <v>38</v>
      </c>
      <c r="AB1996" s="4">
        <v>1</v>
      </c>
      <c r="AC1996" s="4">
        <v>3</v>
      </c>
      <c r="AD1996" s="4">
        <v>106</v>
      </c>
      <c r="AE1996" s="4">
        <v>113</v>
      </c>
      <c r="AF1996" s="4">
        <v>0</v>
      </c>
      <c r="AG1996" s="4">
        <v>1</v>
      </c>
      <c r="AH1996" s="4">
        <v>97</v>
      </c>
      <c r="AI1996" s="4">
        <v>101</v>
      </c>
      <c r="AJ1996" s="4">
        <v>17</v>
      </c>
      <c r="AK1996" s="4">
        <v>20</v>
      </c>
      <c r="AL1996" s="4">
        <v>50</v>
      </c>
      <c r="AM1996" s="4">
        <v>51</v>
      </c>
      <c r="AN1996" s="4">
        <v>0</v>
      </c>
      <c r="AO1996" s="4">
        <v>0</v>
      </c>
      <c r="AP1996" s="4">
        <v>20</v>
      </c>
      <c r="AQ1996" s="4">
        <v>23</v>
      </c>
      <c r="AR1996" s="3" t="s">
        <v>63</v>
      </c>
      <c r="AS1996" s="3" t="s">
        <v>63</v>
      </c>
      <c r="AT1996" s="3" t="s">
        <v>62</v>
      </c>
      <c r="AU1996" s="6" t="str">
        <f>HYPERLINK("http://catalog.hathitrust.org/Record/007108487","HathiTrust Record")</f>
        <v>HathiTrust Record</v>
      </c>
      <c r="AV1996" s="6" t="str">
        <f>HYPERLINK("http://mcgill.on.worldcat.org/oclc/21295044","Catalog Record")</f>
        <v>Catalog Record</v>
      </c>
      <c r="AW1996" s="6" t="str">
        <f>HYPERLINK("http://www.worldcat.org/oclc/21295044","WorldCat Record")</f>
        <v>WorldCat Record</v>
      </c>
      <c r="AX1996" s="3" t="s">
        <v>17008</v>
      </c>
      <c r="AY1996" s="3" t="s">
        <v>17009</v>
      </c>
      <c r="AZ1996" s="3" t="s">
        <v>17010</v>
      </c>
      <c r="BA1996" s="3" t="s">
        <v>17010</v>
      </c>
      <c r="BB1996" s="3" t="s">
        <v>17011</v>
      </c>
      <c r="BC1996" s="3" t="s">
        <v>82</v>
      </c>
      <c r="BD1996" s="3" t="s">
        <v>70</v>
      </c>
      <c r="BE1996" s="3" t="s">
        <v>17012</v>
      </c>
      <c r="BF1996" s="3" t="s">
        <v>17011</v>
      </c>
      <c r="BG1996" s="3" t="s">
        <v>17013</v>
      </c>
    </row>
    <row r="1997" spans="1:59" ht="60" x14ac:dyDescent="0.25">
      <c r="A1997" s="2" t="s">
        <v>59</v>
      </c>
      <c r="B1997" s="2" t="s">
        <v>60</v>
      </c>
      <c r="C1997" s="2" t="s">
        <v>17014</v>
      </c>
      <c r="D1997" s="2" t="s">
        <v>17015</v>
      </c>
      <c r="E1997" s="2" t="s">
        <v>17016</v>
      </c>
      <c r="G1997" s="3" t="s">
        <v>63</v>
      </c>
      <c r="I1997" s="3" t="s">
        <v>63</v>
      </c>
      <c r="J1997" s="3" t="s">
        <v>63</v>
      </c>
      <c r="K1997" s="3" t="s">
        <v>64</v>
      </c>
      <c r="L1997" s="2" t="s">
        <v>17017</v>
      </c>
      <c r="M1997" s="2" t="s">
        <v>17018</v>
      </c>
      <c r="N1997" s="3" t="s">
        <v>693</v>
      </c>
      <c r="P1997" s="3" t="s">
        <v>66</v>
      </c>
      <c r="R1997" s="3" t="s">
        <v>67</v>
      </c>
      <c r="S1997" s="4">
        <v>17</v>
      </c>
      <c r="T1997" s="4">
        <v>17</v>
      </c>
      <c r="U1997" s="5" t="s">
        <v>4069</v>
      </c>
      <c r="V1997" s="5" t="s">
        <v>4069</v>
      </c>
      <c r="W1997" s="5" t="s">
        <v>69</v>
      </c>
      <c r="X1997" s="5" t="s">
        <v>69</v>
      </c>
      <c r="Y1997" s="4">
        <v>444</v>
      </c>
      <c r="Z1997" s="4">
        <v>20</v>
      </c>
      <c r="AA1997" s="4">
        <v>94</v>
      </c>
      <c r="AB1997" s="4">
        <v>1</v>
      </c>
      <c r="AC1997" s="4">
        <v>17</v>
      </c>
      <c r="AD1997" s="4">
        <v>108</v>
      </c>
      <c r="AE1997" s="4">
        <v>144</v>
      </c>
      <c r="AF1997" s="4">
        <v>0</v>
      </c>
      <c r="AG1997" s="4">
        <v>8</v>
      </c>
      <c r="AH1997" s="4">
        <v>100</v>
      </c>
      <c r="AI1997" s="4">
        <v>108</v>
      </c>
      <c r="AJ1997" s="4">
        <v>14</v>
      </c>
      <c r="AK1997" s="4">
        <v>23</v>
      </c>
      <c r="AL1997" s="4">
        <v>56</v>
      </c>
      <c r="AM1997" s="4">
        <v>60</v>
      </c>
      <c r="AN1997" s="4">
        <v>0</v>
      </c>
      <c r="AO1997" s="4">
        <v>0</v>
      </c>
      <c r="AP1997" s="4">
        <v>15</v>
      </c>
      <c r="AQ1997" s="4">
        <v>44</v>
      </c>
      <c r="AR1997" s="3" t="s">
        <v>63</v>
      </c>
      <c r="AS1997" s="3" t="s">
        <v>63</v>
      </c>
      <c r="AT1997" s="3" t="s">
        <v>62</v>
      </c>
      <c r="AU1997" s="6" t="str">
        <f>HYPERLINK("http://catalog.hathitrust.org/Record/004737574","HathiTrust Record")</f>
        <v>HathiTrust Record</v>
      </c>
      <c r="AV1997" s="6" t="str">
        <f>HYPERLINK("http://mcgill.on.worldcat.org/oclc/53170151","Catalog Record")</f>
        <v>Catalog Record</v>
      </c>
      <c r="AW1997" s="6" t="str">
        <f>HYPERLINK("http://www.worldcat.org/oclc/53170151","WorldCat Record")</f>
        <v>WorldCat Record</v>
      </c>
      <c r="AX1997" s="3" t="s">
        <v>17019</v>
      </c>
      <c r="AY1997" s="3" t="s">
        <v>17020</v>
      </c>
      <c r="AZ1997" s="3" t="s">
        <v>17021</v>
      </c>
      <c r="BA1997" s="3" t="s">
        <v>17021</v>
      </c>
      <c r="BB1997" s="3" t="s">
        <v>17022</v>
      </c>
      <c r="BC1997" s="3" t="s">
        <v>82</v>
      </c>
      <c r="BD1997" s="3" t="s">
        <v>70</v>
      </c>
      <c r="BE1997" s="3" t="s">
        <v>17023</v>
      </c>
      <c r="BF1997" s="3" t="s">
        <v>17022</v>
      </c>
      <c r="BG1997" s="3" t="s">
        <v>17024</v>
      </c>
    </row>
    <row r="1998" spans="1:59" ht="60" x14ac:dyDescent="0.25">
      <c r="A1998" s="2" t="s">
        <v>59</v>
      </c>
      <c r="B1998" s="2" t="s">
        <v>60</v>
      </c>
      <c r="C1998" s="2" t="s">
        <v>17025</v>
      </c>
      <c r="D1998" s="2" t="s">
        <v>17026</v>
      </c>
      <c r="E1998" s="2" t="s">
        <v>17027</v>
      </c>
      <c r="G1998" s="3" t="s">
        <v>63</v>
      </c>
      <c r="I1998" s="3" t="s">
        <v>63</v>
      </c>
      <c r="J1998" s="3" t="s">
        <v>63</v>
      </c>
      <c r="K1998" s="3" t="s">
        <v>64</v>
      </c>
      <c r="M1998" s="2" t="s">
        <v>17028</v>
      </c>
      <c r="N1998" s="3" t="s">
        <v>1226</v>
      </c>
      <c r="P1998" s="3" t="s">
        <v>66</v>
      </c>
      <c r="Q1998" s="2" t="s">
        <v>17029</v>
      </c>
      <c r="R1998" s="3" t="s">
        <v>67</v>
      </c>
      <c r="S1998" s="4">
        <v>24</v>
      </c>
      <c r="T1998" s="4">
        <v>24</v>
      </c>
      <c r="U1998" s="5" t="s">
        <v>6931</v>
      </c>
      <c r="V1998" s="5" t="s">
        <v>6931</v>
      </c>
      <c r="W1998" s="5" t="s">
        <v>69</v>
      </c>
      <c r="X1998" s="5" t="s">
        <v>69</v>
      </c>
      <c r="Y1998" s="4">
        <v>327</v>
      </c>
      <c r="Z1998" s="4">
        <v>17</v>
      </c>
      <c r="AA1998" s="4">
        <v>17</v>
      </c>
      <c r="AB1998" s="4">
        <v>1</v>
      </c>
      <c r="AC1998" s="4">
        <v>1</v>
      </c>
      <c r="AD1998" s="4">
        <v>95</v>
      </c>
      <c r="AE1998" s="4">
        <v>95</v>
      </c>
      <c r="AF1998" s="4">
        <v>0</v>
      </c>
      <c r="AG1998" s="4">
        <v>0</v>
      </c>
      <c r="AH1998" s="4">
        <v>89</v>
      </c>
      <c r="AI1998" s="4">
        <v>89</v>
      </c>
      <c r="AJ1998" s="4">
        <v>12</v>
      </c>
      <c r="AK1998" s="4">
        <v>12</v>
      </c>
      <c r="AL1998" s="4">
        <v>51</v>
      </c>
      <c r="AM1998" s="4">
        <v>51</v>
      </c>
      <c r="AN1998" s="4">
        <v>0</v>
      </c>
      <c r="AO1998" s="4">
        <v>0</v>
      </c>
      <c r="AP1998" s="4">
        <v>13</v>
      </c>
      <c r="AQ1998" s="4">
        <v>13</v>
      </c>
      <c r="AR1998" s="3" t="s">
        <v>63</v>
      </c>
      <c r="AS1998" s="3" t="s">
        <v>63</v>
      </c>
      <c r="AT1998" s="3" t="s">
        <v>63</v>
      </c>
      <c r="AV1998" s="6" t="str">
        <f>HYPERLINK("http://mcgill.on.worldcat.org/oclc/50942100","Catalog Record")</f>
        <v>Catalog Record</v>
      </c>
      <c r="AW1998" s="6" t="str">
        <f>HYPERLINK("http://www.worldcat.org/oclc/50942100","WorldCat Record")</f>
        <v>WorldCat Record</v>
      </c>
      <c r="AX1998" s="3" t="s">
        <v>17030</v>
      </c>
      <c r="AY1998" s="3" t="s">
        <v>17031</v>
      </c>
      <c r="AZ1998" s="3" t="s">
        <v>17032</v>
      </c>
      <c r="BA1998" s="3" t="s">
        <v>17032</v>
      </c>
      <c r="BB1998" s="3" t="s">
        <v>17033</v>
      </c>
      <c r="BC1998" s="3" t="s">
        <v>82</v>
      </c>
      <c r="BD1998" s="3" t="s">
        <v>70</v>
      </c>
      <c r="BE1998" s="3" t="s">
        <v>17034</v>
      </c>
      <c r="BF1998" s="3" t="s">
        <v>17033</v>
      </c>
      <c r="BG1998" s="3" t="s">
        <v>17035</v>
      </c>
    </row>
    <row r="1999" spans="1:59" ht="60" x14ac:dyDescent="0.25">
      <c r="A1999" s="2" t="s">
        <v>59</v>
      </c>
      <c r="B1999" s="2" t="s">
        <v>60</v>
      </c>
      <c r="C1999" s="2" t="s">
        <v>17036</v>
      </c>
      <c r="D1999" s="2" t="s">
        <v>17037</v>
      </c>
      <c r="E1999" s="2" t="s">
        <v>17038</v>
      </c>
      <c r="G1999" s="3" t="s">
        <v>63</v>
      </c>
      <c r="I1999" s="3" t="s">
        <v>63</v>
      </c>
      <c r="J1999" s="3" t="s">
        <v>63</v>
      </c>
      <c r="K1999" s="3" t="s">
        <v>64</v>
      </c>
      <c r="L1999" s="2" t="s">
        <v>17039</v>
      </c>
      <c r="M1999" s="2" t="s">
        <v>17040</v>
      </c>
      <c r="N1999" s="3" t="s">
        <v>427</v>
      </c>
      <c r="P1999" s="3" t="s">
        <v>66</v>
      </c>
      <c r="R1999" s="3" t="s">
        <v>67</v>
      </c>
      <c r="S1999" s="4">
        <v>41</v>
      </c>
      <c r="T1999" s="4">
        <v>41</v>
      </c>
      <c r="U1999" s="5" t="s">
        <v>6344</v>
      </c>
      <c r="V1999" s="5" t="s">
        <v>6344</v>
      </c>
      <c r="W1999" s="5" t="s">
        <v>69</v>
      </c>
      <c r="X1999" s="5" t="s">
        <v>69</v>
      </c>
      <c r="Y1999" s="4">
        <v>41</v>
      </c>
      <c r="Z1999" s="4">
        <v>14</v>
      </c>
      <c r="AA1999" s="4">
        <v>28</v>
      </c>
      <c r="AB1999" s="4">
        <v>1</v>
      </c>
      <c r="AC1999" s="4">
        <v>2</v>
      </c>
      <c r="AD1999" s="4">
        <v>21</v>
      </c>
      <c r="AE1999" s="4">
        <v>102</v>
      </c>
      <c r="AF1999" s="4">
        <v>0</v>
      </c>
      <c r="AG1999" s="4">
        <v>0</v>
      </c>
      <c r="AH1999" s="4">
        <v>18</v>
      </c>
      <c r="AI1999" s="4">
        <v>91</v>
      </c>
      <c r="AJ1999" s="4">
        <v>9</v>
      </c>
      <c r="AK1999" s="4">
        <v>16</v>
      </c>
      <c r="AL1999" s="4">
        <v>7</v>
      </c>
      <c r="AM1999" s="4">
        <v>52</v>
      </c>
      <c r="AN1999" s="4">
        <v>0</v>
      </c>
      <c r="AO1999" s="4">
        <v>0</v>
      </c>
      <c r="AP1999" s="4">
        <v>10</v>
      </c>
      <c r="AQ1999" s="4">
        <v>20</v>
      </c>
      <c r="AR1999" s="3" t="s">
        <v>63</v>
      </c>
      <c r="AS1999" s="3" t="s">
        <v>63</v>
      </c>
      <c r="AT1999" s="3" t="s">
        <v>62</v>
      </c>
      <c r="AU1999" s="6" t="str">
        <f>HYPERLINK("http://catalog.hathitrust.org/Record/000950253","HathiTrust Record")</f>
        <v>HathiTrust Record</v>
      </c>
      <c r="AV1999" s="6" t="str">
        <f>HYPERLINK("http://mcgill.on.worldcat.org/oclc/243518058","Catalog Record")</f>
        <v>Catalog Record</v>
      </c>
      <c r="AW1999" s="6" t="str">
        <f>HYPERLINK("http://www.worldcat.org/oclc/243518058","WorldCat Record")</f>
        <v>WorldCat Record</v>
      </c>
      <c r="AX1999" s="3" t="s">
        <v>17041</v>
      </c>
      <c r="AY1999" s="3" t="s">
        <v>17042</v>
      </c>
      <c r="AZ1999" s="3" t="s">
        <v>17043</v>
      </c>
      <c r="BA1999" s="3" t="s">
        <v>17043</v>
      </c>
      <c r="BB1999" s="3" t="s">
        <v>17044</v>
      </c>
      <c r="BC1999" s="3" t="s">
        <v>82</v>
      </c>
      <c r="BD1999" s="3" t="s">
        <v>70</v>
      </c>
      <c r="BE1999" s="3" t="s">
        <v>17045</v>
      </c>
      <c r="BF1999" s="3" t="s">
        <v>17044</v>
      </c>
      <c r="BG1999" s="3" t="s">
        <v>17046</v>
      </c>
    </row>
    <row r="2000" spans="1:59" ht="60" x14ac:dyDescent="0.25">
      <c r="A2000" s="2" t="s">
        <v>59</v>
      </c>
      <c r="B2000" s="2" t="s">
        <v>60</v>
      </c>
      <c r="C2000" s="2" t="s">
        <v>17047</v>
      </c>
      <c r="D2000" s="2" t="s">
        <v>17048</v>
      </c>
      <c r="E2000" s="2" t="s">
        <v>17049</v>
      </c>
      <c r="G2000" s="3" t="s">
        <v>63</v>
      </c>
      <c r="I2000" s="3" t="s">
        <v>63</v>
      </c>
      <c r="J2000" s="3" t="s">
        <v>63</v>
      </c>
      <c r="K2000" s="3" t="s">
        <v>64</v>
      </c>
      <c r="M2000" s="2" t="s">
        <v>17050</v>
      </c>
      <c r="N2000" s="3" t="s">
        <v>1418</v>
      </c>
      <c r="P2000" s="3" t="s">
        <v>66</v>
      </c>
      <c r="Q2000" s="2" t="s">
        <v>10972</v>
      </c>
      <c r="R2000" s="3" t="s">
        <v>67</v>
      </c>
      <c r="S2000" s="4">
        <v>52</v>
      </c>
      <c r="T2000" s="4">
        <v>52</v>
      </c>
      <c r="U2000" s="5" t="s">
        <v>3628</v>
      </c>
      <c r="V2000" s="5" t="s">
        <v>3628</v>
      </c>
      <c r="W2000" s="5" t="s">
        <v>69</v>
      </c>
      <c r="X2000" s="5" t="s">
        <v>69</v>
      </c>
      <c r="Y2000" s="4">
        <v>456</v>
      </c>
      <c r="Z2000" s="4">
        <v>19</v>
      </c>
      <c r="AA2000" s="4">
        <v>19</v>
      </c>
      <c r="AB2000" s="4">
        <v>2</v>
      </c>
      <c r="AC2000" s="4">
        <v>2</v>
      </c>
      <c r="AD2000" s="4">
        <v>69</v>
      </c>
      <c r="AE2000" s="4">
        <v>69</v>
      </c>
      <c r="AF2000" s="4">
        <v>0</v>
      </c>
      <c r="AG2000" s="4">
        <v>0</v>
      </c>
      <c r="AH2000" s="4">
        <v>64</v>
      </c>
      <c r="AI2000" s="4">
        <v>64</v>
      </c>
      <c r="AJ2000" s="4">
        <v>12</v>
      </c>
      <c r="AK2000" s="4">
        <v>12</v>
      </c>
      <c r="AL2000" s="4">
        <v>37</v>
      </c>
      <c r="AM2000" s="4">
        <v>37</v>
      </c>
      <c r="AN2000" s="4">
        <v>0</v>
      </c>
      <c r="AO2000" s="4">
        <v>0</v>
      </c>
      <c r="AP2000" s="4">
        <v>12</v>
      </c>
      <c r="AQ2000" s="4">
        <v>12</v>
      </c>
      <c r="AR2000" s="3" t="s">
        <v>63</v>
      </c>
      <c r="AS2000" s="3" t="s">
        <v>63</v>
      </c>
      <c r="AT2000" s="3" t="s">
        <v>62</v>
      </c>
      <c r="AU2000" s="6" t="str">
        <f>HYPERLINK("http://catalog.hathitrust.org/Record/000907895","HathiTrust Record")</f>
        <v>HathiTrust Record</v>
      </c>
      <c r="AV2000" s="6" t="str">
        <f>HYPERLINK("http://mcgill.on.worldcat.org/oclc/15659058","Catalog Record")</f>
        <v>Catalog Record</v>
      </c>
      <c r="AW2000" s="6" t="str">
        <f>HYPERLINK("http://www.worldcat.org/oclc/15659058","WorldCat Record")</f>
        <v>WorldCat Record</v>
      </c>
      <c r="AX2000" s="3" t="s">
        <v>17051</v>
      </c>
      <c r="AY2000" s="3" t="s">
        <v>17052</v>
      </c>
      <c r="AZ2000" s="3" t="s">
        <v>17053</v>
      </c>
      <c r="BA2000" s="3" t="s">
        <v>17053</v>
      </c>
      <c r="BB2000" s="3" t="s">
        <v>17054</v>
      </c>
      <c r="BC2000" s="3" t="s">
        <v>82</v>
      </c>
      <c r="BD2000" s="3" t="s">
        <v>70</v>
      </c>
      <c r="BE2000" s="3" t="s">
        <v>17055</v>
      </c>
      <c r="BF2000" s="3" t="s">
        <v>17054</v>
      </c>
      <c r="BG2000" s="3" t="s">
        <v>17056</v>
      </c>
    </row>
    <row r="2001" spans="1:59" ht="60" x14ac:dyDescent="0.25">
      <c r="A2001" s="2" t="s">
        <v>59</v>
      </c>
      <c r="B2001" s="2" t="s">
        <v>60</v>
      </c>
      <c r="C2001" s="2" t="s">
        <v>17057</v>
      </c>
      <c r="D2001" s="2" t="s">
        <v>17058</v>
      </c>
      <c r="E2001" s="2" t="s">
        <v>17059</v>
      </c>
      <c r="G2001" s="3" t="s">
        <v>63</v>
      </c>
      <c r="I2001" s="3" t="s">
        <v>63</v>
      </c>
      <c r="J2001" s="3" t="s">
        <v>63</v>
      </c>
      <c r="K2001" s="3" t="s">
        <v>64</v>
      </c>
      <c r="L2001" s="2" t="s">
        <v>17060</v>
      </c>
      <c r="M2001" s="2" t="s">
        <v>8159</v>
      </c>
      <c r="N2001" s="3" t="s">
        <v>313</v>
      </c>
      <c r="P2001" s="3" t="s">
        <v>66</v>
      </c>
      <c r="Q2001" s="2" t="s">
        <v>1949</v>
      </c>
      <c r="R2001" s="3" t="s">
        <v>67</v>
      </c>
      <c r="S2001" s="4">
        <v>8</v>
      </c>
      <c r="T2001" s="4">
        <v>8</v>
      </c>
      <c r="U2001" s="5" t="s">
        <v>4069</v>
      </c>
      <c r="V2001" s="5" t="s">
        <v>4069</v>
      </c>
      <c r="W2001" s="5" t="s">
        <v>69</v>
      </c>
      <c r="X2001" s="5" t="s">
        <v>69</v>
      </c>
      <c r="Y2001" s="4">
        <v>129</v>
      </c>
      <c r="Z2001" s="4">
        <v>12</v>
      </c>
      <c r="AA2001" s="4">
        <v>90</v>
      </c>
      <c r="AB2001" s="4">
        <v>1</v>
      </c>
      <c r="AC2001" s="4">
        <v>17</v>
      </c>
      <c r="AD2001" s="4">
        <v>66</v>
      </c>
      <c r="AE2001" s="4">
        <v>133</v>
      </c>
      <c r="AF2001" s="4">
        <v>0</v>
      </c>
      <c r="AG2001" s="4">
        <v>8</v>
      </c>
      <c r="AH2001" s="4">
        <v>63</v>
      </c>
      <c r="AI2001" s="4">
        <v>95</v>
      </c>
      <c r="AJ2001" s="4">
        <v>9</v>
      </c>
      <c r="AK2001" s="4">
        <v>23</v>
      </c>
      <c r="AL2001" s="4">
        <v>41</v>
      </c>
      <c r="AM2001" s="4">
        <v>55</v>
      </c>
      <c r="AN2001" s="4">
        <v>0</v>
      </c>
      <c r="AO2001" s="4">
        <v>0</v>
      </c>
      <c r="AP2001" s="4">
        <v>9</v>
      </c>
      <c r="AQ2001" s="4">
        <v>45</v>
      </c>
      <c r="AR2001" s="3" t="s">
        <v>63</v>
      </c>
      <c r="AS2001" s="3" t="s">
        <v>63</v>
      </c>
      <c r="AT2001" s="3" t="s">
        <v>63</v>
      </c>
      <c r="AV2001" s="6" t="str">
        <f>HYPERLINK("http://mcgill.on.worldcat.org/oclc/642352208","Catalog Record")</f>
        <v>Catalog Record</v>
      </c>
      <c r="AW2001" s="6" t="str">
        <f>HYPERLINK("http://www.worldcat.org/oclc/642352208","WorldCat Record")</f>
        <v>WorldCat Record</v>
      </c>
      <c r="AX2001" s="3" t="s">
        <v>17061</v>
      </c>
      <c r="AY2001" s="3" t="s">
        <v>17062</v>
      </c>
      <c r="AZ2001" s="3" t="s">
        <v>17063</v>
      </c>
      <c r="BA2001" s="3" t="s">
        <v>17063</v>
      </c>
      <c r="BB2001" s="3" t="s">
        <v>17064</v>
      </c>
      <c r="BC2001" s="3" t="s">
        <v>82</v>
      </c>
      <c r="BD2001" s="3" t="s">
        <v>70</v>
      </c>
      <c r="BE2001" s="3" t="s">
        <v>17065</v>
      </c>
      <c r="BF2001" s="3" t="s">
        <v>17064</v>
      </c>
      <c r="BG2001" s="3" t="s">
        <v>17066</v>
      </c>
    </row>
    <row r="2002" spans="1:59" ht="60" x14ac:dyDescent="0.25">
      <c r="A2002" s="2" t="s">
        <v>59</v>
      </c>
      <c r="B2002" s="2" t="s">
        <v>60</v>
      </c>
      <c r="C2002" s="2" t="s">
        <v>17080</v>
      </c>
      <c r="D2002" s="2" t="s">
        <v>17081</v>
      </c>
      <c r="E2002" s="2" t="s">
        <v>17069</v>
      </c>
      <c r="G2002" s="3" t="s">
        <v>63</v>
      </c>
      <c r="I2002" s="3" t="s">
        <v>62</v>
      </c>
      <c r="J2002" s="3" t="s">
        <v>63</v>
      </c>
      <c r="K2002" s="3" t="s">
        <v>64</v>
      </c>
      <c r="L2002" s="2" t="s">
        <v>17070</v>
      </c>
      <c r="M2002" s="2" t="s">
        <v>17071</v>
      </c>
      <c r="N2002" s="3" t="s">
        <v>2271</v>
      </c>
      <c r="P2002" s="3" t="s">
        <v>90</v>
      </c>
      <c r="Q2002" s="2" t="s">
        <v>17072</v>
      </c>
      <c r="R2002" s="3" t="s">
        <v>67</v>
      </c>
      <c r="S2002" s="4">
        <v>1</v>
      </c>
      <c r="T2002" s="4">
        <v>7</v>
      </c>
      <c r="U2002" s="5" t="s">
        <v>17074</v>
      </c>
      <c r="V2002" s="5" t="s">
        <v>17074</v>
      </c>
      <c r="W2002" s="5" t="s">
        <v>69</v>
      </c>
      <c r="X2002" s="5" t="s">
        <v>69</v>
      </c>
      <c r="Y2002" s="4">
        <v>11</v>
      </c>
      <c r="Z2002" s="4">
        <v>6</v>
      </c>
      <c r="AA2002" s="4">
        <v>11</v>
      </c>
      <c r="AB2002" s="4">
        <v>1</v>
      </c>
      <c r="AC2002" s="4">
        <v>2</v>
      </c>
      <c r="AD2002" s="4">
        <v>6</v>
      </c>
      <c r="AE2002" s="4">
        <v>11</v>
      </c>
      <c r="AF2002" s="4">
        <v>0</v>
      </c>
      <c r="AG2002" s="4">
        <v>1</v>
      </c>
      <c r="AH2002" s="4">
        <v>4</v>
      </c>
      <c r="AI2002" s="4">
        <v>8</v>
      </c>
      <c r="AJ2002" s="4">
        <v>3</v>
      </c>
      <c r="AK2002" s="4">
        <v>8</v>
      </c>
      <c r="AL2002" s="4">
        <v>1</v>
      </c>
      <c r="AM2002" s="4">
        <v>1</v>
      </c>
      <c r="AN2002" s="4">
        <v>0</v>
      </c>
      <c r="AO2002" s="4">
        <v>0</v>
      </c>
      <c r="AP2002" s="4">
        <v>4</v>
      </c>
      <c r="AQ2002" s="4">
        <v>8</v>
      </c>
      <c r="AR2002" s="3" t="s">
        <v>63</v>
      </c>
      <c r="AS2002" s="3" t="s">
        <v>63</v>
      </c>
      <c r="AT2002" s="3" t="s">
        <v>63</v>
      </c>
      <c r="AV2002" s="6" t="str">
        <f>HYPERLINK("http://mcgill.on.worldcat.org/oclc/222071859","Catalog Record")</f>
        <v>Catalog Record</v>
      </c>
      <c r="AW2002" s="6" t="str">
        <f>HYPERLINK("http://www.worldcat.org/oclc/222071859","WorldCat Record")</f>
        <v>WorldCat Record</v>
      </c>
      <c r="AX2002" s="3" t="s">
        <v>17075</v>
      </c>
      <c r="AY2002" s="3" t="s">
        <v>17076</v>
      </c>
      <c r="AZ2002" s="3" t="s">
        <v>17077</v>
      </c>
      <c r="BA2002" s="3" t="s">
        <v>17077</v>
      </c>
      <c r="BB2002" s="3" t="s">
        <v>17082</v>
      </c>
      <c r="BC2002" s="3" t="s">
        <v>82</v>
      </c>
      <c r="BD2002" s="3" t="s">
        <v>70</v>
      </c>
      <c r="BF2002" s="3" t="s">
        <v>17082</v>
      </c>
      <c r="BG2002" s="3" t="s">
        <v>17083</v>
      </c>
    </row>
    <row r="2003" spans="1:59" ht="60" x14ac:dyDescent="0.25">
      <c r="A2003" s="2" t="s">
        <v>59</v>
      </c>
      <c r="B2003" s="2" t="s">
        <v>60</v>
      </c>
      <c r="C2003" s="2" t="s">
        <v>17084</v>
      </c>
      <c r="D2003" s="2" t="s">
        <v>17085</v>
      </c>
      <c r="E2003" s="2" t="s">
        <v>17086</v>
      </c>
      <c r="G2003" s="3" t="s">
        <v>63</v>
      </c>
      <c r="I2003" s="3" t="s">
        <v>62</v>
      </c>
      <c r="J2003" s="3" t="s">
        <v>63</v>
      </c>
      <c r="K2003" s="3" t="s">
        <v>64</v>
      </c>
      <c r="L2003" s="2" t="s">
        <v>17087</v>
      </c>
      <c r="M2003" s="2" t="s">
        <v>17088</v>
      </c>
      <c r="N2003" s="3" t="s">
        <v>161</v>
      </c>
      <c r="P2003" s="3" t="s">
        <v>66</v>
      </c>
      <c r="Q2003" s="2" t="s">
        <v>17089</v>
      </c>
      <c r="R2003" s="3" t="s">
        <v>67</v>
      </c>
      <c r="S2003" s="4">
        <v>3</v>
      </c>
      <c r="T2003" s="4">
        <v>6</v>
      </c>
      <c r="U2003" s="5" t="s">
        <v>236</v>
      </c>
      <c r="V2003" s="5" t="s">
        <v>16276</v>
      </c>
      <c r="W2003" s="5" t="s">
        <v>69</v>
      </c>
      <c r="X2003" s="5" t="s">
        <v>69</v>
      </c>
      <c r="Y2003" s="4">
        <v>275</v>
      </c>
      <c r="Z2003" s="4">
        <v>27</v>
      </c>
      <c r="AA2003" s="4">
        <v>31</v>
      </c>
      <c r="AB2003" s="4">
        <v>1</v>
      </c>
      <c r="AC2003" s="4">
        <v>4</v>
      </c>
      <c r="AD2003" s="4">
        <v>87</v>
      </c>
      <c r="AE2003" s="4">
        <v>90</v>
      </c>
      <c r="AF2003" s="4">
        <v>0</v>
      </c>
      <c r="AG2003" s="4">
        <v>0</v>
      </c>
      <c r="AH2003" s="4">
        <v>76</v>
      </c>
      <c r="AI2003" s="4">
        <v>78</v>
      </c>
      <c r="AJ2003" s="4">
        <v>15</v>
      </c>
      <c r="AK2003" s="4">
        <v>16</v>
      </c>
      <c r="AL2003" s="4">
        <v>42</v>
      </c>
      <c r="AM2003" s="4">
        <v>43</v>
      </c>
      <c r="AN2003" s="4">
        <v>0</v>
      </c>
      <c r="AO2003" s="4">
        <v>0</v>
      </c>
      <c r="AP2003" s="4">
        <v>20</v>
      </c>
      <c r="AQ2003" s="4">
        <v>21</v>
      </c>
      <c r="AR2003" s="3" t="s">
        <v>63</v>
      </c>
      <c r="AS2003" s="3" t="s">
        <v>63</v>
      </c>
      <c r="AT2003" s="3" t="s">
        <v>62</v>
      </c>
      <c r="AU2003" s="6" t="str">
        <f>HYPERLINK("http://catalog.hathitrust.org/Record/002062317","HathiTrust Record")</f>
        <v>HathiTrust Record</v>
      </c>
      <c r="AV2003" s="6" t="str">
        <f>HYPERLINK("http://mcgill.on.worldcat.org/oclc/19221791","Catalog Record")</f>
        <v>Catalog Record</v>
      </c>
      <c r="AW2003" s="6" t="str">
        <f>HYPERLINK("http://www.worldcat.org/oclc/19221791","WorldCat Record")</f>
        <v>WorldCat Record</v>
      </c>
      <c r="AX2003" s="3" t="s">
        <v>17090</v>
      </c>
      <c r="AY2003" s="3" t="s">
        <v>17091</v>
      </c>
      <c r="AZ2003" s="3" t="s">
        <v>17092</v>
      </c>
      <c r="BA2003" s="3" t="s">
        <v>17092</v>
      </c>
      <c r="BB2003" s="3" t="s">
        <v>17093</v>
      </c>
      <c r="BC2003" s="3" t="s">
        <v>82</v>
      </c>
      <c r="BD2003" s="3" t="s">
        <v>70</v>
      </c>
      <c r="BE2003" s="3" t="s">
        <v>17094</v>
      </c>
      <c r="BF2003" s="3" t="s">
        <v>17093</v>
      </c>
      <c r="BG2003" s="3" t="s">
        <v>17095</v>
      </c>
    </row>
    <row r="2004" spans="1:59" ht="60" x14ac:dyDescent="0.25">
      <c r="A2004" s="2" t="s">
        <v>59</v>
      </c>
      <c r="B2004" s="2" t="s">
        <v>60</v>
      </c>
      <c r="C2004" s="2" t="s">
        <v>17084</v>
      </c>
      <c r="D2004" s="2" t="s">
        <v>17085</v>
      </c>
      <c r="E2004" s="2" t="s">
        <v>17086</v>
      </c>
      <c r="G2004" s="3" t="s">
        <v>63</v>
      </c>
      <c r="I2004" s="3" t="s">
        <v>62</v>
      </c>
      <c r="J2004" s="3" t="s">
        <v>63</v>
      </c>
      <c r="K2004" s="3" t="s">
        <v>64</v>
      </c>
      <c r="L2004" s="2" t="s">
        <v>17087</v>
      </c>
      <c r="M2004" s="2" t="s">
        <v>17088</v>
      </c>
      <c r="N2004" s="3" t="s">
        <v>161</v>
      </c>
      <c r="P2004" s="3" t="s">
        <v>66</v>
      </c>
      <c r="Q2004" s="2" t="s">
        <v>17089</v>
      </c>
      <c r="R2004" s="3" t="s">
        <v>67</v>
      </c>
      <c r="S2004" s="4">
        <v>3</v>
      </c>
      <c r="T2004" s="4">
        <v>6</v>
      </c>
      <c r="U2004" s="5" t="s">
        <v>16276</v>
      </c>
      <c r="V2004" s="5" t="s">
        <v>16276</v>
      </c>
      <c r="W2004" s="5" t="s">
        <v>69</v>
      </c>
      <c r="X2004" s="5" t="s">
        <v>69</v>
      </c>
      <c r="Y2004" s="4">
        <v>275</v>
      </c>
      <c r="Z2004" s="4">
        <v>27</v>
      </c>
      <c r="AA2004" s="4">
        <v>31</v>
      </c>
      <c r="AB2004" s="4">
        <v>1</v>
      </c>
      <c r="AC2004" s="4">
        <v>4</v>
      </c>
      <c r="AD2004" s="4">
        <v>87</v>
      </c>
      <c r="AE2004" s="4">
        <v>90</v>
      </c>
      <c r="AF2004" s="4">
        <v>0</v>
      </c>
      <c r="AG2004" s="4">
        <v>0</v>
      </c>
      <c r="AH2004" s="4">
        <v>76</v>
      </c>
      <c r="AI2004" s="4">
        <v>78</v>
      </c>
      <c r="AJ2004" s="4">
        <v>15</v>
      </c>
      <c r="AK2004" s="4">
        <v>16</v>
      </c>
      <c r="AL2004" s="4">
        <v>42</v>
      </c>
      <c r="AM2004" s="4">
        <v>43</v>
      </c>
      <c r="AN2004" s="4">
        <v>0</v>
      </c>
      <c r="AO2004" s="4">
        <v>0</v>
      </c>
      <c r="AP2004" s="4">
        <v>20</v>
      </c>
      <c r="AQ2004" s="4">
        <v>21</v>
      </c>
      <c r="AR2004" s="3" t="s">
        <v>63</v>
      </c>
      <c r="AS2004" s="3" t="s">
        <v>63</v>
      </c>
      <c r="AT2004" s="3" t="s">
        <v>62</v>
      </c>
      <c r="AU2004" s="6" t="str">
        <f>HYPERLINK("http://catalog.hathitrust.org/Record/002062317","HathiTrust Record")</f>
        <v>HathiTrust Record</v>
      </c>
      <c r="AV2004" s="6" t="str">
        <f>HYPERLINK("http://mcgill.on.worldcat.org/oclc/19221791","Catalog Record")</f>
        <v>Catalog Record</v>
      </c>
      <c r="AW2004" s="6" t="str">
        <f>HYPERLINK("http://www.worldcat.org/oclc/19221791","WorldCat Record")</f>
        <v>WorldCat Record</v>
      </c>
      <c r="AX2004" s="3" t="s">
        <v>17090</v>
      </c>
      <c r="AY2004" s="3" t="s">
        <v>17091</v>
      </c>
      <c r="AZ2004" s="3" t="s">
        <v>17092</v>
      </c>
      <c r="BA2004" s="3" t="s">
        <v>17092</v>
      </c>
      <c r="BB2004" s="3" t="s">
        <v>17096</v>
      </c>
      <c r="BC2004" s="3" t="s">
        <v>82</v>
      </c>
      <c r="BD2004" s="3" t="s">
        <v>70</v>
      </c>
      <c r="BE2004" s="3" t="s">
        <v>17094</v>
      </c>
      <c r="BF2004" s="3" t="s">
        <v>17096</v>
      </c>
      <c r="BG2004" s="3" t="s">
        <v>17097</v>
      </c>
    </row>
    <row r="2005" spans="1:59" ht="60" x14ac:dyDescent="0.25">
      <c r="A2005" s="2" t="s">
        <v>59</v>
      </c>
      <c r="B2005" s="2" t="s">
        <v>60</v>
      </c>
      <c r="C2005" s="2" t="s">
        <v>17098</v>
      </c>
      <c r="D2005" s="2" t="s">
        <v>17099</v>
      </c>
      <c r="E2005" s="2" t="s">
        <v>17100</v>
      </c>
      <c r="G2005" s="3" t="s">
        <v>63</v>
      </c>
      <c r="I2005" s="3" t="s">
        <v>63</v>
      </c>
      <c r="J2005" s="3" t="s">
        <v>63</v>
      </c>
      <c r="K2005" s="3" t="s">
        <v>64</v>
      </c>
      <c r="L2005" s="2" t="s">
        <v>17101</v>
      </c>
      <c r="M2005" s="2" t="s">
        <v>17102</v>
      </c>
      <c r="N2005" s="3" t="s">
        <v>106</v>
      </c>
      <c r="P2005" s="3" t="s">
        <v>66</v>
      </c>
      <c r="R2005" s="3" t="s">
        <v>67</v>
      </c>
      <c r="S2005" s="4">
        <v>3</v>
      </c>
      <c r="T2005" s="4">
        <v>3</v>
      </c>
      <c r="U2005" s="5" t="s">
        <v>4069</v>
      </c>
      <c r="V2005" s="5" t="s">
        <v>4069</v>
      </c>
      <c r="W2005" s="5" t="s">
        <v>69</v>
      </c>
      <c r="X2005" s="5" t="s">
        <v>69</v>
      </c>
      <c r="Y2005" s="4">
        <v>128</v>
      </c>
      <c r="Z2005" s="4">
        <v>12</v>
      </c>
      <c r="AA2005" s="4">
        <v>77</v>
      </c>
      <c r="AB2005" s="4">
        <v>1</v>
      </c>
      <c r="AC2005" s="4">
        <v>15</v>
      </c>
      <c r="AD2005" s="4">
        <v>58</v>
      </c>
      <c r="AE2005" s="4">
        <v>118</v>
      </c>
      <c r="AF2005" s="4">
        <v>0</v>
      </c>
      <c r="AG2005" s="4">
        <v>8</v>
      </c>
      <c r="AH2005" s="4">
        <v>51</v>
      </c>
      <c r="AI2005" s="4">
        <v>83</v>
      </c>
      <c r="AJ2005" s="4">
        <v>8</v>
      </c>
      <c r="AK2005" s="4">
        <v>20</v>
      </c>
      <c r="AL2005" s="4">
        <v>38</v>
      </c>
      <c r="AM2005" s="4">
        <v>48</v>
      </c>
      <c r="AN2005" s="4">
        <v>0</v>
      </c>
      <c r="AO2005" s="4">
        <v>0</v>
      </c>
      <c r="AP2005" s="4">
        <v>8</v>
      </c>
      <c r="AQ2005" s="4">
        <v>40</v>
      </c>
      <c r="AR2005" s="3" t="s">
        <v>63</v>
      </c>
      <c r="AS2005" s="3" t="s">
        <v>63</v>
      </c>
      <c r="AT2005" s="3" t="s">
        <v>63</v>
      </c>
      <c r="AV2005" s="6" t="str">
        <f>HYPERLINK("http://mcgill.on.worldcat.org/oclc/926313090","Catalog Record")</f>
        <v>Catalog Record</v>
      </c>
      <c r="AW2005" s="6" t="str">
        <f>HYPERLINK("http://www.worldcat.org/oclc/926313090","WorldCat Record")</f>
        <v>WorldCat Record</v>
      </c>
      <c r="AX2005" s="3" t="s">
        <v>17103</v>
      </c>
      <c r="AY2005" s="3" t="s">
        <v>17104</v>
      </c>
      <c r="AZ2005" s="3" t="s">
        <v>17105</v>
      </c>
      <c r="BA2005" s="3" t="s">
        <v>17105</v>
      </c>
      <c r="BB2005" s="3" t="s">
        <v>17106</v>
      </c>
      <c r="BC2005" s="3" t="s">
        <v>82</v>
      </c>
      <c r="BD2005" s="3" t="s">
        <v>70</v>
      </c>
      <c r="BE2005" s="3" t="s">
        <v>17107</v>
      </c>
      <c r="BF2005" s="3" t="s">
        <v>17106</v>
      </c>
      <c r="BG2005" s="3" t="s">
        <v>17108</v>
      </c>
    </row>
    <row r="2006" spans="1:59" ht="75" x14ac:dyDescent="0.25">
      <c r="A2006" s="2" t="s">
        <v>59</v>
      </c>
      <c r="B2006" s="2" t="s">
        <v>60</v>
      </c>
      <c r="C2006" s="2" t="s">
        <v>17109</v>
      </c>
      <c r="D2006" s="2" t="s">
        <v>17110</v>
      </c>
      <c r="E2006" s="2" t="s">
        <v>17111</v>
      </c>
      <c r="G2006" s="3" t="s">
        <v>63</v>
      </c>
      <c r="I2006" s="3" t="s">
        <v>63</v>
      </c>
      <c r="J2006" s="3" t="s">
        <v>63</v>
      </c>
      <c r="K2006" s="3" t="s">
        <v>64</v>
      </c>
      <c r="L2006" s="2" t="s">
        <v>17112</v>
      </c>
      <c r="M2006" s="2" t="s">
        <v>17113</v>
      </c>
      <c r="N2006" s="3" t="s">
        <v>220</v>
      </c>
      <c r="P2006" s="3" t="s">
        <v>66</v>
      </c>
      <c r="Q2006" s="2" t="s">
        <v>17114</v>
      </c>
      <c r="R2006" s="3" t="s">
        <v>67</v>
      </c>
      <c r="S2006" s="4">
        <v>13</v>
      </c>
      <c r="T2006" s="4">
        <v>13</v>
      </c>
      <c r="U2006" s="5" t="s">
        <v>12947</v>
      </c>
      <c r="V2006" s="5" t="s">
        <v>12947</v>
      </c>
      <c r="W2006" s="5" t="s">
        <v>69</v>
      </c>
      <c r="X2006" s="5" t="s">
        <v>69</v>
      </c>
      <c r="Y2006" s="4">
        <v>516</v>
      </c>
      <c r="Z2006" s="4">
        <v>32</v>
      </c>
      <c r="AA2006" s="4">
        <v>32</v>
      </c>
      <c r="AB2006" s="4">
        <v>1</v>
      </c>
      <c r="AC2006" s="4">
        <v>1</v>
      </c>
      <c r="AD2006" s="4">
        <v>118</v>
      </c>
      <c r="AE2006" s="4">
        <v>118</v>
      </c>
      <c r="AF2006" s="4">
        <v>0</v>
      </c>
      <c r="AG2006" s="4">
        <v>0</v>
      </c>
      <c r="AH2006" s="4">
        <v>103</v>
      </c>
      <c r="AI2006" s="4">
        <v>103</v>
      </c>
      <c r="AJ2006" s="4">
        <v>17</v>
      </c>
      <c r="AK2006" s="4">
        <v>17</v>
      </c>
      <c r="AL2006" s="4">
        <v>58</v>
      </c>
      <c r="AM2006" s="4">
        <v>58</v>
      </c>
      <c r="AN2006" s="4">
        <v>0</v>
      </c>
      <c r="AO2006" s="4">
        <v>0</v>
      </c>
      <c r="AP2006" s="4">
        <v>23</v>
      </c>
      <c r="AQ2006" s="4">
        <v>23</v>
      </c>
      <c r="AR2006" s="3" t="s">
        <v>63</v>
      </c>
      <c r="AS2006" s="3" t="s">
        <v>63</v>
      </c>
      <c r="AT2006" s="3" t="s">
        <v>62</v>
      </c>
      <c r="AU2006" s="6" t="str">
        <f>HYPERLINK("http://catalog.hathitrust.org/Record/002804113","HathiTrust Record")</f>
        <v>HathiTrust Record</v>
      </c>
      <c r="AV2006" s="6" t="str">
        <f>HYPERLINK("http://mcgill.on.worldcat.org/oclc/28421446","Catalog Record")</f>
        <v>Catalog Record</v>
      </c>
      <c r="AW2006" s="6" t="str">
        <f>HYPERLINK("http://www.worldcat.org/oclc/28421446","WorldCat Record")</f>
        <v>WorldCat Record</v>
      </c>
      <c r="AX2006" s="3" t="s">
        <v>17115</v>
      </c>
      <c r="AY2006" s="3" t="s">
        <v>17116</v>
      </c>
      <c r="AZ2006" s="3" t="s">
        <v>17117</v>
      </c>
      <c r="BA2006" s="3" t="s">
        <v>17117</v>
      </c>
      <c r="BB2006" s="3" t="s">
        <v>17118</v>
      </c>
      <c r="BC2006" s="3" t="s">
        <v>82</v>
      </c>
      <c r="BD2006" s="3" t="s">
        <v>70</v>
      </c>
      <c r="BE2006" s="3" t="s">
        <v>17119</v>
      </c>
      <c r="BF2006" s="3" t="s">
        <v>17118</v>
      </c>
      <c r="BG2006" s="3" t="s">
        <v>17120</v>
      </c>
    </row>
    <row r="2007" spans="1:59" ht="75" x14ac:dyDescent="0.25">
      <c r="A2007" s="2" t="s">
        <v>59</v>
      </c>
      <c r="B2007" s="2" t="s">
        <v>60</v>
      </c>
      <c r="C2007" s="2" t="s">
        <v>17121</v>
      </c>
      <c r="D2007" s="2" t="s">
        <v>17122</v>
      </c>
      <c r="E2007" s="2" t="s">
        <v>17123</v>
      </c>
      <c r="G2007" s="3" t="s">
        <v>63</v>
      </c>
      <c r="I2007" s="3" t="s">
        <v>63</v>
      </c>
      <c r="J2007" s="3" t="s">
        <v>63</v>
      </c>
      <c r="K2007" s="3" t="s">
        <v>64</v>
      </c>
      <c r="L2007" s="2" t="s">
        <v>4190</v>
      </c>
      <c r="M2007" s="2" t="s">
        <v>13291</v>
      </c>
      <c r="N2007" s="3" t="s">
        <v>261</v>
      </c>
      <c r="P2007" s="3" t="s">
        <v>66</v>
      </c>
      <c r="Q2007" s="2" t="s">
        <v>16458</v>
      </c>
      <c r="R2007" s="3" t="s">
        <v>67</v>
      </c>
      <c r="S2007" s="4">
        <v>11</v>
      </c>
      <c r="T2007" s="4">
        <v>11</v>
      </c>
      <c r="U2007" s="5" t="s">
        <v>17124</v>
      </c>
      <c r="V2007" s="5" t="s">
        <v>17124</v>
      </c>
      <c r="W2007" s="5" t="s">
        <v>69</v>
      </c>
      <c r="X2007" s="5" t="s">
        <v>69</v>
      </c>
      <c r="Y2007" s="4">
        <v>479</v>
      </c>
      <c r="Z2007" s="4">
        <v>20</v>
      </c>
      <c r="AA2007" s="4">
        <v>27</v>
      </c>
      <c r="AB2007" s="4">
        <v>1</v>
      </c>
      <c r="AC2007" s="4">
        <v>3</v>
      </c>
      <c r="AD2007" s="4">
        <v>99</v>
      </c>
      <c r="AE2007" s="4">
        <v>106</v>
      </c>
      <c r="AF2007" s="4">
        <v>0</v>
      </c>
      <c r="AG2007" s="4">
        <v>1</v>
      </c>
      <c r="AH2007" s="4">
        <v>92</v>
      </c>
      <c r="AI2007" s="4">
        <v>97</v>
      </c>
      <c r="AJ2007" s="4">
        <v>11</v>
      </c>
      <c r="AK2007" s="4">
        <v>13</v>
      </c>
      <c r="AL2007" s="4">
        <v>55</v>
      </c>
      <c r="AM2007" s="4">
        <v>56</v>
      </c>
      <c r="AN2007" s="4">
        <v>0</v>
      </c>
      <c r="AO2007" s="4">
        <v>0</v>
      </c>
      <c r="AP2007" s="4">
        <v>12</v>
      </c>
      <c r="AQ2007" s="4">
        <v>16</v>
      </c>
      <c r="AR2007" s="3" t="s">
        <v>63</v>
      </c>
      <c r="AS2007" s="3" t="s">
        <v>63</v>
      </c>
      <c r="AT2007" s="3" t="s">
        <v>63</v>
      </c>
      <c r="AV2007" s="6" t="str">
        <f>HYPERLINK("http://mcgill.on.worldcat.org/oclc/122313427","Catalog Record")</f>
        <v>Catalog Record</v>
      </c>
      <c r="AW2007" s="6" t="str">
        <f>HYPERLINK("http://www.worldcat.org/oclc/122313427","WorldCat Record")</f>
        <v>WorldCat Record</v>
      </c>
      <c r="AX2007" s="3" t="s">
        <v>17125</v>
      </c>
      <c r="AY2007" s="3" t="s">
        <v>17126</v>
      </c>
      <c r="AZ2007" s="3" t="s">
        <v>17127</v>
      </c>
      <c r="BA2007" s="3" t="s">
        <v>17127</v>
      </c>
      <c r="BB2007" s="3" t="s">
        <v>17128</v>
      </c>
      <c r="BC2007" s="3" t="s">
        <v>82</v>
      </c>
      <c r="BD2007" s="3" t="s">
        <v>70</v>
      </c>
      <c r="BE2007" s="3" t="s">
        <v>17129</v>
      </c>
      <c r="BF2007" s="3" t="s">
        <v>17128</v>
      </c>
      <c r="BG2007" s="3" t="s">
        <v>17130</v>
      </c>
    </row>
    <row r="2008" spans="1:59" ht="60" x14ac:dyDescent="0.25">
      <c r="A2008" s="2" t="s">
        <v>59</v>
      </c>
      <c r="B2008" s="2" t="s">
        <v>60</v>
      </c>
      <c r="C2008" s="2" t="s">
        <v>17131</v>
      </c>
      <c r="D2008" s="2" t="s">
        <v>17132</v>
      </c>
      <c r="E2008" s="2" t="s">
        <v>17133</v>
      </c>
      <c r="G2008" s="3" t="s">
        <v>63</v>
      </c>
      <c r="I2008" s="3" t="s">
        <v>63</v>
      </c>
      <c r="J2008" s="3" t="s">
        <v>63</v>
      </c>
      <c r="K2008" s="3" t="s">
        <v>64</v>
      </c>
      <c r="L2008" s="2" t="s">
        <v>17134</v>
      </c>
      <c r="M2008" s="2" t="s">
        <v>17135</v>
      </c>
      <c r="N2008" s="3" t="s">
        <v>220</v>
      </c>
      <c r="P2008" s="3" t="s">
        <v>66</v>
      </c>
      <c r="R2008" s="3" t="s">
        <v>67</v>
      </c>
      <c r="S2008" s="4">
        <v>34</v>
      </c>
      <c r="T2008" s="4">
        <v>34</v>
      </c>
      <c r="U2008" s="5" t="s">
        <v>1433</v>
      </c>
      <c r="V2008" s="5" t="s">
        <v>1433</v>
      </c>
      <c r="W2008" s="5" t="s">
        <v>69</v>
      </c>
      <c r="X2008" s="5" t="s">
        <v>69</v>
      </c>
      <c r="Y2008" s="4">
        <v>69</v>
      </c>
      <c r="Z2008" s="4">
        <v>13</v>
      </c>
      <c r="AA2008" s="4">
        <v>13</v>
      </c>
      <c r="AB2008" s="4">
        <v>1</v>
      </c>
      <c r="AC2008" s="4">
        <v>1</v>
      </c>
      <c r="AD2008" s="4">
        <v>32</v>
      </c>
      <c r="AE2008" s="4">
        <v>32</v>
      </c>
      <c r="AF2008" s="4">
        <v>0</v>
      </c>
      <c r="AG2008" s="4">
        <v>0</v>
      </c>
      <c r="AH2008" s="4">
        <v>29</v>
      </c>
      <c r="AI2008" s="4">
        <v>29</v>
      </c>
      <c r="AJ2008" s="4">
        <v>11</v>
      </c>
      <c r="AK2008" s="4">
        <v>11</v>
      </c>
      <c r="AL2008" s="4">
        <v>16</v>
      </c>
      <c r="AM2008" s="4">
        <v>16</v>
      </c>
      <c r="AN2008" s="4">
        <v>0</v>
      </c>
      <c r="AO2008" s="4">
        <v>0</v>
      </c>
      <c r="AP2008" s="4">
        <v>11</v>
      </c>
      <c r="AQ2008" s="4">
        <v>11</v>
      </c>
      <c r="AR2008" s="3" t="s">
        <v>63</v>
      </c>
      <c r="AS2008" s="3" t="s">
        <v>63</v>
      </c>
      <c r="AT2008" s="3" t="s">
        <v>63</v>
      </c>
      <c r="AV2008" s="6" t="str">
        <f>HYPERLINK("http://mcgill.on.worldcat.org/oclc/28584953","Catalog Record")</f>
        <v>Catalog Record</v>
      </c>
      <c r="AW2008" s="6" t="str">
        <f>HYPERLINK("http://www.worldcat.org/oclc/28584953","WorldCat Record")</f>
        <v>WorldCat Record</v>
      </c>
      <c r="AX2008" s="3" t="s">
        <v>17136</v>
      </c>
      <c r="AY2008" s="3" t="s">
        <v>17137</v>
      </c>
      <c r="AZ2008" s="3" t="s">
        <v>17138</v>
      </c>
      <c r="BA2008" s="3" t="s">
        <v>17138</v>
      </c>
      <c r="BB2008" s="3" t="s">
        <v>17139</v>
      </c>
      <c r="BC2008" s="3" t="s">
        <v>82</v>
      </c>
      <c r="BD2008" s="3" t="s">
        <v>70</v>
      </c>
      <c r="BE2008" s="3" t="s">
        <v>17140</v>
      </c>
      <c r="BF2008" s="3" t="s">
        <v>17139</v>
      </c>
      <c r="BG2008" s="3" t="s">
        <v>17141</v>
      </c>
    </row>
    <row r="2009" spans="1:59" ht="60" x14ac:dyDescent="0.25">
      <c r="A2009" s="2" t="s">
        <v>59</v>
      </c>
      <c r="B2009" s="2" t="s">
        <v>60</v>
      </c>
      <c r="C2009" s="2" t="s">
        <v>17142</v>
      </c>
      <c r="D2009" s="2" t="s">
        <v>17143</v>
      </c>
      <c r="E2009" s="2" t="s">
        <v>17144</v>
      </c>
      <c r="G2009" s="3" t="s">
        <v>63</v>
      </c>
      <c r="I2009" s="3" t="s">
        <v>62</v>
      </c>
      <c r="J2009" s="3" t="s">
        <v>63</v>
      </c>
      <c r="K2009" s="3" t="s">
        <v>64</v>
      </c>
      <c r="L2009" s="2" t="s">
        <v>17145</v>
      </c>
      <c r="M2009" s="2" t="s">
        <v>11567</v>
      </c>
      <c r="N2009" s="3" t="s">
        <v>247</v>
      </c>
      <c r="P2009" s="3" t="s">
        <v>66</v>
      </c>
      <c r="R2009" s="3" t="s">
        <v>67</v>
      </c>
      <c r="S2009" s="4">
        <v>36</v>
      </c>
      <c r="T2009" s="4">
        <v>65</v>
      </c>
      <c r="U2009" s="5" t="s">
        <v>17146</v>
      </c>
      <c r="V2009" s="5" t="s">
        <v>12947</v>
      </c>
      <c r="W2009" s="5" t="s">
        <v>69</v>
      </c>
      <c r="X2009" s="5" t="s">
        <v>69</v>
      </c>
      <c r="Y2009" s="4">
        <v>332</v>
      </c>
      <c r="Z2009" s="4">
        <v>23</v>
      </c>
      <c r="AA2009" s="4">
        <v>26</v>
      </c>
      <c r="AB2009" s="4">
        <v>1</v>
      </c>
      <c r="AC2009" s="4">
        <v>2</v>
      </c>
      <c r="AD2009" s="4">
        <v>106</v>
      </c>
      <c r="AE2009" s="4">
        <v>112</v>
      </c>
      <c r="AF2009" s="4">
        <v>0</v>
      </c>
      <c r="AG2009" s="4">
        <v>1</v>
      </c>
      <c r="AH2009" s="4">
        <v>96</v>
      </c>
      <c r="AI2009" s="4">
        <v>100</v>
      </c>
      <c r="AJ2009" s="4">
        <v>18</v>
      </c>
      <c r="AK2009" s="4">
        <v>21</v>
      </c>
      <c r="AL2009" s="4">
        <v>54</v>
      </c>
      <c r="AM2009" s="4">
        <v>56</v>
      </c>
      <c r="AN2009" s="4">
        <v>0</v>
      </c>
      <c r="AO2009" s="4">
        <v>0</v>
      </c>
      <c r="AP2009" s="4">
        <v>18</v>
      </c>
      <c r="AQ2009" s="4">
        <v>20</v>
      </c>
      <c r="AR2009" s="3" t="s">
        <v>63</v>
      </c>
      <c r="AS2009" s="3" t="s">
        <v>63</v>
      </c>
      <c r="AT2009" s="3" t="s">
        <v>62</v>
      </c>
      <c r="AU2009" s="6" t="str">
        <f>HYPERLINK("http://catalog.hathitrust.org/Record/000187285","HathiTrust Record")</f>
        <v>HathiTrust Record</v>
      </c>
      <c r="AV2009" s="6" t="str">
        <f>HYPERLINK("http://mcgill.on.worldcat.org/oclc/7614583","Catalog Record")</f>
        <v>Catalog Record</v>
      </c>
      <c r="AW2009" s="6" t="str">
        <f>HYPERLINK("http://www.worldcat.org/oclc/7614583","WorldCat Record")</f>
        <v>WorldCat Record</v>
      </c>
      <c r="AX2009" s="3" t="s">
        <v>17147</v>
      </c>
      <c r="AY2009" s="3" t="s">
        <v>17148</v>
      </c>
      <c r="AZ2009" s="3" t="s">
        <v>17149</v>
      </c>
      <c r="BA2009" s="3" t="s">
        <v>17149</v>
      </c>
      <c r="BB2009" s="3" t="s">
        <v>17150</v>
      </c>
      <c r="BC2009" s="3" t="s">
        <v>82</v>
      </c>
      <c r="BD2009" s="3" t="s">
        <v>70</v>
      </c>
      <c r="BE2009" s="3" t="s">
        <v>17151</v>
      </c>
      <c r="BF2009" s="3" t="s">
        <v>17150</v>
      </c>
      <c r="BG2009" s="3" t="s">
        <v>17152</v>
      </c>
    </row>
    <row r="2010" spans="1:59" ht="60" x14ac:dyDescent="0.25">
      <c r="A2010" s="2" t="s">
        <v>59</v>
      </c>
      <c r="B2010" s="2" t="s">
        <v>60</v>
      </c>
      <c r="C2010" s="2" t="s">
        <v>17142</v>
      </c>
      <c r="D2010" s="2" t="s">
        <v>17143</v>
      </c>
      <c r="E2010" s="2" t="s">
        <v>17144</v>
      </c>
      <c r="G2010" s="3" t="s">
        <v>63</v>
      </c>
      <c r="I2010" s="3" t="s">
        <v>62</v>
      </c>
      <c r="J2010" s="3" t="s">
        <v>63</v>
      </c>
      <c r="K2010" s="3" t="s">
        <v>64</v>
      </c>
      <c r="L2010" s="2" t="s">
        <v>17145</v>
      </c>
      <c r="M2010" s="2" t="s">
        <v>11567</v>
      </c>
      <c r="N2010" s="3" t="s">
        <v>247</v>
      </c>
      <c r="P2010" s="3" t="s">
        <v>66</v>
      </c>
      <c r="R2010" s="3" t="s">
        <v>67</v>
      </c>
      <c r="S2010" s="4">
        <v>29</v>
      </c>
      <c r="T2010" s="4">
        <v>65</v>
      </c>
      <c r="U2010" s="5" t="s">
        <v>12947</v>
      </c>
      <c r="V2010" s="5" t="s">
        <v>12947</v>
      </c>
      <c r="W2010" s="5" t="s">
        <v>69</v>
      </c>
      <c r="X2010" s="5" t="s">
        <v>69</v>
      </c>
      <c r="Y2010" s="4">
        <v>332</v>
      </c>
      <c r="Z2010" s="4">
        <v>23</v>
      </c>
      <c r="AA2010" s="4">
        <v>26</v>
      </c>
      <c r="AB2010" s="4">
        <v>1</v>
      </c>
      <c r="AC2010" s="4">
        <v>2</v>
      </c>
      <c r="AD2010" s="4">
        <v>106</v>
      </c>
      <c r="AE2010" s="4">
        <v>112</v>
      </c>
      <c r="AF2010" s="4">
        <v>0</v>
      </c>
      <c r="AG2010" s="4">
        <v>1</v>
      </c>
      <c r="AH2010" s="4">
        <v>96</v>
      </c>
      <c r="AI2010" s="4">
        <v>100</v>
      </c>
      <c r="AJ2010" s="4">
        <v>18</v>
      </c>
      <c r="AK2010" s="4">
        <v>21</v>
      </c>
      <c r="AL2010" s="4">
        <v>54</v>
      </c>
      <c r="AM2010" s="4">
        <v>56</v>
      </c>
      <c r="AN2010" s="4">
        <v>0</v>
      </c>
      <c r="AO2010" s="4">
        <v>0</v>
      </c>
      <c r="AP2010" s="4">
        <v>18</v>
      </c>
      <c r="AQ2010" s="4">
        <v>20</v>
      </c>
      <c r="AR2010" s="3" t="s">
        <v>63</v>
      </c>
      <c r="AS2010" s="3" t="s">
        <v>63</v>
      </c>
      <c r="AT2010" s="3" t="s">
        <v>62</v>
      </c>
      <c r="AU2010" s="6" t="str">
        <f>HYPERLINK("http://catalog.hathitrust.org/Record/000187285","HathiTrust Record")</f>
        <v>HathiTrust Record</v>
      </c>
      <c r="AV2010" s="6" t="str">
        <f>HYPERLINK("http://mcgill.on.worldcat.org/oclc/7614583","Catalog Record")</f>
        <v>Catalog Record</v>
      </c>
      <c r="AW2010" s="6" t="str">
        <f>HYPERLINK("http://www.worldcat.org/oclc/7614583","WorldCat Record")</f>
        <v>WorldCat Record</v>
      </c>
      <c r="AX2010" s="3" t="s">
        <v>17147</v>
      </c>
      <c r="AY2010" s="3" t="s">
        <v>17148</v>
      </c>
      <c r="AZ2010" s="3" t="s">
        <v>17149</v>
      </c>
      <c r="BA2010" s="3" t="s">
        <v>17149</v>
      </c>
      <c r="BB2010" s="3" t="s">
        <v>17153</v>
      </c>
      <c r="BC2010" s="3" t="s">
        <v>82</v>
      </c>
      <c r="BD2010" s="3" t="s">
        <v>70</v>
      </c>
      <c r="BE2010" s="3" t="s">
        <v>17151</v>
      </c>
      <c r="BF2010" s="3" t="s">
        <v>17153</v>
      </c>
      <c r="BG2010" s="3" t="s">
        <v>17154</v>
      </c>
    </row>
    <row r="2011" spans="1:59" ht="60" x14ac:dyDescent="0.25">
      <c r="A2011" s="2" t="s">
        <v>59</v>
      </c>
      <c r="B2011" s="2" t="s">
        <v>60</v>
      </c>
      <c r="C2011" s="2" t="s">
        <v>17155</v>
      </c>
      <c r="D2011" s="2" t="s">
        <v>17156</v>
      </c>
      <c r="E2011" s="2" t="s">
        <v>17157</v>
      </c>
      <c r="G2011" s="3" t="s">
        <v>63</v>
      </c>
      <c r="I2011" s="3" t="s">
        <v>63</v>
      </c>
      <c r="J2011" s="3" t="s">
        <v>63</v>
      </c>
      <c r="K2011" s="3" t="s">
        <v>64</v>
      </c>
      <c r="L2011" s="2" t="s">
        <v>17158</v>
      </c>
      <c r="M2011" s="2" t="s">
        <v>17159</v>
      </c>
      <c r="N2011" s="3" t="s">
        <v>731</v>
      </c>
      <c r="P2011" s="3" t="s">
        <v>66</v>
      </c>
      <c r="Q2011" s="2" t="s">
        <v>17160</v>
      </c>
      <c r="R2011" s="3" t="s">
        <v>67</v>
      </c>
      <c r="S2011" s="4">
        <v>7</v>
      </c>
      <c r="T2011" s="4">
        <v>7</v>
      </c>
      <c r="U2011" s="5" t="s">
        <v>17007</v>
      </c>
      <c r="V2011" s="5" t="s">
        <v>17007</v>
      </c>
      <c r="W2011" s="5" t="s">
        <v>69</v>
      </c>
      <c r="X2011" s="5" t="s">
        <v>69</v>
      </c>
      <c r="Y2011" s="4">
        <v>180</v>
      </c>
      <c r="Z2011" s="4">
        <v>20</v>
      </c>
      <c r="AA2011" s="4">
        <v>23</v>
      </c>
      <c r="AB2011" s="4">
        <v>1</v>
      </c>
      <c r="AC2011" s="4">
        <v>3</v>
      </c>
      <c r="AD2011" s="4">
        <v>77</v>
      </c>
      <c r="AE2011" s="4">
        <v>78</v>
      </c>
      <c r="AF2011" s="4">
        <v>0</v>
      </c>
      <c r="AG2011" s="4">
        <v>0</v>
      </c>
      <c r="AH2011" s="4">
        <v>69</v>
      </c>
      <c r="AI2011" s="4">
        <v>69</v>
      </c>
      <c r="AJ2011" s="4">
        <v>13</v>
      </c>
      <c r="AK2011" s="4">
        <v>13</v>
      </c>
      <c r="AL2011" s="4">
        <v>42</v>
      </c>
      <c r="AM2011" s="4">
        <v>42</v>
      </c>
      <c r="AN2011" s="4">
        <v>1</v>
      </c>
      <c r="AO2011" s="4">
        <v>1</v>
      </c>
      <c r="AP2011" s="4">
        <v>16</v>
      </c>
      <c r="AQ2011" s="4">
        <v>17</v>
      </c>
      <c r="AR2011" s="3" t="s">
        <v>63</v>
      </c>
      <c r="AS2011" s="3" t="s">
        <v>63</v>
      </c>
      <c r="AT2011" s="3" t="s">
        <v>62</v>
      </c>
      <c r="AU2011" s="6" t="str">
        <f>HYPERLINK("http://catalog.hathitrust.org/Record/000689513","HathiTrust Record")</f>
        <v>HathiTrust Record</v>
      </c>
      <c r="AV2011" s="6" t="str">
        <f>HYPERLINK("http://mcgill.on.worldcat.org/oclc/1983164","Catalog Record")</f>
        <v>Catalog Record</v>
      </c>
      <c r="AW2011" s="6" t="str">
        <f>HYPERLINK("http://www.worldcat.org/oclc/1983164","WorldCat Record")</f>
        <v>WorldCat Record</v>
      </c>
      <c r="AX2011" s="3" t="s">
        <v>17161</v>
      </c>
      <c r="AY2011" s="3" t="s">
        <v>17162</v>
      </c>
      <c r="AZ2011" s="3" t="s">
        <v>17163</v>
      </c>
      <c r="BA2011" s="3" t="s">
        <v>17163</v>
      </c>
      <c r="BB2011" s="3" t="s">
        <v>17164</v>
      </c>
      <c r="BC2011" s="3" t="s">
        <v>82</v>
      </c>
      <c r="BD2011" s="3" t="s">
        <v>70</v>
      </c>
      <c r="BF2011" s="3" t="s">
        <v>17164</v>
      </c>
      <c r="BG2011" s="3" t="s">
        <v>17165</v>
      </c>
    </row>
    <row r="2012" spans="1:59" ht="60" x14ac:dyDescent="0.25">
      <c r="A2012" s="2" t="s">
        <v>59</v>
      </c>
      <c r="B2012" s="2" t="s">
        <v>60</v>
      </c>
      <c r="C2012" s="2" t="s">
        <v>17166</v>
      </c>
      <c r="D2012" s="2" t="s">
        <v>17167</v>
      </c>
      <c r="E2012" s="2" t="s">
        <v>17168</v>
      </c>
      <c r="G2012" s="3" t="s">
        <v>63</v>
      </c>
      <c r="I2012" s="3" t="s">
        <v>63</v>
      </c>
      <c r="J2012" s="3" t="s">
        <v>63</v>
      </c>
      <c r="K2012" s="3" t="s">
        <v>64</v>
      </c>
      <c r="L2012" s="2" t="s">
        <v>17169</v>
      </c>
      <c r="M2012" s="2" t="s">
        <v>17170</v>
      </c>
      <c r="N2012" s="3" t="s">
        <v>1418</v>
      </c>
      <c r="P2012" s="3" t="s">
        <v>66</v>
      </c>
      <c r="Q2012" s="2" t="s">
        <v>10984</v>
      </c>
      <c r="R2012" s="3" t="s">
        <v>67</v>
      </c>
      <c r="S2012" s="4">
        <v>5</v>
      </c>
      <c r="T2012" s="4">
        <v>5</v>
      </c>
      <c r="U2012" s="5" t="s">
        <v>17007</v>
      </c>
      <c r="V2012" s="5" t="s">
        <v>17007</v>
      </c>
      <c r="W2012" s="5" t="s">
        <v>69</v>
      </c>
      <c r="X2012" s="5" t="s">
        <v>69</v>
      </c>
      <c r="Y2012" s="4">
        <v>502</v>
      </c>
      <c r="Z2012" s="4">
        <v>32</v>
      </c>
      <c r="AA2012" s="4">
        <v>35</v>
      </c>
      <c r="AB2012" s="4">
        <v>2</v>
      </c>
      <c r="AC2012" s="4">
        <v>3</v>
      </c>
      <c r="AD2012" s="4">
        <v>107</v>
      </c>
      <c r="AE2012" s="4">
        <v>112</v>
      </c>
      <c r="AF2012" s="4">
        <v>0</v>
      </c>
      <c r="AG2012" s="4">
        <v>1</v>
      </c>
      <c r="AH2012" s="4">
        <v>94</v>
      </c>
      <c r="AI2012" s="4">
        <v>97</v>
      </c>
      <c r="AJ2012" s="4">
        <v>17</v>
      </c>
      <c r="AK2012" s="4">
        <v>20</v>
      </c>
      <c r="AL2012" s="4">
        <v>53</v>
      </c>
      <c r="AM2012" s="4">
        <v>55</v>
      </c>
      <c r="AN2012" s="4">
        <v>0</v>
      </c>
      <c r="AO2012" s="4">
        <v>0</v>
      </c>
      <c r="AP2012" s="4">
        <v>21</v>
      </c>
      <c r="AQ2012" s="4">
        <v>23</v>
      </c>
      <c r="AR2012" s="3" t="s">
        <v>63</v>
      </c>
      <c r="AS2012" s="3" t="s">
        <v>63</v>
      </c>
      <c r="AT2012" s="3" t="s">
        <v>63</v>
      </c>
      <c r="AV2012" s="6" t="str">
        <f>HYPERLINK("http://mcgill.on.worldcat.org/oclc/17231762","Catalog Record")</f>
        <v>Catalog Record</v>
      </c>
      <c r="AW2012" s="6" t="str">
        <f>HYPERLINK("http://www.worldcat.org/oclc/17231762","WorldCat Record")</f>
        <v>WorldCat Record</v>
      </c>
      <c r="AX2012" s="3" t="s">
        <v>17171</v>
      </c>
      <c r="AY2012" s="3" t="s">
        <v>17172</v>
      </c>
      <c r="AZ2012" s="3" t="s">
        <v>17173</v>
      </c>
      <c r="BA2012" s="3" t="s">
        <v>17173</v>
      </c>
      <c r="BB2012" s="3" t="s">
        <v>17174</v>
      </c>
      <c r="BC2012" s="3" t="s">
        <v>82</v>
      </c>
      <c r="BD2012" s="3" t="s">
        <v>70</v>
      </c>
      <c r="BE2012" s="3" t="s">
        <v>17175</v>
      </c>
      <c r="BF2012" s="3" t="s">
        <v>17174</v>
      </c>
      <c r="BG2012" s="3" t="s">
        <v>17176</v>
      </c>
    </row>
    <row r="2013" spans="1:59" ht="60" x14ac:dyDescent="0.25">
      <c r="A2013" s="2" t="s">
        <v>59</v>
      </c>
      <c r="B2013" s="2" t="s">
        <v>60</v>
      </c>
      <c r="C2013" s="2" t="s">
        <v>17177</v>
      </c>
      <c r="D2013" s="2" t="s">
        <v>17178</v>
      </c>
      <c r="E2013" s="2" t="s">
        <v>17179</v>
      </c>
      <c r="G2013" s="3" t="s">
        <v>63</v>
      </c>
      <c r="I2013" s="3" t="s">
        <v>63</v>
      </c>
      <c r="J2013" s="3" t="s">
        <v>63</v>
      </c>
      <c r="K2013" s="3" t="s">
        <v>64</v>
      </c>
      <c r="L2013" s="2" t="s">
        <v>17180</v>
      </c>
      <c r="M2013" s="2" t="s">
        <v>17181</v>
      </c>
      <c r="N2013" s="3" t="s">
        <v>220</v>
      </c>
      <c r="P2013" s="3" t="s">
        <v>66</v>
      </c>
      <c r="R2013" s="3" t="s">
        <v>67</v>
      </c>
      <c r="S2013" s="4">
        <v>9</v>
      </c>
      <c r="T2013" s="4">
        <v>9</v>
      </c>
      <c r="U2013" s="5" t="s">
        <v>4069</v>
      </c>
      <c r="V2013" s="5" t="s">
        <v>4069</v>
      </c>
      <c r="W2013" s="5" t="s">
        <v>69</v>
      </c>
      <c r="X2013" s="5" t="s">
        <v>69</v>
      </c>
      <c r="Y2013" s="4">
        <v>234</v>
      </c>
      <c r="Z2013" s="4">
        <v>32</v>
      </c>
      <c r="AA2013" s="4">
        <v>106</v>
      </c>
      <c r="AB2013" s="4">
        <v>2</v>
      </c>
      <c r="AC2013" s="4">
        <v>19</v>
      </c>
      <c r="AD2013" s="4">
        <v>105</v>
      </c>
      <c r="AE2013" s="4">
        <v>149</v>
      </c>
      <c r="AF2013" s="4">
        <v>0</v>
      </c>
      <c r="AG2013" s="4">
        <v>8</v>
      </c>
      <c r="AH2013" s="4">
        <v>91</v>
      </c>
      <c r="AI2013" s="4">
        <v>102</v>
      </c>
      <c r="AJ2013" s="4">
        <v>19</v>
      </c>
      <c r="AK2013" s="4">
        <v>29</v>
      </c>
      <c r="AL2013" s="4">
        <v>49</v>
      </c>
      <c r="AM2013" s="4">
        <v>51</v>
      </c>
      <c r="AN2013" s="4">
        <v>0</v>
      </c>
      <c r="AO2013" s="4">
        <v>0</v>
      </c>
      <c r="AP2013" s="4">
        <v>24</v>
      </c>
      <c r="AQ2013" s="4">
        <v>56</v>
      </c>
      <c r="AR2013" s="3" t="s">
        <v>62</v>
      </c>
      <c r="AS2013" s="3" t="s">
        <v>63</v>
      </c>
      <c r="AT2013" s="3" t="s">
        <v>62</v>
      </c>
      <c r="AU2013" s="6" t="str">
        <f>HYPERLINK("http://catalog.hathitrust.org/Record/002795133","HathiTrust Record")</f>
        <v>HathiTrust Record</v>
      </c>
      <c r="AV2013" s="6" t="str">
        <f>HYPERLINK("http://mcgill.on.worldcat.org/oclc/28022028","Catalog Record")</f>
        <v>Catalog Record</v>
      </c>
      <c r="AW2013" s="6" t="str">
        <f>HYPERLINK("http://www.worldcat.org/oclc/28022028","WorldCat Record")</f>
        <v>WorldCat Record</v>
      </c>
      <c r="AX2013" s="3" t="s">
        <v>17182</v>
      </c>
      <c r="AY2013" s="3" t="s">
        <v>17183</v>
      </c>
      <c r="AZ2013" s="3" t="s">
        <v>17184</v>
      </c>
      <c r="BA2013" s="3" t="s">
        <v>17184</v>
      </c>
      <c r="BB2013" s="3" t="s">
        <v>17185</v>
      </c>
      <c r="BC2013" s="3" t="s">
        <v>82</v>
      </c>
      <c r="BD2013" s="3" t="s">
        <v>70</v>
      </c>
      <c r="BE2013" s="3" t="s">
        <v>17186</v>
      </c>
      <c r="BF2013" s="3" t="s">
        <v>17185</v>
      </c>
      <c r="BG2013" s="3" t="s">
        <v>17187</v>
      </c>
    </row>
    <row r="2014" spans="1:59" ht="60" x14ac:dyDescent="0.25">
      <c r="A2014" s="2" t="s">
        <v>59</v>
      </c>
      <c r="B2014" s="2" t="s">
        <v>60</v>
      </c>
      <c r="C2014" s="2" t="s">
        <v>17188</v>
      </c>
      <c r="D2014" s="2" t="s">
        <v>17189</v>
      </c>
      <c r="E2014" s="2" t="s">
        <v>17190</v>
      </c>
      <c r="G2014" s="3" t="s">
        <v>63</v>
      </c>
      <c r="I2014" s="3" t="s">
        <v>63</v>
      </c>
      <c r="J2014" s="3" t="s">
        <v>63</v>
      </c>
      <c r="K2014" s="3" t="s">
        <v>64</v>
      </c>
      <c r="L2014" s="2" t="s">
        <v>16849</v>
      </c>
      <c r="M2014" s="2" t="s">
        <v>17191</v>
      </c>
      <c r="N2014" s="3" t="s">
        <v>190</v>
      </c>
      <c r="P2014" s="3" t="s">
        <v>90</v>
      </c>
      <c r="Q2014" s="2" t="s">
        <v>14498</v>
      </c>
      <c r="R2014" s="3" t="s">
        <v>67</v>
      </c>
      <c r="S2014" s="4">
        <v>6</v>
      </c>
      <c r="T2014" s="4">
        <v>6</v>
      </c>
      <c r="U2014" s="5" t="s">
        <v>17192</v>
      </c>
      <c r="V2014" s="5" t="s">
        <v>17192</v>
      </c>
      <c r="W2014" s="5" t="s">
        <v>69</v>
      </c>
      <c r="X2014" s="5" t="s">
        <v>69</v>
      </c>
      <c r="Y2014" s="4">
        <v>4</v>
      </c>
      <c r="Z2014" s="4">
        <v>2</v>
      </c>
      <c r="AA2014" s="4">
        <v>2</v>
      </c>
      <c r="AB2014" s="4">
        <v>2</v>
      </c>
      <c r="AC2014" s="4">
        <v>2</v>
      </c>
      <c r="AD2014" s="4">
        <v>0</v>
      </c>
      <c r="AE2014" s="4">
        <v>0</v>
      </c>
      <c r="AF2014" s="4">
        <v>0</v>
      </c>
      <c r="AG2014" s="4">
        <v>0</v>
      </c>
      <c r="AH2014" s="4">
        <v>0</v>
      </c>
      <c r="AI2014" s="4">
        <v>0</v>
      </c>
      <c r="AJ2014" s="4">
        <v>0</v>
      </c>
      <c r="AK2014" s="4">
        <v>0</v>
      </c>
      <c r="AL2014" s="4">
        <v>0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3" t="s">
        <v>63</v>
      </c>
      <c r="AS2014" s="3" t="s">
        <v>63</v>
      </c>
      <c r="AT2014" s="3" t="s">
        <v>63</v>
      </c>
      <c r="AV2014" s="6" t="str">
        <f>HYPERLINK("http://mcgill.on.worldcat.org/oclc/63671281","Catalog Record")</f>
        <v>Catalog Record</v>
      </c>
      <c r="AW2014" s="6" t="str">
        <f>HYPERLINK("http://www.worldcat.org/oclc/63671281","WorldCat Record")</f>
        <v>WorldCat Record</v>
      </c>
      <c r="AX2014" s="3" t="s">
        <v>17193</v>
      </c>
      <c r="AY2014" s="3" t="s">
        <v>17194</v>
      </c>
      <c r="AZ2014" s="3" t="s">
        <v>17195</v>
      </c>
      <c r="BA2014" s="3" t="s">
        <v>17195</v>
      </c>
      <c r="BB2014" s="3" t="s">
        <v>17196</v>
      </c>
      <c r="BC2014" s="3" t="s">
        <v>82</v>
      </c>
      <c r="BD2014" s="3" t="s">
        <v>70</v>
      </c>
      <c r="BE2014" s="3" t="s">
        <v>17197</v>
      </c>
      <c r="BF2014" s="3" t="s">
        <v>17196</v>
      </c>
      <c r="BG2014" s="3" t="s">
        <v>17198</v>
      </c>
    </row>
    <row r="2015" spans="1:59" ht="75" x14ac:dyDescent="0.25">
      <c r="A2015" s="2" t="s">
        <v>59</v>
      </c>
      <c r="B2015" s="2" t="s">
        <v>60</v>
      </c>
      <c r="C2015" s="2" t="s">
        <v>17199</v>
      </c>
      <c r="D2015" s="2" t="s">
        <v>17200</v>
      </c>
      <c r="E2015" s="2" t="s">
        <v>17201</v>
      </c>
      <c r="G2015" s="3" t="s">
        <v>63</v>
      </c>
      <c r="I2015" s="3" t="s">
        <v>63</v>
      </c>
      <c r="J2015" s="3" t="s">
        <v>63</v>
      </c>
      <c r="K2015" s="3" t="s">
        <v>64</v>
      </c>
      <c r="L2015" s="2" t="s">
        <v>17202</v>
      </c>
      <c r="M2015" s="2" t="s">
        <v>17203</v>
      </c>
      <c r="N2015" s="3" t="s">
        <v>374</v>
      </c>
      <c r="P2015" s="3" t="s">
        <v>66</v>
      </c>
      <c r="Q2015" s="2" t="s">
        <v>17204</v>
      </c>
      <c r="R2015" s="3" t="s">
        <v>67</v>
      </c>
      <c r="S2015" s="4">
        <v>2</v>
      </c>
      <c r="T2015" s="4">
        <v>2</v>
      </c>
      <c r="U2015" s="5" t="s">
        <v>3466</v>
      </c>
      <c r="V2015" s="5" t="s">
        <v>3466</v>
      </c>
      <c r="W2015" s="5" t="s">
        <v>69</v>
      </c>
      <c r="X2015" s="5" t="s">
        <v>69</v>
      </c>
      <c r="Y2015" s="4">
        <v>118</v>
      </c>
      <c r="Z2015" s="4">
        <v>13</v>
      </c>
      <c r="AA2015" s="4">
        <v>13</v>
      </c>
      <c r="AB2015" s="4">
        <v>1</v>
      </c>
      <c r="AC2015" s="4">
        <v>1</v>
      </c>
      <c r="AD2015" s="4">
        <v>61</v>
      </c>
      <c r="AE2015" s="4">
        <v>61</v>
      </c>
      <c r="AF2015" s="4">
        <v>0</v>
      </c>
      <c r="AG2015" s="4">
        <v>0</v>
      </c>
      <c r="AH2015" s="4">
        <v>58</v>
      </c>
      <c r="AI2015" s="4">
        <v>58</v>
      </c>
      <c r="AJ2015" s="4">
        <v>9</v>
      </c>
      <c r="AK2015" s="4">
        <v>9</v>
      </c>
      <c r="AL2015" s="4">
        <v>35</v>
      </c>
      <c r="AM2015" s="4">
        <v>35</v>
      </c>
      <c r="AN2015" s="4">
        <v>0</v>
      </c>
      <c r="AO2015" s="4">
        <v>0</v>
      </c>
      <c r="AP2015" s="4">
        <v>10</v>
      </c>
      <c r="AQ2015" s="4">
        <v>10</v>
      </c>
      <c r="AR2015" s="3" t="s">
        <v>63</v>
      </c>
      <c r="AS2015" s="3" t="s">
        <v>63</v>
      </c>
      <c r="AT2015" s="3" t="s">
        <v>62</v>
      </c>
      <c r="AU2015" s="6" t="str">
        <f>HYPERLINK("http://catalog.hathitrust.org/Record/002980885","HathiTrust Record")</f>
        <v>HathiTrust Record</v>
      </c>
      <c r="AV2015" s="6" t="str">
        <f>HYPERLINK("http://mcgill.on.worldcat.org/oclc/32460776","Catalog Record")</f>
        <v>Catalog Record</v>
      </c>
      <c r="AW2015" s="6" t="str">
        <f>HYPERLINK("http://www.worldcat.org/oclc/32460776","WorldCat Record")</f>
        <v>WorldCat Record</v>
      </c>
      <c r="AX2015" s="3" t="s">
        <v>17205</v>
      </c>
      <c r="AY2015" s="3" t="s">
        <v>17206</v>
      </c>
      <c r="AZ2015" s="3" t="s">
        <v>17207</v>
      </c>
      <c r="BA2015" s="3" t="s">
        <v>17207</v>
      </c>
      <c r="BB2015" s="3" t="s">
        <v>17208</v>
      </c>
      <c r="BC2015" s="3" t="s">
        <v>82</v>
      </c>
      <c r="BD2015" s="3" t="s">
        <v>70</v>
      </c>
      <c r="BE2015" s="3" t="s">
        <v>17209</v>
      </c>
      <c r="BF2015" s="3" t="s">
        <v>17208</v>
      </c>
      <c r="BG2015" s="3" t="s">
        <v>17210</v>
      </c>
    </row>
    <row r="2016" spans="1:59" ht="60" x14ac:dyDescent="0.25">
      <c r="A2016" s="2" t="s">
        <v>59</v>
      </c>
      <c r="B2016" s="2" t="s">
        <v>60</v>
      </c>
      <c r="C2016" s="2" t="s">
        <v>17211</v>
      </c>
      <c r="D2016" s="2" t="s">
        <v>17212</v>
      </c>
      <c r="E2016" s="2" t="s">
        <v>17213</v>
      </c>
      <c r="G2016" s="3" t="s">
        <v>63</v>
      </c>
      <c r="I2016" s="3" t="s">
        <v>63</v>
      </c>
      <c r="J2016" s="3" t="s">
        <v>63</v>
      </c>
      <c r="K2016" s="3" t="s">
        <v>64</v>
      </c>
      <c r="M2016" s="2" t="s">
        <v>17214</v>
      </c>
      <c r="N2016" s="3" t="s">
        <v>531</v>
      </c>
      <c r="P2016" s="3" t="s">
        <v>548</v>
      </c>
      <c r="Q2016" s="2" t="s">
        <v>17215</v>
      </c>
      <c r="R2016" s="3" t="s">
        <v>67</v>
      </c>
      <c r="S2016" s="4">
        <v>3</v>
      </c>
      <c r="T2016" s="4">
        <v>3</v>
      </c>
      <c r="U2016" s="5" t="s">
        <v>4818</v>
      </c>
      <c r="V2016" s="5" t="s">
        <v>4818</v>
      </c>
      <c r="W2016" s="5" t="s">
        <v>69</v>
      </c>
      <c r="X2016" s="5" t="s">
        <v>69</v>
      </c>
      <c r="Y2016" s="4">
        <v>35</v>
      </c>
      <c r="Z2016" s="4">
        <v>1</v>
      </c>
      <c r="AA2016" s="4">
        <v>3</v>
      </c>
      <c r="AB2016" s="4">
        <v>1</v>
      </c>
      <c r="AC2016" s="4">
        <v>1</v>
      </c>
      <c r="AD2016" s="4">
        <v>18</v>
      </c>
      <c r="AE2016" s="4">
        <v>22</v>
      </c>
      <c r="AF2016" s="4">
        <v>0</v>
      </c>
      <c r="AG2016" s="4">
        <v>0</v>
      </c>
      <c r="AH2016" s="4">
        <v>16</v>
      </c>
      <c r="AI2016" s="4">
        <v>20</v>
      </c>
      <c r="AJ2016" s="4">
        <v>0</v>
      </c>
      <c r="AK2016" s="4">
        <v>1</v>
      </c>
      <c r="AL2016" s="4">
        <v>15</v>
      </c>
      <c r="AM2016" s="4">
        <v>19</v>
      </c>
      <c r="AN2016" s="4">
        <v>0</v>
      </c>
      <c r="AO2016" s="4">
        <v>0</v>
      </c>
      <c r="AP2016" s="4">
        <v>0</v>
      </c>
      <c r="AQ2016" s="4">
        <v>1</v>
      </c>
      <c r="AR2016" s="3" t="s">
        <v>63</v>
      </c>
      <c r="AS2016" s="3" t="s">
        <v>63</v>
      </c>
      <c r="AT2016" s="3" t="s">
        <v>62</v>
      </c>
      <c r="AU2016" s="6" t="str">
        <f>HYPERLINK("http://catalog.hathitrust.org/Record/002959674","HathiTrust Record")</f>
        <v>HathiTrust Record</v>
      </c>
      <c r="AV2016" s="6" t="str">
        <f>HYPERLINK("http://mcgill.on.worldcat.org/oclc/27887448","Catalog Record")</f>
        <v>Catalog Record</v>
      </c>
      <c r="AW2016" s="6" t="str">
        <f>HYPERLINK("http://www.worldcat.org/oclc/27887448","WorldCat Record")</f>
        <v>WorldCat Record</v>
      </c>
      <c r="AX2016" s="3" t="s">
        <v>17216</v>
      </c>
      <c r="AY2016" s="3" t="s">
        <v>17217</v>
      </c>
      <c r="AZ2016" s="3" t="s">
        <v>17218</v>
      </c>
      <c r="BA2016" s="3" t="s">
        <v>17218</v>
      </c>
      <c r="BB2016" s="3" t="s">
        <v>17219</v>
      </c>
      <c r="BC2016" s="3" t="s">
        <v>82</v>
      </c>
      <c r="BD2016" s="3" t="s">
        <v>70</v>
      </c>
      <c r="BE2016" s="3" t="s">
        <v>17220</v>
      </c>
      <c r="BF2016" s="3" t="s">
        <v>17219</v>
      </c>
      <c r="BG2016" s="3" t="s">
        <v>17221</v>
      </c>
    </row>
    <row r="2017" spans="1:59" ht="60" x14ac:dyDescent="0.25">
      <c r="A2017" s="2" t="s">
        <v>59</v>
      </c>
      <c r="B2017" s="2" t="s">
        <v>60</v>
      </c>
      <c r="C2017" s="2" t="s">
        <v>17222</v>
      </c>
      <c r="D2017" s="2" t="s">
        <v>17223</v>
      </c>
      <c r="E2017" s="2" t="s">
        <v>17224</v>
      </c>
      <c r="F2017" s="3" t="s">
        <v>17225</v>
      </c>
      <c r="G2017" s="3" t="s">
        <v>62</v>
      </c>
      <c r="I2017" s="3" t="s">
        <v>63</v>
      </c>
      <c r="J2017" s="3" t="s">
        <v>62</v>
      </c>
      <c r="K2017" s="3" t="s">
        <v>64</v>
      </c>
      <c r="L2017" s="2" t="s">
        <v>16849</v>
      </c>
      <c r="M2017" s="2" t="s">
        <v>17226</v>
      </c>
      <c r="N2017" s="3" t="s">
        <v>758</v>
      </c>
      <c r="P2017" s="3" t="s">
        <v>90</v>
      </c>
      <c r="R2017" s="3" t="s">
        <v>67</v>
      </c>
      <c r="S2017" s="4">
        <v>5</v>
      </c>
      <c r="T2017" s="4">
        <v>8</v>
      </c>
      <c r="U2017" s="5" t="s">
        <v>8149</v>
      </c>
      <c r="V2017" s="5" t="s">
        <v>8149</v>
      </c>
      <c r="W2017" s="5" t="s">
        <v>69</v>
      </c>
      <c r="X2017" s="5" t="s">
        <v>69</v>
      </c>
      <c r="Y2017" s="4">
        <v>93</v>
      </c>
      <c r="Z2017" s="4">
        <v>2</v>
      </c>
      <c r="AA2017" s="4">
        <v>35</v>
      </c>
      <c r="AB2017" s="4">
        <v>1</v>
      </c>
      <c r="AC2017" s="4">
        <v>6</v>
      </c>
      <c r="AD2017" s="4">
        <v>38</v>
      </c>
      <c r="AE2017" s="4">
        <v>115</v>
      </c>
      <c r="AF2017" s="4">
        <v>0</v>
      </c>
      <c r="AG2017" s="4">
        <v>1</v>
      </c>
      <c r="AH2017" s="4">
        <v>36</v>
      </c>
      <c r="AI2017" s="4">
        <v>102</v>
      </c>
      <c r="AJ2017" s="4">
        <v>1</v>
      </c>
      <c r="AK2017" s="4">
        <v>19</v>
      </c>
      <c r="AL2017" s="4">
        <v>24</v>
      </c>
      <c r="AM2017" s="4">
        <v>55</v>
      </c>
      <c r="AN2017" s="4">
        <v>0</v>
      </c>
      <c r="AO2017" s="4">
        <v>8</v>
      </c>
      <c r="AP2017" s="4">
        <v>1</v>
      </c>
      <c r="AQ2017" s="4">
        <v>19</v>
      </c>
      <c r="AR2017" s="3" t="s">
        <v>63</v>
      </c>
      <c r="AS2017" s="3" t="s">
        <v>63</v>
      </c>
      <c r="AT2017" s="3" t="s">
        <v>62</v>
      </c>
      <c r="AU2017" s="6" t="str">
        <f>HYPERLINK("http://catalog.hathitrust.org/Record/005880317","HathiTrust Record")</f>
        <v>HathiTrust Record</v>
      </c>
      <c r="AV2017" s="6" t="str">
        <f>HYPERLINK("http://mcgill.on.worldcat.org/oclc/4544456","Catalog Record")</f>
        <v>Catalog Record</v>
      </c>
      <c r="AW2017" s="6" t="str">
        <f>HYPERLINK("http://www.worldcat.org/oclc/4544456","WorldCat Record")</f>
        <v>WorldCat Record</v>
      </c>
      <c r="AX2017" s="3" t="s">
        <v>17227</v>
      </c>
      <c r="AY2017" s="3" t="s">
        <v>17228</v>
      </c>
      <c r="AZ2017" s="3" t="s">
        <v>17229</v>
      </c>
      <c r="BA2017" s="3" t="s">
        <v>17229</v>
      </c>
      <c r="BB2017" s="3" t="s">
        <v>17230</v>
      </c>
      <c r="BC2017" s="3" t="s">
        <v>82</v>
      </c>
      <c r="BD2017" s="3" t="s">
        <v>70</v>
      </c>
      <c r="BF2017" s="3" t="s">
        <v>17230</v>
      </c>
      <c r="BG2017" s="3" t="s">
        <v>17231</v>
      </c>
    </row>
    <row r="2018" spans="1:59" ht="60" x14ac:dyDescent="0.25">
      <c r="A2018" s="2" t="s">
        <v>59</v>
      </c>
      <c r="B2018" s="2" t="s">
        <v>60</v>
      </c>
      <c r="C2018" s="2" t="s">
        <v>17222</v>
      </c>
      <c r="D2018" s="2" t="s">
        <v>17223</v>
      </c>
      <c r="E2018" s="2" t="s">
        <v>17224</v>
      </c>
      <c r="F2018" s="3" t="s">
        <v>17232</v>
      </c>
      <c r="G2018" s="3" t="s">
        <v>62</v>
      </c>
      <c r="I2018" s="3" t="s">
        <v>63</v>
      </c>
      <c r="J2018" s="3" t="s">
        <v>62</v>
      </c>
      <c r="K2018" s="3" t="s">
        <v>64</v>
      </c>
      <c r="L2018" s="2" t="s">
        <v>16849</v>
      </c>
      <c r="M2018" s="2" t="s">
        <v>17226</v>
      </c>
      <c r="N2018" s="3" t="s">
        <v>758</v>
      </c>
      <c r="P2018" s="3" t="s">
        <v>90</v>
      </c>
      <c r="R2018" s="3" t="s">
        <v>67</v>
      </c>
      <c r="S2018" s="4">
        <v>3</v>
      </c>
      <c r="T2018" s="4">
        <v>8</v>
      </c>
      <c r="U2018" s="5" t="s">
        <v>8149</v>
      </c>
      <c r="V2018" s="5" t="s">
        <v>8149</v>
      </c>
      <c r="W2018" s="5" t="s">
        <v>69</v>
      </c>
      <c r="X2018" s="5" t="s">
        <v>69</v>
      </c>
      <c r="Y2018" s="4">
        <v>93</v>
      </c>
      <c r="Z2018" s="4">
        <v>2</v>
      </c>
      <c r="AA2018" s="4">
        <v>35</v>
      </c>
      <c r="AB2018" s="4">
        <v>1</v>
      </c>
      <c r="AC2018" s="4">
        <v>6</v>
      </c>
      <c r="AD2018" s="4">
        <v>38</v>
      </c>
      <c r="AE2018" s="4">
        <v>115</v>
      </c>
      <c r="AF2018" s="4">
        <v>0</v>
      </c>
      <c r="AG2018" s="4">
        <v>1</v>
      </c>
      <c r="AH2018" s="4">
        <v>36</v>
      </c>
      <c r="AI2018" s="4">
        <v>102</v>
      </c>
      <c r="AJ2018" s="4">
        <v>1</v>
      </c>
      <c r="AK2018" s="4">
        <v>19</v>
      </c>
      <c r="AL2018" s="4">
        <v>24</v>
      </c>
      <c r="AM2018" s="4">
        <v>55</v>
      </c>
      <c r="AN2018" s="4">
        <v>0</v>
      </c>
      <c r="AO2018" s="4">
        <v>8</v>
      </c>
      <c r="AP2018" s="4">
        <v>1</v>
      </c>
      <c r="AQ2018" s="4">
        <v>19</v>
      </c>
      <c r="AR2018" s="3" t="s">
        <v>63</v>
      </c>
      <c r="AS2018" s="3" t="s">
        <v>63</v>
      </c>
      <c r="AT2018" s="3" t="s">
        <v>62</v>
      </c>
      <c r="AU2018" s="6" t="str">
        <f>HYPERLINK("http://catalog.hathitrust.org/Record/005880317","HathiTrust Record")</f>
        <v>HathiTrust Record</v>
      </c>
      <c r="AV2018" s="6" t="str">
        <f>HYPERLINK("http://mcgill.on.worldcat.org/oclc/4544456","Catalog Record")</f>
        <v>Catalog Record</v>
      </c>
      <c r="AW2018" s="6" t="str">
        <f>HYPERLINK("http://www.worldcat.org/oclc/4544456","WorldCat Record")</f>
        <v>WorldCat Record</v>
      </c>
      <c r="AX2018" s="3" t="s">
        <v>17227</v>
      </c>
      <c r="AY2018" s="3" t="s">
        <v>17228</v>
      </c>
      <c r="AZ2018" s="3" t="s">
        <v>17229</v>
      </c>
      <c r="BA2018" s="3" t="s">
        <v>17229</v>
      </c>
      <c r="BB2018" s="3" t="s">
        <v>17233</v>
      </c>
      <c r="BC2018" s="3" t="s">
        <v>82</v>
      </c>
      <c r="BD2018" s="3" t="s">
        <v>70</v>
      </c>
      <c r="BF2018" s="3" t="s">
        <v>17233</v>
      </c>
      <c r="BG2018" s="3" t="s">
        <v>17234</v>
      </c>
    </row>
    <row r="2019" spans="1:59" ht="60" x14ac:dyDescent="0.25">
      <c r="A2019" s="2" t="s">
        <v>59</v>
      </c>
      <c r="B2019" s="2" t="s">
        <v>60</v>
      </c>
      <c r="C2019" s="2" t="s">
        <v>17235</v>
      </c>
      <c r="D2019" s="2" t="s">
        <v>17236</v>
      </c>
      <c r="E2019" s="2" t="s">
        <v>17237</v>
      </c>
      <c r="F2019" s="3" t="s">
        <v>61</v>
      </c>
      <c r="G2019" s="3" t="s">
        <v>62</v>
      </c>
      <c r="I2019" s="3" t="s">
        <v>63</v>
      </c>
      <c r="J2019" s="3" t="s">
        <v>62</v>
      </c>
      <c r="K2019" s="3" t="s">
        <v>64</v>
      </c>
      <c r="L2019" s="2" t="s">
        <v>16849</v>
      </c>
      <c r="M2019" s="2" t="s">
        <v>17238</v>
      </c>
      <c r="P2019" s="3" t="s">
        <v>548</v>
      </c>
      <c r="Q2019" s="2" t="s">
        <v>17239</v>
      </c>
      <c r="R2019" s="3" t="s">
        <v>67</v>
      </c>
      <c r="S2019" s="4">
        <v>7</v>
      </c>
      <c r="T2019" s="4">
        <v>23</v>
      </c>
      <c r="U2019" s="5" t="s">
        <v>17240</v>
      </c>
      <c r="V2019" s="5" t="s">
        <v>12109</v>
      </c>
      <c r="W2019" s="5" t="s">
        <v>69</v>
      </c>
      <c r="X2019" s="5" t="s">
        <v>69</v>
      </c>
      <c r="Y2019" s="4">
        <v>2</v>
      </c>
      <c r="Z2019" s="4">
        <v>1</v>
      </c>
      <c r="AA2019" s="4">
        <v>30</v>
      </c>
      <c r="AB2019" s="4">
        <v>1</v>
      </c>
      <c r="AC2019" s="4">
        <v>13</v>
      </c>
      <c r="AD2019" s="4">
        <v>0</v>
      </c>
      <c r="AE2019" s="4">
        <v>54</v>
      </c>
      <c r="AF2019" s="4">
        <v>0</v>
      </c>
      <c r="AG2019" s="4">
        <v>6</v>
      </c>
      <c r="AH2019" s="4">
        <v>0</v>
      </c>
      <c r="AI2019" s="4">
        <v>42</v>
      </c>
      <c r="AJ2019" s="4">
        <v>0</v>
      </c>
      <c r="AK2019" s="4">
        <v>14</v>
      </c>
      <c r="AL2019" s="4">
        <v>0</v>
      </c>
      <c r="AM2019" s="4">
        <v>26</v>
      </c>
      <c r="AN2019" s="4">
        <v>0</v>
      </c>
      <c r="AO2019" s="4">
        <v>0</v>
      </c>
      <c r="AP2019" s="4">
        <v>0</v>
      </c>
      <c r="AQ2019" s="4">
        <v>15</v>
      </c>
      <c r="AR2019" s="3" t="s">
        <v>63</v>
      </c>
      <c r="AS2019" s="3" t="s">
        <v>63</v>
      </c>
      <c r="AT2019" s="3" t="s">
        <v>63</v>
      </c>
      <c r="AV2019" s="6" t="str">
        <f>HYPERLINK("http://mcgill.on.worldcat.org/oclc/427249226","Catalog Record")</f>
        <v>Catalog Record</v>
      </c>
      <c r="AW2019" s="6" t="str">
        <f>HYPERLINK("http://www.worldcat.org/oclc/427249226","WorldCat Record")</f>
        <v>WorldCat Record</v>
      </c>
      <c r="AX2019" s="3" t="s">
        <v>17241</v>
      </c>
      <c r="AY2019" s="3" t="s">
        <v>17242</v>
      </c>
      <c r="AZ2019" s="3" t="s">
        <v>17243</v>
      </c>
      <c r="BA2019" s="3" t="s">
        <v>17243</v>
      </c>
      <c r="BB2019" s="3" t="s">
        <v>17244</v>
      </c>
      <c r="BC2019" s="3" t="s">
        <v>82</v>
      </c>
      <c r="BD2019" s="3" t="s">
        <v>70</v>
      </c>
      <c r="BE2019" s="3" t="s">
        <v>17245</v>
      </c>
      <c r="BF2019" s="3" t="s">
        <v>17244</v>
      </c>
      <c r="BG2019" s="3" t="s">
        <v>17246</v>
      </c>
    </row>
    <row r="2020" spans="1:59" ht="60" x14ac:dyDescent="0.25">
      <c r="A2020" s="2" t="s">
        <v>59</v>
      </c>
      <c r="B2020" s="2" t="s">
        <v>60</v>
      </c>
      <c r="C2020" s="2" t="s">
        <v>17235</v>
      </c>
      <c r="D2020" s="2" t="s">
        <v>17236</v>
      </c>
      <c r="E2020" s="2" t="s">
        <v>17237</v>
      </c>
      <c r="F2020" s="3" t="s">
        <v>1095</v>
      </c>
      <c r="G2020" s="3" t="s">
        <v>62</v>
      </c>
      <c r="I2020" s="3" t="s">
        <v>63</v>
      </c>
      <c r="J2020" s="3" t="s">
        <v>62</v>
      </c>
      <c r="K2020" s="3" t="s">
        <v>64</v>
      </c>
      <c r="L2020" s="2" t="s">
        <v>16849</v>
      </c>
      <c r="M2020" s="2" t="s">
        <v>17238</v>
      </c>
      <c r="P2020" s="3" t="s">
        <v>548</v>
      </c>
      <c r="Q2020" s="2" t="s">
        <v>17239</v>
      </c>
      <c r="R2020" s="3" t="s">
        <v>67</v>
      </c>
      <c r="S2020" s="4">
        <v>16</v>
      </c>
      <c r="T2020" s="4">
        <v>23</v>
      </c>
      <c r="U2020" s="5" t="s">
        <v>12109</v>
      </c>
      <c r="V2020" s="5" t="s">
        <v>12109</v>
      </c>
      <c r="W2020" s="5" t="s">
        <v>69</v>
      </c>
      <c r="X2020" s="5" t="s">
        <v>69</v>
      </c>
      <c r="Y2020" s="4">
        <v>2</v>
      </c>
      <c r="Z2020" s="4">
        <v>1</v>
      </c>
      <c r="AA2020" s="4">
        <v>30</v>
      </c>
      <c r="AB2020" s="4">
        <v>1</v>
      </c>
      <c r="AC2020" s="4">
        <v>13</v>
      </c>
      <c r="AD2020" s="4">
        <v>0</v>
      </c>
      <c r="AE2020" s="4">
        <v>54</v>
      </c>
      <c r="AF2020" s="4">
        <v>0</v>
      </c>
      <c r="AG2020" s="4">
        <v>6</v>
      </c>
      <c r="AH2020" s="4">
        <v>0</v>
      </c>
      <c r="AI2020" s="4">
        <v>42</v>
      </c>
      <c r="AJ2020" s="4">
        <v>0</v>
      </c>
      <c r="AK2020" s="4">
        <v>14</v>
      </c>
      <c r="AL2020" s="4">
        <v>0</v>
      </c>
      <c r="AM2020" s="4">
        <v>26</v>
      </c>
      <c r="AN2020" s="4">
        <v>0</v>
      </c>
      <c r="AO2020" s="4">
        <v>0</v>
      </c>
      <c r="AP2020" s="4">
        <v>0</v>
      </c>
      <c r="AQ2020" s="4">
        <v>15</v>
      </c>
      <c r="AR2020" s="3" t="s">
        <v>63</v>
      </c>
      <c r="AS2020" s="3" t="s">
        <v>63</v>
      </c>
      <c r="AT2020" s="3" t="s">
        <v>63</v>
      </c>
      <c r="AV2020" s="6" t="str">
        <f>HYPERLINK("http://mcgill.on.worldcat.org/oclc/427249226","Catalog Record")</f>
        <v>Catalog Record</v>
      </c>
      <c r="AW2020" s="6" t="str">
        <f>HYPERLINK("http://www.worldcat.org/oclc/427249226","WorldCat Record")</f>
        <v>WorldCat Record</v>
      </c>
      <c r="AX2020" s="3" t="s">
        <v>17241</v>
      </c>
      <c r="AY2020" s="3" t="s">
        <v>17242</v>
      </c>
      <c r="AZ2020" s="3" t="s">
        <v>17243</v>
      </c>
      <c r="BA2020" s="3" t="s">
        <v>17243</v>
      </c>
      <c r="BB2020" s="3" t="s">
        <v>17247</v>
      </c>
      <c r="BC2020" s="3" t="s">
        <v>82</v>
      </c>
      <c r="BD2020" s="3" t="s">
        <v>70</v>
      </c>
      <c r="BE2020" s="3" t="s">
        <v>17245</v>
      </c>
      <c r="BF2020" s="3" t="s">
        <v>17247</v>
      </c>
      <c r="BG2020" s="3" t="s">
        <v>17248</v>
      </c>
    </row>
    <row r="2021" spans="1:59" ht="60" x14ac:dyDescent="0.25">
      <c r="A2021" s="2" t="s">
        <v>59</v>
      </c>
      <c r="B2021" s="2" t="s">
        <v>60</v>
      </c>
      <c r="C2021" s="2" t="s">
        <v>17249</v>
      </c>
      <c r="D2021" s="2" t="s">
        <v>17250</v>
      </c>
      <c r="E2021" s="2" t="s">
        <v>17251</v>
      </c>
      <c r="F2021" s="3" t="s">
        <v>17252</v>
      </c>
      <c r="G2021" s="3" t="s">
        <v>62</v>
      </c>
      <c r="I2021" s="3" t="s">
        <v>63</v>
      </c>
      <c r="J2021" s="3" t="s">
        <v>62</v>
      </c>
      <c r="K2021" s="3" t="s">
        <v>64</v>
      </c>
      <c r="L2021" s="2" t="s">
        <v>16973</v>
      </c>
      <c r="M2021" s="2" t="s">
        <v>17253</v>
      </c>
      <c r="N2021" s="3" t="s">
        <v>326</v>
      </c>
      <c r="P2021" s="3" t="s">
        <v>90</v>
      </c>
      <c r="Q2021" s="2" t="s">
        <v>17254</v>
      </c>
      <c r="R2021" s="3" t="s">
        <v>67</v>
      </c>
      <c r="S2021" s="4">
        <v>1</v>
      </c>
      <c r="T2021" s="4">
        <v>9</v>
      </c>
      <c r="U2021" s="5" t="s">
        <v>17255</v>
      </c>
      <c r="V2021" s="5" t="s">
        <v>17256</v>
      </c>
      <c r="W2021" s="5" t="s">
        <v>69</v>
      </c>
      <c r="X2021" s="5" t="s">
        <v>69</v>
      </c>
      <c r="Y2021" s="4">
        <v>1</v>
      </c>
      <c r="Z2021" s="4">
        <v>1</v>
      </c>
      <c r="AA2021" s="4">
        <v>35</v>
      </c>
      <c r="AB2021" s="4">
        <v>1</v>
      </c>
      <c r="AC2021" s="4">
        <v>6</v>
      </c>
      <c r="AD2021" s="4">
        <v>0</v>
      </c>
      <c r="AE2021" s="4">
        <v>115</v>
      </c>
      <c r="AF2021" s="4">
        <v>0</v>
      </c>
      <c r="AG2021" s="4">
        <v>1</v>
      </c>
      <c r="AH2021" s="4">
        <v>0</v>
      </c>
      <c r="AI2021" s="4">
        <v>102</v>
      </c>
      <c r="AJ2021" s="4">
        <v>0</v>
      </c>
      <c r="AK2021" s="4">
        <v>19</v>
      </c>
      <c r="AL2021" s="4">
        <v>0</v>
      </c>
      <c r="AM2021" s="4">
        <v>55</v>
      </c>
      <c r="AN2021" s="4">
        <v>0</v>
      </c>
      <c r="AO2021" s="4">
        <v>8</v>
      </c>
      <c r="AP2021" s="4">
        <v>0</v>
      </c>
      <c r="AQ2021" s="4">
        <v>19</v>
      </c>
      <c r="AR2021" s="3" t="s">
        <v>63</v>
      </c>
      <c r="AS2021" s="3" t="s">
        <v>63</v>
      </c>
      <c r="AT2021" s="3" t="s">
        <v>63</v>
      </c>
      <c r="AV2021" s="6" t="str">
        <f>HYPERLINK("http://mcgill.on.worldcat.org/oclc/1050870635","Catalog Record")</f>
        <v>Catalog Record</v>
      </c>
      <c r="AW2021" s="6" t="str">
        <f>HYPERLINK("http://www.worldcat.org/oclc/1050870635","WorldCat Record")</f>
        <v>WorldCat Record</v>
      </c>
      <c r="AX2021" s="3" t="s">
        <v>17227</v>
      </c>
      <c r="AY2021" s="3" t="s">
        <v>17257</v>
      </c>
      <c r="AZ2021" s="3" t="s">
        <v>17258</v>
      </c>
      <c r="BA2021" s="3" t="s">
        <v>17258</v>
      </c>
      <c r="BB2021" s="3" t="s">
        <v>17259</v>
      </c>
      <c r="BC2021" s="3" t="s">
        <v>82</v>
      </c>
      <c r="BD2021" s="3" t="s">
        <v>70</v>
      </c>
      <c r="BE2021" s="3" t="s">
        <v>17260</v>
      </c>
      <c r="BF2021" s="3" t="s">
        <v>17259</v>
      </c>
      <c r="BG2021" s="3" t="s">
        <v>17261</v>
      </c>
    </row>
    <row r="2022" spans="1:59" ht="60" x14ac:dyDescent="0.25">
      <c r="A2022" s="2" t="s">
        <v>59</v>
      </c>
      <c r="B2022" s="2" t="s">
        <v>60</v>
      </c>
      <c r="C2022" s="2" t="s">
        <v>17249</v>
      </c>
      <c r="D2022" s="2" t="s">
        <v>17250</v>
      </c>
      <c r="E2022" s="2" t="s">
        <v>17251</v>
      </c>
      <c r="F2022" s="3" t="s">
        <v>17262</v>
      </c>
      <c r="G2022" s="3" t="s">
        <v>62</v>
      </c>
      <c r="I2022" s="3" t="s">
        <v>63</v>
      </c>
      <c r="J2022" s="3" t="s">
        <v>62</v>
      </c>
      <c r="K2022" s="3" t="s">
        <v>64</v>
      </c>
      <c r="L2022" s="2" t="s">
        <v>16973</v>
      </c>
      <c r="M2022" s="2" t="s">
        <v>17253</v>
      </c>
      <c r="N2022" s="3" t="s">
        <v>326</v>
      </c>
      <c r="P2022" s="3" t="s">
        <v>90</v>
      </c>
      <c r="Q2022" s="2" t="s">
        <v>17254</v>
      </c>
      <c r="R2022" s="3" t="s">
        <v>67</v>
      </c>
      <c r="S2022" s="4">
        <v>8</v>
      </c>
      <c r="T2022" s="4">
        <v>9</v>
      </c>
      <c r="U2022" s="5" t="s">
        <v>17256</v>
      </c>
      <c r="V2022" s="5" t="s">
        <v>17256</v>
      </c>
      <c r="W2022" s="5" t="s">
        <v>69</v>
      </c>
      <c r="X2022" s="5" t="s">
        <v>69</v>
      </c>
      <c r="Y2022" s="4">
        <v>1</v>
      </c>
      <c r="Z2022" s="4">
        <v>1</v>
      </c>
      <c r="AA2022" s="4">
        <v>35</v>
      </c>
      <c r="AB2022" s="4">
        <v>1</v>
      </c>
      <c r="AC2022" s="4">
        <v>6</v>
      </c>
      <c r="AD2022" s="4">
        <v>0</v>
      </c>
      <c r="AE2022" s="4">
        <v>115</v>
      </c>
      <c r="AF2022" s="4">
        <v>0</v>
      </c>
      <c r="AG2022" s="4">
        <v>1</v>
      </c>
      <c r="AH2022" s="4">
        <v>0</v>
      </c>
      <c r="AI2022" s="4">
        <v>102</v>
      </c>
      <c r="AJ2022" s="4">
        <v>0</v>
      </c>
      <c r="AK2022" s="4">
        <v>19</v>
      </c>
      <c r="AL2022" s="4">
        <v>0</v>
      </c>
      <c r="AM2022" s="4">
        <v>55</v>
      </c>
      <c r="AN2022" s="4">
        <v>0</v>
      </c>
      <c r="AO2022" s="4">
        <v>8</v>
      </c>
      <c r="AP2022" s="4">
        <v>0</v>
      </c>
      <c r="AQ2022" s="4">
        <v>19</v>
      </c>
      <c r="AR2022" s="3" t="s">
        <v>63</v>
      </c>
      <c r="AS2022" s="3" t="s">
        <v>63</v>
      </c>
      <c r="AT2022" s="3" t="s">
        <v>63</v>
      </c>
      <c r="AV2022" s="6" t="str">
        <f>HYPERLINK("http://mcgill.on.worldcat.org/oclc/1050870635","Catalog Record")</f>
        <v>Catalog Record</v>
      </c>
      <c r="AW2022" s="6" t="str">
        <f>HYPERLINK("http://www.worldcat.org/oclc/1050870635","WorldCat Record")</f>
        <v>WorldCat Record</v>
      </c>
      <c r="AX2022" s="3" t="s">
        <v>17227</v>
      </c>
      <c r="AY2022" s="3" t="s">
        <v>17257</v>
      </c>
      <c r="AZ2022" s="3" t="s">
        <v>17258</v>
      </c>
      <c r="BA2022" s="3" t="s">
        <v>17258</v>
      </c>
      <c r="BB2022" s="3" t="s">
        <v>17263</v>
      </c>
      <c r="BC2022" s="3" t="s">
        <v>82</v>
      </c>
      <c r="BD2022" s="3" t="s">
        <v>70</v>
      </c>
      <c r="BE2022" s="3" t="s">
        <v>17260</v>
      </c>
      <c r="BF2022" s="3" t="s">
        <v>17263</v>
      </c>
      <c r="BG2022" s="3" t="s">
        <v>17264</v>
      </c>
    </row>
    <row r="2023" spans="1:59" ht="60" x14ac:dyDescent="0.25">
      <c r="A2023" s="2" t="s">
        <v>59</v>
      </c>
      <c r="B2023" s="2" t="s">
        <v>60</v>
      </c>
      <c r="C2023" s="2" t="s">
        <v>17265</v>
      </c>
      <c r="D2023" s="2" t="s">
        <v>17266</v>
      </c>
      <c r="E2023" s="2" t="s">
        <v>17267</v>
      </c>
      <c r="G2023" s="3" t="s">
        <v>63</v>
      </c>
      <c r="I2023" s="3" t="s">
        <v>63</v>
      </c>
      <c r="J2023" s="3" t="s">
        <v>63</v>
      </c>
      <c r="K2023" s="3" t="s">
        <v>64</v>
      </c>
      <c r="M2023" s="2" t="s">
        <v>17268</v>
      </c>
      <c r="N2023" s="3" t="s">
        <v>130</v>
      </c>
      <c r="P2023" s="3" t="s">
        <v>548</v>
      </c>
      <c r="Q2023" s="2" t="s">
        <v>17269</v>
      </c>
      <c r="R2023" s="3" t="s">
        <v>67</v>
      </c>
      <c r="S2023" s="4">
        <v>0</v>
      </c>
      <c r="T2023" s="4">
        <v>0</v>
      </c>
      <c r="W2023" s="5" t="s">
        <v>69</v>
      </c>
      <c r="X2023" s="5" t="s">
        <v>69</v>
      </c>
      <c r="Y2023" s="4">
        <v>39</v>
      </c>
      <c r="Z2023" s="4">
        <v>3</v>
      </c>
      <c r="AA2023" s="4">
        <v>3</v>
      </c>
      <c r="AB2023" s="4">
        <v>1</v>
      </c>
      <c r="AC2023" s="4">
        <v>1</v>
      </c>
      <c r="AD2023" s="4">
        <v>25</v>
      </c>
      <c r="AE2023" s="4">
        <v>25</v>
      </c>
      <c r="AF2023" s="4">
        <v>0</v>
      </c>
      <c r="AG2023" s="4">
        <v>0</v>
      </c>
      <c r="AH2023" s="4">
        <v>23</v>
      </c>
      <c r="AI2023" s="4">
        <v>23</v>
      </c>
      <c r="AJ2023" s="4">
        <v>1</v>
      </c>
      <c r="AK2023" s="4">
        <v>1</v>
      </c>
      <c r="AL2023" s="4">
        <v>22</v>
      </c>
      <c r="AM2023" s="4">
        <v>22</v>
      </c>
      <c r="AN2023" s="4">
        <v>0</v>
      </c>
      <c r="AO2023" s="4">
        <v>0</v>
      </c>
      <c r="AP2023" s="4">
        <v>1</v>
      </c>
      <c r="AQ2023" s="4">
        <v>1</v>
      </c>
      <c r="AR2023" s="3" t="s">
        <v>63</v>
      </c>
      <c r="AS2023" s="3" t="s">
        <v>63</v>
      </c>
      <c r="AT2023" s="3" t="s">
        <v>63</v>
      </c>
      <c r="AV2023" s="6" t="str">
        <f>HYPERLINK("http://mcgill.on.worldcat.org/oclc/873479858","Catalog Record")</f>
        <v>Catalog Record</v>
      </c>
      <c r="AW2023" s="6" t="str">
        <f>HYPERLINK("http://www.worldcat.org/oclc/873479858","WorldCat Record")</f>
        <v>WorldCat Record</v>
      </c>
      <c r="AX2023" s="3" t="s">
        <v>17270</v>
      </c>
      <c r="AY2023" s="3" t="s">
        <v>17271</v>
      </c>
      <c r="AZ2023" s="3" t="s">
        <v>17272</v>
      </c>
      <c r="BA2023" s="3" t="s">
        <v>17272</v>
      </c>
      <c r="BB2023" s="3" t="s">
        <v>17273</v>
      </c>
      <c r="BC2023" s="3" t="s">
        <v>82</v>
      </c>
      <c r="BD2023" s="3" t="s">
        <v>70</v>
      </c>
      <c r="BE2023" s="3" t="s">
        <v>17274</v>
      </c>
      <c r="BF2023" s="3" t="s">
        <v>17273</v>
      </c>
      <c r="BG2023" s="3" t="s">
        <v>17275</v>
      </c>
    </row>
    <row r="2024" spans="1:59" ht="60" x14ac:dyDescent="0.25">
      <c r="A2024" s="2" t="s">
        <v>59</v>
      </c>
      <c r="B2024" s="2" t="s">
        <v>60</v>
      </c>
      <c r="C2024" s="2" t="s">
        <v>17276</v>
      </c>
      <c r="D2024" s="2" t="s">
        <v>17277</v>
      </c>
      <c r="E2024" s="2" t="s">
        <v>17278</v>
      </c>
      <c r="G2024" s="3" t="s">
        <v>63</v>
      </c>
      <c r="I2024" s="3" t="s">
        <v>63</v>
      </c>
      <c r="J2024" s="3" t="s">
        <v>63</v>
      </c>
      <c r="K2024" s="3" t="s">
        <v>64</v>
      </c>
      <c r="L2024" s="2" t="s">
        <v>17279</v>
      </c>
      <c r="M2024" s="2" t="s">
        <v>17280</v>
      </c>
      <c r="N2024" s="3" t="s">
        <v>1046</v>
      </c>
      <c r="P2024" s="3" t="s">
        <v>66</v>
      </c>
      <c r="R2024" s="3" t="s">
        <v>67</v>
      </c>
      <c r="S2024" s="4">
        <v>16</v>
      </c>
      <c r="T2024" s="4">
        <v>16</v>
      </c>
      <c r="U2024" s="5" t="s">
        <v>17281</v>
      </c>
      <c r="V2024" s="5" t="s">
        <v>17281</v>
      </c>
      <c r="W2024" s="5" t="s">
        <v>69</v>
      </c>
      <c r="X2024" s="5" t="s">
        <v>69</v>
      </c>
      <c r="Y2024" s="4">
        <v>584</v>
      </c>
      <c r="Z2024" s="4">
        <v>33</v>
      </c>
      <c r="AA2024" s="4">
        <v>36</v>
      </c>
      <c r="AB2024" s="4">
        <v>2</v>
      </c>
      <c r="AC2024" s="4">
        <v>2</v>
      </c>
      <c r="AD2024" s="4">
        <v>112</v>
      </c>
      <c r="AE2024" s="4">
        <v>114</v>
      </c>
      <c r="AF2024" s="4">
        <v>1</v>
      </c>
      <c r="AG2024" s="4">
        <v>1</v>
      </c>
      <c r="AH2024" s="4">
        <v>92</v>
      </c>
      <c r="AI2024" s="4">
        <v>93</v>
      </c>
      <c r="AJ2024" s="4">
        <v>21</v>
      </c>
      <c r="AK2024" s="4">
        <v>22</v>
      </c>
      <c r="AL2024" s="4">
        <v>54</v>
      </c>
      <c r="AM2024" s="4">
        <v>54</v>
      </c>
      <c r="AN2024" s="4">
        <v>0</v>
      </c>
      <c r="AO2024" s="4">
        <v>0</v>
      </c>
      <c r="AP2024" s="4">
        <v>26</v>
      </c>
      <c r="AQ2024" s="4">
        <v>28</v>
      </c>
      <c r="AR2024" s="3" t="s">
        <v>63</v>
      </c>
      <c r="AS2024" s="3" t="s">
        <v>63</v>
      </c>
      <c r="AT2024" s="3" t="s">
        <v>62</v>
      </c>
      <c r="AU2024" s="6" t="str">
        <f>HYPERLINK("http://catalog.hathitrust.org/Record/001110411","HathiTrust Record")</f>
        <v>HathiTrust Record</v>
      </c>
      <c r="AV2024" s="6" t="str">
        <f>HYPERLINK("http://mcgill.on.worldcat.org/oclc/321018","Catalog Record")</f>
        <v>Catalog Record</v>
      </c>
      <c r="AW2024" s="6" t="str">
        <f>HYPERLINK("http://www.worldcat.org/oclc/321018","WorldCat Record")</f>
        <v>WorldCat Record</v>
      </c>
      <c r="AX2024" s="3" t="s">
        <v>17282</v>
      </c>
      <c r="AY2024" s="3" t="s">
        <v>17283</v>
      </c>
      <c r="AZ2024" s="3" t="s">
        <v>17284</v>
      </c>
      <c r="BA2024" s="3" t="s">
        <v>17284</v>
      </c>
      <c r="BB2024" s="3" t="s">
        <v>17285</v>
      </c>
      <c r="BC2024" s="3" t="s">
        <v>82</v>
      </c>
      <c r="BD2024" s="3" t="s">
        <v>70</v>
      </c>
      <c r="BF2024" s="3" t="s">
        <v>17285</v>
      </c>
      <c r="BG2024" s="3" t="s">
        <v>17286</v>
      </c>
    </row>
    <row r="2025" spans="1:59" ht="60" x14ac:dyDescent="0.25">
      <c r="A2025" s="2" t="s">
        <v>59</v>
      </c>
      <c r="B2025" s="2" t="s">
        <v>60</v>
      </c>
      <c r="C2025" s="2" t="s">
        <v>17287</v>
      </c>
      <c r="D2025" s="2" t="s">
        <v>17288</v>
      </c>
      <c r="E2025" s="2" t="s">
        <v>17289</v>
      </c>
      <c r="G2025" s="3" t="s">
        <v>63</v>
      </c>
      <c r="I2025" s="3" t="s">
        <v>63</v>
      </c>
      <c r="J2025" s="3" t="s">
        <v>63</v>
      </c>
      <c r="K2025" s="3" t="s">
        <v>64</v>
      </c>
      <c r="L2025" s="2" t="s">
        <v>17290</v>
      </c>
      <c r="M2025" s="2" t="s">
        <v>17291</v>
      </c>
      <c r="N2025" s="3" t="s">
        <v>2535</v>
      </c>
      <c r="P2025" s="3" t="s">
        <v>90</v>
      </c>
      <c r="Q2025" s="2" t="s">
        <v>17292</v>
      </c>
      <c r="R2025" s="3" t="s">
        <v>67</v>
      </c>
      <c r="S2025" s="4">
        <v>6</v>
      </c>
      <c r="T2025" s="4">
        <v>6</v>
      </c>
      <c r="U2025" s="5" t="s">
        <v>11152</v>
      </c>
      <c r="V2025" s="5" t="s">
        <v>11152</v>
      </c>
      <c r="W2025" s="5" t="s">
        <v>69</v>
      </c>
      <c r="X2025" s="5" t="s">
        <v>69</v>
      </c>
      <c r="Y2025" s="4">
        <v>17</v>
      </c>
      <c r="Z2025" s="4">
        <v>2</v>
      </c>
      <c r="AA2025" s="4">
        <v>4</v>
      </c>
      <c r="AB2025" s="4">
        <v>1</v>
      </c>
      <c r="AC2025" s="4">
        <v>1</v>
      </c>
      <c r="AD2025" s="4">
        <v>9</v>
      </c>
      <c r="AE2025" s="4">
        <v>19</v>
      </c>
      <c r="AF2025" s="4">
        <v>0</v>
      </c>
      <c r="AG2025" s="4">
        <v>0</v>
      </c>
      <c r="AH2025" s="4">
        <v>9</v>
      </c>
      <c r="AI2025" s="4">
        <v>19</v>
      </c>
      <c r="AJ2025" s="4">
        <v>1</v>
      </c>
      <c r="AK2025" s="4">
        <v>3</v>
      </c>
      <c r="AL2025" s="4">
        <v>5</v>
      </c>
      <c r="AM2025" s="4">
        <v>11</v>
      </c>
      <c r="AN2025" s="4">
        <v>0</v>
      </c>
      <c r="AO2025" s="4">
        <v>0</v>
      </c>
      <c r="AP2025" s="4">
        <v>1</v>
      </c>
      <c r="AQ2025" s="4">
        <v>3</v>
      </c>
      <c r="AR2025" s="3" t="s">
        <v>63</v>
      </c>
      <c r="AS2025" s="3" t="s">
        <v>63</v>
      </c>
      <c r="AT2025" s="3" t="s">
        <v>63</v>
      </c>
      <c r="AV2025" s="6" t="str">
        <f>HYPERLINK("http://mcgill.on.worldcat.org/oclc/11154002","Catalog Record")</f>
        <v>Catalog Record</v>
      </c>
      <c r="AW2025" s="6" t="str">
        <f>HYPERLINK("http://www.worldcat.org/oclc/11154002","WorldCat Record")</f>
        <v>WorldCat Record</v>
      </c>
      <c r="AX2025" s="3" t="s">
        <v>17293</v>
      </c>
      <c r="AY2025" s="3" t="s">
        <v>17294</v>
      </c>
      <c r="AZ2025" s="3" t="s">
        <v>17295</v>
      </c>
      <c r="BA2025" s="3" t="s">
        <v>17295</v>
      </c>
      <c r="BB2025" s="3" t="s">
        <v>17296</v>
      </c>
      <c r="BC2025" s="3" t="s">
        <v>82</v>
      </c>
      <c r="BD2025" s="3" t="s">
        <v>70</v>
      </c>
      <c r="BF2025" s="3" t="s">
        <v>17296</v>
      </c>
      <c r="BG2025" s="3" t="s">
        <v>17297</v>
      </c>
    </row>
    <row r="2026" spans="1:59" ht="60" x14ac:dyDescent="0.25">
      <c r="A2026" s="2" t="s">
        <v>59</v>
      </c>
      <c r="B2026" s="2" t="s">
        <v>60</v>
      </c>
      <c r="C2026" s="2" t="s">
        <v>17298</v>
      </c>
      <c r="D2026" s="2" t="s">
        <v>17299</v>
      </c>
      <c r="E2026" s="2" t="s">
        <v>17300</v>
      </c>
      <c r="G2026" s="3" t="s">
        <v>63</v>
      </c>
      <c r="I2026" s="3" t="s">
        <v>63</v>
      </c>
      <c r="J2026" s="3" t="s">
        <v>63</v>
      </c>
      <c r="K2026" s="3" t="s">
        <v>64</v>
      </c>
      <c r="M2026" s="2" t="s">
        <v>17301</v>
      </c>
      <c r="N2026" s="3" t="s">
        <v>693</v>
      </c>
      <c r="P2026" s="3" t="s">
        <v>548</v>
      </c>
      <c r="Q2026" s="2" t="s">
        <v>17302</v>
      </c>
      <c r="R2026" s="3" t="s">
        <v>67</v>
      </c>
      <c r="S2026" s="4">
        <v>2</v>
      </c>
      <c r="T2026" s="4">
        <v>2</v>
      </c>
      <c r="U2026" s="5" t="s">
        <v>4818</v>
      </c>
      <c r="V2026" s="5" t="s">
        <v>4818</v>
      </c>
      <c r="W2026" s="5" t="s">
        <v>69</v>
      </c>
      <c r="X2026" s="5" t="s">
        <v>69</v>
      </c>
      <c r="Y2026" s="4">
        <v>33</v>
      </c>
      <c r="Z2026" s="4">
        <v>3</v>
      </c>
      <c r="AA2026" s="4">
        <v>3</v>
      </c>
      <c r="AB2026" s="4">
        <v>1</v>
      </c>
      <c r="AC2026" s="4">
        <v>1</v>
      </c>
      <c r="AD2026" s="4">
        <v>23</v>
      </c>
      <c r="AE2026" s="4">
        <v>23</v>
      </c>
      <c r="AF2026" s="4">
        <v>0</v>
      </c>
      <c r="AG2026" s="4">
        <v>0</v>
      </c>
      <c r="AH2026" s="4">
        <v>22</v>
      </c>
      <c r="AI2026" s="4">
        <v>22</v>
      </c>
      <c r="AJ2026" s="4">
        <v>1</v>
      </c>
      <c r="AK2026" s="4">
        <v>1</v>
      </c>
      <c r="AL2026" s="4">
        <v>19</v>
      </c>
      <c r="AM2026" s="4">
        <v>19</v>
      </c>
      <c r="AN2026" s="4">
        <v>0</v>
      </c>
      <c r="AO2026" s="4">
        <v>0</v>
      </c>
      <c r="AP2026" s="4">
        <v>1</v>
      </c>
      <c r="AQ2026" s="4">
        <v>1</v>
      </c>
      <c r="AR2026" s="3" t="s">
        <v>63</v>
      </c>
      <c r="AS2026" s="3" t="s">
        <v>63</v>
      </c>
      <c r="AT2026" s="3" t="s">
        <v>62</v>
      </c>
      <c r="AU2026" s="6" t="str">
        <f>HYPERLINK("http://catalog.hathitrust.org/Record/005072421","HathiTrust Record")</f>
        <v>HathiTrust Record</v>
      </c>
      <c r="AV2026" s="6" t="str">
        <f>HYPERLINK("http://mcgill.on.worldcat.org/oclc/56920233","Catalog Record")</f>
        <v>Catalog Record</v>
      </c>
      <c r="AW2026" s="6" t="str">
        <f>HYPERLINK("http://www.worldcat.org/oclc/56920233","WorldCat Record")</f>
        <v>WorldCat Record</v>
      </c>
      <c r="AX2026" s="3" t="s">
        <v>17303</v>
      </c>
      <c r="AY2026" s="3" t="s">
        <v>17304</v>
      </c>
      <c r="AZ2026" s="3" t="s">
        <v>17305</v>
      </c>
      <c r="BA2026" s="3" t="s">
        <v>17305</v>
      </c>
      <c r="BB2026" s="3" t="s">
        <v>17306</v>
      </c>
      <c r="BC2026" s="3" t="s">
        <v>82</v>
      </c>
      <c r="BD2026" s="3" t="s">
        <v>70</v>
      </c>
      <c r="BE2026" s="3" t="s">
        <v>17307</v>
      </c>
      <c r="BF2026" s="3" t="s">
        <v>17306</v>
      </c>
      <c r="BG2026" s="3" t="s">
        <v>17308</v>
      </c>
    </row>
    <row r="2027" spans="1:59" ht="60" x14ac:dyDescent="0.25">
      <c r="A2027" s="2" t="s">
        <v>59</v>
      </c>
      <c r="B2027" s="2" t="s">
        <v>60</v>
      </c>
      <c r="C2027" s="2" t="s">
        <v>17309</v>
      </c>
      <c r="D2027" s="2" t="s">
        <v>17310</v>
      </c>
      <c r="E2027" s="2" t="s">
        <v>17311</v>
      </c>
      <c r="G2027" s="3" t="s">
        <v>63</v>
      </c>
      <c r="I2027" s="3" t="s">
        <v>63</v>
      </c>
      <c r="J2027" s="3" t="s">
        <v>63</v>
      </c>
      <c r="K2027" s="3" t="s">
        <v>64</v>
      </c>
      <c r="L2027" s="2" t="s">
        <v>17312</v>
      </c>
      <c r="M2027" s="2" t="s">
        <v>17313</v>
      </c>
      <c r="N2027" s="3" t="s">
        <v>204</v>
      </c>
      <c r="P2027" s="3" t="s">
        <v>66</v>
      </c>
      <c r="R2027" s="3" t="s">
        <v>67</v>
      </c>
      <c r="S2027" s="4">
        <v>12</v>
      </c>
      <c r="T2027" s="4">
        <v>12</v>
      </c>
      <c r="U2027" s="5" t="s">
        <v>11152</v>
      </c>
      <c r="V2027" s="5" t="s">
        <v>11152</v>
      </c>
      <c r="W2027" s="5" t="s">
        <v>69</v>
      </c>
      <c r="X2027" s="5" t="s">
        <v>69</v>
      </c>
      <c r="Y2027" s="4">
        <v>467</v>
      </c>
      <c r="Z2027" s="4">
        <v>25</v>
      </c>
      <c r="AA2027" s="4">
        <v>27</v>
      </c>
      <c r="AB2027" s="4">
        <v>2</v>
      </c>
      <c r="AC2027" s="4">
        <v>4</v>
      </c>
      <c r="AD2027" s="4">
        <v>117</v>
      </c>
      <c r="AE2027" s="4">
        <v>118</v>
      </c>
      <c r="AF2027" s="4">
        <v>1</v>
      </c>
      <c r="AG2027" s="4">
        <v>2</v>
      </c>
      <c r="AH2027" s="4">
        <v>105</v>
      </c>
      <c r="AI2027" s="4">
        <v>106</v>
      </c>
      <c r="AJ2027" s="4">
        <v>16</v>
      </c>
      <c r="AK2027" s="4">
        <v>17</v>
      </c>
      <c r="AL2027" s="4">
        <v>58</v>
      </c>
      <c r="AM2027" s="4">
        <v>58</v>
      </c>
      <c r="AN2027" s="4">
        <v>0</v>
      </c>
      <c r="AO2027" s="4">
        <v>0</v>
      </c>
      <c r="AP2027" s="4">
        <v>17</v>
      </c>
      <c r="AQ2027" s="4">
        <v>18</v>
      </c>
      <c r="AR2027" s="3" t="s">
        <v>63</v>
      </c>
      <c r="AS2027" s="3" t="s">
        <v>63</v>
      </c>
      <c r="AT2027" s="3" t="s">
        <v>63</v>
      </c>
      <c r="AV2027" s="6" t="str">
        <f>HYPERLINK("http://mcgill.on.worldcat.org/oclc/34932783","Catalog Record")</f>
        <v>Catalog Record</v>
      </c>
      <c r="AW2027" s="6" t="str">
        <f>HYPERLINK("http://www.worldcat.org/oclc/34932783","WorldCat Record")</f>
        <v>WorldCat Record</v>
      </c>
      <c r="AX2027" s="3" t="s">
        <v>17314</v>
      </c>
      <c r="AY2027" s="3" t="s">
        <v>17315</v>
      </c>
      <c r="AZ2027" s="3" t="s">
        <v>17316</v>
      </c>
      <c r="BA2027" s="3" t="s">
        <v>17316</v>
      </c>
      <c r="BB2027" s="3" t="s">
        <v>17317</v>
      </c>
      <c r="BC2027" s="3" t="s">
        <v>82</v>
      </c>
      <c r="BD2027" s="3" t="s">
        <v>70</v>
      </c>
      <c r="BE2027" s="3" t="s">
        <v>17318</v>
      </c>
      <c r="BF2027" s="3" t="s">
        <v>17317</v>
      </c>
      <c r="BG2027" s="3" t="s">
        <v>17319</v>
      </c>
    </row>
    <row r="2028" spans="1:59" ht="60" x14ac:dyDescent="0.25">
      <c r="A2028" s="2" t="s">
        <v>59</v>
      </c>
      <c r="B2028" s="2" t="s">
        <v>60</v>
      </c>
      <c r="C2028" s="2" t="s">
        <v>17320</v>
      </c>
      <c r="D2028" s="2" t="s">
        <v>17321</v>
      </c>
      <c r="E2028" s="2" t="s">
        <v>17322</v>
      </c>
      <c r="G2028" s="3" t="s">
        <v>63</v>
      </c>
      <c r="I2028" s="3" t="s">
        <v>63</v>
      </c>
      <c r="J2028" s="3" t="s">
        <v>62</v>
      </c>
      <c r="K2028" s="3" t="s">
        <v>64</v>
      </c>
      <c r="L2028" s="2" t="s">
        <v>17323</v>
      </c>
      <c r="M2028" s="2" t="s">
        <v>17324</v>
      </c>
      <c r="N2028" s="3" t="s">
        <v>826</v>
      </c>
      <c r="P2028" s="3" t="s">
        <v>66</v>
      </c>
      <c r="R2028" s="3" t="s">
        <v>67</v>
      </c>
      <c r="S2028" s="4">
        <v>7</v>
      </c>
      <c r="T2028" s="4">
        <v>7</v>
      </c>
      <c r="U2028" s="5" t="s">
        <v>12947</v>
      </c>
      <c r="V2028" s="5" t="s">
        <v>12947</v>
      </c>
      <c r="W2028" s="5" t="s">
        <v>69</v>
      </c>
      <c r="X2028" s="5" t="s">
        <v>69</v>
      </c>
      <c r="Y2028" s="4">
        <v>164</v>
      </c>
      <c r="Z2028" s="4">
        <v>20</v>
      </c>
      <c r="AA2028" s="4">
        <v>29</v>
      </c>
      <c r="AB2028" s="4">
        <v>3</v>
      </c>
      <c r="AC2028" s="4">
        <v>4</v>
      </c>
      <c r="AD2028" s="4">
        <v>44</v>
      </c>
      <c r="AE2028" s="4">
        <v>102</v>
      </c>
      <c r="AF2028" s="4">
        <v>1</v>
      </c>
      <c r="AG2028" s="4">
        <v>2</v>
      </c>
      <c r="AH2028" s="4">
        <v>36</v>
      </c>
      <c r="AI2028" s="4">
        <v>86</v>
      </c>
      <c r="AJ2028" s="4">
        <v>11</v>
      </c>
      <c r="AK2028" s="4">
        <v>18</v>
      </c>
      <c r="AL2028" s="4">
        <v>18</v>
      </c>
      <c r="AM2028" s="4">
        <v>49</v>
      </c>
      <c r="AN2028" s="4">
        <v>0</v>
      </c>
      <c r="AO2028" s="4">
        <v>0</v>
      </c>
      <c r="AP2028" s="4">
        <v>15</v>
      </c>
      <c r="AQ2028" s="4">
        <v>23</v>
      </c>
      <c r="AR2028" s="3" t="s">
        <v>63</v>
      </c>
      <c r="AS2028" s="3" t="s">
        <v>63</v>
      </c>
      <c r="AT2028" s="3" t="s">
        <v>63</v>
      </c>
      <c r="AV2028" s="6" t="str">
        <f>HYPERLINK("http://mcgill.on.worldcat.org/oclc/227594","Catalog Record")</f>
        <v>Catalog Record</v>
      </c>
      <c r="AW2028" s="6" t="str">
        <f>HYPERLINK("http://www.worldcat.org/oclc/227594","WorldCat Record")</f>
        <v>WorldCat Record</v>
      </c>
      <c r="AX2028" s="3" t="s">
        <v>17325</v>
      </c>
      <c r="AY2028" s="3" t="s">
        <v>17326</v>
      </c>
      <c r="AZ2028" s="3" t="s">
        <v>17327</v>
      </c>
      <c r="BA2028" s="3" t="s">
        <v>17327</v>
      </c>
      <c r="BB2028" s="3" t="s">
        <v>17328</v>
      </c>
      <c r="BC2028" s="3" t="s">
        <v>82</v>
      </c>
      <c r="BD2028" s="3" t="s">
        <v>70</v>
      </c>
      <c r="BE2028" s="3" t="s">
        <v>17329</v>
      </c>
      <c r="BF2028" s="3" t="s">
        <v>17328</v>
      </c>
      <c r="BG2028" s="3" t="s">
        <v>17330</v>
      </c>
    </row>
    <row r="2029" spans="1:59" ht="60" x14ac:dyDescent="0.25">
      <c r="A2029" s="2" t="s">
        <v>59</v>
      </c>
      <c r="B2029" s="2" t="s">
        <v>60</v>
      </c>
      <c r="C2029" s="2" t="s">
        <v>17331</v>
      </c>
      <c r="D2029" s="2" t="s">
        <v>17332</v>
      </c>
      <c r="E2029" s="2" t="s">
        <v>17333</v>
      </c>
      <c r="G2029" s="3" t="s">
        <v>63</v>
      </c>
      <c r="I2029" s="3" t="s">
        <v>63</v>
      </c>
      <c r="J2029" s="3" t="s">
        <v>63</v>
      </c>
      <c r="K2029" s="3" t="s">
        <v>64</v>
      </c>
      <c r="L2029" s="2" t="s">
        <v>17334</v>
      </c>
      <c r="M2029" s="2" t="s">
        <v>17335</v>
      </c>
      <c r="N2029" s="3" t="s">
        <v>1113</v>
      </c>
      <c r="P2029" s="3" t="s">
        <v>66</v>
      </c>
      <c r="R2029" s="3" t="s">
        <v>67</v>
      </c>
      <c r="S2029" s="4">
        <v>29</v>
      </c>
      <c r="T2029" s="4">
        <v>29</v>
      </c>
      <c r="U2029" s="5" t="s">
        <v>17281</v>
      </c>
      <c r="V2029" s="5" t="s">
        <v>17281</v>
      </c>
      <c r="W2029" s="5" t="s">
        <v>69</v>
      </c>
      <c r="X2029" s="5" t="s">
        <v>69</v>
      </c>
      <c r="Y2029" s="4">
        <v>277</v>
      </c>
      <c r="Z2029" s="4">
        <v>21</v>
      </c>
      <c r="AA2029" s="4">
        <v>22</v>
      </c>
      <c r="AB2029" s="4">
        <v>1</v>
      </c>
      <c r="AC2029" s="4">
        <v>2</v>
      </c>
      <c r="AD2029" s="4">
        <v>107</v>
      </c>
      <c r="AE2029" s="4">
        <v>108</v>
      </c>
      <c r="AF2029" s="4">
        <v>0</v>
      </c>
      <c r="AG2029" s="4">
        <v>1</v>
      </c>
      <c r="AH2029" s="4">
        <v>101</v>
      </c>
      <c r="AI2029" s="4">
        <v>102</v>
      </c>
      <c r="AJ2029" s="4">
        <v>14</v>
      </c>
      <c r="AK2029" s="4">
        <v>15</v>
      </c>
      <c r="AL2029" s="4">
        <v>54</v>
      </c>
      <c r="AM2029" s="4">
        <v>54</v>
      </c>
      <c r="AN2029" s="4">
        <v>0</v>
      </c>
      <c r="AO2029" s="4">
        <v>0</v>
      </c>
      <c r="AP2029" s="4">
        <v>15</v>
      </c>
      <c r="AQ2029" s="4">
        <v>16</v>
      </c>
      <c r="AR2029" s="3" t="s">
        <v>63</v>
      </c>
      <c r="AS2029" s="3" t="s">
        <v>63</v>
      </c>
      <c r="AT2029" s="3" t="s">
        <v>62</v>
      </c>
      <c r="AU2029" s="6" t="str">
        <f>HYPERLINK("http://catalog.hathitrust.org/Record/003177969","HathiTrust Record")</f>
        <v>HathiTrust Record</v>
      </c>
      <c r="AV2029" s="6" t="str">
        <f>HYPERLINK("http://mcgill.on.worldcat.org/oclc/35574570","Catalog Record")</f>
        <v>Catalog Record</v>
      </c>
      <c r="AW2029" s="6" t="str">
        <f>HYPERLINK("http://www.worldcat.org/oclc/35574570","WorldCat Record")</f>
        <v>WorldCat Record</v>
      </c>
      <c r="AX2029" s="3" t="s">
        <v>17336</v>
      </c>
      <c r="AY2029" s="3" t="s">
        <v>17337</v>
      </c>
      <c r="AZ2029" s="3" t="s">
        <v>17338</v>
      </c>
      <c r="BA2029" s="3" t="s">
        <v>17338</v>
      </c>
      <c r="BB2029" s="3" t="s">
        <v>17339</v>
      </c>
      <c r="BC2029" s="3" t="s">
        <v>82</v>
      </c>
      <c r="BD2029" s="3" t="s">
        <v>70</v>
      </c>
      <c r="BE2029" s="3" t="s">
        <v>17340</v>
      </c>
      <c r="BF2029" s="3" t="s">
        <v>17339</v>
      </c>
      <c r="BG2029" s="3" t="s">
        <v>17341</v>
      </c>
    </row>
    <row r="2030" spans="1:59" ht="75" x14ac:dyDescent="0.25">
      <c r="A2030" s="2" t="s">
        <v>59</v>
      </c>
      <c r="B2030" s="2" t="s">
        <v>60</v>
      </c>
      <c r="C2030" s="2" t="s">
        <v>17342</v>
      </c>
      <c r="D2030" s="2" t="s">
        <v>17343</v>
      </c>
      <c r="E2030" s="2" t="s">
        <v>17344</v>
      </c>
      <c r="G2030" s="3" t="s">
        <v>63</v>
      </c>
      <c r="I2030" s="3" t="s">
        <v>63</v>
      </c>
      <c r="J2030" s="3" t="s">
        <v>63</v>
      </c>
      <c r="K2030" s="3" t="s">
        <v>64</v>
      </c>
      <c r="L2030" s="2" t="s">
        <v>17345</v>
      </c>
      <c r="M2030" s="2" t="s">
        <v>17346</v>
      </c>
      <c r="N2030" s="3" t="s">
        <v>143</v>
      </c>
      <c r="O2030" s="2" t="s">
        <v>17347</v>
      </c>
      <c r="P2030" s="3" t="s">
        <v>66</v>
      </c>
      <c r="R2030" s="3" t="s">
        <v>67</v>
      </c>
      <c r="S2030" s="4">
        <v>3</v>
      </c>
      <c r="T2030" s="4">
        <v>3</v>
      </c>
      <c r="U2030" s="5" t="s">
        <v>1011</v>
      </c>
      <c r="V2030" s="5" t="s">
        <v>1011</v>
      </c>
      <c r="W2030" s="5" t="s">
        <v>69</v>
      </c>
      <c r="X2030" s="5" t="s">
        <v>69</v>
      </c>
      <c r="Y2030" s="4">
        <v>487</v>
      </c>
      <c r="Z2030" s="4">
        <v>21</v>
      </c>
      <c r="AA2030" s="4">
        <v>24</v>
      </c>
      <c r="AB2030" s="4">
        <v>2</v>
      </c>
      <c r="AC2030" s="4">
        <v>5</v>
      </c>
      <c r="AD2030" s="4">
        <v>66</v>
      </c>
      <c r="AE2030" s="4">
        <v>68</v>
      </c>
      <c r="AF2030" s="4">
        <v>0</v>
      </c>
      <c r="AG2030" s="4">
        <v>0</v>
      </c>
      <c r="AH2030" s="4">
        <v>63</v>
      </c>
      <c r="AI2030" s="4">
        <v>65</v>
      </c>
      <c r="AJ2030" s="4">
        <v>9</v>
      </c>
      <c r="AK2030" s="4">
        <v>9</v>
      </c>
      <c r="AL2030" s="4">
        <v>36</v>
      </c>
      <c r="AM2030" s="4">
        <v>38</v>
      </c>
      <c r="AN2030" s="4">
        <v>0</v>
      </c>
      <c r="AO2030" s="4">
        <v>0</v>
      </c>
      <c r="AP2030" s="4">
        <v>9</v>
      </c>
      <c r="AQ2030" s="4">
        <v>9</v>
      </c>
      <c r="AR2030" s="3" t="s">
        <v>63</v>
      </c>
      <c r="AS2030" s="3" t="s">
        <v>63</v>
      </c>
      <c r="AT2030" s="3" t="s">
        <v>63</v>
      </c>
      <c r="AV2030" s="6" t="str">
        <f>HYPERLINK("http://mcgill.on.worldcat.org/oclc/852226564","Catalog Record")</f>
        <v>Catalog Record</v>
      </c>
      <c r="AW2030" s="6" t="str">
        <f>HYPERLINK("http://www.worldcat.org/oclc/852226564","WorldCat Record")</f>
        <v>WorldCat Record</v>
      </c>
      <c r="AX2030" s="3" t="s">
        <v>17348</v>
      </c>
      <c r="AY2030" s="3" t="s">
        <v>17349</v>
      </c>
      <c r="AZ2030" s="3" t="s">
        <v>17350</v>
      </c>
      <c r="BA2030" s="3" t="s">
        <v>17350</v>
      </c>
      <c r="BB2030" s="3" t="s">
        <v>17351</v>
      </c>
      <c r="BC2030" s="3" t="s">
        <v>82</v>
      </c>
      <c r="BD2030" s="3" t="s">
        <v>70</v>
      </c>
      <c r="BE2030" s="3" t="s">
        <v>17352</v>
      </c>
      <c r="BF2030" s="3" t="s">
        <v>17351</v>
      </c>
      <c r="BG2030" s="3" t="s">
        <v>17353</v>
      </c>
    </row>
    <row r="2031" spans="1:59" ht="60" x14ac:dyDescent="0.25">
      <c r="A2031" s="2" t="s">
        <v>59</v>
      </c>
      <c r="B2031" s="2" t="s">
        <v>60</v>
      </c>
      <c r="C2031" s="2" t="s">
        <v>17354</v>
      </c>
      <c r="D2031" s="2" t="s">
        <v>17355</v>
      </c>
      <c r="E2031" s="2" t="s">
        <v>17356</v>
      </c>
      <c r="G2031" s="3" t="s">
        <v>63</v>
      </c>
      <c r="I2031" s="3" t="s">
        <v>63</v>
      </c>
      <c r="J2031" s="3" t="s">
        <v>63</v>
      </c>
      <c r="K2031" s="3" t="s">
        <v>64</v>
      </c>
      <c r="M2031" s="2" t="s">
        <v>17357</v>
      </c>
      <c r="N2031" s="3" t="s">
        <v>427</v>
      </c>
      <c r="P2031" s="3" t="s">
        <v>66</v>
      </c>
      <c r="Q2031" s="2" t="s">
        <v>10972</v>
      </c>
      <c r="R2031" s="3" t="s">
        <v>67</v>
      </c>
      <c r="S2031" s="4">
        <v>18</v>
      </c>
      <c r="T2031" s="4">
        <v>18</v>
      </c>
      <c r="U2031" s="5" t="s">
        <v>17281</v>
      </c>
      <c r="V2031" s="5" t="s">
        <v>17281</v>
      </c>
      <c r="W2031" s="5" t="s">
        <v>69</v>
      </c>
      <c r="X2031" s="5" t="s">
        <v>69</v>
      </c>
      <c r="Y2031" s="4">
        <v>588</v>
      </c>
      <c r="Z2031" s="4">
        <v>25</v>
      </c>
      <c r="AA2031" s="4">
        <v>27</v>
      </c>
      <c r="AB2031" s="4">
        <v>2</v>
      </c>
      <c r="AC2031" s="4">
        <v>3</v>
      </c>
      <c r="AD2031" s="4">
        <v>81</v>
      </c>
      <c r="AE2031" s="4">
        <v>81</v>
      </c>
      <c r="AF2031" s="4">
        <v>0</v>
      </c>
      <c r="AG2031" s="4">
        <v>0</v>
      </c>
      <c r="AH2031" s="4">
        <v>73</v>
      </c>
      <c r="AI2031" s="4">
        <v>73</v>
      </c>
      <c r="AJ2031" s="4">
        <v>13</v>
      </c>
      <c r="AK2031" s="4">
        <v>13</v>
      </c>
      <c r="AL2031" s="4">
        <v>46</v>
      </c>
      <c r="AM2031" s="4">
        <v>46</v>
      </c>
      <c r="AN2031" s="4">
        <v>0</v>
      </c>
      <c r="AO2031" s="4">
        <v>0</v>
      </c>
      <c r="AP2031" s="4">
        <v>14</v>
      </c>
      <c r="AQ2031" s="4">
        <v>14</v>
      </c>
      <c r="AR2031" s="3" t="s">
        <v>63</v>
      </c>
      <c r="AS2031" s="3" t="s">
        <v>63</v>
      </c>
      <c r="AT2031" s="3" t="s">
        <v>62</v>
      </c>
      <c r="AU2031" s="6" t="str">
        <f>HYPERLINK("http://catalog.hathitrust.org/Record/000930035","HathiTrust Record")</f>
        <v>HathiTrust Record</v>
      </c>
      <c r="AV2031" s="6" t="str">
        <f>HYPERLINK("http://mcgill.on.worldcat.org/oclc/15792051","Catalog Record")</f>
        <v>Catalog Record</v>
      </c>
      <c r="AW2031" s="6" t="str">
        <f>HYPERLINK("http://www.worldcat.org/oclc/15792051","WorldCat Record")</f>
        <v>WorldCat Record</v>
      </c>
      <c r="AX2031" s="3" t="s">
        <v>17358</v>
      </c>
      <c r="AY2031" s="3" t="s">
        <v>17359</v>
      </c>
      <c r="AZ2031" s="3" t="s">
        <v>17360</v>
      </c>
      <c r="BA2031" s="3" t="s">
        <v>17360</v>
      </c>
      <c r="BB2031" s="3" t="s">
        <v>17361</v>
      </c>
      <c r="BC2031" s="3" t="s">
        <v>82</v>
      </c>
      <c r="BD2031" s="3" t="s">
        <v>70</v>
      </c>
      <c r="BE2031" s="3" t="s">
        <v>17362</v>
      </c>
      <c r="BF2031" s="3" t="s">
        <v>17361</v>
      </c>
      <c r="BG2031" s="3" t="s">
        <v>17363</v>
      </c>
    </row>
    <row r="2032" spans="1:59" ht="60" x14ac:dyDescent="0.25">
      <c r="A2032" s="2" t="s">
        <v>59</v>
      </c>
      <c r="B2032" s="2" t="s">
        <v>60</v>
      </c>
      <c r="C2032" s="2" t="s">
        <v>17364</v>
      </c>
      <c r="D2032" s="2" t="s">
        <v>17365</v>
      </c>
      <c r="E2032" s="2" t="s">
        <v>17366</v>
      </c>
      <c r="G2032" s="3" t="s">
        <v>63</v>
      </c>
      <c r="I2032" s="3" t="s">
        <v>63</v>
      </c>
      <c r="J2032" s="3" t="s">
        <v>63</v>
      </c>
      <c r="K2032" s="3" t="s">
        <v>64</v>
      </c>
      <c r="L2032" s="2" t="s">
        <v>17367</v>
      </c>
      <c r="M2032" s="2" t="s">
        <v>17368</v>
      </c>
      <c r="N2032" s="3" t="s">
        <v>693</v>
      </c>
      <c r="P2032" s="3" t="s">
        <v>66</v>
      </c>
      <c r="Q2032" s="2" t="s">
        <v>17369</v>
      </c>
      <c r="R2032" s="3" t="s">
        <v>67</v>
      </c>
      <c r="S2032" s="4">
        <v>9</v>
      </c>
      <c r="T2032" s="4">
        <v>9</v>
      </c>
      <c r="U2032" s="5" t="s">
        <v>11152</v>
      </c>
      <c r="V2032" s="5" t="s">
        <v>11152</v>
      </c>
      <c r="W2032" s="5" t="s">
        <v>69</v>
      </c>
      <c r="X2032" s="5" t="s">
        <v>69</v>
      </c>
      <c r="Y2032" s="4">
        <v>105</v>
      </c>
      <c r="Z2032" s="4">
        <v>6</v>
      </c>
      <c r="AA2032" s="4">
        <v>90</v>
      </c>
      <c r="AB2032" s="4">
        <v>1</v>
      </c>
      <c r="AC2032" s="4">
        <v>17</v>
      </c>
      <c r="AD2032" s="4">
        <v>54</v>
      </c>
      <c r="AE2032" s="4">
        <v>109</v>
      </c>
      <c r="AF2032" s="4">
        <v>0</v>
      </c>
      <c r="AG2032" s="4">
        <v>8</v>
      </c>
      <c r="AH2032" s="4">
        <v>52</v>
      </c>
      <c r="AI2032" s="4">
        <v>77</v>
      </c>
      <c r="AJ2032" s="4">
        <v>4</v>
      </c>
      <c r="AK2032" s="4">
        <v>18</v>
      </c>
      <c r="AL2032" s="4">
        <v>41</v>
      </c>
      <c r="AM2032" s="4">
        <v>46</v>
      </c>
      <c r="AN2032" s="4">
        <v>0</v>
      </c>
      <c r="AO2032" s="4">
        <v>0</v>
      </c>
      <c r="AP2032" s="4">
        <v>4</v>
      </c>
      <c r="AQ2032" s="4">
        <v>39</v>
      </c>
      <c r="AR2032" s="3" t="s">
        <v>63</v>
      </c>
      <c r="AS2032" s="3" t="s">
        <v>63</v>
      </c>
      <c r="AT2032" s="3" t="s">
        <v>63</v>
      </c>
      <c r="AV2032" s="6" t="str">
        <f>HYPERLINK("http://mcgill.on.worldcat.org/oclc/56425844","Catalog Record")</f>
        <v>Catalog Record</v>
      </c>
      <c r="AW2032" s="6" t="str">
        <f>HYPERLINK("http://www.worldcat.org/oclc/56425844","WorldCat Record")</f>
        <v>WorldCat Record</v>
      </c>
      <c r="AX2032" s="3" t="s">
        <v>17370</v>
      </c>
      <c r="AY2032" s="3" t="s">
        <v>17371</v>
      </c>
      <c r="AZ2032" s="3" t="s">
        <v>17372</v>
      </c>
      <c r="BA2032" s="3" t="s">
        <v>17372</v>
      </c>
      <c r="BB2032" s="3" t="s">
        <v>17373</v>
      </c>
      <c r="BC2032" s="3" t="s">
        <v>82</v>
      </c>
      <c r="BD2032" s="3" t="s">
        <v>70</v>
      </c>
      <c r="BE2032" s="3" t="s">
        <v>17374</v>
      </c>
      <c r="BF2032" s="3" t="s">
        <v>17373</v>
      </c>
      <c r="BG2032" s="3" t="s">
        <v>17375</v>
      </c>
    </row>
    <row r="2033" spans="1:59" ht="105" x14ac:dyDescent="0.25">
      <c r="A2033" s="2" t="s">
        <v>59</v>
      </c>
      <c r="B2033" s="2" t="s">
        <v>1018</v>
      </c>
      <c r="C2033" s="2" t="s">
        <v>17376</v>
      </c>
      <c r="D2033" s="2" t="s">
        <v>17377</v>
      </c>
      <c r="E2033" s="2" t="s">
        <v>17378</v>
      </c>
      <c r="G2033" s="3" t="s">
        <v>63</v>
      </c>
      <c r="I2033" s="3" t="s">
        <v>63</v>
      </c>
      <c r="J2033" s="3" t="s">
        <v>63</v>
      </c>
      <c r="K2033" s="3" t="s">
        <v>64</v>
      </c>
      <c r="L2033" s="2" t="s">
        <v>4190</v>
      </c>
      <c r="M2033" s="2" t="s">
        <v>17379</v>
      </c>
      <c r="N2033" s="3" t="s">
        <v>1418</v>
      </c>
      <c r="P2033" s="3" t="s">
        <v>66</v>
      </c>
      <c r="R2033" s="3" t="s">
        <v>67</v>
      </c>
      <c r="S2033" s="4">
        <v>27</v>
      </c>
      <c r="T2033" s="4">
        <v>27</v>
      </c>
      <c r="U2033" s="5" t="s">
        <v>732</v>
      </c>
      <c r="V2033" s="5" t="s">
        <v>732</v>
      </c>
      <c r="W2033" s="5" t="s">
        <v>69</v>
      </c>
      <c r="X2033" s="5" t="s">
        <v>69</v>
      </c>
      <c r="Y2033" s="4">
        <v>440</v>
      </c>
      <c r="Z2033" s="4">
        <v>26</v>
      </c>
      <c r="AA2033" s="4">
        <v>26</v>
      </c>
      <c r="AB2033" s="4">
        <v>1</v>
      </c>
      <c r="AC2033" s="4">
        <v>1</v>
      </c>
      <c r="AD2033" s="4">
        <v>121</v>
      </c>
      <c r="AE2033" s="4">
        <v>121</v>
      </c>
      <c r="AF2033" s="4">
        <v>0</v>
      </c>
      <c r="AG2033" s="4">
        <v>0</v>
      </c>
      <c r="AH2033" s="4">
        <v>106</v>
      </c>
      <c r="AI2033" s="4">
        <v>106</v>
      </c>
      <c r="AJ2033" s="4">
        <v>16</v>
      </c>
      <c r="AK2033" s="4">
        <v>16</v>
      </c>
      <c r="AL2033" s="4">
        <v>58</v>
      </c>
      <c r="AM2033" s="4">
        <v>58</v>
      </c>
      <c r="AN2033" s="4">
        <v>0</v>
      </c>
      <c r="AO2033" s="4">
        <v>0</v>
      </c>
      <c r="AP2033" s="4">
        <v>22</v>
      </c>
      <c r="AQ2033" s="4">
        <v>22</v>
      </c>
      <c r="AR2033" s="3" t="s">
        <v>63</v>
      </c>
      <c r="AS2033" s="3" t="s">
        <v>63</v>
      </c>
      <c r="AT2033" s="3" t="s">
        <v>62</v>
      </c>
      <c r="AU2033" s="6" t="str">
        <f>HYPERLINK("http://catalog.hathitrust.org/Record/000881835","HathiTrust Record")</f>
        <v>HathiTrust Record</v>
      </c>
      <c r="AV2033" s="6" t="str">
        <f>HYPERLINK("http://mcgill.on.worldcat.org/oclc/15366196","Catalog Record")</f>
        <v>Catalog Record</v>
      </c>
      <c r="AW2033" s="6" t="str">
        <f>HYPERLINK("http://www.worldcat.org/oclc/15366196","WorldCat Record")</f>
        <v>WorldCat Record</v>
      </c>
      <c r="AX2033" s="3" t="s">
        <v>17380</v>
      </c>
      <c r="AY2033" s="3" t="s">
        <v>17381</v>
      </c>
      <c r="AZ2033" s="3" t="s">
        <v>17382</v>
      </c>
      <c r="BA2033" s="3" t="s">
        <v>17382</v>
      </c>
      <c r="BB2033" s="3" t="s">
        <v>17383</v>
      </c>
      <c r="BC2033" s="3" t="s">
        <v>82</v>
      </c>
      <c r="BD2033" s="3" t="s">
        <v>70</v>
      </c>
      <c r="BE2033" s="3" t="s">
        <v>17384</v>
      </c>
      <c r="BF2033" s="3" t="s">
        <v>17383</v>
      </c>
      <c r="BG2033" s="3" t="s">
        <v>17385</v>
      </c>
    </row>
    <row r="2034" spans="1:59" ht="60" x14ac:dyDescent="0.25">
      <c r="A2034" s="2" t="s">
        <v>59</v>
      </c>
      <c r="B2034" s="2" t="s">
        <v>60</v>
      </c>
      <c r="C2034" s="2" t="s">
        <v>17386</v>
      </c>
      <c r="D2034" s="2" t="s">
        <v>17387</v>
      </c>
      <c r="E2034" s="2" t="s">
        <v>17388</v>
      </c>
      <c r="G2034" s="3" t="s">
        <v>63</v>
      </c>
      <c r="I2034" s="3" t="s">
        <v>63</v>
      </c>
      <c r="J2034" s="3" t="s">
        <v>63</v>
      </c>
      <c r="K2034" s="3" t="s">
        <v>64</v>
      </c>
      <c r="L2034" s="2" t="s">
        <v>17389</v>
      </c>
      <c r="M2034" s="2" t="s">
        <v>17390</v>
      </c>
      <c r="N2034" s="3" t="s">
        <v>814</v>
      </c>
      <c r="P2034" s="3" t="s">
        <v>90</v>
      </c>
      <c r="R2034" s="3" t="s">
        <v>67</v>
      </c>
      <c r="S2034" s="4">
        <v>1</v>
      </c>
      <c r="T2034" s="4">
        <v>1</v>
      </c>
      <c r="U2034" s="5" t="s">
        <v>17391</v>
      </c>
      <c r="V2034" s="5" t="s">
        <v>17391</v>
      </c>
      <c r="W2034" s="5" t="s">
        <v>69</v>
      </c>
      <c r="X2034" s="5" t="s">
        <v>69</v>
      </c>
      <c r="Y2034" s="4">
        <v>74</v>
      </c>
      <c r="Z2034" s="4">
        <v>8</v>
      </c>
      <c r="AA2034" s="4">
        <v>9</v>
      </c>
      <c r="AB2034" s="4">
        <v>1</v>
      </c>
      <c r="AC2034" s="4">
        <v>1</v>
      </c>
      <c r="AD2034" s="4">
        <v>49</v>
      </c>
      <c r="AE2034" s="4">
        <v>50</v>
      </c>
      <c r="AF2034" s="4">
        <v>0</v>
      </c>
      <c r="AG2034" s="4">
        <v>0</v>
      </c>
      <c r="AH2034" s="4">
        <v>46</v>
      </c>
      <c r="AI2034" s="4">
        <v>47</v>
      </c>
      <c r="AJ2034" s="4">
        <v>6</v>
      </c>
      <c r="AK2034" s="4">
        <v>7</v>
      </c>
      <c r="AL2034" s="4">
        <v>32</v>
      </c>
      <c r="AM2034" s="4">
        <v>32</v>
      </c>
      <c r="AN2034" s="4">
        <v>0</v>
      </c>
      <c r="AO2034" s="4">
        <v>0</v>
      </c>
      <c r="AP2034" s="4">
        <v>6</v>
      </c>
      <c r="AQ2034" s="4">
        <v>7</v>
      </c>
      <c r="AR2034" s="3" t="s">
        <v>63</v>
      </c>
      <c r="AS2034" s="3" t="s">
        <v>63</v>
      </c>
      <c r="AT2034" s="3" t="s">
        <v>62</v>
      </c>
      <c r="AU2034" s="6" t="str">
        <f>HYPERLINK("http://catalog.hathitrust.org/Record/000302678","HathiTrust Record")</f>
        <v>HathiTrust Record</v>
      </c>
      <c r="AV2034" s="6" t="str">
        <f>HYPERLINK("http://mcgill.on.worldcat.org/oclc/5055225","Catalog Record")</f>
        <v>Catalog Record</v>
      </c>
      <c r="AW2034" s="6" t="str">
        <f>HYPERLINK("http://www.worldcat.org/oclc/5055225","WorldCat Record")</f>
        <v>WorldCat Record</v>
      </c>
      <c r="AX2034" s="3" t="s">
        <v>17392</v>
      </c>
      <c r="AY2034" s="3" t="s">
        <v>17393</v>
      </c>
      <c r="AZ2034" s="3" t="s">
        <v>17394</v>
      </c>
      <c r="BA2034" s="3" t="s">
        <v>17394</v>
      </c>
      <c r="BB2034" s="3" t="s">
        <v>17395</v>
      </c>
      <c r="BC2034" s="3" t="s">
        <v>82</v>
      </c>
      <c r="BD2034" s="3" t="s">
        <v>70</v>
      </c>
      <c r="BF2034" s="3" t="s">
        <v>17395</v>
      </c>
      <c r="BG2034" s="3" t="s">
        <v>17396</v>
      </c>
    </row>
    <row r="2035" spans="1:59" ht="60" x14ac:dyDescent="0.25">
      <c r="A2035" s="2" t="s">
        <v>59</v>
      </c>
      <c r="B2035" s="2" t="s">
        <v>60</v>
      </c>
      <c r="C2035" s="2" t="s">
        <v>17397</v>
      </c>
      <c r="D2035" s="2" t="s">
        <v>17398</v>
      </c>
      <c r="E2035" s="2" t="s">
        <v>17399</v>
      </c>
      <c r="G2035" s="3" t="s">
        <v>63</v>
      </c>
      <c r="I2035" s="3" t="s">
        <v>63</v>
      </c>
      <c r="J2035" s="3" t="s">
        <v>63</v>
      </c>
      <c r="K2035" s="3" t="s">
        <v>64</v>
      </c>
      <c r="L2035" s="2" t="s">
        <v>17400</v>
      </c>
      <c r="M2035" s="2" t="s">
        <v>17401</v>
      </c>
      <c r="N2035" s="3" t="s">
        <v>374</v>
      </c>
      <c r="P2035" s="3" t="s">
        <v>66</v>
      </c>
      <c r="Q2035" s="2" t="s">
        <v>17402</v>
      </c>
      <c r="R2035" s="3" t="s">
        <v>67</v>
      </c>
      <c r="S2035" s="4">
        <v>13</v>
      </c>
      <c r="T2035" s="4">
        <v>13</v>
      </c>
      <c r="U2035" s="5" t="s">
        <v>12213</v>
      </c>
      <c r="V2035" s="5" t="s">
        <v>12213</v>
      </c>
      <c r="W2035" s="5" t="s">
        <v>69</v>
      </c>
      <c r="X2035" s="5" t="s">
        <v>69</v>
      </c>
      <c r="Y2035" s="4">
        <v>418</v>
      </c>
      <c r="Z2035" s="4">
        <v>18</v>
      </c>
      <c r="AA2035" s="4">
        <v>22</v>
      </c>
      <c r="AB2035" s="4">
        <v>1</v>
      </c>
      <c r="AC2035" s="4">
        <v>2</v>
      </c>
      <c r="AD2035" s="4">
        <v>89</v>
      </c>
      <c r="AE2035" s="4">
        <v>96</v>
      </c>
      <c r="AF2035" s="4">
        <v>0</v>
      </c>
      <c r="AG2035" s="4">
        <v>0</v>
      </c>
      <c r="AH2035" s="4">
        <v>81</v>
      </c>
      <c r="AI2035" s="4">
        <v>87</v>
      </c>
      <c r="AJ2035" s="4">
        <v>12</v>
      </c>
      <c r="AK2035" s="4">
        <v>14</v>
      </c>
      <c r="AL2035" s="4">
        <v>48</v>
      </c>
      <c r="AM2035" s="4">
        <v>49</v>
      </c>
      <c r="AN2035" s="4">
        <v>0</v>
      </c>
      <c r="AO2035" s="4">
        <v>0</v>
      </c>
      <c r="AP2035" s="4">
        <v>13</v>
      </c>
      <c r="AQ2035" s="4">
        <v>16</v>
      </c>
      <c r="AR2035" s="3" t="s">
        <v>63</v>
      </c>
      <c r="AS2035" s="3" t="s">
        <v>63</v>
      </c>
      <c r="AT2035" s="3" t="s">
        <v>62</v>
      </c>
      <c r="AU2035" s="6" t="str">
        <f>HYPERLINK("http://catalog.hathitrust.org/Record/003043140","HathiTrust Record")</f>
        <v>HathiTrust Record</v>
      </c>
      <c r="AV2035" s="6" t="str">
        <f>HYPERLINK("http://mcgill.on.worldcat.org/oclc/32396072","Catalog Record")</f>
        <v>Catalog Record</v>
      </c>
      <c r="AW2035" s="6" t="str">
        <f>HYPERLINK("http://www.worldcat.org/oclc/32396072","WorldCat Record")</f>
        <v>WorldCat Record</v>
      </c>
      <c r="AX2035" s="3" t="s">
        <v>17403</v>
      </c>
      <c r="AY2035" s="3" t="s">
        <v>17404</v>
      </c>
      <c r="AZ2035" s="3" t="s">
        <v>17405</v>
      </c>
      <c r="BA2035" s="3" t="s">
        <v>17405</v>
      </c>
      <c r="BB2035" s="3" t="s">
        <v>17406</v>
      </c>
      <c r="BC2035" s="3" t="s">
        <v>82</v>
      </c>
      <c r="BD2035" s="3" t="s">
        <v>70</v>
      </c>
      <c r="BE2035" s="3" t="s">
        <v>17407</v>
      </c>
      <c r="BF2035" s="3" t="s">
        <v>17406</v>
      </c>
      <c r="BG2035" s="3" t="s">
        <v>17408</v>
      </c>
    </row>
    <row r="2036" spans="1:59" ht="60" x14ac:dyDescent="0.25">
      <c r="A2036" s="2" t="s">
        <v>59</v>
      </c>
      <c r="B2036" s="2" t="s">
        <v>60</v>
      </c>
      <c r="C2036" s="2" t="s">
        <v>17409</v>
      </c>
      <c r="D2036" s="2" t="s">
        <v>17410</v>
      </c>
      <c r="E2036" s="2" t="s">
        <v>17411</v>
      </c>
      <c r="G2036" s="3" t="s">
        <v>63</v>
      </c>
      <c r="I2036" s="3" t="s">
        <v>63</v>
      </c>
      <c r="J2036" s="3" t="s">
        <v>63</v>
      </c>
      <c r="K2036" s="3" t="s">
        <v>64</v>
      </c>
      <c r="M2036" s="2" t="s">
        <v>17412</v>
      </c>
      <c r="N2036" s="3" t="s">
        <v>76</v>
      </c>
      <c r="P2036" s="3" t="s">
        <v>66</v>
      </c>
      <c r="R2036" s="3" t="s">
        <v>67</v>
      </c>
      <c r="S2036" s="4">
        <v>2</v>
      </c>
      <c r="T2036" s="4">
        <v>2</v>
      </c>
      <c r="U2036" s="5" t="s">
        <v>16535</v>
      </c>
      <c r="V2036" s="5" t="s">
        <v>16535</v>
      </c>
      <c r="W2036" s="5" t="s">
        <v>69</v>
      </c>
      <c r="X2036" s="5" t="s">
        <v>69</v>
      </c>
      <c r="Y2036" s="4">
        <v>247</v>
      </c>
      <c r="Z2036" s="4">
        <v>18</v>
      </c>
      <c r="AA2036" s="4">
        <v>86</v>
      </c>
      <c r="AB2036" s="4">
        <v>1</v>
      </c>
      <c r="AC2036" s="4">
        <v>15</v>
      </c>
      <c r="AD2036" s="4">
        <v>84</v>
      </c>
      <c r="AE2036" s="4">
        <v>136</v>
      </c>
      <c r="AF2036" s="4">
        <v>0</v>
      </c>
      <c r="AG2036" s="4">
        <v>8</v>
      </c>
      <c r="AH2036" s="4">
        <v>76</v>
      </c>
      <c r="AI2036" s="4">
        <v>100</v>
      </c>
      <c r="AJ2036" s="4">
        <v>12</v>
      </c>
      <c r="AK2036" s="4">
        <v>23</v>
      </c>
      <c r="AL2036" s="4">
        <v>50</v>
      </c>
      <c r="AM2036" s="4">
        <v>58</v>
      </c>
      <c r="AN2036" s="4">
        <v>0</v>
      </c>
      <c r="AO2036" s="4">
        <v>0</v>
      </c>
      <c r="AP2036" s="4">
        <v>13</v>
      </c>
      <c r="AQ2036" s="4">
        <v>43</v>
      </c>
      <c r="AR2036" s="3" t="s">
        <v>63</v>
      </c>
      <c r="AS2036" s="3" t="s">
        <v>63</v>
      </c>
      <c r="AT2036" s="3" t="s">
        <v>63</v>
      </c>
      <c r="AV2036" s="6" t="str">
        <f>HYPERLINK("http://mcgill.on.worldcat.org/oclc/786161792","Catalog Record")</f>
        <v>Catalog Record</v>
      </c>
      <c r="AW2036" s="6" t="str">
        <f>HYPERLINK("http://www.worldcat.org/oclc/786161792","WorldCat Record")</f>
        <v>WorldCat Record</v>
      </c>
      <c r="AX2036" s="3" t="s">
        <v>17413</v>
      </c>
      <c r="AY2036" s="3" t="s">
        <v>17414</v>
      </c>
      <c r="AZ2036" s="3" t="s">
        <v>17415</v>
      </c>
      <c r="BA2036" s="3" t="s">
        <v>17415</v>
      </c>
      <c r="BB2036" s="3" t="s">
        <v>17416</v>
      </c>
      <c r="BC2036" s="3" t="s">
        <v>82</v>
      </c>
      <c r="BD2036" s="3" t="s">
        <v>70</v>
      </c>
      <c r="BE2036" s="3" t="s">
        <v>17417</v>
      </c>
      <c r="BF2036" s="3" t="s">
        <v>17416</v>
      </c>
      <c r="BG2036" s="3" t="s">
        <v>17418</v>
      </c>
    </row>
    <row r="2037" spans="1:59" ht="75" x14ac:dyDescent="0.25">
      <c r="A2037" s="2" t="s">
        <v>59</v>
      </c>
      <c r="B2037" s="2" t="s">
        <v>60</v>
      </c>
      <c r="C2037" s="2" t="s">
        <v>17419</v>
      </c>
      <c r="D2037" s="2" t="s">
        <v>17420</v>
      </c>
      <c r="E2037" s="2" t="s">
        <v>17421</v>
      </c>
      <c r="G2037" s="3" t="s">
        <v>63</v>
      </c>
      <c r="I2037" s="3" t="s">
        <v>63</v>
      </c>
      <c r="J2037" s="3" t="s">
        <v>63</v>
      </c>
      <c r="K2037" s="3" t="s">
        <v>64</v>
      </c>
      <c r="M2037" s="2" t="s">
        <v>5980</v>
      </c>
      <c r="N2037" s="3" t="s">
        <v>143</v>
      </c>
      <c r="P2037" s="3" t="s">
        <v>66</v>
      </c>
      <c r="Q2037" s="2" t="s">
        <v>5981</v>
      </c>
      <c r="R2037" s="3" t="s">
        <v>67</v>
      </c>
      <c r="S2037" s="4">
        <v>5</v>
      </c>
      <c r="T2037" s="4">
        <v>5</v>
      </c>
      <c r="U2037" s="5" t="s">
        <v>17281</v>
      </c>
      <c r="V2037" s="5" t="s">
        <v>17281</v>
      </c>
      <c r="W2037" s="5" t="s">
        <v>69</v>
      </c>
      <c r="X2037" s="5" t="s">
        <v>69</v>
      </c>
      <c r="Y2037" s="4">
        <v>119</v>
      </c>
      <c r="Z2037" s="4">
        <v>8</v>
      </c>
      <c r="AA2037" s="4">
        <v>15</v>
      </c>
      <c r="AB2037" s="4">
        <v>1</v>
      </c>
      <c r="AC2037" s="4">
        <v>5</v>
      </c>
      <c r="AD2037" s="4">
        <v>25</v>
      </c>
      <c r="AE2037" s="4">
        <v>41</v>
      </c>
      <c r="AF2037" s="4">
        <v>0</v>
      </c>
      <c r="AG2037" s="4">
        <v>2</v>
      </c>
      <c r="AH2037" s="4">
        <v>24</v>
      </c>
      <c r="AI2037" s="4">
        <v>38</v>
      </c>
      <c r="AJ2037" s="4">
        <v>3</v>
      </c>
      <c r="AK2037" s="4">
        <v>4</v>
      </c>
      <c r="AL2037" s="4">
        <v>16</v>
      </c>
      <c r="AM2037" s="4">
        <v>24</v>
      </c>
      <c r="AN2037" s="4">
        <v>0</v>
      </c>
      <c r="AO2037" s="4">
        <v>0</v>
      </c>
      <c r="AP2037" s="4">
        <v>4</v>
      </c>
      <c r="AQ2037" s="4">
        <v>6</v>
      </c>
      <c r="AR2037" s="3" t="s">
        <v>63</v>
      </c>
      <c r="AS2037" s="3" t="s">
        <v>63</v>
      </c>
      <c r="AT2037" s="3" t="s">
        <v>63</v>
      </c>
      <c r="AV2037" s="6" t="str">
        <f>HYPERLINK("http://mcgill.on.worldcat.org/oclc/874838845","Catalog Record")</f>
        <v>Catalog Record</v>
      </c>
      <c r="AW2037" s="6" t="str">
        <f>HYPERLINK("http://www.worldcat.org/oclc/874838845","WorldCat Record")</f>
        <v>WorldCat Record</v>
      </c>
      <c r="AX2037" s="3" t="s">
        <v>17422</v>
      </c>
      <c r="AY2037" s="3" t="s">
        <v>17423</v>
      </c>
      <c r="AZ2037" s="3" t="s">
        <v>17424</v>
      </c>
      <c r="BA2037" s="3" t="s">
        <v>17424</v>
      </c>
      <c r="BB2037" s="3" t="s">
        <v>17425</v>
      </c>
      <c r="BC2037" s="3" t="s">
        <v>82</v>
      </c>
      <c r="BD2037" s="3" t="s">
        <v>70</v>
      </c>
      <c r="BE2037" s="3" t="s">
        <v>17426</v>
      </c>
      <c r="BF2037" s="3" t="s">
        <v>17425</v>
      </c>
      <c r="BG2037" s="3" t="s">
        <v>17427</v>
      </c>
    </row>
    <row r="2038" spans="1:59" ht="60" x14ac:dyDescent="0.25">
      <c r="A2038" s="2" t="s">
        <v>59</v>
      </c>
      <c r="B2038" s="2" t="s">
        <v>60</v>
      </c>
      <c r="C2038" s="2" t="s">
        <v>17428</v>
      </c>
      <c r="D2038" s="2" t="s">
        <v>17429</v>
      </c>
      <c r="E2038" s="2" t="s">
        <v>17430</v>
      </c>
      <c r="G2038" s="3" t="s">
        <v>63</v>
      </c>
      <c r="I2038" s="3" t="s">
        <v>63</v>
      </c>
      <c r="J2038" s="3" t="s">
        <v>63</v>
      </c>
      <c r="K2038" s="3" t="s">
        <v>64</v>
      </c>
      <c r="L2038" s="2" t="s">
        <v>16849</v>
      </c>
      <c r="M2038" s="2" t="s">
        <v>17431</v>
      </c>
      <c r="N2038" s="3" t="s">
        <v>2283</v>
      </c>
      <c r="P2038" s="3" t="s">
        <v>90</v>
      </c>
      <c r="Q2038" s="2" t="s">
        <v>17432</v>
      </c>
      <c r="R2038" s="3" t="s">
        <v>67</v>
      </c>
      <c r="S2038" s="4">
        <v>6</v>
      </c>
      <c r="T2038" s="4">
        <v>6</v>
      </c>
      <c r="U2038" s="5" t="s">
        <v>3117</v>
      </c>
      <c r="V2038" s="5" t="s">
        <v>3117</v>
      </c>
      <c r="W2038" s="5" t="s">
        <v>69</v>
      </c>
      <c r="X2038" s="5" t="s">
        <v>69</v>
      </c>
      <c r="Y2038" s="4">
        <v>1</v>
      </c>
      <c r="Z2038" s="4">
        <v>1</v>
      </c>
      <c r="AA2038" s="4">
        <v>14</v>
      </c>
      <c r="AB2038" s="4">
        <v>1</v>
      </c>
      <c r="AC2038" s="4">
        <v>1</v>
      </c>
      <c r="AD2038" s="4">
        <v>0</v>
      </c>
      <c r="AE2038" s="4">
        <v>55</v>
      </c>
      <c r="AF2038" s="4">
        <v>0</v>
      </c>
      <c r="AG2038" s="4">
        <v>0</v>
      </c>
      <c r="AH2038" s="4">
        <v>0</v>
      </c>
      <c r="AI2038" s="4">
        <v>47</v>
      </c>
      <c r="AJ2038" s="4">
        <v>0</v>
      </c>
      <c r="AK2038" s="4">
        <v>6</v>
      </c>
      <c r="AL2038" s="4">
        <v>0</v>
      </c>
      <c r="AM2038" s="4">
        <v>33</v>
      </c>
      <c r="AN2038" s="4">
        <v>0</v>
      </c>
      <c r="AO2038" s="4">
        <v>0</v>
      </c>
      <c r="AP2038" s="4">
        <v>0</v>
      </c>
      <c r="AQ2038" s="4">
        <v>9</v>
      </c>
      <c r="AR2038" s="3" t="s">
        <v>63</v>
      </c>
      <c r="AS2038" s="3" t="s">
        <v>63</v>
      </c>
      <c r="AT2038" s="3" t="s">
        <v>63</v>
      </c>
      <c r="AV2038" s="6" t="str">
        <f>HYPERLINK("http://mcgill.on.worldcat.org/oclc/61614828","Catalog Record")</f>
        <v>Catalog Record</v>
      </c>
      <c r="AW2038" s="6" t="str">
        <f>HYPERLINK("http://www.worldcat.org/oclc/61614828","WorldCat Record")</f>
        <v>WorldCat Record</v>
      </c>
      <c r="AX2038" s="3" t="s">
        <v>17433</v>
      </c>
      <c r="AY2038" s="3" t="s">
        <v>17434</v>
      </c>
      <c r="AZ2038" s="3" t="s">
        <v>17435</v>
      </c>
      <c r="BA2038" s="3" t="s">
        <v>17435</v>
      </c>
      <c r="BB2038" s="3" t="s">
        <v>17436</v>
      </c>
      <c r="BC2038" s="3" t="s">
        <v>82</v>
      </c>
      <c r="BD2038" s="3" t="s">
        <v>70</v>
      </c>
      <c r="BF2038" s="3" t="s">
        <v>17436</v>
      </c>
      <c r="BG2038" s="3" t="s">
        <v>17437</v>
      </c>
    </row>
    <row r="2039" spans="1:59" ht="60" x14ac:dyDescent="0.25">
      <c r="A2039" s="2" t="s">
        <v>59</v>
      </c>
      <c r="B2039" s="2" t="s">
        <v>60</v>
      </c>
      <c r="C2039" s="2" t="s">
        <v>17438</v>
      </c>
      <c r="D2039" s="2" t="s">
        <v>17439</v>
      </c>
      <c r="E2039" s="2" t="s">
        <v>17440</v>
      </c>
      <c r="G2039" s="3" t="s">
        <v>63</v>
      </c>
      <c r="I2039" s="3" t="s">
        <v>62</v>
      </c>
      <c r="J2039" s="3" t="s">
        <v>63</v>
      </c>
      <c r="K2039" s="3" t="s">
        <v>64</v>
      </c>
      <c r="M2039" s="2" t="s">
        <v>17441</v>
      </c>
      <c r="N2039" s="3" t="s">
        <v>204</v>
      </c>
      <c r="P2039" s="3" t="s">
        <v>548</v>
      </c>
      <c r="Q2039" s="2" t="s">
        <v>17442</v>
      </c>
      <c r="R2039" s="3" t="s">
        <v>67</v>
      </c>
      <c r="S2039" s="4">
        <v>2</v>
      </c>
      <c r="T2039" s="4">
        <v>8</v>
      </c>
      <c r="U2039" s="5" t="s">
        <v>4818</v>
      </c>
      <c r="V2039" s="5" t="s">
        <v>4818</v>
      </c>
      <c r="W2039" s="5" t="s">
        <v>69</v>
      </c>
      <c r="X2039" s="5" t="s">
        <v>69</v>
      </c>
      <c r="Y2039" s="4">
        <v>46</v>
      </c>
      <c r="Z2039" s="4">
        <v>3</v>
      </c>
      <c r="AA2039" s="4">
        <v>3</v>
      </c>
      <c r="AB2039" s="4">
        <v>1</v>
      </c>
      <c r="AC2039" s="4">
        <v>1</v>
      </c>
      <c r="AD2039" s="4">
        <v>26</v>
      </c>
      <c r="AE2039" s="4">
        <v>26</v>
      </c>
      <c r="AF2039" s="4">
        <v>0</v>
      </c>
      <c r="AG2039" s="4">
        <v>0</v>
      </c>
      <c r="AH2039" s="4">
        <v>24</v>
      </c>
      <c r="AI2039" s="4">
        <v>24</v>
      </c>
      <c r="AJ2039" s="4">
        <v>1</v>
      </c>
      <c r="AK2039" s="4">
        <v>1</v>
      </c>
      <c r="AL2039" s="4">
        <v>22</v>
      </c>
      <c r="AM2039" s="4">
        <v>22</v>
      </c>
      <c r="AN2039" s="4">
        <v>0</v>
      </c>
      <c r="AO2039" s="4">
        <v>0</v>
      </c>
      <c r="AP2039" s="4">
        <v>1</v>
      </c>
      <c r="AQ2039" s="4">
        <v>1</v>
      </c>
      <c r="AR2039" s="3" t="s">
        <v>63</v>
      </c>
      <c r="AS2039" s="3" t="s">
        <v>63</v>
      </c>
      <c r="AT2039" s="3" t="s">
        <v>62</v>
      </c>
      <c r="AU2039" s="6" t="str">
        <f>HYPERLINK("http://catalog.hathitrust.org/Record/003086043","HathiTrust Record")</f>
        <v>HathiTrust Record</v>
      </c>
      <c r="AV2039" s="6" t="str">
        <f>HYPERLINK("http://mcgill.on.worldcat.org/oclc/35028879","Catalog Record")</f>
        <v>Catalog Record</v>
      </c>
      <c r="AW2039" s="6" t="str">
        <f>HYPERLINK("http://www.worldcat.org/oclc/35028879","WorldCat Record")</f>
        <v>WorldCat Record</v>
      </c>
      <c r="AX2039" s="3" t="s">
        <v>17443</v>
      </c>
      <c r="AY2039" s="3" t="s">
        <v>17444</v>
      </c>
      <c r="AZ2039" s="3" t="s">
        <v>17445</v>
      </c>
      <c r="BA2039" s="3" t="s">
        <v>17445</v>
      </c>
      <c r="BB2039" s="3" t="s">
        <v>17446</v>
      </c>
      <c r="BC2039" s="3" t="s">
        <v>82</v>
      </c>
      <c r="BD2039" s="3" t="s">
        <v>70</v>
      </c>
      <c r="BE2039" s="3" t="s">
        <v>17447</v>
      </c>
      <c r="BF2039" s="3" t="s">
        <v>17446</v>
      </c>
      <c r="BG2039" s="3" t="s">
        <v>17448</v>
      </c>
    </row>
    <row r="2040" spans="1:59" ht="60" x14ac:dyDescent="0.25">
      <c r="A2040" s="2" t="s">
        <v>59</v>
      </c>
      <c r="B2040" s="2" t="s">
        <v>60</v>
      </c>
      <c r="C2040" s="2" t="s">
        <v>17067</v>
      </c>
      <c r="D2040" s="2" t="s">
        <v>17068</v>
      </c>
      <c r="E2040" s="2" t="s">
        <v>17069</v>
      </c>
      <c r="G2040" s="3" t="s">
        <v>63</v>
      </c>
      <c r="I2040" s="3" t="s">
        <v>62</v>
      </c>
      <c r="J2040" s="3" t="s">
        <v>63</v>
      </c>
      <c r="K2040" s="3" t="s">
        <v>64</v>
      </c>
      <c r="L2040" s="2" t="s">
        <v>17070</v>
      </c>
      <c r="M2040" s="2" t="s">
        <v>17071</v>
      </c>
      <c r="N2040" s="3" t="s">
        <v>2271</v>
      </c>
      <c r="P2040" s="3" t="s">
        <v>90</v>
      </c>
      <c r="Q2040" s="2" t="s">
        <v>17072</v>
      </c>
      <c r="R2040" s="3" t="s">
        <v>67</v>
      </c>
      <c r="S2040" s="4">
        <v>6</v>
      </c>
      <c r="T2040" s="4">
        <v>7</v>
      </c>
      <c r="U2040" s="5" t="s">
        <v>17073</v>
      </c>
      <c r="V2040" s="5" t="s">
        <v>17074</v>
      </c>
      <c r="W2040" s="5" t="s">
        <v>69</v>
      </c>
      <c r="X2040" s="5" t="s">
        <v>69</v>
      </c>
      <c r="Y2040" s="4">
        <v>11</v>
      </c>
      <c r="Z2040" s="4">
        <v>6</v>
      </c>
      <c r="AA2040" s="4">
        <v>11</v>
      </c>
      <c r="AB2040" s="4">
        <v>1</v>
      </c>
      <c r="AC2040" s="4">
        <v>2</v>
      </c>
      <c r="AD2040" s="4">
        <v>6</v>
      </c>
      <c r="AE2040" s="4">
        <v>11</v>
      </c>
      <c r="AF2040" s="4">
        <v>0</v>
      </c>
      <c r="AG2040" s="4">
        <v>1</v>
      </c>
      <c r="AH2040" s="4">
        <v>4</v>
      </c>
      <c r="AI2040" s="4">
        <v>8</v>
      </c>
      <c r="AJ2040" s="4">
        <v>3</v>
      </c>
      <c r="AK2040" s="4">
        <v>8</v>
      </c>
      <c r="AL2040" s="4">
        <v>1</v>
      </c>
      <c r="AM2040" s="4">
        <v>1</v>
      </c>
      <c r="AN2040" s="4">
        <v>0</v>
      </c>
      <c r="AO2040" s="4">
        <v>0</v>
      </c>
      <c r="AP2040" s="4">
        <v>4</v>
      </c>
      <c r="AQ2040" s="4">
        <v>8</v>
      </c>
      <c r="AR2040" s="3" t="s">
        <v>63</v>
      </c>
      <c r="AS2040" s="3" t="s">
        <v>63</v>
      </c>
      <c r="AT2040" s="3" t="s">
        <v>63</v>
      </c>
      <c r="AV2040" s="6" t="str">
        <f>HYPERLINK("http://mcgill.on.worldcat.org/oclc/222071859","Catalog Record")</f>
        <v>Catalog Record</v>
      </c>
      <c r="AW2040" s="6" t="str">
        <f>HYPERLINK("http://www.worldcat.org/oclc/222071859","WorldCat Record")</f>
        <v>WorldCat Record</v>
      </c>
      <c r="AX2040" s="3" t="s">
        <v>17075</v>
      </c>
      <c r="AY2040" s="3" t="s">
        <v>17076</v>
      </c>
      <c r="AZ2040" s="3" t="s">
        <v>17077</v>
      </c>
      <c r="BA2040" s="3" t="s">
        <v>17077</v>
      </c>
      <c r="BB2040" s="3" t="s">
        <v>17078</v>
      </c>
      <c r="BC2040" s="3" t="s">
        <v>82</v>
      </c>
      <c r="BD2040" s="3" t="s">
        <v>70</v>
      </c>
      <c r="BF2040" s="3" t="s">
        <v>17078</v>
      </c>
      <c r="BG2040" s="3" t="s">
        <v>17079</v>
      </c>
    </row>
    <row r="2041" spans="1:59" ht="60" x14ac:dyDescent="0.25">
      <c r="A2041" s="2" t="s">
        <v>59</v>
      </c>
      <c r="B2041" s="2" t="s">
        <v>60</v>
      </c>
      <c r="C2041" s="2" t="s">
        <v>17449</v>
      </c>
      <c r="D2041" s="2" t="s">
        <v>17450</v>
      </c>
      <c r="E2041" s="2" t="s">
        <v>17440</v>
      </c>
      <c r="G2041" s="3" t="s">
        <v>63</v>
      </c>
      <c r="I2041" s="3" t="s">
        <v>62</v>
      </c>
      <c r="J2041" s="3" t="s">
        <v>63</v>
      </c>
      <c r="K2041" s="3" t="s">
        <v>64</v>
      </c>
      <c r="M2041" s="2" t="s">
        <v>17441</v>
      </c>
      <c r="N2041" s="3" t="s">
        <v>204</v>
      </c>
      <c r="P2041" s="3" t="s">
        <v>548</v>
      </c>
      <c r="Q2041" s="2" t="s">
        <v>17442</v>
      </c>
      <c r="R2041" s="3" t="s">
        <v>67</v>
      </c>
      <c r="S2041" s="4">
        <v>6</v>
      </c>
      <c r="T2041" s="4">
        <v>8</v>
      </c>
      <c r="U2041" s="5" t="s">
        <v>17451</v>
      </c>
      <c r="V2041" s="5" t="s">
        <v>4818</v>
      </c>
      <c r="W2041" s="5" t="s">
        <v>69</v>
      </c>
      <c r="X2041" s="5" t="s">
        <v>69</v>
      </c>
      <c r="Y2041" s="4">
        <v>46</v>
      </c>
      <c r="Z2041" s="4">
        <v>3</v>
      </c>
      <c r="AA2041" s="4">
        <v>3</v>
      </c>
      <c r="AB2041" s="4">
        <v>1</v>
      </c>
      <c r="AC2041" s="4">
        <v>1</v>
      </c>
      <c r="AD2041" s="4">
        <v>26</v>
      </c>
      <c r="AE2041" s="4">
        <v>26</v>
      </c>
      <c r="AF2041" s="4">
        <v>0</v>
      </c>
      <c r="AG2041" s="4">
        <v>0</v>
      </c>
      <c r="AH2041" s="4">
        <v>24</v>
      </c>
      <c r="AI2041" s="4">
        <v>24</v>
      </c>
      <c r="AJ2041" s="4">
        <v>1</v>
      </c>
      <c r="AK2041" s="4">
        <v>1</v>
      </c>
      <c r="AL2041" s="4">
        <v>22</v>
      </c>
      <c r="AM2041" s="4">
        <v>22</v>
      </c>
      <c r="AN2041" s="4">
        <v>0</v>
      </c>
      <c r="AO2041" s="4">
        <v>0</v>
      </c>
      <c r="AP2041" s="4">
        <v>1</v>
      </c>
      <c r="AQ2041" s="4">
        <v>1</v>
      </c>
      <c r="AR2041" s="3" t="s">
        <v>63</v>
      </c>
      <c r="AS2041" s="3" t="s">
        <v>63</v>
      </c>
      <c r="AT2041" s="3" t="s">
        <v>62</v>
      </c>
      <c r="AU2041" s="6" t="str">
        <f>HYPERLINK("http://catalog.hathitrust.org/Record/003086043","HathiTrust Record")</f>
        <v>HathiTrust Record</v>
      </c>
      <c r="AV2041" s="6" t="str">
        <f>HYPERLINK("http://mcgill.on.worldcat.org/oclc/35028879","Catalog Record")</f>
        <v>Catalog Record</v>
      </c>
      <c r="AW2041" s="6" t="str">
        <f>HYPERLINK("http://www.worldcat.org/oclc/35028879","WorldCat Record")</f>
        <v>WorldCat Record</v>
      </c>
      <c r="AX2041" s="3" t="s">
        <v>17443</v>
      </c>
      <c r="AY2041" s="3" t="s">
        <v>17444</v>
      </c>
      <c r="AZ2041" s="3" t="s">
        <v>17445</v>
      </c>
      <c r="BA2041" s="3" t="s">
        <v>17445</v>
      </c>
      <c r="BB2041" s="3" t="s">
        <v>17452</v>
      </c>
      <c r="BC2041" s="3" t="s">
        <v>82</v>
      </c>
      <c r="BD2041" s="3" t="s">
        <v>70</v>
      </c>
      <c r="BE2041" s="3" t="s">
        <v>17447</v>
      </c>
      <c r="BF2041" s="3" t="s">
        <v>17452</v>
      </c>
      <c r="BG2041" s="3" t="s">
        <v>17453</v>
      </c>
    </row>
    <row r="2042" spans="1:59" ht="60" x14ac:dyDescent="0.25">
      <c r="A2042" s="2" t="s">
        <v>59</v>
      </c>
      <c r="B2042" s="2" t="s">
        <v>60</v>
      </c>
      <c r="C2042" s="2" t="s">
        <v>17454</v>
      </c>
      <c r="D2042" s="2" t="s">
        <v>17455</v>
      </c>
      <c r="E2042" s="2" t="s">
        <v>17456</v>
      </c>
      <c r="F2042" s="3" t="s">
        <v>5684</v>
      </c>
      <c r="G2042" s="3" t="s">
        <v>62</v>
      </c>
      <c r="I2042" s="3" t="s">
        <v>63</v>
      </c>
      <c r="J2042" s="3" t="s">
        <v>62</v>
      </c>
      <c r="K2042" s="3" t="s">
        <v>64</v>
      </c>
      <c r="L2042" s="2" t="s">
        <v>16849</v>
      </c>
      <c r="M2042" s="2" t="s">
        <v>17457</v>
      </c>
      <c r="N2042" s="3" t="s">
        <v>11887</v>
      </c>
      <c r="P2042" s="3" t="s">
        <v>66</v>
      </c>
      <c r="R2042" s="3" t="s">
        <v>67</v>
      </c>
      <c r="S2042" s="4">
        <v>10</v>
      </c>
      <c r="T2042" s="4">
        <v>134</v>
      </c>
      <c r="U2042" s="5" t="s">
        <v>17458</v>
      </c>
      <c r="V2042" s="5" t="s">
        <v>17459</v>
      </c>
      <c r="W2042" s="5" t="s">
        <v>69</v>
      </c>
      <c r="X2042" s="5" t="s">
        <v>69</v>
      </c>
      <c r="Y2042" s="4">
        <v>18</v>
      </c>
      <c r="Z2042" s="4">
        <v>2</v>
      </c>
      <c r="AA2042" s="4">
        <v>5</v>
      </c>
      <c r="AB2042" s="4">
        <v>1</v>
      </c>
      <c r="AC2042" s="4">
        <v>1</v>
      </c>
      <c r="AD2042" s="4">
        <v>5</v>
      </c>
      <c r="AE2042" s="4">
        <v>30</v>
      </c>
      <c r="AF2042" s="4">
        <v>0</v>
      </c>
      <c r="AG2042" s="4">
        <v>0</v>
      </c>
      <c r="AH2042" s="4">
        <v>5</v>
      </c>
      <c r="AI2042" s="4">
        <v>29</v>
      </c>
      <c r="AJ2042" s="4">
        <v>0</v>
      </c>
      <c r="AK2042" s="4">
        <v>1</v>
      </c>
      <c r="AL2042" s="4">
        <v>4</v>
      </c>
      <c r="AM2042" s="4">
        <v>19</v>
      </c>
      <c r="AN2042" s="4">
        <v>0</v>
      </c>
      <c r="AO2042" s="4">
        <v>0</v>
      </c>
      <c r="AP2042" s="4">
        <v>0</v>
      </c>
      <c r="AQ2042" s="4">
        <v>2</v>
      </c>
      <c r="AR2042" s="3" t="s">
        <v>63</v>
      </c>
      <c r="AS2042" s="3" t="s">
        <v>62</v>
      </c>
      <c r="AT2042" s="3" t="s">
        <v>63</v>
      </c>
      <c r="AU2042" s="6" t="str">
        <f>HYPERLINK("http://catalog.hathitrust.org/Record/009780020","HathiTrust Record")</f>
        <v>HathiTrust Record</v>
      </c>
      <c r="AV2042" s="6" t="str">
        <f>HYPERLINK("http://mcgill.on.worldcat.org/oclc/17206629","Catalog Record")</f>
        <v>Catalog Record</v>
      </c>
      <c r="AW2042" s="6" t="str">
        <f>HYPERLINK("http://www.worldcat.org/oclc/17206629","WorldCat Record")</f>
        <v>WorldCat Record</v>
      </c>
      <c r="AX2042" s="3" t="s">
        <v>17460</v>
      </c>
      <c r="AY2042" s="3" t="s">
        <v>17461</v>
      </c>
      <c r="AZ2042" s="3" t="s">
        <v>17462</v>
      </c>
      <c r="BA2042" s="3" t="s">
        <v>17462</v>
      </c>
      <c r="BB2042" s="3" t="s">
        <v>17463</v>
      </c>
      <c r="BC2042" s="3" t="s">
        <v>82</v>
      </c>
      <c r="BD2042" s="3" t="s">
        <v>70</v>
      </c>
      <c r="BF2042" s="3" t="s">
        <v>17463</v>
      </c>
      <c r="BG2042" s="3" t="s">
        <v>17464</v>
      </c>
    </row>
    <row r="2043" spans="1:59" ht="60" x14ac:dyDescent="0.25">
      <c r="A2043" s="2" t="s">
        <v>59</v>
      </c>
      <c r="B2043" s="2" t="s">
        <v>60</v>
      </c>
      <c r="C2043" s="2" t="s">
        <v>17454</v>
      </c>
      <c r="D2043" s="2" t="s">
        <v>17455</v>
      </c>
      <c r="E2043" s="2" t="s">
        <v>17456</v>
      </c>
      <c r="F2043" s="3" t="s">
        <v>5699</v>
      </c>
      <c r="G2043" s="3" t="s">
        <v>62</v>
      </c>
      <c r="I2043" s="3" t="s">
        <v>63</v>
      </c>
      <c r="J2043" s="3" t="s">
        <v>62</v>
      </c>
      <c r="K2043" s="3" t="s">
        <v>64</v>
      </c>
      <c r="L2043" s="2" t="s">
        <v>16849</v>
      </c>
      <c r="M2043" s="2" t="s">
        <v>17457</v>
      </c>
      <c r="N2043" s="3" t="s">
        <v>11887</v>
      </c>
      <c r="P2043" s="3" t="s">
        <v>66</v>
      </c>
      <c r="R2043" s="3" t="s">
        <v>67</v>
      </c>
      <c r="S2043" s="4">
        <v>0</v>
      </c>
      <c r="T2043" s="4">
        <v>134</v>
      </c>
      <c r="V2043" s="5" t="s">
        <v>17459</v>
      </c>
      <c r="W2043" s="5" t="s">
        <v>69</v>
      </c>
      <c r="X2043" s="5" t="s">
        <v>69</v>
      </c>
      <c r="Y2043" s="4">
        <v>18</v>
      </c>
      <c r="Z2043" s="4">
        <v>2</v>
      </c>
      <c r="AA2043" s="4">
        <v>5</v>
      </c>
      <c r="AB2043" s="4">
        <v>1</v>
      </c>
      <c r="AC2043" s="4">
        <v>1</v>
      </c>
      <c r="AD2043" s="4">
        <v>5</v>
      </c>
      <c r="AE2043" s="4">
        <v>30</v>
      </c>
      <c r="AF2043" s="4">
        <v>0</v>
      </c>
      <c r="AG2043" s="4">
        <v>0</v>
      </c>
      <c r="AH2043" s="4">
        <v>5</v>
      </c>
      <c r="AI2043" s="4">
        <v>29</v>
      </c>
      <c r="AJ2043" s="4">
        <v>0</v>
      </c>
      <c r="AK2043" s="4">
        <v>1</v>
      </c>
      <c r="AL2043" s="4">
        <v>4</v>
      </c>
      <c r="AM2043" s="4">
        <v>19</v>
      </c>
      <c r="AN2043" s="4">
        <v>0</v>
      </c>
      <c r="AO2043" s="4">
        <v>0</v>
      </c>
      <c r="AP2043" s="4">
        <v>0</v>
      </c>
      <c r="AQ2043" s="4">
        <v>2</v>
      </c>
      <c r="AR2043" s="3" t="s">
        <v>63</v>
      </c>
      <c r="AS2043" s="3" t="s">
        <v>62</v>
      </c>
      <c r="AT2043" s="3" t="s">
        <v>63</v>
      </c>
      <c r="AU2043" s="6" t="str">
        <f>HYPERLINK("http://catalog.hathitrust.org/Record/009780020","HathiTrust Record")</f>
        <v>HathiTrust Record</v>
      </c>
      <c r="AV2043" s="6" t="str">
        <f>HYPERLINK("http://mcgill.on.worldcat.org/oclc/17206629","Catalog Record")</f>
        <v>Catalog Record</v>
      </c>
      <c r="AW2043" s="6" t="str">
        <f>HYPERLINK("http://www.worldcat.org/oclc/17206629","WorldCat Record")</f>
        <v>WorldCat Record</v>
      </c>
      <c r="AX2043" s="3" t="s">
        <v>17460</v>
      </c>
      <c r="AY2043" s="3" t="s">
        <v>17461</v>
      </c>
      <c r="AZ2043" s="3" t="s">
        <v>17462</v>
      </c>
      <c r="BA2043" s="3" t="s">
        <v>17462</v>
      </c>
      <c r="BB2043" s="3" t="s">
        <v>17465</v>
      </c>
      <c r="BC2043" s="3" t="s">
        <v>82</v>
      </c>
      <c r="BD2043" s="3" t="s">
        <v>70</v>
      </c>
      <c r="BF2043" s="3" t="s">
        <v>17465</v>
      </c>
      <c r="BG2043" s="3" t="s">
        <v>17466</v>
      </c>
    </row>
    <row r="2044" spans="1:59" ht="60" x14ac:dyDescent="0.25">
      <c r="A2044" s="2" t="s">
        <v>59</v>
      </c>
      <c r="B2044" s="2" t="s">
        <v>60</v>
      </c>
      <c r="C2044" s="2" t="s">
        <v>17454</v>
      </c>
      <c r="D2044" s="2" t="s">
        <v>17455</v>
      </c>
      <c r="E2044" s="2" t="s">
        <v>17456</v>
      </c>
      <c r="F2044" s="3" t="s">
        <v>17467</v>
      </c>
      <c r="G2044" s="3" t="s">
        <v>62</v>
      </c>
      <c r="I2044" s="3" t="s">
        <v>63</v>
      </c>
      <c r="J2044" s="3" t="s">
        <v>62</v>
      </c>
      <c r="K2044" s="3" t="s">
        <v>64</v>
      </c>
      <c r="L2044" s="2" t="s">
        <v>16849</v>
      </c>
      <c r="M2044" s="2" t="s">
        <v>17457</v>
      </c>
      <c r="N2044" s="3" t="s">
        <v>11887</v>
      </c>
      <c r="P2044" s="3" t="s">
        <v>66</v>
      </c>
      <c r="R2044" s="3" t="s">
        <v>67</v>
      </c>
      <c r="S2044" s="4">
        <v>3</v>
      </c>
      <c r="T2044" s="4">
        <v>134</v>
      </c>
      <c r="U2044" s="5" t="s">
        <v>17468</v>
      </c>
      <c r="V2044" s="5" t="s">
        <v>17459</v>
      </c>
      <c r="W2044" s="5" t="s">
        <v>69</v>
      </c>
      <c r="X2044" s="5" t="s">
        <v>69</v>
      </c>
      <c r="Y2044" s="4">
        <v>18</v>
      </c>
      <c r="Z2044" s="4">
        <v>2</v>
      </c>
      <c r="AA2044" s="4">
        <v>5</v>
      </c>
      <c r="AB2044" s="4">
        <v>1</v>
      </c>
      <c r="AC2044" s="4">
        <v>1</v>
      </c>
      <c r="AD2044" s="4">
        <v>5</v>
      </c>
      <c r="AE2044" s="4">
        <v>30</v>
      </c>
      <c r="AF2044" s="4">
        <v>0</v>
      </c>
      <c r="AG2044" s="4">
        <v>0</v>
      </c>
      <c r="AH2044" s="4">
        <v>5</v>
      </c>
      <c r="AI2044" s="4">
        <v>29</v>
      </c>
      <c r="AJ2044" s="4">
        <v>0</v>
      </c>
      <c r="AK2044" s="4">
        <v>1</v>
      </c>
      <c r="AL2044" s="4">
        <v>4</v>
      </c>
      <c r="AM2044" s="4">
        <v>19</v>
      </c>
      <c r="AN2044" s="4">
        <v>0</v>
      </c>
      <c r="AO2044" s="4">
        <v>0</v>
      </c>
      <c r="AP2044" s="4">
        <v>0</v>
      </c>
      <c r="AQ2044" s="4">
        <v>2</v>
      </c>
      <c r="AR2044" s="3" t="s">
        <v>63</v>
      </c>
      <c r="AS2044" s="3" t="s">
        <v>62</v>
      </c>
      <c r="AT2044" s="3" t="s">
        <v>63</v>
      </c>
      <c r="AU2044" s="6" t="str">
        <f>HYPERLINK("http://catalog.hathitrust.org/Record/009780020","HathiTrust Record")</f>
        <v>HathiTrust Record</v>
      </c>
      <c r="AV2044" s="6" t="str">
        <f>HYPERLINK("http://mcgill.on.worldcat.org/oclc/17206629","Catalog Record")</f>
        <v>Catalog Record</v>
      </c>
      <c r="AW2044" s="6" t="str">
        <f>HYPERLINK("http://www.worldcat.org/oclc/17206629","WorldCat Record")</f>
        <v>WorldCat Record</v>
      </c>
      <c r="AX2044" s="3" t="s">
        <v>17460</v>
      </c>
      <c r="AY2044" s="3" t="s">
        <v>17461</v>
      </c>
      <c r="AZ2044" s="3" t="s">
        <v>17462</v>
      </c>
      <c r="BA2044" s="3" t="s">
        <v>17462</v>
      </c>
      <c r="BB2044" s="3" t="s">
        <v>17469</v>
      </c>
      <c r="BC2044" s="3" t="s">
        <v>82</v>
      </c>
      <c r="BD2044" s="3" t="s">
        <v>70</v>
      </c>
      <c r="BF2044" s="3" t="s">
        <v>17469</v>
      </c>
      <c r="BG2044" s="3" t="s">
        <v>17470</v>
      </c>
    </row>
    <row r="2045" spans="1:59" ht="60" x14ac:dyDescent="0.25">
      <c r="A2045" s="2" t="s">
        <v>59</v>
      </c>
      <c r="B2045" s="2" t="s">
        <v>60</v>
      </c>
      <c r="C2045" s="2" t="s">
        <v>17454</v>
      </c>
      <c r="D2045" s="2" t="s">
        <v>17455</v>
      </c>
      <c r="E2045" s="2" t="s">
        <v>17456</v>
      </c>
      <c r="F2045" s="3" t="s">
        <v>17471</v>
      </c>
      <c r="G2045" s="3" t="s">
        <v>62</v>
      </c>
      <c r="I2045" s="3" t="s">
        <v>63</v>
      </c>
      <c r="J2045" s="3" t="s">
        <v>62</v>
      </c>
      <c r="K2045" s="3" t="s">
        <v>64</v>
      </c>
      <c r="L2045" s="2" t="s">
        <v>16849</v>
      </c>
      <c r="M2045" s="2" t="s">
        <v>17457</v>
      </c>
      <c r="N2045" s="3" t="s">
        <v>11887</v>
      </c>
      <c r="P2045" s="3" t="s">
        <v>66</v>
      </c>
      <c r="R2045" s="3" t="s">
        <v>67</v>
      </c>
      <c r="S2045" s="4">
        <v>13</v>
      </c>
      <c r="T2045" s="4">
        <v>134</v>
      </c>
      <c r="U2045" s="5" t="s">
        <v>17472</v>
      </c>
      <c r="V2045" s="5" t="s">
        <v>17459</v>
      </c>
      <c r="W2045" s="5" t="s">
        <v>69</v>
      </c>
      <c r="X2045" s="5" t="s">
        <v>69</v>
      </c>
      <c r="Y2045" s="4">
        <v>18</v>
      </c>
      <c r="Z2045" s="4">
        <v>2</v>
      </c>
      <c r="AA2045" s="4">
        <v>5</v>
      </c>
      <c r="AB2045" s="4">
        <v>1</v>
      </c>
      <c r="AC2045" s="4">
        <v>1</v>
      </c>
      <c r="AD2045" s="4">
        <v>5</v>
      </c>
      <c r="AE2045" s="4">
        <v>30</v>
      </c>
      <c r="AF2045" s="4">
        <v>0</v>
      </c>
      <c r="AG2045" s="4">
        <v>0</v>
      </c>
      <c r="AH2045" s="4">
        <v>5</v>
      </c>
      <c r="AI2045" s="4">
        <v>29</v>
      </c>
      <c r="AJ2045" s="4">
        <v>0</v>
      </c>
      <c r="AK2045" s="4">
        <v>1</v>
      </c>
      <c r="AL2045" s="4">
        <v>4</v>
      </c>
      <c r="AM2045" s="4">
        <v>19</v>
      </c>
      <c r="AN2045" s="4">
        <v>0</v>
      </c>
      <c r="AO2045" s="4">
        <v>0</v>
      </c>
      <c r="AP2045" s="4">
        <v>0</v>
      </c>
      <c r="AQ2045" s="4">
        <v>2</v>
      </c>
      <c r="AR2045" s="3" t="s">
        <v>63</v>
      </c>
      <c r="AS2045" s="3" t="s">
        <v>62</v>
      </c>
      <c r="AT2045" s="3" t="s">
        <v>63</v>
      </c>
      <c r="AU2045" s="6" t="str">
        <f>HYPERLINK("http://catalog.hathitrust.org/Record/009780020","HathiTrust Record")</f>
        <v>HathiTrust Record</v>
      </c>
      <c r="AV2045" s="6" t="str">
        <f>HYPERLINK("http://mcgill.on.worldcat.org/oclc/17206629","Catalog Record")</f>
        <v>Catalog Record</v>
      </c>
      <c r="AW2045" s="6" t="str">
        <f>HYPERLINK("http://www.worldcat.org/oclc/17206629","WorldCat Record")</f>
        <v>WorldCat Record</v>
      </c>
      <c r="AX2045" s="3" t="s">
        <v>17460</v>
      </c>
      <c r="AY2045" s="3" t="s">
        <v>17461</v>
      </c>
      <c r="AZ2045" s="3" t="s">
        <v>17462</v>
      </c>
      <c r="BA2045" s="3" t="s">
        <v>17462</v>
      </c>
      <c r="BB2045" s="3" t="s">
        <v>17473</v>
      </c>
      <c r="BC2045" s="3" t="s">
        <v>82</v>
      </c>
      <c r="BD2045" s="3" t="s">
        <v>70</v>
      </c>
      <c r="BF2045" s="3" t="s">
        <v>17473</v>
      </c>
      <c r="BG2045" s="3" t="s">
        <v>17474</v>
      </c>
    </row>
    <row r="2046" spans="1:59" ht="60" x14ac:dyDescent="0.25">
      <c r="A2046" s="2" t="s">
        <v>59</v>
      </c>
      <c r="B2046" s="2" t="s">
        <v>60</v>
      </c>
      <c r="C2046" s="2" t="s">
        <v>17454</v>
      </c>
      <c r="D2046" s="2" t="s">
        <v>17455</v>
      </c>
      <c r="E2046" s="2" t="s">
        <v>17456</v>
      </c>
      <c r="F2046" s="3" t="s">
        <v>5708</v>
      </c>
      <c r="G2046" s="3" t="s">
        <v>62</v>
      </c>
      <c r="I2046" s="3" t="s">
        <v>63</v>
      </c>
      <c r="J2046" s="3" t="s">
        <v>62</v>
      </c>
      <c r="K2046" s="3" t="s">
        <v>64</v>
      </c>
      <c r="L2046" s="2" t="s">
        <v>16849</v>
      </c>
      <c r="M2046" s="2" t="s">
        <v>17457</v>
      </c>
      <c r="N2046" s="3" t="s">
        <v>11887</v>
      </c>
      <c r="P2046" s="3" t="s">
        <v>66</v>
      </c>
      <c r="R2046" s="3" t="s">
        <v>67</v>
      </c>
      <c r="S2046" s="4">
        <v>0</v>
      </c>
      <c r="T2046" s="4">
        <v>134</v>
      </c>
      <c r="V2046" s="5" t="s">
        <v>17459</v>
      </c>
      <c r="W2046" s="5" t="s">
        <v>69</v>
      </c>
      <c r="X2046" s="5" t="s">
        <v>69</v>
      </c>
      <c r="Y2046" s="4">
        <v>18</v>
      </c>
      <c r="Z2046" s="4">
        <v>2</v>
      </c>
      <c r="AA2046" s="4">
        <v>5</v>
      </c>
      <c r="AB2046" s="4">
        <v>1</v>
      </c>
      <c r="AC2046" s="4">
        <v>1</v>
      </c>
      <c r="AD2046" s="4">
        <v>5</v>
      </c>
      <c r="AE2046" s="4">
        <v>30</v>
      </c>
      <c r="AF2046" s="4">
        <v>0</v>
      </c>
      <c r="AG2046" s="4">
        <v>0</v>
      </c>
      <c r="AH2046" s="4">
        <v>5</v>
      </c>
      <c r="AI2046" s="4">
        <v>29</v>
      </c>
      <c r="AJ2046" s="4">
        <v>0</v>
      </c>
      <c r="AK2046" s="4">
        <v>1</v>
      </c>
      <c r="AL2046" s="4">
        <v>4</v>
      </c>
      <c r="AM2046" s="4">
        <v>19</v>
      </c>
      <c r="AN2046" s="4">
        <v>0</v>
      </c>
      <c r="AO2046" s="4">
        <v>0</v>
      </c>
      <c r="AP2046" s="4">
        <v>0</v>
      </c>
      <c r="AQ2046" s="4">
        <v>2</v>
      </c>
      <c r="AR2046" s="3" t="s">
        <v>63</v>
      </c>
      <c r="AS2046" s="3" t="s">
        <v>62</v>
      </c>
      <c r="AT2046" s="3" t="s">
        <v>63</v>
      </c>
      <c r="AU2046" s="6" t="str">
        <f>HYPERLINK("http://catalog.hathitrust.org/Record/009780020","HathiTrust Record")</f>
        <v>HathiTrust Record</v>
      </c>
      <c r="AV2046" s="6" t="str">
        <f>HYPERLINK("http://mcgill.on.worldcat.org/oclc/17206629","Catalog Record")</f>
        <v>Catalog Record</v>
      </c>
      <c r="AW2046" s="6" t="str">
        <f>HYPERLINK("http://www.worldcat.org/oclc/17206629","WorldCat Record")</f>
        <v>WorldCat Record</v>
      </c>
      <c r="AX2046" s="3" t="s">
        <v>17460</v>
      </c>
      <c r="AY2046" s="3" t="s">
        <v>17461</v>
      </c>
      <c r="AZ2046" s="3" t="s">
        <v>17462</v>
      </c>
      <c r="BA2046" s="3" t="s">
        <v>17462</v>
      </c>
      <c r="BB2046" s="3" t="s">
        <v>17475</v>
      </c>
      <c r="BC2046" s="3" t="s">
        <v>82</v>
      </c>
      <c r="BD2046" s="3" t="s">
        <v>70</v>
      </c>
      <c r="BF2046" s="3" t="s">
        <v>17475</v>
      </c>
      <c r="BG2046" s="3" t="s">
        <v>17476</v>
      </c>
    </row>
    <row r="2047" spans="1:59" ht="60" x14ac:dyDescent="0.25">
      <c r="A2047" s="2" t="s">
        <v>59</v>
      </c>
      <c r="B2047" s="2" t="s">
        <v>60</v>
      </c>
      <c r="C2047" s="2" t="s">
        <v>17454</v>
      </c>
      <c r="D2047" s="2" t="s">
        <v>17455</v>
      </c>
      <c r="E2047" s="2" t="s">
        <v>17456</v>
      </c>
      <c r="F2047" s="3" t="s">
        <v>5711</v>
      </c>
      <c r="G2047" s="3" t="s">
        <v>62</v>
      </c>
      <c r="I2047" s="3" t="s">
        <v>63</v>
      </c>
      <c r="J2047" s="3" t="s">
        <v>62</v>
      </c>
      <c r="K2047" s="3" t="s">
        <v>64</v>
      </c>
      <c r="L2047" s="2" t="s">
        <v>16849</v>
      </c>
      <c r="M2047" s="2" t="s">
        <v>17457</v>
      </c>
      <c r="N2047" s="3" t="s">
        <v>11887</v>
      </c>
      <c r="P2047" s="3" t="s">
        <v>66</v>
      </c>
      <c r="R2047" s="3" t="s">
        <v>67</v>
      </c>
      <c r="S2047" s="4">
        <v>16</v>
      </c>
      <c r="T2047" s="4">
        <v>134</v>
      </c>
      <c r="U2047" s="5" t="s">
        <v>17477</v>
      </c>
      <c r="V2047" s="5" t="s">
        <v>17459</v>
      </c>
      <c r="W2047" s="5" t="s">
        <v>69</v>
      </c>
      <c r="X2047" s="5" t="s">
        <v>69</v>
      </c>
      <c r="Y2047" s="4">
        <v>18</v>
      </c>
      <c r="Z2047" s="4">
        <v>2</v>
      </c>
      <c r="AA2047" s="4">
        <v>5</v>
      </c>
      <c r="AB2047" s="4">
        <v>1</v>
      </c>
      <c r="AC2047" s="4">
        <v>1</v>
      </c>
      <c r="AD2047" s="4">
        <v>5</v>
      </c>
      <c r="AE2047" s="4">
        <v>30</v>
      </c>
      <c r="AF2047" s="4">
        <v>0</v>
      </c>
      <c r="AG2047" s="4">
        <v>0</v>
      </c>
      <c r="AH2047" s="4">
        <v>5</v>
      </c>
      <c r="AI2047" s="4">
        <v>29</v>
      </c>
      <c r="AJ2047" s="4">
        <v>0</v>
      </c>
      <c r="AK2047" s="4">
        <v>1</v>
      </c>
      <c r="AL2047" s="4">
        <v>4</v>
      </c>
      <c r="AM2047" s="4">
        <v>19</v>
      </c>
      <c r="AN2047" s="4">
        <v>0</v>
      </c>
      <c r="AO2047" s="4">
        <v>0</v>
      </c>
      <c r="AP2047" s="4">
        <v>0</v>
      </c>
      <c r="AQ2047" s="4">
        <v>2</v>
      </c>
      <c r="AR2047" s="3" t="s">
        <v>63</v>
      </c>
      <c r="AS2047" s="3" t="s">
        <v>62</v>
      </c>
      <c r="AT2047" s="3" t="s">
        <v>63</v>
      </c>
      <c r="AU2047" s="6" t="str">
        <f>HYPERLINK("http://catalog.hathitrust.org/Record/009780020","HathiTrust Record")</f>
        <v>HathiTrust Record</v>
      </c>
      <c r="AV2047" s="6" t="str">
        <f>HYPERLINK("http://mcgill.on.worldcat.org/oclc/17206629","Catalog Record")</f>
        <v>Catalog Record</v>
      </c>
      <c r="AW2047" s="6" t="str">
        <f>HYPERLINK("http://www.worldcat.org/oclc/17206629","WorldCat Record")</f>
        <v>WorldCat Record</v>
      </c>
      <c r="AX2047" s="3" t="s">
        <v>17460</v>
      </c>
      <c r="AY2047" s="3" t="s">
        <v>17461</v>
      </c>
      <c r="AZ2047" s="3" t="s">
        <v>17462</v>
      </c>
      <c r="BA2047" s="3" t="s">
        <v>17462</v>
      </c>
      <c r="BB2047" s="3" t="s">
        <v>17478</v>
      </c>
      <c r="BC2047" s="3" t="s">
        <v>82</v>
      </c>
      <c r="BD2047" s="3" t="s">
        <v>70</v>
      </c>
      <c r="BF2047" s="3" t="s">
        <v>17478</v>
      </c>
      <c r="BG2047" s="3" t="s">
        <v>17479</v>
      </c>
    </row>
    <row r="2048" spans="1:59" ht="60" x14ac:dyDescent="0.25">
      <c r="A2048" s="2" t="s">
        <v>59</v>
      </c>
      <c r="B2048" s="2" t="s">
        <v>60</v>
      </c>
      <c r="C2048" s="2" t="s">
        <v>17454</v>
      </c>
      <c r="D2048" s="2" t="s">
        <v>17455</v>
      </c>
      <c r="E2048" s="2" t="s">
        <v>17456</v>
      </c>
      <c r="F2048" s="3" t="s">
        <v>5702</v>
      </c>
      <c r="G2048" s="3" t="s">
        <v>62</v>
      </c>
      <c r="I2048" s="3" t="s">
        <v>63</v>
      </c>
      <c r="J2048" s="3" t="s">
        <v>62</v>
      </c>
      <c r="K2048" s="3" t="s">
        <v>64</v>
      </c>
      <c r="L2048" s="2" t="s">
        <v>16849</v>
      </c>
      <c r="M2048" s="2" t="s">
        <v>17457</v>
      </c>
      <c r="N2048" s="3" t="s">
        <v>11887</v>
      </c>
      <c r="P2048" s="3" t="s">
        <v>66</v>
      </c>
      <c r="R2048" s="3" t="s">
        <v>67</v>
      </c>
      <c r="S2048" s="4">
        <v>13</v>
      </c>
      <c r="T2048" s="4">
        <v>134</v>
      </c>
      <c r="U2048" s="5" t="s">
        <v>17480</v>
      </c>
      <c r="V2048" s="5" t="s">
        <v>17459</v>
      </c>
      <c r="W2048" s="5" t="s">
        <v>69</v>
      </c>
      <c r="X2048" s="5" t="s">
        <v>69</v>
      </c>
      <c r="Y2048" s="4">
        <v>18</v>
      </c>
      <c r="Z2048" s="4">
        <v>2</v>
      </c>
      <c r="AA2048" s="4">
        <v>5</v>
      </c>
      <c r="AB2048" s="4">
        <v>1</v>
      </c>
      <c r="AC2048" s="4">
        <v>1</v>
      </c>
      <c r="AD2048" s="4">
        <v>5</v>
      </c>
      <c r="AE2048" s="4">
        <v>30</v>
      </c>
      <c r="AF2048" s="4">
        <v>0</v>
      </c>
      <c r="AG2048" s="4">
        <v>0</v>
      </c>
      <c r="AH2048" s="4">
        <v>5</v>
      </c>
      <c r="AI2048" s="4">
        <v>29</v>
      </c>
      <c r="AJ2048" s="4">
        <v>0</v>
      </c>
      <c r="AK2048" s="4">
        <v>1</v>
      </c>
      <c r="AL2048" s="4">
        <v>4</v>
      </c>
      <c r="AM2048" s="4">
        <v>19</v>
      </c>
      <c r="AN2048" s="4">
        <v>0</v>
      </c>
      <c r="AO2048" s="4">
        <v>0</v>
      </c>
      <c r="AP2048" s="4">
        <v>0</v>
      </c>
      <c r="AQ2048" s="4">
        <v>2</v>
      </c>
      <c r="AR2048" s="3" t="s">
        <v>63</v>
      </c>
      <c r="AS2048" s="3" t="s">
        <v>62</v>
      </c>
      <c r="AT2048" s="3" t="s">
        <v>63</v>
      </c>
      <c r="AU2048" s="6" t="str">
        <f>HYPERLINK("http://catalog.hathitrust.org/Record/009780020","HathiTrust Record")</f>
        <v>HathiTrust Record</v>
      </c>
      <c r="AV2048" s="6" t="str">
        <f>HYPERLINK("http://mcgill.on.worldcat.org/oclc/17206629","Catalog Record")</f>
        <v>Catalog Record</v>
      </c>
      <c r="AW2048" s="6" t="str">
        <f>HYPERLINK("http://www.worldcat.org/oclc/17206629","WorldCat Record")</f>
        <v>WorldCat Record</v>
      </c>
      <c r="AX2048" s="3" t="s">
        <v>17460</v>
      </c>
      <c r="AY2048" s="3" t="s">
        <v>17461</v>
      </c>
      <c r="AZ2048" s="3" t="s">
        <v>17462</v>
      </c>
      <c r="BA2048" s="3" t="s">
        <v>17462</v>
      </c>
      <c r="BB2048" s="3" t="s">
        <v>17481</v>
      </c>
      <c r="BC2048" s="3" t="s">
        <v>82</v>
      </c>
      <c r="BD2048" s="3" t="s">
        <v>70</v>
      </c>
      <c r="BF2048" s="3" t="s">
        <v>17481</v>
      </c>
      <c r="BG2048" s="3" t="s">
        <v>17482</v>
      </c>
    </row>
    <row r="2049" spans="1:59" ht="60" x14ac:dyDescent="0.25">
      <c r="A2049" s="2" t="s">
        <v>59</v>
      </c>
      <c r="B2049" s="2" t="s">
        <v>60</v>
      </c>
      <c r="C2049" s="2" t="s">
        <v>17454</v>
      </c>
      <c r="D2049" s="2" t="s">
        <v>17455</v>
      </c>
      <c r="E2049" s="2" t="s">
        <v>17456</v>
      </c>
      <c r="F2049" s="3" t="s">
        <v>17483</v>
      </c>
      <c r="G2049" s="3" t="s">
        <v>62</v>
      </c>
      <c r="I2049" s="3" t="s">
        <v>63</v>
      </c>
      <c r="J2049" s="3" t="s">
        <v>62</v>
      </c>
      <c r="K2049" s="3" t="s">
        <v>64</v>
      </c>
      <c r="L2049" s="2" t="s">
        <v>16849</v>
      </c>
      <c r="M2049" s="2" t="s">
        <v>17457</v>
      </c>
      <c r="N2049" s="3" t="s">
        <v>11887</v>
      </c>
      <c r="P2049" s="3" t="s">
        <v>66</v>
      </c>
      <c r="R2049" s="3" t="s">
        <v>67</v>
      </c>
      <c r="S2049" s="4">
        <v>5</v>
      </c>
      <c r="T2049" s="4">
        <v>134</v>
      </c>
      <c r="U2049" s="5" t="s">
        <v>17484</v>
      </c>
      <c r="V2049" s="5" t="s">
        <v>17459</v>
      </c>
      <c r="W2049" s="5" t="s">
        <v>69</v>
      </c>
      <c r="X2049" s="5" t="s">
        <v>69</v>
      </c>
      <c r="Y2049" s="4">
        <v>18</v>
      </c>
      <c r="Z2049" s="4">
        <v>2</v>
      </c>
      <c r="AA2049" s="4">
        <v>5</v>
      </c>
      <c r="AB2049" s="4">
        <v>1</v>
      </c>
      <c r="AC2049" s="4">
        <v>1</v>
      </c>
      <c r="AD2049" s="4">
        <v>5</v>
      </c>
      <c r="AE2049" s="4">
        <v>30</v>
      </c>
      <c r="AF2049" s="4">
        <v>0</v>
      </c>
      <c r="AG2049" s="4">
        <v>0</v>
      </c>
      <c r="AH2049" s="4">
        <v>5</v>
      </c>
      <c r="AI2049" s="4">
        <v>29</v>
      </c>
      <c r="AJ2049" s="4">
        <v>0</v>
      </c>
      <c r="AK2049" s="4">
        <v>1</v>
      </c>
      <c r="AL2049" s="4">
        <v>4</v>
      </c>
      <c r="AM2049" s="4">
        <v>19</v>
      </c>
      <c r="AN2049" s="4">
        <v>0</v>
      </c>
      <c r="AO2049" s="4">
        <v>0</v>
      </c>
      <c r="AP2049" s="4">
        <v>0</v>
      </c>
      <c r="AQ2049" s="4">
        <v>2</v>
      </c>
      <c r="AR2049" s="3" t="s">
        <v>63</v>
      </c>
      <c r="AS2049" s="3" t="s">
        <v>62</v>
      </c>
      <c r="AT2049" s="3" t="s">
        <v>63</v>
      </c>
      <c r="AU2049" s="6" t="str">
        <f>HYPERLINK("http://catalog.hathitrust.org/Record/009780020","HathiTrust Record")</f>
        <v>HathiTrust Record</v>
      </c>
      <c r="AV2049" s="6" t="str">
        <f>HYPERLINK("http://mcgill.on.worldcat.org/oclc/17206629","Catalog Record")</f>
        <v>Catalog Record</v>
      </c>
      <c r="AW2049" s="6" t="str">
        <f>HYPERLINK("http://www.worldcat.org/oclc/17206629","WorldCat Record")</f>
        <v>WorldCat Record</v>
      </c>
      <c r="AX2049" s="3" t="s">
        <v>17460</v>
      </c>
      <c r="AY2049" s="3" t="s">
        <v>17461</v>
      </c>
      <c r="AZ2049" s="3" t="s">
        <v>17462</v>
      </c>
      <c r="BA2049" s="3" t="s">
        <v>17462</v>
      </c>
      <c r="BB2049" s="3" t="s">
        <v>17485</v>
      </c>
      <c r="BC2049" s="3" t="s">
        <v>82</v>
      </c>
      <c r="BD2049" s="3" t="s">
        <v>70</v>
      </c>
      <c r="BF2049" s="3" t="s">
        <v>17485</v>
      </c>
      <c r="BG2049" s="3" t="s">
        <v>17486</v>
      </c>
    </row>
    <row r="2050" spans="1:59" ht="60" x14ac:dyDescent="0.25">
      <c r="A2050" s="2" t="s">
        <v>59</v>
      </c>
      <c r="B2050" s="2" t="s">
        <v>60</v>
      </c>
      <c r="C2050" s="2" t="s">
        <v>17454</v>
      </c>
      <c r="D2050" s="2" t="s">
        <v>17455</v>
      </c>
      <c r="E2050" s="2" t="s">
        <v>17456</v>
      </c>
      <c r="F2050" s="3" t="s">
        <v>17487</v>
      </c>
      <c r="G2050" s="3" t="s">
        <v>62</v>
      </c>
      <c r="I2050" s="3" t="s">
        <v>63</v>
      </c>
      <c r="J2050" s="3" t="s">
        <v>62</v>
      </c>
      <c r="K2050" s="3" t="s">
        <v>64</v>
      </c>
      <c r="L2050" s="2" t="s">
        <v>16849</v>
      </c>
      <c r="M2050" s="2" t="s">
        <v>17457</v>
      </c>
      <c r="N2050" s="3" t="s">
        <v>11887</v>
      </c>
      <c r="P2050" s="3" t="s">
        <v>66</v>
      </c>
      <c r="R2050" s="3" t="s">
        <v>67</v>
      </c>
      <c r="S2050" s="4">
        <v>6</v>
      </c>
      <c r="T2050" s="4">
        <v>134</v>
      </c>
      <c r="U2050" s="5" t="s">
        <v>17459</v>
      </c>
      <c r="V2050" s="5" t="s">
        <v>17459</v>
      </c>
      <c r="W2050" s="5" t="s">
        <v>69</v>
      </c>
      <c r="X2050" s="5" t="s">
        <v>69</v>
      </c>
      <c r="Y2050" s="4">
        <v>18</v>
      </c>
      <c r="Z2050" s="4">
        <v>2</v>
      </c>
      <c r="AA2050" s="4">
        <v>5</v>
      </c>
      <c r="AB2050" s="4">
        <v>1</v>
      </c>
      <c r="AC2050" s="4">
        <v>1</v>
      </c>
      <c r="AD2050" s="4">
        <v>5</v>
      </c>
      <c r="AE2050" s="4">
        <v>30</v>
      </c>
      <c r="AF2050" s="4">
        <v>0</v>
      </c>
      <c r="AG2050" s="4">
        <v>0</v>
      </c>
      <c r="AH2050" s="4">
        <v>5</v>
      </c>
      <c r="AI2050" s="4">
        <v>29</v>
      </c>
      <c r="AJ2050" s="4">
        <v>0</v>
      </c>
      <c r="AK2050" s="4">
        <v>1</v>
      </c>
      <c r="AL2050" s="4">
        <v>4</v>
      </c>
      <c r="AM2050" s="4">
        <v>19</v>
      </c>
      <c r="AN2050" s="4">
        <v>0</v>
      </c>
      <c r="AO2050" s="4">
        <v>0</v>
      </c>
      <c r="AP2050" s="4">
        <v>0</v>
      </c>
      <c r="AQ2050" s="4">
        <v>2</v>
      </c>
      <c r="AR2050" s="3" t="s">
        <v>63</v>
      </c>
      <c r="AS2050" s="3" t="s">
        <v>62</v>
      </c>
      <c r="AT2050" s="3" t="s">
        <v>63</v>
      </c>
      <c r="AU2050" s="6" t="str">
        <f>HYPERLINK("http://catalog.hathitrust.org/Record/009780020","HathiTrust Record")</f>
        <v>HathiTrust Record</v>
      </c>
      <c r="AV2050" s="6" t="str">
        <f>HYPERLINK("http://mcgill.on.worldcat.org/oclc/17206629","Catalog Record")</f>
        <v>Catalog Record</v>
      </c>
      <c r="AW2050" s="6" t="str">
        <f>HYPERLINK("http://www.worldcat.org/oclc/17206629","WorldCat Record")</f>
        <v>WorldCat Record</v>
      </c>
      <c r="AX2050" s="3" t="s">
        <v>17460</v>
      </c>
      <c r="AY2050" s="3" t="s">
        <v>17461</v>
      </c>
      <c r="AZ2050" s="3" t="s">
        <v>17462</v>
      </c>
      <c r="BA2050" s="3" t="s">
        <v>17462</v>
      </c>
      <c r="BB2050" s="3" t="s">
        <v>17488</v>
      </c>
      <c r="BC2050" s="3" t="s">
        <v>82</v>
      </c>
      <c r="BD2050" s="3" t="s">
        <v>70</v>
      </c>
      <c r="BF2050" s="3" t="s">
        <v>17488</v>
      </c>
      <c r="BG2050" s="3" t="s">
        <v>17489</v>
      </c>
    </row>
    <row r="2051" spans="1:59" ht="60" x14ac:dyDescent="0.25">
      <c r="A2051" s="2" t="s">
        <v>59</v>
      </c>
      <c r="B2051" s="2" t="s">
        <v>60</v>
      </c>
      <c r="C2051" s="2" t="s">
        <v>17454</v>
      </c>
      <c r="D2051" s="2" t="s">
        <v>17455</v>
      </c>
      <c r="E2051" s="2" t="s">
        <v>17456</v>
      </c>
      <c r="F2051" s="3" t="s">
        <v>14673</v>
      </c>
      <c r="G2051" s="3" t="s">
        <v>62</v>
      </c>
      <c r="I2051" s="3" t="s">
        <v>63</v>
      </c>
      <c r="J2051" s="3" t="s">
        <v>62</v>
      </c>
      <c r="K2051" s="3" t="s">
        <v>64</v>
      </c>
      <c r="L2051" s="2" t="s">
        <v>16849</v>
      </c>
      <c r="M2051" s="2" t="s">
        <v>17457</v>
      </c>
      <c r="N2051" s="3" t="s">
        <v>11887</v>
      </c>
      <c r="P2051" s="3" t="s">
        <v>66</v>
      </c>
      <c r="R2051" s="3" t="s">
        <v>67</v>
      </c>
      <c r="S2051" s="4">
        <v>0</v>
      </c>
      <c r="T2051" s="4">
        <v>134</v>
      </c>
      <c r="V2051" s="5" t="s">
        <v>17459</v>
      </c>
      <c r="W2051" s="5" t="s">
        <v>69</v>
      </c>
      <c r="X2051" s="5" t="s">
        <v>69</v>
      </c>
      <c r="Y2051" s="4">
        <v>18</v>
      </c>
      <c r="Z2051" s="4">
        <v>2</v>
      </c>
      <c r="AA2051" s="4">
        <v>5</v>
      </c>
      <c r="AB2051" s="4">
        <v>1</v>
      </c>
      <c r="AC2051" s="4">
        <v>1</v>
      </c>
      <c r="AD2051" s="4">
        <v>5</v>
      </c>
      <c r="AE2051" s="4">
        <v>30</v>
      </c>
      <c r="AF2051" s="4">
        <v>0</v>
      </c>
      <c r="AG2051" s="4">
        <v>0</v>
      </c>
      <c r="AH2051" s="4">
        <v>5</v>
      </c>
      <c r="AI2051" s="4">
        <v>29</v>
      </c>
      <c r="AJ2051" s="4">
        <v>0</v>
      </c>
      <c r="AK2051" s="4">
        <v>1</v>
      </c>
      <c r="AL2051" s="4">
        <v>4</v>
      </c>
      <c r="AM2051" s="4">
        <v>19</v>
      </c>
      <c r="AN2051" s="4">
        <v>0</v>
      </c>
      <c r="AO2051" s="4">
        <v>0</v>
      </c>
      <c r="AP2051" s="4">
        <v>0</v>
      </c>
      <c r="AQ2051" s="4">
        <v>2</v>
      </c>
      <c r="AR2051" s="3" t="s">
        <v>63</v>
      </c>
      <c r="AS2051" s="3" t="s">
        <v>62</v>
      </c>
      <c r="AT2051" s="3" t="s">
        <v>63</v>
      </c>
      <c r="AU2051" s="6" t="str">
        <f>HYPERLINK("http://catalog.hathitrust.org/Record/009780020","HathiTrust Record")</f>
        <v>HathiTrust Record</v>
      </c>
      <c r="AV2051" s="6" t="str">
        <f>HYPERLINK("http://mcgill.on.worldcat.org/oclc/17206629","Catalog Record")</f>
        <v>Catalog Record</v>
      </c>
      <c r="AW2051" s="6" t="str">
        <f>HYPERLINK("http://www.worldcat.org/oclc/17206629","WorldCat Record")</f>
        <v>WorldCat Record</v>
      </c>
      <c r="AX2051" s="3" t="s">
        <v>17460</v>
      </c>
      <c r="AY2051" s="3" t="s">
        <v>17461</v>
      </c>
      <c r="AZ2051" s="3" t="s">
        <v>17462</v>
      </c>
      <c r="BA2051" s="3" t="s">
        <v>17462</v>
      </c>
      <c r="BB2051" s="3" t="s">
        <v>17490</v>
      </c>
      <c r="BC2051" s="3" t="s">
        <v>82</v>
      </c>
      <c r="BD2051" s="3" t="s">
        <v>70</v>
      </c>
      <c r="BF2051" s="3" t="s">
        <v>17490</v>
      </c>
      <c r="BG2051" s="3" t="s">
        <v>17491</v>
      </c>
    </row>
    <row r="2052" spans="1:59" ht="60" x14ac:dyDescent="0.25">
      <c r="A2052" s="2" t="s">
        <v>59</v>
      </c>
      <c r="B2052" s="2" t="s">
        <v>60</v>
      </c>
      <c r="C2052" s="2" t="s">
        <v>17454</v>
      </c>
      <c r="D2052" s="2" t="s">
        <v>17455</v>
      </c>
      <c r="E2052" s="2" t="s">
        <v>17456</v>
      </c>
      <c r="F2052" s="3" t="s">
        <v>17492</v>
      </c>
      <c r="G2052" s="3" t="s">
        <v>62</v>
      </c>
      <c r="I2052" s="3" t="s">
        <v>63</v>
      </c>
      <c r="J2052" s="3" t="s">
        <v>62</v>
      </c>
      <c r="K2052" s="3" t="s">
        <v>64</v>
      </c>
      <c r="L2052" s="2" t="s">
        <v>16849</v>
      </c>
      <c r="M2052" s="2" t="s">
        <v>17457</v>
      </c>
      <c r="N2052" s="3" t="s">
        <v>11887</v>
      </c>
      <c r="P2052" s="3" t="s">
        <v>66</v>
      </c>
      <c r="R2052" s="3" t="s">
        <v>67</v>
      </c>
      <c r="S2052" s="4">
        <v>19</v>
      </c>
      <c r="T2052" s="4">
        <v>134</v>
      </c>
      <c r="U2052" s="5" t="s">
        <v>17493</v>
      </c>
      <c r="V2052" s="5" t="s">
        <v>17459</v>
      </c>
      <c r="W2052" s="5" t="s">
        <v>69</v>
      </c>
      <c r="X2052" s="5" t="s">
        <v>69</v>
      </c>
      <c r="Y2052" s="4">
        <v>18</v>
      </c>
      <c r="Z2052" s="4">
        <v>2</v>
      </c>
      <c r="AA2052" s="4">
        <v>5</v>
      </c>
      <c r="AB2052" s="4">
        <v>1</v>
      </c>
      <c r="AC2052" s="4">
        <v>1</v>
      </c>
      <c r="AD2052" s="4">
        <v>5</v>
      </c>
      <c r="AE2052" s="4">
        <v>30</v>
      </c>
      <c r="AF2052" s="4">
        <v>0</v>
      </c>
      <c r="AG2052" s="4">
        <v>0</v>
      </c>
      <c r="AH2052" s="4">
        <v>5</v>
      </c>
      <c r="AI2052" s="4">
        <v>29</v>
      </c>
      <c r="AJ2052" s="4">
        <v>0</v>
      </c>
      <c r="AK2052" s="4">
        <v>1</v>
      </c>
      <c r="AL2052" s="4">
        <v>4</v>
      </c>
      <c r="AM2052" s="4">
        <v>19</v>
      </c>
      <c r="AN2052" s="4">
        <v>0</v>
      </c>
      <c r="AO2052" s="4">
        <v>0</v>
      </c>
      <c r="AP2052" s="4">
        <v>0</v>
      </c>
      <c r="AQ2052" s="4">
        <v>2</v>
      </c>
      <c r="AR2052" s="3" t="s">
        <v>63</v>
      </c>
      <c r="AS2052" s="3" t="s">
        <v>62</v>
      </c>
      <c r="AT2052" s="3" t="s">
        <v>63</v>
      </c>
      <c r="AU2052" s="6" t="str">
        <f>HYPERLINK("http://catalog.hathitrust.org/Record/009780020","HathiTrust Record")</f>
        <v>HathiTrust Record</v>
      </c>
      <c r="AV2052" s="6" t="str">
        <f>HYPERLINK("http://mcgill.on.worldcat.org/oclc/17206629","Catalog Record")</f>
        <v>Catalog Record</v>
      </c>
      <c r="AW2052" s="6" t="str">
        <f>HYPERLINK("http://www.worldcat.org/oclc/17206629","WorldCat Record")</f>
        <v>WorldCat Record</v>
      </c>
      <c r="AX2052" s="3" t="s">
        <v>17460</v>
      </c>
      <c r="AY2052" s="3" t="s">
        <v>17461</v>
      </c>
      <c r="AZ2052" s="3" t="s">
        <v>17462</v>
      </c>
      <c r="BA2052" s="3" t="s">
        <v>17462</v>
      </c>
      <c r="BB2052" s="3" t="s">
        <v>17494</v>
      </c>
      <c r="BC2052" s="3" t="s">
        <v>82</v>
      </c>
      <c r="BD2052" s="3" t="s">
        <v>70</v>
      </c>
      <c r="BF2052" s="3" t="s">
        <v>17494</v>
      </c>
      <c r="BG2052" s="3" t="s">
        <v>17495</v>
      </c>
    </row>
    <row r="2053" spans="1:59" ht="60" x14ac:dyDescent="0.25">
      <c r="A2053" s="2" t="s">
        <v>59</v>
      </c>
      <c r="B2053" s="2" t="s">
        <v>60</v>
      </c>
      <c r="C2053" s="2" t="s">
        <v>17454</v>
      </c>
      <c r="D2053" s="2" t="s">
        <v>17455</v>
      </c>
      <c r="E2053" s="2" t="s">
        <v>17456</v>
      </c>
      <c r="F2053" s="3" t="s">
        <v>5693</v>
      </c>
      <c r="G2053" s="3" t="s">
        <v>62</v>
      </c>
      <c r="I2053" s="3" t="s">
        <v>63</v>
      </c>
      <c r="J2053" s="3" t="s">
        <v>62</v>
      </c>
      <c r="K2053" s="3" t="s">
        <v>64</v>
      </c>
      <c r="L2053" s="2" t="s">
        <v>16849</v>
      </c>
      <c r="M2053" s="2" t="s">
        <v>17457</v>
      </c>
      <c r="N2053" s="3" t="s">
        <v>11887</v>
      </c>
      <c r="P2053" s="3" t="s">
        <v>66</v>
      </c>
      <c r="R2053" s="3" t="s">
        <v>67</v>
      </c>
      <c r="S2053" s="4">
        <v>26</v>
      </c>
      <c r="T2053" s="4">
        <v>134</v>
      </c>
      <c r="U2053" s="5" t="s">
        <v>17496</v>
      </c>
      <c r="V2053" s="5" t="s">
        <v>17459</v>
      </c>
      <c r="W2053" s="5" t="s">
        <v>69</v>
      </c>
      <c r="X2053" s="5" t="s">
        <v>69</v>
      </c>
      <c r="Y2053" s="4">
        <v>18</v>
      </c>
      <c r="Z2053" s="4">
        <v>2</v>
      </c>
      <c r="AA2053" s="4">
        <v>5</v>
      </c>
      <c r="AB2053" s="4">
        <v>1</v>
      </c>
      <c r="AC2053" s="4">
        <v>1</v>
      </c>
      <c r="AD2053" s="4">
        <v>5</v>
      </c>
      <c r="AE2053" s="4">
        <v>30</v>
      </c>
      <c r="AF2053" s="4">
        <v>0</v>
      </c>
      <c r="AG2053" s="4">
        <v>0</v>
      </c>
      <c r="AH2053" s="4">
        <v>5</v>
      </c>
      <c r="AI2053" s="4">
        <v>29</v>
      </c>
      <c r="AJ2053" s="4">
        <v>0</v>
      </c>
      <c r="AK2053" s="4">
        <v>1</v>
      </c>
      <c r="AL2053" s="4">
        <v>4</v>
      </c>
      <c r="AM2053" s="4">
        <v>19</v>
      </c>
      <c r="AN2053" s="4">
        <v>0</v>
      </c>
      <c r="AO2053" s="4">
        <v>0</v>
      </c>
      <c r="AP2053" s="4">
        <v>0</v>
      </c>
      <c r="AQ2053" s="4">
        <v>2</v>
      </c>
      <c r="AR2053" s="3" t="s">
        <v>63</v>
      </c>
      <c r="AS2053" s="3" t="s">
        <v>62</v>
      </c>
      <c r="AT2053" s="3" t="s">
        <v>63</v>
      </c>
      <c r="AU2053" s="6" t="str">
        <f>HYPERLINK("http://catalog.hathitrust.org/Record/009780020","HathiTrust Record")</f>
        <v>HathiTrust Record</v>
      </c>
      <c r="AV2053" s="6" t="str">
        <f>HYPERLINK("http://mcgill.on.worldcat.org/oclc/17206629","Catalog Record")</f>
        <v>Catalog Record</v>
      </c>
      <c r="AW2053" s="6" t="str">
        <f>HYPERLINK("http://www.worldcat.org/oclc/17206629","WorldCat Record")</f>
        <v>WorldCat Record</v>
      </c>
      <c r="AX2053" s="3" t="s">
        <v>17460</v>
      </c>
      <c r="AY2053" s="3" t="s">
        <v>17461</v>
      </c>
      <c r="AZ2053" s="3" t="s">
        <v>17462</v>
      </c>
      <c r="BA2053" s="3" t="s">
        <v>17462</v>
      </c>
      <c r="BB2053" s="3" t="s">
        <v>17497</v>
      </c>
      <c r="BC2053" s="3" t="s">
        <v>82</v>
      </c>
      <c r="BD2053" s="3" t="s">
        <v>70</v>
      </c>
      <c r="BF2053" s="3" t="s">
        <v>17497</v>
      </c>
      <c r="BG2053" s="3" t="s">
        <v>17498</v>
      </c>
    </row>
    <row r="2054" spans="1:59" ht="60" x14ac:dyDescent="0.25">
      <c r="A2054" s="2" t="s">
        <v>59</v>
      </c>
      <c r="B2054" s="2" t="s">
        <v>60</v>
      </c>
      <c r="C2054" s="2" t="s">
        <v>17454</v>
      </c>
      <c r="D2054" s="2" t="s">
        <v>17455</v>
      </c>
      <c r="E2054" s="2" t="s">
        <v>17456</v>
      </c>
      <c r="F2054" s="3" t="s">
        <v>14685</v>
      </c>
      <c r="G2054" s="3" t="s">
        <v>62</v>
      </c>
      <c r="I2054" s="3" t="s">
        <v>63</v>
      </c>
      <c r="J2054" s="3" t="s">
        <v>62</v>
      </c>
      <c r="K2054" s="3" t="s">
        <v>64</v>
      </c>
      <c r="L2054" s="2" t="s">
        <v>16849</v>
      </c>
      <c r="M2054" s="2" t="s">
        <v>17457</v>
      </c>
      <c r="N2054" s="3" t="s">
        <v>11887</v>
      </c>
      <c r="P2054" s="3" t="s">
        <v>66</v>
      </c>
      <c r="R2054" s="3" t="s">
        <v>67</v>
      </c>
      <c r="S2054" s="4">
        <v>0</v>
      </c>
      <c r="T2054" s="4">
        <v>134</v>
      </c>
      <c r="V2054" s="5" t="s">
        <v>17459</v>
      </c>
      <c r="W2054" s="5" t="s">
        <v>69</v>
      </c>
      <c r="X2054" s="5" t="s">
        <v>69</v>
      </c>
      <c r="Y2054" s="4">
        <v>18</v>
      </c>
      <c r="Z2054" s="4">
        <v>2</v>
      </c>
      <c r="AA2054" s="4">
        <v>5</v>
      </c>
      <c r="AB2054" s="4">
        <v>1</v>
      </c>
      <c r="AC2054" s="4">
        <v>1</v>
      </c>
      <c r="AD2054" s="4">
        <v>5</v>
      </c>
      <c r="AE2054" s="4">
        <v>30</v>
      </c>
      <c r="AF2054" s="4">
        <v>0</v>
      </c>
      <c r="AG2054" s="4">
        <v>0</v>
      </c>
      <c r="AH2054" s="4">
        <v>5</v>
      </c>
      <c r="AI2054" s="4">
        <v>29</v>
      </c>
      <c r="AJ2054" s="4">
        <v>0</v>
      </c>
      <c r="AK2054" s="4">
        <v>1</v>
      </c>
      <c r="AL2054" s="4">
        <v>4</v>
      </c>
      <c r="AM2054" s="4">
        <v>19</v>
      </c>
      <c r="AN2054" s="4">
        <v>0</v>
      </c>
      <c r="AO2054" s="4">
        <v>0</v>
      </c>
      <c r="AP2054" s="4">
        <v>0</v>
      </c>
      <c r="AQ2054" s="4">
        <v>2</v>
      </c>
      <c r="AR2054" s="3" t="s">
        <v>63</v>
      </c>
      <c r="AS2054" s="3" t="s">
        <v>62</v>
      </c>
      <c r="AT2054" s="3" t="s">
        <v>63</v>
      </c>
      <c r="AU2054" s="6" t="str">
        <f>HYPERLINK("http://catalog.hathitrust.org/Record/009780020","HathiTrust Record")</f>
        <v>HathiTrust Record</v>
      </c>
      <c r="AV2054" s="6" t="str">
        <f>HYPERLINK("http://mcgill.on.worldcat.org/oclc/17206629","Catalog Record")</f>
        <v>Catalog Record</v>
      </c>
      <c r="AW2054" s="6" t="str">
        <f>HYPERLINK("http://www.worldcat.org/oclc/17206629","WorldCat Record")</f>
        <v>WorldCat Record</v>
      </c>
      <c r="AX2054" s="3" t="s">
        <v>17460</v>
      </c>
      <c r="AY2054" s="3" t="s">
        <v>17461</v>
      </c>
      <c r="AZ2054" s="3" t="s">
        <v>17462</v>
      </c>
      <c r="BA2054" s="3" t="s">
        <v>17462</v>
      </c>
      <c r="BB2054" s="3" t="s">
        <v>17499</v>
      </c>
      <c r="BC2054" s="3" t="s">
        <v>82</v>
      </c>
      <c r="BD2054" s="3" t="s">
        <v>70</v>
      </c>
      <c r="BF2054" s="3" t="s">
        <v>17499</v>
      </c>
      <c r="BG2054" s="3" t="s">
        <v>17500</v>
      </c>
    </row>
    <row r="2055" spans="1:59" ht="60" x14ac:dyDescent="0.25">
      <c r="A2055" s="2" t="s">
        <v>59</v>
      </c>
      <c r="B2055" s="2" t="s">
        <v>60</v>
      </c>
      <c r="C2055" s="2" t="s">
        <v>17454</v>
      </c>
      <c r="D2055" s="2" t="s">
        <v>17455</v>
      </c>
      <c r="E2055" s="2" t="s">
        <v>17456</v>
      </c>
      <c r="F2055" s="3" t="s">
        <v>5714</v>
      </c>
      <c r="G2055" s="3" t="s">
        <v>62</v>
      </c>
      <c r="I2055" s="3" t="s">
        <v>63</v>
      </c>
      <c r="J2055" s="3" t="s">
        <v>62</v>
      </c>
      <c r="K2055" s="3" t="s">
        <v>64</v>
      </c>
      <c r="L2055" s="2" t="s">
        <v>16849</v>
      </c>
      <c r="M2055" s="2" t="s">
        <v>17457</v>
      </c>
      <c r="N2055" s="3" t="s">
        <v>11887</v>
      </c>
      <c r="P2055" s="3" t="s">
        <v>66</v>
      </c>
      <c r="R2055" s="3" t="s">
        <v>67</v>
      </c>
      <c r="S2055" s="4">
        <v>0</v>
      </c>
      <c r="T2055" s="4">
        <v>134</v>
      </c>
      <c r="V2055" s="5" t="s">
        <v>17459</v>
      </c>
      <c r="W2055" s="5" t="s">
        <v>69</v>
      </c>
      <c r="X2055" s="5" t="s">
        <v>69</v>
      </c>
      <c r="Y2055" s="4">
        <v>18</v>
      </c>
      <c r="Z2055" s="4">
        <v>2</v>
      </c>
      <c r="AA2055" s="4">
        <v>5</v>
      </c>
      <c r="AB2055" s="4">
        <v>1</v>
      </c>
      <c r="AC2055" s="4">
        <v>1</v>
      </c>
      <c r="AD2055" s="4">
        <v>5</v>
      </c>
      <c r="AE2055" s="4">
        <v>30</v>
      </c>
      <c r="AF2055" s="4">
        <v>0</v>
      </c>
      <c r="AG2055" s="4">
        <v>0</v>
      </c>
      <c r="AH2055" s="4">
        <v>5</v>
      </c>
      <c r="AI2055" s="4">
        <v>29</v>
      </c>
      <c r="AJ2055" s="4">
        <v>0</v>
      </c>
      <c r="AK2055" s="4">
        <v>1</v>
      </c>
      <c r="AL2055" s="4">
        <v>4</v>
      </c>
      <c r="AM2055" s="4">
        <v>19</v>
      </c>
      <c r="AN2055" s="4">
        <v>0</v>
      </c>
      <c r="AO2055" s="4">
        <v>0</v>
      </c>
      <c r="AP2055" s="4">
        <v>0</v>
      </c>
      <c r="AQ2055" s="4">
        <v>2</v>
      </c>
      <c r="AR2055" s="3" t="s">
        <v>63</v>
      </c>
      <c r="AS2055" s="3" t="s">
        <v>62</v>
      </c>
      <c r="AT2055" s="3" t="s">
        <v>63</v>
      </c>
      <c r="AU2055" s="6" t="str">
        <f>HYPERLINK("http://catalog.hathitrust.org/Record/009780020","HathiTrust Record")</f>
        <v>HathiTrust Record</v>
      </c>
      <c r="AV2055" s="6" t="str">
        <f>HYPERLINK("http://mcgill.on.worldcat.org/oclc/17206629","Catalog Record")</f>
        <v>Catalog Record</v>
      </c>
      <c r="AW2055" s="6" t="str">
        <f>HYPERLINK("http://www.worldcat.org/oclc/17206629","WorldCat Record")</f>
        <v>WorldCat Record</v>
      </c>
      <c r="AX2055" s="3" t="s">
        <v>17460</v>
      </c>
      <c r="AY2055" s="3" t="s">
        <v>17461</v>
      </c>
      <c r="AZ2055" s="3" t="s">
        <v>17462</v>
      </c>
      <c r="BA2055" s="3" t="s">
        <v>17462</v>
      </c>
      <c r="BB2055" s="3" t="s">
        <v>17501</v>
      </c>
      <c r="BC2055" s="3" t="s">
        <v>82</v>
      </c>
      <c r="BD2055" s="3" t="s">
        <v>70</v>
      </c>
      <c r="BF2055" s="3" t="s">
        <v>17501</v>
      </c>
      <c r="BG2055" s="3" t="s">
        <v>17502</v>
      </c>
    </row>
    <row r="2056" spans="1:59" ht="60" x14ac:dyDescent="0.25">
      <c r="A2056" s="2" t="s">
        <v>59</v>
      </c>
      <c r="B2056" s="2" t="s">
        <v>60</v>
      </c>
      <c r="C2056" s="2" t="s">
        <v>17454</v>
      </c>
      <c r="D2056" s="2" t="s">
        <v>17455</v>
      </c>
      <c r="E2056" s="2" t="s">
        <v>17456</v>
      </c>
      <c r="F2056" s="3" t="s">
        <v>17503</v>
      </c>
      <c r="G2056" s="3" t="s">
        <v>62</v>
      </c>
      <c r="I2056" s="3" t="s">
        <v>63</v>
      </c>
      <c r="J2056" s="3" t="s">
        <v>62</v>
      </c>
      <c r="K2056" s="3" t="s">
        <v>64</v>
      </c>
      <c r="L2056" s="2" t="s">
        <v>16849</v>
      </c>
      <c r="M2056" s="2" t="s">
        <v>17457</v>
      </c>
      <c r="N2056" s="3" t="s">
        <v>11887</v>
      </c>
      <c r="P2056" s="3" t="s">
        <v>66</v>
      </c>
      <c r="R2056" s="3" t="s">
        <v>67</v>
      </c>
      <c r="S2056" s="4">
        <v>9</v>
      </c>
      <c r="T2056" s="4">
        <v>134</v>
      </c>
      <c r="U2056" s="5" t="s">
        <v>17504</v>
      </c>
      <c r="V2056" s="5" t="s">
        <v>17459</v>
      </c>
      <c r="W2056" s="5" t="s">
        <v>69</v>
      </c>
      <c r="X2056" s="5" t="s">
        <v>69</v>
      </c>
      <c r="Y2056" s="4">
        <v>18</v>
      </c>
      <c r="Z2056" s="4">
        <v>2</v>
      </c>
      <c r="AA2056" s="4">
        <v>5</v>
      </c>
      <c r="AB2056" s="4">
        <v>1</v>
      </c>
      <c r="AC2056" s="4">
        <v>1</v>
      </c>
      <c r="AD2056" s="4">
        <v>5</v>
      </c>
      <c r="AE2056" s="4">
        <v>30</v>
      </c>
      <c r="AF2056" s="4">
        <v>0</v>
      </c>
      <c r="AG2056" s="4">
        <v>0</v>
      </c>
      <c r="AH2056" s="4">
        <v>5</v>
      </c>
      <c r="AI2056" s="4">
        <v>29</v>
      </c>
      <c r="AJ2056" s="4">
        <v>0</v>
      </c>
      <c r="AK2056" s="4">
        <v>1</v>
      </c>
      <c r="AL2056" s="4">
        <v>4</v>
      </c>
      <c r="AM2056" s="4">
        <v>19</v>
      </c>
      <c r="AN2056" s="4">
        <v>0</v>
      </c>
      <c r="AO2056" s="4">
        <v>0</v>
      </c>
      <c r="AP2056" s="4">
        <v>0</v>
      </c>
      <c r="AQ2056" s="4">
        <v>2</v>
      </c>
      <c r="AR2056" s="3" t="s">
        <v>63</v>
      </c>
      <c r="AS2056" s="3" t="s">
        <v>62</v>
      </c>
      <c r="AT2056" s="3" t="s">
        <v>63</v>
      </c>
      <c r="AU2056" s="6" t="str">
        <f>HYPERLINK("http://catalog.hathitrust.org/Record/009780020","HathiTrust Record")</f>
        <v>HathiTrust Record</v>
      </c>
      <c r="AV2056" s="6" t="str">
        <f>HYPERLINK("http://mcgill.on.worldcat.org/oclc/17206629","Catalog Record")</f>
        <v>Catalog Record</v>
      </c>
      <c r="AW2056" s="6" t="str">
        <f>HYPERLINK("http://www.worldcat.org/oclc/17206629","WorldCat Record")</f>
        <v>WorldCat Record</v>
      </c>
      <c r="AX2056" s="3" t="s">
        <v>17460</v>
      </c>
      <c r="AY2056" s="3" t="s">
        <v>17461</v>
      </c>
      <c r="AZ2056" s="3" t="s">
        <v>17462</v>
      </c>
      <c r="BA2056" s="3" t="s">
        <v>17462</v>
      </c>
      <c r="BB2056" s="3" t="s">
        <v>17505</v>
      </c>
      <c r="BC2056" s="3" t="s">
        <v>82</v>
      </c>
      <c r="BD2056" s="3" t="s">
        <v>70</v>
      </c>
      <c r="BF2056" s="3" t="s">
        <v>17505</v>
      </c>
      <c r="BG2056" s="3" t="s">
        <v>17506</v>
      </c>
    </row>
    <row r="2057" spans="1:59" ht="60" x14ac:dyDescent="0.25">
      <c r="A2057" s="2" t="s">
        <v>59</v>
      </c>
      <c r="B2057" s="2" t="s">
        <v>60</v>
      </c>
      <c r="C2057" s="2" t="s">
        <v>17454</v>
      </c>
      <c r="D2057" s="2" t="s">
        <v>17455</v>
      </c>
      <c r="E2057" s="2" t="s">
        <v>17456</v>
      </c>
      <c r="F2057" s="3" t="s">
        <v>17507</v>
      </c>
      <c r="G2057" s="3" t="s">
        <v>62</v>
      </c>
      <c r="I2057" s="3" t="s">
        <v>63</v>
      </c>
      <c r="J2057" s="3" t="s">
        <v>62</v>
      </c>
      <c r="K2057" s="3" t="s">
        <v>64</v>
      </c>
      <c r="L2057" s="2" t="s">
        <v>16849</v>
      </c>
      <c r="M2057" s="2" t="s">
        <v>17457</v>
      </c>
      <c r="N2057" s="3" t="s">
        <v>11887</v>
      </c>
      <c r="P2057" s="3" t="s">
        <v>66</v>
      </c>
      <c r="R2057" s="3" t="s">
        <v>67</v>
      </c>
      <c r="S2057" s="4">
        <v>3</v>
      </c>
      <c r="T2057" s="4">
        <v>134</v>
      </c>
      <c r="U2057" s="5" t="s">
        <v>17508</v>
      </c>
      <c r="V2057" s="5" t="s">
        <v>17459</v>
      </c>
      <c r="W2057" s="5" t="s">
        <v>69</v>
      </c>
      <c r="X2057" s="5" t="s">
        <v>69</v>
      </c>
      <c r="Y2057" s="4">
        <v>18</v>
      </c>
      <c r="Z2057" s="4">
        <v>2</v>
      </c>
      <c r="AA2057" s="4">
        <v>5</v>
      </c>
      <c r="AB2057" s="4">
        <v>1</v>
      </c>
      <c r="AC2057" s="4">
        <v>1</v>
      </c>
      <c r="AD2057" s="4">
        <v>5</v>
      </c>
      <c r="AE2057" s="4">
        <v>30</v>
      </c>
      <c r="AF2057" s="4">
        <v>0</v>
      </c>
      <c r="AG2057" s="4">
        <v>0</v>
      </c>
      <c r="AH2057" s="4">
        <v>5</v>
      </c>
      <c r="AI2057" s="4">
        <v>29</v>
      </c>
      <c r="AJ2057" s="4">
        <v>0</v>
      </c>
      <c r="AK2057" s="4">
        <v>1</v>
      </c>
      <c r="AL2057" s="4">
        <v>4</v>
      </c>
      <c r="AM2057" s="4">
        <v>19</v>
      </c>
      <c r="AN2057" s="4">
        <v>0</v>
      </c>
      <c r="AO2057" s="4">
        <v>0</v>
      </c>
      <c r="AP2057" s="4">
        <v>0</v>
      </c>
      <c r="AQ2057" s="4">
        <v>2</v>
      </c>
      <c r="AR2057" s="3" t="s">
        <v>63</v>
      </c>
      <c r="AS2057" s="3" t="s">
        <v>62</v>
      </c>
      <c r="AT2057" s="3" t="s">
        <v>63</v>
      </c>
      <c r="AU2057" s="6" t="str">
        <f>HYPERLINK("http://catalog.hathitrust.org/Record/009780020","HathiTrust Record")</f>
        <v>HathiTrust Record</v>
      </c>
      <c r="AV2057" s="6" t="str">
        <f>HYPERLINK("http://mcgill.on.worldcat.org/oclc/17206629","Catalog Record")</f>
        <v>Catalog Record</v>
      </c>
      <c r="AW2057" s="6" t="str">
        <f>HYPERLINK("http://www.worldcat.org/oclc/17206629","WorldCat Record")</f>
        <v>WorldCat Record</v>
      </c>
      <c r="AX2057" s="3" t="s">
        <v>17460</v>
      </c>
      <c r="AY2057" s="3" t="s">
        <v>17461</v>
      </c>
      <c r="AZ2057" s="3" t="s">
        <v>17462</v>
      </c>
      <c r="BA2057" s="3" t="s">
        <v>17462</v>
      </c>
      <c r="BB2057" s="3" t="s">
        <v>17509</v>
      </c>
      <c r="BC2057" s="3" t="s">
        <v>82</v>
      </c>
      <c r="BD2057" s="3" t="s">
        <v>70</v>
      </c>
      <c r="BF2057" s="3" t="s">
        <v>17509</v>
      </c>
      <c r="BG2057" s="3" t="s">
        <v>17510</v>
      </c>
    </row>
    <row r="2058" spans="1:59" ht="60" x14ac:dyDescent="0.25">
      <c r="A2058" s="2" t="s">
        <v>59</v>
      </c>
      <c r="B2058" s="2" t="s">
        <v>60</v>
      </c>
      <c r="C2058" s="2" t="s">
        <v>17454</v>
      </c>
      <c r="D2058" s="2" t="s">
        <v>17455</v>
      </c>
      <c r="E2058" s="2" t="s">
        <v>17456</v>
      </c>
      <c r="F2058" s="3" t="s">
        <v>17511</v>
      </c>
      <c r="G2058" s="3" t="s">
        <v>62</v>
      </c>
      <c r="I2058" s="3" t="s">
        <v>63</v>
      </c>
      <c r="J2058" s="3" t="s">
        <v>62</v>
      </c>
      <c r="K2058" s="3" t="s">
        <v>64</v>
      </c>
      <c r="L2058" s="2" t="s">
        <v>16849</v>
      </c>
      <c r="M2058" s="2" t="s">
        <v>17457</v>
      </c>
      <c r="N2058" s="3" t="s">
        <v>11887</v>
      </c>
      <c r="P2058" s="3" t="s">
        <v>66</v>
      </c>
      <c r="R2058" s="3" t="s">
        <v>67</v>
      </c>
      <c r="S2058" s="4">
        <v>0</v>
      </c>
      <c r="T2058" s="4">
        <v>134</v>
      </c>
      <c r="V2058" s="5" t="s">
        <v>17459</v>
      </c>
      <c r="W2058" s="5" t="s">
        <v>69</v>
      </c>
      <c r="X2058" s="5" t="s">
        <v>69</v>
      </c>
      <c r="Y2058" s="4">
        <v>18</v>
      </c>
      <c r="Z2058" s="4">
        <v>2</v>
      </c>
      <c r="AA2058" s="4">
        <v>5</v>
      </c>
      <c r="AB2058" s="4">
        <v>1</v>
      </c>
      <c r="AC2058" s="4">
        <v>1</v>
      </c>
      <c r="AD2058" s="4">
        <v>5</v>
      </c>
      <c r="AE2058" s="4">
        <v>30</v>
      </c>
      <c r="AF2058" s="4">
        <v>0</v>
      </c>
      <c r="AG2058" s="4">
        <v>0</v>
      </c>
      <c r="AH2058" s="4">
        <v>5</v>
      </c>
      <c r="AI2058" s="4">
        <v>29</v>
      </c>
      <c r="AJ2058" s="4">
        <v>0</v>
      </c>
      <c r="AK2058" s="4">
        <v>1</v>
      </c>
      <c r="AL2058" s="4">
        <v>4</v>
      </c>
      <c r="AM2058" s="4">
        <v>19</v>
      </c>
      <c r="AN2058" s="4">
        <v>0</v>
      </c>
      <c r="AO2058" s="4">
        <v>0</v>
      </c>
      <c r="AP2058" s="4">
        <v>0</v>
      </c>
      <c r="AQ2058" s="4">
        <v>2</v>
      </c>
      <c r="AR2058" s="3" t="s">
        <v>63</v>
      </c>
      <c r="AS2058" s="3" t="s">
        <v>62</v>
      </c>
      <c r="AT2058" s="3" t="s">
        <v>63</v>
      </c>
      <c r="AU2058" s="6" t="str">
        <f>HYPERLINK("http://catalog.hathitrust.org/Record/009780020","HathiTrust Record")</f>
        <v>HathiTrust Record</v>
      </c>
      <c r="AV2058" s="6" t="str">
        <f>HYPERLINK("http://mcgill.on.worldcat.org/oclc/17206629","Catalog Record")</f>
        <v>Catalog Record</v>
      </c>
      <c r="AW2058" s="6" t="str">
        <f>HYPERLINK("http://www.worldcat.org/oclc/17206629","WorldCat Record")</f>
        <v>WorldCat Record</v>
      </c>
      <c r="AX2058" s="3" t="s">
        <v>17460</v>
      </c>
      <c r="AY2058" s="3" t="s">
        <v>17461</v>
      </c>
      <c r="AZ2058" s="3" t="s">
        <v>17462</v>
      </c>
      <c r="BA2058" s="3" t="s">
        <v>17462</v>
      </c>
      <c r="BB2058" s="3" t="s">
        <v>17512</v>
      </c>
      <c r="BC2058" s="3" t="s">
        <v>82</v>
      </c>
      <c r="BD2058" s="3" t="s">
        <v>70</v>
      </c>
      <c r="BF2058" s="3" t="s">
        <v>17512</v>
      </c>
      <c r="BG2058" s="3" t="s">
        <v>17513</v>
      </c>
    </row>
    <row r="2059" spans="1:59" ht="60" x14ac:dyDescent="0.25">
      <c r="A2059" s="2" t="s">
        <v>59</v>
      </c>
      <c r="B2059" s="2" t="s">
        <v>60</v>
      </c>
      <c r="C2059" s="2" t="s">
        <v>17454</v>
      </c>
      <c r="D2059" s="2" t="s">
        <v>17455</v>
      </c>
      <c r="E2059" s="2" t="s">
        <v>17456</v>
      </c>
      <c r="F2059" s="3" t="s">
        <v>17514</v>
      </c>
      <c r="G2059" s="3" t="s">
        <v>62</v>
      </c>
      <c r="I2059" s="3" t="s">
        <v>63</v>
      </c>
      <c r="J2059" s="3" t="s">
        <v>62</v>
      </c>
      <c r="K2059" s="3" t="s">
        <v>64</v>
      </c>
      <c r="L2059" s="2" t="s">
        <v>16849</v>
      </c>
      <c r="M2059" s="2" t="s">
        <v>17457</v>
      </c>
      <c r="N2059" s="3" t="s">
        <v>11887</v>
      </c>
      <c r="P2059" s="3" t="s">
        <v>66</v>
      </c>
      <c r="R2059" s="3" t="s">
        <v>67</v>
      </c>
      <c r="S2059" s="4">
        <v>8</v>
      </c>
      <c r="T2059" s="4">
        <v>134</v>
      </c>
      <c r="U2059" s="5" t="s">
        <v>17515</v>
      </c>
      <c r="V2059" s="5" t="s">
        <v>17459</v>
      </c>
      <c r="W2059" s="5" t="s">
        <v>69</v>
      </c>
      <c r="X2059" s="5" t="s">
        <v>69</v>
      </c>
      <c r="Y2059" s="4">
        <v>18</v>
      </c>
      <c r="Z2059" s="4">
        <v>2</v>
      </c>
      <c r="AA2059" s="4">
        <v>5</v>
      </c>
      <c r="AB2059" s="4">
        <v>1</v>
      </c>
      <c r="AC2059" s="4">
        <v>1</v>
      </c>
      <c r="AD2059" s="4">
        <v>5</v>
      </c>
      <c r="AE2059" s="4">
        <v>30</v>
      </c>
      <c r="AF2059" s="4">
        <v>0</v>
      </c>
      <c r="AG2059" s="4">
        <v>0</v>
      </c>
      <c r="AH2059" s="4">
        <v>5</v>
      </c>
      <c r="AI2059" s="4">
        <v>29</v>
      </c>
      <c r="AJ2059" s="4">
        <v>0</v>
      </c>
      <c r="AK2059" s="4">
        <v>1</v>
      </c>
      <c r="AL2059" s="4">
        <v>4</v>
      </c>
      <c r="AM2059" s="4">
        <v>19</v>
      </c>
      <c r="AN2059" s="4">
        <v>0</v>
      </c>
      <c r="AO2059" s="4">
        <v>0</v>
      </c>
      <c r="AP2059" s="4">
        <v>0</v>
      </c>
      <c r="AQ2059" s="4">
        <v>2</v>
      </c>
      <c r="AR2059" s="3" t="s">
        <v>63</v>
      </c>
      <c r="AS2059" s="3" t="s">
        <v>62</v>
      </c>
      <c r="AT2059" s="3" t="s">
        <v>63</v>
      </c>
      <c r="AU2059" s="6" t="str">
        <f>HYPERLINK("http://catalog.hathitrust.org/Record/009780020","HathiTrust Record")</f>
        <v>HathiTrust Record</v>
      </c>
      <c r="AV2059" s="6" t="str">
        <f>HYPERLINK("http://mcgill.on.worldcat.org/oclc/17206629","Catalog Record")</f>
        <v>Catalog Record</v>
      </c>
      <c r="AW2059" s="6" t="str">
        <f>HYPERLINK("http://www.worldcat.org/oclc/17206629","WorldCat Record")</f>
        <v>WorldCat Record</v>
      </c>
      <c r="AX2059" s="3" t="s">
        <v>17460</v>
      </c>
      <c r="AY2059" s="3" t="s">
        <v>17461</v>
      </c>
      <c r="AZ2059" s="3" t="s">
        <v>17462</v>
      </c>
      <c r="BA2059" s="3" t="s">
        <v>17462</v>
      </c>
      <c r="BB2059" s="3" t="s">
        <v>17516</v>
      </c>
      <c r="BC2059" s="3" t="s">
        <v>82</v>
      </c>
      <c r="BD2059" s="3" t="s">
        <v>70</v>
      </c>
      <c r="BF2059" s="3" t="s">
        <v>17516</v>
      </c>
      <c r="BG2059" s="3" t="s">
        <v>17517</v>
      </c>
    </row>
    <row r="2060" spans="1:59" ht="60" x14ac:dyDescent="0.25">
      <c r="A2060" s="2" t="s">
        <v>59</v>
      </c>
      <c r="B2060" s="2" t="s">
        <v>60</v>
      </c>
      <c r="C2060" s="2" t="s">
        <v>17454</v>
      </c>
      <c r="D2060" s="2" t="s">
        <v>17455</v>
      </c>
      <c r="E2060" s="2" t="s">
        <v>17456</v>
      </c>
      <c r="F2060" s="3" t="s">
        <v>14676</v>
      </c>
      <c r="G2060" s="3" t="s">
        <v>62</v>
      </c>
      <c r="I2060" s="3" t="s">
        <v>63</v>
      </c>
      <c r="J2060" s="3" t="s">
        <v>62</v>
      </c>
      <c r="K2060" s="3" t="s">
        <v>64</v>
      </c>
      <c r="L2060" s="2" t="s">
        <v>16849</v>
      </c>
      <c r="M2060" s="2" t="s">
        <v>17457</v>
      </c>
      <c r="N2060" s="3" t="s">
        <v>11887</v>
      </c>
      <c r="P2060" s="3" t="s">
        <v>66</v>
      </c>
      <c r="R2060" s="3" t="s">
        <v>67</v>
      </c>
      <c r="S2060" s="4">
        <v>3</v>
      </c>
      <c r="T2060" s="4">
        <v>134</v>
      </c>
      <c r="U2060" s="5" t="s">
        <v>17518</v>
      </c>
      <c r="V2060" s="5" t="s">
        <v>17459</v>
      </c>
      <c r="W2060" s="5" t="s">
        <v>69</v>
      </c>
      <c r="X2060" s="5" t="s">
        <v>69</v>
      </c>
      <c r="Y2060" s="4">
        <v>18</v>
      </c>
      <c r="Z2060" s="4">
        <v>2</v>
      </c>
      <c r="AA2060" s="4">
        <v>5</v>
      </c>
      <c r="AB2060" s="4">
        <v>1</v>
      </c>
      <c r="AC2060" s="4">
        <v>1</v>
      </c>
      <c r="AD2060" s="4">
        <v>5</v>
      </c>
      <c r="AE2060" s="4">
        <v>30</v>
      </c>
      <c r="AF2060" s="4">
        <v>0</v>
      </c>
      <c r="AG2060" s="4">
        <v>0</v>
      </c>
      <c r="AH2060" s="4">
        <v>5</v>
      </c>
      <c r="AI2060" s="4">
        <v>29</v>
      </c>
      <c r="AJ2060" s="4">
        <v>0</v>
      </c>
      <c r="AK2060" s="4">
        <v>1</v>
      </c>
      <c r="AL2060" s="4">
        <v>4</v>
      </c>
      <c r="AM2060" s="4">
        <v>19</v>
      </c>
      <c r="AN2060" s="4">
        <v>0</v>
      </c>
      <c r="AO2060" s="4">
        <v>0</v>
      </c>
      <c r="AP2060" s="4">
        <v>0</v>
      </c>
      <c r="AQ2060" s="4">
        <v>2</v>
      </c>
      <c r="AR2060" s="3" t="s">
        <v>63</v>
      </c>
      <c r="AS2060" s="3" t="s">
        <v>62</v>
      </c>
      <c r="AT2060" s="3" t="s">
        <v>63</v>
      </c>
      <c r="AU2060" s="6" t="str">
        <f>HYPERLINK("http://catalog.hathitrust.org/Record/009780020","HathiTrust Record")</f>
        <v>HathiTrust Record</v>
      </c>
      <c r="AV2060" s="6" t="str">
        <f>HYPERLINK("http://mcgill.on.worldcat.org/oclc/17206629","Catalog Record")</f>
        <v>Catalog Record</v>
      </c>
      <c r="AW2060" s="6" t="str">
        <f>HYPERLINK("http://www.worldcat.org/oclc/17206629","WorldCat Record")</f>
        <v>WorldCat Record</v>
      </c>
      <c r="AX2060" s="3" t="s">
        <v>17460</v>
      </c>
      <c r="AY2060" s="3" t="s">
        <v>17461</v>
      </c>
      <c r="AZ2060" s="3" t="s">
        <v>17462</v>
      </c>
      <c r="BA2060" s="3" t="s">
        <v>17462</v>
      </c>
      <c r="BB2060" s="3" t="s">
        <v>17519</v>
      </c>
      <c r="BC2060" s="3" t="s">
        <v>82</v>
      </c>
      <c r="BD2060" s="3" t="s">
        <v>70</v>
      </c>
      <c r="BF2060" s="3" t="s">
        <v>17519</v>
      </c>
      <c r="BG2060" s="3" t="s">
        <v>17520</v>
      </c>
    </row>
    <row r="2061" spans="1:59" ht="60" x14ac:dyDescent="0.25">
      <c r="A2061" s="2" t="s">
        <v>59</v>
      </c>
      <c r="B2061" s="2" t="s">
        <v>60</v>
      </c>
      <c r="C2061" s="2" t="s">
        <v>17454</v>
      </c>
      <c r="D2061" s="2" t="s">
        <v>17455</v>
      </c>
      <c r="E2061" s="2" t="s">
        <v>17456</v>
      </c>
      <c r="F2061" s="3" t="s">
        <v>5705</v>
      </c>
      <c r="G2061" s="3" t="s">
        <v>62</v>
      </c>
      <c r="I2061" s="3" t="s">
        <v>63</v>
      </c>
      <c r="J2061" s="3" t="s">
        <v>62</v>
      </c>
      <c r="K2061" s="3" t="s">
        <v>64</v>
      </c>
      <c r="L2061" s="2" t="s">
        <v>16849</v>
      </c>
      <c r="M2061" s="2" t="s">
        <v>17457</v>
      </c>
      <c r="N2061" s="3" t="s">
        <v>11887</v>
      </c>
      <c r="P2061" s="3" t="s">
        <v>66</v>
      </c>
      <c r="R2061" s="3" t="s">
        <v>67</v>
      </c>
      <c r="S2061" s="4">
        <v>0</v>
      </c>
      <c r="T2061" s="4">
        <v>134</v>
      </c>
      <c r="V2061" s="5" t="s">
        <v>17459</v>
      </c>
      <c r="W2061" s="5" t="s">
        <v>69</v>
      </c>
      <c r="X2061" s="5" t="s">
        <v>69</v>
      </c>
      <c r="Y2061" s="4">
        <v>18</v>
      </c>
      <c r="Z2061" s="4">
        <v>2</v>
      </c>
      <c r="AA2061" s="4">
        <v>5</v>
      </c>
      <c r="AB2061" s="4">
        <v>1</v>
      </c>
      <c r="AC2061" s="4">
        <v>1</v>
      </c>
      <c r="AD2061" s="4">
        <v>5</v>
      </c>
      <c r="AE2061" s="4">
        <v>30</v>
      </c>
      <c r="AF2061" s="4">
        <v>0</v>
      </c>
      <c r="AG2061" s="4">
        <v>0</v>
      </c>
      <c r="AH2061" s="4">
        <v>5</v>
      </c>
      <c r="AI2061" s="4">
        <v>29</v>
      </c>
      <c r="AJ2061" s="4">
        <v>0</v>
      </c>
      <c r="AK2061" s="4">
        <v>1</v>
      </c>
      <c r="AL2061" s="4">
        <v>4</v>
      </c>
      <c r="AM2061" s="4">
        <v>19</v>
      </c>
      <c r="AN2061" s="4">
        <v>0</v>
      </c>
      <c r="AO2061" s="4">
        <v>0</v>
      </c>
      <c r="AP2061" s="4">
        <v>0</v>
      </c>
      <c r="AQ2061" s="4">
        <v>2</v>
      </c>
      <c r="AR2061" s="3" t="s">
        <v>63</v>
      </c>
      <c r="AS2061" s="3" t="s">
        <v>62</v>
      </c>
      <c r="AT2061" s="3" t="s">
        <v>63</v>
      </c>
      <c r="AU2061" s="6" t="str">
        <f>HYPERLINK("http://catalog.hathitrust.org/Record/009780020","HathiTrust Record")</f>
        <v>HathiTrust Record</v>
      </c>
      <c r="AV2061" s="6" t="str">
        <f>HYPERLINK("http://mcgill.on.worldcat.org/oclc/17206629","Catalog Record")</f>
        <v>Catalog Record</v>
      </c>
      <c r="AW2061" s="6" t="str">
        <f>HYPERLINK("http://www.worldcat.org/oclc/17206629","WorldCat Record")</f>
        <v>WorldCat Record</v>
      </c>
      <c r="AX2061" s="3" t="s">
        <v>17460</v>
      </c>
      <c r="AY2061" s="3" t="s">
        <v>17461</v>
      </c>
      <c r="AZ2061" s="3" t="s">
        <v>17462</v>
      </c>
      <c r="BA2061" s="3" t="s">
        <v>17462</v>
      </c>
      <c r="BB2061" s="3" t="s">
        <v>17521</v>
      </c>
      <c r="BC2061" s="3" t="s">
        <v>82</v>
      </c>
      <c r="BD2061" s="3" t="s">
        <v>70</v>
      </c>
      <c r="BF2061" s="3" t="s">
        <v>17521</v>
      </c>
      <c r="BG2061" s="3" t="s">
        <v>17522</v>
      </c>
    </row>
    <row r="2062" spans="1:59" ht="60" x14ac:dyDescent="0.25">
      <c r="A2062" s="2" t="s">
        <v>59</v>
      </c>
      <c r="B2062" s="2" t="s">
        <v>60</v>
      </c>
      <c r="C2062" s="2" t="s">
        <v>17454</v>
      </c>
      <c r="D2062" s="2" t="s">
        <v>17455</v>
      </c>
      <c r="E2062" s="2" t="s">
        <v>17456</v>
      </c>
      <c r="F2062" s="3" t="s">
        <v>17523</v>
      </c>
      <c r="G2062" s="3" t="s">
        <v>62</v>
      </c>
      <c r="I2062" s="3" t="s">
        <v>63</v>
      </c>
      <c r="J2062" s="3" t="s">
        <v>62</v>
      </c>
      <c r="K2062" s="3" t="s">
        <v>64</v>
      </c>
      <c r="L2062" s="2" t="s">
        <v>16849</v>
      </c>
      <c r="M2062" s="2" t="s">
        <v>17457</v>
      </c>
      <c r="N2062" s="3" t="s">
        <v>11887</v>
      </c>
      <c r="P2062" s="3" t="s">
        <v>66</v>
      </c>
      <c r="R2062" s="3" t="s">
        <v>67</v>
      </c>
      <c r="S2062" s="4">
        <v>0</v>
      </c>
      <c r="T2062" s="4">
        <v>134</v>
      </c>
      <c r="V2062" s="5" t="s">
        <v>17459</v>
      </c>
      <c r="W2062" s="5" t="s">
        <v>69</v>
      </c>
      <c r="X2062" s="5" t="s">
        <v>69</v>
      </c>
      <c r="Y2062" s="4">
        <v>18</v>
      </c>
      <c r="Z2062" s="4">
        <v>2</v>
      </c>
      <c r="AA2062" s="4">
        <v>5</v>
      </c>
      <c r="AB2062" s="4">
        <v>1</v>
      </c>
      <c r="AC2062" s="4">
        <v>1</v>
      </c>
      <c r="AD2062" s="4">
        <v>5</v>
      </c>
      <c r="AE2062" s="4">
        <v>30</v>
      </c>
      <c r="AF2062" s="4">
        <v>0</v>
      </c>
      <c r="AG2062" s="4">
        <v>0</v>
      </c>
      <c r="AH2062" s="4">
        <v>5</v>
      </c>
      <c r="AI2062" s="4">
        <v>29</v>
      </c>
      <c r="AJ2062" s="4">
        <v>0</v>
      </c>
      <c r="AK2062" s="4">
        <v>1</v>
      </c>
      <c r="AL2062" s="4">
        <v>4</v>
      </c>
      <c r="AM2062" s="4">
        <v>19</v>
      </c>
      <c r="AN2062" s="4">
        <v>0</v>
      </c>
      <c r="AO2062" s="4">
        <v>0</v>
      </c>
      <c r="AP2062" s="4">
        <v>0</v>
      </c>
      <c r="AQ2062" s="4">
        <v>2</v>
      </c>
      <c r="AR2062" s="3" t="s">
        <v>63</v>
      </c>
      <c r="AS2062" s="3" t="s">
        <v>62</v>
      </c>
      <c r="AT2062" s="3" t="s">
        <v>63</v>
      </c>
      <c r="AU2062" s="6" t="str">
        <f>HYPERLINK("http://catalog.hathitrust.org/Record/009780020","HathiTrust Record")</f>
        <v>HathiTrust Record</v>
      </c>
      <c r="AV2062" s="6" t="str">
        <f>HYPERLINK("http://mcgill.on.worldcat.org/oclc/17206629","Catalog Record")</f>
        <v>Catalog Record</v>
      </c>
      <c r="AW2062" s="6" t="str">
        <f>HYPERLINK("http://www.worldcat.org/oclc/17206629","WorldCat Record")</f>
        <v>WorldCat Record</v>
      </c>
      <c r="AX2062" s="3" t="s">
        <v>17460</v>
      </c>
      <c r="AY2062" s="3" t="s">
        <v>17461</v>
      </c>
      <c r="AZ2062" s="3" t="s">
        <v>17462</v>
      </c>
      <c r="BA2062" s="3" t="s">
        <v>17462</v>
      </c>
      <c r="BB2062" s="3" t="s">
        <v>17524</v>
      </c>
      <c r="BC2062" s="3" t="s">
        <v>82</v>
      </c>
      <c r="BD2062" s="3" t="s">
        <v>70</v>
      </c>
      <c r="BF2062" s="3" t="s">
        <v>17524</v>
      </c>
      <c r="BG2062" s="3" t="s">
        <v>17525</v>
      </c>
    </row>
    <row r="2063" spans="1:59" ht="60" x14ac:dyDescent="0.25">
      <c r="A2063" s="2" t="s">
        <v>59</v>
      </c>
      <c r="B2063" s="2" t="s">
        <v>60</v>
      </c>
      <c r="C2063" s="2" t="s">
        <v>17454</v>
      </c>
      <c r="D2063" s="2" t="s">
        <v>17455</v>
      </c>
      <c r="E2063" s="2" t="s">
        <v>17456</v>
      </c>
      <c r="F2063" s="3" t="s">
        <v>5696</v>
      </c>
      <c r="G2063" s="3" t="s">
        <v>62</v>
      </c>
      <c r="I2063" s="3" t="s">
        <v>63</v>
      </c>
      <c r="J2063" s="3" t="s">
        <v>62</v>
      </c>
      <c r="K2063" s="3" t="s">
        <v>64</v>
      </c>
      <c r="L2063" s="2" t="s">
        <v>16849</v>
      </c>
      <c r="M2063" s="2" t="s">
        <v>17457</v>
      </c>
      <c r="N2063" s="3" t="s">
        <v>11887</v>
      </c>
      <c r="P2063" s="3" t="s">
        <v>66</v>
      </c>
      <c r="R2063" s="3" t="s">
        <v>67</v>
      </c>
      <c r="S2063" s="4">
        <v>0</v>
      </c>
      <c r="T2063" s="4">
        <v>134</v>
      </c>
      <c r="V2063" s="5" t="s">
        <v>17459</v>
      </c>
      <c r="W2063" s="5" t="s">
        <v>69</v>
      </c>
      <c r="X2063" s="5" t="s">
        <v>69</v>
      </c>
      <c r="Y2063" s="4">
        <v>18</v>
      </c>
      <c r="Z2063" s="4">
        <v>2</v>
      </c>
      <c r="AA2063" s="4">
        <v>5</v>
      </c>
      <c r="AB2063" s="4">
        <v>1</v>
      </c>
      <c r="AC2063" s="4">
        <v>1</v>
      </c>
      <c r="AD2063" s="4">
        <v>5</v>
      </c>
      <c r="AE2063" s="4">
        <v>30</v>
      </c>
      <c r="AF2063" s="4">
        <v>0</v>
      </c>
      <c r="AG2063" s="4">
        <v>0</v>
      </c>
      <c r="AH2063" s="4">
        <v>5</v>
      </c>
      <c r="AI2063" s="4">
        <v>29</v>
      </c>
      <c r="AJ2063" s="4">
        <v>0</v>
      </c>
      <c r="AK2063" s="4">
        <v>1</v>
      </c>
      <c r="AL2063" s="4">
        <v>4</v>
      </c>
      <c r="AM2063" s="4">
        <v>19</v>
      </c>
      <c r="AN2063" s="4">
        <v>0</v>
      </c>
      <c r="AO2063" s="4">
        <v>0</v>
      </c>
      <c r="AP2063" s="4">
        <v>0</v>
      </c>
      <c r="AQ2063" s="4">
        <v>2</v>
      </c>
      <c r="AR2063" s="3" t="s">
        <v>63</v>
      </c>
      <c r="AS2063" s="3" t="s">
        <v>62</v>
      </c>
      <c r="AT2063" s="3" t="s">
        <v>63</v>
      </c>
      <c r="AU2063" s="6" t="str">
        <f>HYPERLINK("http://catalog.hathitrust.org/Record/009780020","HathiTrust Record")</f>
        <v>HathiTrust Record</v>
      </c>
      <c r="AV2063" s="6" t="str">
        <f>HYPERLINK("http://mcgill.on.worldcat.org/oclc/17206629","Catalog Record")</f>
        <v>Catalog Record</v>
      </c>
      <c r="AW2063" s="6" t="str">
        <f>HYPERLINK("http://www.worldcat.org/oclc/17206629","WorldCat Record")</f>
        <v>WorldCat Record</v>
      </c>
      <c r="AX2063" s="3" t="s">
        <v>17460</v>
      </c>
      <c r="AY2063" s="3" t="s">
        <v>17461</v>
      </c>
      <c r="AZ2063" s="3" t="s">
        <v>17462</v>
      </c>
      <c r="BA2063" s="3" t="s">
        <v>17462</v>
      </c>
      <c r="BB2063" s="3" t="s">
        <v>17526</v>
      </c>
      <c r="BC2063" s="3" t="s">
        <v>82</v>
      </c>
      <c r="BD2063" s="3" t="s">
        <v>70</v>
      </c>
      <c r="BF2063" s="3" t="s">
        <v>17526</v>
      </c>
      <c r="BG2063" s="3" t="s">
        <v>17527</v>
      </c>
    </row>
    <row r="2064" spans="1:59" ht="60" x14ac:dyDescent="0.25">
      <c r="A2064" s="2" t="s">
        <v>59</v>
      </c>
      <c r="B2064" s="2" t="s">
        <v>60</v>
      </c>
      <c r="C2064" s="2" t="s">
        <v>17454</v>
      </c>
      <c r="D2064" s="2" t="s">
        <v>17455</v>
      </c>
      <c r="E2064" s="2" t="s">
        <v>17456</v>
      </c>
      <c r="F2064" s="3" t="s">
        <v>17528</v>
      </c>
      <c r="G2064" s="3" t="s">
        <v>62</v>
      </c>
      <c r="I2064" s="3" t="s">
        <v>63</v>
      </c>
      <c r="J2064" s="3" t="s">
        <v>62</v>
      </c>
      <c r="K2064" s="3" t="s">
        <v>64</v>
      </c>
      <c r="L2064" s="2" t="s">
        <v>16849</v>
      </c>
      <c r="M2064" s="2" t="s">
        <v>17457</v>
      </c>
      <c r="N2064" s="3" t="s">
        <v>11887</v>
      </c>
      <c r="P2064" s="3" t="s">
        <v>66</v>
      </c>
      <c r="R2064" s="3" t="s">
        <v>67</v>
      </c>
      <c r="S2064" s="4">
        <v>0</v>
      </c>
      <c r="T2064" s="4">
        <v>134</v>
      </c>
      <c r="V2064" s="5" t="s">
        <v>17459</v>
      </c>
      <c r="W2064" s="5" t="s">
        <v>69</v>
      </c>
      <c r="X2064" s="5" t="s">
        <v>69</v>
      </c>
      <c r="Y2064" s="4">
        <v>18</v>
      </c>
      <c r="Z2064" s="4">
        <v>2</v>
      </c>
      <c r="AA2064" s="4">
        <v>5</v>
      </c>
      <c r="AB2064" s="4">
        <v>1</v>
      </c>
      <c r="AC2064" s="4">
        <v>1</v>
      </c>
      <c r="AD2064" s="4">
        <v>5</v>
      </c>
      <c r="AE2064" s="4">
        <v>30</v>
      </c>
      <c r="AF2064" s="4">
        <v>0</v>
      </c>
      <c r="AG2064" s="4">
        <v>0</v>
      </c>
      <c r="AH2064" s="4">
        <v>5</v>
      </c>
      <c r="AI2064" s="4">
        <v>29</v>
      </c>
      <c r="AJ2064" s="4">
        <v>0</v>
      </c>
      <c r="AK2064" s="4">
        <v>1</v>
      </c>
      <c r="AL2064" s="4">
        <v>4</v>
      </c>
      <c r="AM2064" s="4">
        <v>19</v>
      </c>
      <c r="AN2064" s="4">
        <v>0</v>
      </c>
      <c r="AO2064" s="4">
        <v>0</v>
      </c>
      <c r="AP2064" s="4">
        <v>0</v>
      </c>
      <c r="AQ2064" s="4">
        <v>2</v>
      </c>
      <c r="AR2064" s="3" t="s">
        <v>63</v>
      </c>
      <c r="AS2064" s="3" t="s">
        <v>62</v>
      </c>
      <c r="AT2064" s="3" t="s">
        <v>63</v>
      </c>
      <c r="AU2064" s="6" t="str">
        <f>HYPERLINK("http://catalog.hathitrust.org/Record/009780020","HathiTrust Record")</f>
        <v>HathiTrust Record</v>
      </c>
      <c r="AV2064" s="6" t="str">
        <f>HYPERLINK("http://mcgill.on.worldcat.org/oclc/17206629","Catalog Record")</f>
        <v>Catalog Record</v>
      </c>
      <c r="AW2064" s="6" t="str">
        <f>HYPERLINK("http://www.worldcat.org/oclc/17206629","WorldCat Record")</f>
        <v>WorldCat Record</v>
      </c>
      <c r="AX2064" s="3" t="s">
        <v>17460</v>
      </c>
      <c r="AY2064" s="3" t="s">
        <v>17461</v>
      </c>
      <c r="AZ2064" s="3" t="s">
        <v>17462</v>
      </c>
      <c r="BA2064" s="3" t="s">
        <v>17462</v>
      </c>
      <c r="BB2064" s="3" t="s">
        <v>17529</v>
      </c>
      <c r="BC2064" s="3" t="s">
        <v>82</v>
      </c>
      <c r="BD2064" s="3" t="s">
        <v>70</v>
      </c>
      <c r="BF2064" s="3" t="s">
        <v>17529</v>
      </c>
      <c r="BG2064" s="3" t="s">
        <v>17530</v>
      </c>
    </row>
    <row r="2065" spans="1:59" ht="60" x14ac:dyDescent="0.25">
      <c r="A2065" s="2" t="s">
        <v>59</v>
      </c>
      <c r="B2065" s="2" t="s">
        <v>60</v>
      </c>
      <c r="C2065" s="2" t="s">
        <v>17531</v>
      </c>
      <c r="D2065" s="2" t="s">
        <v>17532</v>
      </c>
      <c r="E2065" s="2" t="s">
        <v>17533</v>
      </c>
      <c r="G2065" s="3" t="s">
        <v>63</v>
      </c>
      <c r="I2065" s="3" t="s">
        <v>63</v>
      </c>
      <c r="J2065" s="3" t="s">
        <v>63</v>
      </c>
      <c r="K2065" s="3" t="s">
        <v>64</v>
      </c>
      <c r="L2065" s="2" t="s">
        <v>16849</v>
      </c>
      <c r="M2065" s="2" t="s">
        <v>17534</v>
      </c>
      <c r="N2065" s="3" t="s">
        <v>143</v>
      </c>
      <c r="O2065" s="2" t="s">
        <v>1605</v>
      </c>
      <c r="P2065" s="3" t="s">
        <v>66</v>
      </c>
      <c r="R2065" s="3" t="s">
        <v>67</v>
      </c>
      <c r="S2065" s="4">
        <v>9</v>
      </c>
      <c r="T2065" s="4">
        <v>9</v>
      </c>
      <c r="U2065" s="5" t="s">
        <v>2104</v>
      </c>
      <c r="V2065" s="5" t="s">
        <v>2104</v>
      </c>
      <c r="W2065" s="5" t="s">
        <v>69</v>
      </c>
      <c r="X2065" s="5" t="s">
        <v>69</v>
      </c>
      <c r="Y2065" s="4">
        <v>413</v>
      </c>
      <c r="Z2065" s="4">
        <v>19</v>
      </c>
      <c r="AA2065" s="4">
        <v>20</v>
      </c>
      <c r="AB2065" s="4">
        <v>2</v>
      </c>
      <c r="AC2065" s="4">
        <v>3</v>
      </c>
      <c r="AD2065" s="4">
        <v>62</v>
      </c>
      <c r="AE2065" s="4">
        <v>63</v>
      </c>
      <c r="AF2065" s="4">
        <v>0</v>
      </c>
      <c r="AG2065" s="4">
        <v>0</v>
      </c>
      <c r="AH2065" s="4">
        <v>57</v>
      </c>
      <c r="AI2065" s="4">
        <v>58</v>
      </c>
      <c r="AJ2065" s="4">
        <v>9</v>
      </c>
      <c r="AK2065" s="4">
        <v>9</v>
      </c>
      <c r="AL2065" s="4">
        <v>34</v>
      </c>
      <c r="AM2065" s="4">
        <v>34</v>
      </c>
      <c r="AN2065" s="4">
        <v>0</v>
      </c>
      <c r="AO2065" s="4">
        <v>0</v>
      </c>
      <c r="AP2065" s="4">
        <v>10</v>
      </c>
      <c r="AQ2065" s="4">
        <v>10</v>
      </c>
      <c r="AR2065" s="3" t="s">
        <v>63</v>
      </c>
      <c r="AS2065" s="3" t="s">
        <v>63</v>
      </c>
      <c r="AT2065" s="3" t="s">
        <v>63</v>
      </c>
      <c r="AV2065" s="6" t="str">
        <f>HYPERLINK("http://mcgill.on.worldcat.org/oclc/897481308","Catalog Record")</f>
        <v>Catalog Record</v>
      </c>
      <c r="AW2065" s="6" t="str">
        <f>HYPERLINK("http://www.worldcat.org/oclc/897481308","WorldCat Record")</f>
        <v>WorldCat Record</v>
      </c>
      <c r="AX2065" s="3" t="s">
        <v>17535</v>
      </c>
      <c r="AY2065" s="3" t="s">
        <v>17536</v>
      </c>
      <c r="AZ2065" s="3" t="s">
        <v>17537</v>
      </c>
      <c r="BA2065" s="3" t="s">
        <v>17537</v>
      </c>
      <c r="BB2065" s="3" t="s">
        <v>17538</v>
      </c>
      <c r="BC2065" s="3" t="s">
        <v>82</v>
      </c>
      <c r="BD2065" s="3" t="s">
        <v>538</v>
      </c>
      <c r="BE2065" s="3" t="s">
        <v>17539</v>
      </c>
      <c r="BF2065" s="3" t="s">
        <v>17538</v>
      </c>
      <c r="BG2065" s="3" t="s">
        <v>17540</v>
      </c>
    </row>
    <row r="2066" spans="1:59" ht="60" x14ac:dyDescent="0.25">
      <c r="A2066" s="2" t="s">
        <v>59</v>
      </c>
      <c r="B2066" s="2" t="s">
        <v>60</v>
      </c>
      <c r="C2066" s="2" t="s">
        <v>17541</v>
      </c>
      <c r="D2066" s="2" t="s">
        <v>17542</v>
      </c>
      <c r="E2066" s="2" t="s">
        <v>17543</v>
      </c>
      <c r="G2066" s="3" t="s">
        <v>63</v>
      </c>
      <c r="I2066" s="3" t="s">
        <v>63</v>
      </c>
      <c r="J2066" s="3" t="s">
        <v>62</v>
      </c>
      <c r="K2066" s="3" t="s">
        <v>64</v>
      </c>
      <c r="L2066" s="2" t="s">
        <v>16849</v>
      </c>
      <c r="M2066" s="2" t="s">
        <v>17544</v>
      </c>
      <c r="N2066" s="3" t="s">
        <v>480</v>
      </c>
      <c r="P2066" s="3" t="s">
        <v>66</v>
      </c>
      <c r="Q2066" s="2" t="s">
        <v>11108</v>
      </c>
      <c r="R2066" s="3" t="s">
        <v>67</v>
      </c>
      <c r="S2066" s="4">
        <v>84</v>
      </c>
      <c r="T2066" s="4">
        <v>84</v>
      </c>
      <c r="U2066" s="5" t="s">
        <v>6023</v>
      </c>
      <c r="V2066" s="5" t="s">
        <v>6023</v>
      </c>
      <c r="W2066" s="5" t="s">
        <v>69</v>
      </c>
      <c r="X2066" s="5" t="s">
        <v>69</v>
      </c>
      <c r="Y2066" s="4">
        <v>364</v>
      </c>
      <c r="Z2066" s="4">
        <v>19</v>
      </c>
      <c r="AA2066" s="4">
        <v>27</v>
      </c>
      <c r="AB2066" s="4">
        <v>1</v>
      </c>
      <c r="AC2066" s="4">
        <v>2</v>
      </c>
      <c r="AD2066" s="4">
        <v>60</v>
      </c>
      <c r="AE2066" s="4">
        <v>89</v>
      </c>
      <c r="AF2066" s="4">
        <v>0</v>
      </c>
      <c r="AG2066" s="4">
        <v>0</v>
      </c>
      <c r="AH2066" s="4">
        <v>53</v>
      </c>
      <c r="AI2066" s="4">
        <v>82</v>
      </c>
      <c r="AJ2066" s="4">
        <v>11</v>
      </c>
      <c r="AK2066" s="4">
        <v>15</v>
      </c>
      <c r="AL2066" s="4">
        <v>31</v>
      </c>
      <c r="AM2066" s="4">
        <v>48</v>
      </c>
      <c r="AN2066" s="4">
        <v>0</v>
      </c>
      <c r="AO2066" s="4">
        <v>0</v>
      </c>
      <c r="AP2066" s="4">
        <v>13</v>
      </c>
      <c r="AQ2066" s="4">
        <v>18</v>
      </c>
      <c r="AR2066" s="3" t="s">
        <v>63</v>
      </c>
      <c r="AS2066" s="3" t="s">
        <v>63</v>
      </c>
      <c r="AT2066" s="3" t="s">
        <v>63</v>
      </c>
      <c r="AV2066" s="6" t="str">
        <f>HYPERLINK("http://mcgill.on.worldcat.org/oclc/20631448","Catalog Record")</f>
        <v>Catalog Record</v>
      </c>
      <c r="AW2066" s="6" t="str">
        <f>HYPERLINK("http://www.worldcat.org/oclc/20631448","WorldCat Record")</f>
        <v>WorldCat Record</v>
      </c>
      <c r="AX2066" s="3" t="s">
        <v>17545</v>
      </c>
      <c r="AY2066" s="3" t="s">
        <v>17546</v>
      </c>
      <c r="AZ2066" s="3" t="s">
        <v>17547</v>
      </c>
      <c r="BA2066" s="3" t="s">
        <v>17547</v>
      </c>
      <c r="BB2066" s="3" t="s">
        <v>17548</v>
      </c>
      <c r="BC2066" s="3" t="s">
        <v>82</v>
      </c>
      <c r="BD2066" s="3" t="s">
        <v>70</v>
      </c>
      <c r="BE2066" s="3" t="s">
        <v>17549</v>
      </c>
      <c r="BF2066" s="3" t="s">
        <v>17548</v>
      </c>
      <c r="BG2066" s="3" t="s">
        <v>17550</v>
      </c>
    </row>
    <row r="2067" spans="1:59" ht="60" x14ac:dyDescent="0.25">
      <c r="A2067" s="2" t="s">
        <v>59</v>
      </c>
      <c r="B2067" s="2" t="s">
        <v>60</v>
      </c>
      <c r="C2067" s="2" t="s">
        <v>17551</v>
      </c>
      <c r="D2067" s="2" t="s">
        <v>17552</v>
      </c>
      <c r="E2067" s="2" t="s">
        <v>17543</v>
      </c>
      <c r="G2067" s="3" t="s">
        <v>63</v>
      </c>
      <c r="I2067" s="3" t="s">
        <v>63</v>
      </c>
      <c r="J2067" s="3" t="s">
        <v>62</v>
      </c>
      <c r="K2067" s="3" t="s">
        <v>64</v>
      </c>
      <c r="L2067" s="2" t="s">
        <v>16849</v>
      </c>
      <c r="M2067" s="2" t="s">
        <v>17553</v>
      </c>
      <c r="N2067" s="3" t="s">
        <v>2459</v>
      </c>
      <c r="O2067" s="2" t="s">
        <v>1856</v>
      </c>
      <c r="P2067" s="3" t="s">
        <v>66</v>
      </c>
      <c r="Q2067" s="2" t="s">
        <v>11108</v>
      </c>
      <c r="R2067" s="3" t="s">
        <v>67</v>
      </c>
      <c r="S2067" s="4">
        <v>27</v>
      </c>
      <c r="T2067" s="4">
        <v>27</v>
      </c>
      <c r="U2067" s="5" t="s">
        <v>17554</v>
      </c>
      <c r="V2067" s="5" t="s">
        <v>17554</v>
      </c>
      <c r="W2067" s="5" t="s">
        <v>69</v>
      </c>
      <c r="X2067" s="5" t="s">
        <v>69</v>
      </c>
      <c r="Y2067" s="4">
        <v>241</v>
      </c>
      <c r="Z2067" s="4">
        <v>16</v>
      </c>
      <c r="AA2067" s="4">
        <v>27</v>
      </c>
      <c r="AB2067" s="4">
        <v>2</v>
      </c>
      <c r="AC2067" s="4">
        <v>2</v>
      </c>
      <c r="AD2067" s="4">
        <v>68</v>
      </c>
      <c r="AE2067" s="4">
        <v>89</v>
      </c>
      <c r="AF2067" s="4">
        <v>0</v>
      </c>
      <c r="AG2067" s="4">
        <v>0</v>
      </c>
      <c r="AH2067" s="4">
        <v>65</v>
      </c>
      <c r="AI2067" s="4">
        <v>82</v>
      </c>
      <c r="AJ2067" s="4">
        <v>9</v>
      </c>
      <c r="AK2067" s="4">
        <v>15</v>
      </c>
      <c r="AL2067" s="4">
        <v>44</v>
      </c>
      <c r="AM2067" s="4">
        <v>48</v>
      </c>
      <c r="AN2067" s="4">
        <v>0</v>
      </c>
      <c r="AO2067" s="4">
        <v>0</v>
      </c>
      <c r="AP2067" s="4">
        <v>11</v>
      </c>
      <c r="AQ2067" s="4">
        <v>18</v>
      </c>
      <c r="AR2067" s="3" t="s">
        <v>63</v>
      </c>
      <c r="AS2067" s="3" t="s">
        <v>63</v>
      </c>
      <c r="AT2067" s="3" t="s">
        <v>63</v>
      </c>
      <c r="AV2067" s="6" t="str">
        <f>HYPERLINK("http://mcgill.on.worldcat.org/oclc/223106441","Catalog Record")</f>
        <v>Catalog Record</v>
      </c>
      <c r="AW2067" s="6" t="str">
        <f>HYPERLINK("http://www.worldcat.org/oclc/223106441","WorldCat Record")</f>
        <v>WorldCat Record</v>
      </c>
      <c r="AX2067" s="3" t="s">
        <v>17545</v>
      </c>
      <c r="AY2067" s="3" t="s">
        <v>17555</v>
      </c>
      <c r="AZ2067" s="3" t="s">
        <v>17556</v>
      </c>
      <c r="BA2067" s="3" t="s">
        <v>17556</v>
      </c>
      <c r="BB2067" s="3" t="s">
        <v>17557</v>
      </c>
      <c r="BC2067" s="3" t="s">
        <v>82</v>
      </c>
      <c r="BD2067" s="3" t="s">
        <v>70</v>
      </c>
      <c r="BE2067" s="3" t="s">
        <v>17558</v>
      </c>
      <c r="BF2067" s="3" t="s">
        <v>17557</v>
      </c>
      <c r="BG2067" s="3" t="s">
        <v>17559</v>
      </c>
    </row>
    <row r="2068" spans="1:59" ht="75" x14ac:dyDescent="0.25">
      <c r="A2068" s="2" t="s">
        <v>59</v>
      </c>
      <c r="B2068" s="2" t="s">
        <v>60</v>
      </c>
      <c r="C2068" s="2" t="s">
        <v>17560</v>
      </c>
      <c r="D2068" s="2" t="s">
        <v>17561</v>
      </c>
      <c r="E2068" s="2" t="s">
        <v>17562</v>
      </c>
      <c r="F2068" s="3" t="s">
        <v>2601</v>
      </c>
      <c r="G2068" s="3" t="s">
        <v>62</v>
      </c>
      <c r="I2068" s="3" t="s">
        <v>63</v>
      </c>
      <c r="J2068" s="3" t="s">
        <v>63</v>
      </c>
      <c r="K2068" s="3" t="s">
        <v>64</v>
      </c>
      <c r="L2068" s="2" t="s">
        <v>16849</v>
      </c>
      <c r="M2068" s="2" t="s">
        <v>17563</v>
      </c>
      <c r="N2068" s="3" t="s">
        <v>362</v>
      </c>
      <c r="P2068" s="3" t="s">
        <v>66</v>
      </c>
      <c r="Q2068" s="2" t="s">
        <v>17564</v>
      </c>
      <c r="R2068" s="3" t="s">
        <v>67</v>
      </c>
      <c r="S2068" s="4">
        <v>22</v>
      </c>
      <c r="T2068" s="4">
        <v>51</v>
      </c>
      <c r="U2068" s="5" t="s">
        <v>9294</v>
      </c>
      <c r="V2068" s="5" t="s">
        <v>17565</v>
      </c>
      <c r="W2068" s="5" t="s">
        <v>69</v>
      </c>
      <c r="X2068" s="5" t="s">
        <v>69</v>
      </c>
      <c r="Y2068" s="4">
        <v>364</v>
      </c>
      <c r="Z2068" s="4">
        <v>14</v>
      </c>
      <c r="AA2068" s="4">
        <v>14</v>
      </c>
      <c r="AB2068" s="4">
        <v>3</v>
      </c>
      <c r="AC2068" s="4">
        <v>3</v>
      </c>
      <c r="AD2068" s="4">
        <v>69</v>
      </c>
      <c r="AE2068" s="4">
        <v>70</v>
      </c>
      <c r="AF2068" s="4">
        <v>0</v>
      </c>
      <c r="AG2068" s="4">
        <v>0</v>
      </c>
      <c r="AH2068" s="4">
        <v>65</v>
      </c>
      <c r="AI2068" s="4">
        <v>66</v>
      </c>
      <c r="AJ2068" s="4">
        <v>4</v>
      </c>
      <c r="AK2068" s="4">
        <v>4</v>
      </c>
      <c r="AL2068" s="4">
        <v>35</v>
      </c>
      <c r="AM2068" s="4">
        <v>35</v>
      </c>
      <c r="AN2068" s="4">
        <v>0</v>
      </c>
      <c r="AO2068" s="4">
        <v>0</v>
      </c>
      <c r="AP2068" s="4">
        <v>6</v>
      </c>
      <c r="AQ2068" s="4">
        <v>6</v>
      </c>
      <c r="AR2068" s="3" t="s">
        <v>63</v>
      </c>
      <c r="AS2068" s="3" t="s">
        <v>63</v>
      </c>
      <c r="AT2068" s="3" t="s">
        <v>62</v>
      </c>
      <c r="AU2068" s="6" t="str">
        <f>HYPERLINK("http://catalog.hathitrust.org/Record/102018652","HathiTrust Record")</f>
        <v>HathiTrust Record</v>
      </c>
      <c r="AV2068" s="6" t="str">
        <f>HYPERLINK("http://mcgill.on.worldcat.org/oclc/45305030","Catalog Record")</f>
        <v>Catalog Record</v>
      </c>
      <c r="AW2068" s="6" t="str">
        <f>HYPERLINK("http://www.worldcat.org/oclc/45305030","WorldCat Record")</f>
        <v>WorldCat Record</v>
      </c>
      <c r="AX2068" s="3" t="s">
        <v>17566</v>
      </c>
      <c r="AY2068" s="3" t="s">
        <v>17567</v>
      </c>
      <c r="AZ2068" s="3" t="s">
        <v>17568</v>
      </c>
      <c r="BA2068" s="3" t="s">
        <v>17568</v>
      </c>
      <c r="BB2068" s="3" t="s">
        <v>17569</v>
      </c>
      <c r="BC2068" s="3" t="s">
        <v>82</v>
      </c>
      <c r="BD2068" s="3" t="s">
        <v>70</v>
      </c>
      <c r="BE2068" s="3" t="s">
        <v>17570</v>
      </c>
      <c r="BF2068" s="3" t="s">
        <v>17569</v>
      </c>
      <c r="BG2068" s="3" t="s">
        <v>17571</v>
      </c>
    </row>
    <row r="2069" spans="1:59" ht="75" x14ac:dyDescent="0.25">
      <c r="A2069" s="2" t="s">
        <v>59</v>
      </c>
      <c r="B2069" s="2" t="s">
        <v>60</v>
      </c>
      <c r="C2069" s="2" t="s">
        <v>17560</v>
      </c>
      <c r="D2069" s="2" t="s">
        <v>17561</v>
      </c>
      <c r="E2069" s="2" t="s">
        <v>17562</v>
      </c>
      <c r="F2069" s="3" t="s">
        <v>4181</v>
      </c>
      <c r="G2069" s="3" t="s">
        <v>62</v>
      </c>
      <c r="I2069" s="3" t="s">
        <v>63</v>
      </c>
      <c r="J2069" s="3" t="s">
        <v>63</v>
      </c>
      <c r="K2069" s="3" t="s">
        <v>64</v>
      </c>
      <c r="L2069" s="2" t="s">
        <v>16849</v>
      </c>
      <c r="M2069" s="2" t="s">
        <v>17563</v>
      </c>
      <c r="N2069" s="3" t="s">
        <v>362</v>
      </c>
      <c r="P2069" s="3" t="s">
        <v>66</v>
      </c>
      <c r="Q2069" s="2" t="s">
        <v>17564</v>
      </c>
      <c r="R2069" s="3" t="s">
        <v>67</v>
      </c>
      <c r="S2069" s="4">
        <v>29</v>
      </c>
      <c r="T2069" s="4">
        <v>51</v>
      </c>
      <c r="U2069" s="5" t="s">
        <v>17565</v>
      </c>
      <c r="V2069" s="5" t="s">
        <v>17565</v>
      </c>
      <c r="W2069" s="5" t="s">
        <v>69</v>
      </c>
      <c r="X2069" s="5" t="s">
        <v>69</v>
      </c>
      <c r="Y2069" s="4">
        <v>364</v>
      </c>
      <c r="Z2069" s="4">
        <v>14</v>
      </c>
      <c r="AA2069" s="4">
        <v>14</v>
      </c>
      <c r="AB2069" s="4">
        <v>3</v>
      </c>
      <c r="AC2069" s="4">
        <v>3</v>
      </c>
      <c r="AD2069" s="4">
        <v>69</v>
      </c>
      <c r="AE2069" s="4">
        <v>70</v>
      </c>
      <c r="AF2069" s="4">
        <v>0</v>
      </c>
      <c r="AG2069" s="4">
        <v>0</v>
      </c>
      <c r="AH2069" s="4">
        <v>65</v>
      </c>
      <c r="AI2069" s="4">
        <v>66</v>
      </c>
      <c r="AJ2069" s="4">
        <v>4</v>
      </c>
      <c r="AK2069" s="4">
        <v>4</v>
      </c>
      <c r="AL2069" s="4">
        <v>35</v>
      </c>
      <c r="AM2069" s="4">
        <v>35</v>
      </c>
      <c r="AN2069" s="4">
        <v>0</v>
      </c>
      <c r="AO2069" s="4">
        <v>0</v>
      </c>
      <c r="AP2069" s="4">
        <v>6</v>
      </c>
      <c r="AQ2069" s="4">
        <v>6</v>
      </c>
      <c r="AR2069" s="3" t="s">
        <v>63</v>
      </c>
      <c r="AS2069" s="3" t="s">
        <v>63</v>
      </c>
      <c r="AT2069" s="3" t="s">
        <v>62</v>
      </c>
      <c r="AU2069" s="6" t="str">
        <f>HYPERLINK("http://catalog.hathitrust.org/Record/102018652","HathiTrust Record")</f>
        <v>HathiTrust Record</v>
      </c>
      <c r="AV2069" s="6" t="str">
        <f>HYPERLINK("http://mcgill.on.worldcat.org/oclc/45305030","Catalog Record")</f>
        <v>Catalog Record</v>
      </c>
      <c r="AW2069" s="6" t="str">
        <f>HYPERLINK("http://www.worldcat.org/oclc/45305030","WorldCat Record")</f>
        <v>WorldCat Record</v>
      </c>
      <c r="AX2069" s="3" t="s">
        <v>17566</v>
      </c>
      <c r="AY2069" s="3" t="s">
        <v>17567</v>
      </c>
      <c r="AZ2069" s="3" t="s">
        <v>17568</v>
      </c>
      <c r="BA2069" s="3" t="s">
        <v>17568</v>
      </c>
      <c r="BB2069" s="3" t="s">
        <v>17572</v>
      </c>
      <c r="BC2069" s="3" t="s">
        <v>82</v>
      </c>
      <c r="BD2069" s="3" t="s">
        <v>70</v>
      </c>
      <c r="BE2069" s="3" t="s">
        <v>17570</v>
      </c>
      <c r="BF2069" s="3" t="s">
        <v>17572</v>
      </c>
      <c r="BG2069" s="3" t="s">
        <v>17573</v>
      </c>
    </row>
    <row r="2070" spans="1:59" ht="75" x14ac:dyDescent="0.25">
      <c r="A2070" s="2" t="s">
        <v>59</v>
      </c>
      <c r="B2070" s="2" t="s">
        <v>60</v>
      </c>
      <c r="C2070" s="2" t="s">
        <v>17574</v>
      </c>
      <c r="D2070" s="2" t="s">
        <v>17575</v>
      </c>
      <c r="E2070" s="2" t="s">
        <v>17576</v>
      </c>
      <c r="G2070" s="3" t="s">
        <v>63</v>
      </c>
      <c r="I2070" s="3" t="s">
        <v>63</v>
      </c>
      <c r="J2070" s="3" t="s">
        <v>62</v>
      </c>
      <c r="K2070" s="3" t="s">
        <v>64</v>
      </c>
      <c r="L2070" s="2" t="s">
        <v>16973</v>
      </c>
      <c r="M2070" s="2" t="s">
        <v>17577</v>
      </c>
      <c r="N2070" s="3" t="s">
        <v>2459</v>
      </c>
      <c r="P2070" s="3" t="s">
        <v>66</v>
      </c>
      <c r="Q2070" s="2" t="s">
        <v>9341</v>
      </c>
      <c r="R2070" s="3" t="s">
        <v>67</v>
      </c>
      <c r="S2070" s="4">
        <v>12</v>
      </c>
      <c r="T2070" s="4">
        <v>12</v>
      </c>
      <c r="U2070" s="5" t="s">
        <v>4911</v>
      </c>
      <c r="V2070" s="5" t="s">
        <v>4911</v>
      </c>
      <c r="W2070" s="5" t="s">
        <v>69</v>
      </c>
      <c r="X2070" s="5" t="s">
        <v>69</v>
      </c>
      <c r="Y2070" s="4">
        <v>175</v>
      </c>
      <c r="Z2070" s="4">
        <v>9</v>
      </c>
      <c r="AA2070" s="4">
        <v>135</v>
      </c>
      <c r="AB2070" s="4">
        <v>2</v>
      </c>
      <c r="AC2070" s="4">
        <v>20</v>
      </c>
      <c r="AD2070" s="4">
        <v>35</v>
      </c>
      <c r="AE2070" s="4">
        <v>153</v>
      </c>
      <c r="AF2070" s="4">
        <v>0</v>
      </c>
      <c r="AG2070" s="4">
        <v>7</v>
      </c>
      <c r="AH2070" s="4">
        <v>34</v>
      </c>
      <c r="AI2070" s="4">
        <v>114</v>
      </c>
      <c r="AJ2070" s="4">
        <v>3</v>
      </c>
      <c r="AK2070" s="4">
        <v>28</v>
      </c>
      <c r="AL2070" s="4">
        <v>20</v>
      </c>
      <c r="AM2070" s="4">
        <v>62</v>
      </c>
      <c r="AN2070" s="4">
        <v>0</v>
      </c>
      <c r="AO2070" s="4">
        <v>6</v>
      </c>
      <c r="AP2070" s="4">
        <v>5</v>
      </c>
      <c r="AQ2070" s="4">
        <v>44</v>
      </c>
      <c r="AR2070" s="3" t="s">
        <v>63</v>
      </c>
      <c r="AS2070" s="3" t="s">
        <v>63</v>
      </c>
      <c r="AT2070" s="3" t="s">
        <v>63</v>
      </c>
      <c r="AV2070" s="6" t="str">
        <f>HYPERLINK("http://mcgill.on.worldcat.org/oclc/181068306","Catalog Record")</f>
        <v>Catalog Record</v>
      </c>
      <c r="AW2070" s="6" t="str">
        <f>HYPERLINK("http://www.worldcat.org/oclc/181068306","WorldCat Record")</f>
        <v>WorldCat Record</v>
      </c>
      <c r="AX2070" s="3" t="s">
        <v>17578</v>
      </c>
      <c r="AY2070" s="3" t="s">
        <v>17579</v>
      </c>
      <c r="AZ2070" s="3" t="s">
        <v>17580</v>
      </c>
      <c r="BA2070" s="3" t="s">
        <v>17580</v>
      </c>
      <c r="BB2070" s="3" t="s">
        <v>17581</v>
      </c>
      <c r="BC2070" s="3" t="s">
        <v>82</v>
      </c>
      <c r="BD2070" s="3" t="s">
        <v>70</v>
      </c>
      <c r="BE2070" s="3" t="s">
        <v>17582</v>
      </c>
      <c r="BF2070" s="3" t="s">
        <v>17581</v>
      </c>
      <c r="BG2070" s="3" t="s">
        <v>17583</v>
      </c>
    </row>
    <row r="2071" spans="1:59" ht="75" x14ac:dyDescent="0.25">
      <c r="A2071" s="2" t="s">
        <v>59</v>
      </c>
      <c r="B2071" s="2" t="s">
        <v>60</v>
      </c>
      <c r="C2071" s="2" t="s">
        <v>17584</v>
      </c>
      <c r="D2071" s="2" t="s">
        <v>17585</v>
      </c>
      <c r="E2071" s="2" t="s">
        <v>17586</v>
      </c>
      <c r="G2071" s="3" t="s">
        <v>63</v>
      </c>
      <c r="I2071" s="3" t="s">
        <v>63</v>
      </c>
      <c r="J2071" s="3" t="s">
        <v>62</v>
      </c>
      <c r="K2071" s="3" t="s">
        <v>64</v>
      </c>
      <c r="L2071" s="2" t="s">
        <v>16849</v>
      </c>
      <c r="M2071" s="2" t="s">
        <v>17587</v>
      </c>
      <c r="N2071" s="3" t="s">
        <v>326</v>
      </c>
      <c r="O2071" s="2" t="s">
        <v>590</v>
      </c>
      <c r="P2071" s="3" t="s">
        <v>66</v>
      </c>
      <c r="R2071" s="3" t="s">
        <v>67</v>
      </c>
      <c r="S2071" s="4">
        <v>21</v>
      </c>
      <c r="T2071" s="4">
        <v>21</v>
      </c>
      <c r="U2071" s="5" t="s">
        <v>17588</v>
      </c>
      <c r="V2071" s="5" t="s">
        <v>17588</v>
      </c>
      <c r="W2071" s="5" t="s">
        <v>69</v>
      </c>
      <c r="X2071" s="5" t="s">
        <v>69</v>
      </c>
      <c r="Y2071" s="4">
        <v>366</v>
      </c>
      <c r="Z2071" s="4">
        <v>20</v>
      </c>
      <c r="AA2071" s="4">
        <v>171</v>
      </c>
      <c r="AB2071" s="4">
        <v>3</v>
      </c>
      <c r="AC2071" s="4">
        <v>23</v>
      </c>
      <c r="AD2071" s="4">
        <v>67</v>
      </c>
      <c r="AE2071" s="4">
        <v>158</v>
      </c>
      <c r="AF2071" s="4">
        <v>0</v>
      </c>
      <c r="AG2071" s="4">
        <v>7</v>
      </c>
      <c r="AH2071" s="4">
        <v>62</v>
      </c>
      <c r="AI2071" s="4">
        <v>113</v>
      </c>
      <c r="AJ2071" s="4">
        <v>8</v>
      </c>
      <c r="AK2071" s="4">
        <v>27</v>
      </c>
      <c r="AL2071" s="4">
        <v>42</v>
      </c>
      <c r="AM2071" s="4">
        <v>62</v>
      </c>
      <c r="AN2071" s="4">
        <v>0</v>
      </c>
      <c r="AO2071" s="4">
        <v>0</v>
      </c>
      <c r="AP2071" s="4">
        <v>8</v>
      </c>
      <c r="AQ2071" s="4">
        <v>50</v>
      </c>
      <c r="AR2071" s="3" t="s">
        <v>63</v>
      </c>
      <c r="AS2071" s="3" t="s">
        <v>63</v>
      </c>
      <c r="AT2071" s="3" t="s">
        <v>63</v>
      </c>
      <c r="AV2071" s="6" t="str">
        <f>HYPERLINK("http://mcgill.on.worldcat.org/oclc/318971958","Catalog Record")</f>
        <v>Catalog Record</v>
      </c>
      <c r="AW2071" s="6" t="str">
        <f>HYPERLINK("http://www.worldcat.org/oclc/318971958","WorldCat Record")</f>
        <v>WorldCat Record</v>
      </c>
      <c r="AX2071" s="3" t="s">
        <v>17589</v>
      </c>
      <c r="AY2071" s="3" t="s">
        <v>17590</v>
      </c>
      <c r="AZ2071" s="3" t="s">
        <v>17591</v>
      </c>
      <c r="BA2071" s="3" t="s">
        <v>17591</v>
      </c>
      <c r="BB2071" s="3" t="s">
        <v>17592</v>
      </c>
      <c r="BC2071" s="3" t="s">
        <v>82</v>
      </c>
      <c r="BD2071" s="3" t="s">
        <v>70</v>
      </c>
      <c r="BE2071" s="3" t="s">
        <v>17593</v>
      </c>
      <c r="BF2071" s="3" t="s">
        <v>17592</v>
      </c>
      <c r="BG2071" s="3" t="s">
        <v>17594</v>
      </c>
    </row>
    <row r="2072" spans="1:59" ht="75" x14ac:dyDescent="0.25">
      <c r="A2072" s="2" t="s">
        <v>59</v>
      </c>
      <c r="B2072" s="2" t="s">
        <v>60</v>
      </c>
      <c r="C2072" s="2" t="s">
        <v>17595</v>
      </c>
      <c r="D2072" s="2" t="s">
        <v>17596</v>
      </c>
      <c r="E2072" s="2" t="s">
        <v>17597</v>
      </c>
      <c r="G2072" s="3" t="s">
        <v>63</v>
      </c>
      <c r="I2072" s="3" t="s">
        <v>63</v>
      </c>
      <c r="J2072" s="3" t="s">
        <v>63</v>
      </c>
      <c r="K2072" s="3" t="s">
        <v>64</v>
      </c>
      <c r="L2072" s="2" t="s">
        <v>16849</v>
      </c>
      <c r="M2072" s="2" t="s">
        <v>17598</v>
      </c>
      <c r="N2072" s="3" t="s">
        <v>234</v>
      </c>
      <c r="O2072" s="2" t="s">
        <v>17599</v>
      </c>
      <c r="P2072" s="3" t="s">
        <v>66</v>
      </c>
      <c r="Q2072" s="2" t="s">
        <v>9341</v>
      </c>
      <c r="R2072" s="3" t="s">
        <v>67</v>
      </c>
      <c r="S2072" s="4">
        <v>14</v>
      </c>
      <c r="T2072" s="4">
        <v>14</v>
      </c>
      <c r="U2072" s="5" t="s">
        <v>16631</v>
      </c>
      <c r="V2072" s="5" t="s">
        <v>16631</v>
      </c>
      <c r="W2072" s="5" t="s">
        <v>69</v>
      </c>
      <c r="X2072" s="5" t="s">
        <v>69</v>
      </c>
      <c r="Y2072" s="4">
        <v>243</v>
      </c>
      <c r="Z2072" s="4">
        <v>9</v>
      </c>
      <c r="AA2072" s="4">
        <v>14</v>
      </c>
      <c r="AB2072" s="4">
        <v>2</v>
      </c>
      <c r="AC2072" s="4">
        <v>4</v>
      </c>
      <c r="AD2072" s="4">
        <v>63</v>
      </c>
      <c r="AE2072" s="4">
        <v>67</v>
      </c>
      <c r="AF2072" s="4">
        <v>1</v>
      </c>
      <c r="AG2072" s="4">
        <v>1</v>
      </c>
      <c r="AH2072" s="4">
        <v>58</v>
      </c>
      <c r="AI2072" s="4">
        <v>59</v>
      </c>
      <c r="AJ2072" s="4">
        <v>7</v>
      </c>
      <c r="AK2072" s="4">
        <v>9</v>
      </c>
      <c r="AL2072" s="4">
        <v>40</v>
      </c>
      <c r="AM2072" s="4">
        <v>40</v>
      </c>
      <c r="AN2072" s="4">
        <v>0</v>
      </c>
      <c r="AO2072" s="4">
        <v>0</v>
      </c>
      <c r="AP2072" s="4">
        <v>7</v>
      </c>
      <c r="AQ2072" s="4">
        <v>10</v>
      </c>
      <c r="AR2072" s="3" t="s">
        <v>63</v>
      </c>
      <c r="AS2072" s="3" t="s">
        <v>63</v>
      </c>
      <c r="AT2072" s="3" t="s">
        <v>62</v>
      </c>
      <c r="AU2072" s="6" t="str">
        <f>HYPERLINK("http://catalog.hathitrust.org/Record/005346965","HathiTrust Record")</f>
        <v>HathiTrust Record</v>
      </c>
      <c r="AV2072" s="6" t="str">
        <f>HYPERLINK("http://mcgill.on.worldcat.org/oclc/65764191","Catalog Record")</f>
        <v>Catalog Record</v>
      </c>
      <c r="AW2072" s="6" t="str">
        <f>HYPERLINK("http://www.worldcat.org/oclc/65764191","WorldCat Record")</f>
        <v>WorldCat Record</v>
      </c>
      <c r="AX2072" s="3" t="s">
        <v>17600</v>
      </c>
      <c r="AY2072" s="3" t="s">
        <v>17601</v>
      </c>
      <c r="AZ2072" s="3" t="s">
        <v>17602</v>
      </c>
      <c r="BA2072" s="3" t="s">
        <v>17602</v>
      </c>
      <c r="BB2072" s="3" t="s">
        <v>17603</v>
      </c>
      <c r="BC2072" s="3" t="s">
        <v>82</v>
      </c>
      <c r="BD2072" s="3" t="s">
        <v>70</v>
      </c>
      <c r="BE2072" s="3" t="s">
        <v>17604</v>
      </c>
      <c r="BF2072" s="3" t="s">
        <v>17603</v>
      </c>
      <c r="BG2072" s="3" t="s">
        <v>17605</v>
      </c>
    </row>
    <row r="2073" spans="1:59" ht="60" x14ac:dyDescent="0.25">
      <c r="A2073" s="2" t="s">
        <v>59</v>
      </c>
      <c r="B2073" s="2" t="s">
        <v>60</v>
      </c>
      <c r="C2073" s="2" t="s">
        <v>17606</v>
      </c>
      <c r="D2073" s="2" t="s">
        <v>17607</v>
      </c>
      <c r="E2073" s="2" t="s">
        <v>17608</v>
      </c>
      <c r="F2073" s="3" t="s">
        <v>2601</v>
      </c>
      <c r="G2073" s="3" t="s">
        <v>62</v>
      </c>
      <c r="I2073" s="3" t="s">
        <v>63</v>
      </c>
      <c r="J2073" s="3" t="s">
        <v>63</v>
      </c>
      <c r="K2073" s="3" t="s">
        <v>64</v>
      </c>
      <c r="L2073" s="2" t="s">
        <v>16849</v>
      </c>
      <c r="M2073" s="2" t="s">
        <v>17609</v>
      </c>
      <c r="N2073" s="3" t="s">
        <v>300</v>
      </c>
      <c r="P2073" s="3" t="s">
        <v>66</v>
      </c>
      <c r="Q2073" s="2" t="s">
        <v>17610</v>
      </c>
      <c r="R2073" s="3" t="s">
        <v>67</v>
      </c>
      <c r="S2073" s="4">
        <v>5</v>
      </c>
      <c r="T2073" s="4">
        <v>5</v>
      </c>
      <c r="U2073" s="5" t="s">
        <v>17611</v>
      </c>
      <c r="V2073" s="5" t="s">
        <v>17611</v>
      </c>
      <c r="W2073" s="5" t="s">
        <v>69</v>
      </c>
      <c r="X2073" s="5" t="s">
        <v>69</v>
      </c>
      <c r="Y2073" s="4">
        <v>618</v>
      </c>
      <c r="Z2073" s="4">
        <v>8</v>
      </c>
      <c r="AA2073" s="4">
        <v>10</v>
      </c>
      <c r="AB2073" s="4">
        <v>1</v>
      </c>
      <c r="AC2073" s="4">
        <v>2</v>
      </c>
      <c r="AD2073" s="4">
        <v>60</v>
      </c>
      <c r="AE2073" s="4">
        <v>60</v>
      </c>
      <c r="AF2073" s="4">
        <v>0</v>
      </c>
      <c r="AG2073" s="4">
        <v>0</v>
      </c>
      <c r="AH2073" s="4">
        <v>55</v>
      </c>
      <c r="AI2073" s="4">
        <v>55</v>
      </c>
      <c r="AJ2073" s="4">
        <v>4</v>
      </c>
      <c r="AK2073" s="4">
        <v>4</v>
      </c>
      <c r="AL2073" s="4">
        <v>33</v>
      </c>
      <c r="AM2073" s="4">
        <v>33</v>
      </c>
      <c r="AN2073" s="4">
        <v>0</v>
      </c>
      <c r="AO2073" s="4">
        <v>0</v>
      </c>
      <c r="AP2073" s="4">
        <v>5</v>
      </c>
      <c r="AQ2073" s="4">
        <v>5</v>
      </c>
      <c r="AR2073" s="3" t="s">
        <v>63</v>
      </c>
      <c r="AS2073" s="3" t="s">
        <v>63</v>
      </c>
      <c r="AT2073" s="3" t="s">
        <v>62</v>
      </c>
      <c r="AU2073" s="6" t="str">
        <f>HYPERLINK("http://catalog.hathitrust.org/Record/007143538","HathiTrust Record")</f>
        <v>HathiTrust Record</v>
      </c>
      <c r="AV2073" s="6" t="str">
        <f>HYPERLINK("http://mcgill.on.worldcat.org/oclc/1434232","Catalog Record")</f>
        <v>Catalog Record</v>
      </c>
      <c r="AW2073" s="6" t="str">
        <f>HYPERLINK("http://www.worldcat.org/oclc/1434232","WorldCat Record")</f>
        <v>WorldCat Record</v>
      </c>
      <c r="AX2073" s="3" t="s">
        <v>17612</v>
      </c>
      <c r="AY2073" s="3" t="s">
        <v>17613</v>
      </c>
      <c r="AZ2073" s="3" t="s">
        <v>17614</v>
      </c>
      <c r="BA2073" s="3" t="s">
        <v>17614</v>
      </c>
      <c r="BB2073" s="3" t="s">
        <v>17615</v>
      </c>
      <c r="BC2073" s="3" t="s">
        <v>82</v>
      </c>
      <c r="BD2073" s="3" t="s">
        <v>538</v>
      </c>
      <c r="BF2073" s="3" t="s">
        <v>17615</v>
      </c>
      <c r="BG2073" s="3" t="s">
        <v>17616</v>
      </c>
    </row>
    <row r="2074" spans="1:59" ht="60" x14ac:dyDescent="0.25">
      <c r="A2074" s="2" t="s">
        <v>59</v>
      </c>
      <c r="B2074" s="2" t="s">
        <v>60</v>
      </c>
      <c r="C2074" s="2" t="s">
        <v>17606</v>
      </c>
      <c r="D2074" s="2" t="s">
        <v>17607</v>
      </c>
      <c r="E2074" s="2" t="s">
        <v>17608</v>
      </c>
      <c r="F2074" s="3" t="s">
        <v>4181</v>
      </c>
      <c r="G2074" s="3" t="s">
        <v>62</v>
      </c>
      <c r="I2074" s="3" t="s">
        <v>63</v>
      </c>
      <c r="J2074" s="3" t="s">
        <v>63</v>
      </c>
      <c r="K2074" s="3" t="s">
        <v>64</v>
      </c>
      <c r="L2074" s="2" t="s">
        <v>16849</v>
      </c>
      <c r="M2074" s="2" t="s">
        <v>17609</v>
      </c>
      <c r="N2074" s="3" t="s">
        <v>300</v>
      </c>
      <c r="P2074" s="3" t="s">
        <v>66</v>
      </c>
      <c r="Q2074" s="2" t="s">
        <v>17610</v>
      </c>
      <c r="R2074" s="3" t="s">
        <v>67</v>
      </c>
      <c r="S2074" s="4">
        <v>0</v>
      </c>
      <c r="T2074" s="4">
        <v>5</v>
      </c>
      <c r="V2074" s="5" t="s">
        <v>17611</v>
      </c>
      <c r="W2074" s="5" t="s">
        <v>69</v>
      </c>
      <c r="X2074" s="5" t="s">
        <v>69</v>
      </c>
      <c r="Y2074" s="4">
        <v>618</v>
      </c>
      <c r="Z2074" s="4">
        <v>8</v>
      </c>
      <c r="AA2074" s="4">
        <v>10</v>
      </c>
      <c r="AB2074" s="4">
        <v>1</v>
      </c>
      <c r="AC2074" s="4">
        <v>2</v>
      </c>
      <c r="AD2074" s="4">
        <v>60</v>
      </c>
      <c r="AE2074" s="4">
        <v>60</v>
      </c>
      <c r="AF2074" s="4">
        <v>0</v>
      </c>
      <c r="AG2074" s="4">
        <v>0</v>
      </c>
      <c r="AH2074" s="4">
        <v>55</v>
      </c>
      <c r="AI2074" s="4">
        <v>55</v>
      </c>
      <c r="AJ2074" s="4">
        <v>4</v>
      </c>
      <c r="AK2074" s="4">
        <v>4</v>
      </c>
      <c r="AL2074" s="4">
        <v>33</v>
      </c>
      <c r="AM2074" s="4">
        <v>33</v>
      </c>
      <c r="AN2074" s="4">
        <v>0</v>
      </c>
      <c r="AO2074" s="4">
        <v>0</v>
      </c>
      <c r="AP2074" s="4">
        <v>5</v>
      </c>
      <c r="AQ2074" s="4">
        <v>5</v>
      </c>
      <c r="AR2074" s="3" t="s">
        <v>63</v>
      </c>
      <c r="AS2074" s="3" t="s">
        <v>63</v>
      </c>
      <c r="AT2074" s="3" t="s">
        <v>62</v>
      </c>
      <c r="AU2074" s="6" t="str">
        <f>HYPERLINK("http://catalog.hathitrust.org/Record/007143538","HathiTrust Record")</f>
        <v>HathiTrust Record</v>
      </c>
      <c r="AV2074" s="6" t="str">
        <f>HYPERLINK("http://mcgill.on.worldcat.org/oclc/1434232","Catalog Record")</f>
        <v>Catalog Record</v>
      </c>
      <c r="AW2074" s="6" t="str">
        <f>HYPERLINK("http://www.worldcat.org/oclc/1434232","WorldCat Record")</f>
        <v>WorldCat Record</v>
      </c>
      <c r="AX2074" s="3" t="s">
        <v>17612</v>
      </c>
      <c r="AY2074" s="3" t="s">
        <v>17613</v>
      </c>
      <c r="AZ2074" s="3" t="s">
        <v>17614</v>
      </c>
      <c r="BA2074" s="3" t="s">
        <v>17614</v>
      </c>
      <c r="BB2074" s="3" t="s">
        <v>17617</v>
      </c>
      <c r="BC2074" s="3" t="s">
        <v>82</v>
      </c>
      <c r="BD2074" s="3" t="s">
        <v>70</v>
      </c>
      <c r="BF2074" s="3" t="s">
        <v>17617</v>
      </c>
      <c r="BG2074" s="3" t="s">
        <v>17618</v>
      </c>
    </row>
    <row r="2075" spans="1:59" ht="60" x14ac:dyDescent="0.25">
      <c r="A2075" s="2" t="s">
        <v>59</v>
      </c>
      <c r="B2075" s="2" t="s">
        <v>60</v>
      </c>
      <c r="C2075" s="2" t="s">
        <v>17619</v>
      </c>
      <c r="D2075" s="2" t="s">
        <v>17620</v>
      </c>
      <c r="E2075" s="2" t="s">
        <v>17621</v>
      </c>
      <c r="G2075" s="3" t="s">
        <v>63</v>
      </c>
      <c r="I2075" s="3" t="s">
        <v>62</v>
      </c>
      <c r="J2075" s="3" t="s">
        <v>62</v>
      </c>
      <c r="K2075" s="3" t="s">
        <v>11580</v>
      </c>
      <c r="L2075" s="2" t="s">
        <v>16849</v>
      </c>
      <c r="M2075" s="2" t="s">
        <v>17622</v>
      </c>
      <c r="N2075" s="3" t="s">
        <v>546</v>
      </c>
      <c r="P2075" s="3" t="s">
        <v>66</v>
      </c>
      <c r="Q2075" s="2" t="s">
        <v>9783</v>
      </c>
      <c r="R2075" s="3" t="s">
        <v>67</v>
      </c>
      <c r="S2075" s="4">
        <v>11</v>
      </c>
      <c r="T2075" s="4">
        <v>85</v>
      </c>
      <c r="U2075" s="5" t="s">
        <v>17623</v>
      </c>
      <c r="V2075" s="5" t="s">
        <v>17623</v>
      </c>
      <c r="W2075" s="5" t="s">
        <v>69</v>
      </c>
      <c r="X2075" s="5" t="s">
        <v>69</v>
      </c>
      <c r="Y2075" s="4">
        <v>171</v>
      </c>
      <c r="Z2075" s="4">
        <v>3</v>
      </c>
      <c r="AA2075" s="4">
        <v>267</v>
      </c>
      <c r="AB2075" s="4">
        <v>1</v>
      </c>
      <c r="AC2075" s="4">
        <v>27</v>
      </c>
      <c r="AD2075" s="4">
        <v>27</v>
      </c>
      <c r="AE2075" s="4">
        <v>174</v>
      </c>
      <c r="AF2075" s="4">
        <v>0</v>
      </c>
      <c r="AG2075" s="4">
        <v>9</v>
      </c>
      <c r="AH2075" s="4">
        <v>24</v>
      </c>
      <c r="AI2075" s="4">
        <v>116</v>
      </c>
      <c r="AJ2075" s="4">
        <v>1</v>
      </c>
      <c r="AK2075" s="4">
        <v>30</v>
      </c>
      <c r="AL2075" s="4">
        <v>18</v>
      </c>
      <c r="AM2075" s="4">
        <v>64</v>
      </c>
      <c r="AN2075" s="4">
        <v>0</v>
      </c>
      <c r="AO2075" s="4">
        <v>12</v>
      </c>
      <c r="AP2075" s="4">
        <v>2</v>
      </c>
      <c r="AQ2075" s="4">
        <v>61</v>
      </c>
      <c r="AR2075" s="3" t="s">
        <v>63</v>
      </c>
      <c r="AS2075" s="3" t="s">
        <v>63</v>
      </c>
      <c r="AT2075" s="3" t="s">
        <v>62</v>
      </c>
      <c r="AU2075" s="6" t="str">
        <f>HYPERLINK("http://catalog.hathitrust.org/Record/009920674","HathiTrust Record")</f>
        <v>HathiTrust Record</v>
      </c>
      <c r="AV2075" s="6" t="str">
        <f>HYPERLINK("http://mcgill.on.worldcat.org/oclc/2460809","Catalog Record")</f>
        <v>Catalog Record</v>
      </c>
      <c r="AW2075" s="6" t="str">
        <f>HYPERLINK("http://www.worldcat.org/oclc/2460809","WorldCat Record")</f>
        <v>WorldCat Record</v>
      </c>
      <c r="AX2075" s="3" t="s">
        <v>17624</v>
      </c>
      <c r="AY2075" s="3" t="s">
        <v>17625</v>
      </c>
      <c r="AZ2075" s="3" t="s">
        <v>17626</v>
      </c>
      <c r="BA2075" s="3" t="s">
        <v>17626</v>
      </c>
      <c r="BB2075" s="3" t="s">
        <v>17627</v>
      </c>
      <c r="BC2075" s="3" t="s">
        <v>82</v>
      </c>
      <c r="BD2075" s="3" t="s">
        <v>70</v>
      </c>
      <c r="BF2075" s="3" t="s">
        <v>17627</v>
      </c>
      <c r="BG2075" s="3" t="s">
        <v>17628</v>
      </c>
    </row>
    <row r="2076" spans="1:59" ht="60" x14ac:dyDescent="0.25">
      <c r="A2076" s="2" t="s">
        <v>59</v>
      </c>
      <c r="B2076" s="2" t="s">
        <v>60</v>
      </c>
      <c r="C2076" s="2" t="s">
        <v>17619</v>
      </c>
      <c r="D2076" s="2" t="s">
        <v>17620</v>
      </c>
      <c r="E2076" s="2" t="s">
        <v>17621</v>
      </c>
      <c r="G2076" s="3" t="s">
        <v>63</v>
      </c>
      <c r="I2076" s="3" t="s">
        <v>62</v>
      </c>
      <c r="J2076" s="3" t="s">
        <v>62</v>
      </c>
      <c r="K2076" s="3" t="s">
        <v>11580</v>
      </c>
      <c r="L2076" s="2" t="s">
        <v>16849</v>
      </c>
      <c r="M2076" s="2" t="s">
        <v>17622</v>
      </c>
      <c r="N2076" s="3" t="s">
        <v>546</v>
      </c>
      <c r="P2076" s="3" t="s">
        <v>66</v>
      </c>
      <c r="Q2076" s="2" t="s">
        <v>9783</v>
      </c>
      <c r="R2076" s="3" t="s">
        <v>67</v>
      </c>
      <c r="S2076" s="4">
        <v>18</v>
      </c>
      <c r="T2076" s="4">
        <v>85</v>
      </c>
      <c r="U2076" s="5" t="s">
        <v>15268</v>
      </c>
      <c r="V2076" s="5" t="s">
        <v>17623</v>
      </c>
      <c r="W2076" s="5" t="s">
        <v>69</v>
      </c>
      <c r="X2076" s="5" t="s">
        <v>69</v>
      </c>
      <c r="Y2076" s="4">
        <v>171</v>
      </c>
      <c r="Z2076" s="4">
        <v>3</v>
      </c>
      <c r="AA2076" s="4">
        <v>267</v>
      </c>
      <c r="AB2076" s="4">
        <v>1</v>
      </c>
      <c r="AC2076" s="4">
        <v>27</v>
      </c>
      <c r="AD2076" s="4">
        <v>27</v>
      </c>
      <c r="AE2076" s="4">
        <v>174</v>
      </c>
      <c r="AF2076" s="4">
        <v>0</v>
      </c>
      <c r="AG2076" s="4">
        <v>9</v>
      </c>
      <c r="AH2076" s="4">
        <v>24</v>
      </c>
      <c r="AI2076" s="4">
        <v>116</v>
      </c>
      <c r="AJ2076" s="4">
        <v>1</v>
      </c>
      <c r="AK2076" s="4">
        <v>30</v>
      </c>
      <c r="AL2076" s="4">
        <v>18</v>
      </c>
      <c r="AM2076" s="4">
        <v>64</v>
      </c>
      <c r="AN2076" s="4">
        <v>0</v>
      </c>
      <c r="AO2076" s="4">
        <v>12</v>
      </c>
      <c r="AP2076" s="4">
        <v>2</v>
      </c>
      <c r="AQ2076" s="4">
        <v>61</v>
      </c>
      <c r="AR2076" s="3" t="s">
        <v>63</v>
      </c>
      <c r="AS2076" s="3" t="s">
        <v>63</v>
      </c>
      <c r="AT2076" s="3" t="s">
        <v>62</v>
      </c>
      <c r="AU2076" s="6" t="str">
        <f>HYPERLINK("http://catalog.hathitrust.org/Record/009920674","HathiTrust Record")</f>
        <v>HathiTrust Record</v>
      </c>
      <c r="AV2076" s="6" t="str">
        <f>HYPERLINK("http://mcgill.on.worldcat.org/oclc/2460809","Catalog Record")</f>
        <v>Catalog Record</v>
      </c>
      <c r="AW2076" s="6" t="str">
        <f>HYPERLINK("http://www.worldcat.org/oclc/2460809","WorldCat Record")</f>
        <v>WorldCat Record</v>
      </c>
      <c r="AX2076" s="3" t="s">
        <v>17624</v>
      </c>
      <c r="AY2076" s="3" t="s">
        <v>17625</v>
      </c>
      <c r="AZ2076" s="3" t="s">
        <v>17626</v>
      </c>
      <c r="BA2076" s="3" t="s">
        <v>17626</v>
      </c>
      <c r="BB2076" s="3" t="s">
        <v>17629</v>
      </c>
      <c r="BC2076" s="3" t="s">
        <v>82</v>
      </c>
      <c r="BD2076" s="3" t="s">
        <v>70</v>
      </c>
      <c r="BF2076" s="3" t="s">
        <v>17629</v>
      </c>
      <c r="BG2076" s="3" t="s">
        <v>17630</v>
      </c>
    </row>
    <row r="2077" spans="1:59" ht="60" x14ac:dyDescent="0.25">
      <c r="A2077" s="2" t="s">
        <v>59</v>
      </c>
      <c r="B2077" s="2" t="s">
        <v>60</v>
      </c>
      <c r="C2077" s="2" t="s">
        <v>17619</v>
      </c>
      <c r="D2077" s="2" t="s">
        <v>17620</v>
      </c>
      <c r="E2077" s="2" t="s">
        <v>17621</v>
      </c>
      <c r="G2077" s="3" t="s">
        <v>63</v>
      </c>
      <c r="I2077" s="3" t="s">
        <v>62</v>
      </c>
      <c r="J2077" s="3" t="s">
        <v>62</v>
      </c>
      <c r="K2077" s="3" t="s">
        <v>11580</v>
      </c>
      <c r="L2077" s="2" t="s">
        <v>16849</v>
      </c>
      <c r="M2077" s="2" t="s">
        <v>17622</v>
      </c>
      <c r="N2077" s="3" t="s">
        <v>546</v>
      </c>
      <c r="P2077" s="3" t="s">
        <v>66</v>
      </c>
      <c r="Q2077" s="2" t="s">
        <v>9783</v>
      </c>
      <c r="R2077" s="3" t="s">
        <v>67</v>
      </c>
      <c r="S2077" s="4">
        <v>5</v>
      </c>
      <c r="T2077" s="4">
        <v>85</v>
      </c>
      <c r="U2077" s="5" t="s">
        <v>17631</v>
      </c>
      <c r="V2077" s="5" t="s">
        <v>17623</v>
      </c>
      <c r="W2077" s="5" t="s">
        <v>69</v>
      </c>
      <c r="X2077" s="5" t="s">
        <v>69</v>
      </c>
      <c r="Y2077" s="4">
        <v>171</v>
      </c>
      <c r="Z2077" s="4">
        <v>3</v>
      </c>
      <c r="AA2077" s="4">
        <v>267</v>
      </c>
      <c r="AB2077" s="4">
        <v>1</v>
      </c>
      <c r="AC2077" s="4">
        <v>27</v>
      </c>
      <c r="AD2077" s="4">
        <v>27</v>
      </c>
      <c r="AE2077" s="4">
        <v>174</v>
      </c>
      <c r="AF2077" s="4">
        <v>0</v>
      </c>
      <c r="AG2077" s="4">
        <v>9</v>
      </c>
      <c r="AH2077" s="4">
        <v>24</v>
      </c>
      <c r="AI2077" s="4">
        <v>116</v>
      </c>
      <c r="AJ2077" s="4">
        <v>1</v>
      </c>
      <c r="AK2077" s="4">
        <v>30</v>
      </c>
      <c r="AL2077" s="4">
        <v>18</v>
      </c>
      <c r="AM2077" s="4">
        <v>64</v>
      </c>
      <c r="AN2077" s="4">
        <v>0</v>
      </c>
      <c r="AO2077" s="4">
        <v>12</v>
      </c>
      <c r="AP2077" s="4">
        <v>2</v>
      </c>
      <c r="AQ2077" s="4">
        <v>61</v>
      </c>
      <c r="AR2077" s="3" t="s">
        <v>63</v>
      </c>
      <c r="AS2077" s="3" t="s">
        <v>63</v>
      </c>
      <c r="AT2077" s="3" t="s">
        <v>62</v>
      </c>
      <c r="AU2077" s="6" t="str">
        <f>HYPERLINK("http://catalog.hathitrust.org/Record/009920674","HathiTrust Record")</f>
        <v>HathiTrust Record</v>
      </c>
      <c r="AV2077" s="6" t="str">
        <f>HYPERLINK("http://mcgill.on.worldcat.org/oclc/2460809","Catalog Record")</f>
        <v>Catalog Record</v>
      </c>
      <c r="AW2077" s="6" t="str">
        <f>HYPERLINK("http://www.worldcat.org/oclc/2460809","WorldCat Record")</f>
        <v>WorldCat Record</v>
      </c>
      <c r="AX2077" s="3" t="s">
        <v>17624</v>
      </c>
      <c r="AY2077" s="3" t="s">
        <v>17625</v>
      </c>
      <c r="AZ2077" s="3" t="s">
        <v>17626</v>
      </c>
      <c r="BA2077" s="3" t="s">
        <v>17626</v>
      </c>
      <c r="BB2077" s="3" t="s">
        <v>17632</v>
      </c>
      <c r="BC2077" s="3" t="s">
        <v>82</v>
      </c>
      <c r="BD2077" s="3" t="s">
        <v>70</v>
      </c>
      <c r="BF2077" s="3" t="s">
        <v>17632</v>
      </c>
      <c r="BG2077" s="3" t="s">
        <v>17633</v>
      </c>
    </row>
    <row r="2078" spans="1:59" ht="60" x14ac:dyDescent="0.25">
      <c r="A2078" s="2" t="s">
        <v>59</v>
      </c>
      <c r="B2078" s="2" t="s">
        <v>60</v>
      </c>
      <c r="C2078" s="2" t="s">
        <v>17619</v>
      </c>
      <c r="D2078" s="2" t="s">
        <v>17620</v>
      </c>
      <c r="E2078" s="2" t="s">
        <v>17621</v>
      </c>
      <c r="G2078" s="3" t="s">
        <v>63</v>
      </c>
      <c r="I2078" s="3" t="s">
        <v>62</v>
      </c>
      <c r="J2078" s="3" t="s">
        <v>62</v>
      </c>
      <c r="K2078" s="3" t="s">
        <v>11580</v>
      </c>
      <c r="L2078" s="2" t="s">
        <v>16849</v>
      </c>
      <c r="M2078" s="2" t="s">
        <v>17622</v>
      </c>
      <c r="N2078" s="3" t="s">
        <v>546</v>
      </c>
      <c r="P2078" s="3" t="s">
        <v>66</v>
      </c>
      <c r="Q2078" s="2" t="s">
        <v>9783</v>
      </c>
      <c r="R2078" s="3" t="s">
        <v>67</v>
      </c>
      <c r="S2078" s="4">
        <v>51</v>
      </c>
      <c r="T2078" s="4">
        <v>85</v>
      </c>
      <c r="U2078" s="5" t="s">
        <v>17634</v>
      </c>
      <c r="V2078" s="5" t="s">
        <v>17623</v>
      </c>
      <c r="W2078" s="5" t="s">
        <v>69</v>
      </c>
      <c r="X2078" s="5" t="s">
        <v>69</v>
      </c>
      <c r="Y2078" s="4">
        <v>171</v>
      </c>
      <c r="Z2078" s="4">
        <v>3</v>
      </c>
      <c r="AA2078" s="4">
        <v>267</v>
      </c>
      <c r="AB2078" s="4">
        <v>1</v>
      </c>
      <c r="AC2078" s="4">
        <v>27</v>
      </c>
      <c r="AD2078" s="4">
        <v>27</v>
      </c>
      <c r="AE2078" s="4">
        <v>174</v>
      </c>
      <c r="AF2078" s="4">
        <v>0</v>
      </c>
      <c r="AG2078" s="4">
        <v>9</v>
      </c>
      <c r="AH2078" s="4">
        <v>24</v>
      </c>
      <c r="AI2078" s="4">
        <v>116</v>
      </c>
      <c r="AJ2078" s="4">
        <v>1</v>
      </c>
      <c r="AK2078" s="4">
        <v>30</v>
      </c>
      <c r="AL2078" s="4">
        <v>18</v>
      </c>
      <c r="AM2078" s="4">
        <v>64</v>
      </c>
      <c r="AN2078" s="4">
        <v>0</v>
      </c>
      <c r="AO2078" s="4">
        <v>12</v>
      </c>
      <c r="AP2078" s="4">
        <v>2</v>
      </c>
      <c r="AQ2078" s="4">
        <v>61</v>
      </c>
      <c r="AR2078" s="3" t="s">
        <v>63</v>
      </c>
      <c r="AS2078" s="3" t="s">
        <v>63</v>
      </c>
      <c r="AT2078" s="3" t="s">
        <v>62</v>
      </c>
      <c r="AU2078" s="6" t="str">
        <f>HYPERLINK("http://catalog.hathitrust.org/Record/009920674","HathiTrust Record")</f>
        <v>HathiTrust Record</v>
      </c>
      <c r="AV2078" s="6" t="str">
        <f>HYPERLINK("http://mcgill.on.worldcat.org/oclc/2460809","Catalog Record")</f>
        <v>Catalog Record</v>
      </c>
      <c r="AW2078" s="6" t="str">
        <f>HYPERLINK("http://www.worldcat.org/oclc/2460809","WorldCat Record")</f>
        <v>WorldCat Record</v>
      </c>
      <c r="AX2078" s="3" t="s">
        <v>17624</v>
      </c>
      <c r="AY2078" s="3" t="s">
        <v>17625</v>
      </c>
      <c r="AZ2078" s="3" t="s">
        <v>17626</v>
      </c>
      <c r="BA2078" s="3" t="s">
        <v>17626</v>
      </c>
      <c r="BB2078" s="3" t="s">
        <v>17635</v>
      </c>
      <c r="BC2078" s="3" t="s">
        <v>82</v>
      </c>
      <c r="BD2078" s="3" t="s">
        <v>70</v>
      </c>
      <c r="BF2078" s="3" t="s">
        <v>17635</v>
      </c>
      <c r="BG2078" s="3" t="s">
        <v>17636</v>
      </c>
    </row>
    <row r="2079" spans="1:59" ht="60" x14ac:dyDescent="0.25">
      <c r="A2079" s="2" t="s">
        <v>59</v>
      </c>
      <c r="B2079" s="2" t="s">
        <v>60</v>
      </c>
      <c r="C2079" s="2" t="s">
        <v>17637</v>
      </c>
      <c r="D2079" s="2" t="s">
        <v>17638</v>
      </c>
      <c r="E2079" s="2" t="s">
        <v>17639</v>
      </c>
      <c r="G2079" s="3" t="s">
        <v>62</v>
      </c>
      <c r="I2079" s="3" t="s">
        <v>62</v>
      </c>
      <c r="J2079" s="3" t="s">
        <v>62</v>
      </c>
      <c r="K2079" s="3" t="s">
        <v>11580</v>
      </c>
      <c r="L2079" s="2" t="s">
        <v>16849</v>
      </c>
      <c r="M2079" s="2" t="s">
        <v>17640</v>
      </c>
      <c r="N2079" s="3" t="s">
        <v>17641</v>
      </c>
      <c r="P2079" s="3" t="s">
        <v>66</v>
      </c>
      <c r="Q2079" s="2" t="s">
        <v>17642</v>
      </c>
      <c r="R2079" s="3" t="s">
        <v>67</v>
      </c>
      <c r="S2079" s="4">
        <v>11</v>
      </c>
      <c r="T2079" s="4">
        <v>35</v>
      </c>
      <c r="U2079" s="5" t="s">
        <v>6056</v>
      </c>
      <c r="V2079" s="5" t="s">
        <v>6056</v>
      </c>
      <c r="W2079" s="5" t="s">
        <v>69</v>
      </c>
      <c r="X2079" s="5" t="s">
        <v>69</v>
      </c>
      <c r="Y2079" s="4">
        <v>1</v>
      </c>
      <c r="Z2079" s="4">
        <v>1</v>
      </c>
      <c r="AA2079" s="4">
        <v>267</v>
      </c>
      <c r="AB2079" s="4">
        <v>1</v>
      </c>
      <c r="AC2079" s="4">
        <v>27</v>
      </c>
      <c r="AD2079" s="4">
        <v>0</v>
      </c>
      <c r="AE2079" s="4">
        <v>174</v>
      </c>
      <c r="AF2079" s="4">
        <v>0</v>
      </c>
      <c r="AG2079" s="4">
        <v>9</v>
      </c>
      <c r="AH2079" s="4">
        <v>0</v>
      </c>
      <c r="AI2079" s="4">
        <v>116</v>
      </c>
      <c r="AJ2079" s="4">
        <v>0</v>
      </c>
      <c r="AK2079" s="4">
        <v>30</v>
      </c>
      <c r="AL2079" s="4">
        <v>0</v>
      </c>
      <c r="AM2079" s="4">
        <v>64</v>
      </c>
      <c r="AN2079" s="4">
        <v>0</v>
      </c>
      <c r="AO2079" s="4">
        <v>12</v>
      </c>
      <c r="AP2079" s="4">
        <v>0</v>
      </c>
      <c r="AQ2079" s="4">
        <v>61</v>
      </c>
      <c r="AR2079" s="3" t="s">
        <v>63</v>
      </c>
      <c r="AS2079" s="3" t="s">
        <v>63</v>
      </c>
      <c r="AT2079" s="3" t="s">
        <v>63</v>
      </c>
      <c r="AV2079" s="6" t="str">
        <f>HYPERLINK("http://mcgill.on.worldcat.org/oclc/61578149","Catalog Record")</f>
        <v>Catalog Record</v>
      </c>
      <c r="AW2079" s="6" t="str">
        <f>HYPERLINK("http://www.worldcat.org/oclc/61578149","WorldCat Record")</f>
        <v>WorldCat Record</v>
      </c>
      <c r="AX2079" s="3" t="s">
        <v>17624</v>
      </c>
      <c r="AY2079" s="3" t="s">
        <v>17643</v>
      </c>
      <c r="AZ2079" s="3" t="s">
        <v>17644</v>
      </c>
      <c r="BA2079" s="3" t="s">
        <v>17644</v>
      </c>
      <c r="BB2079" s="3" t="s">
        <v>17645</v>
      </c>
      <c r="BC2079" s="3" t="s">
        <v>82</v>
      </c>
      <c r="BD2079" s="3" t="s">
        <v>70</v>
      </c>
      <c r="BF2079" s="3" t="s">
        <v>17645</v>
      </c>
      <c r="BG2079" s="3" t="s">
        <v>17646</v>
      </c>
    </row>
    <row r="2080" spans="1:59" ht="60" x14ac:dyDescent="0.25">
      <c r="A2080" s="2" t="s">
        <v>59</v>
      </c>
      <c r="B2080" s="2" t="s">
        <v>60</v>
      </c>
      <c r="C2080" s="2" t="s">
        <v>17637</v>
      </c>
      <c r="D2080" s="2" t="s">
        <v>17638</v>
      </c>
      <c r="E2080" s="2" t="s">
        <v>17639</v>
      </c>
      <c r="G2080" s="3" t="s">
        <v>62</v>
      </c>
      <c r="I2080" s="3" t="s">
        <v>62</v>
      </c>
      <c r="J2080" s="3" t="s">
        <v>62</v>
      </c>
      <c r="K2080" s="3" t="s">
        <v>11580</v>
      </c>
      <c r="L2080" s="2" t="s">
        <v>16849</v>
      </c>
      <c r="M2080" s="2" t="s">
        <v>17640</v>
      </c>
      <c r="N2080" s="3" t="s">
        <v>17641</v>
      </c>
      <c r="P2080" s="3" t="s">
        <v>66</v>
      </c>
      <c r="Q2080" s="2" t="s">
        <v>17642</v>
      </c>
      <c r="R2080" s="3" t="s">
        <v>67</v>
      </c>
      <c r="S2080" s="4">
        <v>13</v>
      </c>
      <c r="T2080" s="4">
        <v>35</v>
      </c>
      <c r="U2080" s="5" t="s">
        <v>17647</v>
      </c>
      <c r="V2080" s="5" t="s">
        <v>6056</v>
      </c>
      <c r="W2080" s="5" t="s">
        <v>69</v>
      </c>
      <c r="X2080" s="5" t="s">
        <v>69</v>
      </c>
      <c r="Y2080" s="4">
        <v>1</v>
      </c>
      <c r="Z2080" s="4">
        <v>1</v>
      </c>
      <c r="AA2080" s="4">
        <v>267</v>
      </c>
      <c r="AB2080" s="4">
        <v>1</v>
      </c>
      <c r="AC2080" s="4">
        <v>27</v>
      </c>
      <c r="AD2080" s="4">
        <v>0</v>
      </c>
      <c r="AE2080" s="4">
        <v>174</v>
      </c>
      <c r="AF2080" s="4">
        <v>0</v>
      </c>
      <c r="AG2080" s="4">
        <v>9</v>
      </c>
      <c r="AH2080" s="4">
        <v>0</v>
      </c>
      <c r="AI2080" s="4">
        <v>116</v>
      </c>
      <c r="AJ2080" s="4">
        <v>0</v>
      </c>
      <c r="AK2080" s="4">
        <v>30</v>
      </c>
      <c r="AL2080" s="4">
        <v>0</v>
      </c>
      <c r="AM2080" s="4">
        <v>64</v>
      </c>
      <c r="AN2080" s="4">
        <v>0</v>
      </c>
      <c r="AO2080" s="4">
        <v>12</v>
      </c>
      <c r="AP2080" s="4">
        <v>0</v>
      </c>
      <c r="AQ2080" s="4">
        <v>61</v>
      </c>
      <c r="AR2080" s="3" t="s">
        <v>63</v>
      </c>
      <c r="AS2080" s="3" t="s">
        <v>63</v>
      </c>
      <c r="AT2080" s="3" t="s">
        <v>63</v>
      </c>
      <c r="AV2080" s="6" t="str">
        <f>HYPERLINK("http://mcgill.on.worldcat.org/oclc/61578149","Catalog Record")</f>
        <v>Catalog Record</v>
      </c>
      <c r="AW2080" s="6" t="str">
        <f>HYPERLINK("http://www.worldcat.org/oclc/61578149","WorldCat Record")</f>
        <v>WorldCat Record</v>
      </c>
      <c r="AX2080" s="3" t="s">
        <v>17624</v>
      </c>
      <c r="AY2080" s="3" t="s">
        <v>17643</v>
      </c>
      <c r="AZ2080" s="3" t="s">
        <v>17644</v>
      </c>
      <c r="BA2080" s="3" t="s">
        <v>17644</v>
      </c>
      <c r="BB2080" s="3" t="s">
        <v>17648</v>
      </c>
      <c r="BC2080" s="3" t="s">
        <v>82</v>
      </c>
      <c r="BD2080" s="3" t="s">
        <v>70</v>
      </c>
      <c r="BF2080" s="3" t="s">
        <v>17648</v>
      </c>
      <c r="BG2080" s="3" t="s">
        <v>17649</v>
      </c>
    </row>
    <row r="2081" spans="1:59" ht="60" x14ac:dyDescent="0.25">
      <c r="A2081" s="2" t="s">
        <v>59</v>
      </c>
      <c r="B2081" s="2" t="s">
        <v>60</v>
      </c>
      <c r="C2081" s="2" t="s">
        <v>17637</v>
      </c>
      <c r="D2081" s="2" t="s">
        <v>17638</v>
      </c>
      <c r="E2081" s="2" t="s">
        <v>17639</v>
      </c>
      <c r="G2081" s="3" t="s">
        <v>62</v>
      </c>
      <c r="I2081" s="3" t="s">
        <v>62</v>
      </c>
      <c r="J2081" s="3" t="s">
        <v>62</v>
      </c>
      <c r="K2081" s="3" t="s">
        <v>11580</v>
      </c>
      <c r="L2081" s="2" t="s">
        <v>16849</v>
      </c>
      <c r="M2081" s="2" t="s">
        <v>17640</v>
      </c>
      <c r="N2081" s="3" t="s">
        <v>17641</v>
      </c>
      <c r="P2081" s="3" t="s">
        <v>66</v>
      </c>
      <c r="Q2081" s="2" t="s">
        <v>17642</v>
      </c>
      <c r="R2081" s="3" t="s">
        <v>67</v>
      </c>
      <c r="S2081" s="4">
        <v>11</v>
      </c>
      <c r="T2081" s="4">
        <v>35</v>
      </c>
      <c r="U2081" s="5" t="s">
        <v>17650</v>
      </c>
      <c r="V2081" s="5" t="s">
        <v>6056</v>
      </c>
      <c r="W2081" s="5" t="s">
        <v>69</v>
      </c>
      <c r="X2081" s="5" t="s">
        <v>69</v>
      </c>
      <c r="Y2081" s="4">
        <v>1</v>
      </c>
      <c r="Z2081" s="4">
        <v>1</v>
      </c>
      <c r="AA2081" s="4">
        <v>267</v>
      </c>
      <c r="AB2081" s="4">
        <v>1</v>
      </c>
      <c r="AC2081" s="4">
        <v>27</v>
      </c>
      <c r="AD2081" s="4">
        <v>0</v>
      </c>
      <c r="AE2081" s="4">
        <v>174</v>
      </c>
      <c r="AF2081" s="4">
        <v>0</v>
      </c>
      <c r="AG2081" s="4">
        <v>9</v>
      </c>
      <c r="AH2081" s="4">
        <v>0</v>
      </c>
      <c r="AI2081" s="4">
        <v>116</v>
      </c>
      <c r="AJ2081" s="4">
        <v>0</v>
      </c>
      <c r="AK2081" s="4">
        <v>30</v>
      </c>
      <c r="AL2081" s="4">
        <v>0</v>
      </c>
      <c r="AM2081" s="4">
        <v>64</v>
      </c>
      <c r="AN2081" s="4">
        <v>0</v>
      </c>
      <c r="AO2081" s="4">
        <v>12</v>
      </c>
      <c r="AP2081" s="4">
        <v>0</v>
      </c>
      <c r="AQ2081" s="4">
        <v>61</v>
      </c>
      <c r="AR2081" s="3" t="s">
        <v>63</v>
      </c>
      <c r="AS2081" s="3" t="s">
        <v>63</v>
      </c>
      <c r="AT2081" s="3" t="s">
        <v>63</v>
      </c>
      <c r="AV2081" s="6" t="str">
        <f>HYPERLINK("http://mcgill.on.worldcat.org/oclc/61578149","Catalog Record")</f>
        <v>Catalog Record</v>
      </c>
      <c r="AW2081" s="6" t="str">
        <f>HYPERLINK("http://www.worldcat.org/oclc/61578149","WorldCat Record")</f>
        <v>WorldCat Record</v>
      </c>
      <c r="AX2081" s="3" t="s">
        <v>17624</v>
      </c>
      <c r="AY2081" s="3" t="s">
        <v>17643</v>
      </c>
      <c r="AZ2081" s="3" t="s">
        <v>17644</v>
      </c>
      <c r="BA2081" s="3" t="s">
        <v>17644</v>
      </c>
      <c r="BB2081" s="3" t="s">
        <v>17651</v>
      </c>
      <c r="BC2081" s="3" t="s">
        <v>82</v>
      </c>
      <c r="BD2081" s="3" t="s">
        <v>70</v>
      </c>
      <c r="BF2081" s="3" t="s">
        <v>17651</v>
      </c>
      <c r="BG2081" s="3" t="s">
        <v>17652</v>
      </c>
    </row>
    <row r="2082" spans="1:59" ht="75" x14ac:dyDescent="0.25">
      <c r="A2082" s="2" t="s">
        <v>59</v>
      </c>
      <c r="B2082" s="2" t="s">
        <v>60</v>
      </c>
      <c r="C2082" s="2" t="s">
        <v>17653</v>
      </c>
      <c r="D2082" s="2" t="s">
        <v>17654</v>
      </c>
      <c r="E2082" s="2" t="s">
        <v>17655</v>
      </c>
      <c r="G2082" s="3" t="s">
        <v>62</v>
      </c>
      <c r="I2082" s="3" t="s">
        <v>63</v>
      </c>
      <c r="J2082" s="3" t="s">
        <v>62</v>
      </c>
      <c r="K2082" s="3" t="s">
        <v>11580</v>
      </c>
      <c r="L2082" s="2" t="s">
        <v>16849</v>
      </c>
      <c r="M2082" s="2" t="s">
        <v>17656</v>
      </c>
      <c r="N2082" s="3" t="s">
        <v>885</v>
      </c>
      <c r="P2082" s="3" t="s">
        <v>66</v>
      </c>
      <c r="R2082" s="3" t="s">
        <v>67</v>
      </c>
      <c r="S2082" s="4">
        <v>35</v>
      </c>
      <c r="T2082" s="4">
        <v>35</v>
      </c>
      <c r="U2082" s="5" t="s">
        <v>14022</v>
      </c>
      <c r="V2082" s="5" t="s">
        <v>14022</v>
      </c>
      <c r="W2082" s="5" t="s">
        <v>69</v>
      </c>
      <c r="X2082" s="5" t="s">
        <v>69</v>
      </c>
      <c r="Y2082" s="4">
        <v>847</v>
      </c>
      <c r="Z2082" s="4">
        <v>27</v>
      </c>
      <c r="AA2082" s="4">
        <v>267</v>
      </c>
      <c r="AB2082" s="4">
        <v>1</v>
      </c>
      <c r="AC2082" s="4">
        <v>27</v>
      </c>
      <c r="AD2082" s="4">
        <v>110</v>
      </c>
      <c r="AE2082" s="4">
        <v>174</v>
      </c>
      <c r="AF2082" s="4">
        <v>0</v>
      </c>
      <c r="AG2082" s="4">
        <v>9</v>
      </c>
      <c r="AH2082" s="4">
        <v>94</v>
      </c>
      <c r="AI2082" s="4">
        <v>116</v>
      </c>
      <c r="AJ2082" s="4">
        <v>13</v>
      </c>
      <c r="AK2082" s="4">
        <v>30</v>
      </c>
      <c r="AL2082" s="4">
        <v>51</v>
      </c>
      <c r="AM2082" s="4">
        <v>64</v>
      </c>
      <c r="AN2082" s="4">
        <v>0</v>
      </c>
      <c r="AO2082" s="4">
        <v>12</v>
      </c>
      <c r="AP2082" s="4">
        <v>21</v>
      </c>
      <c r="AQ2082" s="4">
        <v>61</v>
      </c>
      <c r="AR2082" s="3" t="s">
        <v>63</v>
      </c>
      <c r="AS2082" s="3" t="s">
        <v>63</v>
      </c>
      <c r="AT2082" s="3" t="s">
        <v>62</v>
      </c>
      <c r="AU2082" s="6" t="str">
        <f>HYPERLINK("http://catalog.hathitrust.org/Record/002909633","HathiTrust Record")</f>
        <v>HathiTrust Record</v>
      </c>
      <c r="AV2082" s="6" t="str">
        <f>HYPERLINK("http://mcgill.on.worldcat.org/oclc/981981","Catalog Record")</f>
        <v>Catalog Record</v>
      </c>
      <c r="AW2082" s="6" t="str">
        <f>HYPERLINK("http://www.worldcat.org/oclc/981981","WorldCat Record")</f>
        <v>WorldCat Record</v>
      </c>
      <c r="AX2082" s="3" t="s">
        <v>17624</v>
      </c>
      <c r="AY2082" s="3" t="s">
        <v>17657</v>
      </c>
      <c r="AZ2082" s="3" t="s">
        <v>17658</v>
      </c>
      <c r="BA2082" s="3" t="s">
        <v>17658</v>
      </c>
      <c r="BB2082" s="3" t="s">
        <v>17659</v>
      </c>
      <c r="BC2082" s="3" t="s">
        <v>82</v>
      </c>
      <c r="BD2082" s="3" t="s">
        <v>70</v>
      </c>
      <c r="BF2082" s="3" t="s">
        <v>17659</v>
      </c>
      <c r="BG2082" s="3" t="s">
        <v>17660</v>
      </c>
    </row>
    <row r="2083" spans="1:59" ht="60" x14ac:dyDescent="0.25">
      <c r="A2083" s="2" t="s">
        <v>59</v>
      </c>
      <c r="B2083" s="2" t="s">
        <v>60</v>
      </c>
      <c r="C2083" s="2" t="s">
        <v>17661</v>
      </c>
      <c r="D2083" s="2" t="s">
        <v>17662</v>
      </c>
      <c r="E2083" s="2" t="s">
        <v>17663</v>
      </c>
      <c r="G2083" s="3" t="s">
        <v>63</v>
      </c>
      <c r="I2083" s="3" t="s">
        <v>62</v>
      </c>
      <c r="J2083" s="3" t="s">
        <v>62</v>
      </c>
      <c r="K2083" s="3" t="s">
        <v>64</v>
      </c>
      <c r="L2083" s="2" t="s">
        <v>16849</v>
      </c>
      <c r="M2083" s="2" t="s">
        <v>17664</v>
      </c>
      <c r="N2083" s="3" t="s">
        <v>2225</v>
      </c>
      <c r="P2083" s="3" t="s">
        <v>66</v>
      </c>
      <c r="Q2083" s="2" t="s">
        <v>17665</v>
      </c>
      <c r="R2083" s="3" t="s">
        <v>67</v>
      </c>
      <c r="S2083" s="4">
        <v>7</v>
      </c>
      <c r="T2083" s="4">
        <v>14</v>
      </c>
      <c r="U2083" s="5" t="s">
        <v>17666</v>
      </c>
      <c r="V2083" s="5" t="s">
        <v>5503</v>
      </c>
      <c r="W2083" s="5" t="s">
        <v>69</v>
      </c>
      <c r="X2083" s="5" t="s">
        <v>69</v>
      </c>
      <c r="Y2083" s="4">
        <v>7</v>
      </c>
      <c r="Z2083" s="4">
        <v>1</v>
      </c>
      <c r="AA2083" s="4">
        <v>69</v>
      </c>
      <c r="AB2083" s="4">
        <v>1</v>
      </c>
      <c r="AC2083" s="4">
        <v>15</v>
      </c>
      <c r="AD2083" s="4">
        <v>0</v>
      </c>
      <c r="AE2083" s="4">
        <v>86</v>
      </c>
      <c r="AF2083" s="4">
        <v>0</v>
      </c>
      <c r="AG2083" s="4">
        <v>6</v>
      </c>
      <c r="AH2083" s="4">
        <v>0</v>
      </c>
      <c r="AI2083" s="4">
        <v>69</v>
      </c>
      <c r="AJ2083" s="4">
        <v>0</v>
      </c>
      <c r="AK2083" s="4">
        <v>14</v>
      </c>
      <c r="AL2083" s="4">
        <v>0</v>
      </c>
      <c r="AM2083" s="4">
        <v>39</v>
      </c>
      <c r="AN2083" s="4">
        <v>0</v>
      </c>
      <c r="AO2083" s="4">
        <v>0</v>
      </c>
      <c r="AP2083" s="4">
        <v>0</v>
      </c>
      <c r="AQ2083" s="4">
        <v>24</v>
      </c>
      <c r="AR2083" s="3" t="s">
        <v>63</v>
      </c>
      <c r="AS2083" s="3" t="s">
        <v>63</v>
      </c>
      <c r="AT2083" s="3" t="s">
        <v>63</v>
      </c>
      <c r="AV2083" s="6" t="str">
        <f>HYPERLINK("http://mcgill.on.worldcat.org/oclc/837383579","Catalog Record")</f>
        <v>Catalog Record</v>
      </c>
      <c r="AW2083" s="6" t="str">
        <f>HYPERLINK("http://www.worldcat.org/oclc/837383579","WorldCat Record")</f>
        <v>WorldCat Record</v>
      </c>
      <c r="AX2083" s="3" t="s">
        <v>17667</v>
      </c>
      <c r="AY2083" s="3" t="s">
        <v>17668</v>
      </c>
      <c r="AZ2083" s="3" t="s">
        <v>17669</v>
      </c>
      <c r="BA2083" s="3" t="s">
        <v>17669</v>
      </c>
      <c r="BB2083" s="3" t="s">
        <v>17670</v>
      </c>
      <c r="BC2083" s="3" t="s">
        <v>82</v>
      </c>
      <c r="BD2083" s="3" t="s">
        <v>70</v>
      </c>
      <c r="BE2083" s="3" t="s">
        <v>17671</v>
      </c>
      <c r="BF2083" s="3" t="s">
        <v>17670</v>
      </c>
      <c r="BG2083" s="3" t="s">
        <v>17672</v>
      </c>
    </row>
    <row r="2084" spans="1:59" ht="60" x14ac:dyDescent="0.25">
      <c r="A2084" s="2" t="s">
        <v>59</v>
      </c>
      <c r="B2084" s="2" t="s">
        <v>60</v>
      </c>
      <c r="C2084" s="2" t="s">
        <v>17661</v>
      </c>
      <c r="D2084" s="2" t="s">
        <v>17662</v>
      </c>
      <c r="E2084" s="2" t="s">
        <v>17663</v>
      </c>
      <c r="G2084" s="3" t="s">
        <v>63</v>
      </c>
      <c r="I2084" s="3" t="s">
        <v>62</v>
      </c>
      <c r="J2084" s="3" t="s">
        <v>62</v>
      </c>
      <c r="K2084" s="3" t="s">
        <v>64</v>
      </c>
      <c r="L2084" s="2" t="s">
        <v>16849</v>
      </c>
      <c r="M2084" s="2" t="s">
        <v>17664</v>
      </c>
      <c r="N2084" s="3" t="s">
        <v>2225</v>
      </c>
      <c r="P2084" s="3" t="s">
        <v>66</v>
      </c>
      <c r="Q2084" s="2" t="s">
        <v>17665</v>
      </c>
      <c r="R2084" s="3" t="s">
        <v>67</v>
      </c>
      <c r="S2084" s="4">
        <v>7</v>
      </c>
      <c r="T2084" s="4">
        <v>14</v>
      </c>
      <c r="U2084" s="5" t="s">
        <v>5503</v>
      </c>
      <c r="V2084" s="5" t="s">
        <v>5503</v>
      </c>
      <c r="W2084" s="5" t="s">
        <v>69</v>
      </c>
      <c r="X2084" s="5" t="s">
        <v>69</v>
      </c>
      <c r="Y2084" s="4">
        <v>7</v>
      </c>
      <c r="Z2084" s="4">
        <v>1</v>
      </c>
      <c r="AA2084" s="4">
        <v>69</v>
      </c>
      <c r="AB2084" s="4">
        <v>1</v>
      </c>
      <c r="AC2084" s="4">
        <v>15</v>
      </c>
      <c r="AD2084" s="4">
        <v>0</v>
      </c>
      <c r="AE2084" s="4">
        <v>86</v>
      </c>
      <c r="AF2084" s="4">
        <v>0</v>
      </c>
      <c r="AG2084" s="4">
        <v>6</v>
      </c>
      <c r="AH2084" s="4">
        <v>0</v>
      </c>
      <c r="AI2084" s="4">
        <v>69</v>
      </c>
      <c r="AJ2084" s="4">
        <v>0</v>
      </c>
      <c r="AK2084" s="4">
        <v>14</v>
      </c>
      <c r="AL2084" s="4">
        <v>0</v>
      </c>
      <c r="AM2084" s="4">
        <v>39</v>
      </c>
      <c r="AN2084" s="4">
        <v>0</v>
      </c>
      <c r="AO2084" s="4">
        <v>0</v>
      </c>
      <c r="AP2084" s="4">
        <v>0</v>
      </c>
      <c r="AQ2084" s="4">
        <v>24</v>
      </c>
      <c r="AR2084" s="3" t="s">
        <v>63</v>
      </c>
      <c r="AS2084" s="3" t="s">
        <v>63</v>
      </c>
      <c r="AT2084" s="3" t="s">
        <v>63</v>
      </c>
      <c r="AV2084" s="6" t="str">
        <f>HYPERLINK("http://mcgill.on.worldcat.org/oclc/837383579","Catalog Record")</f>
        <v>Catalog Record</v>
      </c>
      <c r="AW2084" s="6" t="str">
        <f>HYPERLINK("http://www.worldcat.org/oclc/837383579","WorldCat Record")</f>
        <v>WorldCat Record</v>
      </c>
      <c r="AX2084" s="3" t="s">
        <v>17667</v>
      </c>
      <c r="AY2084" s="3" t="s">
        <v>17668</v>
      </c>
      <c r="AZ2084" s="3" t="s">
        <v>17669</v>
      </c>
      <c r="BA2084" s="3" t="s">
        <v>17669</v>
      </c>
      <c r="BB2084" s="3" t="s">
        <v>17673</v>
      </c>
      <c r="BC2084" s="3" t="s">
        <v>82</v>
      </c>
      <c r="BD2084" s="3" t="s">
        <v>70</v>
      </c>
      <c r="BE2084" s="3" t="s">
        <v>17671</v>
      </c>
      <c r="BF2084" s="3" t="s">
        <v>17673</v>
      </c>
      <c r="BG2084" s="3" t="s">
        <v>17674</v>
      </c>
    </row>
    <row r="2085" spans="1:59" ht="60" x14ac:dyDescent="0.25">
      <c r="A2085" s="2" t="s">
        <v>59</v>
      </c>
      <c r="B2085" s="2" t="s">
        <v>60</v>
      </c>
      <c r="C2085" s="2" t="s">
        <v>17675</v>
      </c>
      <c r="D2085" s="2" t="s">
        <v>17676</v>
      </c>
      <c r="E2085" s="2" t="s">
        <v>17677</v>
      </c>
      <c r="G2085" s="3" t="s">
        <v>63</v>
      </c>
      <c r="I2085" s="3" t="s">
        <v>62</v>
      </c>
      <c r="J2085" s="3" t="s">
        <v>62</v>
      </c>
      <c r="K2085" s="3" t="s">
        <v>11580</v>
      </c>
      <c r="L2085" s="2" t="s">
        <v>16849</v>
      </c>
      <c r="M2085" s="2" t="s">
        <v>17678</v>
      </c>
      <c r="N2085" s="3" t="s">
        <v>681</v>
      </c>
      <c r="O2085" s="2" t="s">
        <v>976</v>
      </c>
      <c r="P2085" s="3" t="s">
        <v>66</v>
      </c>
      <c r="Q2085" s="2" t="s">
        <v>12297</v>
      </c>
      <c r="R2085" s="3" t="s">
        <v>67</v>
      </c>
      <c r="S2085" s="4">
        <v>8</v>
      </c>
      <c r="T2085" s="4">
        <v>152</v>
      </c>
      <c r="U2085" s="5" t="s">
        <v>17679</v>
      </c>
      <c r="V2085" s="5" t="s">
        <v>17679</v>
      </c>
      <c r="W2085" s="5" t="s">
        <v>69</v>
      </c>
      <c r="X2085" s="5" t="s">
        <v>69</v>
      </c>
      <c r="Y2085" s="4">
        <v>785</v>
      </c>
      <c r="Z2085" s="4">
        <v>26</v>
      </c>
      <c r="AA2085" s="4">
        <v>267</v>
      </c>
      <c r="AB2085" s="4">
        <v>1</v>
      </c>
      <c r="AC2085" s="4">
        <v>27</v>
      </c>
      <c r="AD2085" s="4">
        <v>99</v>
      </c>
      <c r="AE2085" s="4">
        <v>174</v>
      </c>
      <c r="AF2085" s="4">
        <v>0</v>
      </c>
      <c r="AG2085" s="4">
        <v>9</v>
      </c>
      <c r="AH2085" s="4">
        <v>87</v>
      </c>
      <c r="AI2085" s="4">
        <v>116</v>
      </c>
      <c r="AJ2085" s="4">
        <v>13</v>
      </c>
      <c r="AK2085" s="4">
        <v>30</v>
      </c>
      <c r="AL2085" s="4">
        <v>48</v>
      </c>
      <c r="AM2085" s="4">
        <v>64</v>
      </c>
      <c r="AN2085" s="4">
        <v>0</v>
      </c>
      <c r="AO2085" s="4">
        <v>12</v>
      </c>
      <c r="AP2085" s="4">
        <v>18</v>
      </c>
      <c r="AQ2085" s="4">
        <v>61</v>
      </c>
      <c r="AR2085" s="3" t="s">
        <v>63</v>
      </c>
      <c r="AS2085" s="3" t="s">
        <v>63</v>
      </c>
      <c r="AT2085" s="3" t="s">
        <v>63</v>
      </c>
      <c r="AV2085" s="6" t="str">
        <f>HYPERLINK("http://mcgill.on.worldcat.org/oclc/56106","Catalog Record")</f>
        <v>Catalog Record</v>
      </c>
      <c r="AW2085" s="6" t="str">
        <f>HYPERLINK("http://www.worldcat.org/oclc/56106","WorldCat Record")</f>
        <v>WorldCat Record</v>
      </c>
      <c r="AX2085" s="3" t="s">
        <v>17624</v>
      </c>
      <c r="AY2085" s="3" t="s">
        <v>17680</v>
      </c>
      <c r="AZ2085" s="3" t="s">
        <v>17681</v>
      </c>
      <c r="BA2085" s="3" t="s">
        <v>17681</v>
      </c>
      <c r="BB2085" s="3" t="s">
        <v>17682</v>
      </c>
      <c r="BC2085" s="3" t="s">
        <v>82</v>
      </c>
      <c r="BD2085" s="3" t="s">
        <v>70</v>
      </c>
      <c r="BE2085" s="3" t="s">
        <v>17683</v>
      </c>
      <c r="BF2085" s="3" t="s">
        <v>17682</v>
      </c>
      <c r="BG2085" s="3" t="s">
        <v>17684</v>
      </c>
    </row>
    <row r="2086" spans="1:59" ht="60" x14ac:dyDescent="0.25">
      <c r="A2086" s="2" t="s">
        <v>59</v>
      </c>
      <c r="B2086" s="2" t="s">
        <v>60</v>
      </c>
      <c r="C2086" s="2" t="s">
        <v>17675</v>
      </c>
      <c r="D2086" s="2" t="s">
        <v>17676</v>
      </c>
      <c r="E2086" s="2" t="s">
        <v>17677</v>
      </c>
      <c r="G2086" s="3" t="s">
        <v>63</v>
      </c>
      <c r="I2086" s="3" t="s">
        <v>62</v>
      </c>
      <c r="J2086" s="3" t="s">
        <v>62</v>
      </c>
      <c r="K2086" s="3" t="s">
        <v>11580</v>
      </c>
      <c r="L2086" s="2" t="s">
        <v>16849</v>
      </c>
      <c r="M2086" s="2" t="s">
        <v>17678</v>
      </c>
      <c r="N2086" s="3" t="s">
        <v>681</v>
      </c>
      <c r="O2086" s="2" t="s">
        <v>976</v>
      </c>
      <c r="P2086" s="3" t="s">
        <v>66</v>
      </c>
      <c r="Q2086" s="2" t="s">
        <v>12297</v>
      </c>
      <c r="R2086" s="3" t="s">
        <v>67</v>
      </c>
      <c r="S2086" s="4">
        <v>98</v>
      </c>
      <c r="T2086" s="4">
        <v>152</v>
      </c>
      <c r="U2086" s="5" t="s">
        <v>17685</v>
      </c>
      <c r="V2086" s="5" t="s">
        <v>17679</v>
      </c>
      <c r="W2086" s="5" t="s">
        <v>69</v>
      </c>
      <c r="X2086" s="5" t="s">
        <v>69</v>
      </c>
      <c r="Y2086" s="4">
        <v>785</v>
      </c>
      <c r="Z2086" s="4">
        <v>26</v>
      </c>
      <c r="AA2086" s="4">
        <v>267</v>
      </c>
      <c r="AB2086" s="4">
        <v>1</v>
      </c>
      <c r="AC2086" s="4">
        <v>27</v>
      </c>
      <c r="AD2086" s="4">
        <v>99</v>
      </c>
      <c r="AE2086" s="4">
        <v>174</v>
      </c>
      <c r="AF2086" s="4">
        <v>0</v>
      </c>
      <c r="AG2086" s="4">
        <v>9</v>
      </c>
      <c r="AH2086" s="4">
        <v>87</v>
      </c>
      <c r="AI2086" s="4">
        <v>116</v>
      </c>
      <c r="AJ2086" s="4">
        <v>13</v>
      </c>
      <c r="AK2086" s="4">
        <v>30</v>
      </c>
      <c r="AL2086" s="4">
        <v>48</v>
      </c>
      <c r="AM2086" s="4">
        <v>64</v>
      </c>
      <c r="AN2086" s="4">
        <v>0</v>
      </c>
      <c r="AO2086" s="4">
        <v>12</v>
      </c>
      <c r="AP2086" s="4">
        <v>18</v>
      </c>
      <c r="AQ2086" s="4">
        <v>61</v>
      </c>
      <c r="AR2086" s="3" t="s">
        <v>63</v>
      </c>
      <c r="AS2086" s="3" t="s">
        <v>63</v>
      </c>
      <c r="AT2086" s="3" t="s">
        <v>63</v>
      </c>
      <c r="AV2086" s="6" t="str">
        <f>HYPERLINK("http://mcgill.on.worldcat.org/oclc/56106","Catalog Record")</f>
        <v>Catalog Record</v>
      </c>
      <c r="AW2086" s="6" t="str">
        <f>HYPERLINK("http://www.worldcat.org/oclc/56106","WorldCat Record")</f>
        <v>WorldCat Record</v>
      </c>
      <c r="AX2086" s="3" t="s">
        <v>17624</v>
      </c>
      <c r="AY2086" s="3" t="s">
        <v>17680</v>
      </c>
      <c r="AZ2086" s="3" t="s">
        <v>17681</v>
      </c>
      <c r="BA2086" s="3" t="s">
        <v>17681</v>
      </c>
      <c r="BB2086" s="3" t="s">
        <v>17686</v>
      </c>
      <c r="BC2086" s="3" t="s">
        <v>82</v>
      </c>
      <c r="BD2086" s="3" t="s">
        <v>70</v>
      </c>
      <c r="BE2086" s="3" t="s">
        <v>17683</v>
      </c>
      <c r="BF2086" s="3" t="s">
        <v>17686</v>
      </c>
      <c r="BG2086" s="3" t="s">
        <v>17687</v>
      </c>
    </row>
    <row r="2087" spans="1:59" ht="60" x14ac:dyDescent="0.25">
      <c r="A2087" s="2" t="s">
        <v>59</v>
      </c>
      <c r="B2087" s="2" t="s">
        <v>60</v>
      </c>
      <c r="C2087" s="2" t="s">
        <v>17675</v>
      </c>
      <c r="D2087" s="2" t="s">
        <v>17676</v>
      </c>
      <c r="E2087" s="2" t="s">
        <v>17677</v>
      </c>
      <c r="G2087" s="3" t="s">
        <v>63</v>
      </c>
      <c r="I2087" s="3" t="s">
        <v>62</v>
      </c>
      <c r="J2087" s="3" t="s">
        <v>62</v>
      </c>
      <c r="K2087" s="3" t="s">
        <v>11580</v>
      </c>
      <c r="L2087" s="2" t="s">
        <v>16849</v>
      </c>
      <c r="M2087" s="2" t="s">
        <v>17678</v>
      </c>
      <c r="N2087" s="3" t="s">
        <v>681</v>
      </c>
      <c r="O2087" s="2" t="s">
        <v>976</v>
      </c>
      <c r="P2087" s="3" t="s">
        <v>66</v>
      </c>
      <c r="Q2087" s="2" t="s">
        <v>12297</v>
      </c>
      <c r="R2087" s="3" t="s">
        <v>67</v>
      </c>
      <c r="S2087" s="4">
        <v>46</v>
      </c>
      <c r="T2087" s="4">
        <v>152</v>
      </c>
      <c r="U2087" s="5" t="s">
        <v>17688</v>
      </c>
      <c r="V2087" s="5" t="s">
        <v>17679</v>
      </c>
      <c r="W2087" s="5" t="s">
        <v>69</v>
      </c>
      <c r="X2087" s="5" t="s">
        <v>69</v>
      </c>
      <c r="Y2087" s="4">
        <v>785</v>
      </c>
      <c r="Z2087" s="4">
        <v>26</v>
      </c>
      <c r="AA2087" s="4">
        <v>267</v>
      </c>
      <c r="AB2087" s="4">
        <v>1</v>
      </c>
      <c r="AC2087" s="4">
        <v>27</v>
      </c>
      <c r="AD2087" s="4">
        <v>99</v>
      </c>
      <c r="AE2087" s="4">
        <v>174</v>
      </c>
      <c r="AF2087" s="4">
        <v>0</v>
      </c>
      <c r="AG2087" s="4">
        <v>9</v>
      </c>
      <c r="AH2087" s="4">
        <v>87</v>
      </c>
      <c r="AI2087" s="4">
        <v>116</v>
      </c>
      <c r="AJ2087" s="4">
        <v>13</v>
      </c>
      <c r="AK2087" s="4">
        <v>30</v>
      </c>
      <c r="AL2087" s="4">
        <v>48</v>
      </c>
      <c r="AM2087" s="4">
        <v>64</v>
      </c>
      <c r="AN2087" s="4">
        <v>0</v>
      </c>
      <c r="AO2087" s="4">
        <v>12</v>
      </c>
      <c r="AP2087" s="4">
        <v>18</v>
      </c>
      <c r="AQ2087" s="4">
        <v>61</v>
      </c>
      <c r="AR2087" s="3" t="s">
        <v>63</v>
      </c>
      <c r="AS2087" s="3" t="s">
        <v>63</v>
      </c>
      <c r="AT2087" s="3" t="s">
        <v>63</v>
      </c>
      <c r="AV2087" s="6" t="str">
        <f>HYPERLINK("http://mcgill.on.worldcat.org/oclc/56106","Catalog Record")</f>
        <v>Catalog Record</v>
      </c>
      <c r="AW2087" s="6" t="str">
        <f>HYPERLINK("http://www.worldcat.org/oclc/56106","WorldCat Record")</f>
        <v>WorldCat Record</v>
      </c>
      <c r="AX2087" s="3" t="s">
        <v>17624</v>
      </c>
      <c r="AY2087" s="3" t="s">
        <v>17680</v>
      </c>
      <c r="AZ2087" s="3" t="s">
        <v>17681</v>
      </c>
      <c r="BA2087" s="3" t="s">
        <v>17681</v>
      </c>
      <c r="BB2087" s="3" t="s">
        <v>17689</v>
      </c>
      <c r="BC2087" s="3" t="s">
        <v>82</v>
      </c>
      <c r="BD2087" s="3" t="s">
        <v>70</v>
      </c>
      <c r="BE2087" s="3" t="s">
        <v>17683</v>
      </c>
      <c r="BF2087" s="3" t="s">
        <v>17689</v>
      </c>
      <c r="BG2087" s="3" t="s">
        <v>17690</v>
      </c>
    </row>
    <row r="2088" spans="1:59" ht="60" x14ac:dyDescent="0.25">
      <c r="A2088" s="2" t="s">
        <v>59</v>
      </c>
      <c r="B2088" s="2" t="s">
        <v>60</v>
      </c>
      <c r="C2088" s="2" t="s">
        <v>17691</v>
      </c>
      <c r="D2088" s="2" t="s">
        <v>17692</v>
      </c>
      <c r="E2088" s="2" t="s">
        <v>17693</v>
      </c>
      <c r="G2088" s="3" t="s">
        <v>63</v>
      </c>
      <c r="I2088" s="3" t="s">
        <v>63</v>
      </c>
      <c r="J2088" s="3" t="s">
        <v>62</v>
      </c>
      <c r="K2088" s="3" t="s">
        <v>64</v>
      </c>
      <c r="L2088" s="2" t="s">
        <v>16849</v>
      </c>
      <c r="M2088" s="2" t="s">
        <v>17694</v>
      </c>
      <c r="N2088" s="3" t="s">
        <v>1023</v>
      </c>
      <c r="P2088" s="3" t="s">
        <v>90</v>
      </c>
      <c r="Q2088" s="2" t="s">
        <v>17695</v>
      </c>
      <c r="R2088" s="3" t="s">
        <v>67</v>
      </c>
      <c r="S2088" s="4">
        <v>6</v>
      </c>
      <c r="T2088" s="4">
        <v>6</v>
      </c>
      <c r="U2088" s="5" t="s">
        <v>9925</v>
      </c>
      <c r="V2088" s="5" t="s">
        <v>9925</v>
      </c>
      <c r="W2088" s="5" t="s">
        <v>69</v>
      </c>
      <c r="X2088" s="5" t="s">
        <v>69</v>
      </c>
      <c r="Y2088" s="4">
        <v>38</v>
      </c>
      <c r="Z2088" s="4">
        <v>2</v>
      </c>
      <c r="AA2088" s="4">
        <v>40</v>
      </c>
      <c r="AB2088" s="4">
        <v>1</v>
      </c>
      <c r="AC2088" s="4">
        <v>5</v>
      </c>
      <c r="AD2088" s="4">
        <v>2</v>
      </c>
      <c r="AE2088" s="4">
        <v>109</v>
      </c>
      <c r="AF2088" s="4">
        <v>0</v>
      </c>
      <c r="AG2088" s="4">
        <v>1</v>
      </c>
      <c r="AH2088" s="4">
        <v>2</v>
      </c>
      <c r="AI2088" s="4">
        <v>94</v>
      </c>
      <c r="AJ2088" s="4">
        <v>1</v>
      </c>
      <c r="AK2088" s="4">
        <v>18</v>
      </c>
      <c r="AL2088" s="4">
        <v>0</v>
      </c>
      <c r="AM2088" s="4">
        <v>54</v>
      </c>
      <c r="AN2088" s="4">
        <v>0</v>
      </c>
      <c r="AO2088" s="4">
        <v>1</v>
      </c>
      <c r="AP2088" s="4">
        <v>1</v>
      </c>
      <c r="AQ2088" s="4">
        <v>21</v>
      </c>
      <c r="AR2088" s="3" t="s">
        <v>63</v>
      </c>
      <c r="AS2088" s="3" t="s">
        <v>63</v>
      </c>
      <c r="AT2088" s="3" t="s">
        <v>63</v>
      </c>
      <c r="AV2088" s="6" t="str">
        <f>HYPERLINK("http://mcgill.on.worldcat.org/oclc/33186942","Catalog Record")</f>
        <v>Catalog Record</v>
      </c>
      <c r="AW2088" s="6" t="str">
        <f>HYPERLINK("http://www.worldcat.org/oclc/33186942","WorldCat Record")</f>
        <v>WorldCat Record</v>
      </c>
      <c r="AX2088" s="3" t="s">
        <v>16987</v>
      </c>
      <c r="AY2088" s="3" t="s">
        <v>17696</v>
      </c>
      <c r="AZ2088" s="3" t="s">
        <v>17697</v>
      </c>
      <c r="BA2088" s="3" t="s">
        <v>17697</v>
      </c>
      <c r="BB2088" s="3" t="s">
        <v>17698</v>
      </c>
      <c r="BC2088" s="3" t="s">
        <v>82</v>
      </c>
      <c r="BD2088" s="3" t="s">
        <v>70</v>
      </c>
      <c r="BE2088" s="3" t="s">
        <v>17699</v>
      </c>
      <c r="BF2088" s="3" t="s">
        <v>17698</v>
      </c>
      <c r="BG2088" s="3" t="s">
        <v>17700</v>
      </c>
    </row>
    <row r="2089" spans="1:59" ht="60" x14ac:dyDescent="0.25">
      <c r="A2089" s="2" t="s">
        <v>59</v>
      </c>
      <c r="B2089" s="2" t="s">
        <v>60</v>
      </c>
      <c r="C2089" s="2" t="s">
        <v>17701</v>
      </c>
      <c r="D2089" s="2" t="s">
        <v>17702</v>
      </c>
      <c r="E2089" s="2" t="s">
        <v>17703</v>
      </c>
      <c r="G2089" s="3" t="s">
        <v>63</v>
      </c>
      <c r="I2089" s="3" t="s">
        <v>63</v>
      </c>
      <c r="J2089" s="3" t="s">
        <v>62</v>
      </c>
      <c r="K2089" s="3" t="s">
        <v>64</v>
      </c>
      <c r="L2089" s="2" t="s">
        <v>16849</v>
      </c>
      <c r="M2089" s="2" t="s">
        <v>17704</v>
      </c>
      <c r="N2089" s="3" t="s">
        <v>1343</v>
      </c>
      <c r="O2089" s="2" t="s">
        <v>17705</v>
      </c>
      <c r="P2089" s="3" t="s">
        <v>66</v>
      </c>
      <c r="R2089" s="3" t="s">
        <v>67</v>
      </c>
      <c r="S2089" s="4">
        <v>7</v>
      </c>
      <c r="T2089" s="4">
        <v>7</v>
      </c>
      <c r="U2089" s="5" t="s">
        <v>3569</v>
      </c>
      <c r="V2089" s="5" t="s">
        <v>3569</v>
      </c>
      <c r="W2089" s="5" t="s">
        <v>69</v>
      </c>
      <c r="X2089" s="5" t="s">
        <v>69</v>
      </c>
      <c r="Y2089" s="4">
        <v>300</v>
      </c>
      <c r="Z2089" s="4">
        <v>10</v>
      </c>
      <c r="AA2089" s="4">
        <v>69</v>
      </c>
      <c r="AB2089" s="4">
        <v>2</v>
      </c>
      <c r="AC2089" s="4">
        <v>15</v>
      </c>
      <c r="AD2089" s="4">
        <v>20</v>
      </c>
      <c r="AE2089" s="4">
        <v>86</v>
      </c>
      <c r="AF2089" s="4">
        <v>0</v>
      </c>
      <c r="AG2089" s="4">
        <v>6</v>
      </c>
      <c r="AH2089" s="4">
        <v>19</v>
      </c>
      <c r="AI2089" s="4">
        <v>69</v>
      </c>
      <c r="AJ2089" s="4">
        <v>1</v>
      </c>
      <c r="AK2089" s="4">
        <v>14</v>
      </c>
      <c r="AL2089" s="4">
        <v>13</v>
      </c>
      <c r="AM2089" s="4">
        <v>39</v>
      </c>
      <c r="AN2089" s="4">
        <v>0</v>
      </c>
      <c r="AO2089" s="4">
        <v>0</v>
      </c>
      <c r="AP2089" s="4">
        <v>2</v>
      </c>
      <c r="AQ2089" s="4">
        <v>24</v>
      </c>
      <c r="AR2089" s="3" t="s">
        <v>63</v>
      </c>
      <c r="AS2089" s="3" t="s">
        <v>63</v>
      </c>
      <c r="AT2089" s="3" t="s">
        <v>63</v>
      </c>
      <c r="AV2089" s="6" t="str">
        <f>HYPERLINK("http://mcgill.on.worldcat.org/oclc/44468967","Catalog Record")</f>
        <v>Catalog Record</v>
      </c>
      <c r="AW2089" s="6" t="str">
        <f>HYPERLINK("http://www.worldcat.org/oclc/44468967","WorldCat Record")</f>
        <v>WorldCat Record</v>
      </c>
      <c r="AX2089" s="3" t="s">
        <v>17667</v>
      </c>
      <c r="AY2089" s="3" t="s">
        <v>17706</v>
      </c>
      <c r="AZ2089" s="3" t="s">
        <v>17707</v>
      </c>
      <c r="BA2089" s="3" t="s">
        <v>17707</v>
      </c>
      <c r="BB2089" s="3" t="s">
        <v>17708</v>
      </c>
      <c r="BC2089" s="3" t="s">
        <v>82</v>
      </c>
      <c r="BD2089" s="3" t="s">
        <v>70</v>
      </c>
      <c r="BE2089" s="3" t="s">
        <v>17709</v>
      </c>
      <c r="BF2089" s="3" t="s">
        <v>17708</v>
      </c>
      <c r="BG2089" s="3" t="s">
        <v>17710</v>
      </c>
    </row>
    <row r="2090" spans="1:59" ht="60" x14ac:dyDescent="0.25">
      <c r="A2090" s="2" t="s">
        <v>59</v>
      </c>
      <c r="B2090" s="2" t="s">
        <v>60</v>
      </c>
      <c r="C2090" s="2" t="s">
        <v>17701</v>
      </c>
      <c r="D2090" s="2" t="s">
        <v>17702</v>
      </c>
      <c r="E2090" s="2" t="s">
        <v>17711</v>
      </c>
      <c r="G2090" s="3" t="s">
        <v>63</v>
      </c>
      <c r="I2090" s="3" t="s">
        <v>63</v>
      </c>
      <c r="J2090" s="3" t="s">
        <v>62</v>
      </c>
      <c r="K2090" s="3" t="s">
        <v>11580</v>
      </c>
      <c r="L2090" s="2" t="s">
        <v>16849</v>
      </c>
      <c r="M2090" s="2" t="s">
        <v>17712</v>
      </c>
      <c r="N2090" s="3" t="s">
        <v>1343</v>
      </c>
      <c r="P2090" s="3" t="s">
        <v>66</v>
      </c>
      <c r="R2090" s="3" t="s">
        <v>67</v>
      </c>
      <c r="S2090" s="4">
        <v>53</v>
      </c>
      <c r="T2090" s="4">
        <v>53</v>
      </c>
      <c r="U2090" s="5" t="s">
        <v>4069</v>
      </c>
      <c r="V2090" s="5" t="s">
        <v>4069</v>
      </c>
      <c r="W2090" s="5" t="s">
        <v>69</v>
      </c>
      <c r="X2090" s="5" t="s">
        <v>69</v>
      </c>
      <c r="Y2090" s="4">
        <v>58</v>
      </c>
      <c r="Z2090" s="4">
        <v>7</v>
      </c>
      <c r="AA2090" s="4">
        <v>267</v>
      </c>
      <c r="AB2090" s="4">
        <v>1</v>
      </c>
      <c r="AC2090" s="4">
        <v>27</v>
      </c>
      <c r="AD2090" s="4">
        <v>25</v>
      </c>
      <c r="AE2090" s="4">
        <v>174</v>
      </c>
      <c r="AF2090" s="4">
        <v>0</v>
      </c>
      <c r="AG2090" s="4">
        <v>9</v>
      </c>
      <c r="AH2090" s="4">
        <v>23</v>
      </c>
      <c r="AI2090" s="4">
        <v>116</v>
      </c>
      <c r="AJ2090" s="4">
        <v>5</v>
      </c>
      <c r="AK2090" s="4">
        <v>30</v>
      </c>
      <c r="AL2090" s="4">
        <v>18</v>
      </c>
      <c r="AM2090" s="4">
        <v>64</v>
      </c>
      <c r="AN2090" s="4">
        <v>0</v>
      </c>
      <c r="AO2090" s="4">
        <v>12</v>
      </c>
      <c r="AP2090" s="4">
        <v>5</v>
      </c>
      <c r="AQ2090" s="4">
        <v>61</v>
      </c>
      <c r="AR2090" s="3" t="s">
        <v>63</v>
      </c>
      <c r="AS2090" s="3" t="s">
        <v>63</v>
      </c>
      <c r="AT2090" s="3" t="s">
        <v>62</v>
      </c>
      <c r="AU2090" s="6" t="str">
        <f>HYPERLINK("http://catalog.hathitrust.org/Record/007139618","HathiTrust Record")</f>
        <v>HathiTrust Record</v>
      </c>
      <c r="AV2090" s="6" t="str">
        <f>HYPERLINK("http://mcgill.on.worldcat.org/oclc/45350265","Catalog Record")</f>
        <v>Catalog Record</v>
      </c>
      <c r="AW2090" s="6" t="str">
        <f>HYPERLINK("http://www.worldcat.org/oclc/45350265","WorldCat Record")</f>
        <v>WorldCat Record</v>
      </c>
      <c r="AX2090" s="3" t="s">
        <v>17624</v>
      </c>
      <c r="AY2090" s="3" t="s">
        <v>17713</v>
      </c>
      <c r="AZ2090" s="3" t="s">
        <v>17714</v>
      </c>
      <c r="BA2090" s="3" t="s">
        <v>17714</v>
      </c>
      <c r="BB2090" s="3" t="s">
        <v>17715</v>
      </c>
      <c r="BC2090" s="3" t="s">
        <v>82</v>
      </c>
      <c r="BD2090" s="3" t="s">
        <v>70</v>
      </c>
      <c r="BE2090" s="3" t="s">
        <v>17716</v>
      </c>
      <c r="BF2090" s="3" t="s">
        <v>17715</v>
      </c>
      <c r="BG2090" s="3" t="s">
        <v>17717</v>
      </c>
    </row>
    <row r="2091" spans="1:59" ht="60" x14ac:dyDescent="0.25">
      <c r="A2091" s="2" t="s">
        <v>59</v>
      </c>
      <c r="B2091" s="2" t="s">
        <v>60</v>
      </c>
      <c r="C2091" s="2" t="s">
        <v>17718</v>
      </c>
      <c r="D2091" s="2" t="s">
        <v>17719</v>
      </c>
      <c r="E2091" s="2" t="s">
        <v>17711</v>
      </c>
      <c r="G2091" s="3" t="s">
        <v>63</v>
      </c>
      <c r="I2091" s="3" t="s">
        <v>62</v>
      </c>
      <c r="J2091" s="3" t="s">
        <v>62</v>
      </c>
      <c r="K2091" s="3" t="s">
        <v>11580</v>
      </c>
      <c r="L2091" s="2" t="s">
        <v>16849</v>
      </c>
      <c r="M2091" s="2" t="s">
        <v>17720</v>
      </c>
      <c r="N2091" s="3" t="s">
        <v>2103</v>
      </c>
      <c r="P2091" s="3" t="s">
        <v>66</v>
      </c>
      <c r="Q2091" s="2" t="s">
        <v>9341</v>
      </c>
      <c r="R2091" s="3" t="s">
        <v>67</v>
      </c>
      <c r="S2091" s="4">
        <v>35</v>
      </c>
      <c r="T2091" s="4">
        <v>46</v>
      </c>
      <c r="U2091" s="5" t="s">
        <v>17721</v>
      </c>
      <c r="V2091" s="5" t="s">
        <v>17722</v>
      </c>
      <c r="W2091" s="5" t="s">
        <v>69</v>
      </c>
      <c r="X2091" s="5" t="s">
        <v>69</v>
      </c>
      <c r="Y2091" s="4">
        <v>1717</v>
      </c>
      <c r="Z2091" s="4">
        <v>34</v>
      </c>
      <c r="AA2091" s="4">
        <v>267</v>
      </c>
      <c r="AB2091" s="4">
        <v>1</v>
      </c>
      <c r="AC2091" s="4">
        <v>27</v>
      </c>
      <c r="AD2091" s="4">
        <v>44</v>
      </c>
      <c r="AE2091" s="4">
        <v>174</v>
      </c>
      <c r="AF2091" s="4">
        <v>0</v>
      </c>
      <c r="AG2091" s="4">
        <v>9</v>
      </c>
      <c r="AH2091" s="4">
        <v>38</v>
      </c>
      <c r="AI2091" s="4">
        <v>116</v>
      </c>
      <c r="AJ2091" s="4">
        <v>6</v>
      </c>
      <c r="AK2091" s="4">
        <v>30</v>
      </c>
      <c r="AL2091" s="4">
        <v>18</v>
      </c>
      <c r="AM2091" s="4">
        <v>64</v>
      </c>
      <c r="AN2091" s="4">
        <v>0</v>
      </c>
      <c r="AO2091" s="4">
        <v>12</v>
      </c>
      <c r="AP2091" s="4">
        <v>8</v>
      </c>
      <c r="AQ2091" s="4">
        <v>61</v>
      </c>
      <c r="AR2091" s="3" t="s">
        <v>63</v>
      </c>
      <c r="AS2091" s="3" t="s">
        <v>63</v>
      </c>
      <c r="AT2091" s="3" t="s">
        <v>63</v>
      </c>
      <c r="AV2091" s="6" t="str">
        <f>HYPERLINK("http://mcgill.on.worldcat.org/oclc/48764443","Catalog Record")</f>
        <v>Catalog Record</v>
      </c>
      <c r="AW2091" s="6" t="str">
        <f>HYPERLINK("http://www.worldcat.org/oclc/48764443","WorldCat Record")</f>
        <v>WorldCat Record</v>
      </c>
      <c r="AX2091" s="3" t="s">
        <v>17624</v>
      </c>
      <c r="AY2091" s="3" t="s">
        <v>17723</v>
      </c>
      <c r="AZ2091" s="3" t="s">
        <v>17724</v>
      </c>
      <c r="BA2091" s="3" t="s">
        <v>17724</v>
      </c>
      <c r="BB2091" s="3" t="s">
        <v>17725</v>
      </c>
      <c r="BC2091" s="3" t="s">
        <v>82</v>
      </c>
      <c r="BD2091" s="3" t="s">
        <v>538</v>
      </c>
      <c r="BE2091" s="3" t="s">
        <v>17726</v>
      </c>
      <c r="BF2091" s="3" t="s">
        <v>17725</v>
      </c>
      <c r="BG2091" s="3" t="s">
        <v>17727</v>
      </c>
    </row>
    <row r="2092" spans="1:59" ht="60" x14ac:dyDescent="0.25">
      <c r="A2092" s="2" t="s">
        <v>59</v>
      </c>
      <c r="B2092" s="2" t="s">
        <v>60</v>
      </c>
      <c r="C2092" s="2" t="s">
        <v>17718</v>
      </c>
      <c r="D2092" s="2" t="s">
        <v>17719</v>
      </c>
      <c r="E2092" s="2" t="s">
        <v>17711</v>
      </c>
      <c r="G2092" s="3" t="s">
        <v>63</v>
      </c>
      <c r="I2092" s="3" t="s">
        <v>62</v>
      </c>
      <c r="J2092" s="3" t="s">
        <v>62</v>
      </c>
      <c r="K2092" s="3" t="s">
        <v>11580</v>
      </c>
      <c r="L2092" s="2" t="s">
        <v>16849</v>
      </c>
      <c r="M2092" s="2" t="s">
        <v>17720</v>
      </c>
      <c r="N2092" s="3" t="s">
        <v>2103</v>
      </c>
      <c r="P2092" s="3" t="s">
        <v>66</v>
      </c>
      <c r="Q2092" s="2" t="s">
        <v>9341</v>
      </c>
      <c r="R2092" s="3" t="s">
        <v>67</v>
      </c>
      <c r="S2092" s="4">
        <v>11</v>
      </c>
      <c r="T2092" s="4">
        <v>46</v>
      </c>
      <c r="U2092" s="5" t="s">
        <v>17722</v>
      </c>
      <c r="V2092" s="5" t="s">
        <v>17722</v>
      </c>
      <c r="W2092" s="5" t="s">
        <v>69</v>
      </c>
      <c r="X2092" s="5" t="s">
        <v>69</v>
      </c>
      <c r="Y2092" s="4">
        <v>1717</v>
      </c>
      <c r="Z2092" s="4">
        <v>34</v>
      </c>
      <c r="AA2092" s="4">
        <v>267</v>
      </c>
      <c r="AB2092" s="4">
        <v>1</v>
      </c>
      <c r="AC2092" s="4">
        <v>27</v>
      </c>
      <c r="AD2092" s="4">
        <v>44</v>
      </c>
      <c r="AE2092" s="4">
        <v>174</v>
      </c>
      <c r="AF2092" s="4">
        <v>0</v>
      </c>
      <c r="AG2092" s="4">
        <v>9</v>
      </c>
      <c r="AH2092" s="4">
        <v>38</v>
      </c>
      <c r="AI2092" s="4">
        <v>116</v>
      </c>
      <c r="AJ2092" s="4">
        <v>6</v>
      </c>
      <c r="AK2092" s="4">
        <v>30</v>
      </c>
      <c r="AL2092" s="4">
        <v>18</v>
      </c>
      <c r="AM2092" s="4">
        <v>64</v>
      </c>
      <c r="AN2092" s="4">
        <v>0</v>
      </c>
      <c r="AO2092" s="4">
        <v>12</v>
      </c>
      <c r="AP2092" s="4">
        <v>8</v>
      </c>
      <c r="AQ2092" s="4">
        <v>61</v>
      </c>
      <c r="AR2092" s="3" t="s">
        <v>63</v>
      </c>
      <c r="AS2092" s="3" t="s">
        <v>63</v>
      </c>
      <c r="AT2092" s="3" t="s">
        <v>63</v>
      </c>
      <c r="AV2092" s="6" t="str">
        <f>HYPERLINK("http://mcgill.on.worldcat.org/oclc/48764443","Catalog Record")</f>
        <v>Catalog Record</v>
      </c>
      <c r="AW2092" s="6" t="str">
        <f>HYPERLINK("http://www.worldcat.org/oclc/48764443","WorldCat Record")</f>
        <v>WorldCat Record</v>
      </c>
      <c r="AX2092" s="3" t="s">
        <v>17624</v>
      </c>
      <c r="AY2092" s="3" t="s">
        <v>17723</v>
      </c>
      <c r="AZ2092" s="3" t="s">
        <v>17724</v>
      </c>
      <c r="BA2092" s="3" t="s">
        <v>17724</v>
      </c>
      <c r="BB2092" s="3" t="s">
        <v>17728</v>
      </c>
      <c r="BC2092" s="3" t="s">
        <v>82</v>
      </c>
      <c r="BD2092" s="3" t="s">
        <v>70</v>
      </c>
      <c r="BE2092" s="3" t="s">
        <v>17726</v>
      </c>
      <c r="BF2092" s="3" t="s">
        <v>17728</v>
      </c>
      <c r="BG2092" s="3" t="s">
        <v>17729</v>
      </c>
    </row>
    <row r="2093" spans="1:59" ht="60" x14ac:dyDescent="0.25">
      <c r="A2093" s="2" t="s">
        <v>59</v>
      </c>
      <c r="B2093" s="2" t="s">
        <v>60</v>
      </c>
      <c r="C2093" s="2" t="s">
        <v>17730</v>
      </c>
      <c r="D2093" s="2" t="s">
        <v>17731</v>
      </c>
      <c r="E2093" s="2" t="s">
        <v>17732</v>
      </c>
      <c r="G2093" s="3" t="s">
        <v>63</v>
      </c>
      <c r="I2093" s="3" t="s">
        <v>63</v>
      </c>
      <c r="J2093" s="3" t="s">
        <v>62</v>
      </c>
      <c r="K2093" s="3" t="s">
        <v>11580</v>
      </c>
      <c r="L2093" s="2" t="s">
        <v>16849</v>
      </c>
      <c r="M2093" s="2" t="s">
        <v>15963</v>
      </c>
      <c r="N2093" s="3" t="s">
        <v>1226</v>
      </c>
      <c r="P2093" s="3" t="s">
        <v>66</v>
      </c>
      <c r="Q2093" s="2" t="s">
        <v>9341</v>
      </c>
      <c r="R2093" s="3" t="s">
        <v>67</v>
      </c>
      <c r="S2093" s="4">
        <v>15</v>
      </c>
      <c r="T2093" s="4">
        <v>15</v>
      </c>
      <c r="U2093" s="5" t="s">
        <v>17733</v>
      </c>
      <c r="V2093" s="5" t="s">
        <v>17733</v>
      </c>
      <c r="W2093" s="5" t="s">
        <v>69</v>
      </c>
      <c r="X2093" s="5" t="s">
        <v>69</v>
      </c>
      <c r="Y2093" s="4">
        <v>196</v>
      </c>
      <c r="Z2093" s="4">
        <v>11</v>
      </c>
      <c r="AA2093" s="4">
        <v>267</v>
      </c>
      <c r="AB2093" s="4">
        <v>1</v>
      </c>
      <c r="AC2093" s="4">
        <v>27</v>
      </c>
      <c r="AD2093" s="4">
        <v>6</v>
      </c>
      <c r="AE2093" s="4">
        <v>174</v>
      </c>
      <c r="AF2093" s="4">
        <v>0</v>
      </c>
      <c r="AG2093" s="4">
        <v>9</v>
      </c>
      <c r="AH2093" s="4">
        <v>5</v>
      </c>
      <c r="AI2093" s="4">
        <v>116</v>
      </c>
      <c r="AJ2093" s="4">
        <v>2</v>
      </c>
      <c r="AK2093" s="4">
        <v>30</v>
      </c>
      <c r="AL2093" s="4">
        <v>5</v>
      </c>
      <c r="AM2093" s="4">
        <v>64</v>
      </c>
      <c r="AN2093" s="4">
        <v>0</v>
      </c>
      <c r="AO2093" s="4">
        <v>12</v>
      </c>
      <c r="AP2093" s="4">
        <v>2</v>
      </c>
      <c r="AQ2093" s="4">
        <v>61</v>
      </c>
      <c r="AR2093" s="3" t="s">
        <v>63</v>
      </c>
      <c r="AS2093" s="3" t="s">
        <v>63</v>
      </c>
      <c r="AT2093" s="3" t="s">
        <v>63</v>
      </c>
      <c r="AV2093" s="6" t="str">
        <f>HYPERLINK("http://mcgill.on.worldcat.org/oclc/50937485","Catalog Record")</f>
        <v>Catalog Record</v>
      </c>
      <c r="AW2093" s="6" t="str">
        <f>HYPERLINK("http://www.worldcat.org/oclc/50937485","WorldCat Record")</f>
        <v>WorldCat Record</v>
      </c>
      <c r="AX2093" s="3" t="s">
        <v>17624</v>
      </c>
      <c r="AY2093" s="3" t="s">
        <v>17734</v>
      </c>
      <c r="AZ2093" s="3" t="s">
        <v>17735</v>
      </c>
      <c r="BA2093" s="3" t="s">
        <v>17735</v>
      </c>
      <c r="BB2093" s="3" t="s">
        <v>17736</v>
      </c>
      <c r="BC2093" s="3" t="s">
        <v>82</v>
      </c>
      <c r="BD2093" s="3" t="s">
        <v>70</v>
      </c>
      <c r="BE2093" s="3" t="s">
        <v>17737</v>
      </c>
      <c r="BF2093" s="3" t="s">
        <v>17736</v>
      </c>
      <c r="BG2093" s="3" t="s">
        <v>17738</v>
      </c>
    </row>
    <row r="2094" spans="1:59" ht="75" x14ac:dyDescent="0.25">
      <c r="A2094" s="2" t="s">
        <v>59</v>
      </c>
      <c r="B2094" s="2" t="s">
        <v>60</v>
      </c>
      <c r="C2094" s="2" t="s">
        <v>17730</v>
      </c>
      <c r="D2094" s="2" t="s">
        <v>17731</v>
      </c>
      <c r="E2094" s="2" t="s">
        <v>17739</v>
      </c>
      <c r="G2094" s="3" t="s">
        <v>63</v>
      </c>
      <c r="I2094" s="3" t="s">
        <v>63</v>
      </c>
      <c r="J2094" s="3" t="s">
        <v>62</v>
      </c>
      <c r="K2094" s="3" t="s">
        <v>11580</v>
      </c>
      <c r="L2094" s="2" t="s">
        <v>16849</v>
      </c>
      <c r="M2094" s="2" t="s">
        <v>17740</v>
      </c>
      <c r="N2094" s="3" t="s">
        <v>1226</v>
      </c>
      <c r="P2094" s="3" t="s">
        <v>66</v>
      </c>
      <c r="Q2094" s="2" t="s">
        <v>17741</v>
      </c>
      <c r="R2094" s="3" t="s">
        <v>67</v>
      </c>
      <c r="S2094" s="4">
        <v>21</v>
      </c>
      <c r="T2094" s="4">
        <v>21</v>
      </c>
      <c r="U2094" s="5" t="s">
        <v>17742</v>
      </c>
      <c r="V2094" s="5" t="s">
        <v>17742</v>
      </c>
      <c r="W2094" s="5" t="s">
        <v>69</v>
      </c>
      <c r="X2094" s="5" t="s">
        <v>69</v>
      </c>
      <c r="Y2094" s="4">
        <v>209</v>
      </c>
      <c r="Z2094" s="4">
        <v>4</v>
      </c>
      <c r="AA2094" s="4">
        <v>267</v>
      </c>
      <c r="AB2094" s="4">
        <v>1</v>
      </c>
      <c r="AC2094" s="4">
        <v>27</v>
      </c>
      <c r="AD2094" s="4">
        <v>11</v>
      </c>
      <c r="AE2094" s="4">
        <v>174</v>
      </c>
      <c r="AF2094" s="4">
        <v>0</v>
      </c>
      <c r="AG2094" s="4">
        <v>9</v>
      </c>
      <c r="AH2094" s="4">
        <v>10</v>
      </c>
      <c r="AI2094" s="4">
        <v>116</v>
      </c>
      <c r="AJ2094" s="4">
        <v>1</v>
      </c>
      <c r="AK2094" s="4">
        <v>30</v>
      </c>
      <c r="AL2094" s="4">
        <v>5</v>
      </c>
      <c r="AM2094" s="4">
        <v>64</v>
      </c>
      <c r="AN2094" s="4">
        <v>0</v>
      </c>
      <c r="AO2094" s="4">
        <v>12</v>
      </c>
      <c r="AP2094" s="4">
        <v>2</v>
      </c>
      <c r="AQ2094" s="4">
        <v>61</v>
      </c>
      <c r="AR2094" s="3" t="s">
        <v>63</v>
      </c>
      <c r="AS2094" s="3" t="s">
        <v>63</v>
      </c>
      <c r="AT2094" s="3" t="s">
        <v>63</v>
      </c>
      <c r="AV2094" s="6" t="str">
        <f>HYPERLINK("http://mcgill.on.worldcat.org/oclc/53955840","Catalog Record")</f>
        <v>Catalog Record</v>
      </c>
      <c r="AW2094" s="6" t="str">
        <f>HYPERLINK("http://www.worldcat.org/oclc/53955840","WorldCat Record")</f>
        <v>WorldCat Record</v>
      </c>
      <c r="AX2094" s="3" t="s">
        <v>17624</v>
      </c>
      <c r="AY2094" s="3" t="s">
        <v>17743</v>
      </c>
      <c r="AZ2094" s="3" t="s">
        <v>17744</v>
      </c>
      <c r="BA2094" s="3" t="s">
        <v>17744</v>
      </c>
      <c r="BB2094" s="3" t="s">
        <v>17745</v>
      </c>
      <c r="BC2094" s="3" t="s">
        <v>82</v>
      </c>
      <c r="BD2094" s="3" t="s">
        <v>70</v>
      </c>
      <c r="BE2094" s="3" t="s">
        <v>17746</v>
      </c>
      <c r="BF2094" s="3" t="s">
        <v>17745</v>
      </c>
      <c r="BG2094" s="3" t="s">
        <v>17747</v>
      </c>
    </row>
    <row r="2095" spans="1:59" ht="75" x14ac:dyDescent="0.25">
      <c r="A2095" s="2" t="s">
        <v>59</v>
      </c>
      <c r="B2095" s="2" t="s">
        <v>60</v>
      </c>
      <c r="C2095" s="2" t="s">
        <v>17748</v>
      </c>
      <c r="D2095" s="2" t="s">
        <v>17749</v>
      </c>
      <c r="E2095" s="2" t="s">
        <v>17739</v>
      </c>
      <c r="G2095" s="3" t="s">
        <v>63</v>
      </c>
      <c r="I2095" s="3" t="s">
        <v>62</v>
      </c>
      <c r="J2095" s="3" t="s">
        <v>62</v>
      </c>
      <c r="K2095" s="3" t="s">
        <v>11580</v>
      </c>
      <c r="L2095" s="2" t="s">
        <v>16849</v>
      </c>
      <c r="M2095" s="2" t="s">
        <v>17750</v>
      </c>
      <c r="N2095" s="3" t="s">
        <v>693</v>
      </c>
      <c r="P2095" s="3" t="s">
        <v>66</v>
      </c>
      <c r="Q2095" s="2" t="s">
        <v>17741</v>
      </c>
      <c r="R2095" s="3" t="s">
        <v>67</v>
      </c>
      <c r="S2095" s="4">
        <v>6</v>
      </c>
      <c r="T2095" s="4">
        <v>9</v>
      </c>
      <c r="U2095" s="5" t="s">
        <v>17751</v>
      </c>
      <c r="V2095" s="5" t="s">
        <v>17752</v>
      </c>
      <c r="W2095" s="5" t="s">
        <v>69</v>
      </c>
      <c r="X2095" s="5" t="s">
        <v>69</v>
      </c>
      <c r="Y2095" s="4">
        <v>128</v>
      </c>
      <c r="Z2095" s="4">
        <v>1</v>
      </c>
      <c r="AA2095" s="4">
        <v>267</v>
      </c>
      <c r="AB2095" s="4">
        <v>1</v>
      </c>
      <c r="AC2095" s="4">
        <v>27</v>
      </c>
      <c r="AD2095" s="4">
        <v>0</v>
      </c>
      <c r="AE2095" s="4">
        <v>174</v>
      </c>
      <c r="AF2095" s="4">
        <v>0</v>
      </c>
      <c r="AG2095" s="4">
        <v>9</v>
      </c>
      <c r="AH2095" s="4">
        <v>0</v>
      </c>
      <c r="AI2095" s="4">
        <v>116</v>
      </c>
      <c r="AJ2095" s="4">
        <v>0</v>
      </c>
      <c r="AK2095" s="4">
        <v>30</v>
      </c>
      <c r="AL2095" s="4">
        <v>0</v>
      </c>
      <c r="AM2095" s="4">
        <v>64</v>
      </c>
      <c r="AN2095" s="4">
        <v>0</v>
      </c>
      <c r="AO2095" s="4">
        <v>12</v>
      </c>
      <c r="AP2095" s="4">
        <v>0</v>
      </c>
      <c r="AQ2095" s="4">
        <v>61</v>
      </c>
      <c r="AR2095" s="3" t="s">
        <v>63</v>
      </c>
      <c r="AS2095" s="3" t="s">
        <v>63</v>
      </c>
      <c r="AT2095" s="3" t="s">
        <v>63</v>
      </c>
      <c r="AV2095" s="6" t="str">
        <f>HYPERLINK("http://mcgill.on.worldcat.org/oclc/60642199","Catalog Record")</f>
        <v>Catalog Record</v>
      </c>
      <c r="AW2095" s="6" t="str">
        <f>HYPERLINK("http://www.worldcat.org/oclc/60642199","WorldCat Record")</f>
        <v>WorldCat Record</v>
      </c>
      <c r="AX2095" s="3" t="s">
        <v>17624</v>
      </c>
      <c r="AY2095" s="3" t="s">
        <v>17753</v>
      </c>
      <c r="AZ2095" s="3" t="s">
        <v>17754</v>
      </c>
      <c r="BA2095" s="3" t="s">
        <v>17754</v>
      </c>
      <c r="BB2095" s="3" t="s">
        <v>17755</v>
      </c>
      <c r="BC2095" s="3" t="s">
        <v>82</v>
      </c>
      <c r="BD2095" s="3" t="s">
        <v>70</v>
      </c>
      <c r="BE2095" s="3" t="s">
        <v>17756</v>
      </c>
      <c r="BF2095" s="3" t="s">
        <v>17755</v>
      </c>
      <c r="BG2095" s="3" t="s">
        <v>17757</v>
      </c>
    </row>
    <row r="2096" spans="1:59" ht="75" x14ac:dyDescent="0.25">
      <c r="A2096" s="2" t="s">
        <v>59</v>
      </c>
      <c r="B2096" s="2" t="s">
        <v>60</v>
      </c>
      <c r="C2096" s="2" t="s">
        <v>17748</v>
      </c>
      <c r="D2096" s="2" t="s">
        <v>17749</v>
      </c>
      <c r="E2096" s="2" t="s">
        <v>17739</v>
      </c>
      <c r="G2096" s="3" t="s">
        <v>63</v>
      </c>
      <c r="I2096" s="3" t="s">
        <v>62</v>
      </c>
      <c r="J2096" s="3" t="s">
        <v>62</v>
      </c>
      <c r="K2096" s="3" t="s">
        <v>11580</v>
      </c>
      <c r="L2096" s="2" t="s">
        <v>16849</v>
      </c>
      <c r="M2096" s="2" t="s">
        <v>17750</v>
      </c>
      <c r="N2096" s="3" t="s">
        <v>693</v>
      </c>
      <c r="P2096" s="3" t="s">
        <v>66</v>
      </c>
      <c r="Q2096" s="2" t="s">
        <v>17741</v>
      </c>
      <c r="R2096" s="3" t="s">
        <v>67</v>
      </c>
      <c r="S2096" s="4">
        <v>3</v>
      </c>
      <c r="T2096" s="4">
        <v>9</v>
      </c>
      <c r="U2096" s="5" t="s">
        <v>17752</v>
      </c>
      <c r="V2096" s="5" t="s">
        <v>17752</v>
      </c>
      <c r="W2096" s="5" t="s">
        <v>69</v>
      </c>
      <c r="X2096" s="5" t="s">
        <v>69</v>
      </c>
      <c r="Y2096" s="4">
        <v>128</v>
      </c>
      <c r="Z2096" s="4">
        <v>1</v>
      </c>
      <c r="AA2096" s="4">
        <v>267</v>
      </c>
      <c r="AB2096" s="4">
        <v>1</v>
      </c>
      <c r="AC2096" s="4">
        <v>27</v>
      </c>
      <c r="AD2096" s="4">
        <v>0</v>
      </c>
      <c r="AE2096" s="4">
        <v>174</v>
      </c>
      <c r="AF2096" s="4">
        <v>0</v>
      </c>
      <c r="AG2096" s="4">
        <v>9</v>
      </c>
      <c r="AH2096" s="4">
        <v>0</v>
      </c>
      <c r="AI2096" s="4">
        <v>116</v>
      </c>
      <c r="AJ2096" s="4">
        <v>0</v>
      </c>
      <c r="AK2096" s="4">
        <v>30</v>
      </c>
      <c r="AL2096" s="4">
        <v>0</v>
      </c>
      <c r="AM2096" s="4">
        <v>64</v>
      </c>
      <c r="AN2096" s="4">
        <v>0</v>
      </c>
      <c r="AO2096" s="4">
        <v>12</v>
      </c>
      <c r="AP2096" s="4">
        <v>0</v>
      </c>
      <c r="AQ2096" s="4">
        <v>61</v>
      </c>
      <c r="AR2096" s="3" t="s">
        <v>63</v>
      </c>
      <c r="AS2096" s="3" t="s">
        <v>63</v>
      </c>
      <c r="AT2096" s="3" t="s">
        <v>63</v>
      </c>
      <c r="AV2096" s="6" t="str">
        <f>HYPERLINK("http://mcgill.on.worldcat.org/oclc/60642199","Catalog Record")</f>
        <v>Catalog Record</v>
      </c>
      <c r="AW2096" s="6" t="str">
        <f>HYPERLINK("http://www.worldcat.org/oclc/60642199","WorldCat Record")</f>
        <v>WorldCat Record</v>
      </c>
      <c r="AX2096" s="3" t="s">
        <v>17624</v>
      </c>
      <c r="AY2096" s="3" t="s">
        <v>17753</v>
      </c>
      <c r="AZ2096" s="3" t="s">
        <v>17754</v>
      </c>
      <c r="BA2096" s="3" t="s">
        <v>17754</v>
      </c>
      <c r="BB2096" s="3" t="s">
        <v>17758</v>
      </c>
      <c r="BC2096" s="3" t="s">
        <v>82</v>
      </c>
      <c r="BD2096" s="3" t="s">
        <v>70</v>
      </c>
      <c r="BE2096" s="3" t="s">
        <v>17756</v>
      </c>
      <c r="BF2096" s="3" t="s">
        <v>17758</v>
      </c>
      <c r="BG2096" s="3" t="s">
        <v>17759</v>
      </c>
    </row>
    <row r="2097" spans="1:59" ht="60" x14ac:dyDescent="0.25">
      <c r="A2097" s="2" t="s">
        <v>59</v>
      </c>
      <c r="B2097" s="2" t="s">
        <v>60</v>
      </c>
      <c r="C2097" s="2" t="s">
        <v>17760</v>
      </c>
      <c r="D2097" s="2" t="s">
        <v>17761</v>
      </c>
      <c r="E2097" s="2" t="s">
        <v>17762</v>
      </c>
      <c r="G2097" s="3" t="s">
        <v>63</v>
      </c>
      <c r="I2097" s="3" t="s">
        <v>63</v>
      </c>
      <c r="J2097" s="3" t="s">
        <v>62</v>
      </c>
      <c r="K2097" s="3" t="s">
        <v>11580</v>
      </c>
      <c r="L2097" s="2" t="s">
        <v>16849</v>
      </c>
      <c r="M2097" s="2" t="s">
        <v>17763</v>
      </c>
      <c r="N2097" s="3" t="s">
        <v>2459</v>
      </c>
      <c r="P2097" s="3" t="s">
        <v>66</v>
      </c>
      <c r="R2097" s="3" t="s">
        <v>67</v>
      </c>
      <c r="S2097" s="4">
        <v>31</v>
      </c>
      <c r="T2097" s="4">
        <v>31</v>
      </c>
      <c r="U2097" s="5" t="s">
        <v>3477</v>
      </c>
      <c r="V2097" s="5" t="s">
        <v>3477</v>
      </c>
      <c r="W2097" s="5" t="s">
        <v>69</v>
      </c>
      <c r="X2097" s="5" t="s">
        <v>69</v>
      </c>
      <c r="Y2097" s="4">
        <v>64</v>
      </c>
      <c r="Z2097" s="4">
        <v>7</v>
      </c>
      <c r="AA2097" s="4">
        <v>267</v>
      </c>
      <c r="AB2097" s="4">
        <v>2</v>
      </c>
      <c r="AC2097" s="4">
        <v>27</v>
      </c>
      <c r="AD2097" s="4">
        <v>24</v>
      </c>
      <c r="AE2097" s="4">
        <v>174</v>
      </c>
      <c r="AF2097" s="4">
        <v>0</v>
      </c>
      <c r="AG2097" s="4">
        <v>9</v>
      </c>
      <c r="AH2097" s="4">
        <v>22</v>
      </c>
      <c r="AI2097" s="4">
        <v>116</v>
      </c>
      <c r="AJ2097" s="4">
        <v>5</v>
      </c>
      <c r="AK2097" s="4">
        <v>30</v>
      </c>
      <c r="AL2097" s="4">
        <v>17</v>
      </c>
      <c r="AM2097" s="4">
        <v>64</v>
      </c>
      <c r="AN2097" s="4">
        <v>0</v>
      </c>
      <c r="AO2097" s="4">
        <v>12</v>
      </c>
      <c r="AP2097" s="4">
        <v>5</v>
      </c>
      <c r="AQ2097" s="4">
        <v>61</v>
      </c>
      <c r="AR2097" s="3" t="s">
        <v>63</v>
      </c>
      <c r="AS2097" s="3" t="s">
        <v>63</v>
      </c>
      <c r="AT2097" s="3" t="s">
        <v>63</v>
      </c>
      <c r="AV2097" s="6" t="str">
        <f>HYPERLINK("http://mcgill.on.worldcat.org/oclc/220005468","Catalog Record")</f>
        <v>Catalog Record</v>
      </c>
      <c r="AW2097" s="6" t="str">
        <f>HYPERLINK("http://www.worldcat.org/oclc/220005468","WorldCat Record")</f>
        <v>WorldCat Record</v>
      </c>
      <c r="AX2097" s="3" t="s">
        <v>17624</v>
      </c>
      <c r="AY2097" s="3" t="s">
        <v>17764</v>
      </c>
      <c r="AZ2097" s="3" t="s">
        <v>17765</v>
      </c>
      <c r="BA2097" s="3" t="s">
        <v>17765</v>
      </c>
      <c r="BB2097" s="3" t="s">
        <v>17766</v>
      </c>
      <c r="BC2097" s="3" t="s">
        <v>82</v>
      </c>
      <c r="BD2097" s="3" t="s">
        <v>70</v>
      </c>
      <c r="BE2097" s="3" t="s">
        <v>17767</v>
      </c>
      <c r="BF2097" s="3" t="s">
        <v>17766</v>
      </c>
      <c r="BG2097" s="3" t="s">
        <v>17768</v>
      </c>
    </row>
    <row r="2098" spans="1:59" ht="60" x14ac:dyDescent="0.25">
      <c r="A2098" s="2" t="s">
        <v>59</v>
      </c>
      <c r="B2098" s="2" t="s">
        <v>60</v>
      </c>
      <c r="C2098" s="2" t="s">
        <v>17760</v>
      </c>
      <c r="D2098" s="2" t="s">
        <v>17761</v>
      </c>
      <c r="E2098" s="2" t="s">
        <v>17769</v>
      </c>
      <c r="G2098" s="3" t="s">
        <v>63</v>
      </c>
      <c r="I2098" s="3" t="s">
        <v>63</v>
      </c>
      <c r="J2098" s="3" t="s">
        <v>62</v>
      </c>
      <c r="K2098" s="3" t="s">
        <v>11580</v>
      </c>
      <c r="L2098" s="2" t="s">
        <v>16973</v>
      </c>
      <c r="M2098" s="2" t="s">
        <v>16391</v>
      </c>
      <c r="N2098" s="3" t="s">
        <v>2459</v>
      </c>
      <c r="P2098" s="3" t="s">
        <v>66</v>
      </c>
      <c r="Q2098" s="2" t="s">
        <v>327</v>
      </c>
      <c r="R2098" s="3" t="s">
        <v>67</v>
      </c>
      <c r="S2098" s="4">
        <v>15</v>
      </c>
      <c r="T2098" s="4">
        <v>15</v>
      </c>
      <c r="U2098" s="5" t="s">
        <v>732</v>
      </c>
      <c r="V2098" s="5" t="s">
        <v>732</v>
      </c>
      <c r="W2098" s="5" t="s">
        <v>69</v>
      </c>
      <c r="X2098" s="5" t="s">
        <v>69</v>
      </c>
      <c r="Y2098" s="4">
        <v>177</v>
      </c>
      <c r="Z2098" s="4">
        <v>6</v>
      </c>
      <c r="AA2098" s="4">
        <v>267</v>
      </c>
      <c r="AB2098" s="4">
        <v>2</v>
      </c>
      <c r="AC2098" s="4">
        <v>27</v>
      </c>
      <c r="AD2098" s="4">
        <v>10</v>
      </c>
      <c r="AE2098" s="4">
        <v>174</v>
      </c>
      <c r="AF2098" s="4">
        <v>0</v>
      </c>
      <c r="AG2098" s="4">
        <v>9</v>
      </c>
      <c r="AH2098" s="4">
        <v>9</v>
      </c>
      <c r="AI2098" s="4">
        <v>116</v>
      </c>
      <c r="AJ2098" s="4">
        <v>1</v>
      </c>
      <c r="AK2098" s="4">
        <v>30</v>
      </c>
      <c r="AL2098" s="4">
        <v>6</v>
      </c>
      <c r="AM2098" s="4">
        <v>64</v>
      </c>
      <c r="AN2098" s="4">
        <v>0</v>
      </c>
      <c r="AO2098" s="4">
        <v>12</v>
      </c>
      <c r="AP2098" s="4">
        <v>2</v>
      </c>
      <c r="AQ2098" s="4">
        <v>61</v>
      </c>
      <c r="AR2098" s="3" t="s">
        <v>63</v>
      </c>
      <c r="AS2098" s="3" t="s">
        <v>63</v>
      </c>
      <c r="AT2098" s="3" t="s">
        <v>63</v>
      </c>
      <c r="AV2098" s="6" t="str">
        <f>HYPERLINK("http://mcgill.on.worldcat.org/oclc/232787177","Catalog Record")</f>
        <v>Catalog Record</v>
      </c>
      <c r="AW2098" s="6" t="str">
        <f>HYPERLINK("http://www.worldcat.org/oclc/232787177","WorldCat Record")</f>
        <v>WorldCat Record</v>
      </c>
      <c r="AX2098" s="3" t="s">
        <v>17624</v>
      </c>
      <c r="AY2098" s="3" t="s">
        <v>17770</v>
      </c>
      <c r="AZ2098" s="3" t="s">
        <v>17771</v>
      </c>
      <c r="BA2098" s="3" t="s">
        <v>17771</v>
      </c>
      <c r="BB2098" s="3" t="s">
        <v>17772</v>
      </c>
      <c r="BC2098" s="3" t="s">
        <v>82</v>
      </c>
      <c r="BD2098" s="3" t="s">
        <v>538</v>
      </c>
      <c r="BE2098" s="3" t="s">
        <v>17773</v>
      </c>
      <c r="BF2098" s="3" t="s">
        <v>17772</v>
      </c>
      <c r="BG2098" s="3" t="s">
        <v>17774</v>
      </c>
    </row>
    <row r="2099" spans="1:59" ht="60" x14ac:dyDescent="0.25">
      <c r="A2099" s="2" t="s">
        <v>59</v>
      </c>
      <c r="B2099" s="2" t="s">
        <v>60</v>
      </c>
      <c r="C2099" s="2" t="s">
        <v>17775</v>
      </c>
      <c r="D2099" s="2" t="s">
        <v>17776</v>
      </c>
      <c r="E2099" s="2" t="s">
        <v>17777</v>
      </c>
      <c r="G2099" s="3" t="s">
        <v>63</v>
      </c>
      <c r="I2099" s="3" t="s">
        <v>63</v>
      </c>
      <c r="J2099" s="3" t="s">
        <v>62</v>
      </c>
      <c r="K2099" s="3" t="s">
        <v>11580</v>
      </c>
      <c r="L2099" s="2" t="s">
        <v>16973</v>
      </c>
      <c r="M2099" s="2" t="s">
        <v>17778</v>
      </c>
      <c r="N2099" s="3" t="s">
        <v>143</v>
      </c>
      <c r="P2099" s="3" t="s">
        <v>66</v>
      </c>
      <c r="Q2099" s="2" t="s">
        <v>17779</v>
      </c>
      <c r="R2099" s="3" t="s">
        <v>67</v>
      </c>
      <c r="S2099" s="4">
        <v>17</v>
      </c>
      <c r="T2099" s="4">
        <v>17</v>
      </c>
      <c r="U2099" s="5" t="s">
        <v>17780</v>
      </c>
      <c r="V2099" s="5" t="s">
        <v>17780</v>
      </c>
      <c r="W2099" s="5" t="s">
        <v>69</v>
      </c>
      <c r="X2099" s="5" t="s">
        <v>69</v>
      </c>
      <c r="Y2099" s="4">
        <v>448</v>
      </c>
      <c r="Z2099" s="4">
        <v>19</v>
      </c>
      <c r="AA2099" s="4">
        <v>267</v>
      </c>
      <c r="AB2099" s="4">
        <v>1</v>
      </c>
      <c r="AC2099" s="4">
        <v>27</v>
      </c>
      <c r="AD2099" s="4">
        <v>80</v>
      </c>
      <c r="AE2099" s="4">
        <v>174</v>
      </c>
      <c r="AF2099" s="4">
        <v>0</v>
      </c>
      <c r="AG2099" s="4">
        <v>9</v>
      </c>
      <c r="AH2099" s="4">
        <v>73</v>
      </c>
      <c r="AI2099" s="4">
        <v>116</v>
      </c>
      <c r="AJ2099" s="4">
        <v>9</v>
      </c>
      <c r="AK2099" s="4">
        <v>30</v>
      </c>
      <c r="AL2099" s="4">
        <v>46</v>
      </c>
      <c r="AM2099" s="4">
        <v>64</v>
      </c>
      <c r="AN2099" s="4">
        <v>0</v>
      </c>
      <c r="AO2099" s="4">
        <v>12</v>
      </c>
      <c r="AP2099" s="4">
        <v>9</v>
      </c>
      <c r="AQ2099" s="4">
        <v>61</v>
      </c>
      <c r="AR2099" s="3" t="s">
        <v>63</v>
      </c>
      <c r="AS2099" s="3" t="s">
        <v>63</v>
      </c>
      <c r="AT2099" s="3" t="s">
        <v>63</v>
      </c>
      <c r="AV2099" s="6" t="str">
        <f>HYPERLINK("http://mcgill.on.worldcat.org/oclc/877851949","Catalog Record")</f>
        <v>Catalog Record</v>
      </c>
      <c r="AW2099" s="6" t="str">
        <f>HYPERLINK("http://www.worldcat.org/oclc/877851949","WorldCat Record")</f>
        <v>WorldCat Record</v>
      </c>
      <c r="AX2099" s="3" t="s">
        <v>17624</v>
      </c>
      <c r="AY2099" s="3" t="s">
        <v>17781</v>
      </c>
      <c r="AZ2099" s="3" t="s">
        <v>17782</v>
      </c>
      <c r="BA2099" s="3" t="s">
        <v>17782</v>
      </c>
      <c r="BB2099" s="3" t="s">
        <v>17783</v>
      </c>
      <c r="BC2099" s="3" t="s">
        <v>82</v>
      </c>
      <c r="BD2099" s="3" t="s">
        <v>70</v>
      </c>
      <c r="BE2099" s="3" t="s">
        <v>17784</v>
      </c>
      <c r="BF2099" s="3" t="s">
        <v>17783</v>
      </c>
      <c r="BG2099" s="3" t="s">
        <v>17785</v>
      </c>
    </row>
    <row r="2100" spans="1:59" ht="60" x14ac:dyDescent="0.25">
      <c r="A2100" s="2" t="s">
        <v>59</v>
      </c>
      <c r="B2100" s="2" t="s">
        <v>60</v>
      </c>
      <c r="C2100" s="2" t="s">
        <v>17798</v>
      </c>
      <c r="D2100" s="2" t="s">
        <v>17799</v>
      </c>
      <c r="E2100" s="2" t="s">
        <v>17800</v>
      </c>
      <c r="G2100" s="3" t="s">
        <v>63</v>
      </c>
      <c r="I2100" s="3" t="s">
        <v>63</v>
      </c>
      <c r="J2100" s="3" t="s">
        <v>62</v>
      </c>
      <c r="K2100" s="3" t="s">
        <v>64</v>
      </c>
      <c r="L2100" s="2" t="s">
        <v>16849</v>
      </c>
      <c r="M2100" s="2" t="s">
        <v>17801</v>
      </c>
      <c r="N2100" s="3" t="s">
        <v>17802</v>
      </c>
      <c r="P2100" s="3" t="s">
        <v>66</v>
      </c>
      <c r="Q2100" s="2" t="s">
        <v>17803</v>
      </c>
      <c r="R2100" s="3" t="s">
        <v>67</v>
      </c>
      <c r="S2100" s="4">
        <v>2</v>
      </c>
      <c r="T2100" s="4">
        <v>2</v>
      </c>
      <c r="U2100" s="5" t="s">
        <v>17804</v>
      </c>
      <c r="V2100" s="5" t="s">
        <v>17804</v>
      </c>
      <c r="W2100" s="5" t="s">
        <v>69</v>
      </c>
      <c r="X2100" s="5" t="s">
        <v>69</v>
      </c>
      <c r="Y2100" s="4">
        <v>67</v>
      </c>
      <c r="Z2100" s="4">
        <v>3</v>
      </c>
      <c r="AA2100" s="4">
        <v>82</v>
      </c>
      <c r="AB2100" s="4">
        <v>2</v>
      </c>
      <c r="AC2100" s="4">
        <v>7</v>
      </c>
      <c r="AD2100" s="4">
        <v>20</v>
      </c>
      <c r="AE2100" s="4">
        <v>141</v>
      </c>
      <c r="AF2100" s="4">
        <v>1</v>
      </c>
      <c r="AG2100" s="4">
        <v>2</v>
      </c>
      <c r="AH2100" s="4">
        <v>17</v>
      </c>
      <c r="AI2100" s="4">
        <v>108</v>
      </c>
      <c r="AJ2100" s="4">
        <v>0</v>
      </c>
      <c r="AK2100" s="4">
        <v>21</v>
      </c>
      <c r="AL2100" s="4">
        <v>11</v>
      </c>
      <c r="AM2100" s="4">
        <v>61</v>
      </c>
      <c r="AN2100" s="4">
        <v>0</v>
      </c>
      <c r="AO2100" s="4">
        <v>0</v>
      </c>
      <c r="AP2100" s="4">
        <v>2</v>
      </c>
      <c r="AQ2100" s="4">
        <v>36</v>
      </c>
      <c r="AR2100" s="3" t="s">
        <v>63</v>
      </c>
      <c r="AS2100" s="3" t="s">
        <v>62</v>
      </c>
      <c r="AT2100" s="3" t="s">
        <v>63</v>
      </c>
      <c r="AU2100" s="6" t="str">
        <f>HYPERLINK("http://catalog.hathitrust.org/Record/100334213","HathiTrust Record")</f>
        <v>HathiTrust Record</v>
      </c>
      <c r="AV2100" s="6" t="str">
        <f>HYPERLINK("http://mcgill.on.worldcat.org/oclc/825764","Catalog Record")</f>
        <v>Catalog Record</v>
      </c>
      <c r="AW2100" s="6" t="str">
        <f>HYPERLINK("http://www.worldcat.org/oclc/825764","WorldCat Record")</f>
        <v>WorldCat Record</v>
      </c>
      <c r="AX2100" s="3" t="s">
        <v>17793</v>
      </c>
      <c r="AY2100" s="3" t="s">
        <v>17805</v>
      </c>
      <c r="AZ2100" s="3" t="s">
        <v>17806</v>
      </c>
      <c r="BA2100" s="3" t="s">
        <v>17806</v>
      </c>
      <c r="BB2100" s="3" t="s">
        <v>17807</v>
      </c>
      <c r="BC2100" s="3" t="s">
        <v>82</v>
      </c>
      <c r="BD2100" s="3" t="s">
        <v>70</v>
      </c>
      <c r="BF2100" s="3" t="s">
        <v>17807</v>
      </c>
      <c r="BG2100" s="3" t="s">
        <v>17808</v>
      </c>
    </row>
    <row r="2101" spans="1:59" ht="60" x14ac:dyDescent="0.25">
      <c r="A2101" s="2" t="s">
        <v>59</v>
      </c>
      <c r="B2101" s="2" t="s">
        <v>60</v>
      </c>
      <c r="C2101" s="2" t="s">
        <v>17809</v>
      </c>
      <c r="D2101" s="2" t="s">
        <v>17810</v>
      </c>
      <c r="E2101" s="2" t="s">
        <v>17800</v>
      </c>
      <c r="G2101" s="3" t="s">
        <v>63</v>
      </c>
      <c r="I2101" s="3" t="s">
        <v>63</v>
      </c>
      <c r="J2101" s="3" t="s">
        <v>62</v>
      </c>
      <c r="K2101" s="3" t="s">
        <v>64</v>
      </c>
      <c r="L2101" s="2" t="s">
        <v>16849</v>
      </c>
      <c r="M2101" s="2" t="s">
        <v>17811</v>
      </c>
      <c r="N2101" s="3" t="s">
        <v>17641</v>
      </c>
      <c r="P2101" s="3" t="s">
        <v>66</v>
      </c>
      <c r="Q2101" s="2" t="s">
        <v>17812</v>
      </c>
      <c r="R2101" s="3" t="s">
        <v>67</v>
      </c>
      <c r="S2101" s="4">
        <v>9</v>
      </c>
      <c r="T2101" s="4">
        <v>9</v>
      </c>
      <c r="U2101" s="5" t="s">
        <v>328</v>
      </c>
      <c r="V2101" s="5" t="s">
        <v>328</v>
      </c>
      <c r="W2101" s="5" t="s">
        <v>69</v>
      </c>
      <c r="X2101" s="5" t="s">
        <v>69</v>
      </c>
      <c r="Y2101" s="4">
        <v>1</v>
      </c>
      <c r="Z2101" s="4">
        <v>1</v>
      </c>
      <c r="AA2101" s="4">
        <v>82</v>
      </c>
      <c r="AB2101" s="4">
        <v>1</v>
      </c>
      <c r="AC2101" s="4">
        <v>7</v>
      </c>
      <c r="AD2101" s="4">
        <v>0</v>
      </c>
      <c r="AE2101" s="4">
        <v>141</v>
      </c>
      <c r="AF2101" s="4">
        <v>0</v>
      </c>
      <c r="AG2101" s="4">
        <v>2</v>
      </c>
      <c r="AH2101" s="4">
        <v>0</v>
      </c>
      <c r="AI2101" s="4">
        <v>108</v>
      </c>
      <c r="AJ2101" s="4">
        <v>0</v>
      </c>
      <c r="AK2101" s="4">
        <v>21</v>
      </c>
      <c r="AL2101" s="4">
        <v>0</v>
      </c>
      <c r="AM2101" s="4">
        <v>61</v>
      </c>
      <c r="AN2101" s="4">
        <v>0</v>
      </c>
      <c r="AO2101" s="4">
        <v>0</v>
      </c>
      <c r="AP2101" s="4">
        <v>0</v>
      </c>
      <c r="AQ2101" s="4">
        <v>36</v>
      </c>
      <c r="AR2101" s="3" t="s">
        <v>63</v>
      </c>
      <c r="AS2101" s="3" t="s">
        <v>63</v>
      </c>
      <c r="AT2101" s="3" t="s">
        <v>63</v>
      </c>
      <c r="AV2101" s="6" t="str">
        <f>HYPERLINK("http://mcgill.on.worldcat.org/oclc/427209176","Catalog Record")</f>
        <v>Catalog Record</v>
      </c>
      <c r="AW2101" s="6" t="str">
        <f>HYPERLINK("http://www.worldcat.org/oclc/427209176","WorldCat Record")</f>
        <v>WorldCat Record</v>
      </c>
      <c r="AX2101" s="3" t="s">
        <v>17793</v>
      </c>
      <c r="AY2101" s="3" t="s">
        <v>17813</v>
      </c>
      <c r="AZ2101" s="3" t="s">
        <v>17814</v>
      </c>
      <c r="BA2101" s="3" t="s">
        <v>17814</v>
      </c>
      <c r="BB2101" s="3" t="s">
        <v>17815</v>
      </c>
      <c r="BC2101" s="3" t="s">
        <v>82</v>
      </c>
      <c r="BD2101" s="3" t="s">
        <v>70</v>
      </c>
      <c r="BF2101" s="3" t="s">
        <v>17815</v>
      </c>
      <c r="BG2101" s="3" t="s">
        <v>17816</v>
      </c>
    </row>
    <row r="2102" spans="1:59" ht="60" x14ac:dyDescent="0.25">
      <c r="A2102" s="2" t="s">
        <v>59</v>
      </c>
      <c r="B2102" s="2" t="s">
        <v>60</v>
      </c>
      <c r="C2102" s="2" t="s">
        <v>17817</v>
      </c>
      <c r="D2102" s="2" t="s">
        <v>17818</v>
      </c>
      <c r="E2102" s="2" t="s">
        <v>17819</v>
      </c>
      <c r="G2102" s="3" t="s">
        <v>63</v>
      </c>
      <c r="I2102" s="3" t="s">
        <v>63</v>
      </c>
      <c r="J2102" s="3" t="s">
        <v>62</v>
      </c>
      <c r="K2102" s="3" t="s">
        <v>64</v>
      </c>
      <c r="L2102" s="2" t="s">
        <v>16849</v>
      </c>
      <c r="M2102" s="2" t="s">
        <v>9924</v>
      </c>
      <c r="N2102" s="3" t="s">
        <v>76</v>
      </c>
      <c r="P2102" s="3" t="s">
        <v>66</v>
      </c>
      <c r="Q2102" s="2" t="s">
        <v>9341</v>
      </c>
      <c r="R2102" s="3" t="s">
        <v>67</v>
      </c>
      <c r="S2102" s="4">
        <v>18</v>
      </c>
      <c r="T2102" s="4">
        <v>18</v>
      </c>
      <c r="U2102" s="5" t="s">
        <v>11328</v>
      </c>
      <c r="V2102" s="5" t="s">
        <v>11328</v>
      </c>
      <c r="W2102" s="5" t="s">
        <v>69</v>
      </c>
      <c r="X2102" s="5" t="s">
        <v>69</v>
      </c>
      <c r="Y2102" s="4">
        <v>134</v>
      </c>
      <c r="Z2102" s="4">
        <v>10</v>
      </c>
      <c r="AA2102" s="4">
        <v>82</v>
      </c>
      <c r="AB2102" s="4">
        <v>1</v>
      </c>
      <c r="AC2102" s="4">
        <v>7</v>
      </c>
      <c r="AD2102" s="4">
        <v>42</v>
      </c>
      <c r="AE2102" s="4">
        <v>141</v>
      </c>
      <c r="AF2102" s="4">
        <v>0</v>
      </c>
      <c r="AG2102" s="4">
        <v>2</v>
      </c>
      <c r="AH2102" s="4">
        <v>40</v>
      </c>
      <c r="AI2102" s="4">
        <v>108</v>
      </c>
      <c r="AJ2102" s="4">
        <v>5</v>
      </c>
      <c r="AK2102" s="4">
        <v>21</v>
      </c>
      <c r="AL2102" s="4">
        <v>26</v>
      </c>
      <c r="AM2102" s="4">
        <v>61</v>
      </c>
      <c r="AN2102" s="4">
        <v>0</v>
      </c>
      <c r="AO2102" s="4">
        <v>0</v>
      </c>
      <c r="AP2102" s="4">
        <v>5</v>
      </c>
      <c r="AQ2102" s="4">
        <v>36</v>
      </c>
      <c r="AR2102" s="3" t="s">
        <v>63</v>
      </c>
      <c r="AS2102" s="3" t="s">
        <v>63</v>
      </c>
      <c r="AT2102" s="3" t="s">
        <v>63</v>
      </c>
      <c r="AV2102" s="6" t="str">
        <f>HYPERLINK("http://mcgill.on.worldcat.org/oclc/784019311","Catalog Record")</f>
        <v>Catalog Record</v>
      </c>
      <c r="AW2102" s="6" t="str">
        <f>HYPERLINK("http://www.worldcat.org/oclc/784019311","WorldCat Record")</f>
        <v>WorldCat Record</v>
      </c>
      <c r="AX2102" s="3" t="s">
        <v>17793</v>
      </c>
      <c r="AY2102" s="3" t="s">
        <v>17820</v>
      </c>
      <c r="AZ2102" s="3" t="s">
        <v>17821</v>
      </c>
      <c r="BA2102" s="3" t="s">
        <v>17821</v>
      </c>
      <c r="BB2102" s="3" t="s">
        <v>17822</v>
      </c>
      <c r="BC2102" s="3" t="s">
        <v>82</v>
      </c>
      <c r="BD2102" s="3" t="s">
        <v>70</v>
      </c>
      <c r="BE2102" s="3" t="s">
        <v>17823</v>
      </c>
      <c r="BF2102" s="3" t="s">
        <v>17822</v>
      </c>
      <c r="BG2102" s="3" t="s">
        <v>17824</v>
      </c>
    </row>
    <row r="2103" spans="1:59" ht="60" x14ac:dyDescent="0.25">
      <c r="A2103" s="2" t="s">
        <v>59</v>
      </c>
      <c r="B2103" s="2" t="s">
        <v>60</v>
      </c>
      <c r="C2103" s="2" t="s">
        <v>17786</v>
      </c>
      <c r="D2103" s="2" t="s">
        <v>17787</v>
      </c>
      <c r="E2103" s="2" t="s">
        <v>17788</v>
      </c>
      <c r="G2103" s="3" t="s">
        <v>63</v>
      </c>
      <c r="I2103" s="3" t="s">
        <v>63</v>
      </c>
      <c r="J2103" s="3" t="s">
        <v>62</v>
      </c>
      <c r="K2103" s="3" t="s">
        <v>64</v>
      </c>
      <c r="L2103" s="2" t="s">
        <v>16849</v>
      </c>
      <c r="M2103" s="2" t="s">
        <v>17789</v>
      </c>
      <c r="N2103" s="3" t="s">
        <v>17790</v>
      </c>
      <c r="P2103" s="3" t="s">
        <v>66</v>
      </c>
      <c r="Q2103" s="2" t="s">
        <v>17791</v>
      </c>
      <c r="R2103" s="3" t="s">
        <v>67</v>
      </c>
      <c r="S2103" s="4">
        <v>8</v>
      </c>
      <c r="T2103" s="4">
        <v>8</v>
      </c>
      <c r="U2103" s="5" t="s">
        <v>17792</v>
      </c>
      <c r="V2103" s="5" t="s">
        <v>17792</v>
      </c>
      <c r="W2103" s="5" t="s">
        <v>69</v>
      </c>
      <c r="X2103" s="5" t="s">
        <v>69</v>
      </c>
      <c r="Y2103" s="4">
        <v>125</v>
      </c>
      <c r="Z2103" s="4">
        <v>10</v>
      </c>
      <c r="AA2103" s="4">
        <v>82</v>
      </c>
      <c r="AB2103" s="4">
        <v>2</v>
      </c>
      <c r="AC2103" s="4">
        <v>7</v>
      </c>
      <c r="AD2103" s="4">
        <v>29</v>
      </c>
      <c r="AE2103" s="4">
        <v>141</v>
      </c>
      <c r="AF2103" s="4">
        <v>1</v>
      </c>
      <c r="AG2103" s="4">
        <v>2</v>
      </c>
      <c r="AH2103" s="4">
        <v>25</v>
      </c>
      <c r="AI2103" s="4">
        <v>108</v>
      </c>
      <c r="AJ2103" s="4">
        <v>7</v>
      </c>
      <c r="AK2103" s="4">
        <v>21</v>
      </c>
      <c r="AL2103" s="4">
        <v>16</v>
      </c>
      <c r="AM2103" s="4">
        <v>61</v>
      </c>
      <c r="AN2103" s="4">
        <v>0</v>
      </c>
      <c r="AO2103" s="4">
        <v>0</v>
      </c>
      <c r="AP2103" s="4">
        <v>8</v>
      </c>
      <c r="AQ2103" s="4">
        <v>36</v>
      </c>
      <c r="AR2103" s="3" t="s">
        <v>63</v>
      </c>
      <c r="AS2103" s="3" t="s">
        <v>63</v>
      </c>
      <c r="AT2103" s="3" t="s">
        <v>63</v>
      </c>
      <c r="AU2103" s="6" t="str">
        <f>HYPERLINK("http://catalog.hathitrust.org/Record/009038099","HathiTrust Record")</f>
        <v>HathiTrust Record</v>
      </c>
      <c r="AV2103" s="6" t="str">
        <f>HYPERLINK("http://mcgill.on.worldcat.org/oclc/646888","Catalog Record")</f>
        <v>Catalog Record</v>
      </c>
      <c r="AW2103" s="6" t="str">
        <f>HYPERLINK("http://www.worldcat.org/oclc/646888","WorldCat Record")</f>
        <v>WorldCat Record</v>
      </c>
      <c r="AX2103" s="3" t="s">
        <v>17793</v>
      </c>
      <c r="AY2103" s="3" t="s">
        <v>17794</v>
      </c>
      <c r="AZ2103" s="3" t="s">
        <v>17795</v>
      </c>
      <c r="BA2103" s="3" t="s">
        <v>17795</v>
      </c>
      <c r="BB2103" s="3" t="s">
        <v>17796</v>
      </c>
      <c r="BC2103" s="3" t="s">
        <v>82</v>
      </c>
      <c r="BD2103" s="3" t="s">
        <v>70</v>
      </c>
      <c r="BF2103" s="3" t="s">
        <v>17796</v>
      </c>
      <c r="BG2103" s="3" t="s">
        <v>17797</v>
      </c>
    </row>
    <row r="2104" spans="1:59" ht="60" x14ac:dyDescent="0.25">
      <c r="A2104" s="2" t="s">
        <v>59</v>
      </c>
      <c r="B2104" s="2" t="s">
        <v>60</v>
      </c>
      <c r="C2104" s="2" t="s">
        <v>17825</v>
      </c>
      <c r="D2104" s="2" t="s">
        <v>17826</v>
      </c>
      <c r="E2104" s="2" t="s">
        <v>17827</v>
      </c>
      <c r="G2104" s="3" t="s">
        <v>63</v>
      </c>
      <c r="I2104" s="3" t="s">
        <v>63</v>
      </c>
      <c r="J2104" s="3" t="s">
        <v>62</v>
      </c>
      <c r="K2104" s="3" t="s">
        <v>64</v>
      </c>
      <c r="L2104" s="2" t="s">
        <v>16849</v>
      </c>
      <c r="M2104" s="2" t="s">
        <v>17828</v>
      </c>
      <c r="N2104" s="3" t="s">
        <v>2103</v>
      </c>
      <c r="O2104" s="2" t="s">
        <v>11845</v>
      </c>
      <c r="P2104" s="3" t="s">
        <v>66</v>
      </c>
      <c r="Q2104" s="2" t="s">
        <v>11524</v>
      </c>
      <c r="R2104" s="3" t="s">
        <v>67</v>
      </c>
      <c r="S2104" s="4">
        <v>20</v>
      </c>
      <c r="T2104" s="4">
        <v>20</v>
      </c>
      <c r="U2104" s="5" t="s">
        <v>3441</v>
      </c>
      <c r="V2104" s="5" t="s">
        <v>3441</v>
      </c>
      <c r="W2104" s="5" t="s">
        <v>69</v>
      </c>
      <c r="X2104" s="5" t="s">
        <v>69</v>
      </c>
      <c r="Y2104" s="4">
        <v>115</v>
      </c>
      <c r="Z2104" s="4">
        <v>7</v>
      </c>
      <c r="AA2104" s="4">
        <v>82</v>
      </c>
      <c r="AB2104" s="4">
        <v>1</v>
      </c>
      <c r="AC2104" s="4">
        <v>7</v>
      </c>
      <c r="AD2104" s="4">
        <v>33</v>
      </c>
      <c r="AE2104" s="4">
        <v>141</v>
      </c>
      <c r="AF2104" s="4">
        <v>0</v>
      </c>
      <c r="AG2104" s="4">
        <v>2</v>
      </c>
      <c r="AH2104" s="4">
        <v>31</v>
      </c>
      <c r="AI2104" s="4">
        <v>108</v>
      </c>
      <c r="AJ2104" s="4">
        <v>1</v>
      </c>
      <c r="AK2104" s="4">
        <v>21</v>
      </c>
      <c r="AL2104" s="4">
        <v>21</v>
      </c>
      <c r="AM2104" s="4">
        <v>61</v>
      </c>
      <c r="AN2104" s="4">
        <v>0</v>
      </c>
      <c r="AO2104" s="4">
        <v>0</v>
      </c>
      <c r="AP2104" s="4">
        <v>2</v>
      </c>
      <c r="AQ2104" s="4">
        <v>36</v>
      </c>
      <c r="AR2104" s="3" t="s">
        <v>63</v>
      </c>
      <c r="AS2104" s="3" t="s">
        <v>63</v>
      </c>
      <c r="AT2104" s="3" t="s">
        <v>63</v>
      </c>
      <c r="AV2104" s="6" t="str">
        <f>HYPERLINK("http://mcgill.on.worldcat.org/oclc/48466961","Catalog Record")</f>
        <v>Catalog Record</v>
      </c>
      <c r="AW2104" s="6" t="str">
        <f>HYPERLINK("http://www.worldcat.org/oclc/48466961","WorldCat Record")</f>
        <v>WorldCat Record</v>
      </c>
      <c r="AX2104" s="3" t="s">
        <v>17793</v>
      </c>
      <c r="AY2104" s="3" t="s">
        <v>17829</v>
      </c>
      <c r="AZ2104" s="3" t="s">
        <v>17830</v>
      </c>
      <c r="BA2104" s="3" t="s">
        <v>17830</v>
      </c>
      <c r="BB2104" s="3" t="s">
        <v>17831</v>
      </c>
      <c r="BC2104" s="3" t="s">
        <v>82</v>
      </c>
      <c r="BD2104" s="3" t="s">
        <v>70</v>
      </c>
      <c r="BE2104" s="3" t="s">
        <v>17832</v>
      </c>
      <c r="BF2104" s="3" t="s">
        <v>17831</v>
      </c>
      <c r="BG2104" s="3" t="s">
        <v>17833</v>
      </c>
    </row>
    <row r="2105" spans="1:59" ht="60" x14ac:dyDescent="0.25">
      <c r="A2105" s="2" t="s">
        <v>59</v>
      </c>
      <c r="B2105" s="2" t="s">
        <v>60</v>
      </c>
      <c r="C2105" s="2" t="s">
        <v>17834</v>
      </c>
      <c r="D2105" s="2" t="s">
        <v>17835</v>
      </c>
      <c r="E2105" s="2" t="s">
        <v>17836</v>
      </c>
      <c r="G2105" s="3" t="s">
        <v>63</v>
      </c>
      <c r="I2105" s="3" t="s">
        <v>63</v>
      </c>
      <c r="J2105" s="3" t="s">
        <v>63</v>
      </c>
      <c r="K2105" s="3" t="s">
        <v>64</v>
      </c>
      <c r="L2105" s="2" t="s">
        <v>16849</v>
      </c>
      <c r="M2105" s="2" t="s">
        <v>12277</v>
      </c>
      <c r="N2105" s="3" t="s">
        <v>234</v>
      </c>
      <c r="P2105" s="3" t="s">
        <v>66</v>
      </c>
      <c r="Q2105" s="2" t="s">
        <v>11759</v>
      </c>
      <c r="R2105" s="3" t="s">
        <v>67</v>
      </c>
      <c r="S2105" s="4">
        <v>3</v>
      </c>
      <c r="T2105" s="4">
        <v>3</v>
      </c>
      <c r="U2105" s="5" t="s">
        <v>17837</v>
      </c>
      <c r="V2105" s="5" t="s">
        <v>17837</v>
      </c>
      <c r="W2105" s="5" t="s">
        <v>69</v>
      </c>
      <c r="X2105" s="5" t="s">
        <v>69</v>
      </c>
      <c r="Y2105" s="4">
        <v>111</v>
      </c>
      <c r="Z2105" s="4">
        <v>9</v>
      </c>
      <c r="AA2105" s="4">
        <v>29</v>
      </c>
      <c r="AB2105" s="4">
        <v>1</v>
      </c>
      <c r="AC2105" s="4">
        <v>2</v>
      </c>
      <c r="AD2105" s="4">
        <v>38</v>
      </c>
      <c r="AE2105" s="4">
        <v>104</v>
      </c>
      <c r="AF2105" s="4">
        <v>0</v>
      </c>
      <c r="AG2105" s="4">
        <v>0</v>
      </c>
      <c r="AH2105" s="4">
        <v>35</v>
      </c>
      <c r="AI2105" s="4">
        <v>94</v>
      </c>
      <c r="AJ2105" s="4">
        <v>4</v>
      </c>
      <c r="AK2105" s="4">
        <v>15</v>
      </c>
      <c r="AL2105" s="4">
        <v>27</v>
      </c>
      <c r="AM2105" s="4">
        <v>52</v>
      </c>
      <c r="AN2105" s="4">
        <v>0</v>
      </c>
      <c r="AO2105" s="4">
        <v>0</v>
      </c>
      <c r="AP2105" s="4">
        <v>4</v>
      </c>
      <c r="AQ2105" s="4">
        <v>16</v>
      </c>
      <c r="AR2105" s="3" t="s">
        <v>63</v>
      </c>
      <c r="AS2105" s="3" t="s">
        <v>63</v>
      </c>
      <c r="AT2105" s="3" t="s">
        <v>63</v>
      </c>
      <c r="AV2105" s="6" t="str">
        <f>HYPERLINK("http://mcgill.on.worldcat.org/oclc/64097891","Catalog Record")</f>
        <v>Catalog Record</v>
      </c>
      <c r="AW2105" s="6" t="str">
        <f>HYPERLINK("http://www.worldcat.org/oclc/64097891","WorldCat Record")</f>
        <v>WorldCat Record</v>
      </c>
      <c r="AX2105" s="3" t="s">
        <v>17838</v>
      </c>
      <c r="AY2105" s="3" t="s">
        <v>17839</v>
      </c>
      <c r="AZ2105" s="3" t="s">
        <v>17840</v>
      </c>
      <c r="BA2105" s="3" t="s">
        <v>17840</v>
      </c>
      <c r="BB2105" s="3" t="s">
        <v>17841</v>
      </c>
      <c r="BC2105" s="3" t="s">
        <v>82</v>
      </c>
      <c r="BD2105" s="3" t="s">
        <v>70</v>
      </c>
      <c r="BE2105" s="3" t="s">
        <v>17842</v>
      </c>
      <c r="BF2105" s="3" t="s">
        <v>17841</v>
      </c>
      <c r="BG2105" s="3" t="s">
        <v>17843</v>
      </c>
    </row>
    <row r="2106" spans="1:59" ht="60" x14ac:dyDescent="0.25">
      <c r="A2106" s="2" t="s">
        <v>59</v>
      </c>
      <c r="B2106" s="2" t="s">
        <v>60</v>
      </c>
      <c r="C2106" s="2" t="s">
        <v>17844</v>
      </c>
      <c r="D2106" s="2" t="s">
        <v>17845</v>
      </c>
      <c r="E2106" s="2" t="s">
        <v>17846</v>
      </c>
      <c r="F2106" s="3" t="s">
        <v>17847</v>
      </c>
      <c r="G2106" s="3" t="s">
        <v>63</v>
      </c>
      <c r="I2106" s="3" t="s">
        <v>62</v>
      </c>
      <c r="J2106" s="3" t="s">
        <v>63</v>
      </c>
      <c r="K2106" s="3" t="s">
        <v>64</v>
      </c>
      <c r="L2106" s="2" t="s">
        <v>16849</v>
      </c>
      <c r="M2106" s="2" t="s">
        <v>17848</v>
      </c>
      <c r="N2106" s="3" t="s">
        <v>9114</v>
      </c>
      <c r="P2106" s="3" t="s">
        <v>548</v>
      </c>
      <c r="Q2106" s="2" t="s">
        <v>17849</v>
      </c>
      <c r="R2106" s="3" t="s">
        <v>67</v>
      </c>
      <c r="S2106" s="4">
        <v>7</v>
      </c>
      <c r="T2106" s="4">
        <v>20</v>
      </c>
      <c r="U2106" s="5" t="s">
        <v>4887</v>
      </c>
      <c r="V2106" s="5" t="s">
        <v>4887</v>
      </c>
      <c r="W2106" s="5" t="s">
        <v>69</v>
      </c>
      <c r="X2106" s="5" t="s">
        <v>69</v>
      </c>
      <c r="Y2106" s="4">
        <v>1</v>
      </c>
      <c r="Z2106" s="4">
        <v>1</v>
      </c>
      <c r="AA2106" s="4">
        <v>12</v>
      </c>
      <c r="AB2106" s="4">
        <v>1</v>
      </c>
      <c r="AC2106" s="4">
        <v>5</v>
      </c>
      <c r="AD2106" s="4">
        <v>0</v>
      </c>
      <c r="AE2106" s="4">
        <v>28</v>
      </c>
      <c r="AF2106" s="4">
        <v>0</v>
      </c>
      <c r="AG2106" s="4">
        <v>2</v>
      </c>
      <c r="AH2106" s="4">
        <v>0</v>
      </c>
      <c r="AI2106" s="4">
        <v>23</v>
      </c>
      <c r="AJ2106" s="4">
        <v>0</v>
      </c>
      <c r="AK2106" s="4">
        <v>6</v>
      </c>
      <c r="AL2106" s="4">
        <v>0</v>
      </c>
      <c r="AM2106" s="4">
        <v>15</v>
      </c>
      <c r="AN2106" s="4">
        <v>0</v>
      </c>
      <c r="AO2106" s="4">
        <v>0</v>
      </c>
      <c r="AP2106" s="4">
        <v>0</v>
      </c>
      <c r="AQ2106" s="4">
        <v>6</v>
      </c>
      <c r="AR2106" s="3" t="s">
        <v>63</v>
      </c>
      <c r="AS2106" s="3" t="s">
        <v>63</v>
      </c>
      <c r="AT2106" s="3" t="s">
        <v>63</v>
      </c>
      <c r="AV2106" s="6" t="str">
        <f>HYPERLINK("http://mcgill.on.worldcat.org/oclc/86048026","Catalog Record")</f>
        <v>Catalog Record</v>
      </c>
      <c r="AW2106" s="6" t="str">
        <f>HYPERLINK("http://www.worldcat.org/oclc/86048026","WorldCat Record")</f>
        <v>WorldCat Record</v>
      </c>
      <c r="AX2106" s="3" t="s">
        <v>17850</v>
      </c>
      <c r="AY2106" s="3" t="s">
        <v>17851</v>
      </c>
      <c r="AZ2106" s="3" t="s">
        <v>17852</v>
      </c>
      <c r="BA2106" s="3" t="s">
        <v>17852</v>
      </c>
      <c r="BB2106" s="3" t="s">
        <v>17853</v>
      </c>
      <c r="BC2106" s="3" t="s">
        <v>82</v>
      </c>
      <c r="BD2106" s="3" t="s">
        <v>70</v>
      </c>
      <c r="BE2106" s="3" t="s">
        <v>17854</v>
      </c>
      <c r="BF2106" s="3" t="s">
        <v>17853</v>
      </c>
      <c r="BG2106" s="3" t="s">
        <v>17855</v>
      </c>
    </row>
    <row r="2107" spans="1:59" ht="60" x14ac:dyDescent="0.25">
      <c r="A2107" s="2" t="s">
        <v>59</v>
      </c>
      <c r="B2107" s="2" t="s">
        <v>60</v>
      </c>
      <c r="C2107" s="2" t="s">
        <v>17860</v>
      </c>
      <c r="D2107" s="2" t="s">
        <v>17861</v>
      </c>
      <c r="E2107" s="2" t="s">
        <v>17862</v>
      </c>
      <c r="G2107" s="3" t="s">
        <v>63</v>
      </c>
      <c r="I2107" s="3" t="s">
        <v>63</v>
      </c>
      <c r="J2107" s="3" t="s">
        <v>63</v>
      </c>
      <c r="K2107" s="3" t="s">
        <v>64</v>
      </c>
      <c r="L2107" s="2" t="s">
        <v>16849</v>
      </c>
      <c r="M2107" s="2" t="s">
        <v>17863</v>
      </c>
      <c r="N2107" s="3" t="s">
        <v>17864</v>
      </c>
      <c r="P2107" s="3" t="s">
        <v>66</v>
      </c>
      <c r="R2107" s="3" t="s">
        <v>67</v>
      </c>
      <c r="S2107" s="4">
        <v>2</v>
      </c>
      <c r="T2107" s="4">
        <v>2</v>
      </c>
      <c r="U2107" s="5" t="s">
        <v>17865</v>
      </c>
      <c r="V2107" s="5" t="s">
        <v>17865</v>
      </c>
      <c r="W2107" s="5" t="s">
        <v>69</v>
      </c>
      <c r="X2107" s="5" t="s">
        <v>69</v>
      </c>
      <c r="Y2107" s="4">
        <v>16</v>
      </c>
      <c r="Z2107" s="4">
        <v>2</v>
      </c>
      <c r="AA2107" s="4">
        <v>15</v>
      </c>
      <c r="AB2107" s="4">
        <v>1</v>
      </c>
      <c r="AC2107" s="4">
        <v>3</v>
      </c>
      <c r="AD2107" s="4">
        <v>7</v>
      </c>
      <c r="AE2107" s="4">
        <v>53</v>
      </c>
      <c r="AF2107" s="4">
        <v>0</v>
      </c>
      <c r="AG2107" s="4">
        <v>0</v>
      </c>
      <c r="AH2107" s="4">
        <v>7</v>
      </c>
      <c r="AI2107" s="4">
        <v>45</v>
      </c>
      <c r="AJ2107" s="4">
        <v>1</v>
      </c>
      <c r="AK2107" s="4">
        <v>3</v>
      </c>
      <c r="AL2107" s="4">
        <v>3</v>
      </c>
      <c r="AM2107" s="4">
        <v>30</v>
      </c>
      <c r="AN2107" s="4">
        <v>0</v>
      </c>
      <c r="AO2107" s="4">
        <v>0</v>
      </c>
      <c r="AP2107" s="4">
        <v>1</v>
      </c>
      <c r="AQ2107" s="4">
        <v>7</v>
      </c>
      <c r="AR2107" s="3" t="s">
        <v>63</v>
      </c>
      <c r="AS2107" s="3" t="s">
        <v>62</v>
      </c>
      <c r="AT2107" s="3" t="s">
        <v>63</v>
      </c>
      <c r="AU2107" s="6" t="str">
        <f>HYPERLINK("http://catalog.hathitrust.org/Record/006546441","HathiTrust Record")</f>
        <v>HathiTrust Record</v>
      </c>
      <c r="AV2107" s="6" t="str">
        <f>HYPERLINK("http://mcgill.on.worldcat.org/oclc/28648127","Catalog Record")</f>
        <v>Catalog Record</v>
      </c>
      <c r="AW2107" s="6" t="str">
        <f>HYPERLINK("http://www.worldcat.org/oclc/28648127","WorldCat Record")</f>
        <v>WorldCat Record</v>
      </c>
      <c r="AX2107" s="3" t="s">
        <v>17866</v>
      </c>
      <c r="AY2107" s="3" t="s">
        <v>17867</v>
      </c>
      <c r="AZ2107" s="3" t="s">
        <v>17868</v>
      </c>
      <c r="BA2107" s="3" t="s">
        <v>17868</v>
      </c>
      <c r="BB2107" s="3" t="s">
        <v>17869</v>
      </c>
      <c r="BC2107" s="3" t="s">
        <v>82</v>
      </c>
      <c r="BD2107" s="3" t="s">
        <v>70</v>
      </c>
      <c r="BF2107" s="3" t="s">
        <v>17869</v>
      </c>
      <c r="BG2107" s="3" t="s">
        <v>17870</v>
      </c>
    </row>
    <row r="2108" spans="1:59" ht="60" x14ac:dyDescent="0.25">
      <c r="A2108" s="2" t="s">
        <v>59</v>
      </c>
      <c r="B2108" s="2" t="s">
        <v>60</v>
      </c>
      <c r="C2108" s="2" t="s">
        <v>17871</v>
      </c>
      <c r="D2108" s="2" t="s">
        <v>17872</v>
      </c>
      <c r="E2108" s="2" t="s">
        <v>17873</v>
      </c>
      <c r="G2108" s="3" t="s">
        <v>63</v>
      </c>
      <c r="I2108" s="3" t="s">
        <v>63</v>
      </c>
      <c r="J2108" s="3" t="s">
        <v>62</v>
      </c>
      <c r="K2108" s="3" t="s">
        <v>215</v>
      </c>
      <c r="L2108" s="2" t="s">
        <v>16849</v>
      </c>
      <c r="M2108" s="2" t="s">
        <v>17874</v>
      </c>
      <c r="N2108" s="3" t="s">
        <v>1226</v>
      </c>
      <c r="P2108" s="3" t="s">
        <v>66</v>
      </c>
      <c r="Q2108" s="2" t="s">
        <v>17875</v>
      </c>
      <c r="R2108" s="3" t="s">
        <v>67</v>
      </c>
      <c r="S2108" s="4">
        <v>4</v>
      </c>
      <c r="T2108" s="4">
        <v>4</v>
      </c>
      <c r="U2108" s="5" t="s">
        <v>16941</v>
      </c>
      <c r="V2108" s="5" t="s">
        <v>16941</v>
      </c>
      <c r="W2108" s="5" t="s">
        <v>69</v>
      </c>
      <c r="X2108" s="5" t="s">
        <v>69</v>
      </c>
      <c r="Y2108" s="4">
        <v>158</v>
      </c>
      <c r="Z2108" s="4">
        <v>6</v>
      </c>
      <c r="AA2108" s="4">
        <v>40</v>
      </c>
      <c r="AB2108" s="4">
        <v>1</v>
      </c>
      <c r="AC2108" s="4">
        <v>4</v>
      </c>
      <c r="AD2108" s="4">
        <v>49</v>
      </c>
      <c r="AE2108" s="4">
        <v>115</v>
      </c>
      <c r="AF2108" s="4">
        <v>0</v>
      </c>
      <c r="AG2108" s="4">
        <v>0</v>
      </c>
      <c r="AH2108" s="4">
        <v>46</v>
      </c>
      <c r="AI2108" s="4">
        <v>101</v>
      </c>
      <c r="AJ2108" s="4">
        <v>2</v>
      </c>
      <c r="AK2108" s="4">
        <v>16</v>
      </c>
      <c r="AL2108" s="4">
        <v>34</v>
      </c>
      <c r="AM2108" s="4">
        <v>56</v>
      </c>
      <c r="AN2108" s="4">
        <v>0</v>
      </c>
      <c r="AO2108" s="4">
        <v>4</v>
      </c>
      <c r="AP2108" s="4">
        <v>3</v>
      </c>
      <c r="AQ2108" s="4">
        <v>21</v>
      </c>
      <c r="AR2108" s="3" t="s">
        <v>63</v>
      </c>
      <c r="AS2108" s="3" t="s">
        <v>63</v>
      </c>
      <c r="AT2108" s="3" t="s">
        <v>62</v>
      </c>
      <c r="AU2108" s="6" t="str">
        <f>HYPERLINK("http://catalog.hathitrust.org/Record/004315165","HathiTrust Record")</f>
        <v>HathiTrust Record</v>
      </c>
      <c r="AV2108" s="6" t="str">
        <f>HYPERLINK("http://mcgill.on.worldcat.org/oclc/51068545","Catalog Record")</f>
        <v>Catalog Record</v>
      </c>
      <c r="AW2108" s="6" t="str">
        <f>HYPERLINK("http://www.worldcat.org/oclc/51068545","WorldCat Record")</f>
        <v>WorldCat Record</v>
      </c>
      <c r="AX2108" s="3" t="s">
        <v>17876</v>
      </c>
      <c r="AY2108" s="3" t="s">
        <v>17877</v>
      </c>
      <c r="AZ2108" s="3" t="s">
        <v>17878</v>
      </c>
      <c r="BA2108" s="3" t="s">
        <v>17878</v>
      </c>
      <c r="BB2108" s="3" t="s">
        <v>17879</v>
      </c>
      <c r="BC2108" s="3" t="s">
        <v>82</v>
      </c>
      <c r="BD2108" s="3" t="s">
        <v>70</v>
      </c>
      <c r="BE2108" s="3" t="s">
        <v>17880</v>
      </c>
      <c r="BF2108" s="3" t="s">
        <v>17879</v>
      </c>
      <c r="BG2108" s="3" t="s">
        <v>17881</v>
      </c>
    </row>
    <row r="2109" spans="1:59" ht="60" x14ac:dyDescent="0.25">
      <c r="A2109" s="2" t="s">
        <v>59</v>
      </c>
      <c r="B2109" s="2" t="s">
        <v>60</v>
      </c>
      <c r="C2109" s="2" t="s">
        <v>17882</v>
      </c>
      <c r="D2109" s="2" t="s">
        <v>17883</v>
      </c>
      <c r="E2109" s="2" t="s">
        <v>17884</v>
      </c>
      <c r="G2109" s="3" t="s">
        <v>63</v>
      </c>
      <c r="I2109" s="3" t="s">
        <v>63</v>
      </c>
      <c r="J2109" s="3" t="s">
        <v>62</v>
      </c>
      <c r="K2109" s="3" t="s">
        <v>215</v>
      </c>
      <c r="L2109" s="2" t="s">
        <v>16849</v>
      </c>
      <c r="M2109" s="2" t="s">
        <v>11599</v>
      </c>
      <c r="N2109" s="3" t="s">
        <v>629</v>
      </c>
      <c r="P2109" s="3" t="s">
        <v>66</v>
      </c>
      <c r="R2109" s="3" t="s">
        <v>67</v>
      </c>
      <c r="S2109" s="4">
        <v>9</v>
      </c>
      <c r="T2109" s="4">
        <v>9</v>
      </c>
      <c r="U2109" s="5" t="s">
        <v>17885</v>
      </c>
      <c r="V2109" s="5" t="s">
        <v>17885</v>
      </c>
      <c r="W2109" s="5" t="s">
        <v>69</v>
      </c>
      <c r="X2109" s="5" t="s">
        <v>69</v>
      </c>
      <c r="Y2109" s="4">
        <v>92</v>
      </c>
      <c r="Z2109" s="4">
        <v>8</v>
      </c>
      <c r="AA2109" s="4">
        <v>40</v>
      </c>
      <c r="AB2109" s="4">
        <v>1</v>
      </c>
      <c r="AC2109" s="4">
        <v>4</v>
      </c>
      <c r="AD2109" s="4">
        <v>43</v>
      </c>
      <c r="AE2109" s="4">
        <v>115</v>
      </c>
      <c r="AF2109" s="4">
        <v>0</v>
      </c>
      <c r="AG2109" s="4">
        <v>0</v>
      </c>
      <c r="AH2109" s="4">
        <v>41</v>
      </c>
      <c r="AI2109" s="4">
        <v>101</v>
      </c>
      <c r="AJ2109" s="4">
        <v>7</v>
      </c>
      <c r="AK2109" s="4">
        <v>16</v>
      </c>
      <c r="AL2109" s="4">
        <v>28</v>
      </c>
      <c r="AM2109" s="4">
        <v>56</v>
      </c>
      <c r="AN2109" s="4">
        <v>0</v>
      </c>
      <c r="AO2109" s="4">
        <v>4</v>
      </c>
      <c r="AP2109" s="4">
        <v>7</v>
      </c>
      <c r="AQ2109" s="4">
        <v>21</v>
      </c>
      <c r="AR2109" s="3" t="s">
        <v>63</v>
      </c>
      <c r="AS2109" s="3" t="s">
        <v>63</v>
      </c>
      <c r="AT2109" s="3" t="s">
        <v>63</v>
      </c>
      <c r="AV2109" s="6" t="str">
        <f>HYPERLINK("http://mcgill.on.worldcat.org/oclc/728080697","Catalog Record")</f>
        <v>Catalog Record</v>
      </c>
      <c r="AW2109" s="6" t="str">
        <f>HYPERLINK("http://www.worldcat.org/oclc/728080697","WorldCat Record")</f>
        <v>WorldCat Record</v>
      </c>
      <c r="AX2109" s="3" t="s">
        <v>17876</v>
      </c>
      <c r="AY2109" s="3" t="s">
        <v>17886</v>
      </c>
      <c r="AZ2109" s="3" t="s">
        <v>17887</v>
      </c>
      <c r="BA2109" s="3" t="s">
        <v>17887</v>
      </c>
      <c r="BB2109" s="3" t="s">
        <v>17888</v>
      </c>
      <c r="BC2109" s="3" t="s">
        <v>82</v>
      </c>
      <c r="BD2109" s="3" t="s">
        <v>70</v>
      </c>
      <c r="BE2109" s="3" t="s">
        <v>17889</v>
      </c>
      <c r="BF2109" s="3" t="s">
        <v>17888</v>
      </c>
      <c r="BG2109" s="3" t="s">
        <v>17890</v>
      </c>
    </row>
    <row r="2110" spans="1:59" ht="60" x14ac:dyDescent="0.25">
      <c r="A2110" s="2" t="s">
        <v>59</v>
      </c>
      <c r="B2110" s="2" t="s">
        <v>60</v>
      </c>
      <c r="C2110" s="2" t="s">
        <v>17891</v>
      </c>
      <c r="D2110" s="2" t="s">
        <v>17892</v>
      </c>
      <c r="E2110" s="2" t="s">
        <v>17893</v>
      </c>
      <c r="G2110" s="3" t="s">
        <v>63</v>
      </c>
      <c r="I2110" s="3" t="s">
        <v>63</v>
      </c>
      <c r="J2110" s="3" t="s">
        <v>62</v>
      </c>
      <c r="K2110" s="3" t="s">
        <v>64</v>
      </c>
      <c r="L2110" s="2" t="s">
        <v>16849</v>
      </c>
      <c r="M2110" s="2" t="s">
        <v>17894</v>
      </c>
      <c r="N2110" s="3" t="s">
        <v>17895</v>
      </c>
      <c r="P2110" s="3" t="s">
        <v>66</v>
      </c>
      <c r="R2110" s="3" t="s">
        <v>67</v>
      </c>
      <c r="S2110" s="4">
        <v>7</v>
      </c>
      <c r="T2110" s="4">
        <v>7</v>
      </c>
      <c r="U2110" s="5" t="s">
        <v>17896</v>
      </c>
      <c r="V2110" s="5" t="s">
        <v>17896</v>
      </c>
      <c r="W2110" s="5" t="s">
        <v>69</v>
      </c>
      <c r="X2110" s="5" t="s">
        <v>69</v>
      </c>
      <c r="Y2110" s="4">
        <v>5</v>
      </c>
      <c r="Z2110" s="4">
        <v>1</v>
      </c>
      <c r="AA2110" s="4">
        <v>135</v>
      </c>
      <c r="AB2110" s="4">
        <v>1</v>
      </c>
      <c r="AC2110" s="4">
        <v>20</v>
      </c>
      <c r="AD2110" s="4">
        <v>1</v>
      </c>
      <c r="AE2110" s="4">
        <v>153</v>
      </c>
      <c r="AF2110" s="4">
        <v>0</v>
      </c>
      <c r="AG2110" s="4">
        <v>7</v>
      </c>
      <c r="AH2110" s="4">
        <v>0</v>
      </c>
      <c r="AI2110" s="4">
        <v>114</v>
      </c>
      <c r="AJ2110" s="4">
        <v>0</v>
      </c>
      <c r="AK2110" s="4">
        <v>28</v>
      </c>
      <c r="AL2110" s="4">
        <v>1</v>
      </c>
      <c r="AM2110" s="4">
        <v>62</v>
      </c>
      <c r="AN2110" s="4">
        <v>0</v>
      </c>
      <c r="AO2110" s="4">
        <v>6</v>
      </c>
      <c r="AP2110" s="4">
        <v>0</v>
      </c>
      <c r="AQ2110" s="4">
        <v>44</v>
      </c>
      <c r="AR2110" s="3" t="s">
        <v>63</v>
      </c>
      <c r="AS2110" s="3" t="s">
        <v>63</v>
      </c>
      <c r="AT2110" s="3" t="s">
        <v>63</v>
      </c>
      <c r="AV2110" s="6" t="str">
        <f>HYPERLINK("http://mcgill.on.worldcat.org/oclc/26652727","Catalog Record")</f>
        <v>Catalog Record</v>
      </c>
      <c r="AW2110" s="6" t="str">
        <f>HYPERLINK("http://www.worldcat.org/oclc/26652727","WorldCat Record")</f>
        <v>WorldCat Record</v>
      </c>
      <c r="AX2110" s="3" t="s">
        <v>17578</v>
      </c>
      <c r="AY2110" s="3" t="s">
        <v>17897</v>
      </c>
      <c r="AZ2110" s="3" t="s">
        <v>17898</v>
      </c>
      <c r="BA2110" s="3" t="s">
        <v>17898</v>
      </c>
      <c r="BB2110" s="3" t="s">
        <v>17899</v>
      </c>
      <c r="BC2110" s="3" t="s">
        <v>82</v>
      </c>
      <c r="BD2110" s="3" t="s">
        <v>70</v>
      </c>
      <c r="BF2110" s="3" t="s">
        <v>17899</v>
      </c>
      <c r="BG2110" s="3" t="s">
        <v>17900</v>
      </c>
    </row>
    <row r="2111" spans="1:59" ht="60" x14ac:dyDescent="0.25">
      <c r="A2111" s="2" t="s">
        <v>59</v>
      </c>
      <c r="B2111" s="2" t="s">
        <v>60</v>
      </c>
      <c r="C2111" s="2" t="s">
        <v>17901</v>
      </c>
      <c r="D2111" s="2" t="s">
        <v>17902</v>
      </c>
      <c r="E2111" s="2" t="s">
        <v>17903</v>
      </c>
      <c r="G2111" s="3" t="s">
        <v>63</v>
      </c>
      <c r="I2111" s="3" t="s">
        <v>63</v>
      </c>
      <c r="J2111" s="3" t="s">
        <v>62</v>
      </c>
      <c r="K2111" s="3" t="s">
        <v>64</v>
      </c>
      <c r="L2111" s="2" t="s">
        <v>16849</v>
      </c>
      <c r="M2111" s="2" t="s">
        <v>12190</v>
      </c>
      <c r="N2111" s="3" t="s">
        <v>1916</v>
      </c>
      <c r="P2111" s="3" t="s">
        <v>66</v>
      </c>
      <c r="Q2111" s="2" t="s">
        <v>9341</v>
      </c>
      <c r="R2111" s="3" t="s">
        <v>67</v>
      </c>
      <c r="S2111" s="4">
        <v>57</v>
      </c>
      <c r="T2111" s="4">
        <v>57</v>
      </c>
      <c r="U2111" s="5" t="s">
        <v>17904</v>
      </c>
      <c r="V2111" s="5" t="s">
        <v>17904</v>
      </c>
      <c r="W2111" s="5" t="s">
        <v>69</v>
      </c>
      <c r="X2111" s="5" t="s">
        <v>69</v>
      </c>
      <c r="Y2111" s="4">
        <v>274</v>
      </c>
      <c r="Z2111" s="4">
        <v>13</v>
      </c>
      <c r="AA2111" s="4">
        <v>135</v>
      </c>
      <c r="AB2111" s="4">
        <v>1</v>
      </c>
      <c r="AC2111" s="4">
        <v>20</v>
      </c>
      <c r="AD2111" s="4">
        <v>49</v>
      </c>
      <c r="AE2111" s="4">
        <v>153</v>
      </c>
      <c r="AF2111" s="4">
        <v>0</v>
      </c>
      <c r="AG2111" s="4">
        <v>7</v>
      </c>
      <c r="AH2111" s="4">
        <v>43</v>
      </c>
      <c r="AI2111" s="4">
        <v>114</v>
      </c>
      <c r="AJ2111" s="4">
        <v>5</v>
      </c>
      <c r="AK2111" s="4">
        <v>28</v>
      </c>
      <c r="AL2111" s="4">
        <v>26</v>
      </c>
      <c r="AM2111" s="4">
        <v>62</v>
      </c>
      <c r="AN2111" s="4">
        <v>0</v>
      </c>
      <c r="AO2111" s="4">
        <v>6</v>
      </c>
      <c r="AP2111" s="4">
        <v>7</v>
      </c>
      <c r="AQ2111" s="4">
        <v>44</v>
      </c>
      <c r="AR2111" s="3" t="s">
        <v>63</v>
      </c>
      <c r="AS2111" s="3" t="s">
        <v>63</v>
      </c>
      <c r="AT2111" s="3" t="s">
        <v>63</v>
      </c>
      <c r="AV2111" s="6" t="str">
        <f>HYPERLINK("http://mcgill.on.worldcat.org/oclc/13137162","Catalog Record")</f>
        <v>Catalog Record</v>
      </c>
      <c r="AW2111" s="6" t="str">
        <f>HYPERLINK("http://www.worldcat.org/oclc/13137162","WorldCat Record")</f>
        <v>WorldCat Record</v>
      </c>
      <c r="AX2111" s="3" t="s">
        <v>17578</v>
      </c>
      <c r="AY2111" s="3" t="s">
        <v>17905</v>
      </c>
      <c r="AZ2111" s="3" t="s">
        <v>17906</v>
      </c>
      <c r="BA2111" s="3" t="s">
        <v>17906</v>
      </c>
      <c r="BB2111" s="3" t="s">
        <v>17907</v>
      </c>
      <c r="BC2111" s="3" t="s">
        <v>82</v>
      </c>
      <c r="BD2111" s="3" t="s">
        <v>70</v>
      </c>
      <c r="BE2111" s="3" t="s">
        <v>17908</v>
      </c>
      <c r="BF2111" s="3" t="s">
        <v>17907</v>
      </c>
      <c r="BG2111" s="3" t="s">
        <v>17909</v>
      </c>
    </row>
    <row r="2112" spans="1:59" ht="60" x14ac:dyDescent="0.25">
      <c r="A2112" s="2" t="s">
        <v>59</v>
      </c>
      <c r="B2112" s="2" t="s">
        <v>60</v>
      </c>
      <c r="C2112" s="2" t="s">
        <v>17910</v>
      </c>
      <c r="D2112" s="2" t="s">
        <v>17911</v>
      </c>
      <c r="E2112" s="2" t="s">
        <v>17912</v>
      </c>
      <c r="G2112" s="3" t="s">
        <v>63</v>
      </c>
      <c r="I2112" s="3" t="s">
        <v>63</v>
      </c>
      <c r="J2112" s="3" t="s">
        <v>62</v>
      </c>
      <c r="K2112" s="3" t="s">
        <v>64</v>
      </c>
      <c r="L2112" s="2" t="s">
        <v>16849</v>
      </c>
      <c r="M2112" s="2" t="s">
        <v>11844</v>
      </c>
      <c r="N2112" s="3" t="s">
        <v>1226</v>
      </c>
      <c r="O2112" s="2" t="s">
        <v>11523</v>
      </c>
      <c r="P2112" s="3" t="s">
        <v>66</v>
      </c>
      <c r="Q2112" s="2" t="s">
        <v>14857</v>
      </c>
      <c r="R2112" s="3" t="s">
        <v>67</v>
      </c>
      <c r="S2112" s="4">
        <v>21</v>
      </c>
      <c r="T2112" s="4">
        <v>21</v>
      </c>
      <c r="U2112" s="5" t="s">
        <v>11700</v>
      </c>
      <c r="V2112" s="5" t="s">
        <v>11700</v>
      </c>
      <c r="W2112" s="5" t="s">
        <v>69</v>
      </c>
      <c r="X2112" s="5" t="s">
        <v>69</v>
      </c>
      <c r="Y2112" s="4">
        <v>169</v>
      </c>
      <c r="Z2112" s="4">
        <v>14</v>
      </c>
      <c r="AA2112" s="4">
        <v>135</v>
      </c>
      <c r="AB2112" s="4">
        <v>2</v>
      </c>
      <c r="AC2112" s="4">
        <v>20</v>
      </c>
      <c r="AD2112" s="4">
        <v>56</v>
      </c>
      <c r="AE2112" s="4">
        <v>153</v>
      </c>
      <c r="AF2112" s="4">
        <v>0</v>
      </c>
      <c r="AG2112" s="4">
        <v>7</v>
      </c>
      <c r="AH2112" s="4">
        <v>51</v>
      </c>
      <c r="AI2112" s="4">
        <v>114</v>
      </c>
      <c r="AJ2112" s="4">
        <v>6</v>
      </c>
      <c r="AK2112" s="4">
        <v>28</v>
      </c>
      <c r="AL2112" s="4">
        <v>30</v>
      </c>
      <c r="AM2112" s="4">
        <v>62</v>
      </c>
      <c r="AN2112" s="4">
        <v>0</v>
      </c>
      <c r="AO2112" s="4">
        <v>6</v>
      </c>
      <c r="AP2112" s="4">
        <v>7</v>
      </c>
      <c r="AQ2112" s="4">
        <v>44</v>
      </c>
      <c r="AR2112" s="3" t="s">
        <v>63</v>
      </c>
      <c r="AS2112" s="3" t="s">
        <v>63</v>
      </c>
      <c r="AT2112" s="3" t="s">
        <v>63</v>
      </c>
      <c r="AV2112" s="6" t="str">
        <f>HYPERLINK("http://mcgill.on.worldcat.org/oclc/52038071","Catalog Record")</f>
        <v>Catalog Record</v>
      </c>
      <c r="AW2112" s="6" t="str">
        <f>HYPERLINK("http://www.worldcat.org/oclc/52038071","WorldCat Record")</f>
        <v>WorldCat Record</v>
      </c>
      <c r="AX2112" s="3" t="s">
        <v>17578</v>
      </c>
      <c r="AY2112" s="3" t="s">
        <v>17913</v>
      </c>
      <c r="AZ2112" s="3" t="s">
        <v>17914</v>
      </c>
      <c r="BA2112" s="3" t="s">
        <v>17914</v>
      </c>
      <c r="BB2112" s="3" t="s">
        <v>17915</v>
      </c>
      <c r="BC2112" s="3" t="s">
        <v>82</v>
      </c>
      <c r="BD2112" s="3" t="s">
        <v>70</v>
      </c>
      <c r="BE2112" s="3" t="s">
        <v>17916</v>
      </c>
      <c r="BF2112" s="3" t="s">
        <v>17915</v>
      </c>
      <c r="BG2112" s="3" t="s">
        <v>17917</v>
      </c>
    </row>
    <row r="2113" spans="1:59" ht="105" x14ac:dyDescent="0.25">
      <c r="A2113" s="2" t="s">
        <v>59</v>
      </c>
      <c r="B2113" s="2" t="s">
        <v>60</v>
      </c>
      <c r="C2113" s="2" t="s">
        <v>17918</v>
      </c>
      <c r="D2113" s="2" t="s">
        <v>17919</v>
      </c>
      <c r="E2113" s="2" t="s">
        <v>17920</v>
      </c>
      <c r="G2113" s="3" t="s">
        <v>63</v>
      </c>
      <c r="I2113" s="3" t="s">
        <v>63</v>
      </c>
      <c r="J2113" s="3" t="s">
        <v>63</v>
      </c>
      <c r="K2113" s="3" t="s">
        <v>64</v>
      </c>
      <c r="M2113" s="2" t="s">
        <v>17921</v>
      </c>
      <c r="N2113" s="3" t="s">
        <v>143</v>
      </c>
      <c r="P2113" s="3" t="s">
        <v>66</v>
      </c>
      <c r="R2113" s="3" t="s">
        <v>67</v>
      </c>
      <c r="S2113" s="4">
        <v>7</v>
      </c>
      <c r="T2113" s="4">
        <v>7</v>
      </c>
      <c r="U2113" s="5" t="s">
        <v>17922</v>
      </c>
      <c r="V2113" s="5" t="s">
        <v>17922</v>
      </c>
      <c r="W2113" s="5" t="s">
        <v>69</v>
      </c>
      <c r="X2113" s="5" t="s">
        <v>69</v>
      </c>
      <c r="Y2113" s="4">
        <v>211</v>
      </c>
      <c r="Z2113" s="4">
        <v>11</v>
      </c>
      <c r="AA2113" s="4">
        <v>77</v>
      </c>
      <c r="AB2113" s="4">
        <v>1</v>
      </c>
      <c r="AC2113" s="4">
        <v>15</v>
      </c>
      <c r="AD2113" s="4">
        <v>69</v>
      </c>
      <c r="AE2113" s="4">
        <v>123</v>
      </c>
      <c r="AF2113" s="4">
        <v>0</v>
      </c>
      <c r="AG2113" s="4">
        <v>8</v>
      </c>
      <c r="AH2113" s="4">
        <v>64</v>
      </c>
      <c r="AI2113" s="4">
        <v>90</v>
      </c>
      <c r="AJ2113" s="4">
        <v>7</v>
      </c>
      <c r="AK2113" s="4">
        <v>20</v>
      </c>
      <c r="AL2113" s="4">
        <v>45</v>
      </c>
      <c r="AM2113" s="4">
        <v>54</v>
      </c>
      <c r="AN2113" s="4">
        <v>0</v>
      </c>
      <c r="AO2113" s="4">
        <v>0</v>
      </c>
      <c r="AP2113" s="4">
        <v>7</v>
      </c>
      <c r="AQ2113" s="4">
        <v>40</v>
      </c>
      <c r="AR2113" s="3" t="s">
        <v>63</v>
      </c>
      <c r="AS2113" s="3" t="s">
        <v>63</v>
      </c>
      <c r="AT2113" s="3" t="s">
        <v>63</v>
      </c>
      <c r="AV2113" s="6" t="str">
        <f>HYPERLINK("http://mcgill.on.worldcat.org/oclc/868427751","Catalog Record")</f>
        <v>Catalog Record</v>
      </c>
      <c r="AW2113" s="6" t="str">
        <f>HYPERLINK("http://www.worldcat.org/oclc/868427751","WorldCat Record")</f>
        <v>WorldCat Record</v>
      </c>
      <c r="AX2113" s="3" t="s">
        <v>17923</v>
      </c>
      <c r="AY2113" s="3" t="s">
        <v>17924</v>
      </c>
      <c r="AZ2113" s="3" t="s">
        <v>17925</v>
      </c>
      <c r="BA2113" s="3" t="s">
        <v>17925</v>
      </c>
      <c r="BB2113" s="3" t="s">
        <v>17926</v>
      </c>
      <c r="BC2113" s="3" t="s">
        <v>82</v>
      </c>
      <c r="BD2113" s="3" t="s">
        <v>538</v>
      </c>
      <c r="BE2113" s="3" t="s">
        <v>17927</v>
      </c>
      <c r="BF2113" s="3" t="s">
        <v>17926</v>
      </c>
      <c r="BG2113" s="3" t="s">
        <v>17928</v>
      </c>
    </row>
    <row r="2114" spans="1:59" ht="60" x14ac:dyDescent="0.25">
      <c r="A2114" s="2" t="s">
        <v>59</v>
      </c>
      <c r="B2114" s="2" t="s">
        <v>60</v>
      </c>
      <c r="C2114" s="2" t="s">
        <v>17929</v>
      </c>
      <c r="D2114" s="2" t="s">
        <v>17930</v>
      </c>
      <c r="E2114" s="2" t="s">
        <v>17931</v>
      </c>
      <c r="G2114" s="3" t="s">
        <v>63</v>
      </c>
      <c r="I2114" s="3" t="s">
        <v>63</v>
      </c>
      <c r="J2114" s="3" t="s">
        <v>62</v>
      </c>
      <c r="K2114" s="3" t="s">
        <v>64</v>
      </c>
      <c r="L2114" s="2" t="s">
        <v>16973</v>
      </c>
      <c r="M2114" s="2" t="s">
        <v>17932</v>
      </c>
      <c r="N2114" s="3" t="s">
        <v>17864</v>
      </c>
      <c r="O2114" s="2" t="s">
        <v>17933</v>
      </c>
      <c r="P2114" s="3" t="s">
        <v>66</v>
      </c>
      <c r="Q2114" s="2" t="s">
        <v>17934</v>
      </c>
      <c r="R2114" s="3" t="s">
        <v>67</v>
      </c>
      <c r="S2114" s="4">
        <v>3</v>
      </c>
      <c r="T2114" s="4">
        <v>3</v>
      </c>
      <c r="U2114" s="5" t="s">
        <v>17837</v>
      </c>
      <c r="V2114" s="5" t="s">
        <v>17837</v>
      </c>
      <c r="W2114" s="5" t="s">
        <v>69</v>
      </c>
      <c r="X2114" s="5" t="s">
        <v>69</v>
      </c>
      <c r="Y2114" s="4">
        <v>237</v>
      </c>
      <c r="Z2114" s="4">
        <v>7</v>
      </c>
      <c r="AA2114" s="4">
        <v>24</v>
      </c>
      <c r="AB2114" s="4">
        <v>1</v>
      </c>
      <c r="AC2114" s="4">
        <v>2</v>
      </c>
      <c r="AD2114" s="4">
        <v>65</v>
      </c>
      <c r="AE2114" s="4">
        <v>101</v>
      </c>
      <c r="AF2114" s="4">
        <v>0</v>
      </c>
      <c r="AG2114" s="4">
        <v>1</v>
      </c>
      <c r="AH2114" s="4">
        <v>59</v>
      </c>
      <c r="AI2114" s="4">
        <v>87</v>
      </c>
      <c r="AJ2114" s="4">
        <v>4</v>
      </c>
      <c r="AK2114" s="4">
        <v>11</v>
      </c>
      <c r="AL2114" s="4">
        <v>36</v>
      </c>
      <c r="AM2114" s="4">
        <v>48</v>
      </c>
      <c r="AN2114" s="4">
        <v>1</v>
      </c>
      <c r="AO2114" s="4">
        <v>5</v>
      </c>
      <c r="AP2114" s="4">
        <v>5</v>
      </c>
      <c r="AQ2114" s="4">
        <v>17</v>
      </c>
      <c r="AR2114" s="3" t="s">
        <v>63</v>
      </c>
      <c r="AS2114" s="3" t="s">
        <v>62</v>
      </c>
      <c r="AT2114" s="3" t="s">
        <v>63</v>
      </c>
      <c r="AU2114" s="6" t="str">
        <f>HYPERLINK("http://catalog.hathitrust.org/Record/001647196","HathiTrust Record")</f>
        <v>HathiTrust Record</v>
      </c>
      <c r="AV2114" s="6" t="str">
        <f>HYPERLINK("http://mcgill.on.worldcat.org/oclc/1014180851","Catalog Record")</f>
        <v>Catalog Record</v>
      </c>
      <c r="AW2114" s="6" t="str">
        <f>HYPERLINK("http://www.worldcat.org/oclc/1014180851","WorldCat Record")</f>
        <v>WorldCat Record</v>
      </c>
      <c r="AX2114" s="3" t="s">
        <v>17935</v>
      </c>
      <c r="AY2114" s="3" t="s">
        <v>17936</v>
      </c>
      <c r="AZ2114" s="3" t="s">
        <v>17937</v>
      </c>
      <c r="BA2114" s="3" t="s">
        <v>17937</v>
      </c>
      <c r="BB2114" s="3" t="s">
        <v>17938</v>
      </c>
      <c r="BC2114" s="3" t="s">
        <v>82</v>
      </c>
      <c r="BD2114" s="3" t="s">
        <v>70</v>
      </c>
      <c r="BF2114" s="3" t="s">
        <v>17938</v>
      </c>
      <c r="BG2114" s="3" t="s">
        <v>17939</v>
      </c>
    </row>
    <row r="2115" spans="1:59" ht="60" x14ac:dyDescent="0.25">
      <c r="A2115" s="2" t="s">
        <v>59</v>
      </c>
      <c r="B2115" s="2" t="s">
        <v>60</v>
      </c>
      <c r="C2115" s="2" t="s">
        <v>17951</v>
      </c>
      <c r="D2115" s="2" t="s">
        <v>17952</v>
      </c>
      <c r="E2115" s="2" t="s">
        <v>17953</v>
      </c>
      <c r="G2115" s="3" t="s">
        <v>63</v>
      </c>
      <c r="I2115" s="3" t="s">
        <v>63</v>
      </c>
      <c r="J2115" s="3" t="s">
        <v>62</v>
      </c>
      <c r="K2115" s="3" t="s">
        <v>64</v>
      </c>
      <c r="L2115" s="2" t="s">
        <v>16849</v>
      </c>
      <c r="M2115" s="2" t="s">
        <v>11844</v>
      </c>
      <c r="N2115" s="3" t="s">
        <v>1226</v>
      </c>
      <c r="O2115" s="2" t="s">
        <v>14165</v>
      </c>
      <c r="P2115" s="3" t="s">
        <v>66</v>
      </c>
      <c r="Q2115" s="2" t="s">
        <v>9783</v>
      </c>
      <c r="R2115" s="3" t="s">
        <v>67</v>
      </c>
      <c r="S2115" s="4">
        <v>32</v>
      </c>
      <c r="T2115" s="4">
        <v>32</v>
      </c>
      <c r="U2115" s="5" t="s">
        <v>17742</v>
      </c>
      <c r="V2115" s="5" t="s">
        <v>17742</v>
      </c>
      <c r="W2115" s="5" t="s">
        <v>69</v>
      </c>
      <c r="X2115" s="5" t="s">
        <v>69</v>
      </c>
      <c r="Y2115" s="4">
        <v>246</v>
      </c>
      <c r="Z2115" s="4">
        <v>13</v>
      </c>
      <c r="AA2115" s="4">
        <v>171</v>
      </c>
      <c r="AB2115" s="4">
        <v>2</v>
      </c>
      <c r="AC2115" s="4">
        <v>23</v>
      </c>
      <c r="AD2115" s="4">
        <v>72</v>
      </c>
      <c r="AE2115" s="4">
        <v>158</v>
      </c>
      <c r="AF2115" s="4">
        <v>0</v>
      </c>
      <c r="AG2115" s="4">
        <v>7</v>
      </c>
      <c r="AH2115" s="4">
        <v>69</v>
      </c>
      <c r="AI2115" s="4">
        <v>113</v>
      </c>
      <c r="AJ2115" s="4">
        <v>5</v>
      </c>
      <c r="AK2115" s="4">
        <v>27</v>
      </c>
      <c r="AL2115" s="4">
        <v>39</v>
      </c>
      <c r="AM2115" s="4">
        <v>62</v>
      </c>
      <c r="AN2115" s="4">
        <v>0</v>
      </c>
      <c r="AO2115" s="4">
        <v>2</v>
      </c>
      <c r="AP2115" s="4">
        <v>6</v>
      </c>
      <c r="AQ2115" s="4">
        <v>50</v>
      </c>
      <c r="AR2115" s="3" t="s">
        <v>63</v>
      </c>
      <c r="AS2115" s="3" t="s">
        <v>63</v>
      </c>
      <c r="AT2115" s="3" t="s">
        <v>62</v>
      </c>
      <c r="AU2115" s="6" t="str">
        <f>HYPERLINK("http://catalog.hathitrust.org/Record/007143406","HathiTrust Record")</f>
        <v>HathiTrust Record</v>
      </c>
      <c r="AV2115" s="6" t="str">
        <f>HYPERLINK("http://mcgill.on.worldcat.org/oclc/52038095","Catalog Record")</f>
        <v>Catalog Record</v>
      </c>
      <c r="AW2115" s="6" t="str">
        <f>HYPERLINK("http://www.worldcat.org/oclc/52038095","WorldCat Record")</f>
        <v>WorldCat Record</v>
      </c>
      <c r="AX2115" s="3" t="s">
        <v>17589</v>
      </c>
      <c r="AY2115" s="3" t="s">
        <v>17954</v>
      </c>
      <c r="AZ2115" s="3" t="s">
        <v>17955</v>
      </c>
      <c r="BA2115" s="3" t="s">
        <v>17955</v>
      </c>
      <c r="BB2115" s="3" t="s">
        <v>17956</v>
      </c>
      <c r="BC2115" s="3" t="s">
        <v>82</v>
      </c>
      <c r="BD2115" s="3" t="s">
        <v>70</v>
      </c>
      <c r="BE2115" s="3" t="s">
        <v>17957</v>
      </c>
      <c r="BF2115" s="3" t="s">
        <v>17956</v>
      </c>
      <c r="BG2115" s="3" t="s">
        <v>17958</v>
      </c>
    </row>
    <row r="2116" spans="1:59" ht="60" x14ac:dyDescent="0.25">
      <c r="A2116" s="2" t="s">
        <v>59</v>
      </c>
      <c r="B2116" s="2" t="s">
        <v>60</v>
      </c>
      <c r="C2116" s="2" t="s">
        <v>17940</v>
      </c>
      <c r="D2116" s="2" t="s">
        <v>17941</v>
      </c>
      <c r="E2116" s="2" t="s">
        <v>17942</v>
      </c>
      <c r="G2116" s="3" t="s">
        <v>63</v>
      </c>
      <c r="I2116" s="3" t="s">
        <v>63</v>
      </c>
      <c r="J2116" s="3" t="s">
        <v>62</v>
      </c>
      <c r="K2116" s="3" t="s">
        <v>64</v>
      </c>
      <c r="L2116" s="2" t="s">
        <v>16849</v>
      </c>
      <c r="M2116" s="2" t="s">
        <v>17943</v>
      </c>
      <c r="N2116" s="3" t="s">
        <v>2459</v>
      </c>
      <c r="P2116" s="3" t="s">
        <v>66</v>
      </c>
      <c r="Q2116" s="2" t="s">
        <v>17944</v>
      </c>
      <c r="R2116" s="3" t="s">
        <v>67</v>
      </c>
      <c r="S2116" s="4">
        <v>24</v>
      </c>
      <c r="T2116" s="4">
        <v>24</v>
      </c>
      <c r="U2116" s="5" t="s">
        <v>17945</v>
      </c>
      <c r="V2116" s="5" t="s">
        <v>17945</v>
      </c>
      <c r="W2116" s="5" t="s">
        <v>69</v>
      </c>
      <c r="X2116" s="5" t="s">
        <v>69</v>
      </c>
      <c r="Y2116" s="4">
        <v>130</v>
      </c>
      <c r="Z2116" s="4">
        <v>6</v>
      </c>
      <c r="AA2116" s="4">
        <v>171</v>
      </c>
      <c r="AB2116" s="4">
        <v>1</v>
      </c>
      <c r="AC2116" s="4">
        <v>23</v>
      </c>
      <c r="AD2116" s="4">
        <v>43</v>
      </c>
      <c r="AE2116" s="4">
        <v>158</v>
      </c>
      <c r="AF2116" s="4">
        <v>0</v>
      </c>
      <c r="AG2116" s="4">
        <v>7</v>
      </c>
      <c r="AH2116" s="4">
        <v>42</v>
      </c>
      <c r="AI2116" s="4">
        <v>113</v>
      </c>
      <c r="AJ2116" s="4">
        <v>5</v>
      </c>
      <c r="AK2116" s="4">
        <v>27</v>
      </c>
      <c r="AL2116" s="4">
        <v>29</v>
      </c>
      <c r="AM2116" s="4">
        <v>62</v>
      </c>
      <c r="AN2116" s="4">
        <v>0</v>
      </c>
      <c r="AO2116" s="4">
        <v>2</v>
      </c>
      <c r="AP2116" s="4">
        <v>5</v>
      </c>
      <c r="AQ2116" s="4">
        <v>50</v>
      </c>
      <c r="AR2116" s="3" t="s">
        <v>63</v>
      </c>
      <c r="AS2116" s="3" t="s">
        <v>63</v>
      </c>
      <c r="AT2116" s="3" t="s">
        <v>63</v>
      </c>
      <c r="AV2116" s="6" t="str">
        <f>HYPERLINK("http://mcgill.on.worldcat.org/oclc/182737013","Catalog Record")</f>
        <v>Catalog Record</v>
      </c>
      <c r="AW2116" s="6" t="str">
        <f>HYPERLINK("http://www.worldcat.org/oclc/182737013","WorldCat Record")</f>
        <v>WorldCat Record</v>
      </c>
      <c r="AX2116" s="3" t="s">
        <v>17589</v>
      </c>
      <c r="AY2116" s="3" t="s">
        <v>17946</v>
      </c>
      <c r="AZ2116" s="3" t="s">
        <v>17947</v>
      </c>
      <c r="BA2116" s="3" t="s">
        <v>17947</v>
      </c>
      <c r="BB2116" s="3" t="s">
        <v>17948</v>
      </c>
      <c r="BC2116" s="3" t="s">
        <v>82</v>
      </c>
      <c r="BD2116" s="3" t="s">
        <v>70</v>
      </c>
      <c r="BE2116" s="3" t="s">
        <v>17949</v>
      </c>
      <c r="BF2116" s="3" t="s">
        <v>17948</v>
      </c>
      <c r="BG2116" s="3" t="s">
        <v>17950</v>
      </c>
    </row>
    <row r="2117" spans="1:59" ht="60" x14ac:dyDescent="0.25">
      <c r="A2117" s="2" t="s">
        <v>59</v>
      </c>
      <c r="B2117" s="2" t="s">
        <v>60</v>
      </c>
      <c r="C2117" s="2" t="s">
        <v>17959</v>
      </c>
      <c r="D2117" s="2" t="s">
        <v>17960</v>
      </c>
      <c r="E2117" s="2" t="s">
        <v>17961</v>
      </c>
      <c r="G2117" s="3" t="s">
        <v>63</v>
      </c>
      <c r="I2117" s="3" t="s">
        <v>62</v>
      </c>
      <c r="J2117" s="3" t="s">
        <v>63</v>
      </c>
      <c r="K2117" s="3" t="s">
        <v>64</v>
      </c>
      <c r="L2117" s="2" t="s">
        <v>17962</v>
      </c>
      <c r="M2117" s="2" t="s">
        <v>17963</v>
      </c>
      <c r="N2117" s="3" t="s">
        <v>220</v>
      </c>
      <c r="P2117" s="3" t="s">
        <v>66</v>
      </c>
      <c r="Q2117" s="2" t="s">
        <v>17964</v>
      </c>
      <c r="R2117" s="3" t="s">
        <v>67</v>
      </c>
      <c r="S2117" s="4">
        <v>8</v>
      </c>
      <c r="T2117" s="4">
        <v>48</v>
      </c>
      <c r="U2117" s="5" t="s">
        <v>17722</v>
      </c>
      <c r="V2117" s="5" t="s">
        <v>17722</v>
      </c>
      <c r="W2117" s="5" t="s">
        <v>69</v>
      </c>
      <c r="X2117" s="5" t="s">
        <v>69</v>
      </c>
      <c r="Y2117" s="4">
        <v>725</v>
      </c>
      <c r="Z2117" s="4">
        <v>32</v>
      </c>
      <c r="AA2117" s="4">
        <v>38</v>
      </c>
      <c r="AB2117" s="4">
        <v>1</v>
      </c>
      <c r="AC2117" s="4">
        <v>4</v>
      </c>
      <c r="AD2117" s="4">
        <v>95</v>
      </c>
      <c r="AE2117" s="4">
        <v>103</v>
      </c>
      <c r="AF2117" s="4">
        <v>0</v>
      </c>
      <c r="AG2117" s="4">
        <v>1</v>
      </c>
      <c r="AH2117" s="4">
        <v>86</v>
      </c>
      <c r="AI2117" s="4">
        <v>92</v>
      </c>
      <c r="AJ2117" s="4">
        <v>14</v>
      </c>
      <c r="AK2117" s="4">
        <v>17</v>
      </c>
      <c r="AL2117" s="4">
        <v>46</v>
      </c>
      <c r="AM2117" s="4">
        <v>47</v>
      </c>
      <c r="AN2117" s="4">
        <v>0</v>
      </c>
      <c r="AO2117" s="4">
        <v>0</v>
      </c>
      <c r="AP2117" s="4">
        <v>17</v>
      </c>
      <c r="AQ2117" s="4">
        <v>21</v>
      </c>
      <c r="AR2117" s="3" t="s">
        <v>63</v>
      </c>
      <c r="AS2117" s="3" t="s">
        <v>63</v>
      </c>
      <c r="AT2117" s="3" t="s">
        <v>62</v>
      </c>
      <c r="AU2117" s="6" t="str">
        <f>HYPERLINK("http://catalog.hathitrust.org/Record/002789752","HathiTrust Record")</f>
        <v>HathiTrust Record</v>
      </c>
      <c r="AV2117" s="6" t="str">
        <f>HYPERLINK("http://mcgill.on.worldcat.org/oclc/27147094","Catalog Record")</f>
        <v>Catalog Record</v>
      </c>
      <c r="AW2117" s="6" t="str">
        <f>HYPERLINK("http://www.worldcat.org/oclc/27147094","WorldCat Record")</f>
        <v>WorldCat Record</v>
      </c>
      <c r="AX2117" s="3" t="s">
        <v>17965</v>
      </c>
      <c r="AY2117" s="3" t="s">
        <v>17966</v>
      </c>
      <c r="AZ2117" s="3" t="s">
        <v>17967</v>
      </c>
      <c r="BA2117" s="3" t="s">
        <v>17967</v>
      </c>
      <c r="BB2117" s="3" t="s">
        <v>17968</v>
      </c>
      <c r="BC2117" s="3" t="s">
        <v>82</v>
      </c>
      <c r="BD2117" s="3" t="s">
        <v>70</v>
      </c>
      <c r="BE2117" s="3" t="s">
        <v>17969</v>
      </c>
      <c r="BF2117" s="3" t="s">
        <v>17968</v>
      </c>
      <c r="BG2117" s="3" t="s">
        <v>17970</v>
      </c>
    </row>
    <row r="2118" spans="1:59" ht="60" x14ac:dyDescent="0.25">
      <c r="A2118" s="2" t="s">
        <v>59</v>
      </c>
      <c r="B2118" s="2" t="s">
        <v>60</v>
      </c>
      <c r="C2118" s="2" t="s">
        <v>17959</v>
      </c>
      <c r="D2118" s="2" t="s">
        <v>17960</v>
      </c>
      <c r="E2118" s="2" t="s">
        <v>17961</v>
      </c>
      <c r="G2118" s="3" t="s">
        <v>63</v>
      </c>
      <c r="I2118" s="3" t="s">
        <v>62</v>
      </c>
      <c r="J2118" s="3" t="s">
        <v>63</v>
      </c>
      <c r="K2118" s="3" t="s">
        <v>64</v>
      </c>
      <c r="L2118" s="2" t="s">
        <v>17962</v>
      </c>
      <c r="M2118" s="2" t="s">
        <v>17963</v>
      </c>
      <c r="N2118" s="3" t="s">
        <v>220</v>
      </c>
      <c r="P2118" s="3" t="s">
        <v>66</v>
      </c>
      <c r="Q2118" s="2" t="s">
        <v>17964</v>
      </c>
      <c r="R2118" s="3" t="s">
        <v>67</v>
      </c>
      <c r="S2118" s="4">
        <v>40</v>
      </c>
      <c r="T2118" s="4">
        <v>48</v>
      </c>
      <c r="U2118" s="5" t="s">
        <v>16276</v>
      </c>
      <c r="V2118" s="5" t="s">
        <v>17722</v>
      </c>
      <c r="W2118" s="5" t="s">
        <v>69</v>
      </c>
      <c r="X2118" s="5" t="s">
        <v>69</v>
      </c>
      <c r="Y2118" s="4">
        <v>725</v>
      </c>
      <c r="Z2118" s="4">
        <v>32</v>
      </c>
      <c r="AA2118" s="4">
        <v>38</v>
      </c>
      <c r="AB2118" s="4">
        <v>1</v>
      </c>
      <c r="AC2118" s="4">
        <v>4</v>
      </c>
      <c r="AD2118" s="4">
        <v>95</v>
      </c>
      <c r="AE2118" s="4">
        <v>103</v>
      </c>
      <c r="AF2118" s="4">
        <v>0</v>
      </c>
      <c r="AG2118" s="4">
        <v>1</v>
      </c>
      <c r="AH2118" s="4">
        <v>86</v>
      </c>
      <c r="AI2118" s="4">
        <v>92</v>
      </c>
      <c r="AJ2118" s="4">
        <v>14</v>
      </c>
      <c r="AK2118" s="4">
        <v>17</v>
      </c>
      <c r="AL2118" s="4">
        <v>46</v>
      </c>
      <c r="AM2118" s="4">
        <v>47</v>
      </c>
      <c r="AN2118" s="4">
        <v>0</v>
      </c>
      <c r="AO2118" s="4">
        <v>0</v>
      </c>
      <c r="AP2118" s="4">
        <v>17</v>
      </c>
      <c r="AQ2118" s="4">
        <v>21</v>
      </c>
      <c r="AR2118" s="3" t="s">
        <v>63</v>
      </c>
      <c r="AS2118" s="3" t="s">
        <v>63</v>
      </c>
      <c r="AT2118" s="3" t="s">
        <v>62</v>
      </c>
      <c r="AU2118" s="6" t="str">
        <f>HYPERLINK("http://catalog.hathitrust.org/Record/002789752","HathiTrust Record")</f>
        <v>HathiTrust Record</v>
      </c>
      <c r="AV2118" s="6" t="str">
        <f>HYPERLINK("http://mcgill.on.worldcat.org/oclc/27147094","Catalog Record")</f>
        <v>Catalog Record</v>
      </c>
      <c r="AW2118" s="6" t="str">
        <f>HYPERLINK("http://www.worldcat.org/oclc/27147094","WorldCat Record")</f>
        <v>WorldCat Record</v>
      </c>
      <c r="AX2118" s="3" t="s">
        <v>17965</v>
      </c>
      <c r="AY2118" s="3" t="s">
        <v>17966</v>
      </c>
      <c r="AZ2118" s="3" t="s">
        <v>17967</v>
      </c>
      <c r="BA2118" s="3" t="s">
        <v>17967</v>
      </c>
      <c r="BB2118" s="3" t="s">
        <v>17971</v>
      </c>
      <c r="BC2118" s="3" t="s">
        <v>82</v>
      </c>
      <c r="BD2118" s="3" t="s">
        <v>70</v>
      </c>
      <c r="BE2118" s="3" t="s">
        <v>17969</v>
      </c>
      <c r="BF2118" s="3" t="s">
        <v>17971</v>
      </c>
      <c r="BG2118" s="3" t="s">
        <v>17972</v>
      </c>
    </row>
    <row r="2119" spans="1:59" ht="60" x14ac:dyDescent="0.25">
      <c r="A2119" s="2" t="s">
        <v>59</v>
      </c>
      <c r="B2119" s="2" t="s">
        <v>60</v>
      </c>
      <c r="C2119" s="2" t="s">
        <v>17973</v>
      </c>
      <c r="D2119" s="2" t="s">
        <v>17974</v>
      </c>
      <c r="E2119" s="2" t="s">
        <v>17975</v>
      </c>
      <c r="G2119" s="3" t="s">
        <v>63</v>
      </c>
      <c r="I2119" s="3" t="s">
        <v>63</v>
      </c>
      <c r="J2119" s="3" t="s">
        <v>63</v>
      </c>
      <c r="K2119" s="3" t="s">
        <v>64</v>
      </c>
      <c r="L2119" s="2" t="s">
        <v>16849</v>
      </c>
      <c r="M2119" s="2" t="s">
        <v>17976</v>
      </c>
      <c r="N2119" s="3" t="s">
        <v>161</v>
      </c>
      <c r="P2119" s="3" t="s">
        <v>66</v>
      </c>
      <c r="Q2119" s="2" t="s">
        <v>17977</v>
      </c>
      <c r="R2119" s="3" t="s">
        <v>67</v>
      </c>
      <c r="S2119" s="4">
        <v>5</v>
      </c>
      <c r="T2119" s="4">
        <v>5</v>
      </c>
      <c r="U2119" s="5" t="s">
        <v>17865</v>
      </c>
      <c r="V2119" s="5" t="s">
        <v>17865</v>
      </c>
      <c r="W2119" s="5" t="s">
        <v>69</v>
      </c>
      <c r="X2119" s="5" t="s">
        <v>69</v>
      </c>
      <c r="Y2119" s="4">
        <v>122</v>
      </c>
      <c r="Z2119" s="4">
        <v>15</v>
      </c>
      <c r="AA2119" s="4">
        <v>16</v>
      </c>
      <c r="AB2119" s="4">
        <v>2</v>
      </c>
      <c r="AC2119" s="4">
        <v>3</v>
      </c>
      <c r="AD2119" s="4">
        <v>53</v>
      </c>
      <c r="AE2119" s="4">
        <v>58</v>
      </c>
      <c r="AF2119" s="4">
        <v>0</v>
      </c>
      <c r="AG2119" s="4">
        <v>0</v>
      </c>
      <c r="AH2119" s="4">
        <v>47</v>
      </c>
      <c r="AI2119" s="4">
        <v>52</v>
      </c>
      <c r="AJ2119" s="4">
        <v>11</v>
      </c>
      <c r="AK2119" s="4">
        <v>11</v>
      </c>
      <c r="AL2119" s="4">
        <v>24</v>
      </c>
      <c r="AM2119" s="4">
        <v>27</v>
      </c>
      <c r="AN2119" s="4">
        <v>0</v>
      </c>
      <c r="AO2119" s="4">
        <v>0</v>
      </c>
      <c r="AP2119" s="4">
        <v>12</v>
      </c>
      <c r="AQ2119" s="4">
        <v>12</v>
      </c>
      <c r="AR2119" s="3" t="s">
        <v>63</v>
      </c>
      <c r="AS2119" s="3" t="s">
        <v>63</v>
      </c>
      <c r="AT2119" s="3" t="s">
        <v>62</v>
      </c>
      <c r="AU2119" s="6" t="str">
        <f>HYPERLINK("http://catalog.hathitrust.org/Record/002220750","HathiTrust Record")</f>
        <v>HathiTrust Record</v>
      </c>
      <c r="AV2119" s="6" t="str">
        <f>HYPERLINK("http://mcgill.on.worldcat.org/oclc/22685630","Catalog Record")</f>
        <v>Catalog Record</v>
      </c>
      <c r="AW2119" s="6" t="str">
        <f>HYPERLINK("http://www.worldcat.org/oclc/22685630","WorldCat Record")</f>
        <v>WorldCat Record</v>
      </c>
      <c r="AX2119" s="3" t="s">
        <v>17978</v>
      </c>
      <c r="AY2119" s="3" t="s">
        <v>17979</v>
      </c>
      <c r="AZ2119" s="3" t="s">
        <v>17980</v>
      </c>
      <c r="BA2119" s="3" t="s">
        <v>17980</v>
      </c>
      <c r="BB2119" s="3" t="s">
        <v>17981</v>
      </c>
      <c r="BC2119" s="3" t="s">
        <v>82</v>
      </c>
      <c r="BD2119" s="3" t="s">
        <v>70</v>
      </c>
      <c r="BE2119" s="3" t="s">
        <v>17982</v>
      </c>
      <c r="BF2119" s="3" t="s">
        <v>17981</v>
      </c>
      <c r="BG2119" s="3" t="s">
        <v>17983</v>
      </c>
    </row>
    <row r="2120" spans="1:59" ht="60" x14ac:dyDescent="0.25">
      <c r="A2120" s="2" t="s">
        <v>59</v>
      </c>
      <c r="B2120" s="2" t="s">
        <v>60</v>
      </c>
      <c r="C2120" s="2" t="s">
        <v>17984</v>
      </c>
      <c r="D2120" s="2" t="s">
        <v>17985</v>
      </c>
      <c r="E2120" s="2" t="s">
        <v>17986</v>
      </c>
      <c r="F2120" s="3" t="s">
        <v>61</v>
      </c>
      <c r="G2120" s="3" t="s">
        <v>62</v>
      </c>
      <c r="I2120" s="3" t="s">
        <v>62</v>
      </c>
      <c r="J2120" s="3" t="s">
        <v>63</v>
      </c>
      <c r="K2120" s="3" t="s">
        <v>64</v>
      </c>
      <c r="L2120" s="2" t="s">
        <v>16849</v>
      </c>
      <c r="M2120" s="2" t="s">
        <v>17987</v>
      </c>
      <c r="N2120" s="3" t="s">
        <v>17988</v>
      </c>
      <c r="P2120" s="3" t="s">
        <v>66</v>
      </c>
      <c r="R2120" s="3" t="s">
        <v>67</v>
      </c>
      <c r="S2120" s="4">
        <v>4</v>
      </c>
      <c r="T2120" s="4">
        <v>9</v>
      </c>
      <c r="U2120" s="5" t="s">
        <v>17989</v>
      </c>
      <c r="V2120" s="5" t="s">
        <v>17990</v>
      </c>
      <c r="W2120" s="5" t="s">
        <v>69</v>
      </c>
      <c r="X2120" s="5" t="s">
        <v>69</v>
      </c>
      <c r="Y2120" s="4">
        <v>4</v>
      </c>
      <c r="Z2120" s="4">
        <v>2</v>
      </c>
      <c r="AA2120" s="4">
        <v>3</v>
      </c>
      <c r="AB2120" s="4">
        <v>1</v>
      </c>
      <c r="AC2120" s="4">
        <v>1</v>
      </c>
      <c r="AD2120" s="4">
        <v>1</v>
      </c>
      <c r="AE2120" s="4">
        <v>8</v>
      </c>
      <c r="AF2120" s="4">
        <v>0</v>
      </c>
      <c r="AG2120" s="4">
        <v>0</v>
      </c>
      <c r="AH2120" s="4">
        <v>1</v>
      </c>
      <c r="AI2120" s="4">
        <v>7</v>
      </c>
      <c r="AJ2120" s="4">
        <v>1</v>
      </c>
      <c r="AK2120" s="4">
        <v>1</v>
      </c>
      <c r="AL2120" s="4">
        <v>0</v>
      </c>
      <c r="AM2120" s="4">
        <v>3</v>
      </c>
      <c r="AN2120" s="4">
        <v>0</v>
      </c>
      <c r="AO2120" s="4">
        <v>0</v>
      </c>
      <c r="AP2120" s="4">
        <v>1</v>
      </c>
      <c r="AQ2120" s="4">
        <v>2</v>
      </c>
      <c r="AR2120" s="3" t="s">
        <v>63</v>
      </c>
      <c r="AS2120" s="3" t="s">
        <v>63</v>
      </c>
      <c r="AT2120" s="3" t="s">
        <v>63</v>
      </c>
      <c r="AV2120" s="6" t="str">
        <f>HYPERLINK("http://mcgill.on.worldcat.org/oclc/427355902","Catalog Record")</f>
        <v>Catalog Record</v>
      </c>
      <c r="AW2120" s="6" t="str">
        <f>HYPERLINK("http://www.worldcat.org/oclc/427355902","WorldCat Record")</f>
        <v>WorldCat Record</v>
      </c>
      <c r="AX2120" s="3" t="s">
        <v>17991</v>
      </c>
      <c r="AY2120" s="3" t="s">
        <v>17992</v>
      </c>
      <c r="AZ2120" s="3" t="s">
        <v>17993</v>
      </c>
      <c r="BA2120" s="3" t="s">
        <v>17993</v>
      </c>
      <c r="BB2120" s="3" t="s">
        <v>17994</v>
      </c>
      <c r="BC2120" s="3" t="s">
        <v>82</v>
      </c>
      <c r="BD2120" s="3" t="s">
        <v>70</v>
      </c>
      <c r="BF2120" s="3" t="s">
        <v>17994</v>
      </c>
      <c r="BG2120" s="3" t="s">
        <v>17995</v>
      </c>
    </row>
    <row r="2121" spans="1:59" ht="60" x14ac:dyDescent="0.25">
      <c r="A2121" s="2" t="s">
        <v>59</v>
      </c>
      <c r="B2121" s="2" t="s">
        <v>60</v>
      </c>
      <c r="C2121" s="2" t="s">
        <v>17984</v>
      </c>
      <c r="D2121" s="2" t="s">
        <v>17985</v>
      </c>
      <c r="E2121" s="2" t="s">
        <v>17986</v>
      </c>
      <c r="F2121" s="3" t="s">
        <v>1095</v>
      </c>
      <c r="G2121" s="3" t="s">
        <v>62</v>
      </c>
      <c r="I2121" s="3" t="s">
        <v>62</v>
      </c>
      <c r="J2121" s="3" t="s">
        <v>63</v>
      </c>
      <c r="K2121" s="3" t="s">
        <v>64</v>
      </c>
      <c r="L2121" s="2" t="s">
        <v>16849</v>
      </c>
      <c r="M2121" s="2" t="s">
        <v>17987</v>
      </c>
      <c r="N2121" s="3" t="s">
        <v>17988</v>
      </c>
      <c r="P2121" s="3" t="s">
        <v>66</v>
      </c>
      <c r="R2121" s="3" t="s">
        <v>67</v>
      </c>
      <c r="S2121" s="4">
        <v>5</v>
      </c>
      <c r="T2121" s="4">
        <v>9</v>
      </c>
      <c r="U2121" s="5" t="s">
        <v>17990</v>
      </c>
      <c r="V2121" s="5" t="s">
        <v>17990</v>
      </c>
      <c r="W2121" s="5" t="s">
        <v>69</v>
      </c>
      <c r="X2121" s="5" t="s">
        <v>69</v>
      </c>
      <c r="Y2121" s="4">
        <v>4</v>
      </c>
      <c r="Z2121" s="4">
        <v>2</v>
      </c>
      <c r="AA2121" s="4">
        <v>3</v>
      </c>
      <c r="AB2121" s="4">
        <v>1</v>
      </c>
      <c r="AC2121" s="4">
        <v>1</v>
      </c>
      <c r="AD2121" s="4">
        <v>1</v>
      </c>
      <c r="AE2121" s="4">
        <v>8</v>
      </c>
      <c r="AF2121" s="4">
        <v>0</v>
      </c>
      <c r="AG2121" s="4">
        <v>0</v>
      </c>
      <c r="AH2121" s="4">
        <v>1</v>
      </c>
      <c r="AI2121" s="4">
        <v>7</v>
      </c>
      <c r="AJ2121" s="4">
        <v>1</v>
      </c>
      <c r="AK2121" s="4">
        <v>1</v>
      </c>
      <c r="AL2121" s="4">
        <v>0</v>
      </c>
      <c r="AM2121" s="4">
        <v>3</v>
      </c>
      <c r="AN2121" s="4">
        <v>0</v>
      </c>
      <c r="AO2121" s="4">
        <v>0</v>
      </c>
      <c r="AP2121" s="4">
        <v>1</v>
      </c>
      <c r="AQ2121" s="4">
        <v>2</v>
      </c>
      <c r="AR2121" s="3" t="s">
        <v>63</v>
      </c>
      <c r="AS2121" s="3" t="s">
        <v>63</v>
      </c>
      <c r="AT2121" s="3" t="s">
        <v>63</v>
      </c>
      <c r="AV2121" s="6" t="str">
        <f>HYPERLINK("http://mcgill.on.worldcat.org/oclc/427355902","Catalog Record")</f>
        <v>Catalog Record</v>
      </c>
      <c r="AW2121" s="6" t="str">
        <f>HYPERLINK("http://www.worldcat.org/oclc/427355902","WorldCat Record")</f>
        <v>WorldCat Record</v>
      </c>
      <c r="AX2121" s="3" t="s">
        <v>17991</v>
      </c>
      <c r="AY2121" s="3" t="s">
        <v>17992</v>
      </c>
      <c r="AZ2121" s="3" t="s">
        <v>17993</v>
      </c>
      <c r="BA2121" s="3" t="s">
        <v>17993</v>
      </c>
      <c r="BB2121" s="3" t="s">
        <v>17996</v>
      </c>
      <c r="BC2121" s="3" t="s">
        <v>82</v>
      </c>
      <c r="BD2121" s="3" t="s">
        <v>70</v>
      </c>
      <c r="BF2121" s="3" t="s">
        <v>17996</v>
      </c>
      <c r="BG2121" s="3" t="s">
        <v>17997</v>
      </c>
    </row>
    <row r="2122" spans="1:59" ht="60" x14ac:dyDescent="0.25">
      <c r="A2122" s="2" t="s">
        <v>59</v>
      </c>
      <c r="B2122" s="2" t="s">
        <v>60</v>
      </c>
      <c r="C2122" s="2" t="s">
        <v>17998</v>
      </c>
      <c r="D2122" s="2" t="s">
        <v>17999</v>
      </c>
      <c r="E2122" s="2" t="s">
        <v>18000</v>
      </c>
      <c r="G2122" s="3" t="s">
        <v>63</v>
      </c>
      <c r="I2122" s="3" t="s">
        <v>63</v>
      </c>
      <c r="J2122" s="3" t="s">
        <v>62</v>
      </c>
      <c r="K2122" s="3" t="s">
        <v>215</v>
      </c>
      <c r="L2122" s="2" t="s">
        <v>16849</v>
      </c>
      <c r="M2122" s="2" t="s">
        <v>18001</v>
      </c>
      <c r="P2122" s="3" t="s">
        <v>66</v>
      </c>
      <c r="R2122" s="3" t="s">
        <v>67</v>
      </c>
      <c r="S2122" s="4">
        <v>22</v>
      </c>
      <c r="T2122" s="4">
        <v>22</v>
      </c>
      <c r="U2122" s="5" t="s">
        <v>17281</v>
      </c>
      <c r="V2122" s="5" t="s">
        <v>17281</v>
      </c>
      <c r="W2122" s="5" t="s">
        <v>69</v>
      </c>
      <c r="X2122" s="5" t="s">
        <v>69</v>
      </c>
      <c r="Y2122" s="4">
        <v>129</v>
      </c>
      <c r="Z2122" s="4">
        <v>2</v>
      </c>
      <c r="AA2122" s="4">
        <v>216</v>
      </c>
      <c r="AB2122" s="4">
        <v>1</v>
      </c>
      <c r="AC2122" s="4">
        <v>24</v>
      </c>
      <c r="AD2122" s="4">
        <v>19</v>
      </c>
      <c r="AE2122" s="4">
        <v>169</v>
      </c>
      <c r="AF2122" s="4">
        <v>0</v>
      </c>
      <c r="AG2122" s="4">
        <v>8</v>
      </c>
      <c r="AH2122" s="4">
        <v>18</v>
      </c>
      <c r="AI2122" s="4">
        <v>117</v>
      </c>
      <c r="AJ2122" s="4">
        <v>0</v>
      </c>
      <c r="AK2122" s="4">
        <v>29</v>
      </c>
      <c r="AL2122" s="4">
        <v>7</v>
      </c>
      <c r="AM2122" s="4">
        <v>64</v>
      </c>
      <c r="AN2122" s="4">
        <v>0</v>
      </c>
      <c r="AO2122" s="4">
        <v>23</v>
      </c>
      <c r="AP2122" s="4">
        <v>0</v>
      </c>
      <c r="AQ2122" s="4">
        <v>56</v>
      </c>
      <c r="AR2122" s="3" t="s">
        <v>63</v>
      </c>
      <c r="AS2122" s="3" t="s">
        <v>63</v>
      </c>
      <c r="AT2122" s="3" t="s">
        <v>63</v>
      </c>
      <c r="AV2122" s="6" t="str">
        <f>HYPERLINK("http://mcgill.on.worldcat.org/oclc/3676917","Catalog Record")</f>
        <v>Catalog Record</v>
      </c>
      <c r="AW2122" s="6" t="str">
        <f>HYPERLINK("http://www.worldcat.org/oclc/3676917","WorldCat Record")</f>
        <v>WorldCat Record</v>
      </c>
      <c r="AX2122" s="3" t="s">
        <v>18002</v>
      </c>
      <c r="AY2122" s="3" t="s">
        <v>18003</v>
      </c>
      <c r="AZ2122" s="3" t="s">
        <v>18004</v>
      </c>
      <c r="BA2122" s="3" t="s">
        <v>18004</v>
      </c>
      <c r="BB2122" s="3" t="s">
        <v>18005</v>
      </c>
      <c r="BC2122" s="3" t="s">
        <v>82</v>
      </c>
      <c r="BD2122" s="3" t="s">
        <v>70</v>
      </c>
      <c r="BF2122" s="3" t="s">
        <v>18005</v>
      </c>
      <c r="BG2122" s="3" t="s">
        <v>18006</v>
      </c>
    </row>
    <row r="2123" spans="1:59" ht="60" x14ac:dyDescent="0.25">
      <c r="A2123" s="2" t="s">
        <v>59</v>
      </c>
      <c r="B2123" s="2" t="s">
        <v>60</v>
      </c>
      <c r="C2123" s="2" t="s">
        <v>18007</v>
      </c>
      <c r="D2123" s="2" t="s">
        <v>18008</v>
      </c>
      <c r="E2123" s="2" t="s">
        <v>18009</v>
      </c>
      <c r="G2123" s="3" t="s">
        <v>62</v>
      </c>
      <c r="I2123" s="3" t="s">
        <v>62</v>
      </c>
      <c r="J2123" s="3" t="s">
        <v>62</v>
      </c>
      <c r="K2123" s="3" t="s">
        <v>215</v>
      </c>
      <c r="L2123" s="2" t="s">
        <v>16849</v>
      </c>
      <c r="M2123" s="2" t="s">
        <v>18010</v>
      </c>
      <c r="N2123" s="3" t="s">
        <v>1432</v>
      </c>
      <c r="P2123" s="3" t="s">
        <v>66</v>
      </c>
      <c r="Q2123" s="2" t="s">
        <v>18011</v>
      </c>
      <c r="R2123" s="3" t="s">
        <v>67</v>
      </c>
      <c r="S2123" s="4">
        <v>30</v>
      </c>
      <c r="T2123" s="4">
        <v>44</v>
      </c>
      <c r="U2123" s="5" t="s">
        <v>4457</v>
      </c>
      <c r="V2123" s="5" t="s">
        <v>4457</v>
      </c>
      <c r="W2123" s="5" t="s">
        <v>69</v>
      </c>
      <c r="X2123" s="5" t="s">
        <v>69</v>
      </c>
      <c r="Y2123" s="4">
        <v>998</v>
      </c>
      <c r="Z2123" s="4">
        <v>28</v>
      </c>
      <c r="AA2123" s="4">
        <v>216</v>
      </c>
      <c r="AB2123" s="4">
        <v>1</v>
      </c>
      <c r="AC2123" s="4">
        <v>24</v>
      </c>
      <c r="AD2123" s="4">
        <v>104</v>
      </c>
      <c r="AE2123" s="4">
        <v>169</v>
      </c>
      <c r="AF2123" s="4">
        <v>0</v>
      </c>
      <c r="AG2123" s="4">
        <v>8</v>
      </c>
      <c r="AH2123" s="4">
        <v>84</v>
      </c>
      <c r="AI2123" s="4">
        <v>117</v>
      </c>
      <c r="AJ2123" s="4">
        <v>14</v>
      </c>
      <c r="AK2123" s="4">
        <v>29</v>
      </c>
      <c r="AL2123" s="4">
        <v>48</v>
      </c>
      <c r="AM2123" s="4">
        <v>64</v>
      </c>
      <c r="AN2123" s="4">
        <v>0</v>
      </c>
      <c r="AO2123" s="4">
        <v>23</v>
      </c>
      <c r="AP2123" s="4">
        <v>20</v>
      </c>
      <c r="AQ2123" s="4">
        <v>56</v>
      </c>
      <c r="AR2123" s="3" t="s">
        <v>63</v>
      </c>
      <c r="AS2123" s="3" t="s">
        <v>63</v>
      </c>
      <c r="AT2123" s="3" t="s">
        <v>62</v>
      </c>
      <c r="AU2123" s="6" t="str">
        <f>HYPERLINK("http://catalog.hathitrust.org/Record/001061075","HathiTrust Record")</f>
        <v>HathiTrust Record</v>
      </c>
      <c r="AV2123" s="6" t="str">
        <f>HYPERLINK("http://mcgill.on.worldcat.org/oclc/321109","Catalog Record")</f>
        <v>Catalog Record</v>
      </c>
      <c r="AW2123" s="6" t="str">
        <f>HYPERLINK("http://www.worldcat.org/oclc/321109","WorldCat Record")</f>
        <v>WorldCat Record</v>
      </c>
      <c r="AX2123" s="3" t="s">
        <v>18002</v>
      </c>
      <c r="AY2123" s="3" t="s">
        <v>18012</v>
      </c>
      <c r="AZ2123" s="3" t="s">
        <v>18013</v>
      </c>
      <c r="BA2123" s="3" t="s">
        <v>18013</v>
      </c>
      <c r="BB2123" s="3" t="s">
        <v>18014</v>
      </c>
      <c r="BC2123" s="3" t="s">
        <v>82</v>
      </c>
      <c r="BD2123" s="3" t="s">
        <v>70</v>
      </c>
      <c r="BF2123" s="3" t="s">
        <v>18014</v>
      </c>
      <c r="BG2123" s="3" t="s">
        <v>18015</v>
      </c>
    </row>
    <row r="2124" spans="1:59" ht="60" x14ac:dyDescent="0.25">
      <c r="A2124" s="2" t="s">
        <v>59</v>
      </c>
      <c r="B2124" s="2" t="s">
        <v>60</v>
      </c>
      <c r="C2124" s="2" t="s">
        <v>18007</v>
      </c>
      <c r="D2124" s="2" t="s">
        <v>18008</v>
      </c>
      <c r="E2124" s="2" t="s">
        <v>18009</v>
      </c>
      <c r="F2124" s="3" t="s">
        <v>151</v>
      </c>
      <c r="G2124" s="3" t="s">
        <v>62</v>
      </c>
      <c r="I2124" s="3" t="s">
        <v>62</v>
      </c>
      <c r="J2124" s="3" t="s">
        <v>62</v>
      </c>
      <c r="K2124" s="3" t="s">
        <v>215</v>
      </c>
      <c r="L2124" s="2" t="s">
        <v>16849</v>
      </c>
      <c r="M2124" s="2" t="s">
        <v>18010</v>
      </c>
      <c r="N2124" s="3" t="s">
        <v>1432</v>
      </c>
      <c r="P2124" s="3" t="s">
        <v>66</v>
      </c>
      <c r="Q2124" s="2" t="s">
        <v>18011</v>
      </c>
      <c r="R2124" s="3" t="s">
        <v>67</v>
      </c>
      <c r="S2124" s="4">
        <v>5</v>
      </c>
      <c r="T2124" s="4">
        <v>44</v>
      </c>
      <c r="U2124" s="5" t="s">
        <v>18016</v>
      </c>
      <c r="V2124" s="5" t="s">
        <v>4457</v>
      </c>
      <c r="W2124" s="5" t="s">
        <v>69</v>
      </c>
      <c r="X2124" s="5" t="s">
        <v>69</v>
      </c>
      <c r="Y2124" s="4">
        <v>998</v>
      </c>
      <c r="Z2124" s="4">
        <v>28</v>
      </c>
      <c r="AA2124" s="4">
        <v>216</v>
      </c>
      <c r="AB2124" s="4">
        <v>1</v>
      </c>
      <c r="AC2124" s="4">
        <v>24</v>
      </c>
      <c r="AD2124" s="4">
        <v>104</v>
      </c>
      <c r="AE2124" s="4">
        <v>169</v>
      </c>
      <c r="AF2124" s="4">
        <v>0</v>
      </c>
      <c r="AG2124" s="4">
        <v>8</v>
      </c>
      <c r="AH2124" s="4">
        <v>84</v>
      </c>
      <c r="AI2124" s="4">
        <v>117</v>
      </c>
      <c r="AJ2124" s="4">
        <v>14</v>
      </c>
      <c r="AK2124" s="4">
        <v>29</v>
      </c>
      <c r="AL2124" s="4">
        <v>48</v>
      </c>
      <c r="AM2124" s="4">
        <v>64</v>
      </c>
      <c r="AN2124" s="4">
        <v>0</v>
      </c>
      <c r="AO2124" s="4">
        <v>23</v>
      </c>
      <c r="AP2124" s="4">
        <v>20</v>
      </c>
      <c r="AQ2124" s="4">
        <v>56</v>
      </c>
      <c r="AR2124" s="3" t="s">
        <v>63</v>
      </c>
      <c r="AS2124" s="3" t="s">
        <v>63</v>
      </c>
      <c r="AT2124" s="3" t="s">
        <v>62</v>
      </c>
      <c r="AU2124" s="6" t="str">
        <f>HYPERLINK("http://catalog.hathitrust.org/Record/001061075","HathiTrust Record")</f>
        <v>HathiTrust Record</v>
      </c>
      <c r="AV2124" s="6" t="str">
        <f>HYPERLINK("http://mcgill.on.worldcat.org/oclc/321109","Catalog Record")</f>
        <v>Catalog Record</v>
      </c>
      <c r="AW2124" s="6" t="str">
        <f>HYPERLINK("http://www.worldcat.org/oclc/321109","WorldCat Record")</f>
        <v>WorldCat Record</v>
      </c>
      <c r="AX2124" s="3" t="s">
        <v>18002</v>
      </c>
      <c r="AY2124" s="3" t="s">
        <v>18012</v>
      </c>
      <c r="AZ2124" s="3" t="s">
        <v>18013</v>
      </c>
      <c r="BA2124" s="3" t="s">
        <v>18013</v>
      </c>
      <c r="BB2124" s="3" t="s">
        <v>18017</v>
      </c>
      <c r="BC2124" s="3" t="s">
        <v>82</v>
      </c>
      <c r="BD2124" s="3" t="s">
        <v>70</v>
      </c>
      <c r="BF2124" s="3" t="s">
        <v>18017</v>
      </c>
      <c r="BG2124" s="3" t="s">
        <v>18018</v>
      </c>
    </row>
    <row r="2125" spans="1:59" ht="60" x14ac:dyDescent="0.25">
      <c r="A2125" s="2" t="s">
        <v>59</v>
      </c>
      <c r="B2125" s="2" t="s">
        <v>60</v>
      </c>
      <c r="C2125" s="2" t="s">
        <v>18007</v>
      </c>
      <c r="D2125" s="2" t="s">
        <v>18008</v>
      </c>
      <c r="E2125" s="2" t="s">
        <v>18009</v>
      </c>
      <c r="F2125" s="3" t="s">
        <v>141</v>
      </c>
      <c r="G2125" s="3" t="s">
        <v>62</v>
      </c>
      <c r="I2125" s="3" t="s">
        <v>62</v>
      </c>
      <c r="J2125" s="3" t="s">
        <v>62</v>
      </c>
      <c r="K2125" s="3" t="s">
        <v>215</v>
      </c>
      <c r="L2125" s="2" t="s">
        <v>16849</v>
      </c>
      <c r="M2125" s="2" t="s">
        <v>18010</v>
      </c>
      <c r="N2125" s="3" t="s">
        <v>1432</v>
      </c>
      <c r="P2125" s="3" t="s">
        <v>66</v>
      </c>
      <c r="Q2125" s="2" t="s">
        <v>18011</v>
      </c>
      <c r="R2125" s="3" t="s">
        <v>67</v>
      </c>
      <c r="S2125" s="4">
        <v>9</v>
      </c>
      <c r="T2125" s="4">
        <v>44</v>
      </c>
      <c r="U2125" s="5" t="s">
        <v>18019</v>
      </c>
      <c r="V2125" s="5" t="s">
        <v>4457</v>
      </c>
      <c r="W2125" s="5" t="s">
        <v>69</v>
      </c>
      <c r="X2125" s="5" t="s">
        <v>69</v>
      </c>
      <c r="Y2125" s="4">
        <v>998</v>
      </c>
      <c r="Z2125" s="4">
        <v>28</v>
      </c>
      <c r="AA2125" s="4">
        <v>216</v>
      </c>
      <c r="AB2125" s="4">
        <v>1</v>
      </c>
      <c r="AC2125" s="4">
        <v>24</v>
      </c>
      <c r="AD2125" s="4">
        <v>104</v>
      </c>
      <c r="AE2125" s="4">
        <v>169</v>
      </c>
      <c r="AF2125" s="4">
        <v>0</v>
      </c>
      <c r="AG2125" s="4">
        <v>8</v>
      </c>
      <c r="AH2125" s="4">
        <v>84</v>
      </c>
      <c r="AI2125" s="4">
        <v>117</v>
      </c>
      <c r="AJ2125" s="4">
        <v>14</v>
      </c>
      <c r="AK2125" s="4">
        <v>29</v>
      </c>
      <c r="AL2125" s="4">
        <v>48</v>
      </c>
      <c r="AM2125" s="4">
        <v>64</v>
      </c>
      <c r="AN2125" s="4">
        <v>0</v>
      </c>
      <c r="AO2125" s="4">
        <v>23</v>
      </c>
      <c r="AP2125" s="4">
        <v>20</v>
      </c>
      <c r="AQ2125" s="4">
        <v>56</v>
      </c>
      <c r="AR2125" s="3" t="s">
        <v>63</v>
      </c>
      <c r="AS2125" s="3" t="s">
        <v>63</v>
      </c>
      <c r="AT2125" s="3" t="s">
        <v>62</v>
      </c>
      <c r="AU2125" s="6" t="str">
        <f>HYPERLINK("http://catalog.hathitrust.org/Record/001061075","HathiTrust Record")</f>
        <v>HathiTrust Record</v>
      </c>
      <c r="AV2125" s="6" t="str">
        <f>HYPERLINK("http://mcgill.on.worldcat.org/oclc/321109","Catalog Record")</f>
        <v>Catalog Record</v>
      </c>
      <c r="AW2125" s="6" t="str">
        <f>HYPERLINK("http://www.worldcat.org/oclc/321109","WorldCat Record")</f>
        <v>WorldCat Record</v>
      </c>
      <c r="AX2125" s="3" t="s">
        <v>18002</v>
      </c>
      <c r="AY2125" s="3" t="s">
        <v>18012</v>
      </c>
      <c r="AZ2125" s="3" t="s">
        <v>18013</v>
      </c>
      <c r="BA2125" s="3" t="s">
        <v>18013</v>
      </c>
      <c r="BB2125" s="3" t="s">
        <v>18020</v>
      </c>
      <c r="BC2125" s="3" t="s">
        <v>82</v>
      </c>
      <c r="BD2125" s="3" t="s">
        <v>70</v>
      </c>
      <c r="BF2125" s="3" t="s">
        <v>18020</v>
      </c>
      <c r="BG2125" s="3" t="s">
        <v>18021</v>
      </c>
    </row>
    <row r="2126" spans="1:59" ht="60" x14ac:dyDescent="0.25">
      <c r="A2126" s="2" t="s">
        <v>59</v>
      </c>
      <c r="B2126" s="2" t="s">
        <v>60</v>
      </c>
      <c r="C2126" s="2" t="s">
        <v>18022</v>
      </c>
      <c r="D2126" s="2" t="s">
        <v>18023</v>
      </c>
      <c r="E2126" s="2" t="s">
        <v>18024</v>
      </c>
      <c r="G2126" s="3" t="s">
        <v>63</v>
      </c>
      <c r="I2126" s="3" t="s">
        <v>63</v>
      </c>
      <c r="J2126" s="3" t="s">
        <v>62</v>
      </c>
      <c r="K2126" s="3" t="s">
        <v>215</v>
      </c>
      <c r="L2126" s="2" t="s">
        <v>16849</v>
      </c>
      <c r="M2126" s="2" t="s">
        <v>15815</v>
      </c>
      <c r="N2126" s="3" t="s">
        <v>401</v>
      </c>
      <c r="O2126" s="2" t="s">
        <v>976</v>
      </c>
      <c r="P2126" s="3" t="s">
        <v>66</v>
      </c>
      <c r="Q2126" s="2" t="s">
        <v>12297</v>
      </c>
      <c r="R2126" s="3" t="s">
        <v>67</v>
      </c>
      <c r="S2126" s="4">
        <v>75</v>
      </c>
      <c r="T2126" s="4">
        <v>75</v>
      </c>
      <c r="U2126" s="5" t="s">
        <v>18025</v>
      </c>
      <c r="V2126" s="5" t="s">
        <v>18025</v>
      </c>
      <c r="W2126" s="5" t="s">
        <v>69</v>
      </c>
      <c r="X2126" s="5" t="s">
        <v>69</v>
      </c>
      <c r="Y2126" s="4">
        <v>733</v>
      </c>
      <c r="Z2126" s="4">
        <v>27</v>
      </c>
      <c r="AA2126" s="4">
        <v>216</v>
      </c>
      <c r="AB2126" s="4">
        <v>2</v>
      </c>
      <c r="AC2126" s="4">
        <v>24</v>
      </c>
      <c r="AD2126" s="4">
        <v>86</v>
      </c>
      <c r="AE2126" s="4">
        <v>169</v>
      </c>
      <c r="AF2126" s="4">
        <v>1</v>
      </c>
      <c r="AG2126" s="4">
        <v>8</v>
      </c>
      <c r="AH2126" s="4">
        <v>72</v>
      </c>
      <c r="AI2126" s="4">
        <v>117</v>
      </c>
      <c r="AJ2126" s="4">
        <v>13</v>
      </c>
      <c r="AK2126" s="4">
        <v>29</v>
      </c>
      <c r="AL2126" s="4">
        <v>39</v>
      </c>
      <c r="AM2126" s="4">
        <v>64</v>
      </c>
      <c r="AN2126" s="4">
        <v>0</v>
      </c>
      <c r="AO2126" s="4">
        <v>23</v>
      </c>
      <c r="AP2126" s="4">
        <v>21</v>
      </c>
      <c r="AQ2126" s="4">
        <v>56</v>
      </c>
      <c r="AR2126" s="3" t="s">
        <v>63</v>
      </c>
      <c r="AS2126" s="3" t="s">
        <v>63</v>
      </c>
      <c r="AT2126" s="3" t="s">
        <v>62</v>
      </c>
      <c r="AU2126" s="6" t="str">
        <f>HYPERLINK("http://catalog.hathitrust.org/Record/000009013","HathiTrust Record")</f>
        <v>HathiTrust Record</v>
      </c>
      <c r="AV2126" s="6" t="str">
        <f>HYPERLINK("http://mcgill.on.worldcat.org/oclc/649417","Catalog Record")</f>
        <v>Catalog Record</v>
      </c>
      <c r="AW2126" s="6" t="str">
        <f>HYPERLINK("http://www.worldcat.org/oclc/649417","WorldCat Record")</f>
        <v>WorldCat Record</v>
      </c>
      <c r="AX2126" s="3" t="s">
        <v>18002</v>
      </c>
      <c r="AY2126" s="3" t="s">
        <v>18026</v>
      </c>
      <c r="AZ2126" s="3" t="s">
        <v>18027</v>
      </c>
      <c r="BA2126" s="3" t="s">
        <v>18027</v>
      </c>
      <c r="BB2126" s="3" t="s">
        <v>18028</v>
      </c>
      <c r="BC2126" s="3" t="s">
        <v>82</v>
      </c>
      <c r="BD2126" s="3" t="s">
        <v>70</v>
      </c>
      <c r="BE2126" s="3" t="s">
        <v>18029</v>
      </c>
      <c r="BF2126" s="3" t="s">
        <v>18028</v>
      </c>
      <c r="BG2126" s="3" t="s">
        <v>18030</v>
      </c>
    </row>
    <row r="2127" spans="1:59" ht="60" x14ac:dyDescent="0.25">
      <c r="A2127" s="2" t="s">
        <v>59</v>
      </c>
      <c r="B2127" s="2" t="s">
        <v>60</v>
      </c>
      <c r="C2127" s="2" t="s">
        <v>18031</v>
      </c>
      <c r="D2127" s="2" t="s">
        <v>18032</v>
      </c>
      <c r="E2127" s="2" t="s">
        <v>18033</v>
      </c>
      <c r="G2127" s="3" t="s">
        <v>63</v>
      </c>
      <c r="I2127" s="3" t="s">
        <v>62</v>
      </c>
      <c r="J2127" s="3" t="s">
        <v>62</v>
      </c>
      <c r="K2127" s="3" t="s">
        <v>215</v>
      </c>
      <c r="L2127" s="2" t="s">
        <v>16973</v>
      </c>
      <c r="M2127" s="2" t="s">
        <v>18034</v>
      </c>
      <c r="N2127" s="3" t="s">
        <v>247</v>
      </c>
      <c r="P2127" s="3" t="s">
        <v>66</v>
      </c>
      <c r="Q2127" s="2" t="s">
        <v>9341</v>
      </c>
      <c r="R2127" s="3" t="s">
        <v>67</v>
      </c>
      <c r="S2127" s="4">
        <v>32</v>
      </c>
      <c r="T2127" s="4">
        <v>64</v>
      </c>
      <c r="U2127" s="5" t="s">
        <v>16424</v>
      </c>
      <c r="V2127" s="5" t="s">
        <v>16424</v>
      </c>
      <c r="W2127" s="5" t="s">
        <v>69</v>
      </c>
      <c r="X2127" s="5" t="s">
        <v>69</v>
      </c>
      <c r="Y2127" s="4">
        <v>261</v>
      </c>
      <c r="Z2127" s="4">
        <v>11</v>
      </c>
      <c r="AA2127" s="4">
        <v>216</v>
      </c>
      <c r="AB2127" s="4">
        <v>1</v>
      </c>
      <c r="AC2127" s="4">
        <v>24</v>
      </c>
      <c r="AD2127" s="4">
        <v>22</v>
      </c>
      <c r="AE2127" s="4">
        <v>169</v>
      </c>
      <c r="AF2127" s="4">
        <v>0</v>
      </c>
      <c r="AG2127" s="4">
        <v>8</v>
      </c>
      <c r="AH2127" s="4">
        <v>22</v>
      </c>
      <c r="AI2127" s="4">
        <v>117</v>
      </c>
      <c r="AJ2127" s="4">
        <v>2</v>
      </c>
      <c r="AK2127" s="4">
        <v>29</v>
      </c>
      <c r="AL2127" s="4">
        <v>12</v>
      </c>
      <c r="AM2127" s="4">
        <v>64</v>
      </c>
      <c r="AN2127" s="4">
        <v>0</v>
      </c>
      <c r="AO2127" s="4">
        <v>23</v>
      </c>
      <c r="AP2127" s="4">
        <v>2</v>
      </c>
      <c r="AQ2127" s="4">
        <v>56</v>
      </c>
      <c r="AR2127" s="3" t="s">
        <v>63</v>
      </c>
      <c r="AS2127" s="3" t="s">
        <v>63</v>
      </c>
      <c r="AT2127" s="3" t="s">
        <v>63</v>
      </c>
      <c r="AV2127" s="6" t="str">
        <f>HYPERLINK("http://mcgill.on.worldcat.org/oclc/10026390","Catalog Record")</f>
        <v>Catalog Record</v>
      </c>
      <c r="AW2127" s="6" t="str">
        <f>HYPERLINK("http://www.worldcat.org/oclc/10026390","WorldCat Record")</f>
        <v>WorldCat Record</v>
      </c>
      <c r="AX2127" s="3" t="s">
        <v>18002</v>
      </c>
      <c r="AY2127" s="3" t="s">
        <v>18035</v>
      </c>
      <c r="AZ2127" s="3" t="s">
        <v>18036</v>
      </c>
      <c r="BA2127" s="3" t="s">
        <v>18036</v>
      </c>
      <c r="BB2127" s="3" t="s">
        <v>18037</v>
      </c>
      <c r="BC2127" s="3" t="s">
        <v>82</v>
      </c>
      <c r="BD2127" s="3" t="s">
        <v>538</v>
      </c>
      <c r="BE2127" s="3" t="s">
        <v>18038</v>
      </c>
      <c r="BF2127" s="3" t="s">
        <v>18037</v>
      </c>
      <c r="BG2127" s="3" t="s">
        <v>18039</v>
      </c>
    </row>
    <row r="2128" spans="1:59" ht="60" x14ac:dyDescent="0.25">
      <c r="A2128" s="2" t="s">
        <v>59</v>
      </c>
      <c r="B2128" s="2" t="s">
        <v>60</v>
      </c>
      <c r="C2128" s="2" t="s">
        <v>18031</v>
      </c>
      <c r="D2128" s="2" t="s">
        <v>18032</v>
      </c>
      <c r="E2128" s="2" t="s">
        <v>18033</v>
      </c>
      <c r="G2128" s="3" t="s">
        <v>63</v>
      </c>
      <c r="I2128" s="3" t="s">
        <v>62</v>
      </c>
      <c r="J2128" s="3" t="s">
        <v>62</v>
      </c>
      <c r="K2128" s="3" t="s">
        <v>215</v>
      </c>
      <c r="L2128" s="2" t="s">
        <v>16973</v>
      </c>
      <c r="M2128" s="2" t="s">
        <v>18034</v>
      </c>
      <c r="N2128" s="3" t="s">
        <v>247</v>
      </c>
      <c r="P2128" s="3" t="s">
        <v>66</v>
      </c>
      <c r="Q2128" s="2" t="s">
        <v>9341</v>
      </c>
      <c r="R2128" s="3" t="s">
        <v>67</v>
      </c>
      <c r="S2128" s="4">
        <v>15</v>
      </c>
      <c r="T2128" s="4">
        <v>64</v>
      </c>
      <c r="U2128" s="5" t="s">
        <v>12213</v>
      </c>
      <c r="V2128" s="5" t="s">
        <v>16424</v>
      </c>
      <c r="W2128" s="5" t="s">
        <v>69</v>
      </c>
      <c r="X2128" s="5" t="s">
        <v>69</v>
      </c>
      <c r="Y2128" s="4">
        <v>261</v>
      </c>
      <c r="Z2128" s="4">
        <v>11</v>
      </c>
      <c r="AA2128" s="4">
        <v>216</v>
      </c>
      <c r="AB2128" s="4">
        <v>1</v>
      </c>
      <c r="AC2128" s="4">
        <v>24</v>
      </c>
      <c r="AD2128" s="4">
        <v>22</v>
      </c>
      <c r="AE2128" s="4">
        <v>169</v>
      </c>
      <c r="AF2128" s="4">
        <v>0</v>
      </c>
      <c r="AG2128" s="4">
        <v>8</v>
      </c>
      <c r="AH2128" s="4">
        <v>22</v>
      </c>
      <c r="AI2128" s="4">
        <v>117</v>
      </c>
      <c r="AJ2128" s="4">
        <v>2</v>
      </c>
      <c r="AK2128" s="4">
        <v>29</v>
      </c>
      <c r="AL2128" s="4">
        <v>12</v>
      </c>
      <c r="AM2128" s="4">
        <v>64</v>
      </c>
      <c r="AN2128" s="4">
        <v>0</v>
      </c>
      <c r="AO2128" s="4">
        <v>23</v>
      </c>
      <c r="AP2128" s="4">
        <v>2</v>
      </c>
      <c r="AQ2128" s="4">
        <v>56</v>
      </c>
      <c r="AR2128" s="3" t="s">
        <v>63</v>
      </c>
      <c r="AS2128" s="3" t="s">
        <v>63</v>
      </c>
      <c r="AT2128" s="3" t="s">
        <v>63</v>
      </c>
      <c r="AV2128" s="6" t="str">
        <f>HYPERLINK("http://mcgill.on.worldcat.org/oclc/10026390","Catalog Record")</f>
        <v>Catalog Record</v>
      </c>
      <c r="AW2128" s="6" t="str">
        <f>HYPERLINK("http://www.worldcat.org/oclc/10026390","WorldCat Record")</f>
        <v>WorldCat Record</v>
      </c>
      <c r="AX2128" s="3" t="s">
        <v>18002</v>
      </c>
      <c r="AY2128" s="3" t="s">
        <v>18035</v>
      </c>
      <c r="AZ2128" s="3" t="s">
        <v>18036</v>
      </c>
      <c r="BA2128" s="3" t="s">
        <v>18036</v>
      </c>
      <c r="BB2128" s="3" t="s">
        <v>18040</v>
      </c>
      <c r="BC2128" s="3" t="s">
        <v>82</v>
      </c>
      <c r="BD2128" s="3" t="s">
        <v>70</v>
      </c>
      <c r="BE2128" s="3" t="s">
        <v>18038</v>
      </c>
      <c r="BF2128" s="3" t="s">
        <v>18040</v>
      </c>
      <c r="BG2128" s="3" t="s">
        <v>18041</v>
      </c>
    </row>
    <row r="2129" spans="1:59" ht="60" x14ac:dyDescent="0.25">
      <c r="A2129" s="2" t="s">
        <v>59</v>
      </c>
      <c r="B2129" s="2" t="s">
        <v>60</v>
      </c>
      <c r="C2129" s="2" t="s">
        <v>18031</v>
      </c>
      <c r="D2129" s="2" t="s">
        <v>18032</v>
      </c>
      <c r="E2129" s="2" t="s">
        <v>18033</v>
      </c>
      <c r="G2129" s="3" t="s">
        <v>63</v>
      </c>
      <c r="I2129" s="3" t="s">
        <v>62</v>
      </c>
      <c r="J2129" s="3" t="s">
        <v>62</v>
      </c>
      <c r="K2129" s="3" t="s">
        <v>215</v>
      </c>
      <c r="L2129" s="2" t="s">
        <v>16973</v>
      </c>
      <c r="M2129" s="2" t="s">
        <v>18034</v>
      </c>
      <c r="N2129" s="3" t="s">
        <v>247</v>
      </c>
      <c r="P2129" s="3" t="s">
        <v>66</v>
      </c>
      <c r="Q2129" s="2" t="s">
        <v>9341</v>
      </c>
      <c r="R2129" s="3" t="s">
        <v>67</v>
      </c>
      <c r="S2129" s="4">
        <v>17</v>
      </c>
      <c r="T2129" s="4">
        <v>64</v>
      </c>
      <c r="U2129" s="5" t="s">
        <v>13148</v>
      </c>
      <c r="V2129" s="5" t="s">
        <v>16424</v>
      </c>
      <c r="W2129" s="5" t="s">
        <v>69</v>
      </c>
      <c r="X2129" s="5" t="s">
        <v>69</v>
      </c>
      <c r="Y2129" s="4">
        <v>261</v>
      </c>
      <c r="Z2129" s="4">
        <v>11</v>
      </c>
      <c r="AA2129" s="4">
        <v>216</v>
      </c>
      <c r="AB2129" s="4">
        <v>1</v>
      </c>
      <c r="AC2129" s="4">
        <v>24</v>
      </c>
      <c r="AD2129" s="4">
        <v>22</v>
      </c>
      <c r="AE2129" s="4">
        <v>169</v>
      </c>
      <c r="AF2129" s="4">
        <v>0</v>
      </c>
      <c r="AG2129" s="4">
        <v>8</v>
      </c>
      <c r="AH2129" s="4">
        <v>22</v>
      </c>
      <c r="AI2129" s="4">
        <v>117</v>
      </c>
      <c r="AJ2129" s="4">
        <v>2</v>
      </c>
      <c r="AK2129" s="4">
        <v>29</v>
      </c>
      <c r="AL2129" s="4">
        <v>12</v>
      </c>
      <c r="AM2129" s="4">
        <v>64</v>
      </c>
      <c r="AN2129" s="4">
        <v>0</v>
      </c>
      <c r="AO2129" s="4">
        <v>23</v>
      </c>
      <c r="AP2129" s="4">
        <v>2</v>
      </c>
      <c r="AQ2129" s="4">
        <v>56</v>
      </c>
      <c r="AR2129" s="3" t="s">
        <v>63</v>
      </c>
      <c r="AS2129" s="3" t="s">
        <v>63</v>
      </c>
      <c r="AT2129" s="3" t="s">
        <v>63</v>
      </c>
      <c r="AV2129" s="6" t="str">
        <f>HYPERLINK("http://mcgill.on.worldcat.org/oclc/10026390","Catalog Record")</f>
        <v>Catalog Record</v>
      </c>
      <c r="AW2129" s="6" t="str">
        <f>HYPERLINK("http://www.worldcat.org/oclc/10026390","WorldCat Record")</f>
        <v>WorldCat Record</v>
      </c>
      <c r="AX2129" s="3" t="s">
        <v>18002</v>
      </c>
      <c r="AY2129" s="3" t="s">
        <v>18035</v>
      </c>
      <c r="AZ2129" s="3" t="s">
        <v>18036</v>
      </c>
      <c r="BA2129" s="3" t="s">
        <v>18036</v>
      </c>
      <c r="BB2129" s="3" t="s">
        <v>18042</v>
      </c>
      <c r="BC2129" s="3" t="s">
        <v>82</v>
      </c>
      <c r="BD2129" s="3" t="s">
        <v>70</v>
      </c>
      <c r="BE2129" s="3" t="s">
        <v>18038</v>
      </c>
      <c r="BF2129" s="3" t="s">
        <v>18042</v>
      </c>
      <c r="BG2129" s="3" t="s">
        <v>18043</v>
      </c>
    </row>
    <row r="2130" spans="1:59" ht="60" x14ac:dyDescent="0.25">
      <c r="A2130" s="2" t="s">
        <v>59</v>
      </c>
      <c r="B2130" s="2" t="s">
        <v>60</v>
      </c>
      <c r="C2130" s="2" t="s">
        <v>18044</v>
      </c>
      <c r="D2130" s="2" t="s">
        <v>18045</v>
      </c>
      <c r="E2130" s="2" t="s">
        <v>18046</v>
      </c>
      <c r="G2130" s="3" t="s">
        <v>63</v>
      </c>
      <c r="I2130" s="3" t="s">
        <v>62</v>
      </c>
      <c r="J2130" s="3" t="s">
        <v>63</v>
      </c>
      <c r="K2130" s="3" t="s">
        <v>64</v>
      </c>
      <c r="L2130" s="2" t="s">
        <v>16849</v>
      </c>
      <c r="M2130" s="2" t="s">
        <v>18047</v>
      </c>
      <c r="N2130" s="3" t="s">
        <v>204</v>
      </c>
      <c r="O2130" s="2" t="s">
        <v>1856</v>
      </c>
      <c r="P2130" s="3" t="s">
        <v>66</v>
      </c>
      <c r="Q2130" s="2" t="s">
        <v>12297</v>
      </c>
      <c r="R2130" s="3" t="s">
        <v>67</v>
      </c>
      <c r="S2130" s="4">
        <v>38</v>
      </c>
      <c r="T2130" s="4">
        <v>71</v>
      </c>
      <c r="U2130" s="5" t="s">
        <v>16631</v>
      </c>
      <c r="V2130" s="5" t="s">
        <v>16631</v>
      </c>
      <c r="W2130" s="5" t="s">
        <v>415</v>
      </c>
      <c r="X2130" s="5" t="s">
        <v>415</v>
      </c>
      <c r="Y2130" s="4">
        <v>413</v>
      </c>
      <c r="Z2130" s="4">
        <v>13</v>
      </c>
      <c r="AA2130" s="4">
        <v>23</v>
      </c>
      <c r="AB2130" s="4">
        <v>1</v>
      </c>
      <c r="AC2130" s="4">
        <v>2</v>
      </c>
      <c r="AD2130" s="4">
        <v>64</v>
      </c>
      <c r="AE2130" s="4">
        <v>71</v>
      </c>
      <c r="AF2130" s="4">
        <v>0</v>
      </c>
      <c r="AG2130" s="4">
        <v>0</v>
      </c>
      <c r="AH2130" s="4">
        <v>57</v>
      </c>
      <c r="AI2130" s="4">
        <v>62</v>
      </c>
      <c r="AJ2130" s="4">
        <v>8</v>
      </c>
      <c r="AK2130" s="4">
        <v>9</v>
      </c>
      <c r="AL2130" s="4">
        <v>40</v>
      </c>
      <c r="AM2130" s="4">
        <v>41</v>
      </c>
      <c r="AN2130" s="4">
        <v>0</v>
      </c>
      <c r="AO2130" s="4">
        <v>0</v>
      </c>
      <c r="AP2130" s="4">
        <v>9</v>
      </c>
      <c r="AQ2130" s="4">
        <v>12</v>
      </c>
      <c r="AR2130" s="3" t="s">
        <v>63</v>
      </c>
      <c r="AS2130" s="3" t="s">
        <v>63</v>
      </c>
      <c r="AT2130" s="3" t="s">
        <v>63</v>
      </c>
      <c r="AV2130" s="6" t="str">
        <f>HYPERLINK("http://mcgill.on.worldcat.org/oclc/30814925","Catalog Record")</f>
        <v>Catalog Record</v>
      </c>
      <c r="AW2130" s="6" t="str">
        <f>HYPERLINK("http://www.worldcat.org/oclc/30814925","WorldCat Record")</f>
        <v>WorldCat Record</v>
      </c>
      <c r="AX2130" s="3" t="s">
        <v>18048</v>
      </c>
      <c r="AY2130" s="3" t="s">
        <v>18049</v>
      </c>
      <c r="AZ2130" s="3" t="s">
        <v>18050</v>
      </c>
      <c r="BA2130" s="3" t="s">
        <v>18050</v>
      </c>
      <c r="BB2130" s="3" t="s">
        <v>18051</v>
      </c>
      <c r="BC2130" s="3" t="s">
        <v>82</v>
      </c>
      <c r="BD2130" s="3" t="s">
        <v>538</v>
      </c>
      <c r="BE2130" s="3" t="s">
        <v>18052</v>
      </c>
      <c r="BF2130" s="3" t="s">
        <v>18051</v>
      </c>
      <c r="BG2130" s="3" t="s">
        <v>18053</v>
      </c>
    </row>
    <row r="2131" spans="1:59" ht="60" x14ac:dyDescent="0.25">
      <c r="A2131" s="2" t="s">
        <v>59</v>
      </c>
      <c r="B2131" s="2" t="s">
        <v>60</v>
      </c>
      <c r="C2131" s="2" t="s">
        <v>18044</v>
      </c>
      <c r="D2131" s="2" t="s">
        <v>18045</v>
      </c>
      <c r="E2131" s="2" t="s">
        <v>18046</v>
      </c>
      <c r="G2131" s="3" t="s">
        <v>63</v>
      </c>
      <c r="I2131" s="3" t="s">
        <v>62</v>
      </c>
      <c r="J2131" s="3" t="s">
        <v>63</v>
      </c>
      <c r="K2131" s="3" t="s">
        <v>64</v>
      </c>
      <c r="L2131" s="2" t="s">
        <v>16849</v>
      </c>
      <c r="M2131" s="2" t="s">
        <v>18047</v>
      </c>
      <c r="N2131" s="3" t="s">
        <v>204</v>
      </c>
      <c r="O2131" s="2" t="s">
        <v>1856</v>
      </c>
      <c r="P2131" s="3" t="s">
        <v>66</v>
      </c>
      <c r="Q2131" s="2" t="s">
        <v>12297</v>
      </c>
      <c r="R2131" s="3" t="s">
        <v>67</v>
      </c>
      <c r="S2131" s="4">
        <v>33</v>
      </c>
      <c r="T2131" s="4">
        <v>71</v>
      </c>
      <c r="U2131" s="5" t="s">
        <v>18054</v>
      </c>
      <c r="V2131" s="5" t="s">
        <v>16631</v>
      </c>
      <c r="W2131" s="5" t="s">
        <v>415</v>
      </c>
      <c r="X2131" s="5" t="s">
        <v>415</v>
      </c>
      <c r="Y2131" s="4">
        <v>413</v>
      </c>
      <c r="Z2131" s="4">
        <v>13</v>
      </c>
      <c r="AA2131" s="4">
        <v>23</v>
      </c>
      <c r="AB2131" s="4">
        <v>1</v>
      </c>
      <c r="AC2131" s="4">
        <v>2</v>
      </c>
      <c r="AD2131" s="4">
        <v>64</v>
      </c>
      <c r="AE2131" s="4">
        <v>71</v>
      </c>
      <c r="AF2131" s="4">
        <v>0</v>
      </c>
      <c r="AG2131" s="4">
        <v>0</v>
      </c>
      <c r="AH2131" s="4">
        <v>57</v>
      </c>
      <c r="AI2131" s="4">
        <v>62</v>
      </c>
      <c r="AJ2131" s="4">
        <v>8</v>
      </c>
      <c r="AK2131" s="4">
        <v>9</v>
      </c>
      <c r="AL2131" s="4">
        <v>40</v>
      </c>
      <c r="AM2131" s="4">
        <v>41</v>
      </c>
      <c r="AN2131" s="4">
        <v>0</v>
      </c>
      <c r="AO2131" s="4">
        <v>0</v>
      </c>
      <c r="AP2131" s="4">
        <v>9</v>
      </c>
      <c r="AQ2131" s="4">
        <v>12</v>
      </c>
      <c r="AR2131" s="3" t="s">
        <v>63</v>
      </c>
      <c r="AS2131" s="3" t="s">
        <v>63</v>
      </c>
      <c r="AT2131" s="3" t="s">
        <v>63</v>
      </c>
      <c r="AV2131" s="6" t="str">
        <f>HYPERLINK("http://mcgill.on.worldcat.org/oclc/30814925","Catalog Record")</f>
        <v>Catalog Record</v>
      </c>
      <c r="AW2131" s="6" t="str">
        <f>HYPERLINK("http://www.worldcat.org/oclc/30814925","WorldCat Record")</f>
        <v>WorldCat Record</v>
      </c>
      <c r="AX2131" s="3" t="s">
        <v>18048</v>
      </c>
      <c r="AY2131" s="3" t="s">
        <v>18049</v>
      </c>
      <c r="AZ2131" s="3" t="s">
        <v>18050</v>
      </c>
      <c r="BA2131" s="3" t="s">
        <v>18050</v>
      </c>
      <c r="BB2131" s="3" t="s">
        <v>18055</v>
      </c>
      <c r="BC2131" s="3" t="s">
        <v>82</v>
      </c>
      <c r="BD2131" s="3" t="s">
        <v>538</v>
      </c>
      <c r="BE2131" s="3" t="s">
        <v>18052</v>
      </c>
      <c r="BF2131" s="3" t="s">
        <v>18055</v>
      </c>
      <c r="BG2131" s="3" t="s">
        <v>18056</v>
      </c>
    </row>
    <row r="2132" spans="1:59" ht="60" x14ac:dyDescent="0.25">
      <c r="A2132" s="2" t="s">
        <v>59</v>
      </c>
      <c r="B2132" s="2" t="s">
        <v>60</v>
      </c>
      <c r="C2132" s="2" t="s">
        <v>18057</v>
      </c>
      <c r="D2132" s="2" t="s">
        <v>18058</v>
      </c>
      <c r="E2132" s="2" t="s">
        <v>18059</v>
      </c>
      <c r="G2132" s="3" t="s">
        <v>63</v>
      </c>
      <c r="I2132" s="3" t="s">
        <v>63</v>
      </c>
      <c r="J2132" s="3" t="s">
        <v>62</v>
      </c>
      <c r="K2132" s="3" t="s">
        <v>215</v>
      </c>
      <c r="L2132" s="2" t="s">
        <v>16849</v>
      </c>
      <c r="M2132" s="2" t="s">
        <v>18060</v>
      </c>
      <c r="N2132" s="3" t="s">
        <v>190</v>
      </c>
      <c r="P2132" s="3" t="s">
        <v>66</v>
      </c>
      <c r="Q2132" s="2" t="s">
        <v>9341</v>
      </c>
      <c r="R2132" s="3" t="s">
        <v>67</v>
      </c>
      <c r="S2132" s="4">
        <v>21</v>
      </c>
      <c r="T2132" s="4">
        <v>21</v>
      </c>
      <c r="U2132" s="5" t="s">
        <v>18061</v>
      </c>
      <c r="V2132" s="5" t="s">
        <v>18061</v>
      </c>
      <c r="W2132" s="5" t="s">
        <v>69</v>
      </c>
      <c r="X2132" s="5" t="s">
        <v>69</v>
      </c>
      <c r="Y2132" s="4">
        <v>97</v>
      </c>
      <c r="Z2132" s="4">
        <v>20</v>
      </c>
      <c r="AA2132" s="4">
        <v>216</v>
      </c>
      <c r="AB2132" s="4">
        <v>1</v>
      </c>
      <c r="AC2132" s="4">
        <v>24</v>
      </c>
      <c r="AD2132" s="4">
        <v>30</v>
      </c>
      <c r="AE2132" s="4">
        <v>169</v>
      </c>
      <c r="AF2132" s="4">
        <v>0</v>
      </c>
      <c r="AG2132" s="4">
        <v>8</v>
      </c>
      <c r="AH2132" s="4">
        <v>25</v>
      </c>
      <c r="AI2132" s="4">
        <v>117</v>
      </c>
      <c r="AJ2132" s="4">
        <v>4</v>
      </c>
      <c r="AK2132" s="4">
        <v>29</v>
      </c>
      <c r="AL2132" s="4">
        <v>22</v>
      </c>
      <c r="AM2132" s="4">
        <v>64</v>
      </c>
      <c r="AN2132" s="4">
        <v>0</v>
      </c>
      <c r="AO2132" s="4">
        <v>23</v>
      </c>
      <c r="AP2132" s="4">
        <v>8</v>
      </c>
      <c r="AQ2132" s="4">
        <v>56</v>
      </c>
      <c r="AR2132" s="3" t="s">
        <v>63</v>
      </c>
      <c r="AS2132" s="3" t="s">
        <v>63</v>
      </c>
      <c r="AT2132" s="3" t="s">
        <v>63</v>
      </c>
      <c r="AV2132" s="6" t="str">
        <f>HYPERLINK("http://mcgill.on.worldcat.org/oclc/60512859","Catalog Record")</f>
        <v>Catalog Record</v>
      </c>
      <c r="AW2132" s="6" t="str">
        <f>HYPERLINK("http://www.worldcat.org/oclc/60512859","WorldCat Record")</f>
        <v>WorldCat Record</v>
      </c>
      <c r="AX2132" s="3" t="s">
        <v>18002</v>
      </c>
      <c r="AY2132" s="3" t="s">
        <v>18062</v>
      </c>
      <c r="AZ2132" s="3" t="s">
        <v>18063</v>
      </c>
      <c r="BA2132" s="3" t="s">
        <v>18063</v>
      </c>
      <c r="BB2132" s="3" t="s">
        <v>18064</v>
      </c>
      <c r="BC2132" s="3" t="s">
        <v>82</v>
      </c>
      <c r="BD2132" s="3" t="s">
        <v>538</v>
      </c>
      <c r="BE2132" s="3" t="s">
        <v>18065</v>
      </c>
      <c r="BF2132" s="3" t="s">
        <v>18064</v>
      </c>
      <c r="BG2132" s="3" t="s">
        <v>18066</v>
      </c>
    </row>
    <row r="2133" spans="1:59" ht="60" x14ac:dyDescent="0.25">
      <c r="A2133" s="2" t="s">
        <v>59</v>
      </c>
      <c r="B2133" s="2" t="s">
        <v>60</v>
      </c>
      <c r="C2133" s="2" t="s">
        <v>18067</v>
      </c>
      <c r="D2133" s="2" t="s">
        <v>18068</v>
      </c>
      <c r="E2133" s="2" t="s">
        <v>18069</v>
      </c>
      <c r="G2133" s="3" t="s">
        <v>63</v>
      </c>
      <c r="I2133" s="3" t="s">
        <v>63</v>
      </c>
      <c r="J2133" s="3" t="s">
        <v>62</v>
      </c>
      <c r="K2133" s="3" t="s">
        <v>64</v>
      </c>
      <c r="L2133" s="2" t="s">
        <v>16849</v>
      </c>
      <c r="M2133" s="2" t="s">
        <v>18070</v>
      </c>
      <c r="N2133" s="3" t="s">
        <v>261</v>
      </c>
      <c r="P2133" s="3" t="s">
        <v>66</v>
      </c>
      <c r="R2133" s="3" t="s">
        <v>67</v>
      </c>
      <c r="S2133" s="4">
        <v>24</v>
      </c>
      <c r="T2133" s="4">
        <v>24</v>
      </c>
      <c r="U2133" s="5" t="s">
        <v>18071</v>
      </c>
      <c r="V2133" s="5" t="s">
        <v>18071</v>
      </c>
      <c r="W2133" s="5" t="s">
        <v>69</v>
      </c>
      <c r="X2133" s="5" t="s">
        <v>69</v>
      </c>
      <c r="Y2133" s="4">
        <v>72</v>
      </c>
      <c r="Z2133" s="4">
        <v>5</v>
      </c>
      <c r="AA2133" s="4">
        <v>104</v>
      </c>
      <c r="AB2133" s="4">
        <v>1</v>
      </c>
      <c r="AC2133" s="4">
        <v>15</v>
      </c>
      <c r="AD2133" s="4">
        <v>14</v>
      </c>
      <c r="AE2133" s="4">
        <v>150</v>
      </c>
      <c r="AF2133" s="4">
        <v>0</v>
      </c>
      <c r="AG2133" s="4">
        <v>8</v>
      </c>
      <c r="AH2133" s="4">
        <v>14</v>
      </c>
      <c r="AI2133" s="4">
        <v>109</v>
      </c>
      <c r="AJ2133" s="4">
        <v>1</v>
      </c>
      <c r="AK2133" s="4">
        <v>23</v>
      </c>
      <c r="AL2133" s="4">
        <v>11</v>
      </c>
      <c r="AM2133" s="4">
        <v>60</v>
      </c>
      <c r="AN2133" s="4">
        <v>0</v>
      </c>
      <c r="AO2133" s="4">
        <v>4</v>
      </c>
      <c r="AP2133" s="4">
        <v>1</v>
      </c>
      <c r="AQ2133" s="4">
        <v>46</v>
      </c>
      <c r="AR2133" s="3" t="s">
        <v>63</v>
      </c>
      <c r="AS2133" s="3" t="s">
        <v>63</v>
      </c>
      <c r="AT2133" s="3" t="s">
        <v>63</v>
      </c>
      <c r="AV2133" s="6" t="str">
        <f>HYPERLINK("http://mcgill.on.worldcat.org/oclc/76850766","Catalog Record")</f>
        <v>Catalog Record</v>
      </c>
      <c r="AW2133" s="6" t="str">
        <f>HYPERLINK("http://www.worldcat.org/oclc/76850766","WorldCat Record")</f>
        <v>WorldCat Record</v>
      </c>
      <c r="AX2133" s="3" t="s">
        <v>18072</v>
      </c>
      <c r="AY2133" s="3" t="s">
        <v>18073</v>
      </c>
      <c r="AZ2133" s="3" t="s">
        <v>18074</v>
      </c>
      <c r="BA2133" s="3" t="s">
        <v>18074</v>
      </c>
      <c r="BB2133" s="3" t="s">
        <v>18075</v>
      </c>
      <c r="BC2133" s="3" t="s">
        <v>82</v>
      </c>
      <c r="BD2133" s="3" t="s">
        <v>70</v>
      </c>
      <c r="BE2133" s="3" t="s">
        <v>18076</v>
      </c>
      <c r="BF2133" s="3" t="s">
        <v>18075</v>
      </c>
      <c r="BG2133" s="3" t="s">
        <v>18077</v>
      </c>
    </row>
    <row r="2134" spans="1:59" ht="60" x14ac:dyDescent="0.25">
      <c r="A2134" s="2" t="s">
        <v>59</v>
      </c>
      <c r="B2134" s="2" t="s">
        <v>60</v>
      </c>
      <c r="C2134" s="2" t="s">
        <v>18067</v>
      </c>
      <c r="D2134" s="2" t="s">
        <v>18068</v>
      </c>
      <c r="E2134" s="2" t="s">
        <v>18078</v>
      </c>
      <c r="G2134" s="3" t="s">
        <v>63</v>
      </c>
      <c r="I2134" s="3" t="s">
        <v>63</v>
      </c>
      <c r="J2134" s="3" t="s">
        <v>62</v>
      </c>
      <c r="K2134" s="3" t="s">
        <v>215</v>
      </c>
      <c r="L2134" s="2" t="s">
        <v>16973</v>
      </c>
      <c r="M2134" s="2" t="s">
        <v>18079</v>
      </c>
      <c r="N2134" s="3" t="s">
        <v>261</v>
      </c>
      <c r="O2134" s="2" t="s">
        <v>590</v>
      </c>
      <c r="P2134" s="3" t="s">
        <v>66</v>
      </c>
      <c r="R2134" s="3" t="s">
        <v>67</v>
      </c>
      <c r="S2134" s="4">
        <v>30</v>
      </c>
      <c r="T2134" s="4">
        <v>30</v>
      </c>
      <c r="U2134" s="5" t="s">
        <v>6023</v>
      </c>
      <c r="V2134" s="5" t="s">
        <v>6023</v>
      </c>
      <c r="W2134" s="5" t="s">
        <v>69</v>
      </c>
      <c r="X2134" s="5" t="s">
        <v>69</v>
      </c>
      <c r="Y2134" s="4">
        <v>1048</v>
      </c>
      <c r="Z2134" s="4">
        <v>28</v>
      </c>
      <c r="AA2134" s="4">
        <v>216</v>
      </c>
      <c r="AB2134" s="4">
        <v>2</v>
      </c>
      <c r="AC2134" s="4">
        <v>24</v>
      </c>
      <c r="AD2134" s="4">
        <v>92</v>
      </c>
      <c r="AE2134" s="4">
        <v>169</v>
      </c>
      <c r="AF2134" s="4">
        <v>0</v>
      </c>
      <c r="AG2134" s="4">
        <v>8</v>
      </c>
      <c r="AH2134" s="4">
        <v>88</v>
      </c>
      <c r="AI2134" s="4">
        <v>117</v>
      </c>
      <c r="AJ2134" s="4">
        <v>8</v>
      </c>
      <c r="AK2134" s="4">
        <v>29</v>
      </c>
      <c r="AL2134" s="4">
        <v>52</v>
      </c>
      <c r="AM2134" s="4">
        <v>64</v>
      </c>
      <c r="AN2134" s="4">
        <v>0</v>
      </c>
      <c r="AO2134" s="4">
        <v>23</v>
      </c>
      <c r="AP2134" s="4">
        <v>8</v>
      </c>
      <c r="AQ2134" s="4">
        <v>56</v>
      </c>
      <c r="AR2134" s="3" t="s">
        <v>63</v>
      </c>
      <c r="AS2134" s="3" t="s">
        <v>63</v>
      </c>
      <c r="AT2134" s="3" t="s">
        <v>63</v>
      </c>
      <c r="AV2134" s="6" t="str">
        <f>HYPERLINK("http://mcgill.on.worldcat.org/oclc/123232464","Catalog Record")</f>
        <v>Catalog Record</v>
      </c>
      <c r="AW2134" s="6" t="str">
        <f>HYPERLINK("http://www.worldcat.org/oclc/123232464","WorldCat Record")</f>
        <v>WorldCat Record</v>
      </c>
      <c r="AX2134" s="3" t="s">
        <v>18002</v>
      </c>
      <c r="AY2134" s="3" t="s">
        <v>18080</v>
      </c>
      <c r="AZ2134" s="3" t="s">
        <v>18081</v>
      </c>
      <c r="BA2134" s="3" t="s">
        <v>18081</v>
      </c>
      <c r="BB2134" s="3" t="s">
        <v>18082</v>
      </c>
      <c r="BC2134" s="3" t="s">
        <v>82</v>
      </c>
      <c r="BD2134" s="3" t="s">
        <v>70</v>
      </c>
      <c r="BE2134" s="3" t="s">
        <v>18083</v>
      </c>
      <c r="BF2134" s="3" t="s">
        <v>18082</v>
      </c>
      <c r="BG2134" s="3" t="s">
        <v>18084</v>
      </c>
    </row>
    <row r="2135" spans="1:59" ht="60" x14ac:dyDescent="0.25">
      <c r="A2135" s="2" t="s">
        <v>59</v>
      </c>
      <c r="B2135" s="2" t="s">
        <v>60</v>
      </c>
      <c r="C2135" s="2" t="s">
        <v>18085</v>
      </c>
      <c r="D2135" s="2" t="s">
        <v>18086</v>
      </c>
      <c r="E2135" s="2" t="s">
        <v>18087</v>
      </c>
      <c r="G2135" s="3" t="s">
        <v>63</v>
      </c>
      <c r="I2135" s="3" t="s">
        <v>63</v>
      </c>
      <c r="J2135" s="3" t="s">
        <v>62</v>
      </c>
      <c r="K2135" s="3" t="s">
        <v>215</v>
      </c>
      <c r="L2135" s="2" t="s">
        <v>16849</v>
      </c>
      <c r="M2135" s="2" t="s">
        <v>18088</v>
      </c>
      <c r="N2135" s="3" t="s">
        <v>2459</v>
      </c>
      <c r="O2135" s="2" t="s">
        <v>18089</v>
      </c>
      <c r="P2135" s="3" t="s">
        <v>66</v>
      </c>
      <c r="Q2135" s="2" t="s">
        <v>18090</v>
      </c>
      <c r="R2135" s="3" t="s">
        <v>67</v>
      </c>
      <c r="S2135" s="4">
        <v>30</v>
      </c>
      <c r="T2135" s="4">
        <v>30</v>
      </c>
      <c r="U2135" s="5" t="s">
        <v>732</v>
      </c>
      <c r="V2135" s="5" t="s">
        <v>732</v>
      </c>
      <c r="W2135" s="5" t="s">
        <v>69</v>
      </c>
      <c r="X2135" s="5" t="s">
        <v>69</v>
      </c>
      <c r="Y2135" s="4">
        <v>443</v>
      </c>
      <c r="Z2135" s="4">
        <v>14</v>
      </c>
      <c r="AA2135" s="4">
        <v>216</v>
      </c>
      <c r="AB2135" s="4">
        <v>2</v>
      </c>
      <c r="AC2135" s="4">
        <v>24</v>
      </c>
      <c r="AD2135" s="4">
        <v>19</v>
      </c>
      <c r="AE2135" s="4">
        <v>169</v>
      </c>
      <c r="AF2135" s="4">
        <v>0</v>
      </c>
      <c r="AG2135" s="4">
        <v>8</v>
      </c>
      <c r="AH2135" s="4">
        <v>17</v>
      </c>
      <c r="AI2135" s="4">
        <v>117</v>
      </c>
      <c r="AJ2135" s="4">
        <v>1</v>
      </c>
      <c r="AK2135" s="4">
        <v>29</v>
      </c>
      <c r="AL2135" s="4">
        <v>9</v>
      </c>
      <c r="AM2135" s="4">
        <v>64</v>
      </c>
      <c r="AN2135" s="4">
        <v>0</v>
      </c>
      <c r="AO2135" s="4">
        <v>23</v>
      </c>
      <c r="AP2135" s="4">
        <v>2</v>
      </c>
      <c r="AQ2135" s="4">
        <v>56</v>
      </c>
      <c r="AR2135" s="3" t="s">
        <v>63</v>
      </c>
      <c r="AS2135" s="3" t="s">
        <v>63</v>
      </c>
      <c r="AT2135" s="3" t="s">
        <v>63</v>
      </c>
      <c r="AV2135" s="6" t="str">
        <f>HYPERLINK("http://mcgill.on.worldcat.org/oclc/229028141","Catalog Record")</f>
        <v>Catalog Record</v>
      </c>
      <c r="AW2135" s="6" t="str">
        <f>HYPERLINK("http://www.worldcat.org/oclc/229028141","WorldCat Record")</f>
        <v>WorldCat Record</v>
      </c>
      <c r="AX2135" s="3" t="s">
        <v>18002</v>
      </c>
      <c r="AY2135" s="3" t="s">
        <v>18091</v>
      </c>
      <c r="AZ2135" s="3" t="s">
        <v>18092</v>
      </c>
      <c r="BA2135" s="3" t="s">
        <v>18092</v>
      </c>
      <c r="BB2135" s="3" t="s">
        <v>18093</v>
      </c>
      <c r="BC2135" s="3" t="s">
        <v>82</v>
      </c>
      <c r="BD2135" s="3" t="s">
        <v>70</v>
      </c>
      <c r="BE2135" s="3" t="s">
        <v>18094</v>
      </c>
      <c r="BF2135" s="3" t="s">
        <v>18093</v>
      </c>
      <c r="BG2135" s="3" t="s">
        <v>18095</v>
      </c>
    </row>
    <row r="2136" spans="1:59" ht="75" x14ac:dyDescent="0.25">
      <c r="A2136" s="2" t="s">
        <v>59</v>
      </c>
      <c r="B2136" s="2" t="s">
        <v>60</v>
      </c>
      <c r="C2136" s="2" t="s">
        <v>18096</v>
      </c>
      <c r="D2136" s="2" t="s">
        <v>18097</v>
      </c>
      <c r="E2136" s="2" t="s">
        <v>18098</v>
      </c>
      <c r="G2136" s="3" t="s">
        <v>63</v>
      </c>
      <c r="I2136" s="3" t="s">
        <v>63</v>
      </c>
      <c r="J2136" s="3" t="s">
        <v>63</v>
      </c>
      <c r="K2136" s="3" t="s">
        <v>64</v>
      </c>
      <c r="L2136" s="2" t="s">
        <v>16849</v>
      </c>
      <c r="M2136" s="2" t="s">
        <v>18099</v>
      </c>
      <c r="N2136" s="3" t="s">
        <v>313</v>
      </c>
      <c r="P2136" s="3" t="s">
        <v>66</v>
      </c>
      <c r="Q2136" s="2" t="s">
        <v>327</v>
      </c>
      <c r="R2136" s="3" t="s">
        <v>67</v>
      </c>
      <c r="S2136" s="4">
        <v>15</v>
      </c>
      <c r="T2136" s="4">
        <v>15</v>
      </c>
      <c r="U2136" s="5" t="s">
        <v>18100</v>
      </c>
      <c r="V2136" s="5" t="s">
        <v>18100</v>
      </c>
      <c r="W2136" s="5" t="s">
        <v>69</v>
      </c>
      <c r="X2136" s="5" t="s">
        <v>69</v>
      </c>
      <c r="Y2136" s="4">
        <v>225</v>
      </c>
      <c r="Z2136" s="4">
        <v>10</v>
      </c>
      <c r="AA2136" s="4">
        <v>109</v>
      </c>
      <c r="AB2136" s="4">
        <v>1</v>
      </c>
      <c r="AC2136" s="4">
        <v>17</v>
      </c>
      <c r="AD2136" s="4">
        <v>19</v>
      </c>
      <c r="AE2136" s="4">
        <v>121</v>
      </c>
      <c r="AF2136" s="4">
        <v>0</v>
      </c>
      <c r="AG2136" s="4">
        <v>8</v>
      </c>
      <c r="AH2136" s="4">
        <v>18</v>
      </c>
      <c r="AI2136" s="4">
        <v>86</v>
      </c>
      <c r="AJ2136" s="4">
        <v>2</v>
      </c>
      <c r="AK2136" s="4">
        <v>18</v>
      </c>
      <c r="AL2136" s="4">
        <v>11</v>
      </c>
      <c r="AM2136" s="4">
        <v>49</v>
      </c>
      <c r="AN2136" s="4">
        <v>0</v>
      </c>
      <c r="AO2136" s="4">
        <v>0</v>
      </c>
      <c r="AP2136" s="4">
        <v>2</v>
      </c>
      <c r="AQ2136" s="4">
        <v>41</v>
      </c>
      <c r="AR2136" s="3" t="s">
        <v>63</v>
      </c>
      <c r="AS2136" s="3" t="s">
        <v>63</v>
      </c>
      <c r="AT2136" s="3" t="s">
        <v>63</v>
      </c>
      <c r="AV2136" s="6" t="str">
        <f>HYPERLINK("http://mcgill.on.worldcat.org/oclc/606774446","Catalog Record")</f>
        <v>Catalog Record</v>
      </c>
      <c r="AW2136" s="6" t="str">
        <f>HYPERLINK("http://www.worldcat.org/oclc/606774446","WorldCat Record")</f>
        <v>WorldCat Record</v>
      </c>
      <c r="AX2136" s="3" t="s">
        <v>18101</v>
      </c>
      <c r="AY2136" s="3" t="s">
        <v>18102</v>
      </c>
      <c r="AZ2136" s="3" t="s">
        <v>18103</v>
      </c>
      <c r="BA2136" s="3" t="s">
        <v>18103</v>
      </c>
      <c r="BB2136" s="3" t="s">
        <v>18104</v>
      </c>
      <c r="BC2136" s="3" t="s">
        <v>82</v>
      </c>
      <c r="BD2136" s="3" t="s">
        <v>538</v>
      </c>
      <c r="BE2136" s="3" t="s">
        <v>18105</v>
      </c>
      <c r="BF2136" s="3" t="s">
        <v>18104</v>
      </c>
      <c r="BG2136" s="3" t="s">
        <v>18106</v>
      </c>
    </row>
    <row r="2137" spans="1:59" ht="60" x14ac:dyDescent="0.25">
      <c r="A2137" s="2" t="s">
        <v>59</v>
      </c>
      <c r="B2137" s="2" t="s">
        <v>60</v>
      </c>
      <c r="C2137" s="2" t="s">
        <v>18107</v>
      </c>
      <c r="D2137" s="2" t="s">
        <v>18108</v>
      </c>
      <c r="E2137" s="2" t="s">
        <v>18109</v>
      </c>
      <c r="G2137" s="3" t="s">
        <v>63</v>
      </c>
      <c r="I2137" s="3" t="s">
        <v>63</v>
      </c>
      <c r="J2137" s="3" t="s">
        <v>62</v>
      </c>
      <c r="K2137" s="3" t="s">
        <v>215</v>
      </c>
      <c r="L2137" s="2" t="s">
        <v>16849</v>
      </c>
      <c r="M2137" s="2" t="s">
        <v>18110</v>
      </c>
      <c r="N2137" s="3" t="s">
        <v>837</v>
      </c>
      <c r="P2137" s="3" t="s">
        <v>66</v>
      </c>
      <c r="Q2137" s="2" t="s">
        <v>18111</v>
      </c>
      <c r="R2137" s="3" t="s">
        <v>67</v>
      </c>
      <c r="S2137" s="4">
        <v>6</v>
      </c>
      <c r="T2137" s="4">
        <v>6</v>
      </c>
      <c r="U2137" s="5" t="s">
        <v>12201</v>
      </c>
      <c r="V2137" s="5" t="s">
        <v>12201</v>
      </c>
      <c r="W2137" s="5" t="s">
        <v>69</v>
      </c>
      <c r="X2137" s="5" t="s">
        <v>69</v>
      </c>
      <c r="Y2137" s="4">
        <v>101</v>
      </c>
      <c r="Z2137" s="4">
        <v>8</v>
      </c>
      <c r="AA2137" s="4">
        <v>183</v>
      </c>
      <c r="AB2137" s="4">
        <v>1</v>
      </c>
      <c r="AC2137" s="4">
        <v>27</v>
      </c>
      <c r="AD2137" s="4">
        <v>22</v>
      </c>
      <c r="AE2137" s="4">
        <v>167</v>
      </c>
      <c r="AF2137" s="4">
        <v>0</v>
      </c>
      <c r="AG2137" s="4">
        <v>9</v>
      </c>
      <c r="AH2137" s="4">
        <v>17</v>
      </c>
      <c r="AI2137" s="4">
        <v>117</v>
      </c>
      <c r="AJ2137" s="4">
        <v>3</v>
      </c>
      <c r="AK2137" s="4">
        <v>29</v>
      </c>
      <c r="AL2137" s="4">
        <v>10</v>
      </c>
      <c r="AM2137" s="4">
        <v>63</v>
      </c>
      <c r="AN2137" s="4">
        <v>0</v>
      </c>
      <c r="AO2137" s="4">
        <v>16</v>
      </c>
      <c r="AP2137" s="4">
        <v>6</v>
      </c>
      <c r="AQ2137" s="4">
        <v>55</v>
      </c>
      <c r="AR2137" s="3" t="s">
        <v>63</v>
      </c>
      <c r="AS2137" s="3" t="s">
        <v>63</v>
      </c>
      <c r="AT2137" s="3" t="s">
        <v>63</v>
      </c>
      <c r="AV2137" s="6" t="str">
        <f>HYPERLINK("http://mcgill.on.worldcat.org/oclc/13595765","Catalog Record")</f>
        <v>Catalog Record</v>
      </c>
      <c r="AW2137" s="6" t="str">
        <f>HYPERLINK("http://www.worldcat.org/oclc/13595765","WorldCat Record")</f>
        <v>WorldCat Record</v>
      </c>
      <c r="AX2137" s="3" t="s">
        <v>18112</v>
      </c>
      <c r="AY2137" s="3" t="s">
        <v>18113</v>
      </c>
      <c r="AZ2137" s="3" t="s">
        <v>18114</v>
      </c>
      <c r="BA2137" s="3" t="s">
        <v>18114</v>
      </c>
      <c r="BB2137" s="3" t="s">
        <v>18115</v>
      </c>
      <c r="BC2137" s="3" t="s">
        <v>82</v>
      </c>
      <c r="BD2137" s="3" t="s">
        <v>70</v>
      </c>
      <c r="BF2137" s="3" t="s">
        <v>18115</v>
      </c>
      <c r="BG2137" s="3" t="s">
        <v>18116</v>
      </c>
    </row>
    <row r="2138" spans="1:59" ht="60" x14ac:dyDescent="0.25">
      <c r="A2138" s="2" t="s">
        <v>59</v>
      </c>
      <c r="B2138" s="2" t="s">
        <v>60</v>
      </c>
      <c r="C2138" s="2" t="s">
        <v>18117</v>
      </c>
      <c r="D2138" s="2" t="s">
        <v>18118</v>
      </c>
      <c r="E2138" s="2" t="s">
        <v>18119</v>
      </c>
      <c r="G2138" s="3" t="s">
        <v>63</v>
      </c>
      <c r="I2138" s="3" t="s">
        <v>63</v>
      </c>
      <c r="J2138" s="3" t="s">
        <v>62</v>
      </c>
      <c r="K2138" s="3" t="s">
        <v>215</v>
      </c>
      <c r="L2138" s="2" t="s">
        <v>16849</v>
      </c>
      <c r="M2138" s="2" t="s">
        <v>18120</v>
      </c>
      <c r="N2138" s="3" t="s">
        <v>401</v>
      </c>
      <c r="P2138" s="3" t="s">
        <v>66</v>
      </c>
      <c r="Q2138" s="2" t="s">
        <v>18121</v>
      </c>
      <c r="R2138" s="3" t="s">
        <v>67</v>
      </c>
      <c r="S2138" s="4">
        <v>28</v>
      </c>
      <c r="T2138" s="4">
        <v>28</v>
      </c>
      <c r="U2138" s="5" t="s">
        <v>6849</v>
      </c>
      <c r="V2138" s="5" t="s">
        <v>6849</v>
      </c>
      <c r="W2138" s="5" t="s">
        <v>69</v>
      </c>
      <c r="X2138" s="5" t="s">
        <v>69</v>
      </c>
      <c r="Y2138" s="4">
        <v>272</v>
      </c>
      <c r="Z2138" s="4">
        <v>16</v>
      </c>
      <c r="AA2138" s="4">
        <v>183</v>
      </c>
      <c r="AB2138" s="4">
        <v>1</v>
      </c>
      <c r="AC2138" s="4">
        <v>27</v>
      </c>
      <c r="AD2138" s="4">
        <v>30</v>
      </c>
      <c r="AE2138" s="4">
        <v>167</v>
      </c>
      <c r="AF2138" s="4">
        <v>0</v>
      </c>
      <c r="AG2138" s="4">
        <v>9</v>
      </c>
      <c r="AH2138" s="4">
        <v>27</v>
      </c>
      <c r="AI2138" s="4">
        <v>117</v>
      </c>
      <c r="AJ2138" s="4">
        <v>5</v>
      </c>
      <c r="AK2138" s="4">
        <v>29</v>
      </c>
      <c r="AL2138" s="4">
        <v>14</v>
      </c>
      <c r="AM2138" s="4">
        <v>63</v>
      </c>
      <c r="AN2138" s="4">
        <v>0</v>
      </c>
      <c r="AO2138" s="4">
        <v>16</v>
      </c>
      <c r="AP2138" s="4">
        <v>5</v>
      </c>
      <c r="AQ2138" s="4">
        <v>55</v>
      </c>
      <c r="AR2138" s="3" t="s">
        <v>63</v>
      </c>
      <c r="AS2138" s="3" t="s">
        <v>63</v>
      </c>
      <c r="AT2138" s="3" t="s">
        <v>63</v>
      </c>
      <c r="AV2138" s="6" t="str">
        <f>HYPERLINK("http://mcgill.on.worldcat.org/oclc/9378919","Catalog Record")</f>
        <v>Catalog Record</v>
      </c>
      <c r="AW2138" s="6" t="str">
        <f>HYPERLINK("http://www.worldcat.org/oclc/9378919","WorldCat Record")</f>
        <v>WorldCat Record</v>
      </c>
      <c r="AX2138" s="3" t="s">
        <v>18112</v>
      </c>
      <c r="AY2138" s="3" t="s">
        <v>18122</v>
      </c>
      <c r="AZ2138" s="3" t="s">
        <v>18123</v>
      </c>
      <c r="BA2138" s="3" t="s">
        <v>18123</v>
      </c>
      <c r="BB2138" s="3" t="s">
        <v>18124</v>
      </c>
      <c r="BC2138" s="3" t="s">
        <v>82</v>
      </c>
      <c r="BD2138" s="3" t="s">
        <v>70</v>
      </c>
      <c r="BE2138" s="3" t="s">
        <v>18125</v>
      </c>
      <c r="BF2138" s="3" t="s">
        <v>18124</v>
      </c>
      <c r="BG2138" s="3" t="s">
        <v>18126</v>
      </c>
    </row>
    <row r="2139" spans="1:59" ht="60" x14ac:dyDescent="0.25">
      <c r="A2139" s="2" t="s">
        <v>59</v>
      </c>
      <c r="B2139" s="2" t="s">
        <v>60</v>
      </c>
      <c r="C2139" s="2" t="s">
        <v>18127</v>
      </c>
      <c r="D2139" s="2" t="s">
        <v>18128</v>
      </c>
      <c r="E2139" s="2" t="s">
        <v>18129</v>
      </c>
      <c r="G2139" s="3" t="s">
        <v>63</v>
      </c>
      <c r="I2139" s="3" t="s">
        <v>63</v>
      </c>
      <c r="J2139" s="3" t="s">
        <v>62</v>
      </c>
      <c r="K2139" s="3" t="s">
        <v>215</v>
      </c>
      <c r="L2139" s="2" t="s">
        <v>16973</v>
      </c>
      <c r="M2139" s="2" t="s">
        <v>8784</v>
      </c>
      <c r="N2139" s="3" t="s">
        <v>1023</v>
      </c>
      <c r="P2139" s="3" t="s">
        <v>66</v>
      </c>
      <c r="Q2139" s="2" t="s">
        <v>11721</v>
      </c>
      <c r="R2139" s="3" t="s">
        <v>67</v>
      </c>
      <c r="S2139" s="4">
        <v>25</v>
      </c>
      <c r="T2139" s="4">
        <v>25</v>
      </c>
      <c r="U2139" s="5" t="s">
        <v>17804</v>
      </c>
      <c r="V2139" s="5" t="s">
        <v>17804</v>
      </c>
      <c r="W2139" s="5" t="s">
        <v>69</v>
      </c>
      <c r="X2139" s="5" t="s">
        <v>69</v>
      </c>
      <c r="Y2139" s="4">
        <v>195</v>
      </c>
      <c r="Z2139" s="4">
        <v>10</v>
      </c>
      <c r="AA2139" s="4">
        <v>183</v>
      </c>
      <c r="AB2139" s="4">
        <v>1</v>
      </c>
      <c r="AC2139" s="4">
        <v>27</v>
      </c>
      <c r="AD2139" s="4">
        <v>42</v>
      </c>
      <c r="AE2139" s="4">
        <v>167</v>
      </c>
      <c r="AF2139" s="4">
        <v>0</v>
      </c>
      <c r="AG2139" s="4">
        <v>9</v>
      </c>
      <c r="AH2139" s="4">
        <v>38</v>
      </c>
      <c r="AI2139" s="4">
        <v>117</v>
      </c>
      <c r="AJ2139" s="4">
        <v>5</v>
      </c>
      <c r="AK2139" s="4">
        <v>29</v>
      </c>
      <c r="AL2139" s="4">
        <v>22</v>
      </c>
      <c r="AM2139" s="4">
        <v>63</v>
      </c>
      <c r="AN2139" s="4">
        <v>0</v>
      </c>
      <c r="AO2139" s="4">
        <v>16</v>
      </c>
      <c r="AP2139" s="4">
        <v>6</v>
      </c>
      <c r="AQ2139" s="4">
        <v>55</v>
      </c>
      <c r="AR2139" s="3" t="s">
        <v>63</v>
      </c>
      <c r="AS2139" s="3" t="s">
        <v>63</v>
      </c>
      <c r="AT2139" s="3" t="s">
        <v>63</v>
      </c>
      <c r="AV2139" s="6" t="str">
        <f>HYPERLINK("http://mcgill.on.worldcat.org/oclc/28016249","Catalog Record")</f>
        <v>Catalog Record</v>
      </c>
      <c r="AW2139" s="6" t="str">
        <f>HYPERLINK("http://www.worldcat.org/oclc/28016249","WorldCat Record")</f>
        <v>WorldCat Record</v>
      </c>
      <c r="AX2139" s="3" t="s">
        <v>18112</v>
      </c>
      <c r="AY2139" s="3" t="s">
        <v>18130</v>
      </c>
      <c r="AZ2139" s="3" t="s">
        <v>18131</v>
      </c>
      <c r="BA2139" s="3" t="s">
        <v>18131</v>
      </c>
      <c r="BB2139" s="3" t="s">
        <v>18132</v>
      </c>
      <c r="BC2139" s="3" t="s">
        <v>82</v>
      </c>
      <c r="BD2139" s="3" t="s">
        <v>70</v>
      </c>
      <c r="BE2139" s="3" t="s">
        <v>18133</v>
      </c>
      <c r="BF2139" s="3" t="s">
        <v>18132</v>
      </c>
      <c r="BG2139" s="3" t="s">
        <v>18134</v>
      </c>
    </row>
    <row r="2140" spans="1:59" ht="60" x14ac:dyDescent="0.25">
      <c r="A2140" s="2" t="s">
        <v>59</v>
      </c>
      <c r="B2140" s="2" t="s">
        <v>60</v>
      </c>
      <c r="C2140" s="2" t="s">
        <v>18135</v>
      </c>
      <c r="D2140" s="2" t="s">
        <v>18136</v>
      </c>
      <c r="E2140" s="2" t="s">
        <v>18137</v>
      </c>
      <c r="G2140" s="3" t="s">
        <v>63</v>
      </c>
      <c r="I2140" s="3" t="s">
        <v>63</v>
      </c>
      <c r="J2140" s="3" t="s">
        <v>62</v>
      </c>
      <c r="K2140" s="3" t="s">
        <v>215</v>
      </c>
      <c r="L2140" s="2" t="s">
        <v>16973</v>
      </c>
      <c r="M2140" s="2" t="s">
        <v>18138</v>
      </c>
      <c r="N2140" s="3" t="s">
        <v>326</v>
      </c>
      <c r="P2140" s="3" t="s">
        <v>66</v>
      </c>
      <c r="Q2140" s="2" t="s">
        <v>9341</v>
      </c>
      <c r="R2140" s="3" t="s">
        <v>67</v>
      </c>
      <c r="S2140" s="4">
        <v>11</v>
      </c>
      <c r="T2140" s="4">
        <v>11</v>
      </c>
      <c r="U2140" s="5" t="s">
        <v>16858</v>
      </c>
      <c r="V2140" s="5" t="s">
        <v>16858</v>
      </c>
      <c r="W2140" s="5" t="s">
        <v>69</v>
      </c>
      <c r="X2140" s="5" t="s">
        <v>69</v>
      </c>
      <c r="Y2140" s="4">
        <v>279</v>
      </c>
      <c r="Z2140" s="4">
        <v>16</v>
      </c>
      <c r="AA2140" s="4">
        <v>183</v>
      </c>
      <c r="AB2140" s="4">
        <v>3</v>
      </c>
      <c r="AC2140" s="4">
        <v>27</v>
      </c>
      <c r="AD2140" s="4">
        <v>55</v>
      </c>
      <c r="AE2140" s="4">
        <v>167</v>
      </c>
      <c r="AF2140" s="4">
        <v>0</v>
      </c>
      <c r="AG2140" s="4">
        <v>9</v>
      </c>
      <c r="AH2140" s="4">
        <v>53</v>
      </c>
      <c r="AI2140" s="4">
        <v>117</v>
      </c>
      <c r="AJ2140" s="4">
        <v>6</v>
      </c>
      <c r="AK2140" s="4">
        <v>29</v>
      </c>
      <c r="AL2140" s="4">
        <v>34</v>
      </c>
      <c r="AM2140" s="4">
        <v>63</v>
      </c>
      <c r="AN2140" s="4">
        <v>0</v>
      </c>
      <c r="AO2140" s="4">
        <v>16</v>
      </c>
      <c r="AP2140" s="4">
        <v>6</v>
      </c>
      <c r="AQ2140" s="4">
        <v>55</v>
      </c>
      <c r="AR2140" s="3" t="s">
        <v>63</v>
      </c>
      <c r="AS2140" s="3" t="s">
        <v>63</v>
      </c>
      <c r="AT2140" s="3" t="s">
        <v>63</v>
      </c>
      <c r="AV2140" s="6" t="str">
        <f>HYPERLINK("http://mcgill.on.worldcat.org/oclc/359673676","Catalog Record")</f>
        <v>Catalog Record</v>
      </c>
      <c r="AW2140" s="6" t="str">
        <f>HYPERLINK("http://www.worldcat.org/oclc/359673676","WorldCat Record")</f>
        <v>WorldCat Record</v>
      </c>
      <c r="AX2140" s="3" t="s">
        <v>18112</v>
      </c>
      <c r="AY2140" s="3" t="s">
        <v>18139</v>
      </c>
      <c r="AZ2140" s="3" t="s">
        <v>18140</v>
      </c>
      <c r="BA2140" s="3" t="s">
        <v>18140</v>
      </c>
      <c r="BB2140" s="3" t="s">
        <v>18141</v>
      </c>
      <c r="BC2140" s="3" t="s">
        <v>82</v>
      </c>
      <c r="BD2140" s="3" t="s">
        <v>70</v>
      </c>
      <c r="BE2140" s="3" t="s">
        <v>18142</v>
      </c>
      <c r="BF2140" s="3" t="s">
        <v>18141</v>
      </c>
      <c r="BG2140" s="3" t="s">
        <v>18143</v>
      </c>
    </row>
    <row r="2141" spans="1:59" ht="60" x14ac:dyDescent="0.25">
      <c r="A2141" s="2" t="s">
        <v>59</v>
      </c>
      <c r="B2141" s="2" t="s">
        <v>60</v>
      </c>
      <c r="C2141" s="2" t="s">
        <v>17856</v>
      </c>
      <c r="D2141" s="2" t="s">
        <v>17845</v>
      </c>
      <c r="E2141" s="2" t="s">
        <v>17846</v>
      </c>
      <c r="G2141" s="3" t="s">
        <v>63</v>
      </c>
      <c r="I2141" s="3" t="s">
        <v>62</v>
      </c>
      <c r="J2141" s="3" t="s">
        <v>63</v>
      </c>
      <c r="K2141" s="3" t="s">
        <v>64</v>
      </c>
      <c r="L2141" s="2" t="s">
        <v>16849</v>
      </c>
      <c r="M2141" s="2" t="s">
        <v>17848</v>
      </c>
      <c r="N2141" s="3" t="s">
        <v>9114</v>
      </c>
      <c r="P2141" s="3" t="s">
        <v>548</v>
      </c>
      <c r="Q2141" s="2" t="s">
        <v>17849</v>
      </c>
      <c r="R2141" s="3" t="s">
        <v>67</v>
      </c>
      <c r="S2141" s="4">
        <v>13</v>
      </c>
      <c r="T2141" s="4">
        <v>20</v>
      </c>
      <c r="U2141" s="5" t="s">
        <v>17857</v>
      </c>
      <c r="V2141" s="5" t="s">
        <v>4887</v>
      </c>
      <c r="W2141" s="5" t="s">
        <v>69</v>
      </c>
      <c r="X2141" s="5" t="s">
        <v>69</v>
      </c>
      <c r="Y2141" s="4">
        <v>1</v>
      </c>
      <c r="Z2141" s="4">
        <v>1</v>
      </c>
      <c r="AA2141" s="4">
        <v>12</v>
      </c>
      <c r="AB2141" s="4">
        <v>1</v>
      </c>
      <c r="AC2141" s="4">
        <v>5</v>
      </c>
      <c r="AD2141" s="4">
        <v>0</v>
      </c>
      <c r="AE2141" s="4">
        <v>28</v>
      </c>
      <c r="AF2141" s="4">
        <v>0</v>
      </c>
      <c r="AG2141" s="4">
        <v>2</v>
      </c>
      <c r="AH2141" s="4">
        <v>0</v>
      </c>
      <c r="AI2141" s="4">
        <v>23</v>
      </c>
      <c r="AJ2141" s="4">
        <v>0</v>
      </c>
      <c r="AK2141" s="4">
        <v>6</v>
      </c>
      <c r="AL2141" s="4">
        <v>0</v>
      </c>
      <c r="AM2141" s="4">
        <v>15</v>
      </c>
      <c r="AN2141" s="4">
        <v>0</v>
      </c>
      <c r="AO2141" s="4">
        <v>0</v>
      </c>
      <c r="AP2141" s="4">
        <v>0</v>
      </c>
      <c r="AQ2141" s="4">
        <v>6</v>
      </c>
      <c r="AR2141" s="3" t="s">
        <v>63</v>
      </c>
      <c r="AS2141" s="3" t="s">
        <v>63</v>
      </c>
      <c r="AT2141" s="3" t="s">
        <v>63</v>
      </c>
      <c r="AV2141" s="6" t="str">
        <f>HYPERLINK("http://mcgill.on.worldcat.org/oclc/86048026","Catalog Record")</f>
        <v>Catalog Record</v>
      </c>
      <c r="AW2141" s="6" t="str">
        <f>HYPERLINK("http://www.worldcat.org/oclc/86048026","WorldCat Record")</f>
        <v>WorldCat Record</v>
      </c>
      <c r="AX2141" s="3" t="s">
        <v>17850</v>
      </c>
      <c r="AY2141" s="3" t="s">
        <v>17851</v>
      </c>
      <c r="AZ2141" s="3" t="s">
        <v>17852</v>
      </c>
      <c r="BA2141" s="3" t="s">
        <v>17852</v>
      </c>
      <c r="BB2141" s="3" t="s">
        <v>17858</v>
      </c>
      <c r="BC2141" s="3" t="s">
        <v>82</v>
      </c>
      <c r="BD2141" s="3" t="s">
        <v>70</v>
      </c>
      <c r="BE2141" s="3" t="s">
        <v>17854</v>
      </c>
      <c r="BF2141" s="3" t="s">
        <v>17858</v>
      </c>
      <c r="BG2141" s="3" t="s">
        <v>17859</v>
      </c>
    </row>
    <row r="2142" spans="1:59" ht="60" x14ac:dyDescent="0.25">
      <c r="A2142" s="2" t="s">
        <v>59</v>
      </c>
      <c r="B2142" s="2" t="s">
        <v>60</v>
      </c>
      <c r="C2142" s="2" t="s">
        <v>18144</v>
      </c>
      <c r="D2142" s="2" t="s">
        <v>18145</v>
      </c>
      <c r="E2142" s="2" t="s">
        <v>18146</v>
      </c>
      <c r="G2142" s="3" t="s">
        <v>63</v>
      </c>
      <c r="I2142" s="3" t="s">
        <v>63</v>
      </c>
      <c r="J2142" s="3" t="s">
        <v>63</v>
      </c>
      <c r="K2142" s="3" t="s">
        <v>64</v>
      </c>
      <c r="L2142" s="2" t="s">
        <v>16849</v>
      </c>
      <c r="M2142" s="2" t="s">
        <v>18147</v>
      </c>
      <c r="N2142" s="3" t="s">
        <v>18148</v>
      </c>
      <c r="P2142" s="3" t="s">
        <v>548</v>
      </c>
      <c r="R2142" s="3" t="s">
        <v>67</v>
      </c>
      <c r="S2142" s="4">
        <v>1</v>
      </c>
      <c r="T2142" s="4">
        <v>1</v>
      </c>
      <c r="U2142" s="5" t="s">
        <v>18149</v>
      </c>
      <c r="V2142" s="5" t="s">
        <v>18149</v>
      </c>
      <c r="W2142" s="5" t="s">
        <v>69</v>
      </c>
      <c r="X2142" s="5" t="s">
        <v>69</v>
      </c>
      <c r="Y2142" s="4">
        <v>19</v>
      </c>
      <c r="Z2142" s="4">
        <v>1</v>
      </c>
      <c r="AA2142" s="4">
        <v>1</v>
      </c>
      <c r="AB2142" s="4">
        <v>1</v>
      </c>
      <c r="AC2142" s="4">
        <v>1</v>
      </c>
      <c r="AD2142" s="4">
        <v>8</v>
      </c>
      <c r="AE2142" s="4">
        <v>13</v>
      </c>
      <c r="AF2142" s="4">
        <v>0</v>
      </c>
      <c r="AG2142" s="4">
        <v>0</v>
      </c>
      <c r="AH2142" s="4">
        <v>7</v>
      </c>
      <c r="AI2142" s="4">
        <v>12</v>
      </c>
      <c r="AJ2142" s="4">
        <v>0</v>
      </c>
      <c r="AK2142" s="4">
        <v>0</v>
      </c>
      <c r="AL2142" s="4">
        <v>6</v>
      </c>
      <c r="AM2142" s="4">
        <v>8</v>
      </c>
      <c r="AN2142" s="4">
        <v>0</v>
      </c>
      <c r="AO2142" s="4">
        <v>0</v>
      </c>
      <c r="AP2142" s="4">
        <v>0</v>
      </c>
      <c r="AQ2142" s="4">
        <v>0</v>
      </c>
      <c r="AR2142" s="3" t="s">
        <v>63</v>
      </c>
      <c r="AS2142" s="3" t="s">
        <v>63</v>
      </c>
      <c r="AT2142" s="3" t="s">
        <v>63</v>
      </c>
      <c r="AU2142" s="6" t="str">
        <f>HYPERLINK("http://catalog.hathitrust.org/Record/100507047","HathiTrust Record")</f>
        <v>HathiTrust Record</v>
      </c>
      <c r="AV2142" s="6" t="str">
        <f>HYPERLINK("http://mcgill.on.worldcat.org/oclc/2404160","Catalog Record")</f>
        <v>Catalog Record</v>
      </c>
      <c r="AW2142" s="6" t="str">
        <f>HYPERLINK("http://www.worldcat.org/oclc/2404160","WorldCat Record")</f>
        <v>WorldCat Record</v>
      </c>
      <c r="AX2142" s="3" t="s">
        <v>18150</v>
      </c>
      <c r="AY2142" s="3" t="s">
        <v>18151</v>
      </c>
      <c r="AZ2142" s="3" t="s">
        <v>18152</v>
      </c>
      <c r="BA2142" s="3" t="s">
        <v>18152</v>
      </c>
      <c r="BB2142" s="3" t="s">
        <v>18153</v>
      </c>
      <c r="BC2142" s="3" t="s">
        <v>82</v>
      </c>
      <c r="BD2142" s="3" t="s">
        <v>70</v>
      </c>
      <c r="BF2142" s="3" t="s">
        <v>18153</v>
      </c>
      <c r="BG2142" s="3" t="s">
        <v>18154</v>
      </c>
    </row>
    <row r="2143" spans="1:59" ht="60" x14ac:dyDescent="0.25">
      <c r="A2143" s="2" t="s">
        <v>59</v>
      </c>
      <c r="B2143" s="2" t="s">
        <v>60</v>
      </c>
      <c r="C2143" s="2" t="s">
        <v>18155</v>
      </c>
      <c r="D2143" s="2" t="s">
        <v>18156</v>
      </c>
      <c r="E2143" s="2" t="s">
        <v>18157</v>
      </c>
      <c r="G2143" s="3" t="s">
        <v>63</v>
      </c>
      <c r="I2143" s="3" t="s">
        <v>63</v>
      </c>
      <c r="J2143" s="3" t="s">
        <v>63</v>
      </c>
      <c r="K2143" s="3" t="s">
        <v>64</v>
      </c>
      <c r="L2143" s="2" t="s">
        <v>16849</v>
      </c>
      <c r="M2143" s="2" t="s">
        <v>18158</v>
      </c>
      <c r="N2143" s="3" t="s">
        <v>18159</v>
      </c>
      <c r="P2143" s="3" t="s">
        <v>548</v>
      </c>
      <c r="Q2143" s="2" t="s">
        <v>18160</v>
      </c>
      <c r="R2143" s="3" t="s">
        <v>67</v>
      </c>
      <c r="S2143" s="4">
        <v>6</v>
      </c>
      <c r="T2143" s="4">
        <v>6</v>
      </c>
      <c r="U2143" s="5" t="s">
        <v>18161</v>
      </c>
      <c r="V2143" s="5" t="s">
        <v>18161</v>
      </c>
      <c r="W2143" s="5" t="s">
        <v>69</v>
      </c>
      <c r="X2143" s="5" t="s">
        <v>69</v>
      </c>
      <c r="Y2143" s="4">
        <v>31</v>
      </c>
      <c r="Z2143" s="4">
        <v>2</v>
      </c>
      <c r="AA2143" s="4">
        <v>5</v>
      </c>
      <c r="AB2143" s="4">
        <v>1</v>
      </c>
      <c r="AC2143" s="4">
        <v>3</v>
      </c>
      <c r="AD2143" s="4">
        <v>9</v>
      </c>
      <c r="AE2143" s="4">
        <v>17</v>
      </c>
      <c r="AF2143" s="4">
        <v>0</v>
      </c>
      <c r="AG2143" s="4">
        <v>1</v>
      </c>
      <c r="AH2143" s="4">
        <v>8</v>
      </c>
      <c r="AI2143" s="4">
        <v>13</v>
      </c>
      <c r="AJ2143" s="4">
        <v>1</v>
      </c>
      <c r="AK2143" s="4">
        <v>3</v>
      </c>
      <c r="AL2143" s="4">
        <v>6</v>
      </c>
      <c r="AM2143" s="4">
        <v>10</v>
      </c>
      <c r="AN2143" s="4">
        <v>0</v>
      </c>
      <c r="AO2143" s="4">
        <v>0</v>
      </c>
      <c r="AP2143" s="4">
        <v>1</v>
      </c>
      <c r="AQ2143" s="4">
        <v>3</v>
      </c>
      <c r="AR2143" s="3" t="s">
        <v>63</v>
      </c>
      <c r="AS2143" s="3" t="s">
        <v>63</v>
      </c>
      <c r="AT2143" s="3" t="s">
        <v>63</v>
      </c>
      <c r="AU2143" s="6" t="str">
        <f>HYPERLINK("http://catalog.hathitrust.org/Record/012411158","HathiTrust Record")</f>
        <v>HathiTrust Record</v>
      </c>
      <c r="AV2143" s="6" t="str">
        <f>HYPERLINK("http://mcgill.on.worldcat.org/oclc/4307719","Catalog Record")</f>
        <v>Catalog Record</v>
      </c>
      <c r="AW2143" s="6" t="str">
        <f>HYPERLINK("http://www.worldcat.org/oclc/4307719","WorldCat Record")</f>
        <v>WorldCat Record</v>
      </c>
      <c r="AX2143" s="3" t="s">
        <v>18162</v>
      </c>
      <c r="AY2143" s="3" t="s">
        <v>18163</v>
      </c>
      <c r="AZ2143" s="3" t="s">
        <v>18164</v>
      </c>
      <c r="BA2143" s="3" t="s">
        <v>18164</v>
      </c>
      <c r="BB2143" s="3" t="s">
        <v>18165</v>
      </c>
      <c r="BC2143" s="3" t="s">
        <v>82</v>
      </c>
      <c r="BD2143" s="3" t="s">
        <v>70</v>
      </c>
      <c r="BF2143" s="3" t="s">
        <v>18165</v>
      </c>
      <c r="BG2143" s="3" t="s">
        <v>18166</v>
      </c>
    </row>
    <row r="2144" spans="1:59" ht="60" x14ac:dyDescent="0.25">
      <c r="A2144" s="2" t="s">
        <v>59</v>
      </c>
      <c r="B2144" s="2" t="s">
        <v>60</v>
      </c>
      <c r="C2144" s="2" t="s">
        <v>18167</v>
      </c>
      <c r="D2144" s="2" t="s">
        <v>18168</v>
      </c>
      <c r="E2144" s="2" t="s">
        <v>18169</v>
      </c>
      <c r="G2144" s="3" t="s">
        <v>63</v>
      </c>
      <c r="I2144" s="3" t="s">
        <v>63</v>
      </c>
      <c r="J2144" s="3" t="s">
        <v>63</v>
      </c>
      <c r="K2144" s="3" t="s">
        <v>64</v>
      </c>
      <c r="L2144" s="2" t="s">
        <v>16849</v>
      </c>
      <c r="M2144" s="2" t="s">
        <v>18170</v>
      </c>
      <c r="N2144" s="3" t="s">
        <v>18148</v>
      </c>
      <c r="O2144" s="2" t="s">
        <v>18171</v>
      </c>
      <c r="P2144" s="3" t="s">
        <v>548</v>
      </c>
      <c r="R2144" s="3" t="s">
        <v>67</v>
      </c>
      <c r="S2144" s="4">
        <v>1</v>
      </c>
      <c r="T2144" s="4">
        <v>1</v>
      </c>
      <c r="U2144" s="5" t="s">
        <v>18149</v>
      </c>
      <c r="V2144" s="5" t="s">
        <v>18149</v>
      </c>
      <c r="W2144" s="5" t="s">
        <v>69</v>
      </c>
      <c r="X2144" s="5" t="s">
        <v>69</v>
      </c>
      <c r="Y2144" s="4">
        <v>16</v>
      </c>
      <c r="Z2144" s="4">
        <v>1</v>
      </c>
      <c r="AA2144" s="4">
        <v>6</v>
      </c>
      <c r="AB2144" s="4">
        <v>1</v>
      </c>
      <c r="AC2144" s="4">
        <v>4</v>
      </c>
      <c r="AD2144" s="4">
        <v>6</v>
      </c>
      <c r="AE2144" s="4">
        <v>15</v>
      </c>
      <c r="AF2144" s="4">
        <v>0</v>
      </c>
      <c r="AG2144" s="4">
        <v>2</v>
      </c>
      <c r="AH2144" s="4">
        <v>6</v>
      </c>
      <c r="AI2144" s="4">
        <v>12</v>
      </c>
      <c r="AJ2144" s="4">
        <v>0</v>
      </c>
      <c r="AK2144" s="4">
        <v>3</v>
      </c>
      <c r="AL2144" s="4">
        <v>5</v>
      </c>
      <c r="AM2144" s="4">
        <v>9</v>
      </c>
      <c r="AN2144" s="4">
        <v>0</v>
      </c>
      <c r="AO2144" s="4">
        <v>0</v>
      </c>
      <c r="AP2144" s="4">
        <v>0</v>
      </c>
      <c r="AQ2144" s="4">
        <v>2</v>
      </c>
      <c r="AR2144" s="3" t="s">
        <v>63</v>
      </c>
      <c r="AS2144" s="3" t="s">
        <v>63</v>
      </c>
      <c r="AT2144" s="3" t="s">
        <v>63</v>
      </c>
      <c r="AU2144" s="6" t="str">
        <f>HYPERLINK("http://catalog.hathitrust.org/Record/009780006","HathiTrust Record")</f>
        <v>HathiTrust Record</v>
      </c>
      <c r="AV2144" s="6" t="str">
        <f>HYPERLINK("http://mcgill.on.worldcat.org/oclc/11226779","Catalog Record")</f>
        <v>Catalog Record</v>
      </c>
      <c r="AW2144" s="6" t="str">
        <f>HYPERLINK("http://www.worldcat.org/oclc/11226779","WorldCat Record")</f>
        <v>WorldCat Record</v>
      </c>
      <c r="AX2144" s="3" t="s">
        <v>18172</v>
      </c>
      <c r="AY2144" s="3" t="s">
        <v>18173</v>
      </c>
      <c r="AZ2144" s="3" t="s">
        <v>18174</v>
      </c>
      <c r="BA2144" s="3" t="s">
        <v>18174</v>
      </c>
      <c r="BB2144" s="3" t="s">
        <v>18175</v>
      </c>
      <c r="BC2144" s="3" t="s">
        <v>82</v>
      </c>
      <c r="BD2144" s="3" t="s">
        <v>70</v>
      </c>
      <c r="BF2144" s="3" t="s">
        <v>18175</v>
      </c>
      <c r="BG2144" s="3" t="s">
        <v>18176</v>
      </c>
    </row>
    <row r="2145" spans="1:59" ht="60" x14ac:dyDescent="0.25">
      <c r="A2145" s="2" t="s">
        <v>59</v>
      </c>
      <c r="B2145" s="2" t="s">
        <v>60</v>
      </c>
      <c r="C2145" s="2" t="s">
        <v>18177</v>
      </c>
      <c r="D2145" s="2" t="s">
        <v>18178</v>
      </c>
      <c r="E2145" s="2" t="s">
        <v>18179</v>
      </c>
      <c r="G2145" s="3" t="s">
        <v>63</v>
      </c>
      <c r="I2145" s="3" t="s">
        <v>63</v>
      </c>
      <c r="J2145" s="3" t="s">
        <v>63</v>
      </c>
      <c r="K2145" s="3" t="s">
        <v>64</v>
      </c>
      <c r="L2145" s="2" t="s">
        <v>16849</v>
      </c>
      <c r="M2145" s="2" t="s">
        <v>18180</v>
      </c>
      <c r="N2145" s="3" t="s">
        <v>17641</v>
      </c>
      <c r="O2145" s="2" t="s">
        <v>18181</v>
      </c>
      <c r="P2145" s="3" t="s">
        <v>548</v>
      </c>
      <c r="R2145" s="3" t="s">
        <v>67</v>
      </c>
      <c r="S2145" s="4">
        <v>4</v>
      </c>
      <c r="T2145" s="4">
        <v>4</v>
      </c>
      <c r="U2145" s="5" t="s">
        <v>18149</v>
      </c>
      <c r="V2145" s="5" t="s">
        <v>18149</v>
      </c>
      <c r="W2145" s="5" t="s">
        <v>69</v>
      </c>
      <c r="X2145" s="5" t="s">
        <v>69</v>
      </c>
      <c r="Y2145" s="4">
        <v>1</v>
      </c>
      <c r="Z2145" s="4">
        <v>1</v>
      </c>
      <c r="AA2145" s="4">
        <v>24</v>
      </c>
      <c r="AB2145" s="4">
        <v>1</v>
      </c>
      <c r="AC2145" s="4">
        <v>7</v>
      </c>
      <c r="AD2145" s="4">
        <v>0</v>
      </c>
      <c r="AE2145" s="4">
        <v>35</v>
      </c>
      <c r="AF2145" s="4">
        <v>0</v>
      </c>
      <c r="AG2145" s="4">
        <v>4</v>
      </c>
      <c r="AH2145" s="4">
        <v>0</v>
      </c>
      <c r="AI2145" s="4">
        <v>25</v>
      </c>
      <c r="AJ2145" s="4">
        <v>0</v>
      </c>
      <c r="AK2145" s="4">
        <v>9</v>
      </c>
      <c r="AL2145" s="4">
        <v>0</v>
      </c>
      <c r="AM2145" s="4">
        <v>15</v>
      </c>
      <c r="AN2145" s="4">
        <v>0</v>
      </c>
      <c r="AO2145" s="4">
        <v>2</v>
      </c>
      <c r="AP2145" s="4">
        <v>0</v>
      </c>
      <c r="AQ2145" s="4">
        <v>12</v>
      </c>
      <c r="AR2145" s="3" t="s">
        <v>63</v>
      </c>
      <c r="AS2145" s="3" t="s">
        <v>63</v>
      </c>
      <c r="AT2145" s="3" t="s">
        <v>63</v>
      </c>
      <c r="AV2145" s="6" t="str">
        <f>HYPERLINK("http://mcgill.on.worldcat.org/oclc/427249189","Catalog Record")</f>
        <v>Catalog Record</v>
      </c>
      <c r="AW2145" s="6" t="str">
        <f>HYPERLINK("http://www.worldcat.org/oclc/427249189","WorldCat Record")</f>
        <v>WorldCat Record</v>
      </c>
      <c r="AX2145" s="3" t="s">
        <v>18182</v>
      </c>
      <c r="AY2145" s="3" t="s">
        <v>18183</v>
      </c>
      <c r="AZ2145" s="3" t="s">
        <v>18184</v>
      </c>
      <c r="BA2145" s="3" t="s">
        <v>18184</v>
      </c>
      <c r="BB2145" s="3" t="s">
        <v>18185</v>
      </c>
      <c r="BC2145" s="3" t="s">
        <v>82</v>
      </c>
      <c r="BD2145" s="3" t="s">
        <v>70</v>
      </c>
      <c r="BF2145" s="3" t="s">
        <v>18185</v>
      </c>
      <c r="BG2145" s="3" t="s">
        <v>18186</v>
      </c>
    </row>
    <row r="2146" spans="1:59" ht="90" x14ac:dyDescent="0.25">
      <c r="A2146" s="2" t="s">
        <v>59</v>
      </c>
      <c r="B2146" s="2" t="s">
        <v>60</v>
      </c>
      <c r="C2146" s="2" t="s">
        <v>18187</v>
      </c>
      <c r="D2146" s="2" t="s">
        <v>18188</v>
      </c>
      <c r="E2146" s="2" t="s">
        <v>18189</v>
      </c>
      <c r="G2146" s="3" t="s">
        <v>63</v>
      </c>
      <c r="I2146" s="3" t="s">
        <v>63</v>
      </c>
      <c r="J2146" s="3" t="s">
        <v>63</v>
      </c>
      <c r="K2146" s="3" t="s">
        <v>64</v>
      </c>
      <c r="L2146" s="2" t="s">
        <v>18190</v>
      </c>
      <c r="M2146" s="2" t="s">
        <v>18191</v>
      </c>
      <c r="N2146" s="3" t="s">
        <v>106</v>
      </c>
      <c r="P2146" s="3" t="s">
        <v>442</v>
      </c>
      <c r="Q2146" s="2" t="s">
        <v>18192</v>
      </c>
      <c r="R2146" s="3" t="s">
        <v>67</v>
      </c>
      <c r="S2146" s="4">
        <v>1</v>
      </c>
      <c r="T2146" s="4">
        <v>1</v>
      </c>
      <c r="U2146" s="5" t="s">
        <v>18193</v>
      </c>
      <c r="V2146" s="5" t="s">
        <v>18193</v>
      </c>
      <c r="W2146" s="5" t="s">
        <v>69</v>
      </c>
      <c r="X2146" s="5" t="s">
        <v>69</v>
      </c>
      <c r="Y2146" s="4">
        <v>14</v>
      </c>
      <c r="Z2146" s="4">
        <v>1</v>
      </c>
      <c r="AA2146" s="4">
        <v>1</v>
      </c>
      <c r="AB2146" s="4">
        <v>1</v>
      </c>
      <c r="AC2146" s="4">
        <v>1</v>
      </c>
      <c r="AD2146" s="4">
        <v>6</v>
      </c>
      <c r="AE2146" s="4">
        <v>6</v>
      </c>
      <c r="AF2146" s="4">
        <v>0</v>
      </c>
      <c r="AG2146" s="4">
        <v>0</v>
      </c>
      <c r="AH2146" s="4">
        <v>5</v>
      </c>
      <c r="AI2146" s="4">
        <v>5</v>
      </c>
      <c r="AJ2146" s="4">
        <v>0</v>
      </c>
      <c r="AK2146" s="4">
        <v>0</v>
      </c>
      <c r="AL2146" s="4">
        <v>6</v>
      </c>
      <c r="AM2146" s="4">
        <v>6</v>
      </c>
      <c r="AN2146" s="4">
        <v>0</v>
      </c>
      <c r="AO2146" s="4">
        <v>0</v>
      </c>
      <c r="AP2146" s="4">
        <v>0</v>
      </c>
      <c r="AQ2146" s="4">
        <v>0</v>
      </c>
      <c r="AR2146" s="3" t="s">
        <v>63</v>
      </c>
      <c r="AS2146" s="3" t="s">
        <v>63</v>
      </c>
      <c r="AT2146" s="3" t="s">
        <v>63</v>
      </c>
      <c r="AV2146" s="6" t="str">
        <f>HYPERLINK("http://mcgill.on.worldcat.org/oclc/956637277","Catalog Record")</f>
        <v>Catalog Record</v>
      </c>
      <c r="AW2146" s="6" t="str">
        <f>HYPERLINK("http://www.worldcat.org/oclc/956637277","WorldCat Record")</f>
        <v>WorldCat Record</v>
      </c>
      <c r="AX2146" s="3" t="s">
        <v>18194</v>
      </c>
      <c r="AY2146" s="3" t="s">
        <v>18195</v>
      </c>
      <c r="AZ2146" s="3" t="s">
        <v>18196</v>
      </c>
      <c r="BA2146" s="3" t="s">
        <v>18196</v>
      </c>
      <c r="BB2146" s="3" t="s">
        <v>18197</v>
      </c>
      <c r="BC2146" s="3" t="s">
        <v>82</v>
      </c>
      <c r="BD2146" s="3" t="s">
        <v>70</v>
      </c>
      <c r="BE2146" s="3" t="s">
        <v>18198</v>
      </c>
      <c r="BF2146" s="3" t="s">
        <v>18197</v>
      </c>
      <c r="BG2146" s="3" t="s">
        <v>18199</v>
      </c>
    </row>
    <row r="2147" spans="1:59" ht="60" x14ac:dyDescent="0.25">
      <c r="A2147" s="2" t="s">
        <v>59</v>
      </c>
      <c r="B2147" s="2" t="s">
        <v>60</v>
      </c>
      <c r="C2147" s="2" t="s">
        <v>18200</v>
      </c>
      <c r="D2147" s="2" t="s">
        <v>18201</v>
      </c>
      <c r="E2147" s="2" t="s">
        <v>18202</v>
      </c>
      <c r="F2147" s="3" t="s">
        <v>1095</v>
      </c>
      <c r="G2147" s="3" t="s">
        <v>62</v>
      </c>
      <c r="I2147" s="3" t="s">
        <v>63</v>
      </c>
      <c r="J2147" s="3" t="s">
        <v>62</v>
      </c>
      <c r="K2147" s="3" t="s">
        <v>64</v>
      </c>
      <c r="L2147" s="2" t="s">
        <v>16849</v>
      </c>
      <c r="M2147" s="2" t="s">
        <v>18203</v>
      </c>
      <c r="N2147" s="3" t="s">
        <v>1916</v>
      </c>
      <c r="P2147" s="3" t="s">
        <v>66</v>
      </c>
      <c r="R2147" s="3" t="s">
        <v>67</v>
      </c>
      <c r="S2147" s="4">
        <v>7</v>
      </c>
      <c r="T2147" s="4">
        <v>15</v>
      </c>
      <c r="U2147" s="5" t="s">
        <v>18204</v>
      </c>
      <c r="V2147" s="5" t="s">
        <v>18205</v>
      </c>
      <c r="W2147" s="5" t="s">
        <v>69</v>
      </c>
      <c r="X2147" s="5" t="s">
        <v>69</v>
      </c>
      <c r="Y2147" s="4">
        <v>478</v>
      </c>
      <c r="Z2147" s="4">
        <v>16</v>
      </c>
      <c r="AA2147" s="4">
        <v>30</v>
      </c>
      <c r="AB2147" s="4">
        <v>1</v>
      </c>
      <c r="AC2147" s="4">
        <v>1</v>
      </c>
      <c r="AD2147" s="4">
        <v>63</v>
      </c>
      <c r="AE2147" s="4">
        <v>112</v>
      </c>
      <c r="AF2147" s="4">
        <v>0</v>
      </c>
      <c r="AG2147" s="4">
        <v>0</v>
      </c>
      <c r="AH2147" s="4">
        <v>59</v>
      </c>
      <c r="AI2147" s="4">
        <v>103</v>
      </c>
      <c r="AJ2147" s="4">
        <v>5</v>
      </c>
      <c r="AK2147" s="4">
        <v>17</v>
      </c>
      <c r="AL2147" s="4">
        <v>35</v>
      </c>
      <c r="AM2147" s="4">
        <v>55</v>
      </c>
      <c r="AN2147" s="4">
        <v>0</v>
      </c>
      <c r="AO2147" s="4">
        <v>0</v>
      </c>
      <c r="AP2147" s="4">
        <v>6</v>
      </c>
      <c r="AQ2147" s="4">
        <v>18</v>
      </c>
      <c r="AR2147" s="3" t="s">
        <v>63</v>
      </c>
      <c r="AS2147" s="3" t="s">
        <v>63</v>
      </c>
      <c r="AT2147" s="3" t="s">
        <v>63</v>
      </c>
      <c r="AV2147" s="6" t="str">
        <f>HYPERLINK("http://mcgill.on.worldcat.org/oclc/12878476","Catalog Record")</f>
        <v>Catalog Record</v>
      </c>
      <c r="AW2147" s="6" t="str">
        <f>HYPERLINK("http://www.worldcat.org/oclc/12878476","WorldCat Record")</f>
        <v>WorldCat Record</v>
      </c>
      <c r="AX2147" s="3" t="s">
        <v>18206</v>
      </c>
      <c r="AY2147" s="3" t="s">
        <v>18207</v>
      </c>
      <c r="AZ2147" s="3" t="s">
        <v>18208</v>
      </c>
      <c r="BA2147" s="3" t="s">
        <v>18208</v>
      </c>
      <c r="BB2147" s="3" t="s">
        <v>18209</v>
      </c>
      <c r="BC2147" s="3" t="s">
        <v>82</v>
      </c>
      <c r="BD2147" s="3" t="s">
        <v>70</v>
      </c>
      <c r="BE2147" s="3" t="s">
        <v>18210</v>
      </c>
      <c r="BF2147" s="3" t="s">
        <v>18209</v>
      </c>
      <c r="BG2147" s="3" t="s">
        <v>18211</v>
      </c>
    </row>
    <row r="2148" spans="1:59" ht="60" x14ac:dyDescent="0.25">
      <c r="A2148" s="2" t="s">
        <v>59</v>
      </c>
      <c r="B2148" s="2" t="s">
        <v>60</v>
      </c>
      <c r="C2148" s="2" t="s">
        <v>18200</v>
      </c>
      <c r="D2148" s="2" t="s">
        <v>18201</v>
      </c>
      <c r="E2148" s="2" t="s">
        <v>18202</v>
      </c>
      <c r="F2148" s="3" t="s">
        <v>61</v>
      </c>
      <c r="G2148" s="3" t="s">
        <v>62</v>
      </c>
      <c r="I2148" s="3" t="s">
        <v>63</v>
      </c>
      <c r="J2148" s="3" t="s">
        <v>62</v>
      </c>
      <c r="K2148" s="3" t="s">
        <v>64</v>
      </c>
      <c r="L2148" s="2" t="s">
        <v>16849</v>
      </c>
      <c r="M2148" s="2" t="s">
        <v>18203</v>
      </c>
      <c r="N2148" s="3" t="s">
        <v>1916</v>
      </c>
      <c r="P2148" s="3" t="s">
        <v>66</v>
      </c>
      <c r="R2148" s="3" t="s">
        <v>67</v>
      </c>
      <c r="S2148" s="4">
        <v>8</v>
      </c>
      <c r="T2148" s="4">
        <v>15</v>
      </c>
      <c r="U2148" s="5" t="s">
        <v>18205</v>
      </c>
      <c r="V2148" s="5" t="s">
        <v>18205</v>
      </c>
      <c r="W2148" s="5" t="s">
        <v>69</v>
      </c>
      <c r="X2148" s="5" t="s">
        <v>69</v>
      </c>
      <c r="Y2148" s="4">
        <v>478</v>
      </c>
      <c r="Z2148" s="4">
        <v>16</v>
      </c>
      <c r="AA2148" s="4">
        <v>30</v>
      </c>
      <c r="AB2148" s="4">
        <v>1</v>
      </c>
      <c r="AC2148" s="4">
        <v>1</v>
      </c>
      <c r="AD2148" s="4">
        <v>63</v>
      </c>
      <c r="AE2148" s="4">
        <v>112</v>
      </c>
      <c r="AF2148" s="4">
        <v>0</v>
      </c>
      <c r="AG2148" s="4">
        <v>0</v>
      </c>
      <c r="AH2148" s="4">
        <v>59</v>
      </c>
      <c r="AI2148" s="4">
        <v>103</v>
      </c>
      <c r="AJ2148" s="4">
        <v>5</v>
      </c>
      <c r="AK2148" s="4">
        <v>17</v>
      </c>
      <c r="AL2148" s="4">
        <v>35</v>
      </c>
      <c r="AM2148" s="4">
        <v>55</v>
      </c>
      <c r="AN2148" s="4">
        <v>0</v>
      </c>
      <c r="AO2148" s="4">
        <v>0</v>
      </c>
      <c r="AP2148" s="4">
        <v>6</v>
      </c>
      <c r="AQ2148" s="4">
        <v>18</v>
      </c>
      <c r="AR2148" s="3" t="s">
        <v>63</v>
      </c>
      <c r="AS2148" s="3" t="s">
        <v>63</v>
      </c>
      <c r="AT2148" s="3" t="s">
        <v>63</v>
      </c>
      <c r="AV2148" s="6" t="str">
        <f>HYPERLINK("http://mcgill.on.worldcat.org/oclc/12878476","Catalog Record")</f>
        <v>Catalog Record</v>
      </c>
      <c r="AW2148" s="6" t="str">
        <f>HYPERLINK("http://www.worldcat.org/oclc/12878476","WorldCat Record")</f>
        <v>WorldCat Record</v>
      </c>
      <c r="AX2148" s="3" t="s">
        <v>18206</v>
      </c>
      <c r="AY2148" s="3" t="s">
        <v>18207</v>
      </c>
      <c r="AZ2148" s="3" t="s">
        <v>18208</v>
      </c>
      <c r="BA2148" s="3" t="s">
        <v>18208</v>
      </c>
      <c r="BB2148" s="3" t="s">
        <v>18212</v>
      </c>
      <c r="BC2148" s="3" t="s">
        <v>82</v>
      </c>
      <c r="BD2148" s="3" t="s">
        <v>70</v>
      </c>
      <c r="BE2148" s="3" t="s">
        <v>18210</v>
      </c>
      <c r="BF2148" s="3" t="s">
        <v>18212</v>
      </c>
      <c r="BG2148" s="3" t="s">
        <v>18213</v>
      </c>
    </row>
    <row r="2149" spans="1:59" ht="60" x14ac:dyDescent="0.25">
      <c r="A2149" s="2" t="s">
        <v>59</v>
      </c>
      <c r="B2149" s="2" t="s">
        <v>60</v>
      </c>
      <c r="C2149" s="2" t="s">
        <v>18214</v>
      </c>
      <c r="D2149" s="2" t="s">
        <v>18215</v>
      </c>
      <c r="E2149" s="2" t="s">
        <v>18202</v>
      </c>
      <c r="G2149" s="3" t="s">
        <v>63</v>
      </c>
      <c r="I2149" s="3" t="s">
        <v>62</v>
      </c>
      <c r="J2149" s="3" t="s">
        <v>63</v>
      </c>
      <c r="K2149" s="3" t="s">
        <v>64</v>
      </c>
      <c r="L2149" s="2" t="s">
        <v>16849</v>
      </c>
      <c r="M2149" s="2" t="s">
        <v>18216</v>
      </c>
      <c r="N2149" s="3" t="s">
        <v>1023</v>
      </c>
      <c r="O2149" s="2" t="s">
        <v>18217</v>
      </c>
      <c r="P2149" s="3" t="s">
        <v>66</v>
      </c>
      <c r="R2149" s="3" t="s">
        <v>67</v>
      </c>
      <c r="S2149" s="4">
        <v>28</v>
      </c>
      <c r="T2149" s="4">
        <v>28</v>
      </c>
      <c r="U2149" s="5" t="s">
        <v>18218</v>
      </c>
      <c r="V2149" s="5" t="s">
        <v>18218</v>
      </c>
      <c r="W2149" s="5" t="s">
        <v>69</v>
      </c>
      <c r="X2149" s="5" t="s">
        <v>69</v>
      </c>
      <c r="Y2149" s="4">
        <v>51</v>
      </c>
      <c r="Z2149" s="4">
        <v>2</v>
      </c>
      <c r="AA2149" s="4">
        <v>2</v>
      </c>
      <c r="AB2149" s="4">
        <v>1</v>
      </c>
      <c r="AC2149" s="4">
        <v>1</v>
      </c>
      <c r="AD2149" s="4">
        <v>4</v>
      </c>
      <c r="AE2149" s="4">
        <v>4</v>
      </c>
      <c r="AF2149" s="4">
        <v>0</v>
      </c>
      <c r="AG2149" s="4">
        <v>0</v>
      </c>
      <c r="AH2149" s="4">
        <v>3</v>
      </c>
      <c r="AI2149" s="4">
        <v>3</v>
      </c>
      <c r="AJ2149" s="4">
        <v>1</v>
      </c>
      <c r="AK2149" s="4">
        <v>1</v>
      </c>
      <c r="AL2149" s="4">
        <v>2</v>
      </c>
      <c r="AM2149" s="4">
        <v>2</v>
      </c>
      <c r="AN2149" s="4">
        <v>0</v>
      </c>
      <c r="AO2149" s="4">
        <v>0</v>
      </c>
      <c r="AP2149" s="4">
        <v>1</v>
      </c>
      <c r="AQ2149" s="4">
        <v>1</v>
      </c>
      <c r="AR2149" s="3" t="s">
        <v>63</v>
      </c>
      <c r="AS2149" s="3" t="s">
        <v>63</v>
      </c>
      <c r="AT2149" s="3" t="s">
        <v>62</v>
      </c>
      <c r="AU2149" s="6" t="str">
        <f>HYPERLINK("http://catalog.hathitrust.org/Record/007016470","HathiTrust Record")</f>
        <v>HathiTrust Record</v>
      </c>
      <c r="AV2149" s="6" t="str">
        <f>HYPERLINK("http://mcgill.on.worldcat.org/oclc/30439415","Catalog Record")</f>
        <v>Catalog Record</v>
      </c>
      <c r="AW2149" s="6" t="str">
        <f>HYPERLINK("http://www.worldcat.org/oclc/30439415","WorldCat Record")</f>
        <v>WorldCat Record</v>
      </c>
      <c r="AX2149" s="3" t="s">
        <v>18219</v>
      </c>
      <c r="AY2149" s="3" t="s">
        <v>18220</v>
      </c>
      <c r="AZ2149" s="3" t="s">
        <v>18221</v>
      </c>
      <c r="BA2149" s="3" t="s">
        <v>18221</v>
      </c>
      <c r="BB2149" s="3" t="s">
        <v>18222</v>
      </c>
      <c r="BC2149" s="3" t="s">
        <v>82</v>
      </c>
      <c r="BD2149" s="3" t="s">
        <v>538</v>
      </c>
      <c r="BE2149" s="3" t="s">
        <v>18223</v>
      </c>
      <c r="BF2149" s="3" t="s">
        <v>18222</v>
      </c>
      <c r="BG2149" s="3" t="s">
        <v>18224</v>
      </c>
    </row>
    <row r="2150" spans="1:59" ht="60" x14ac:dyDescent="0.25">
      <c r="A2150" s="2" t="s">
        <v>59</v>
      </c>
      <c r="B2150" s="2" t="s">
        <v>60</v>
      </c>
      <c r="C2150" s="2" t="s">
        <v>18225</v>
      </c>
      <c r="D2150" s="2" t="s">
        <v>18226</v>
      </c>
      <c r="E2150" s="2" t="s">
        <v>18227</v>
      </c>
      <c r="G2150" s="3" t="s">
        <v>63</v>
      </c>
      <c r="I2150" s="3" t="s">
        <v>63</v>
      </c>
      <c r="J2150" s="3" t="s">
        <v>63</v>
      </c>
      <c r="K2150" s="3" t="s">
        <v>64</v>
      </c>
      <c r="L2150" s="2" t="s">
        <v>16849</v>
      </c>
      <c r="M2150" s="2" t="s">
        <v>18228</v>
      </c>
      <c r="N2150" s="3" t="s">
        <v>7161</v>
      </c>
      <c r="P2150" s="3" t="s">
        <v>66</v>
      </c>
      <c r="R2150" s="3" t="s">
        <v>67</v>
      </c>
      <c r="S2150" s="4">
        <v>5</v>
      </c>
      <c r="T2150" s="4">
        <v>5</v>
      </c>
      <c r="U2150" s="5" t="s">
        <v>4326</v>
      </c>
      <c r="V2150" s="5" t="s">
        <v>4326</v>
      </c>
      <c r="W2150" s="5" t="s">
        <v>69</v>
      </c>
      <c r="X2150" s="5" t="s">
        <v>69</v>
      </c>
      <c r="Y2150" s="4">
        <v>154</v>
      </c>
      <c r="Z2150" s="4">
        <v>5</v>
      </c>
      <c r="AA2150" s="4">
        <v>17</v>
      </c>
      <c r="AB2150" s="4">
        <v>1</v>
      </c>
      <c r="AC2150" s="4">
        <v>1</v>
      </c>
      <c r="AD2150" s="4">
        <v>42</v>
      </c>
      <c r="AE2150" s="4">
        <v>84</v>
      </c>
      <c r="AF2150" s="4">
        <v>0</v>
      </c>
      <c r="AG2150" s="4">
        <v>0</v>
      </c>
      <c r="AH2150" s="4">
        <v>41</v>
      </c>
      <c r="AI2150" s="4">
        <v>72</v>
      </c>
      <c r="AJ2150" s="4">
        <v>4</v>
      </c>
      <c r="AK2150" s="4">
        <v>12</v>
      </c>
      <c r="AL2150" s="4">
        <v>22</v>
      </c>
      <c r="AM2150" s="4">
        <v>43</v>
      </c>
      <c r="AN2150" s="4">
        <v>0</v>
      </c>
      <c r="AO2150" s="4">
        <v>0</v>
      </c>
      <c r="AP2150" s="4">
        <v>4</v>
      </c>
      <c r="AQ2150" s="4">
        <v>14</v>
      </c>
      <c r="AR2150" s="3" t="s">
        <v>63</v>
      </c>
      <c r="AS2150" s="3" t="s">
        <v>63</v>
      </c>
      <c r="AT2150" s="3" t="s">
        <v>63</v>
      </c>
      <c r="AV2150" s="6" t="str">
        <f>HYPERLINK("http://mcgill.on.worldcat.org/oclc/398983","Catalog Record")</f>
        <v>Catalog Record</v>
      </c>
      <c r="AW2150" s="6" t="str">
        <f>HYPERLINK("http://www.worldcat.org/oclc/398983","WorldCat Record")</f>
        <v>WorldCat Record</v>
      </c>
      <c r="AX2150" s="3" t="s">
        <v>18229</v>
      </c>
      <c r="AY2150" s="3" t="s">
        <v>18230</v>
      </c>
      <c r="AZ2150" s="3" t="s">
        <v>18231</v>
      </c>
      <c r="BA2150" s="3" t="s">
        <v>18231</v>
      </c>
      <c r="BB2150" s="3" t="s">
        <v>18232</v>
      </c>
      <c r="BC2150" s="3" t="s">
        <v>82</v>
      </c>
      <c r="BD2150" s="3" t="s">
        <v>70</v>
      </c>
      <c r="BF2150" s="3" t="s">
        <v>18232</v>
      </c>
      <c r="BG2150" s="3" t="s">
        <v>18233</v>
      </c>
    </row>
    <row r="2151" spans="1:59" ht="60" x14ac:dyDescent="0.25">
      <c r="A2151" s="2" t="s">
        <v>59</v>
      </c>
      <c r="B2151" s="2" t="s">
        <v>60</v>
      </c>
      <c r="C2151" s="2" t="s">
        <v>18234</v>
      </c>
      <c r="D2151" s="2" t="s">
        <v>18235</v>
      </c>
      <c r="E2151" s="2" t="s">
        <v>18236</v>
      </c>
      <c r="F2151" s="3" t="s">
        <v>5705</v>
      </c>
      <c r="G2151" s="3" t="s">
        <v>62</v>
      </c>
      <c r="I2151" s="3" t="s">
        <v>63</v>
      </c>
      <c r="J2151" s="3" t="s">
        <v>63</v>
      </c>
      <c r="K2151" s="3" t="s">
        <v>64</v>
      </c>
      <c r="L2151" s="2" t="s">
        <v>16849</v>
      </c>
      <c r="M2151" s="2" t="s">
        <v>18237</v>
      </c>
      <c r="N2151" s="3" t="s">
        <v>849</v>
      </c>
      <c r="P2151" s="3" t="s">
        <v>548</v>
      </c>
      <c r="Q2151" s="2" t="s">
        <v>18238</v>
      </c>
      <c r="R2151" s="3" t="s">
        <v>67</v>
      </c>
      <c r="S2151" s="4">
        <v>1</v>
      </c>
      <c r="T2151" s="4">
        <v>16</v>
      </c>
      <c r="U2151" s="5" t="s">
        <v>18239</v>
      </c>
      <c r="V2151" s="5" t="s">
        <v>3511</v>
      </c>
      <c r="W2151" s="5" t="s">
        <v>69</v>
      </c>
      <c r="X2151" s="5" t="s">
        <v>69</v>
      </c>
      <c r="Y2151" s="4">
        <v>60</v>
      </c>
      <c r="Z2151" s="4">
        <v>9</v>
      </c>
      <c r="AA2151" s="4">
        <v>13</v>
      </c>
      <c r="AB2151" s="4">
        <v>1</v>
      </c>
      <c r="AC2151" s="4">
        <v>5</v>
      </c>
      <c r="AD2151" s="4">
        <v>30</v>
      </c>
      <c r="AE2151" s="4">
        <v>32</v>
      </c>
      <c r="AF2151" s="4">
        <v>0</v>
      </c>
      <c r="AG2151" s="4">
        <v>2</v>
      </c>
      <c r="AH2151" s="4">
        <v>27</v>
      </c>
      <c r="AI2151" s="4">
        <v>27</v>
      </c>
      <c r="AJ2151" s="4">
        <v>5</v>
      </c>
      <c r="AK2151" s="4">
        <v>7</v>
      </c>
      <c r="AL2151" s="4">
        <v>20</v>
      </c>
      <c r="AM2151" s="4">
        <v>20</v>
      </c>
      <c r="AN2151" s="4">
        <v>0</v>
      </c>
      <c r="AO2151" s="4">
        <v>0</v>
      </c>
      <c r="AP2151" s="4">
        <v>7</v>
      </c>
      <c r="AQ2151" s="4">
        <v>9</v>
      </c>
      <c r="AR2151" s="3" t="s">
        <v>63</v>
      </c>
      <c r="AS2151" s="3" t="s">
        <v>63</v>
      </c>
      <c r="AT2151" s="3" t="s">
        <v>62</v>
      </c>
      <c r="AU2151" s="6" t="str">
        <f>HYPERLINK("http://catalog.hathitrust.org/Record/000128435","HathiTrust Record")</f>
        <v>HathiTrust Record</v>
      </c>
      <c r="AV2151" s="6" t="str">
        <f>HYPERLINK("http://mcgill.on.worldcat.org/oclc/5329510","Catalog Record")</f>
        <v>Catalog Record</v>
      </c>
      <c r="AW2151" s="6" t="str">
        <f>HYPERLINK("http://www.worldcat.org/oclc/5329510","WorldCat Record")</f>
        <v>WorldCat Record</v>
      </c>
      <c r="AX2151" s="3" t="s">
        <v>18240</v>
      </c>
      <c r="AY2151" s="3" t="s">
        <v>18241</v>
      </c>
      <c r="AZ2151" s="3" t="s">
        <v>18242</v>
      </c>
      <c r="BA2151" s="3" t="s">
        <v>18242</v>
      </c>
      <c r="BB2151" s="3" t="s">
        <v>18243</v>
      </c>
      <c r="BC2151" s="3" t="s">
        <v>82</v>
      </c>
      <c r="BD2151" s="3" t="s">
        <v>70</v>
      </c>
      <c r="BF2151" s="3" t="s">
        <v>18243</v>
      </c>
      <c r="BG2151" s="3" t="s">
        <v>18244</v>
      </c>
    </row>
    <row r="2152" spans="1:59" ht="60" x14ac:dyDescent="0.25">
      <c r="A2152" s="2" t="s">
        <v>59</v>
      </c>
      <c r="B2152" s="2" t="s">
        <v>60</v>
      </c>
      <c r="C2152" s="2" t="s">
        <v>18234</v>
      </c>
      <c r="D2152" s="2" t="s">
        <v>18235</v>
      </c>
      <c r="E2152" s="2" t="s">
        <v>18236</v>
      </c>
      <c r="F2152" s="3" t="s">
        <v>5696</v>
      </c>
      <c r="G2152" s="3" t="s">
        <v>62</v>
      </c>
      <c r="I2152" s="3" t="s">
        <v>63</v>
      </c>
      <c r="J2152" s="3" t="s">
        <v>63</v>
      </c>
      <c r="K2152" s="3" t="s">
        <v>64</v>
      </c>
      <c r="L2152" s="2" t="s">
        <v>16849</v>
      </c>
      <c r="M2152" s="2" t="s">
        <v>18237</v>
      </c>
      <c r="N2152" s="3" t="s">
        <v>849</v>
      </c>
      <c r="P2152" s="3" t="s">
        <v>548</v>
      </c>
      <c r="Q2152" s="2" t="s">
        <v>18238</v>
      </c>
      <c r="R2152" s="3" t="s">
        <v>67</v>
      </c>
      <c r="S2152" s="4">
        <v>12</v>
      </c>
      <c r="T2152" s="4">
        <v>16</v>
      </c>
      <c r="U2152" s="5" t="s">
        <v>18245</v>
      </c>
      <c r="V2152" s="5" t="s">
        <v>3511</v>
      </c>
      <c r="W2152" s="5" t="s">
        <v>69</v>
      </c>
      <c r="X2152" s="5" t="s">
        <v>69</v>
      </c>
      <c r="Y2152" s="4">
        <v>60</v>
      </c>
      <c r="Z2152" s="4">
        <v>9</v>
      </c>
      <c r="AA2152" s="4">
        <v>13</v>
      </c>
      <c r="AB2152" s="4">
        <v>1</v>
      </c>
      <c r="AC2152" s="4">
        <v>5</v>
      </c>
      <c r="AD2152" s="4">
        <v>30</v>
      </c>
      <c r="AE2152" s="4">
        <v>32</v>
      </c>
      <c r="AF2152" s="4">
        <v>0</v>
      </c>
      <c r="AG2152" s="4">
        <v>2</v>
      </c>
      <c r="AH2152" s="4">
        <v>27</v>
      </c>
      <c r="AI2152" s="4">
        <v>27</v>
      </c>
      <c r="AJ2152" s="4">
        <v>5</v>
      </c>
      <c r="AK2152" s="4">
        <v>7</v>
      </c>
      <c r="AL2152" s="4">
        <v>20</v>
      </c>
      <c r="AM2152" s="4">
        <v>20</v>
      </c>
      <c r="AN2152" s="4">
        <v>0</v>
      </c>
      <c r="AO2152" s="4">
        <v>0</v>
      </c>
      <c r="AP2152" s="4">
        <v>7</v>
      </c>
      <c r="AQ2152" s="4">
        <v>9</v>
      </c>
      <c r="AR2152" s="3" t="s">
        <v>63</v>
      </c>
      <c r="AS2152" s="3" t="s">
        <v>63</v>
      </c>
      <c r="AT2152" s="3" t="s">
        <v>62</v>
      </c>
      <c r="AU2152" s="6" t="str">
        <f>HYPERLINK("http://catalog.hathitrust.org/Record/000128435","HathiTrust Record")</f>
        <v>HathiTrust Record</v>
      </c>
      <c r="AV2152" s="6" t="str">
        <f>HYPERLINK("http://mcgill.on.worldcat.org/oclc/5329510","Catalog Record")</f>
        <v>Catalog Record</v>
      </c>
      <c r="AW2152" s="6" t="str">
        <f>HYPERLINK("http://www.worldcat.org/oclc/5329510","WorldCat Record")</f>
        <v>WorldCat Record</v>
      </c>
      <c r="AX2152" s="3" t="s">
        <v>18240</v>
      </c>
      <c r="AY2152" s="3" t="s">
        <v>18241</v>
      </c>
      <c r="AZ2152" s="3" t="s">
        <v>18242</v>
      </c>
      <c r="BA2152" s="3" t="s">
        <v>18242</v>
      </c>
      <c r="BB2152" s="3" t="s">
        <v>18246</v>
      </c>
      <c r="BC2152" s="3" t="s">
        <v>82</v>
      </c>
      <c r="BD2152" s="3" t="s">
        <v>70</v>
      </c>
      <c r="BF2152" s="3" t="s">
        <v>18246</v>
      </c>
      <c r="BG2152" s="3" t="s">
        <v>18247</v>
      </c>
    </row>
    <row r="2153" spans="1:59" ht="60" x14ac:dyDescent="0.25">
      <c r="A2153" s="2" t="s">
        <v>59</v>
      </c>
      <c r="B2153" s="2" t="s">
        <v>60</v>
      </c>
      <c r="C2153" s="2" t="s">
        <v>18234</v>
      </c>
      <c r="D2153" s="2" t="s">
        <v>18235</v>
      </c>
      <c r="E2153" s="2" t="s">
        <v>18236</v>
      </c>
      <c r="F2153" s="3" t="s">
        <v>5684</v>
      </c>
      <c r="G2153" s="3" t="s">
        <v>62</v>
      </c>
      <c r="I2153" s="3" t="s">
        <v>63</v>
      </c>
      <c r="J2153" s="3" t="s">
        <v>63</v>
      </c>
      <c r="K2153" s="3" t="s">
        <v>64</v>
      </c>
      <c r="L2153" s="2" t="s">
        <v>16849</v>
      </c>
      <c r="M2153" s="2" t="s">
        <v>18237</v>
      </c>
      <c r="N2153" s="3" t="s">
        <v>849</v>
      </c>
      <c r="P2153" s="3" t="s">
        <v>548</v>
      </c>
      <c r="Q2153" s="2" t="s">
        <v>18238</v>
      </c>
      <c r="R2153" s="3" t="s">
        <v>67</v>
      </c>
      <c r="S2153" s="4">
        <v>3</v>
      </c>
      <c r="T2153" s="4">
        <v>16</v>
      </c>
      <c r="U2153" s="5" t="s">
        <v>3511</v>
      </c>
      <c r="V2153" s="5" t="s">
        <v>3511</v>
      </c>
      <c r="W2153" s="5" t="s">
        <v>69</v>
      </c>
      <c r="X2153" s="5" t="s">
        <v>69</v>
      </c>
      <c r="Y2153" s="4">
        <v>60</v>
      </c>
      <c r="Z2153" s="4">
        <v>9</v>
      </c>
      <c r="AA2153" s="4">
        <v>13</v>
      </c>
      <c r="AB2153" s="4">
        <v>1</v>
      </c>
      <c r="AC2153" s="4">
        <v>5</v>
      </c>
      <c r="AD2153" s="4">
        <v>30</v>
      </c>
      <c r="AE2153" s="4">
        <v>32</v>
      </c>
      <c r="AF2153" s="4">
        <v>0</v>
      </c>
      <c r="AG2153" s="4">
        <v>2</v>
      </c>
      <c r="AH2153" s="4">
        <v>27</v>
      </c>
      <c r="AI2153" s="4">
        <v>27</v>
      </c>
      <c r="AJ2153" s="4">
        <v>5</v>
      </c>
      <c r="AK2153" s="4">
        <v>7</v>
      </c>
      <c r="AL2153" s="4">
        <v>20</v>
      </c>
      <c r="AM2153" s="4">
        <v>20</v>
      </c>
      <c r="AN2153" s="4">
        <v>0</v>
      </c>
      <c r="AO2153" s="4">
        <v>0</v>
      </c>
      <c r="AP2153" s="4">
        <v>7</v>
      </c>
      <c r="AQ2153" s="4">
        <v>9</v>
      </c>
      <c r="AR2153" s="3" t="s">
        <v>63</v>
      </c>
      <c r="AS2153" s="3" t="s">
        <v>63</v>
      </c>
      <c r="AT2153" s="3" t="s">
        <v>62</v>
      </c>
      <c r="AU2153" s="6" t="str">
        <f>HYPERLINK("http://catalog.hathitrust.org/Record/000128435","HathiTrust Record")</f>
        <v>HathiTrust Record</v>
      </c>
      <c r="AV2153" s="6" t="str">
        <f>HYPERLINK("http://mcgill.on.worldcat.org/oclc/5329510","Catalog Record")</f>
        <v>Catalog Record</v>
      </c>
      <c r="AW2153" s="6" t="str">
        <f>HYPERLINK("http://www.worldcat.org/oclc/5329510","WorldCat Record")</f>
        <v>WorldCat Record</v>
      </c>
      <c r="AX2153" s="3" t="s">
        <v>18240</v>
      </c>
      <c r="AY2153" s="3" t="s">
        <v>18241</v>
      </c>
      <c r="AZ2153" s="3" t="s">
        <v>18242</v>
      </c>
      <c r="BA2153" s="3" t="s">
        <v>18242</v>
      </c>
      <c r="BB2153" s="3" t="s">
        <v>18248</v>
      </c>
      <c r="BC2153" s="3" t="s">
        <v>82</v>
      </c>
      <c r="BD2153" s="3" t="s">
        <v>70</v>
      </c>
      <c r="BF2153" s="3" t="s">
        <v>18248</v>
      </c>
      <c r="BG2153" s="3" t="s">
        <v>18249</v>
      </c>
    </row>
    <row r="2154" spans="1:59" ht="60" x14ac:dyDescent="0.25">
      <c r="A2154" s="2" t="s">
        <v>59</v>
      </c>
      <c r="B2154" s="2" t="s">
        <v>60</v>
      </c>
      <c r="C2154" s="2" t="s">
        <v>18250</v>
      </c>
      <c r="D2154" s="2" t="s">
        <v>18251</v>
      </c>
      <c r="E2154" s="2" t="s">
        <v>18252</v>
      </c>
      <c r="F2154" s="3" t="s">
        <v>4181</v>
      </c>
      <c r="G2154" s="3" t="s">
        <v>62</v>
      </c>
      <c r="I2154" s="3" t="s">
        <v>63</v>
      </c>
      <c r="J2154" s="3" t="s">
        <v>63</v>
      </c>
      <c r="K2154" s="3" t="s">
        <v>64</v>
      </c>
      <c r="L2154" s="2" t="s">
        <v>16849</v>
      </c>
      <c r="M2154" s="2" t="s">
        <v>18253</v>
      </c>
      <c r="N2154" s="3" t="s">
        <v>814</v>
      </c>
      <c r="P2154" s="3" t="s">
        <v>66</v>
      </c>
      <c r="R2154" s="3" t="s">
        <v>67</v>
      </c>
      <c r="S2154" s="4">
        <v>12</v>
      </c>
      <c r="T2154" s="4">
        <v>30</v>
      </c>
      <c r="U2154" s="5" t="s">
        <v>18218</v>
      </c>
      <c r="V2154" s="5" t="s">
        <v>1929</v>
      </c>
      <c r="W2154" s="5" t="s">
        <v>69</v>
      </c>
      <c r="X2154" s="5" t="s">
        <v>69</v>
      </c>
      <c r="Y2154" s="4">
        <v>800</v>
      </c>
      <c r="Z2154" s="4">
        <v>29</v>
      </c>
      <c r="AA2154" s="4">
        <v>45</v>
      </c>
      <c r="AB2154" s="4">
        <v>2</v>
      </c>
      <c r="AC2154" s="4">
        <v>3</v>
      </c>
      <c r="AD2154" s="4">
        <v>101</v>
      </c>
      <c r="AE2154" s="4">
        <v>130</v>
      </c>
      <c r="AF2154" s="4">
        <v>1</v>
      </c>
      <c r="AG2154" s="4">
        <v>2</v>
      </c>
      <c r="AH2154" s="4">
        <v>84</v>
      </c>
      <c r="AI2154" s="4">
        <v>107</v>
      </c>
      <c r="AJ2154" s="4">
        <v>9</v>
      </c>
      <c r="AK2154" s="4">
        <v>20</v>
      </c>
      <c r="AL2154" s="4">
        <v>47</v>
      </c>
      <c r="AM2154" s="4">
        <v>57</v>
      </c>
      <c r="AN2154" s="4">
        <v>0</v>
      </c>
      <c r="AO2154" s="4">
        <v>0</v>
      </c>
      <c r="AP2154" s="4">
        <v>16</v>
      </c>
      <c r="AQ2154" s="4">
        <v>28</v>
      </c>
      <c r="AR2154" s="3" t="s">
        <v>63</v>
      </c>
      <c r="AS2154" s="3" t="s">
        <v>63</v>
      </c>
      <c r="AT2154" s="3" t="s">
        <v>62</v>
      </c>
      <c r="AU2154" s="6" t="str">
        <f>HYPERLINK("http://catalog.hathitrust.org/Record/000175249","HathiTrust Record")</f>
        <v>HathiTrust Record</v>
      </c>
      <c r="AV2154" s="6" t="str">
        <f>HYPERLINK("http://mcgill.on.worldcat.org/oclc/3964072","Catalog Record")</f>
        <v>Catalog Record</v>
      </c>
      <c r="AW2154" s="6" t="str">
        <f>HYPERLINK("http://www.worldcat.org/oclc/3964072","WorldCat Record")</f>
        <v>WorldCat Record</v>
      </c>
      <c r="AX2154" s="3" t="s">
        <v>18254</v>
      </c>
      <c r="AY2154" s="3" t="s">
        <v>18255</v>
      </c>
      <c r="AZ2154" s="3" t="s">
        <v>18256</v>
      </c>
      <c r="BA2154" s="3" t="s">
        <v>18256</v>
      </c>
      <c r="BB2154" s="3" t="s">
        <v>18257</v>
      </c>
      <c r="BC2154" s="3" t="s">
        <v>82</v>
      </c>
      <c r="BD2154" s="3" t="s">
        <v>70</v>
      </c>
      <c r="BE2154" s="3" t="s">
        <v>18258</v>
      </c>
      <c r="BF2154" s="3" t="s">
        <v>18257</v>
      </c>
      <c r="BG2154" s="3" t="s">
        <v>18259</v>
      </c>
    </row>
    <row r="2155" spans="1:59" ht="60" x14ac:dyDescent="0.25">
      <c r="A2155" s="2" t="s">
        <v>59</v>
      </c>
      <c r="B2155" s="2" t="s">
        <v>60</v>
      </c>
      <c r="C2155" s="2" t="s">
        <v>18250</v>
      </c>
      <c r="D2155" s="2" t="s">
        <v>18251</v>
      </c>
      <c r="E2155" s="2" t="s">
        <v>18252</v>
      </c>
      <c r="F2155" s="3" t="s">
        <v>2601</v>
      </c>
      <c r="G2155" s="3" t="s">
        <v>62</v>
      </c>
      <c r="I2155" s="3" t="s">
        <v>63</v>
      </c>
      <c r="J2155" s="3" t="s">
        <v>63</v>
      </c>
      <c r="K2155" s="3" t="s">
        <v>64</v>
      </c>
      <c r="L2155" s="2" t="s">
        <v>16849</v>
      </c>
      <c r="M2155" s="2" t="s">
        <v>18253</v>
      </c>
      <c r="N2155" s="3" t="s">
        <v>814</v>
      </c>
      <c r="P2155" s="3" t="s">
        <v>66</v>
      </c>
      <c r="R2155" s="3" t="s">
        <v>67</v>
      </c>
      <c r="S2155" s="4">
        <v>18</v>
      </c>
      <c r="T2155" s="4">
        <v>30</v>
      </c>
      <c r="U2155" s="5" t="s">
        <v>1929</v>
      </c>
      <c r="V2155" s="5" t="s">
        <v>1929</v>
      </c>
      <c r="W2155" s="5" t="s">
        <v>69</v>
      </c>
      <c r="X2155" s="5" t="s">
        <v>69</v>
      </c>
      <c r="Y2155" s="4">
        <v>800</v>
      </c>
      <c r="Z2155" s="4">
        <v>29</v>
      </c>
      <c r="AA2155" s="4">
        <v>45</v>
      </c>
      <c r="AB2155" s="4">
        <v>2</v>
      </c>
      <c r="AC2155" s="4">
        <v>3</v>
      </c>
      <c r="AD2155" s="4">
        <v>101</v>
      </c>
      <c r="AE2155" s="4">
        <v>130</v>
      </c>
      <c r="AF2155" s="4">
        <v>1</v>
      </c>
      <c r="AG2155" s="4">
        <v>2</v>
      </c>
      <c r="AH2155" s="4">
        <v>84</v>
      </c>
      <c r="AI2155" s="4">
        <v>107</v>
      </c>
      <c r="AJ2155" s="4">
        <v>9</v>
      </c>
      <c r="AK2155" s="4">
        <v>20</v>
      </c>
      <c r="AL2155" s="4">
        <v>47</v>
      </c>
      <c r="AM2155" s="4">
        <v>57</v>
      </c>
      <c r="AN2155" s="4">
        <v>0</v>
      </c>
      <c r="AO2155" s="4">
        <v>0</v>
      </c>
      <c r="AP2155" s="4">
        <v>16</v>
      </c>
      <c r="AQ2155" s="4">
        <v>28</v>
      </c>
      <c r="AR2155" s="3" t="s">
        <v>63</v>
      </c>
      <c r="AS2155" s="3" t="s">
        <v>63</v>
      </c>
      <c r="AT2155" s="3" t="s">
        <v>62</v>
      </c>
      <c r="AU2155" s="6" t="str">
        <f>HYPERLINK("http://catalog.hathitrust.org/Record/000175249","HathiTrust Record")</f>
        <v>HathiTrust Record</v>
      </c>
      <c r="AV2155" s="6" t="str">
        <f>HYPERLINK("http://mcgill.on.worldcat.org/oclc/3964072","Catalog Record")</f>
        <v>Catalog Record</v>
      </c>
      <c r="AW2155" s="6" t="str">
        <f>HYPERLINK("http://www.worldcat.org/oclc/3964072","WorldCat Record")</f>
        <v>WorldCat Record</v>
      </c>
      <c r="AX2155" s="3" t="s">
        <v>18254</v>
      </c>
      <c r="AY2155" s="3" t="s">
        <v>18255</v>
      </c>
      <c r="AZ2155" s="3" t="s">
        <v>18256</v>
      </c>
      <c r="BA2155" s="3" t="s">
        <v>18256</v>
      </c>
      <c r="BB2155" s="3" t="s">
        <v>18260</v>
      </c>
      <c r="BC2155" s="3" t="s">
        <v>82</v>
      </c>
      <c r="BD2155" s="3" t="s">
        <v>70</v>
      </c>
      <c r="BE2155" s="3" t="s">
        <v>18258</v>
      </c>
      <c r="BF2155" s="3" t="s">
        <v>18260</v>
      </c>
      <c r="BG2155" s="3" t="s">
        <v>18261</v>
      </c>
    </row>
    <row r="2156" spans="1:59" ht="75" x14ac:dyDescent="0.25">
      <c r="A2156" s="2" t="s">
        <v>59</v>
      </c>
      <c r="B2156" s="2" t="s">
        <v>60</v>
      </c>
      <c r="C2156" s="2" t="s">
        <v>18262</v>
      </c>
      <c r="D2156" s="2" t="s">
        <v>18263</v>
      </c>
      <c r="E2156" s="2" t="s">
        <v>18264</v>
      </c>
      <c r="G2156" s="3" t="s">
        <v>63</v>
      </c>
      <c r="I2156" s="3" t="s">
        <v>63</v>
      </c>
      <c r="J2156" s="3" t="s">
        <v>63</v>
      </c>
      <c r="K2156" s="3" t="s">
        <v>64</v>
      </c>
      <c r="L2156" s="2" t="s">
        <v>18265</v>
      </c>
      <c r="M2156" s="2" t="s">
        <v>18266</v>
      </c>
      <c r="N2156" s="3" t="s">
        <v>143</v>
      </c>
      <c r="O2156" s="2" t="s">
        <v>18267</v>
      </c>
      <c r="P2156" s="3" t="s">
        <v>66</v>
      </c>
      <c r="R2156" s="3" t="s">
        <v>67</v>
      </c>
      <c r="S2156" s="4">
        <v>2</v>
      </c>
      <c r="T2156" s="4">
        <v>2</v>
      </c>
      <c r="U2156" s="5" t="s">
        <v>12109</v>
      </c>
      <c r="V2156" s="5" t="s">
        <v>12109</v>
      </c>
      <c r="W2156" s="5" t="s">
        <v>69</v>
      </c>
      <c r="X2156" s="5" t="s">
        <v>69</v>
      </c>
      <c r="Y2156" s="4">
        <v>344</v>
      </c>
      <c r="Z2156" s="4">
        <v>23</v>
      </c>
      <c r="AA2156" s="4">
        <v>26</v>
      </c>
      <c r="AB2156" s="4">
        <v>2</v>
      </c>
      <c r="AC2156" s="4">
        <v>5</v>
      </c>
      <c r="AD2156" s="4">
        <v>68</v>
      </c>
      <c r="AE2156" s="4">
        <v>69</v>
      </c>
      <c r="AF2156" s="4">
        <v>0</v>
      </c>
      <c r="AG2156" s="4">
        <v>0</v>
      </c>
      <c r="AH2156" s="4">
        <v>62</v>
      </c>
      <c r="AI2156" s="4">
        <v>63</v>
      </c>
      <c r="AJ2156" s="4">
        <v>11</v>
      </c>
      <c r="AK2156" s="4">
        <v>11</v>
      </c>
      <c r="AL2156" s="4">
        <v>38</v>
      </c>
      <c r="AM2156" s="4">
        <v>38</v>
      </c>
      <c r="AN2156" s="4">
        <v>0</v>
      </c>
      <c r="AO2156" s="4">
        <v>0</v>
      </c>
      <c r="AP2156" s="4">
        <v>10</v>
      </c>
      <c r="AQ2156" s="4">
        <v>10</v>
      </c>
      <c r="AR2156" s="3" t="s">
        <v>63</v>
      </c>
      <c r="AS2156" s="3" t="s">
        <v>63</v>
      </c>
      <c r="AT2156" s="3" t="s">
        <v>63</v>
      </c>
      <c r="AV2156" s="6" t="str">
        <f>HYPERLINK("http://mcgill.on.worldcat.org/oclc/870098505","Catalog Record")</f>
        <v>Catalog Record</v>
      </c>
      <c r="AW2156" s="6" t="str">
        <f>HYPERLINK("http://www.worldcat.org/oclc/870098505","WorldCat Record")</f>
        <v>WorldCat Record</v>
      </c>
      <c r="AX2156" s="3" t="s">
        <v>18268</v>
      </c>
      <c r="AY2156" s="3" t="s">
        <v>18269</v>
      </c>
      <c r="AZ2156" s="3" t="s">
        <v>18270</v>
      </c>
      <c r="BA2156" s="3" t="s">
        <v>18270</v>
      </c>
      <c r="BB2156" s="3" t="s">
        <v>18271</v>
      </c>
      <c r="BC2156" s="3" t="s">
        <v>82</v>
      </c>
      <c r="BD2156" s="3" t="s">
        <v>538</v>
      </c>
      <c r="BE2156" s="3" t="s">
        <v>18272</v>
      </c>
      <c r="BF2156" s="3" t="s">
        <v>18271</v>
      </c>
      <c r="BG2156" s="3" t="s">
        <v>18273</v>
      </c>
    </row>
    <row r="2157" spans="1:59" ht="105" x14ac:dyDescent="0.25">
      <c r="A2157" s="2" t="s">
        <v>59</v>
      </c>
      <c r="B2157" s="2" t="s">
        <v>60</v>
      </c>
      <c r="C2157" s="2" t="s">
        <v>18274</v>
      </c>
      <c r="D2157" s="2" t="s">
        <v>18275</v>
      </c>
      <c r="E2157" s="2" t="s">
        <v>18276</v>
      </c>
      <c r="G2157" s="3" t="s">
        <v>63</v>
      </c>
      <c r="I2157" s="3" t="s">
        <v>63</v>
      </c>
      <c r="J2157" s="3" t="s">
        <v>63</v>
      </c>
      <c r="K2157" s="3" t="s">
        <v>64</v>
      </c>
      <c r="L2157" s="2" t="s">
        <v>16973</v>
      </c>
      <c r="M2157" s="2" t="s">
        <v>18277</v>
      </c>
      <c r="N2157" s="3" t="s">
        <v>1557</v>
      </c>
      <c r="P2157" s="3" t="s">
        <v>66</v>
      </c>
      <c r="R2157" s="3" t="s">
        <v>67</v>
      </c>
      <c r="S2157" s="4">
        <v>4</v>
      </c>
      <c r="T2157" s="4">
        <v>4</v>
      </c>
      <c r="U2157" s="5" t="s">
        <v>18278</v>
      </c>
      <c r="V2157" s="5" t="s">
        <v>18278</v>
      </c>
      <c r="W2157" s="5" t="s">
        <v>69</v>
      </c>
      <c r="X2157" s="5" t="s">
        <v>69</v>
      </c>
      <c r="Y2157" s="4">
        <v>82</v>
      </c>
      <c r="Z2157" s="4">
        <v>13</v>
      </c>
      <c r="AA2157" s="4">
        <v>80</v>
      </c>
      <c r="AB2157" s="4">
        <v>1</v>
      </c>
      <c r="AC2157" s="4">
        <v>17</v>
      </c>
      <c r="AD2157" s="4">
        <v>47</v>
      </c>
      <c r="AE2157" s="4">
        <v>111</v>
      </c>
      <c r="AF2157" s="4">
        <v>0</v>
      </c>
      <c r="AG2157" s="4">
        <v>8</v>
      </c>
      <c r="AH2157" s="4">
        <v>40</v>
      </c>
      <c r="AI2157" s="4">
        <v>77</v>
      </c>
      <c r="AJ2157" s="4">
        <v>6</v>
      </c>
      <c r="AK2157" s="4">
        <v>21</v>
      </c>
      <c r="AL2157" s="4">
        <v>30</v>
      </c>
      <c r="AM2157" s="4">
        <v>45</v>
      </c>
      <c r="AN2157" s="4">
        <v>0</v>
      </c>
      <c r="AO2157" s="4">
        <v>0</v>
      </c>
      <c r="AP2157" s="4">
        <v>7</v>
      </c>
      <c r="AQ2157" s="4">
        <v>38</v>
      </c>
      <c r="AR2157" s="3" t="s">
        <v>62</v>
      </c>
      <c r="AS2157" s="3" t="s">
        <v>63</v>
      </c>
      <c r="AT2157" s="3" t="s">
        <v>63</v>
      </c>
      <c r="AV2157" s="6" t="str">
        <f>HYPERLINK("http://mcgill.on.worldcat.org/oclc/956395762","Catalog Record")</f>
        <v>Catalog Record</v>
      </c>
      <c r="AW2157" s="6" t="str">
        <f>HYPERLINK("http://www.worldcat.org/oclc/956395762","WorldCat Record")</f>
        <v>WorldCat Record</v>
      </c>
      <c r="AX2157" s="3" t="s">
        <v>18279</v>
      </c>
      <c r="AY2157" s="3" t="s">
        <v>18280</v>
      </c>
      <c r="AZ2157" s="3" t="s">
        <v>18281</v>
      </c>
      <c r="BA2157" s="3" t="s">
        <v>18281</v>
      </c>
      <c r="BB2157" s="3" t="s">
        <v>18282</v>
      </c>
      <c r="BC2157" s="3" t="s">
        <v>82</v>
      </c>
      <c r="BD2157" s="3" t="s">
        <v>70</v>
      </c>
      <c r="BE2157" s="3" t="s">
        <v>18283</v>
      </c>
      <c r="BF2157" s="3" t="s">
        <v>18282</v>
      </c>
      <c r="BG2157" s="3" t="s">
        <v>18284</v>
      </c>
    </row>
    <row r="2158" spans="1:59" ht="90" x14ac:dyDescent="0.25">
      <c r="A2158" s="2" t="s">
        <v>59</v>
      </c>
      <c r="B2158" s="2" t="s">
        <v>60</v>
      </c>
      <c r="C2158" s="2" t="s">
        <v>18285</v>
      </c>
      <c r="D2158" s="2" t="s">
        <v>18286</v>
      </c>
      <c r="E2158" s="2" t="s">
        <v>18287</v>
      </c>
      <c r="G2158" s="3" t="s">
        <v>63</v>
      </c>
      <c r="I2158" s="3" t="s">
        <v>63</v>
      </c>
      <c r="J2158" s="3" t="s">
        <v>63</v>
      </c>
      <c r="K2158" s="3" t="s">
        <v>64</v>
      </c>
      <c r="L2158" s="2" t="s">
        <v>18288</v>
      </c>
      <c r="M2158" s="2" t="s">
        <v>18289</v>
      </c>
      <c r="N2158" s="3" t="s">
        <v>374</v>
      </c>
      <c r="P2158" s="3" t="s">
        <v>66</v>
      </c>
      <c r="Q2158" s="2" t="s">
        <v>18290</v>
      </c>
      <c r="R2158" s="3" t="s">
        <v>67</v>
      </c>
      <c r="S2158" s="4">
        <v>5</v>
      </c>
      <c r="T2158" s="4">
        <v>5</v>
      </c>
      <c r="U2158" s="5" t="s">
        <v>18291</v>
      </c>
      <c r="V2158" s="5" t="s">
        <v>18291</v>
      </c>
      <c r="W2158" s="5" t="s">
        <v>69</v>
      </c>
      <c r="X2158" s="5" t="s">
        <v>69</v>
      </c>
      <c r="Y2158" s="4">
        <v>7</v>
      </c>
      <c r="Z2158" s="4">
        <v>7</v>
      </c>
      <c r="AA2158" s="4">
        <v>21</v>
      </c>
      <c r="AB2158" s="4">
        <v>2</v>
      </c>
      <c r="AC2158" s="4">
        <v>2</v>
      </c>
      <c r="AD2158" s="4">
        <v>5</v>
      </c>
      <c r="AE2158" s="4">
        <v>35</v>
      </c>
      <c r="AF2158" s="4">
        <v>0</v>
      </c>
      <c r="AG2158" s="4">
        <v>0</v>
      </c>
      <c r="AH2158" s="4">
        <v>1</v>
      </c>
      <c r="AI2158" s="4">
        <v>27</v>
      </c>
      <c r="AJ2158" s="4">
        <v>5</v>
      </c>
      <c r="AK2158" s="4">
        <v>15</v>
      </c>
      <c r="AL2158" s="4">
        <v>0</v>
      </c>
      <c r="AM2158" s="4">
        <v>14</v>
      </c>
      <c r="AN2158" s="4">
        <v>0</v>
      </c>
      <c r="AO2158" s="4">
        <v>0</v>
      </c>
      <c r="AP2158" s="4">
        <v>4</v>
      </c>
      <c r="AQ2158" s="4">
        <v>15</v>
      </c>
      <c r="AR2158" s="3" t="s">
        <v>63</v>
      </c>
      <c r="AS2158" s="3" t="s">
        <v>63</v>
      </c>
      <c r="AT2158" s="3" t="s">
        <v>63</v>
      </c>
      <c r="AV2158" s="6" t="str">
        <f>HYPERLINK("http://mcgill.on.worldcat.org/oclc/35881025","Catalog Record")</f>
        <v>Catalog Record</v>
      </c>
      <c r="AW2158" s="6" t="str">
        <f>HYPERLINK("http://www.worldcat.org/oclc/35881025","WorldCat Record")</f>
        <v>WorldCat Record</v>
      </c>
      <c r="AX2158" s="3" t="s">
        <v>18292</v>
      </c>
      <c r="AY2158" s="3" t="s">
        <v>18293</v>
      </c>
      <c r="AZ2158" s="3" t="s">
        <v>18294</v>
      </c>
      <c r="BA2158" s="3" t="s">
        <v>18294</v>
      </c>
      <c r="BB2158" s="3" t="s">
        <v>18295</v>
      </c>
      <c r="BC2158" s="3" t="s">
        <v>82</v>
      </c>
      <c r="BD2158" s="3" t="s">
        <v>70</v>
      </c>
      <c r="BE2158" s="3" t="s">
        <v>18296</v>
      </c>
      <c r="BF2158" s="3" t="s">
        <v>18295</v>
      </c>
      <c r="BG2158" s="3" t="s">
        <v>18297</v>
      </c>
    </row>
    <row r="2159" spans="1:59" ht="60" x14ac:dyDescent="0.25">
      <c r="A2159" s="2" t="s">
        <v>59</v>
      </c>
      <c r="B2159" s="2" t="s">
        <v>60</v>
      </c>
      <c r="C2159" s="2" t="s">
        <v>18298</v>
      </c>
      <c r="D2159" s="2" t="s">
        <v>18299</v>
      </c>
      <c r="E2159" s="2" t="s">
        <v>18300</v>
      </c>
      <c r="G2159" s="3" t="s">
        <v>63</v>
      </c>
      <c r="I2159" s="3" t="s">
        <v>63</v>
      </c>
      <c r="J2159" s="3" t="s">
        <v>63</v>
      </c>
      <c r="K2159" s="3" t="s">
        <v>64</v>
      </c>
      <c r="L2159" s="2" t="s">
        <v>18301</v>
      </c>
      <c r="M2159" s="2" t="s">
        <v>18302</v>
      </c>
      <c r="N2159" s="3" t="s">
        <v>629</v>
      </c>
      <c r="O2159" s="2" t="s">
        <v>9903</v>
      </c>
      <c r="P2159" s="3" t="s">
        <v>66</v>
      </c>
      <c r="R2159" s="3" t="s">
        <v>67</v>
      </c>
      <c r="S2159" s="4">
        <v>3</v>
      </c>
      <c r="T2159" s="4">
        <v>3</v>
      </c>
      <c r="U2159" s="5" t="s">
        <v>18303</v>
      </c>
      <c r="V2159" s="5" t="s">
        <v>18303</v>
      </c>
      <c r="W2159" s="5" t="s">
        <v>69</v>
      </c>
      <c r="X2159" s="5" t="s">
        <v>69</v>
      </c>
      <c r="Y2159" s="4">
        <v>1125</v>
      </c>
      <c r="Z2159" s="4">
        <v>35</v>
      </c>
      <c r="AA2159" s="4">
        <v>48</v>
      </c>
      <c r="AB2159" s="4">
        <v>4</v>
      </c>
      <c r="AC2159" s="4">
        <v>7</v>
      </c>
      <c r="AD2159" s="4">
        <v>57</v>
      </c>
      <c r="AE2159" s="4">
        <v>96</v>
      </c>
      <c r="AF2159" s="4">
        <v>0</v>
      </c>
      <c r="AG2159" s="4">
        <v>0</v>
      </c>
      <c r="AH2159" s="4">
        <v>51</v>
      </c>
      <c r="AI2159" s="4">
        <v>87</v>
      </c>
      <c r="AJ2159" s="4">
        <v>6</v>
      </c>
      <c r="AK2159" s="4">
        <v>12</v>
      </c>
      <c r="AL2159" s="4">
        <v>22</v>
      </c>
      <c r="AM2159" s="4">
        <v>50</v>
      </c>
      <c r="AN2159" s="4">
        <v>0</v>
      </c>
      <c r="AO2159" s="4">
        <v>0</v>
      </c>
      <c r="AP2159" s="4">
        <v>8</v>
      </c>
      <c r="AQ2159" s="4">
        <v>15</v>
      </c>
      <c r="AR2159" s="3" t="s">
        <v>63</v>
      </c>
      <c r="AS2159" s="3" t="s">
        <v>63</v>
      </c>
      <c r="AT2159" s="3" t="s">
        <v>63</v>
      </c>
      <c r="AV2159" s="6" t="str">
        <f>HYPERLINK("http://mcgill.on.worldcat.org/oclc/666239940","Catalog Record")</f>
        <v>Catalog Record</v>
      </c>
      <c r="AW2159" s="6" t="str">
        <f>HYPERLINK("http://www.worldcat.org/oclc/666239940","WorldCat Record")</f>
        <v>WorldCat Record</v>
      </c>
      <c r="AX2159" s="3" t="s">
        <v>18304</v>
      </c>
      <c r="AY2159" s="3" t="s">
        <v>18305</v>
      </c>
      <c r="AZ2159" s="3" t="s">
        <v>18306</v>
      </c>
      <c r="BA2159" s="3" t="s">
        <v>18306</v>
      </c>
      <c r="BB2159" s="3" t="s">
        <v>18307</v>
      </c>
      <c r="BC2159" s="3" t="s">
        <v>82</v>
      </c>
      <c r="BD2159" s="3" t="s">
        <v>538</v>
      </c>
      <c r="BE2159" s="3" t="s">
        <v>18308</v>
      </c>
      <c r="BF2159" s="3" t="s">
        <v>18307</v>
      </c>
      <c r="BG2159" s="3" t="s">
        <v>18309</v>
      </c>
    </row>
    <row r="2160" spans="1:59" ht="60" x14ac:dyDescent="0.25">
      <c r="A2160" s="2" t="s">
        <v>59</v>
      </c>
      <c r="B2160" s="2" t="s">
        <v>60</v>
      </c>
      <c r="C2160" s="2" t="s">
        <v>18310</v>
      </c>
      <c r="D2160" s="2" t="s">
        <v>18311</v>
      </c>
      <c r="E2160" s="2" t="s">
        <v>18312</v>
      </c>
      <c r="G2160" s="3" t="s">
        <v>63</v>
      </c>
      <c r="I2160" s="3" t="s">
        <v>62</v>
      </c>
      <c r="J2160" s="3" t="s">
        <v>63</v>
      </c>
      <c r="K2160" s="3" t="s">
        <v>64</v>
      </c>
      <c r="L2160" s="2" t="s">
        <v>5186</v>
      </c>
      <c r="M2160" s="2" t="s">
        <v>18313</v>
      </c>
      <c r="N2160" s="3" t="s">
        <v>106</v>
      </c>
      <c r="P2160" s="3" t="s">
        <v>90</v>
      </c>
      <c r="R2160" s="3" t="s">
        <v>67</v>
      </c>
      <c r="S2160" s="4">
        <v>0</v>
      </c>
      <c r="T2160" s="4">
        <v>0</v>
      </c>
      <c r="W2160" s="5" t="s">
        <v>69</v>
      </c>
      <c r="X2160" s="5" t="s">
        <v>69</v>
      </c>
      <c r="Y2160" s="4">
        <v>64</v>
      </c>
      <c r="Z2160" s="4">
        <v>2</v>
      </c>
      <c r="AA2160" s="4">
        <v>2</v>
      </c>
      <c r="AB2160" s="4">
        <v>1</v>
      </c>
      <c r="AC2160" s="4">
        <v>1</v>
      </c>
      <c r="AD2160" s="4">
        <v>38</v>
      </c>
      <c r="AE2160" s="4">
        <v>39</v>
      </c>
      <c r="AF2160" s="4">
        <v>0</v>
      </c>
      <c r="AG2160" s="4">
        <v>0</v>
      </c>
      <c r="AH2160" s="4">
        <v>37</v>
      </c>
      <c r="AI2160" s="4">
        <v>38</v>
      </c>
      <c r="AJ2160" s="4">
        <v>1</v>
      </c>
      <c r="AK2160" s="4">
        <v>1</v>
      </c>
      <c r="AL2160" s="4">
        <v>29</v>
      </c>
      <c r="AM2160" s="4">
        <v>29</v>
      </c>
      <c r="AN2160" s="4">
        <v>0</v>
      </c>
      <c r="AO2160" s="4">
        <v>0</v>
      </c>
      <c r="AP2160" s="4">
        <v>1</v>
      </c>
      <c r="AQ2160" s="4">
        <v>1</v>
      </c>
      <c r="AR2160" s="3" t="s">
        <v>63</v>
      </c>
      <c r="AS2160" s="3" t="s">
        <v>63</v>
      </c>
      <c r="AT2160" s="3" t="s">
        <v>63</v>
      </c>
      <c r="AV2160" s="6" t="str">
        <f>HYPERLINK("http://mcgill.on.worldcat.org/oclc/962102092","Catalog Record")</f>
        <v>Catalog Record</v>
      </c>
      <c r="AW2160" s="6" t="str">
        <f>HYPERLINK("http://www.worldcat.org/oclc/962102092","WorldCat Record")</f>
        <v>WorldCat Record</v>
      </c>
      <c r="AX2160" s="3" t="s">
        <v>18314</v>
      </c>
      <c r="AY2160" s="3" t="s">
        <v>18315</v>
      </c>
      <c r="AZ2160" s="3" t="s">
        <v>18316</v>
      </c>
      <c r="BA2160" s="3" t="s">
        <v>18316</v>
      </c>
      <c r="BB2160" s="3" t="s">
        <v>18317</v>
      </c>
      <c r="BC2160" s="3" t="s">
        <v>82</v>
      </c>
      <c r="BD2160" s="3" t="s">
        <v>70</v>
      </c>
      <c r="BE2160" s="3" t="s">
        <v>18318</v>
      </c>
      <c r="BF2160" s="3" t="s">
        <v>18317</v>
      </c>
      <c r="BG2160" s="3" t="s">
        <v>18319</v>
      </c>
    </row>
    <row r="2161" spans="1:59" ht="60" x14ac:dyDescent="0.25">
      <c r="A2161" s="2" t="s">
        <v>59</v>
      </c>
      <c r="B2161" s="2" t="s">
        <v>60</v>
      </c>
      <c r="C2161" s="2" t="s">
        <v>18310</v>
      </c>
      <c r="D2161" s="2" t="s">
        <v>18311</v>
      </c>
      <c r="E2161" s="2" t="s">
        <v>18312</v>
      </c>
      <c r="G2161" s="3" t="s">
        <v>63</v>
      </c>
      <c r="I2161" s="3" t="s">
        <v>62</v>
      </c>
      <c r="J2161" s="3" t="s">
        <v>63</v>
      </c>
      <c r="K2161" s="3" t="s">
        <v>64</v>
      </c>
      <c r="L2161" s="2" t="s">
        <v>5186</v>
      </c>
      <c r="M2161" s="2" t="s">
        <v>18313</v>
      </c>
      <c r="N2161" s="3" t="s">
        <v>106</v>
      </c>
      <c r="P2161" s="3" t="s">
        <v>90</v>
      </c>
      <c r="R2161" s="3" t="s">
        <v>67</v>
      </c>
      <c r="S2161" s="4">
        <v>0</v>
      </c>
      <c r="T2161" s="4">
        <v>0</v>
      </c>
      <c r="W2161" s="5" t="s">
        <v>69</v>
      </c>
      <c r="X2161" s="5" t="s">
        <v>69</v>
      </c>
      <c r="Y2161" s="4">
        <v>64</v>
      </c>
      <c r="Z2161" s="4">
        <v>2</v>
      </c>
      <c r="AA2161" s="4">
        <v>2</v>
      </c>
      <c r="AB2161" s="4">
        <v>1</v>
      </c>
      <c r="AC2161" s="4">
        <v>1</v>
      </c>
      <c r="AD2161" s="4">
        <v>38</v>
      </c>
      <c r="AE2161" s="4">
        <v>39</v>
      </c>
      <c r="AF2161" s="4">
        <v>0</v>
      </c>
      <c r="AG2161" s="4">
        <v>0</v>
      </c>
      <c r="AH2161" s="4">
        <v>37</v>
      </c>
      <c r="AI2161" s="4">
        <v>38</v>
      </c>
      <c r="AJ2161" s="4">
        <v>1</v>
      </c>
      <c r="AK2161" s="4">
        <v>1</v>
      </c>
      <c r="AL2161" s="4">
        <v>29</v>
      </c>
      <c r="AM2161" s="4">
        <v>29</v>
      </c>
      <c r="AN2161" s="4">
        <v>0</v>
      </c>
      <c r="AO2161" s="4">
        <v>0</v>
      </c>
      <c r="AP2161" s="4">
        <v>1</v>
      </c>
      <c r="AQ2161" s="4">
        <v>1</v>
      </c>
      <c r="AR2161" s="3" t="s">
        <v>63</v>
      </c>
      <c r="AS2161" s="3" t="s">
        <v>63</v>
      </c>
      <c r="AT2161" s="3" t="s">
        <v>63</v>
      </c>
      <c r="AV2161" s="6" t="str">
        <f>HYPERLINK("http://mcgill.on.worldcat.org/oclc/962102092","Catalog Record")</f>
        <v>Catalog Record</v>
      </c>
      <c r="AW2161" s="6" t="str">
        <f>HYPERLINK("http://www.worldcat.org/oclc/962102092","WorldCat Record")</f>
        <v>WorldCat Record</v>
      </c>
      <c r="AX2161" s="3" t="s">
        <v>18314</v>
      </c>
      <c r="AY2161" s="3" t="s">
        <v>18315</v>
      </c>
      <c r="AZ2161" s="3" t="s">
        <v>18316</v>
      </c>
      <c r="BA2161" s="3" t="s">
        <v>18316</v>
      </c>
      <c r="BB2161" s="3" t="s">
        <v>18320</v>
      </c>
      <c r="BC2161" s="3" t="s">
        <v>82</v>
      </c>
      <c r="BD2161" s="3" t="s">
        <v>70</v>
      </c>
      <c r="BE2161" s="3" t="s">
        <v>18318</v>
      </c>
      <c r="BF2161" s="3" t="s">
        <v>18320</v>
      </c>
      <c r="BG2161" s="3" t="s">
        <v>18321</v>
      </c>
    </row>
    <row r="2162" spans="1:59" ht="60" x14ac:dyDescent="0.25">
      <c r="A2162" s="2" t="s">
        <v>59</v>
      </c>
      <c r="B2162" s="2" t="s">
        <v>60</v>
      </c>
      <c r="C2162" s="2" t="s">
        <v>18322</v>
      </c>
      <c r="D2162" s="2" t="s">
        <v>18323</v>
      </c>
      <c r="E2162" s="2" t="s">
        <v>18324</v>
      </c>
      <c r="G2162" s="3" t="s">
        <v>63</v>
      </c>
      <c r="I2162" s="3" t="s">
        <v>62</v>
      </c>
      <c r="J2162" s="3" t="s">
        <v>63</v>
      </c>
      <c r="K2162" s="3" t="s">
        <v>64</v>
      </c>
      <c r="L2162" s="2" t="s">
        <v>16317</v>
      </c>
      <c r="M2162" s="2" t="s">
        <v>18325</v>
      </c>
      <c r="N2162" s="3" t="s">
        <v>918</v>
      </c>
      <c r="P2162" s="3" t="s">
        <v>66</v>
      </c>
      <c r="R2162" s="3" t="s">
        <v>67</v>
      </c>
      <c r="S2162" s="4">
        <v>18</v>
      </c>
      <c r="T2162" s="4">
        <v>33</v>
      </c>
      <c r="U2162" s="5" t="s">
        <v>519</v>
      </c>
      <c r="V2162" s="5" t="s">
        <v>519</v>
      </c>
      <c r="W2162" s="5" t="s">
        <v>69</v>
      </c>
      <c r="X2162" s="5" t="s">
        <v>69</v>
      </c>
      <c r="Y2162" s="4">
        <v>911</v>
      </c>
      <c r="Z2162" s="4">
        <v>23</v>
      </c>
      <c r="AA2162" s="4">
        <v>63</v>
      </c>
      <c r="AB2162" s="4">
        <v>2</v>
      </c>
      <c r="AC2162" s="4">
        <v>5</v>
      </c>
      <c r="AD2162" s="4">
        <v>92</v>
      </c>
      <c r="AE2162" s="4">
        <v>138</v>
      </c>
      <c r="AF2162" s="4">
        <v>0</v>
      </c>
      <c r="AG2162" s="4">
        <v>3</v>
      </c>
      <c r="AH2162" s="4">
        <v>77</v>
      </c>
      <c r="AI2162" s="4">
        <v>106</v>
      </c>
      <c r="AJ2162" s="4">
        <v>9</v>
      </c>
      <c r="AK2162" s="4">
        <v>24</v>
      </c>
      <c r="AL2162" s="4">
        <v>43</v>
      </c>
      <c r="AM2162" s="4">
        <v>60</v>
      </c>
      <c r="AN2162" s="4">
        <v>0</v>
      </c>
      <c r="AO2162" s="4">
        <v>0</v>
      </c>
      <c r="AP2162" s="4">
        <v>18</v>
      </c>
      <c r="AQ2162" s="4">
        <v>40</v>
      </c>
      <c r="AR2162" s="3" t="s">
        <v>63</v>
      </c>
      <c r="AS2162" s="3" t="s">
        <v>63</v>
      </c>
      <c r="AT2162" s="3" t="s">
        <v>63</v>
      </c>
      <c r="AV2162" s="6" t="str">
        <f>HYPERLINK("http://mcgill.on.worldcat.org/oclc/321585","Catalog Record")</f>
        <v>Catalog Record</v>
      </c>
      <c r="AW2162" s="6" t="str">
        <f>HYPERLINK("http://www.worldcat.org/oclc/321585","WorldCat Record")</f>
        <v>WorldCat Record</v>
      </c>
      <c r="AX2162" s="3" t="s">
        <v>18326</v>
      </c>
      <c r="AY2162" s="3" t="s">
        <v>18327</v>
      </c>
      <c r="AZ2162" s="3" t="s">
        <v>18328</v>
      </c>
      <c r="BA2162" s="3" t="s">
        <v>18328</v>
      </c>
      <c r="BB2162" s="3" t="s">
        <v>18329</v>
      </c>
      <c r="BC2162" s="3" t="s">
        <v>82</v>
      </c>
      <c r="BD2162" s="3" t="s">
        <v>70</v>
      </c>
      <c r="BF2162" s="3" t="s">
        <v>18329</v>
      </c>
      <c r="BG2162" s="3" t="s">
        <v>18330</v>
      </c>
    </row>
    <row r="2163" spans="1:59" ht="60" x14ac:dyDescent="0.25">
      <c r="A2163" s="2" t="s">
        <v>59</v>
      </c>
      <c r="B2163" s="2" t="s">
        <v>60</v>
      </c>
      <c r="C2163" s="2" t="s">
        <v>18322</v>
      </c>
      <c r="D2163" s="2" t="s">
        <v>18323</v>
      </c>
      <c r="E2163" s="2" t="s">
        <v>18324</v>
      </c>
      <c r="G2163" s="3" t="s">
        <v>63</v>
      </c>
      <c r="I2163" s="3" t="s">
        <v>62</v>
      </c>
      <c r="J2163" s="3" t="s">
        <v>63</v>
      </c>
      <c r="K2163" s="3" t="s">
        <v>64</v>
      </c>
      <c r="L2163" s="2" t="s">
        <v>16317</v>
      </c>
      <c r="M2163" s="2" t="s">
        <v>18325</v>
      </c>
      <c r="N2163" s="3" t="s">
        <v>918</v>
      </c>
      <c r="P2163" s="3" t="s">
        <v>66</v>
      </c>
      <c r="R2163" s="3" t="s">
        <v>67</v>
      </c>
      <c r="S2163" s="4">
        <v>15</v>
      </c>
      <c r="T2163" s="4">
        <v>33</v>
      </c>
      <c r="U2163" s="5" t="s">
        <v>3628</v>
      </c>
      <c r="V2163" s="5" t="s">
        <v>519</v>
      </c>
      <c r="W2163" s="5" t="s">
        <v>69</v>
      </c>
      <c r="X2163" s="5" t="s">
        <v>69</v>
      </c>
      <c r="Y2163" s="4">
        <v>911</v>
      </c>
      <c r="Z2163" s="4">
        <v>23</v>
      </c>
      <c r="AA2163" s="4">
        <v>63</v>
      </c>
      <c r="AB2163" s="4">
        <v>2</v>
      </c>
      <c r="AC2163" s="4">
        <v>5</v>
      </c>
      <c r="AD2163" s="4">
        <v>92</v>
      </c>
      <c r="AE2163" s="4">
        <v>138</v>
      </c>
      <c r="AF2163" s="4">
        <v>0</v>
      </c>
      <c r="AG2163" s="4">
        <v>3</v>
      </c>
      <c r="AH2163" s="4">
        <v>77</v>
      </c>
      <c r="AI2163" s="4">
        <v>106</v>
      </c>
      <c r="AJ2163" s="4">
        <v>9</v>
      </c>
      <c r="AK2163" s="4">
        <v>24</v>
      </c>
      <c r="AL2163" s="4">
        <v>43</v>
      </c>
      <c r="AM2163" s="4">
        <v>60</v>
      </c>
      <c r="AN2163" s="4">
        <v>0</v>
      </c>
      <c r="AO2163" s="4">
        <v>0</v>
      </c>
      <c r="AP2163" s="4">
        <v>18</v>
      </c>
      <c r="AQ2163" s="4">
        <v>40</v>
      </c>
      <c r="AR2163" s="3" t="s">
        <v>63</v>
      </c>
      <c r="AS2163" s="3" t="s">
        <v>63</v>
      </c>
      <c r="AT2163" s="3" t="s">
        <v>63</v>
      </c>
      <c r="AV2163" s="6" t="str">
        <f>HYPERLINK("http://mcgill.on.worldcat.org/oclc/321585","Catalog Record")</f>
        <v>Catalog Record</v>
      </c>
      <c r="AW2163" s="6" t="str">
        <f>HYPERLINK("http://www.worldcat.org/oclc/321585","WorldCat Record")</f>
        <v>WorldCat Record</v>
      </c>
      <c r="AX2163" s="3" t="s">
        <v>18326</v>
      </c>
      <c r="AY2163" s="3" t="s">
        <v>18327</v>
      </c>
      <c r="AZ2163" s="3" t="s">
        <v>18328</v>
      </c>
      <c r="BA2163" s="3" t="s">
        <v>18328</v>
      </c>
      <c r="BB2163" s="3" t="s">
        <v>18331</v>
      </c>
      <c r="BC2163" s="3" t="s">
        <v>82</v>
      </c>
      <c r="BD2163" s="3" t="s">
        <v>70</v>
      </c>
      <c r="BF2163" s="3" t="s">
        <v>18331</v>
      </c>
      <c r="BG2163" s="3" t="s">
        <v>18332</v>
      </c>
    </row>
    <row r="2164" spans="1:59" ht="60" x14ac:dyDescent="0.25">
      <c r="A2164" s="2" t="s">
        <v>59</v>
      </c>
      <c r="B2164" s="2" t="s">
        <v>60</v>
      </c>
      <c r="C2164" s="2" t="s">
        <v>18333</v>
      </c>
      <c r="D2164" s="2" t="s">
        <v>18334</v>
      </c>
      <c r="E2164" s="2" t="s">
        <v>18335</v>
      </c>
      <c r="G2164" s="3" t="s">
        <v>63</v>
      </c>
      <c r="I2164" s="3" t="s">
        <v>63</v>
      </c>
      <c r="J2164" s="3" t="s">
        <v>63</v>
      </c>
      <c r="K2164" s="3" t="s">
        <v>64</v>
      </c>
      <c r="L2164" s="2" t="s">
        <v>18336</v>
      </c>
      <c r="M2164" s="2" t="s">
        <v>18337</v>
      </c>
      <c r="N2164" s="3" t="s">
        <v>313</v>
      </c>
      <c r="P2164" s="3" t="s">
        <v>66</v>
      </c>
      <c r="Q2164" s="2" t="s">
        <v>16097</v>
      </c>
      <c r="R2164" s="3" t="s">
        <v>67</v>
      </c>
      <c r="S2164" s="4">
        <v>2</v>
      </c>
      <c r="T2164" s="4">
        <v>2</v>
      </c>
      <c r="U2164" s="5" t="s">
        <v>18338</v>
      </c>
      <c r="V2164" s="5" t="s">
        <v>18338</v>
      </c>
      <c r="W2164" s="5" t="s">
        <v>69</v>
      </c>
      <c r="X2164" s="5" t="s">
        <v>69</v>
      </c>
      <c r="Y2164" s="4">
        <v>132</v>
      </c>
      <c r="Z2164" s="4">
        <v>9</v>
      </c>
      <c r="AA2164" s="4">
        <v>9</v>
      </c>
      <c r="AB2164" s="4">
        <v>2</v>
      </c>
      <c r="AC2164" s="4">
        <v>2</v>
      </c>
      <c r="AD2164" s="4">
        <v>38</v>
      </c>
      <c r="AE2164" s="4">
        <v>38</v>
      </c>
      <c r="AF2164" s="4">
        <v>0</v>
      </c>
      <c r="AG2164" s="4">
        <v>0</v>
      </c>
      <c r="AH2164" s="4">
        <v>36</v>
      </c>
      <c r="AI2164" s="4">
        <v>36</v>
      </c>
      <c r="AJ2164" s="4">
        <v>5</v>
      </c>
      <c r="AK2164" s="4">
        <v>5</v>
      </c>
      <c r="AL2164" s="4">
        <v>26</v>
      </c>
      <c r="AM2164" s="4">
        <v>26</v>
      </c>
      <c r="AN2164" s="4">
        <v>0</v>
      </c>
      <c r="AO2164" s="4">
        <v>0</v>
      </c>
      <c r="AP2164" s="4">
        <v>5</v>
      </c>
      <c r="AQ2164" s="4">
        <v>5</v>
      </c>
      <c r="AR2164" s="3" t="s">
        <v>63</v>
      </c>
      <c r="AS2164" s="3" t="s">
        <v>63</v>
      </c>
      <c r="AT2164" s="3" t="s">
        <v>63</v>
      </c>
      <c r="AV2164" s="6" t="str">
        <f>HYPERLINK("http://mcgill.on.worldcat.org/oclc/649897676","Catalog Record")</f>
        <v>Catalog Record</v>
      </c>
      <c r="AW2164" s="6" t="str">
        <f>HYPERLINK("http://www.worldcat.org/oclc/649897676","WorldCat Record")</f>
        <v>WorldCat Record</v>
      </c>
      <c r="AX2164" s="3" t="s">
        <v>18339</v>
      </c>
      <c r="AY2164" s="3" t="s">
        <v>18340</v>
      </c>
      <c r="AZ2164" s="3" t="s">
        <v>18341</v>
      </c>
      <c r="BA2164" s="3" t="s">
        <v>18341</v>
      </c>
      <c r="BB2164" s="3" t="s">
        <v>18342</v>
      </c>
      <c r="BC2164" s="3" t="s">
        <v>82</v>
      </c>
      <c r="BD2164" s="3" t="s">
        <v>70</v>
      </c>
      <c r="BE2164" s="3" t="s">
        <v>18343</v>
      </c>
      <c r="BF2164" s="3" t="s">
        <v>18342</v>
      </c>
      <c r="BG2164" s="3" t="s">
        <v>18344</v>
      </c>
    </row>
    <row r="2165" spans="1:59" ht="60" x14ac:dyDescent="0.25">
      <c r="A2165" s="2" t="s">
        <v>59</v>
      </c>
      <c r="B2165" s="2" t="s">
        <v>60</v>
      </c>
      <c r="C2165" s="2" t="s">
        <v>18345</v>
      </c>
      <c r="D2165" s="2" t="s">
        <v>18346</v>
      </c>
      <c r="E2165" s="2" t="s">
        <v>18347</v>
      </c>
      <c r="G2165" s="3" t="s">
        <v>63</v>
      </c>
      <c r="I2165" s="3" t="s">
        <v>63</v>
      </c>
      <c r="J2165" s="3" t="s">
        <v>63</v>
      </c>
      <c r="K2165" s="3" t="s">
        <v>64</v>
      </c>
      <c r="L2165" s="2" t="s">
        <v>18348</v>
      </c>
      <c r="M2165" s="2" t="s">
        <v>18349</v>
      </c>
      <c r="N2165" s="3" t="s">
        <v>190</v>
      </c>
      <c r="P2165" s="3" t="s">
        <v>66</v>
      </c>
      <c r="Q2165" s="2" t="s">
        <v>18350</v>
      </c>
      <c r="R2165" s="3" t="s">
        <v>67</v>
      </c>
      <c r="S2165" s="4">
        <v>5</v>
      </c>
      <c r="T2165" s="4">
        <v>5</v>
      </c>
      <c r="U2165" s="5" t="s">
        <v>18291</v>
      </c>
      <c r="V2165" s="5" t="s">
        <v>18291</v>
      </c>
      <c r="W2165" s="5" t="s">
        <v>69</v>
      </c>
      <c r="X2165" s="5" t="s">
        <v>69</v>
      </c>
      <c r="Y2165" s="4">
        <v>64</v>
      </c>
      <c r="Z2165" s="4">
        <v>17</v>
      </c>
      <c r="AA2165" s="4">
        <v>36</v>
      </c>
      <c r="AB2165" s="4">
        <v>2</v>
      </c>
      <c r="AC2165" s="4">
        <v>9</v>
      </c>
      <c r="AD2165" s="4">
        <v>45</v>
      </c>
      <c r="AE2165" s="4">
        <v>64</v>
      </c>
      <c r="AF2165" s="4">
        <v>0</v>
      </c>
      <c r="AG2165" s="4">
        <v>3</v>
      </c>
      <c r="AH2165" s="4">
        <v>34</v>
      </c>
      <c r="AI2165" s="4">
        <v>45</v>
      </c>
      <c r="AJ2165" s="4">
        <v>10</v>
      </c>
      <c r="AK2165" s="4">
        <v>15</v>
      </c>
      <c r="AL2165" s="4">
        <v>23</v>
      </c>
      <c r="AM2165" s="4">
        <v>27</v>
      </c>
      <c r="AN2165" s="4">
        <v>0</v>
      </c>
      <c r="AO2165" s="4">
        <v>0</v>
      </c>
      <c r="AP2165" s="4">
        <v>12</v>
      </c>
      <c r="AQ2165" s="4">
        <v>21</v>
      </c>
      <c r="AR2165" s="3" t="s">
        <v>62</v>
      </c>
      <c r="AS2165" s="3" t="s">
        <v>63</v>
      </c>
      <c r="AT2165" s="3" t="s">
        <v>63</v>
      </c>
      <c r="AV2165" s="6" t="str">
        <f>HYPERLINK("http://mcgill.on.worldcat.org/oclc/58728848","Catalog Record")</f>
        <v>Catalog Record</v>
      </c>
      <c r="AW2165" s="6" t="str">
        <f>HYPERLINK("http://www.worldcat.org/oclc/58728848","WorldCat Record")</f>
        <v>WorldCat Record</v>
      </c>
      <c r="AX2165" s="3" t="s">
        <v>18351</v>
      </c>
      <c r="AY2165" s="3" t="s">
        <v>18352</v>
      </c>
      <c r="AZ2165" s="3" t="s">
        <v>18353</v>
      </c>
      <c r="BA2165" s="3" t="s">
        <v>18353</v>
      </c>
      <c r="BB2165" s="3" t="s">
        <v>18354</v>
      </c>
      <c r="BC2165" s="3" t="s">
        <v>82</v>
      </c>
      <c r="BD2165" s="3" t="s">
        <v>70</v>
      </c>
      <c r="BE2165" s="3" t="s">
        <v>18355</v>
      </c>
      <c r="BF2165" s="3" t="s">
        <v>18354</v>
      </c>
      <c r="BG2165" s="3" t="s">
        <v>18356</v>
      </c>
    </row>
    <row r="2166" spans="1:59" ht="75" x14ac:dyDescent="0.25">
      <c r="A2166" s="2" t="s">
        <v>59</v>
      </c>
      <c r="B2166" s="2" t="s">
        <v>60</v>
      </c>
      <c r="C2166" s="2" t="s">
        <v>18357</v>
      </c>
      <c r="D2166" s="2" t="s">
        <v>18358</v>
      </c>
      <c r="E2166" s="2" t="s">
        <v>18359</v>
      </c>
      <c r="G2166" s="3" t="s">
        <v>63</v>
      </c>
      <c r="I2166" s="3" t="s">
        <v>63</v>
      </c>
      <c r="J2166" s="3" t="s">
        <v>63</v>
      </c>
      <c r="K2166" s="3" t="s">
        <v>64</v>
      </c>
      <c r="L2166" s="2" t="s">
        <v>5720</v>
      </c>
      <c r="M2166" s="2" t="s">
        <v>18360</v>
      </c>
      <c r="N2166" s="3" t="s">
        <v>326</v>
      </c>
      <c r="P2166" s="3" t="s">
        <v>90</v>
      </c>
      <c r="Q2166" s="2" t="s">
        <v>18361</v>
      </c>
      <c r="R2166" s="3" t="s">
        <v>67</v>
      </c>
      <c r="S2166" s="4">
        <v>2</v>
      </c>
      <c r="T2166" s="4">
        <v>2</v>
      </c>
      <c r="U2166" s="5" t="s">
        <v>18362</v>
      </c>
      <c r="V2166" s="5" t="s">
        <v>18362</v>
      </c>
      <c r="W2166" s="5" t="s">
        <v>69</v>
      </c>
      <c r="X2166" s="5" t="s">
        <v>69</v>
      </c>
      <c r="Y2166" s="4">
        <v>22</v>
      </c>
      <c r="Z2166" s="4">
        <v>1</v>
      </c>
      <c r="AA2166" s="4">
        <v>1</v>
      </c>
      <c r="AB2166" s="4">
        <v>1</v>
      </c>
      <c r="AC2166" s="4">
        <v>1</v>
      </c>
      <c r="AD2166" s="4">
        <v>18</v>
      </c>
      <c r="AE2166" s="4">
        <v>18</v>
      </c>
      <c r="AF2166" s="4">
        <v>0</v>
      </c>
      <c r="AG2166" s="4">
        <v>0</v>
      </c>
      <c r="AH2166" s="4">
        <v>17</v>
      </c>
      <c r="AI2166" s="4">
        <v>17</v>
      </c>
      <c r="AJ2166" s="4">
        <v>0</v>
      </c>
      <c r="AK2166" s="4">
        <v>0</v>
      </c>
      <c r="AL2166" s="4">
        <v>14</v>
      </c>
      <c r="AM2166" s="4">
        <v>14</v>
      </c>
      <c r="AN2166" s="4">
        <v>0</v>
      </c>
      <c r="AO2166" s="4">
        <v>0</v>
      </c>
      <c r="AP2166" s="4">
        <v>0</v>
      </c>
      <c r="AQ2166" s="4">
        <v>0</v>
      </c>
      <c r="AR2166" s="3" t="s">
        <v>63</v>
      </c>
      <c r="AS2166" s="3" t="s">
        <v>63</v>
      </c>
      <c r="AT2166" s="3" t="s">
        <v>62</v>
      </c>
      <c r="AU2166" s="6" t="str">
        <f>HYPERLINK("http://catalog.hathitrust.org/Record/011810637","HathiTrust Record")</f>
        <v>HathiTrust Record</v>
      </c>
      <c r="AV2166" s="6" t="str">
        <f>HYPERLINK("http://mcgill.on.worldcat.org/oclc/593254090","Catalog Record")</f>
        <v>Catalog Record</v>
      </c>
      <c r="AW2166" s="6" t="str">
        <f>HYPERLINK("http://www.worldcat.org/oclc/593254090","WorldCat Record")</f>
        <v>WorldCat Record</v>
      </c>
      <c r="AX2166" s="3" t="s">
        <v>18363</v>
      </c>
      <c r="AY2166" s="3" t="s">
        <v>18364</v>
      </c>
      <c r="AZ2166" s="3" t="s">
        <v>18365</v>
      </c>
      <c r="BA2166" s="3" t="s">
        <v>18365</v>
      </c>
      <c r="BB2166" s="3" t="s">
        <v>18366</v>
      </c>
      <c r="BC2166" s="3" t="s">
        <v>82</v>
      </c>
      <c r="BD2166" s="3" t="s">
        <v>70</v>
      </c>
      <c r="BE2166" s="3" t="s">
        <v>18367</v>
      </c>
      <c r="BF2166" s="3" t="s">
        <v>18366</v>
      </c>
      <c r="BG2166" s="3" t="s">
        <v>18368</v>
      </c>
    </row>
    <row r="2167" spans="1:59" ht="60" x14ac:dyDescent="0.25">
      <c r="A2167" s="2" t="s">
        <v>59</v>
      </c>
      <c r="B2167" s="2" t="s">
        <v>60</v>
      </c>
      <c r="C2167" s="2" t="s">
        <v>18369</v>
      </c>
      <c r="D2167" s="2" t="s">
        <v>18370</v>
      </c>
      <c r="E2167" s="2" t="s">
        <v>18371</v>
      </c>
      <c r="F2167" s="3" t="s">
        <v>571</v>
      </c>
      <c r="G2167" s="3" t="s">
        <v>62</v>
      </c>
      <c r="I2167" s="3" t="s">
        <v>63</v>
      </c>
      <c r="J2167" s="3" t="s">
        <v>63</v>
      </c>
      <c r="K2167" s="3" t="s">
        <v>64</v>
      </c>
      <c r="L2167" s="2" t="s">
        <v>18372</v>
      </c>
      <c r="M2167" s="2" t="s">
        <v>18373</v>
      </c>
      <c r="N2167" s="3" t="s">
        <v>9103</v>
      </c>
      <c r="P2167" s="3" t="s">
        <v>90</v>
      </c>
      <c r="R2167" s="3" t="s">
        <v>67</v>
      </c>
      <c r="S2167" s="4">
        <v>1</v>
      </c>
      <c r="T2167" s="4">
        <v>8</v>
      </c>
      <c r="U2167" s="5" t="s">
        <v>18374</v>
      </c>
      <c r="V2167" s="5" t="s">
        <v>18375</v>
      </c>
      <c r="W2167" s="5" t="s">
        <v>69</v>
      </c>
      <c r="X2167" s="5" t="s">
        <v>69</v>
      </c>
      <c r="Y2167" s="4">
        <v>100</v>
      </c>
      <c r="Z2167" s="4">
        <v>3</v>
      </c>
      <c r="AA2167" s="4">
        <v>3</v>
      </c>
      <c r="AB2167" s="4">
        <v>1</v>
      </c>
      <c r="AC2167" s="4">
        <v>1</v>
      </c>
      <c r="AD2167" s="4">
        <v>61</v>
      </c>
      <c r="AE2167" s="4">
        <v>63</v>
      </c>
      <c r="AF2167" s="4">
        <v>0</v>
      </c>
      <c r="AG2167" s="4">
        <v>0</v>
      </c>
      <c r="AH2167" s="4">
        <v>59</v>
      </c>
      <c r="AI2167" s="4">
        <v>61</v>
      </c>
      <c r="AJ2167" s="4">
        <v>2</v>
      </c>
      <c r="AK2167" s="4">
        <v>2</v>
      </c>
      <c r="AL2167" s="4">
        <v>42</v>
      </c>
      <c r="AM2167" s="4">
        <v>43</v>
      </c>
      <c r="AN2167" s="4">
        <v>0</v>
      </c>
      <c r="AO2167" s="4">
        <v>0</v>
      </c>
      <c r="AP2167" s="4">
        <v>2</v>
      </c>
      <c r="AQ2167" s="4">
        <v>2</v>
      </c>
      <c r="AR2167" s="3" t="s">
        <v>63</v>
      </c>
      <c r="AS2167" s="3" t="s">
        <v>63</v>
      </c>
      <c r="AT2167" s="3" t="s">
        <v>62</v>
      </c>
      <c r="AU2167" s="6" t="str">
        <f>HYPERLINK("http://catalog.hathitrust.org/Record/007016480","HathiTrust Record")</f>
        <v>HathiTrust Record</v>
      </c>
      <c r="AV2167" s="6" t="str">
        <f>HYPERLINK("http://mcgill.on.worldcat.org/oclc/7061216","Catalog Record")</f>
        <v>Catalog Record</v>
      </c>
      <c r="AW2167" s="6" t="str">
        <f>HYPERLINK("http://www.worldcat.org/oclc/7061216","WorldCat Record")</f>
        <v>WorldCat Record</v>
      </c>
      <c r="AX2167" s="3" t="s">
        <v>18376</v>
      </c>
      <c r="AY2167" s="3" t="s">
        <v>18377</v>
      </c>
      <c r="AZ2167" s="3" t="s">
        <v>18378</v>
      </c>
      <c r="BA2167" s="3" t="s">
        <v>18378</v>
      </c>
      <c r="BB2167" s="3" t="s">
        <v>18379</v>
      </c>
      <c r="BC2167" s="3" t="s">
        <v>82</v>
      </c>
      <c r="BD2167" s="3" t="s">
        <v>70</v>
      </c>
      <c r="BF2167" s="3" t="s">
        <v>18379</v>
      </c>
      <c r="BG2167" s="3" t="s">
        <v>18380</v>
      </c>
    </row>
    <row r="2168" spans="1:59" ht="60" x14ac:dyDescent="0.25">
      <c r="A2168" s="2" t="s">
        <v>59</v>
      </c>
      <c r="B2168" s="2" t="s">
        <v>60</v>
      </c>
      <c r="C2168" s="2" t="s">
        <v>18369</v>
      </c>
      <c r="D2168" s="2" t="s">
        <v>18370</v>
      </c>
      <c r="E2168" s="2" t="s">
        <v>18371</v>
      </c>
      <c r="F2168" s="3" t="s">
        <v>4439</v>
      </c>
      <c r="G2168" s="3" t="s">
        <v>62</v>
      </c>
      <c r="I2168" s="3" t="s">
        <v>63</v>
      </c>
      <c r="J2168" s="3" t="s">
        <v>63</v>
      </c>
      <c r="K2168" s="3" t="s">
        <v>64</v>
      </c>
      <c r="L2168" s="2" t="s">
        <v>18372</v>
      </c>
      <c r="M2168" s="2" t="s">
        <v>18373</v>
      </c>
      <c r="N2168" s="3" t="s">
        <v>9103</v>
      </c>
      <c r="P2168" s="3" t="s">
        <v>90</v>
      </c>
      <c r="R2168" s="3" t="s">
        <v>67</v>
      </c>
      <c r="S2168" s="4">
        <v>1</v>
      </c>
      <c r="T2168" s="4">
        <v>8</v>
      </c>
      <c r="U2168" s="5" t="s">
        <v>18381</v>
      </c>
      <c r="V2168" s="5" t="s">
        <v>18375</v>
      </c>
      <c r="W2168" s="5" t="s">
        <v>69</v>
      </c>
      <c r="X2168" s="5" t="s">
        <v>69</v>
      </c>
      <c r="Y2168" s="4">
        <v>100</v>
      </c>
      <c r="Z2168" s="4">
        <v>3</v>
      </c>
      <c r="AA2168" s="4">
        <v>3</v>
      </c>
      <c r="AB2168" s="4">
        <v>1</v>
      </c>
      <c r="AC2168" s="4">
        <v>1</v>
      </c>
      <c r="AD2168" s="4">
        <v>61</v>
      </c>
      <c r="AE2168" s="4">
        <v>63</v>
      </c>
      <c r="AF2168" s="4">
        <v>0</v>
      </c>
      <c r="AG2168" s="4">
        <v>0</v>
      </c>
      <c r="AH2168" s="4">
        <v>59</v>
      </c>
      <c r="AI2168" s="4">
        <v>61</v>
      </c>
      <c r="AJ2168" s="4">
        <v>2</v>
      </c>
      <c r="AK2168" s="4">
        <v>2</v>
      </c>
      <c r="AL2168" s="4">
        <v>42</v>
      </c>
      <c r="AM2168" s="4">
        <v>43</v>
      </c>
      <c r="AN2168" s="4">
        <v>0</v>
      </c>
      <c r="AO2168" s="4">
        <v>0</v>
      </c>
      <c r="AP2168" s="4">
        <v>2</v>
      </c>
      <c r="AQ2168" s="4">
        <v>2</v>
      </c>
      <c r="AR2168" s="3" t="s">
        <v>63</v>
      </c>
      <c r="AS2168" s="3" t="s">
        <v>63</v>
      </c>
      <c r="AT2168" s="3" t="s">
        <v>62</v>
      </c>
      <c r="AU2168" s="6" t="str">
        <f>HYPERLINK("http://catalog.hathitrust.org/Record/007016480","HathiTrust Record")</f>
        <v>HathiTrust Record</v>
      </c>
      <c r="AV2168" s="6" t="str">
        <f>HYPERLINK("http://mcgill.on.worldcat.org/oclc/7061216","Catalog Record")</f>
        <v>Catalog Record</v>
      </c>
      <c r="AW2168" s="6" t="str">
        <f>HYPERLINK("http://www.worldcat.org/oclc/7061216","WorldCat Record")</f>
        <v>WorldCat Record</v>
      </c>
      <c r="AX2168" s="3" t="s">
        <v>18376</v>
      </c>
      <c r="AY2168" s="3" t="s">
        <v>18377</v>
      </c>
      <c r="AZ2168" s="3" t="s">
        <v>18378</v>
      </c>
      <c r="BA2168" s="3" t="s">
        <v>18378</v>
      </c>
      <c r="BB2168" s="3" t="s">
        <v>18382</v>
      </c>
      <c r="BC2168" s="3" t="s">
        <v>82</v>
      </c>
      <c r="BD2168" s="3" t="s">
        <v>70</v>
      </c>
      <c r="BF2168" s="3" t="s">
        <v>18382</v>
      </c>
      <c r="BG2168" s="3" t="s">
        <v>18383</v>
      </c>
    </row>
    <row r="2169" spans="1:59" ht="60" x14ac:dyDescent="0.25">
      <c r="A2169" s="2" t="s">
        <v>59</v>
      </c>
      <c r="B2169" s="2" t="s">
        <v>60</v>
      </c>
      <c r="C2169" s="2" t="s">
        <v>18369</v>
      </c>
      <c r="D2169" s="2" t="s">
        <v>18370</v>
      </c>
      <c r="E2169" s="2" t="s">
        <v>18371</v>
      </c>
      <c r="F2169" s="3" t="s">
        <v>4437</v>
      </c>
      <c r="G2169" s="3" t="s">
        <v>62</v>
      </c>
      <c r="I2169" s="3" t="s">
        <v>63</v>
      </c>
      <c r="J2169" s="3" t="s">
        <v>63</v>
      </c>
      <c r="K2169" s="3" t="s">
        <v>64</v>
      </c>
      <c r="L2169" s="2" t="s">
        <v>18372</v>
      </c>
      <c r="M2169" s="2" t="s">
        <v>18373</v>
      </c>
      <c r="N2169" s="3" t="s">
        <v>9103</v>
      </c>
      <c r="P2169" s="3" t="s">
        <v>90</v>
      </c>
      <c r="R2169" s="3" t="s">
        <v>67</v>
      </c>
      <c r="S2169" s="4">
        <v>2</v>
      </c>
      <c r="T2169" s="4">
        <v>8</v>
      </c>
      <c r="U2169" s="5" t="s">
        <v>18375</v>
      </c>
      <c r="V2169" s="5" t="s">
        <v>18375</v>
      </c>
      <c r="W2169" s="5" t="s">
        <v>69</v>
      </c>
      <c r="X2169" s="5" t="s">
        <v>69</v>
      </c>
      <c r="Y2169" s="4">
        <v>100</v>
      </c>
      <c r="Z2169" s="4">
        <v>3</v>
      </c>
      <c r="AA2169" s="4">
        <v>3</v>
      </c>
      <c r="AB2169" s="4">
        <v>1</v>
      </c>
      <c r="AC2169" s="4">
        <v>1</v>
      </c>
      <c r="AD2169" s="4">
        <v>61</v>
      </c>
      <c r="AE2169" s="4">
        <v>63</v>
      </c>
      <c r="AF2169" s="4">
        <v>0</v>
      </c>
      <c r="AG2169" s="4">
        <v>0</v>
      </c>
      <c r="AH2169" s="4">
        <v>59</v>
      </c>
      <c r="AI2169" s="4">
        <v>61</v>
      </c>
      <c r="AJ2169" s="4">
        <v>2</v>
      </c>
      <c r="AK2169" s="4">
        <v>2</v>
      </c>
      <c r="AL2169" s="4">
        <v>42</v>
      </c>
      <c r="AM2169" s="4">
        <v>43</v>
      </c>
      <c r="AN2169" s="4">
        <v>0</v>
      </c>
      <c r="AO2169" s="4">
        <v>0</v>
      </c>
      <c r="AP2169" s="4">
        <v>2</v>
      </c>
      <c r="AQ2169" s="4">
        <v>2</v>
      </c>
      <c r="AR2169" s="3" t="s">
        <v>63</v>
      </c>
      <c r="AS2169" s="3" t="s">
        <v>63</v>
      </c>
      <c r="AT2169" s="3" t="s">
        <v>62</v>
      </c>
      <c r="AU2169" s="6" t="str">
        <f>HYPERLINK("http://catalog.hathitrust.org/Record/007016480","HathiTrust Record")</f>
        <v>HathiTrust Record</v>
      </c>
      <c r="AV2169" s="6" t="str">
        <f>HYPERLINK("http://mcgill.on.worldcat.org/oclc/7061216","Catalog Record")</f>
        <v>Catalog Record</v>
      </c>
      <c r="AW2169" s="6" t="str">
        <f>HYPERLINK("http://www.worldcat.org/oclc/7061216","WorldCat Record")</f>
        <v>WorldCat Record</v>
      </c>
      <c r="AX2169" s="3" t="s">
        <v>18376</v>
      </c>
      <c r="AY2169" s="3" t="s">
        <v>18377</v>
      </c>
      <c r="AZ2169" s="3" t="s">
        <v>18378</v>
      </c>
      <c r="BA2169" s="3" t="s">
        <v>18378</v>
      </c>
      <c r="BB2169" s="3" t="s">
        <v>18384</v>
      </c>
      <c r="BC2169" s="3" t="s">
        <v>82</v>
      </c>
      <c r="BD2169" s="3" t="s">
        <v>70</v>
      </c>
      <c r="BF2169" s="3" t="s">
        <v>18384</v>
      </c>
      <c r="BG2169" s="3" t="s">
        <v>18385</v>
      </c>
    </row>
    <row r="2170" spans="1:59" ht="60" x14ac:dyDescent="0.25">
      <c r="A2170" s="2" t="s">
        <v>59</v>
      </c>
      <c r="B2170" s="2" t="s">
        <v>60</v>
      </c>
      <c r="C2170" s="2" t="s">
        <v>18369</v>
      </c>
      <c r="D2170" s="2" t="s">
        <v>18370</v>
      </c>
      <c r="E2170" s="2" t="s">
        <v>18371</v>
      </c>
      <c r="F2170" s="3" t="s">
        <v>582</v>
      </c>
      <c r="G2170" s="3" t="s">
        <v>62</v>
      </c>
      <c r="I2170" s="3" t="s">
        <v>63</v>
      </c>
      <c r="J2170" s="3" t="s">
        <v>63</v>
      </c>
      <c r="K2170" s="3" t="s">
        <v>64</v>
      </c>
      <c r="L2170" s="2" t="s">
        <v>18372</v>
      </c>
      <c r="M2170" s="2" t="s">
        <v>18373</v>
      </c>
      <c r="N2170" s="3" t="s">
        <v>9103</v>
      </c>
      <c r="P2170" s="3" t="s">
        <v>90</v>
      </c>
      <c r="R2170" s="3" t="s">
        <v>67</v>
      </c>
      <c r="S2170" s="4">
        <v>4</v>
      </c>
      <c r="T2170" s="4">
        <v>8</v>
      </c>
      <c r="U2170" s="5" t="s">
        <v>18374</v>
      </c>
      <c r="V2170" s="5" t="s">
        <v>18375</v>
      </c>
      <c r="W2170" s="5" t="s">
        <v>69</v>
      </c>
      <c r="X2170" s="5" t="s">
        <v>69</v>
      </c>
      <c r="Y2170" s="4">
        <v>100</v>
      </c>
      <c r="Z2170" s="4">
        <v>3</v>
      </c>
      <c r="AA2170" s="4">
        <v>3</v>
      </c>
      <c r="AB2170" s="4">
        <v>1</v>
      </c>
      <c r="AC2170" s="4">
        <v>1</v>
      </c>
      <c r="AD2170" s="4">
        <v>61</v>
      </c>
      <c r="AE2170" s="4">
        <v>63</v>
      </c>
      <c r="AF2170" s="4">
        <v>0</v>
      </c>
      <c r="AG2170" s="4">
        <v>0</v>
      </c>
      <c r="AH2170" s="4">
        <v>59</v>
      </c>
      <c r="AI2170" s="4">
        <v>61</v>
      </c>
      <c r="AJ2170" s="4">
        <v>2</v>
      </c>
      <c r="AK2170" s="4">
        <v>2</v>
      </c>
      <c r="AL2170" s="4">
        <v>42</v>
      </c>
      <c r="AM2170" s="4">
        <v>43</v>
      </c>
      <c r="AN2170" s="4">
        <v>0</v>
      </c>
      <c r="AO2170" s="4">
        <v>0</v>
      </c>
      <c r="AP2170" s="4">
        <v>2</v>
      </c>
      <c r="AQ2170" s="4">
        <v>2</v>
      </c>
      <c r="AR2170" s="3" t="s">
        <v>63</v>
      </c>
      <c r="AS2170" s="3" t="s">
        <v>63</v>
      </c>
      <c r="AT2170" s="3" t="s">
        <v>62</v>
      </c>
      <c r="AU2170" s="6" t="str">
        <f>HYPERLINK("http://catalog.hathitrust.org/Record/007016480","HathiTrust Record")</f>
        <v>HathiTrust Record</v>
      </c>
      <c r="AV2170" s="6" t="str">
        <f>HYPERLINK("http://mcgill.on.worldcat.org/oclc/7061216","Catalog Record")</f>
        <v>Catalog Record</v>
      </c>
      <c r="AW2170" s="6" t="str">
        <f>HYPERLINK("http://www.worldcat.org/oclc/7061216","WorldCat Record")</f>
        <v>WorldCat Record</v>
      </c>
      <c r="AX2170" s="3" t="s">
        <v>18376</v>
      </c>
      <c r="AY2170" s="3" t="s">
        <v>18377</v>
      </c>
      <c r="AZ2170" s="3" t="s">
        <v>18378</v>
      </c>
      <c r="BA2170" s="3" t="s">
        <v>18378</v>
      </c>
      <c r="BB2170" s="3" t="s">
        <v>18386</v>
      </c>
      <c r="BC2170" s="3" t="s">
        <v>82</v>
      </c>
      <c r="BD2170" s="3" t="s">
        <v>70</v>
      </c>
      <c r="BF2170" s="3" t="s">
        <v>18386</v>
      </c>
      <c r="BG2170" s="3" t="s">
        <v>18387</v>
      </c>
    </row>
    <row r="2171" spans="1:59" ht="60" x14ac:dyDescent="0.25">
      <c r="A2171" s="2" t="s">
        <v>59</v>
      </c>
      <c r="B2171" s="2" t="s">
        <v>60</v>
      </c>
      <c r="C2171" s="2" t="s">
        <v>18388</v>
      </c>
      <c r="D2171" s="2" t="s">
        <v>18389</v>
      </c>
      <c r="E2171" s="2" t="s">
        <v>18390</v>
      </c>
      <c r="G2171" s="3" t="s">
        <v>63</v>
      </c>
      <c r="I2171" s="3" t="s">
        <v>63</v>
      </c>
      <c r="J2171" s="3" t="s">
        <v>63</v>
      </c>
      <c r="K2171" s="3" t="s">
        <v>64</v>
      </c>
      <c r="M2171" s="2" t="s">
        <v>18391</v>
      </c>
      <c r="N2171" s="3" t="s">
        <v>2144</v>
      </c>
      <c r="P2171" s="3" t="s">
        <v>66</v>
      </c>
      <c r="R2171" s="3" t="s">
        <v>67</v>
      </c>
      <c r="S2171" s="4">
        <v>8</v>
      </c>
      <c r="T2171" s="4">
        <v>8</v>
      </c>
      <c r="U2171" s="5" t="s">
        <v>6320</v>
      </c>
      <c r="V2171" s="5" t="s">
        <v>6320</v>
      </c>
      <c r="W2171" s="5" t="s">
        <v>69</v>
      </c>
      <c r="X2171" s="5" t="s">
        <v>69</v>
      </c>
      <c r="Y2171" s="4">
        <v>220</v>
      </c>
      <c r="Z2171" s="4">
        <v>14</v>
      </c>
      <c r="AA2171" s="4">
        <v>15</v>
      </c>
      <c r="AB2171" s="4">
        <v>1</v>
      </c>
      <c r="AC2171" s="4">
        <v>1</v>
      </c>
      <c r="AD2171" s="4">
        <v>82</v>
      </c>
      <c r="AE2171" s="4">
        <v>85</v>
      </c>
      <c r="AF2171" s="4">
        <v>0</v>
      </c>
      <c r="AG2171" s="4">
        <v>0</v>
      </c>
      <c r="AH2171" s="4">
        <v>73</v>
      </c>
      <c r="AI2171" s="4">
        <v>74</v>
      </c>
      <c r="AJ2171" s="4">
        <v>11</v>
      </c>
      <c r="AK2171" s="4">
        <v>12</v>
      </c>
      <c r="AL2171" s="4">
        <v>41</v>
      </c>
      <c r="AM2171" s="4">
        <v>43</v>
      </c>
      <c r="AN2171" s="4">
        <v>0</v>
      </c>
      <c r="AO2171" s="4">
        <v>0</v>
      </c>
      <c r="AP2171" s="4">
        <v>12</v>
      </c>
      <c r="AQ2171" s="4">
        <v>13</v>
      </c>
      <c r="AR2171" s="3" t="s">
        <v>63</v>
      </c>
      <c r="AS2171" s="3" t="s">
        <v>63</v>
      </c>
      <c r="AT2171" s="3" t="s">
        <v>62</v>
      </c>
      <c r="AU2171" s="6" t="str">
        <f>HYPERLINK("http://catalog.hathitrust.org/Record/001061138","HathiTrust Record")</f>
        <v>HathiTrust Record</v>
      </c>
      <c r="AV2171" s="6" t="str">
        <f>HYPERLINK("http://mcgill.on.worldcat.org/oclc/285444","Catalog Record")</f>
        <v>Catalog Record</v>
      </c>
      <c r="AW2171" s="6" t="str">
        <f>HYPERLINK("http://www.worldcat.org/oclc/285444","WorldCat Record")</f>
        <v>WorldCat Record</v>
      </c>
      <c r="AX2171" s="3" t="s">
        <v>18392</v>
      </c>
      <c r="AY2171" s="3" t="s">
        <v>18393</v>
      </c>
      <c r="AZ2171" s="3" t="s">
        <v>18394</v>
      </c>
      <c r="BA2171" s="3" t="s">
        <v>18394</v>
      </c>
      <c r="BB2171" s="3" t="s">
        <v>18395</v>
      </c>
      <c r="BC2171" s="3" t="s">
        <v>82</v>
      </c>
      <c r="BD2171" s="3" t="s">
        <v>70</v>
      </c>
      <c r="BF2171" s="3" t="s">
        <v>18395</v>
      </c>
      <c r="BG2171" s="3" t="s">
        <v>18396</v>
      </c>
    </row>
    <row r="2172" spans="1:59" ht="90" x14ac:dyDescent="0.25">
      <c r="A2172" s="2" t="s">
        <v>59</v>
      </c>
      <c r="B2172" s="2" t="s">
        <v>60</v>
      </c>
      <c r="C2172" s="2" t="s">
        <v>18397</v>
      </c>
      <c r="D2172" s="2" t="s">
        <v>18398</v>
      </c>
      <c r="E2172" s="2" t="s">
        <v>18399</v>
      </c>
      <c r="G2172" s="3" t="s">
        <v>63</v>
      </c>
      <c r="I2172" s="3" t="s">
        <v>63</v>
      </c>
      <c r="J2172" s="3" t="s">
        <v>63</v>
      </c>
      <c r="K2172" s="3" t="s">
        <v>64</v>
      </c>
      <c r="M2172" s="2" t="s">
        <v>18400</v>
      </c>
      <c r="N2172" s="3" t="s">
        <v>204</v>
      </c>
      <c r="P2172" s="3" t="s">
        <v>66</v>
      </c>
      <c r="R2172" s="3" t="s">
        <v>67</v>
      </c>
      <c r="S2172" s="4">
        <v>19</v>
      </c>
      <c r="T2172" s="4">
        <v>19</v>
      </c>
      <c r="U2172" s="5" t="s">
        <v>5081</v>
      </c>
      <c r="V2172" s="5" t="s">
        <v>5081</v>
      </c>
      <c r="W2172" s="5" t="s">
        <v>69</v>
      </c>
      <c r="X2172" s="5" t="s">
        <v>69</v>
      </c>
      <c r="Y2172" s="4">
        <v>65</v>
      </c>
      <c r="Z2172" s="4">
        <v>17</v>
      </c>
      <c r="AA2172" s="4">
        <v>17</v>
      </c>
      <c r="AB2172" s="4">
        <v>1</v>
      </c>
      <c r="AC2172" s="4">
        <v>1</v>
      </c>
      <c r="AD2172" s="4">
        <v>41</v>
      </c>
      <c r="AE2172" s="4">
        <v>41</v>
      </c>
      <c r="AF2172" s="4">
        <v>0</v>
      </c>
      <c r="AG2172" s="4">
        <v>0</v>
      </c>
      <c r="AH2172" s="4">
        <v>37</v>
      </c>
      <c r="AI2172" s="4">
        <v>37</v>
      </c>
      <c r="AJ2172" s="4">
        <v>14</v>
      </c>
      <c r="AK2172" s="4">
        <v>14</v>
      </c>
      <c r="AL2172" s="4">
        <v>18</v>
      </c>
      <c r="AM2172" s="4">
        <v>18</v>
      </c>
      <c r="AN2172" s="4">
        <v>0</v>
      </c>
      <c r="AO2172" s="4">
        <v>0</v>
      </c>
      <c r="AP2172" s="4">
        <v>13</v>
      </c>
      <c r="AQ2172" s="4">
        <v>13</v>
      </c>
      <c r="AR2172" s="3" t="s">
        <v>63</v>
      </c>
      <c r="AS2172" s="3" t="s">
        <v>63</v>
      </c>
      <c r="AT2172" s="3" t="s">
        <v>63</v>
      </c>
      <c r="AV2172" s="6" t="str">
        <f>HYPERLINK("http://mcgill.on.worldcat.org/oclc/35937770","Catalog Record")</f>
        <v>Catalog Record</v>
      </c>
      <c r="AW2172" s="6" t="str">
        <f>HYPERLINK("http://www.worldcat.org/oclc/35937770","WorldCat Record")</f>
        <v>WorldCat Record</v>
      </c>
      <c r="AX2172" s="3" t="s">
        <v>18401</v>
      </c>
      <c r="AY2172" s="3" t="s">
        <v>18402</v>
      </c>
      <c r="AZ2172" s="3" t="s">
        <v>18403</v>
      </c>
      <c r="BA2172" s="3" t="s">
        <v>18403</v>
      </c>
      <c r="BB2172" s="3" t="s">
        <v>18404</v>
      </c>
      <c r="BC2172" s="3" t="s">
        <v>82</v>
      </c>
      <c r="BD2172" s="3" t="s">
        <v>70</v>
      </c>
      <c r="BE2172" s="3" t="s">
        <v>18405</v>
      </c>
      <c r="BF2172" s="3" t="s">
        <v>18404</v>
      </c>
      <c r="BG2172" s="3" t="s">
        <v>18406</v>
      </c>
    </row>
    <row r="2173" spans="1:59" ht="60" x14ac:dyDescent="0.25">
      <c r="A2173" s="2" t="s">
        <v>59</v>
      </c>
      <c r="B2173" s="2" t="s">
        <v>60</v>
      </c>
      <c r="C2173" s="2" t="s">
        <v>18407</v>
      </c>
      <c r="D2173" s="2" t="s">
        <v>18408</v>
      </c>
      <c r="E2173" s="2" t="s">
        <v>18409</v>
      </c>
      <c r="G2173" s="3" t="s">
        <v>63</v>
      </c>
      <c r="I2173" s="3" t="s">
        <v>63</v>
      </c>
      <c r="J2173" s="3" t="s">
        <v>63</v>
      </c>
      <c r="K2173" s="3" t="s">
        <v>64</v>
      </c>
      <c r="L2173" s="2" t="s">
        <v>18410</v>
      </c>
      <c r="M2173" s="2" t="s">
        <v>18411</v>
      </c>
      <c r="N2173" s="3" t="s">
        <v>629</v>
      </c>
      <c r="P2173" s="3" t="s">
        <v>90</v>
      </c>
      <c r="Q2173" s="2" t="s">
        <v>18412</v>
      </c>
      <c r="R2173" s="3" t="s">
        <v>67</v>
      </c>
      <c r="S2173" s="4">
        <v>0</v>
      </c>
      <c r="T2173" s="4">
        <v>0</v>
      </c>
      <c r="W2173" s="5" t="s">
        <v>69</v>
      </c>
      <c r="X2173" s="5" t="s">
        <v>69</v>
      </c>
      <c r="Y2173" s="4">
        <v>4</v>
      </c>
      <c r="Z2173" s="4">
        <v>1</v>
      </c>
      <c r="AA2173" s="4">
        <v>1</v>
      </c>
      <c r="AB2173" s="4">
        <v>1</v>
      </c>
      <c r="AC2173" s="4">
        <v>1</v>
      </c>
      <c r="AD2173" s="4">
        <v>2</v>
      </c>
      <c r="AE2173" s="4">
        <v>2</v>
      </c>
      <c r="AF2173" s="4">
        <v>0</v>
      </c>
      <c r="AG2173" s="4">
        <v>0</v>
      </c>
      <c r="AH2173" s="4">
        <v>2</v>
      </c>
      <c r="AI2173" s="4">
        <v>2</v>
      </c>
      <c r="AJ2173" s="4">
        <v>0</v>
      </c>
      <c r="AK2173" s="4">
        <v>0</v>
      </c>
      <c r="AL2173" s="4">
        <v>2</v>
      </c>
      <c r="AM2173" s="4">
        <v>2</v>
      </c>
      <c r="AN2173" s="4">
        <v>0</v>
      </c>
      <c r="AO2173" s="4">
        <v>0</v>
      </c>
      <c r="AP2173" s="4">
        <v>0</v>
      </c>
      <c r="AQ2173" s="4">
        <v>0</v>
      </c>
      <c r="AR2173" s="3" t="s">
        <v>63</v>
      </c>
      <c r="AS2173" s="3" t="s">
        <v>63</v>
      </c>
      <c r="AT2173" s="3" t="s">
        <v>63</v>
      </c>
      <c r="AV2173" s="6" t="str">
        <f>HYPERLINK("http://mcgill.on.worldcat.org/oclc/729552513","Catalog Record")</f>
        <v>Catalog Record</v>
      </c>
      <c r="AW2173" s="6" t="str">
        <f>HYPERLINK("http://www.worldcat.org/oclc/729552513","WorldCat Record")</f>
        <v>WorldCat Record</v>
      </c>
      <c r="AX2173" s="3" t="s">
        <v>18413</v>
      </c>
      <c r="AY2173" s="3" t="s">
        <v>18414</v>
      </c>
      <c r="AZ2173" s="3" t="s">
        <v>18415</v>
      </c>
      <c r="BA2173" s="3" t="s">
        <v>18415</v>
      </c>
      <c r="BB2173" s="3" t="s">
        <v>18416</v>
      </c>
      <c r="BC2173" s="3" t="s">
        <v>82</v>
      </c>
      <c r="BD2173" s="3" t="s">
        <v>70</v>
      </c>
      <c r="BE2173" s="3" t="s">
        <v>18417</v>
      </c>
      <c r="BF2173" s="3" t="s">
        <v>18416</v>
      </c>
      <c r="BG2173" s="3" t="s">
        <v>18418</v>
      </c>
    </row>
    <row r="2174" spans="1:59" ht="60" x14ac:dyDescent="0.25">
      <c r="A2174" s="2" t="s">
        <v>59</v>
      </c>
      <c r="B2174" s="2" t="s">
        <v>60</v>
      </c>
      <c r="C2174" s="2" t="s">
        <v>18429</v>
      </c>
      <c r="D2174" s="2" t="s">
        <v>18430</v>
      </c>
      <c r="E2174" s="2" t="s">
        <v>18431</v>
      </c>
      <c r="G2174" s="3" t="s">
        <v>63</v>
      </c>
      <c r="I2174" s="3" t="s">
        <v>63</v>
      </c>
      <c r="J2174" s="3" t="s">
        <v>62</v>
      </c>
      <c r="K2174" s="3" t="s">
        <v>64</v>
      </c>
      <c r="L2174" s="2" t="s">
        <v>18432</v>
      </c>
      <c r="M2174" s="2" t="s">
        <v>18433</v>
      </c>
      <c r="N2174" s="3" t="s">
        <v>1343</v>
      </c>
      <c r="P2174" s="3" t="s">
        <v>90</v>
      </c>
      <c r="Q2174" s="2" t="s">
        <v>10086</v>
      </c>
      <c r="R2174" s="3" t="s">
        <v>67</v>
      </c>
      <c r="S2174" s="4">
        <v>7</v>
      </c>
      <c r="T2174" s="4">
        <v>7</v>
      </c>
      <c r="U2174" s="5" t="s">
        <v>5434</v>
      </c>
      <c r="V2174" s="5" t="s">
        <v>5434</v>
      </c>
      <c r="W2174" s="5" t="s">
        <v>69</v>
      </c>
      <c r="X2174" s="5" t="s">
        <v>69</v>
      </c>
      <c r="Y2174" s="4">
        <v>43</v>
      </c>
      <c r="Z2174" s="4">
        <v>2</v>
      </c>
      <c r="AA2174" s="4">
        <v>8</v>
      </c>
      <c r="AB2174" s="4">
        <v>1</v>
      </c>
      <c r="AC2174" s="4">
        <v>1</v>
      </c>
      <c r="AD2174" s="4">
        <v>31</v>
      </c>
      <c r="AE2174" s="4">
        <v>54</v>
      </c>
      <c r="AF2174" s="4">
        <v>0</v>
      </c>
      <c r="AG2174" s="4">
        <v>0</v>
      </c>
      <c r="AH2174" s="4">
        <v>29</v>
      </c>
      <c r="AI2174" s="4">
        <v>49</v>
      </c>
      <c r="AJ2174" s="4">
        <v>0</v>
      </c>
      <c r="AK2174" s="4">
        <v>3</v>
      </c>
      <c r="AL2174" s="4">
        <v>24</v>
      </c>
      <c r="AM2174" s="4">
        <v>36</v>
      </c>
      <c r="AN2174" s="4">
        <v>0</v>
      </c>
      <c r="AO2174" s="4">
        <v>0</v>
      </c>
      <c r="AP2174" s="4">
        <v>0</v>
      </c>
      <c r="AQ2174" s="4">
        <v>5</v>
      </c>
      <c r="AR2174" s="3" t="s">
        <v>63</v>
      </c>
      <c r="AS2174" s="3" t="s">
        <v>63</v>
      </c>
      <c r="AT2174" s="3" t="s">
        <v>63</v>
      </c>
      <c r="AV2174" s="6" t="str">
        <f>HYPERLINK("http://mcgill.on.worldcat.org/oclc/44550919","Catalog Record")</f>
        <v>Catalog Record</v>
      </c>
      <c r="AW2174" s="6" t="str">
        <f>HYPERLINK("http://www.worldcat.org/oclc/44550919","WorldCat Record")</f>
        <v>WorldCat Record</v>
      </c>
      <c r="AX2174" s="3" t="s">
        <v>18434</v>
      </c>
      <c r="AY2174" s="3" t="s">
        <v>18435</v>
      </c>
      <c r="AZ2174" s="3" t="s">
        <v>18436</v>
      </c>
      <c r="BA2174" s="3" t="s">
        <v>18436</v>
      </c>
      <c r="BB2174" s="3" t="s">
        <v>18437</v>
      </c>
      <c r="BC2174" s="3" t="s">
        <v>82</v>
      </c>
      <c r="BD2174" s="3" t="s">
        <v>538</v>
      </c>
      <c r="BE2174" s="3" t="s">
        <v>18438</v>
      </c>
      <c r="BF2174" s="3" t="s">
        <v>18437</v>
      </c>
      <c r="BG2174" s="3" t="s">
        <v>18439</v>
      </c>
    </row>
    <row r="2175" spans="1:59" ht="60" x14ac:dyDescent="0.25">
      <c r="A2175" s="2" t="s">
        <v>59</v>
      </c>
      <c r="B2175" s="2" t="s">
        <v>60</v>
      </c>
      <c r="C2175" s="2" t="s">
        <v>18440</v>
      </c>
      <c r="D2175" s="2" t="s">
        <v>18441</v>
      </c>
      <c r="E2175" s="2" t="s">
        <v>18442</v>
      </c>
      <c r="F2175" s="3" t="s">
        <v>5684</v>
      </c>
      <c r="G2175" s="3" t="s">
        <v>62</v>
      </c>
      <c r="I2175" s="3" t="s">
        <v>63</v>
      </c>
      <c r="J2175" s="3" t="s">
        <v>63</v>
      </c>
      <c r="K2175" s="3" t="s">
        <v>64</v>
      </c>
      <c r="L2175" s="2" t="s">
        <v>18443</v>
      </c>
      <c r="M2175" s="2" t="s">
        <v>18444</v>
      </c>
      <c r="N2175" s="3" t="s">
        <v>18445</v>
      </c>
      <c r="P2175" s="3" t="s">
        <v>66</v>
      </c>
      <c r="Q2175" s="2" t="s">
        <v>18446</v>
      </c>
      <c r="R2175" s="3" t="s">
        <v>67</v>
      </c>
      <c r="S2175" s="4">
        <v>1</v>
      </c>
      <c r="T2175" s="4">
        <v>4</v>
      </c>
      <c r="U2175" s="5" t="s">
        <v>18447</v>
      </c>
      <c r="V2175" s="5" t="s">
        <v>18218</v>
      </c>
      <c r="W2175" s="5" t="s">
        <v>69</v>
      </c>
      <c r="X2175" s="5" t="s">
        <v>69</v>
      </c>
      <c r="Y2175" s="4">
        <v>154</v>
      </c>
      <c r="Z2175" s="4">
        <v>5</v>
      </c>
      <c r="AA2175" s="4">
        <v>8</v>
      </c>
      <c r="AB2175" s="4">
        <v>1</v>
      </c>
      <c r="AC2175" s="4">
        <v>1</v>
      </c>
      <c r="AD2175" s="4">
        <v>39</v>
      </c>
      <c r="AE2175" s="4">
        <v>42</v>
      </c>
      <c r="AF2175" s="4">
        <v>0</v>
      </c>
      <c r="AG2175" s="4">
        <v>0</v>
      </c>
      <c r="AH2175" s="4">
        <v>35</v>
      </c>
      <c r="AI2175" s="4">
        <v>38</v>
      </c>
      <c r="AJ2175" s="4">
        <v>4</v>
      </c>
      <c r="AK2175" s="4">
        <v>7</v>
      </c>
      <c r="AL2175" s="4">
        <v>24</v>
      </c>
      <c r="AM2175" s="4">
        <v>24</v>
      </c>
      <c r="AN2175" s="4">
        <v>0</v>
      </c>
      <c r="AO2175" s="4">
        <v>0</v>
      </c>
      <c r="AP2175" s="4">
        <v>3</v>
      </c>
      <c r="AQ2175" s="4">
        <v>6</v>
      </c>
      <c r="AR2175" s="3" t="s">
        <v>63</v>
      </c>
      <c r="AS2175" s="3" t="s">
        <v>63</v>
      </c>
      <c r="AT2175" s="3" t="s">
        <v>62</v>
      </c>
      <c r="AU2175" s="6" t="str">
        <f>HYPERLINK("http://catalog.hathitrust.org/Record/100741493","HathiTrust Record")</f>
        <v>HathiTrust Record</v>
      </c>
      <c r="AV2175" s="6" t="str">
        <f>HYPERLINK("http://mcgill.on.worldcat.org/oclc/2182262","Catalog Record")</f>
        <v>Catalog Record</v>
      </c>
      <c r="AW2175" s="6" t="str">
        <f>HYPERLINK("http://www.worldcat.org/oclc/2182262","WorldCat Record")</f>
        <v>WorldCat Record</v>
      </c>
      <c r="AX2175" s="3" t="s">
        <v>18448</v>
      </c>
      <c r="AY2175" s="3" t="s">
        <v>18449</v>
      </c>
      <c r="AZ2175" s="3" t="s">
        <v>18450</v>
      </c>
      <c r="BA2175" s="3" t="s">
        <v>18450</v>
      </c>
      <c r="BB2175" s="3" t="s">
        <v>18451</v>
      </c>
      <c r="BC2175" s="3" t="s">
        <v>82</v>
      </c>
      <c r="BD2175" s="3" t="s">
        <v>70</v>
      </c>
      <c r="BF2175" s="3" t="s">
        <v>18451</v>
      </c>
      <c r="BG2175" s="3" t="s">
        <v>18452</v>
      </c>
    </row>
    <row r="2176" spans="1:59" ht="60" x14ac:dyDescent="0.25">
      <c r="A2176" s="2" t="s">
        <v>59</v>
      </c>
      <c r="B2176" s="2" t="s">
        <v>60</v>
      </c>
      <c r="C2176" s="2" t="s">
        <v>18440</v>
      </c>
      <c r="D2176" s="2" t="s">
        <v>18441</v>
      </c>
      <c r="E2176" s="2" t="s">
        <v>18442</v>
      </c>
      <c r="F2176" s="3" t="s">
        <v>5696</v>
      </c>
      <c r="G2176" s="3" t="s">
        <v>62</v>
      </c>
      <c r="I2176" s="3" t="s">
        <v>63</v>
      </c>
      <c r="J2176" s="3" t="s">
        <v>63</v>
      </c>
      <c r="K2176" s="3" t="s">
        <v>64</v>
      </c>
      <c r="L2176" s="2" t="s">
        <v>18443</v>
      </c>
      <c r="M2176" s="2" t="s">
        <v>18444</v>
      </c>
      <c r="N2176" s="3" t="s">
        <v>18445</v>
      </c>
      <c r="P2176" s="3" t="s">
        <v>66</v>
      </c>
      <c r="Q2176" s="2" t="s">
        <v>18446</v>
      </c>
      <c r="R2176" s="3" t="s">
        <v>67</v>
      </c>
      <c r="S2176" s="4">
        <v>3</v>
      </c>
      <c r="T2176" s="4">
        <v>4</v>
      </c>
      <c r="U2176" s="5" t="s">
        <v>18218</v>
      </c>
      <c r="V2176" s="5" t="s">
        <v>18218</v>
      </c>
      <c r="W2176" s="5" t="s">
        <v>69</v>
      </c>
      <c r="X2176" s="5" t="s">
        <v>69</v>
      </c>
      <c r="Y2176" s="4">
        <v>154</v>
      </c>
      <c r="Z2176" s="4">
        <v>5</v>
      </c>
      <c r="AA2176" s="4">
        <v>8</v>
      </c>
      <c r="AB2176" s="4">
        <v>1</v>
      </c>
      <c r="AC2176" s="4">
        <v>1</v>
      </c>
      <c r="AD2176" s="4">
        <v>39</v>
      </c>
      <c r="AE2176" s="4">
        <v>42</v>
      </c>
      <c r="AF2176" s="4">
        <v>0</v>
      </c>
      <c r="AG2176" s="4">
        <v>0</v>
      </c>
      <c r="AH2176" s="4">
        <v>35</v>
      </c>
      <c r="AI2176" s="4">
        <v>38</v>
      </c>
      <c r="AJ2176" s="4">
        <v>4</v>
      </c>
      <c r="AK2176" s="4">
        <v>7</v>
      </c>
      <c r="AL2176" s="4">
        <v>24</v>
      </c>
      <c r="AM2176" s="4">
        <v>24</v>
      </c>
      <c r="AN2176" s="4">
        <v>0</v>
      </c>
      <c r="AO2176" s="4">
        <v>0</v>
      </c>
      <c r="AP2176" s="4">
        <v>3</v>
      </c>
      <c r="AQ2176" s="4">
        <v>6</v>
      </c>
      <c r="AR2176" s="3" t="s">
        <v>63</v>
      </c>
      <c r="AS2176" s="3" t="s">
        <v>63</v>
      </c>
      <c r="AT2176" s="3" t="s">
        <v>62</v>
      </c>
      <c r="AU2176" s="6" t="str">
        <f>HYPERLINK("http://catalog.hathitrust.org/Record/100741493","HathiTrust Record")</f>
        <v>HathiTrust Record</v>
      </c>
      <c r="AV2176" s="6" t="str">
        <f>HYPERLINK("http://mcgill.on.worldcat.org/oclc/2182262","Catalog Record")</f>
        <v>Catalog Record</v>
      </c>
      <c r="AW2176" s="6" t="str">
        <f>HYPERLINK("http://www.worldcat.org/oclc/2182262","WorldCat Record")</f>
        <v>WorldCat Record</v>
      </c>
      <c r="AX2176" s="3" t="s">
        <v>18448</v>
      </c>
      <c r="AY2176" s="3" t="s">
        <v>18449</v>
      </c>
      <c r="AZ2176" s="3" t="s">
        <v>18450</v>
      </c>
      <c r="BA2176" s="3" t="s">
        <v>18450</v>
      </c>
      <c r="BB2176" s="3" t="s">
        <v>18453</v>
      </c>
      <c r="BC2176" s="3" t="s">
        <v>82</v>
      </c>
      <c r="BD2176" s="3" t="s">
        <v>70</v>
      </c>
      <c r="BF2176" s="3" t="s">
        <v>18453</v>
      </c>
      <c r="BG2176" s="3" t="s">
        <v>18454</v>
      </c>
    </row>
    <row r="2177" spans="1:59" ht="60" x14ac:dyDescent="0.25">
      <c r="A2177" s="2" t="s">
        <v>59</v>
      </c>
      <c r="B2177" s="2" t="s">
        <v>60</v>
      </c>
      <c r="C2177" s="2" t="s">
        <v>18455</v>
      </c>
      <c r="D2177" s="2" t="s">
        <v>18456</v>
      </c>
      <c r="E2177" s="2" t="s">
        <v>18457</v>
      </c>
      <c r="G2177" s="3" t="s">
        <v>63</v>
      </c>
      <c r="I2177" s="3" t="s">
        <v>63</v>
      </c>
      <c r="J2177" s="3" t="s">
        <v>62</v>
      </c>
      <c r="K2177" s="3" t="s">
        <v>64</v>
      </c>
      <c r="L2177" s="2" t="s">
        <v>9373</v>
      </c>
      <c r="M2177" s="2" t="s">
        <v>18458</v>
      </c>
      <c r="N2177" s="3" t="s">
        <v>16630</v>
      </c>
      <c r="P2177" s="3" t="s">
        <v>66</v>
      </c>
      <c r="Q2177" s="2" t="s">
        <v>18459</v>
      </c>
      <c r="R2177" s="3" t="s">
        <v>67</v>
      </c>
      <c r="S2177" s="4">
        <v>1</v>
      </c>
      <c r="T2177" s="4">
        <v>1</v>
      </c>
      <c r="U2177" s="5" t="s">
        <v>3466</v>
      </c>
      <c r="V2177" s="5" t="s">
        <v>3466</v>
      </c>
      <c r="W2177" s="5" t="s">
        <v>69</v>
      </c>
      <c r="X2177" s="5" t="s">
        <v>69</v>
      </c>
      <c r="Y2177" s="4">
        <v>145</v>
      </c>
      <c r="Z2177" s="4">
        <v>2</v>
      </c>
      <c r="AA2177" s="4">
        <v>39</v>
      </c>
      <c r="AB2177" s="4">
        <v>1</v>
      </c>
      <c r="AC2177" s="4">
        <v>3</v>
      </c>
      <c r="AD2177" s="4">
        <v>47</v>
      </c>
      <c r="AE2177" s="4">
        <v>106</v>
      </c>
      <c r="AF2177" s="4">
        <v>0</v>
      </c>
      <c r="AG2177" s="4">
        <v>1</v>
      </c>
      <c r="AH2177" s="4">
        <v>46</v>
      </c>
      <c r="AI2177" s="4">
        <v>90</v>
      </c>
      <c r="AJ2177" s="4">
        <v>1</v>
      </c>
      <c r="AK2177" s="4">
        <v>17</v>
      </c>
      <c r="AL2177" s="4">
        <v>29</v>
      </c>
      <c r="AM2177" s="4">
        <v>48</v>
      </c>
      <c r="AN2177" s="4">
        <v>0</v>
      </c>
      <c r="AO2177" s="4">
        <v>0</v>
      </c>
      <c r="AP2177" s="4">
        <v>1</v>
      </c>
      <c r="AQ2177" s="4">
        <v>24</v>
      </c>
      <c r="AR2177" s="3" t="s">
        <v>63</v>
      </c>
      <c r="AS2177" s="3" t="s">
        <v>62</v>
      </c>
      <c r="AT2177" s="3" t="s">
        <v>63</v>
      </c>
      <c r="AU2177" s="6" t="str">
        <f>HYPERLINK("http://catalog.hathitrust.org/Record/001378639","HathiTrust Record")</f>
        <v>HathiTrust Record</v>
      </c>
      <c r="AV2177" s="6" t="str">
        <f>HYPERLINK("http://mcgill.on.worldcat.org/oclc/1619960","Catalog Record")</f>
        <v>Catalog Record</v>
      </c>
      <c r="AW2177" s="6" t="str">
        <f>HYPERLINK("http://www.worldcat.org/oclc/1619960","WorldCat Record")</f>
        <v>WorldCat Record</v>
      </c>
      <c r="AX2177" s="3" t="s">
        <v>18460</v>
      </c>
      <c r="AY2177" s="3" t="s">
        <v>18461</v>
      </c>
      <c r="AZ2177" s="3" t="s">
        <v>18462</v>
      </c>
      <c r="BA2177" s="3" t="s">
        <v>18462</v>
      </c>
      <c r="BB2177" s="3" t="s">
        <v>18463</v>
      </c>
      <c r="BC2177" s="3" t="s">
        <v>82</v>
      </c>
      <c r="BD2177" s="3" t="s">
        <v>70</v>
      </c>
      <c r="BF2177" s="3" t="s">
        <v>18463</v>
      </c>
      <c r="BG2177" s="3" t="s">
        <v>18464</v>
      </c>
    </row>
    <row r="2178" spans="1:59" ht="60" x14ac:dyDescent="0.25">
      <c r="A2178" s="2" t="s">
        <v>59</v>
      </c>
      <c r="B2178" s="2" t="s">
        <v>60</v>
      </c>
      <c r="C2178" s="2" t="s">
        <v>18465</v>
      </c>
      <c r="D2178" s="2" t="s">
        <v>18466</v>
      </c>
      <c r="E2178" s="2" t="s">
        <v>18467</v>
      </c>
      <c r="F2178" s="3" t="s">
        <v>2601</v>
      </c>
      <c r="G2178" s="3" t="s">
        <v>62</v>
      </c>
      <c r="I2178" s="3" t="s">
        <v>62</v>
      </c>
      <c r="J2178" s="3" t="s">
        <v>63</v>
      </c>
      <c r="K2178" s="3" t="s">
        <v>64</v>
      </c>
      <c r="L2178" s="2" t="s">
        <v>18468</v>
      </c>
      <c r="M2178" s="2" t="s">
        <v>18469</v>
      </c>
      <c r="N2178" s="3" t="s">
        <v>274</v>
      </c>
      <c r="P2178" s="3" t="s">
        <v>66</v>
      </c>
      <c r="Q2178" s="2" t="s">
        <v>18470</v>
      </c>
      <c r="R2178" s="3" t="s">
        <v>67</v>
      </c>
      <c r="S2178" s="4">
        <v>1</v>
      </c>
      <c r="T2178" s="4">
        <v>33</v>
      </c>
      <c r="U2178" s="5" t="s">
        <v>18471</v>
      </c>
      <c r="V2178" s="5" t="s">
        <v>16276</v>
      </c>
      <c r="W2178" s="5" t="s">
        <v>69</v>
      </c>
      <c r="X2178" s="5" t="s">
        <v>69</v>
      </c>
      <c r="Y2178" s="4">
        <v>60</v>
      </c>
      <c r="Z2178" s="4">
        <v>12</v>
      </c>
      <c r="AA2178" s="4">
        <v>18</v>
      </c>
      <c r="AB2178" s="4">
        <v>2</v>
      </c>
      <c r="AC2178" s="4">
        <v>2</v>
      </c>
      <c r="AD2178" s="4">
        <v>18</v>
      </c>
      <c r="AE2178" s="4">
        <v>69</v>
      </c>
      <c r="AF2178" s="4">
        <v>0</v>
      </c>
      <c r="AG2178" s="4">
        <v>0</v>
      </c>
      <c r="AH2178" s="4">
        <v>13</v>
      </c>
      <c r="AI2178" s="4">
        <v>58</v>
      </c>
      <c r="AJ2178" s="4">
        <v>5</v>
      </c>
      <c r="AK2178" s="4">
        <v>7</v>
      </c>
      <c r="AL2178" s="4">
        <v>8</v>
      </c>
      <c r="AM2178" s="4">
        <v>33</v>
      </c>
      <c r="AN2178" s="4">
        <v>0</v>
      </c>
      <c r="AO2178" s="4">
        <v>0</v>
      </c>
      <c r="AP2178" s="4">
        <v>7</v>
      </c>
      <c r="AQ2178" s="4">
        <v>12</v>
      </c>
      <c r="AR2178" s="3" t="s">
        <v>63</v>
      </c>
      <c r="AS2178" s="3" t="s">
        <v>63</v>
      </c>
      <c r="AT2178" s="3" t="s">
        <v>62</v>
      </c>
      <c r="AU2178" s="6" t="str">
        <f>HYPERLINK("http://catalog.hathitrust.org/Record/012269864","HathiTrust Record")</f>
        <v>HathiTrust Record</v>
      </c>
      <c r="AV2178" s="6" t="str">
        <f>HYPERLINK("http://mcgill.on.worldcat.org/oclc/60049454","Catalog Record")</f>
        <v>Catalog Record</v>
      </c>
      <c r="AW2178" s="6" t="str">
        <f>HYPERLINK("http://www.worldcat.org/oclc/60049454","WorldCat Record")</f>
        <v>WorldCat Record</v>
      </c>
      <c r="AX2178" s="3" t="s">
        <v>18472</v>
      </c>
      <c r="AY2178" s="3" t="s">
        <v>18473</v>
      </c>
      <c r="AZ2178" s="3" t="s">
        <v>18474</v>
      </c>
      <c r="BA2178" s="3" t="s">
        <v>18474</v>
      </c>
      <c r="BB2178" s="3" t="s">
        <v>18475</v>
      </c>
      <c r="BC2178" s="3" t="s">
        <v>82</v>
      </c>
      <c r="BD2178" s="3" t="s">
        <v>70</v>
      </c>
      <c r="BF2178" s="3" t="s">
        <v>18475</v>
      </c>
      <c r="BG2178" s="3" t="s">
        <v>18476</v>
      </c>
    </row>
    <row r="2179" spans="1:59" ht="60" x14ac:dyDescent="0.25">
      <c r="A2179" s="2" t="s">
        <v>59</v>
      </c>
      <c r="B2179" s="2" t="s">
        <v>60</v>
      </c>
      <c r="C2179" s="2" t="s">
        <v>18465</v>
      </c>
      <c r="D2179" s="2" t="s">
        <v>18466</v>
      </c>
      <c r="E2179" s="2" t="s">
        <v>18467</v>
      </c>
      <c r="F2179" s="3" t="s">
        <v>2601</v>
      </c>
      <c r="G2179" s="3" t="s">
        <v>62</v>
      </c>
      <c r="I2179" s="3" t="s">
        <v>62</v>
      </c>
      <c r="J2179" s="3" t="s">
        <v>63</v>
      </c>
      <c r="K2179" s="3" t="s">
        <v>64</v>
      </c>
      <c r="L2179" s="2" t="s">
        <v>18468</v>
      </c>
      <c r="M2179" s="2" t="s">
        <v>18469</v>
      </c>
      <c r="N2179" s="3" t="s">
        <v>274</v>
      </c>
      <c r="P2179" s="3" t="s">
        <v>66</v>
      </c>
      <c r="Q2179" s="2" t="s">
        <v>18470</v>
      </c>
      <c r="R2179" s="3" t="s">
        <v>67</v>
      </c>
      <c r="S2179" s="4">
        <v>13</v>
      </c>
      <c r="T2179" s="4">
        <v>33</v>
      </c>
      <c r="U2179" s="5" t="s">
        <v>18477</v>
      </c>
      <c r="V2179" s="5" t="s">
        <v>16276</v>
      </c>
      <c r="W2179" s="5" t="s">
        <v>69</v>
      </c>
      <c r="X2179" s="5" t="s">
        <v>69</v>
      </c>
      <c r="Y2179" s="4">
        <v>60</v>
      </c>
      <c r="Z2179" s="4">
        <v>12</v>
      </c>
      <c r="AA2179" s="4">
        <v>18</v>
      </c>
      <c r="AB2179" s="4">
        <v>2</v>
      </c>
      <c r="AC2179" s="4">
        <v>2</v>
      </c>
      <c r="AD2179" s="4">
        <v>18</v>
      </c>
      <c r="AE2179" s="4">
        <v>69</v>
      </c>
      <c r="AF2179" s="4">
        <v>0</v>
      </c>
      <c r="AG2179" s="4">
        <v>0</v>
      </c>
      <c r="AH2179" s="4">
        <v>13</v>
      </c>
      <c r="AI2179" s="4">
        <v>58</v>
      </c>
      <c r="AJ2179" s="4">
        <v>5</v>
      </c>
      <c r="AK2179" s="4">
        <v>7</v>
      </c>
      <c r="AL2179" s="4">
        <v>8</v>
      </c>
      <c r="AM2179" s="4">
        <v>33</v>
      </c>
      <c r="AN2179" s="4">
        <v>0</v>
      </c>
      <c r="AO2179" s="4">
        <v>0</v>
      </c>
      <c r="AP2179" s="4">
        <v>7</v>
      </c>
      <c r="AQ2179" s="4">
        <v>12</v>
      </c>
      <c r="AR2179" s="3" t="s">
        <v>63</v>
      </c>
      <c r="AS2179" s="3" t="s">
        <v>63</v>
      </c>
      <c r="AT2179" s="3" t="s">
        <v>62</v>
      </c>
      <c r="AU2179" s="6" t="str">
        <f>HYPERLINK("http://catalog.hathitrust.org/Record/012269864","HathiTrust Record")</f>
        <v>HathiTrust Record</v>
      </c>
      <c r="AV2179" s="6" t="str">
        <f>HYPERLINK("http://mcgill.on.worldcat.org/oclc/60049454","Catalog Record")</f>
        <v>Catalog Record</v>
      </c>
      <c r="AW2179" s="6" t="str">
        <f>HYPERLINK("http://www.worldcat.org/oclc/60049454","WorldCat Record")</f>
        <v>WorldCat Record</v>
      </c>
      <c r="AX2179" s="3" t="s">
        <v>18472</v>
      </c>
      <c r="AY2179" s="3" t="s">
        <v>18473</v>
      </c>
      <c r="AZ2179" s="3" t="s">
        <v>18474</v>
      </c>
      <c r="BA2179" s="3" t="s">
        <v>18474</v>
      </c>
      <c r="BB2179" s="3" t="s">
        <v>18478</v>
      </c>
      <c r="BC2179" s="3" t="s">
        <v>82</v>
      </c>
      <c r="BD2179" s="3" t="s">
        <v>70</v>
      </c>
      <c r="BF2179" s="3" t="s">
        <v>18478</v>
      </c>
      <c r="BG2179" s="3" t="s">
        <v>18479</v>
      </c>
    </row>
    <row r="2180" spans="1:59" ht="60" x14ac:dyDescent="0.25">
      <c r="A2180" s="2" t="s">
        <v>59</v>
      </c>
      <c r="B2180" s="2" t="s">
        <v>60</v>
      </c>
      <c r="C2180" s="2" t="s">
        <v>18465</v>
      </c>
      <c r="D2180" s="2" t="s">
        <v>18466</v>
      </c>
      <c r="E2180" s="2" t="s">
        <v>18467</v>
      </c>
      <c r="F2180" s="3" t="s">
        <v>4181</v>
      </c>
      <c r="G2180" s="3" t="s">
        <v>62</v>
      </c>
      <c r="I2180" s="3" t="s">
        <v>62</v>
      </c>
      <c r="J2180" s="3" t="s">
        <v>63</v>
      </c>
      <c r="K2180" s="3" t="s">
        <v>64</v>
      </c>
      <c r="L2180" s="2" t="s">
        <v>18468</v>
      </c>
      <c r="M2180" s="2" t="s">
        <v>18469</v>
      </c>
      <c r="N2180" s="3" t="s">
        <v>274</v>
      </c>
      <c r="P2180" s="3" t="s">
        <v>66</v>
      </c>
      <c r="Q2180" s="2" t="s">
        <v>18470</v>
      </c>
      <c r="R2180" s="3" t="s">
        <v>67</v>
      </c>
      <c r="S2180" s="4">
        <v>0</v>
      </c>
      <c r="T2180" s="4">
        <v>33</v>
      </c>
      <c r="V2180" s="5" t="s">
        <v>16276</v>
      </c>
      <c r="W2180" s="5" t="s">
        <v>69</v>
      </c>
      <c r="X2180" s="5" t="s">
        <v>69</v>
      </c>
      <c r="Y2180" s="4">
        <v>60</v>
      </c>
      <c r="Z2180" s="4">
        <v>12</v>
      </c>
      <c r="AA2180" s="4">
        <v>18</v>
      </c>
      <c r="AB2180" s="4">
        <v>2</v>
      </c>
      <c r="AC2180" s="4">
        <v>2</v>
      </c>
      <c r="AD2180" s="4">
        <v>18</v>
      </c>
      <c r="AE2180" s="4">
        <v>69</v>
      </c>
      <c r="AF2180" s="4">
        <v>0</v>
      </c>
      <c r="AG2180" s="4">
        <v>0</v>
      </c>
      <c r="AH2180" s="4">
        <v>13</v>
      </c>
      <c r="AI2180" s="4">
        <v>58</v>
      </c>
      <c r="AJ2180" s="4">
        <v>5</v>
      </c>
      <c r="AK2180" s="4">
        <v>7</v>
      </c>
      <c r="AL2180" s="4">
        <v>8</v>
      </c>
      <c r="AM2180" s="4">
        <v>33</v>
      </c>
      <c r="AN2180" s="4">
        <v>0</v>
      </c>
      <c r="AO2180" s="4">
        <v>0</v>
      </c>
      <c r="AP2180" s="4">
        <v>7</v>
      </c>
      <c r="AQ2180" s="4">
        <v>12</v>
      </c>
      <c r="AR2180" s="3" t="s">
        <v>63</v>
      </c>
      <c r="AS2180" s="3" t="s">
        <v>63</v>
      </c>
      <c r="AT2180" s="3" t="s">
        <v>62</v>
      </c>
      <c r="AU2180" s="6" t="str">
        <f>HYPERLINK("http://catalog.hathitrust.org/Record/012269864","HathiTrust Record")</f>
        <v>HathiTrust Record</v>
      </c>
      <c r="AV2180" s="6" t="str">
        <f>HYPERLINK("http://mcgill.on.worldcat.org/oclc/60049454","Catalog Record")</f>
        <v>Catalog Record</v>
      </c>
      <c r="AW2180" s="6" t="str">
        <f>HYPERLINK("http://www.worldcat.org/oclc/60049454","WorldCat Record")</f>
        <v>WorldCat Record</v>
      </c>
      <c r="AX2180" s="3" t="s">
        <v>18472</v>
      </c>
      <c r="AY2180" s="3" t="s">
        <v>18473</v>
      </c>
      <c r="AZ2180" s="3" t="s">
        <v>18474</v>
      </c>
      <c r="BA2180" s="3" t="s">
        <v>18474</v>
      </c>
      <c r="BB2180" s="3" t="s">
        <v>18480</v>
      </c>
      <c r="BC2180" s="3" t="s">
        <v>82</v>
      </c>
      <c r="BD2180" s="3" t="s">
        <v>70</v>
      </c>
      <c r="BF2180" s="3" t="s">
        <v>18480</v>
      </c>
      <c r="BG2180" s="3" t="s">
        <v>18481</v>
      </c>
    </row>
    <row r="2181" spans="1:59" ht="60" x14ac:dyDescent="0.25">
      <c r="A2181" s="2" t="s">
        <v>59</v>
      </c>
      <c r="B2181" s="2" t="s">
        <v>60</v>
      </c>
      <c r="C2181" s="2" t="s">
        <v>18465</v>
      </c>
      <c r="D2181" s="2" t="s">
        <v>18466</v>
      </c>
      <c r="E2181" s="2" t="s">
        <v>18467</v>
      </c>
      <c r="F2181" s="3" t="s">
        <v>4181</v>
      </c>
      <c r="G2181" s="3" t="s">
        <v>62</v>
      </c>
      <c r="I2181" s="3" t="s">
        <v>62</v>
      </c>
      <c r="J2181" s="3" t="s">
        <v>63</v>
      </c>
      <c r="K2181" s="3" t="s">
        <v>64</v>
      </c>
      <c r="L2181" s="2" t="s">
        <v>18468</v>
      </c>
      <c r="M2181" s="2" t="s">
        <v>18469</v>
      </c>
      <c r="N2181" s="3" t="s">
        <v>274</v>
      </c>
      <c r="P2181" s="3" t="s">
        <v>66</v>
      </c>
      <c r="Q2181" s="2" t="s">
        <v>18470</v>
      </c>
      <c r="R2181" s="3" t="s">
        <v>67</v>
      </c>
      <c r="S2181" s="4">
        <v>19</v>
      </c>
      <c r="T2181" s="4">
        <v>33</v>
      </c>
      <c r="U2181" s="5" t="s">
        <v>16276</v>
      </c>
      <c r="V2181" s="5" t="s">
        <v>16276</v>
      </c>
      <c r="W2181" s="5" t="s">
        <v>69</v>
      </c>
      <c r="X2181" s="5" t="s">
        <v>69</v>
      </c>
      <c r="Y2181" s="4">
        <v>60</v>
      </c>
      <c r="Z2181" s="4">
        <v>12</v>
      </c>
      <c r="AA2181" s="4">
        <v>18</v>
      </c>
      <c r="AB2181" s="4">
        <v>2</v>
      </c>
      <c r="AC2181" s="4">
        <v>2</v>
      </c>
      <c r="AD2181" s="4">
        <v>18</v>
      </c>
      <c r="AE2181" s="4">
        <v>69</v>
      </c>
      <c r="AF2181" s="4">
        <v>0</v>
      </c>
      <c r="AG2181" s="4">
        <v>0</v>
      </c>
      <c r="AH2181" s="4">
        <v>13</v>
      </c>
      <c r="AI2181" s="4">
        <v>58</v>
      </c>
      <c r="AJ2181" s="4">
        <v>5</v>
      </c>
      <c r="AK2181" s="4">
        <v>7</v>
      </c>
      <c r="AL2181" s="4">
        <v>8</v>
      </c>
      <c r="AM2181" s="4">
        <v>33</v>
      </c>
      <c r="AN2181" s="4">
        <v>0</v>
      </c>
      <c r="AO2181" s="4">
        <v>0</v>
      </c>
      <c r="AP2181" s="4">
        <v>7</v>
      </c>
      <c r="AQ2181" s="4">
        <v>12</v>
      </c>
      <c r="AR2181" s="3" t="s">
        <v>63</v>
      </c>
      <c r="AS2181" s="3" t="s">
        <v>63</v>
      </c>
      <c r="AT2181" s="3" t="s">
        <v>62</v>
      </c>
      <c r="AU2181" s="6" t="str">
        <f>HYPERLINK("http://catalog.hathitrust.org/Record/012269864","HathiTrust Record")</f>
        <v>HathiTrust Record</v>
      </c>
      <c r="AV2181" s="6" t="str">
        <f>HYPERLINK("http://mcgill.on.worldcat.org/oclc/60049454","Catalog Record")</f>
        <v>Catalog Record</v>
      </c>
      <c r="AW2181" s="6" t="str">
        <f>HYPERLINK("http://www.worldcat.org/oclc/60049454","WorldCat Record")</f>
        <v>WorldCat Record</v>
      </c>
      <c r="AX2181" s="3" t="s">
        <v>18472</v>
      </c>
      <c r="AY2181" s="3" t="s">
        <v>18473</v>
      </c>
      <c r="AZ2181" s="3" t="s">
        <v>18474</v>
      </c>
      <c r="BA2181" s="3" t="s">
        <v>18474</v>
      </c>
      <c r="BB2181" s="3" t="s">
        <v>18482</v>
      </c>
      <c r="BC2181" s="3" t="s">
        <v>82</v>
      </c>
      <c r="BD2181" s="3" t="s">
        <v>70</v>
      </c>
      <c r="BF2181" s="3" t="s">
        <v>18482</v>
      </c>
      <c r="BG2181" s="3" t="s">
        <v>18483</v>
      </c>
    </row>
    <row r="2182" spans="1:59" ht="60" x14ac:dyDescent="0.25">
      <c r="A2182" s="2" t="s">
        <v>59</v>
      </c>
      <c r="B2182" s="2" t="s">
        <v>60</v>
      </c>
      <c r="C2182" s="2" t="s">
        <v>18484</v>
      </c>
      <c r="D2182" s="2" t="s">
        <v>18485</v>
      </c>
      <c r="E2182" s="2" t="s">
        <v>18486</v>
      </c>
      <c r="G2182" s="3" t="s">
        <v>63</v>
      </c>
      <c r="I2182" s="3" t="s">
        <v>63</v>
      </c>
      <c r="J2182" s="3" t="s">
        <v>63</v>
      </c>
      <c r="K2182" s="3" t="s">
        <v>64</v>
      </c>
      <c r="L2182" s="2" t="s">
        <v>18487</v>
      </c>
      <c r="M2182" s="2" t="s">
        <v>18488</v>
      </c>
      <c r="N2182" s="3" t="s">
        <v>11417</v>
      </c>
      <c r="P2182" s="3" t="s">
        <v>90</v>
      </c>
      <c r="R2182" s="3" t="s">
        <v>67</v>
      </c>
      <c r="S2182" s="4">
        <v>2</v>
      </c>
      <c r="T2182" s="4">
        <v>2</v>
      </c>
      <c r="U2182" s="5" t="s">
        <v>18489</v>
      </c>
      <c r="V2182" s="5" t="s">
        <v>18489</v>
      </c>
      <c r="W2182" s="5" t="s">
        <v>69</v>
      </c>
      <c r="X2182" s="5" t="s">
        <v>69</v>
      </c>
      <c r="Y2182" s="4">
        <v>23</v>
      </c>
      <c r="Z2182" s="4">
        <v>2</v>
      </c>
      <c r="AA2182" s="4">
        <v>2</v>
      </c>
      <c r="AB2182" s="4">
        <v>1</v>
      </c>
      <c r="AC2182" s="4">
        <v>1</v>
      </c>
      <c r="AD2182" s="4">
        <v>15</v>
      </c>
      <c r="AE2182" s="4">
        <v>16</v>
      </c>
      <c r="AF2182" s="4">
        <v>0</v>
      </c>
      <c r="AG2182" s="4">
        <v>0</v>
      </c>
      <c r="AH2182" s="4">
        <v>13</v>
      </c>
      <c r="AI2182" s="4">
        <v>14</v>
      </c>
      <c r="AJ2182" s="4">
        <v>1</v>
      </c>
      <c r="AK2182" s="4">
        <v>1</v>
      </c>
      <c r="AL2182" s="4">
        <v>13</v>
      </c>
      <c r="AM2182" s="4">
        <v>13</v>
      </c>
      <c r="AN2182" s="4">
        <v>0</v>
      </c>
      <c r="AO2182" s="4">
        <v>0</v>
      </c>
      <c r="AP2182" s="4">
        <v>1</v>
      </c>
      <c r="AQ2182" s="4">
        <v>1</v>
      </c>
      <c r="AR2182" s="3" t="s">
        <v>63</v>
      </c>
      <c r="AS2182" s="3" t="s">
        <v>63</v>
      </c>
      <c r="AT2182" s="3" t="s">
        <v>63</v>
      </c>
      <c r="AU2182" s="6" t="str">
        <f>HYPERLINK("http://catalog.hathitrust.org/Record/001730521","HathiTrust Record")</f>
        <v>HathiTrust Record</v>
      </c>
      <c r="AV2182" s="6" t="str">
        <f>HYPERLINK("http://mcgill.on.worldcat.org/oclc/30061726","Catalog Record")</f>
        <v>Catalog Record</v>
      </c>
      <c r="AW2182" s="6" t="str">
        <f>HYPERLINK("http://www.worldcat.org/oclc/30061726","WorldCat Record")</f>
        <v>WorldCat Record</v>
      </c>
      <c r="AX2182" s="3" t="s">
        <v>18490</v>
      </c>
      <c r="AY2182" s="3" t="s">
        <v>18491</v>
      </c>
      <c r="AZ2182" s="3" t="s">
        <v>18492</v>
      </c>
      <c r="BA2182" s="3" t="s">
        <v>18492</v>
      </c>
      <c r="BB2182" s="3" t="s">
        <v>18493</v>
      </c>
      <c r="BC2182" s="3" t="s">
        <v>82</v>
      </c>
      <c r="BD2182" s="3" t="s">
        <v>70</v>
      </c>
      <c r="BF2182" s="3" t="s">
        <v>18493</v>
      </c>
      <c r="BG2182" s="3" t="s">
        <v>18494</v>
      </c>
    </row>
    <row r="2183" spans="1:59" ht="90" x14ac:dyDescent="0.25">
      <c r="A2183" s="2" t="s">
        <v>59</v>
      </c>
      <c r="B2183" s="2" t="s">
        <v>60</v>
      </c>
      <c r="C2183" s="2" t="s">
        <v>18495</v>
      </c>
      <c r="D2183" s="2" t="s">
        <v>18496</v>
      </c>
      <c r="E2183" s="2" t="s">
        <v>18497</v>
      </c>
      <c r="G2183" s="3" t="s">
        <v>63</v>
      </c>
      <c r="I2183" s="3" t="s">
        <v>63</v>
      </c>
      <c r="J2183" s="3" t="s">
        <v>63</v>
      </c>
      <c r="K2183" s="3" t="s">
        <v>64</v>
      </c>
      <c r="L2183" s="2" t="s">
        <v>18498</v>
      </c>
      <c r="M2183" s="2" t="s">
        <v>18499</v>
      </c>
      <c r="N2183" s="3" t="s">
        <v>2459</v>
      </c>
      <c r="P2183" s="3" t="s">
        <v>66</v>
      </c>
      <c r="Q2183" s="2" t="s">
        <v>18500</v>
      </c>
      <c r="R2183" s="3" t="s">
        <v>67</v>
      </c>
      <c r="S2183" s="4">
        <v>4</v>
      </c>
      <c r="T2183" s="4">
        <v>4</v>
      </c>
      <c r="U2183" s="5" t="s">
        <v>6150</v>
      </c>
      <c r="V2183" s="5" t="s">
        <v>6150</v>
      </c>
      <c r="W2183" s="5" t="s">
        <v>69</v>
      </c>
      <c r="X2183" s="5" t="s">
        <v>69</v>
      </c>
      <c r="Y2183" s="4">
        <v>164</v>
      </c>
      <c r="Z2183" s="4">
        <v>14</v>
      </c>
      <c r="AA2183" s="4">
        <v>14</v>
      </c>
      <c r="AB2183" s="4">
        <v>3</v>
      </c>
      <c r="AC2183" s="4">
        <v>3</v>
      </c>
      <c r="AD2183" s="4">
        <v>79</v>
      </c>
      <c r="AE2183" s="4">
        <v>79</v>
      </c>
      <c r="AF2183" s="4">
        <v>1</v>
      </c>
      <c r="AG2183" s="4">
        <v>1</v>
      </c>
      <c r="AH2183" s="4">
        <v>75</v>
      </c>
      <c r="AI2183" s="4">
        <v>75</v>
      </c>
      <c r="AJ2183" s="4">
        <v>10</v>
      </c>
      <c r="AK2183" s="4">
        <v>10</v>
      </c>
      <c r="AL2183" s="4">
        <v>48</v>
      </c>
      <c r="AM2183" s="4">
        <v>48</v>
      </c>
      <c r="AN2183" s="4">
        <v>0</v>
      </c>
      <c r="AO2183" s="4">
        <v>0</v>
      </c>
      <c r="AP2183" s="4">
        <v>10</v>
      </c>
      <c r="AQ2183" s="4">
        <v>10</v>
      </c>
      <c r="AR2183" s="3" t="s">
        <v>63</v>
      </c>
      <c r="AS2183" s="3" t="s">
        <v>63</v>
      </c>
      <c r="AT2183" s="3" t="s">
        <v>62</v>
      </c>
      <c r="AU2183" s="6" t="str">
        <f>HYPERLINK("http://catalog.hathitrust.org/Record/006835929","HathiTrust Record")</f>
        <v>HathiTrust Record</v>
      </c>
      <c r="AV2183" s="6" t="str">
        <f>HYPERLINK("http://mcgill.on.worldcat.org/oclc/253842038","Catalog Record")</f>
        <v>Catalog Record</v>
      </c>
      <c r="AW2183" s="6" t="str">
        <f>HYPERLINK("http://www.worldcat.org/oclc/253842038","WorldCat Record")</f>
        <v>WorldCat Record</v>
      </c>
      <c r="AX2183" s="3" t="s">
        <v>18501</v>
      </c>
      <c r="AY2183" s="3" t="s">
        <v>18502</v>
      </c>
      <c r="AZ2183" s="3" t="s">
        <v>18503</v>
      </c>
      <c r="BA2183" s="3" t="s">
        <v>18503</v>
      </c>
      <c r="BB2183" s="3" t="s">
        <v>18504</v>
      </c>
      <c r="BC2183" s="3" t="s">
        <v>82</v>
      </c>
      <c r="BD2183" s="3" t="s">
        <v>70</v>
      </c>
      <c r="BE2183" s="3" t="s">
        <v>18505</v>
      </c>
      <c r="BF2183" s="3" t="s">
        <v>18504</v>
      </c>
      <c r="BG2183" s="3" t="s">
        <v>18506</v>
      </c>
    </row>
    <row r="2184" spans="1:59" ht="60" x14ac:dyDescent="0.25">
      <c r="A2184" s="2" t="s">
        <v>59</v>
      </c>
      <c r="B2184" s="2" t="s">
        <v>60</v>
      </c>
      <c r="C2184" s="2" t="s">
        <v>18507</v>
      </c>
      <c r="D2184" s="2" t="s">
        <v>18508</v>
      </c>
      <c r="E2184" s="2" t="s">
        <v>18509</v>
      </c>
      <c r="G2184" s="3" t="s">
        <v>63</v>
      </c>
      <c r="I2184" s="3" t="s">
        <v>63</v>
      </c>
      <c r="J2184" s="3" t="s">
        <v>63</v>
      </c>
      <c r="K2184" s="3" t="s">
        <v>64</v>
      </c>
      <c r="L2184" s="2" t="s">
        <v>18510</v>
      </c>
      <c r="M2184" s="2" t="s">
        <v>18511</v>
      </c>
      <c r="N2184" s="3" t="s">
        <v>2765</v>
      </c>
      <c r="P2184" s="3" t="s">
        <v>90</v>
      </c>
      <c r="R2184" s="3" t="s">
        <v>67</v>
      </c>
      <c r="S2184" s="4">
        <v>0</v>
      </c>
      <c r="T2184" s="4">
        <v>0</v>
      </c>
      <c r="W2184" s="5" t="s">
        <v>69</v>
      </c>
      <c r="X2184" s="5" t="s">
        <v>69</v>
      </c>
      <c r="Y2184" s="4">
        <v>17</v>
      </c>
      <c r="Z2184" s="4">
        <v>3</v>
      </c>
      <c r="AA2184" s="4">
        <v>3</v>
      </c>
      <c r="AB2184" s="4">
        <v>1</v>
      </c>
      <c r="AC2184" s="4">
        <v>1</v>
      </c>
      <c r="AD2184" s="4">
        <v>13</v>
      </c>
      <c r="AE2184" s="4">
        <v>13</v>
      </c>
      <c r="AF2184" s="4">
        <v>0</v>
      </c>
      <c r="AG2184" s="4">
        <v>0</v>
      </c>
      <c r="AH2184" s="4">
        <v>13</v>
      </c>
      <c r="AI2184" s="4">
        <v>13</v>
      </c>
      <c r="AJ2184" s="4">
        <v>1</v>
      </c>
      <c r="AK2184" s="4">
        <v>1</v>
      </c>
      <c r="AL2184" s="4">
        <v>11</v>
      </c>
      <c r="AM2184" s="4">
        <v>11</v>
      </c>
      <c r="AN2184" s="4">
        <v>0</v>
      </c>
      <c r="AO2184" s="4">
        <v>0</v>
      </c>
      <c r="AP2184" s="4">
        <v>1</v>
      </c>
      <c r="AQ2184" s="4">
        <v>1</v>
      </c>
      <c r="AR2184" s="3" t="s">
        <v>63</v>
      </c>
      <c r="AS2184" s="3" t="s">
        <v>63</v>
      </c>
      <c r="AT2184" s="3" t="s">
        <v>63</v>
      </c>
      <c r="AV2184" s="6" t="str">
        <f>HYPERLINK("http://mcgill.on.worldcat.org/oclc/919315815","Catalog Record")</f>
        <v>Catalog Record</v>
      </c>
      <c r="AW2184" s="6" t="str">
        <f>HYPERLINK("http://www.worldcat.org/oclc/919315815","WorldCat Record")</f>
        <v>WorldCat Record</v>
      </c>
      <c r="AX2184" s="3" t="s">
        <v>18512</v>
      </c>
      <c r="AY2184" s="3" t="s">
        <v>18513</v>
      </c>
      <c r="AZ2184" s="3" t="s">
        <v>18514</v>
      </c>
      <c r="BA2184" s="3" t="s">
        <v>18514</v>
      </c>
      <c r="BB2184" s="3" t="s">
        <v>18515</v>
      </c>
      <c r="BC2184" s="3" t="s">
        <v>82</v>
      </c>
      <c r="BD2184" s="3" t="s">
        <v>70</v>
      </c>
      <c r="BE2184" s="3" t="s">
        <v>18516</v>
      </c>
      <c r="BF2184" s="3" t="s">
        <v>18515</v>
      </c>
      <c r="BG2184" s="3" t="s">
        <v>18517</v>
      </c>
    </row>
    <row r="2185" spans="1:59" ht="75" x14ac:dyDescent="0.25">
      <c r="A2185" s="2" t="s">
        <v>59</v>
      </c>
      <c r="B2185" s="2" t="s">
        <v>60</v>
      </c>
      <c r="C2185" s="2" t="s">
        <v>18518</v>
      </c>
      <c r="D2185" s="2" t="s">
        <v>18519</v>
      </c>
      <c r="E2185" s="2" t="s">
        <v>18520</v>
      </c>
      <c r="G2185" s="3" t="s">
        <v>63</v>
      </c>
      <c r="I2185" s="3" t="s">
        <v>63</v>
      </c>
      <c r="J2185" s="3" t="s">
        <v>63</v>
      </c>
      <c r="K2185" s="3" t="s">
        <v>64</v>
      </c>
      <c r="L2185" s="2" t="s">
        <v>18521</v>
      </c>
      <c r="M2185" s="2" t="s">
        <v>18522</v>
      </c>
      <c r="N2185" s="3" t="s">
        <v>313</v>
      </c>
      <c r="P2185" s="3" t="s">
        <v>66</v>
      </c>
      <c r="R2185" s="3" t="s">
        <v>67</v>
      </c>
      <c r="S2185" s="4">
        <v>0</v>
      </c>
      <c r="T2185" s="4">
        <v>0</v>
      </c>
      <c r="W2185" s="5" t="s">
        <v>69</v>
      </c>
      <c r="X2185" s="5" t="s">
        <v>69</v>
      </c>
      <c r="Y2185" s="4">
        <v>212</v>
      </c>
      <c r="Z2185" s="4">
        <v>33</v>
      </c>
      <c r="AA2185" s="4">
        <v>72</v>
      </c>
      <c r="AB2185" s="4">
        <v>3</v>
      </c>
      <c r="AC2185" s="4">
        <v>10</v>
      </c>
      <c r="AD2185" s="4">
        <v>84</v>
      </c>
      <c r="AE2185" s="4">
        <v>111</v>
      </c>
      <c r="AF2185" s="4">
        <v>0</v>
      </c>
      <c r="AG2185" s="4">
        <v>3</v>
      </c>
      <c r="AH2185" s="4">
        <v>74</v>
      </c>
      <c r="AI2185" s="4">
        <v>84</v>
      </c>
      <c r="AJ2185" s="4">
        <v>17</v>
      </c>
      <c r="AK2185" s="4">
        <v>24</v>
      </c>
      <c r="AL2185" s="4">
        <v>40</v>
      </c>
      <c r="AM2185" s="4">
        <v>45</v>
      </c>
      <c r="AN2185" s="4">
        <v>0</v>
      </c>
      <c r="AO2185" s="4">
        <v>0</v>
      </c>
      <c r="AP2185" s="4">
        <v>18</v>
      </c>
      <c r="AQ2185" s="4">
        <v>36</v>
      </c>
      <c r="AR2185" s="3" t="s">
        <v>62</v>
      </c>
      <c r="AS2185" s="3" t="s">
        <v>63</v>
      </c>
      <c r="AT2185" s="3" t="s">
        <v>62</v>
      </c>
      <c r="AU2185" s="6" t="str">
        <f>HYPERLINK("http://catalog.hathitrust.org/Record/011810639","HathiTrust Record")</f>
        <v>HathiTrust Record</v>
      </c>
      <c r="AV2185" s="6" t="str">
        <f>HYPERLINK("http://mcgill.on.worldcat.org/oclc/471042764","Catalog Record")</f>
        <v>Catalog Record</v>
      </c>
      <c r="AW2185" s="6" t="str">
        <f>HYPERLINK("http://www.worldcat.org/oclc/471042764","WorldCat Record")</f>
        <v>WorldCat Record</v>
      </c>
      <c r="AX2185" s="3" t="s">
        <v>18523</v>
      </c>
      <c r="AY2185" s="3" t="s">
        <v>18524</v>
      </c>
      <c r="AZ2185" s="3" t="s">
        <v>18525</v>
      </c>
      <c r="BA2185" s="3" t="s">
        <v>18525</v>
      </c>
      <c r="BB2185" s="3" t="s">
        <v>18526</v>
      </c>
      <c r="BC2185" s="3" t="s">
        <v>82</v>
      </c>
      <c r="BD2185" s="3" t="s">
        <v>70</v>
      </c>
      <c r="BE2185" s="3" t="s">
        <v>18527</v>
      </c>
      <c r="BF2185" s="3" t="s">
        <v>18526</v>
      </c>
      <c r="BG2185" s="3" t="s">
        <v>18528</v>
      </c>
    </row>
    <row r="2186" spans="1:59" ht="60" x14ac:dyDescent="0.25">
      <c r="A2186" s="2" t="s">
        <v>59</v>
      </c>
      <c r="B2186" s="2" t="s">
        <v>60</v>
      </c>
      <c r="C2186" s="2" t="s">
        <v>18529</v>
      </c>
      <c r="D2186" s="2" t="s">
        <v>18530</v>
      </c>
      <c r="E2186" s="2" t="s">
        <v>18531</v>
      </c>
      <c r="G2186" s="3" t="s">
        <v>63</v>
      </c>
      <c r="I2186" s="3" t="s">
        <v>63</v>
      </c>
      <c r="J2186" s="3" t="s">
        <v>63</v>
      </c>
      <c r="K2186" s="3" t="s">
        <v>64</v>
      </c>
      <c r="L2186" s="2" t="s">
        <v>18532</v>
      </c>
      <c r="M2186" s="2" t="s">
        <v>18533</v>
      </c>
      <c r="N2186" s="3" t="s">
        <v>2144</v>
      </c>
      <c r="P2186" s="3" t="s">
        <v>66</v>
      </c>
      <c r="R2186" s="3" t="s">
        <v>67</v>
      </c>
      <c r="S2186" s="4">
        <v>1</v>
      </c>
      <c r="T2186" s="4">
        <v>1</v>
      </c>
      <c r="U2186" s="5" t="s">
        <v>18534</v>
      </c>
      <c r="V2186" s="5" t="s">
        <v>18534</v>
      </c>
      <c r="W2186" s="5" t="s">
        <v>69</v>
      </c>
      <c r="X2186" s="5" t="s">
        <v>69</v>
      </c>
      <c r="Y2186" s="4">
        <v>160</v>
      </c>
      <c r="Z2186" s="4">
        <v>15</v>
      </c>
      <c r="AA2186" s="4">
        <v>22</v>
      </c>
      <c r="AB2186" s="4">
        <v>1</v>
      </c>
      <c r="AC2186" s="4">
        <v>1</v>
      </c>
      <c r="AD2186" s="4">
        <v>52</v>
      </c>
      <c r="AE2186" s="4">
        <v>103</v>
      </c>
      <c r="AF2186" s="4">
        <v>0</v>
      </c>
      <c r="AG2186" s="4">
        <v>0</v>
      </c>
      <c r="AH2186" s="4">
        <v>46</v>
      </c>
      <c r="AI2186" s="4">
        <v>90</v>
      </c>
      <c r="AJ2186" s="4">
        <v>10</v>
      </c>
      <c r="AK2186" s="4">
        <v>15</v>
      </c>
      <c r="AL2186" s="4">
        <v>27</v>
      </c>
      <c r="AM2186" s="4">
        <v>52</v>
      </c>
      <c r="AN2186" s="4">
        <v>0</v>
      </c>
      <c r="AO2186" s="4">
        <v>2</v>
      </c>
      <c r="AP2186" s="4">
        <v>10</v>
      </c>
      <c r="AQ2186" s="4">
        <v>17</v>
      </c>
      <c r="AR2186" s="3" t="s">
        <v>63</v>
      </c>
      <c r="AS2186" s="3" t="s">
        <v>63</v>
      </c>
      <c r="AT2186" s="3" t="s">
        <v>63</v>
      </c>
      <c r="AV2186" s="6" t="str">
        <f>HYPERLINK("http://mcgill.on.worldcat.org/oclc/1854837","Catalog Record")</f>
        <v>Catalog Record</v>
      </c>
      <c r="AW2186" s="6" t="str">
        <f>HYPERLINK("http://www.worldcat.org/oclc/1854837","WorldCat Record")</f>
        <v>WorldCat Record</v>
      </c>
      <c r="AX2186" s="3" t="s">
        <v>18535</v>
      </c>
      <c r="AY2186" s="3" t="s">
        <v>18536</v>
      </c>
      <c r="AZ2186" s="3" t="s">
        <v>18537</v>
      </c>
      <c r="BA2186" s="3" t="s">
        <v>18537</v>
      </c>
      <c r="BB2186" s="3" t="s">
        <v>18538</v>
      </c>
      <c r="BC2186" s="3" t="s">
        <v>82</v>
      </c>
      <c r="BD2186" s="3" t="s">
        <v>70</v>
      </c>
      <c r="BF2186" s="3" t="s">
        <v>18538</v>
      </c>
      <c r="BG2186" s="3" t="s">
        <v>18539</v>
      </c>
    </row>
    <row r="2187" spans="1:59" ht="60" x14ac:dyDescent="0.25">
      <c r="A2187" s="2" t="s">
        <v>59</v>
      </c>
      <c r="B2187" s="2" t="s">
        <v>60</v>
      </c>
      <c r="C2187" s="2" t="s">
        <v>18540</v>
      </c>
      <c r="D2187" s="2" t="s">
        <v>18541</v>
      </c>
      <c r="E2187" s="2" t="s">
        <v>18542</v>
      </c>
      <c r="G2187" s="3" t="s">
        <v>63</v>
      </c>
      <c r="I2187" s="3" t="s">
        <v>63</v>
      </c>
      <c r="J2187" s="3" t="s">
        <v>63</v>
      </c>
      <c r="K2187" s="3" t="s">
        <v>64</v>
      </c>
      <c r="L2187" s="2" t="s">
        <v>12728</v>
      </c>
      <c r="M2187" s="2" t="s">
        <v>18543</v>
      </c>
      <c r="N2187" s="3" t="s">
        <v>2225</v>
      </c>
      <c r="P2187" s="3" t="s">
        <v>548</v>
      </c>
      <c r="Q2187" s="2" t="s">
        <v>18544</v>
      </c>
      <c r="R2187" s="3" t="s">
        <v>67</v>
      </c>
      <c r="S2187" s="4">
        <v>8</v>
      </c>
      <c r="T2187" s="4">
        <v>8</v>
      </c>
      <c r="U2187" s="5" t="s">
        <v>18545</v>
      </c>
      <c r="V2187" s="5" t="s">
        <v>18545</v>
      </c>
      <c r="W2187" s="5" t="s">
        <v>69</v>
      </c>
      <c r="X2187" s="5" t="s">
        <v>69</v>
      </c>
      <c r="Y2187" s="4">
        <v>198</v>
      </c>
      <c r="Z2187" s="4">
        <v>22</v>
      </c>
      <c r="AA2187" s="4">
        <v>40</v>
      </c>
      <c r="AB2187" s="4">
        <v>1</v>
      </c>
      <c r="AC2187" s="4">
        <v>10</v>
      </c>
      <c r="AD2187" s="4">
        <v>73</v>
      </c>
      <c r="AE2187" s="4">
        <v>85</v>
      </c>
      <c r="AF2187" s="4">
        <v>0</v>
      </c>
      <c r="AG2187" s="4">
        <v>4</v>
      </c>
      <c r="AH2187" s="4">
        <v>64</v>
      </c>
      <c r="AI2187" s="4">
        <v>69</v>
      </c>
      <c r="AJ2187" s="4">
        <v>13</v>
      </c>
      <c r="AK2187" s="4">
        <v>20</v>
      </c>
      <c r="AL2187" s="4">
        <v>33</v>
      </c>
      <c r="AM2187" s="4">
        <v>36</v>
      </c>
      <c r="AN2187" s="4">
        <v>0</v>
      </c>
      <c r="AO2187" s="4">
        <v>0</v>
      </c>
      <c r="AP2187" s="4">
        <v>15</v>
      </c>
      <c r="AQ2187" s="4">
        <v>22</v>
      </c>
      <c r="AR2187" s="3" t="s">
        <v>63</v>
      </c>
      <c r="AS2187" s="3" t="s">
        <v>63</v>
      </c>
      <c r="AT2187" s="3" t="s">
        <v>62</v>
      </c>
      <c r="AU2187" s="6" t="str">
        <f>HYPERLINK("http://catalog.hathitrust.org/Record/001061191","HathiTrust Record")</f>
        <v>HathiTrust Record</v>
      </c>
      <c r="AV2187" s="6" t="str">
        <f>HYPERLINK("http://mcgill.on.worldcat.org/oclc/40701624","Catalog Record")</f>
        <v>Catalog Record</v>
      </c>
      <c r="AW2187" s="6" t="str">
        <f>HYPERLINK("http://www.worldcat.org/oclc/40701624","WorldCat Record")</f>
        <v>WorldCat Record</v>
      </c>
      <c r="AX2187" s="3" t="s">
        <v>18546</v>
      </c>
      <c r="AY2187" s="3" t="s">
        <v>18547</v>
      </c>
      <c r="AZ2187" s="3" t="s">
        <v>18548</v>
      </c>
      <c r="BA2187" s="3" t="s">
        <v>18548</v>
      </c>
      <c r="BB2187" s="3" t="s">
        <v>18549</v>
      </c>
      <c r="BC2187" s="3" t="s">
        <v>82</v>
      </c>
      <c r="BD2187" s="3" t="s">
        <v>70</v>
      </c>
      <c r="BF2187" s="3" t="s">
        <v>18549</v>
      </c>
      <c r="BG2187" s="3" t="s">
        <v>18550</v>
      </c>
    </row>
    <row r="2188" spans="1:59" ht="60" x14ac:dyDescent="0.25">
      <c r="A2188" s="2" t="s">
        <v>59</v>
      </c>
      <c r="B2188" s="2" t="s">
        <v>60</v>
      </c>
      <c r="C2188" s="2" t="s">
        <v>18551</v>
      </c>
      <c r="D2188" s="2" t="s">
        <v>18552</v>
      </c>
      <c r="E2188" s="2" t="s">
        <v>18553</v>
      </c>
      <c r="G2188" s="3" t="s">
        <v>63</v>
      </c>
      <c r="I2188" s="3" t="s">
        <v>63</v>
      </c>
      <c r="J2188" s="3" t="s">
        <v>63</v>
      </c>
      <c r="K2188" s="3" t="s">
        <v>64</v>
      </c>
      <c r="L2188" s="2" t="s">
        <v>18554</v>
      </c>
      <c r="M2188" s="2" t="s">
        <v>18555</v>
      </c>
      <c r="N2188" s="3" t="s">
        <v>76</v>
      </c>
      <c r="P2188" s="3" t="s">
        <v>66</v>
      </c>
      <c r="R2188" s="3" t="s">
        <v>67</v>
      </c>
      <c r="S2188" s="4">
        <v>1</v>
      </c>
      <c r="T2188" s="4">
        <v>1</v>
      </c>
      <c r="U2188" s="5" t="s">
        <v>18556</v>
      </c>
      <c r="V2188" s="5" t="s">
        <v>18556</v>
      </c>
      <c r="W2188" s="5" t="s">
        <v>69</v>
      </c>
      <c r="X2188" s="5" t="s">
        <v>69</v>
      </c>
      <c r="Y2188" s="4">
        <v>87</v>
      </c>
      <c r="Z2188" s="4">
        <v>2</v>
      </c>
      <c r="AA2188" s="4">
        <v>67</v>
      </c>
      <c r="AB2188" s="4">
        <v>1</v>
      </c>
      <c r="AC2188" s="4">
        <v>6</v>
      </c>
      <c r="AD2188" s="4">
        <v>3</v>
      </c>
      <c r="AE2188" s="4">
        <v>128</v>
      </c>
      <c r="AF2188" s="4">
        <v>0</v>
      </c>
      <c r="AG2188" s="4">
        <v>1</v>
      </c>
      <c r="AH2188" s="4">
        <v>3</v>
      </c>
      <c r="AI2188" s="4">
        <v>105</v>
      </c>
      <c r="AJ2188" s="4">
        <v>0</v>
      </c>
      <c r="AK2188" s="4">
        <v>18</v>
      </c>
      <c r="AL2188" s="4">
        <v>3</v>
      </c>
      <c r="AM2188" s="4">
        <v>59</v>
      </c>
      <c r="AN2188" s="4">
        <v>0</v>
      </c>
      <c r="AO2188" s="4">
        <v>0</v>
      </c>
      <c r="AP2188" s="4">
        <v>0</v>
      </c>
      <c r="AQ2188" s="4">
        <v>28</v>
      </c>
      <c r="AR2188" s="3" t="s">
        <v>63</v>
      </c>
      <c r="AS2188" s="3" t="s">
        <v>63</v>
      </c>
      <c r="AT2188" s="3" t="s">
        <v>63</v>
      </c>
      <c r="AV2188" s="6" t="str">
        <f>HYPERLINK("http://mcgill.on.worldcat.org/oclc/772973425","Catalog Record")</f>
        <v>Catalog Record</v>
      </c>
      <c r="AW2188" s="6" t="str">
        <f>HYPERLINK("http://www.worldcat.org/oclc/772973425","WorldCat Record")</f>
        <v>WorldCat Record</v>
      </c>
      <c r="AX2188" s="3" t="s">
        <v>18557</v>
      </c>
      <c r="AY2188" s="3" t="s">
        <v>18558</v>
      </c>
      <c r="AZ2188" s="3" t="s">
        <v>18559</v>
      </c>
      <c r="BA2188" s="3" t="s">
        <v>18559</v>
      </c>
      <c r="BB2188" s="3" t="s">
        <v>18560</v>
      </c>
      <c r="BC2188" s="3" t="s">
        <v>82</v>
      </c>
      <c r="BD2188" s="3" t="s">
        <v>70</v>
      </c>
      <c r="BE2188" s="3" t="s">
        <v>18561</v>
      </c>
      <c r="BF2188" s="3" t="s">
        <v>18560</v>
      </c>
      <c r="BG2188" s="3" t="s">
        <v>18562</v>
      </c>
    </row>
    <row r="2189" spans="1:59" ht="75" x14ac:dyDescent="0.25">
      <c r="A2189" s="2" t="s">
        <v>59</v>
      </c>
      <c r="B2189" s="2" t="s">
        <v>60</v>
      </c>
      <c r="C2189" s="2" t="s">
        <v>18419</v>
      </c>
      <c r="D2189" s="2" t="s">
        <v>18420</v>
      </c>
      <c r="E2189" s="2" t="s">
        <v>18421</v>
      </c>
      <c r="F2189" s="3" t="s">
        <v>5544</v>
      </c>
      <c r="G2189" s="3" t="s">
        <v>62</v>
      </c>
      <c r="I2189" s="3" t="s">
        <v>63</v>
      </c>
      <c r="J2189" s="3" t="s">
        <v>63</v>
      </c>
      <c r="K2189" s="3" t="s">
        <v>64</v>
      </c>
      <c r="L2189" s="2" t="s">
        <v>18422</v>
      </c>
      <c r="M2189" s="2" t="s">
        <v>18423</v>
      </c>
      <c r="N2189" s="3" t="s">
        <v>8667</v>
      </c>
      <c r="P2189" s="3" t="s">
        <v>90</v>
      </c>
      <c r="R2189" s="3" t="s">
        <v>67</v>
      </c>
      <c r="S2189" s="4">
        <v>1</v>
      </c>
      <c r="T2189" s="4">
        <v>1</v>
      </c>
      <c r="U2189" s="5" t="s">
        <v>14315</v>
      </c>
      <c r="V2189" s="5" t="s">
        <v>14315</v>
      </c>
      <c r="W2189" s="5" t="s">
        <v>69</v>
      </c>
      <c r="X2189" s="5" t="s">
        <v>69</v>
      </c>
      <c r="Y2189" s="4">
        <v>21</v>
      </c>
      <c r="Z2189" s="4">
        <v>3</v>
      </c>
      <c r="AA2189" s="4">
        <v>3</v>
      </c>
      <c r="AB2189" s="4">
        <v>1</v>
      </c>
      <c r="AC2189" s="4">
        <v>1</v>
      </c>
      <c r="AD2189" s="4">
        <v>15</v>
      </c>
      <c r="AE2189" s="4">
        <v>17</v>
      </c>
      <c r="AF2189" s="4">
        <v>0</v>
      </c>
      <c r="AG2189" s="4">
        <v>0</v>
      </c>
      <c r="AH2189" s="4">
        <v>14</v>
      </c>
      <c r="AI2189" s="4">
        <v>16</v>
      </c>
      <c r="AJ2189" s="4">
        <v>2</v>
      </c>
      <c r="AK2189" s="4">
        <v>2</v>
      </c>
      <c r="AL2189" s="4">
        <v>12</v>
      </c>
      <c r="AM2189" s="4">
        <v>14</v>
      </c>
      <c r="AN2189" s="4">
        <v>0</v>
      </c>
      <c r="AO2189" s="4">
        <v>0</v>
      </c>
      <c r="AP2189" s="4">
        <v>2</v>
      </c>
      <c r="AQ2189" s="4">
        <v>2</v>
      </c>
      <c r="AR2189" s="3" t="s">
        <v>63</v>
      </c>
      <c r="AS2189" s="3" t="s">
        <v>63</v>
      </c>
      <c r="AT2189" s="3" t="s">
        <v>63</v>
      </c>
      <c r="AV2189" s="6" t="str">
        <f>HYPERLINK("http://mcgill.on.worldcat.org/oclc/18171954","Catalog Record")</f>
        <v>Catalog Record</v>
      </c>
      <c r="AW2189" s="6" t="str">
        <f>HYPERLINK("http://www.worldcat.org/oclc/18171954","WorldCat Record")</f>
        <v>WorldCat Record</v>
      </c>
      <c r="AX2189" s="3" t="s">
        <v>18424</v>
      </c>
      <c r="AY2189" s="3" t="s">
        <v>18425</v>
      </c>
      <c r="AZ2189" s="3" t="s">
        <v>18426</v>
      </c>
      <c r="BA2189" s="3" t="s">
        <v>18426</v>
      </c>
      <c r="BB2189" s="3" t="s">
        <v>18427</v>
      </c>
      <c r="BC2189" s="3" t="s">
        <v>82</v>
      </c>
      <c r="BD2189" s="3" t="s">
        <v>70</v>
      </c>
      <c r="BF2189" s="3" t="s">
        <v>18427</v>
      </c>
      <c r="BG2189" s="3" t="s">
        <v>18428</v>
      </c>
    </row>
    <row r="2190" spans="1:59" ht="60" x14ac:dyDescent="0.25">
      <c r="A2190" s="2" t="s">
        <v>59</v>
      </c>
      <c r="B2190" s="2" t="s">
        <v>60</v>
      </c>
      <c r="C2190" s="2" t="s">
        <v>18563</v>
      </c>
      <c r="D2190" s="2" t="s">
        <v>18564</v>
      </c>
      <c r="E2190" s="2" t="s">
        <v>18565</v>
      </c>
      <c r="G2190" s="3" t="s">
        <v>63</v>
      </c>
      <c r="I2190" s="3" t="s">
        <v>62</v>
      </c>
      <c r="J2190" s="3" t="s">
        <v>63</v>
      </c>
      <c r="K2190" s="3" t="s">
        <v>64</v>
      </c>
      <c r="L2190" s="2" t="s">
        <v>18566</v>
      </c>
      <c r="M2190" s="2" t="s">
        <v>18567</v>
      </c>
      <c r="N2190" s="3" t="s">
        <v>918</v>
      </c>
      <c r="P2190" s="3" t="s">
        <v>66</v>
      </c>
      <c r="Q2190" s="2" t="s">
        <v>18568</v>
      </c>
      <c r="R2190" s="3" t="s">
        <v>67</v>
      </c>
      <c r="S2190" s="4">
        <v>16</v>
      </c>
      <c r="T2190" s="4">
        <v>34</v>
      </c>
      <c r="U2190" s="5" t="s">
        <v>18569</v>
      </c>
      <c r="V2190" s="5" t="s">
        <v>18569</v>
      </c>
      <c r="W2190" s="5" t="s">
        <v>69</v>
      </c>
      <c r="X2190" s="5" t="s">
        <v>69</v>
      </c>
      <c r="Y2190" s="4">
        <v>1908</v>
      </c>
      <c r="Z2190" s="4">
        <v>60</v>
      </c>
      <c r="AA2190" s="4">
        <v>62</v>
      </c>
      <c r="AB2190" s="4">
        <v>5</v>
      </c>
      <c r="AC2190" s="4">
        <v>6</v>
      </c>
      <c r="AD2190" s="4">
        <v>135</v>
      </c>
      <c r="AE2190" s="4">
        <v>137</v>
      </c>
      <c r="AF2190" s="4">
        <v>2</v>
      </c>
      <c r="AG2190" s="4">
        <v>3</v>
      </c>
      <c r="AH2190" s="4">
        <v>105</v>
      </c>
      <c r="AI2190" s="4">
        <v>106</v>
      </c>
      <c r="AJ2190" s="4">
        <v>24</v>
      </c>
      <c r="AK2190" s="4">
        <v>25</v>
      </c>
      <c r="AL2190" s="4">
        <v>59</v>
      </c>
      <c r="AM2190" s="4">
        <v>59</v>
      </c>
      <c r="AN2190" s="4">
        <v>0</v>
      </c>
      <c r="AO2190" s="4">
        <v>0</v>
      </c>
      <c r="AP2190" s="4">
        <v>34</v>
      </c>
      <c r="AQ2190" s="4">
        <v>36</v>
      </c>
      <c r="AR2190" s="3" t="s">
        <v>63</v>
      </c>
      <c r="AS2190" s="3" t="s">
        <v>63</v>
      </c>
      <c r="AT2190" s="3" t="s">
        <v>62</v>
      </c>
      <c r="AU2190" s="6" t="str">
        <f>HYPERLINK("http://catalog.hathitrust.org/Record/001061148","HathiTrust Record")</f>
        <v>HathiTrust Record</v>
      </c>
      <c r="AV2190" s="6" t="str">
        <f>HYPERLINK("http://mcgill.on.worldcat.org/oclc/1959187","Catalog Record")</f>
        <v>Catalog Record</v>
      </c>
      <c r="AW2190" s="6" t="str">
        <f>HYPERLINK("http://www.worldcat.org/oclc/1959187","WorldCat Record")</f>
        <v>WorldCat Record</v>
      </c>
      <c r="AX2190" s="3" t="s">
        <v>18570</v>
      </c>
      <c r="AY2190" s="3" t="s">
        <v>18571</v>
      </c>
      <c r="AZ2190" s="3" t="s">
        <v>18572</v>
      </c>
      <c r="BA2190" s="3" t="s">
        <v>18572</v>
      </c>
      <c r="BB2190" s="3" t="s">
        <v>18573</v>
      </c>
      <c r="BC2190" s="3" t="s">
        <v>82</v>
      </c>
      <c r="BD2190" s="3" t="s">
        <v>70</v>
      </c>
      <c r="BF2190" s="3" t="s">
        <v>18573</v>
      </c>
      <c r="BG2190" s="3" t="s">
        <v>18574</v>
      </c>
    </row>
    <row r="2191" spans="1:59" ht="60" x14ac:dyDescent="0.25">
      <c r="A2191" s="2" t="s">
        <v>59</v>
      </c>
      <c r="B2191" s="2" t="s">
        <v>60</v>
      </c>
      <c r="C2191" s="2" t="s">
        <v>18563</v>
      </c>
      <c r="D2191" s="2" t="s">
        <v>18564</v>
      </c>
      <c r="E2191" s="2" t="s">
        <v>18565</v>
      </c>
      <c r="G2191" s="3" t="s">
        <v>63</v>
      </c>
      <c r="I2191" s="3" t="s">
        <v>62</v>
      </c>
      <c r="J2191" s="3" t="s">
        <v>63</v>
      </c>
      <c r="K2191" s="3" t="s">
        <v>64</v>
      </c>
      <c r="L2191" s="2" t="s">
        <v>18566</v>
      </c>
      <c r="M2191" s="2" t="s">
        <v>18567</v>
      </c>
      <c r="N2191" s="3" t="s">
        <v>918</v>
      </c>
      <c r="P2191" s="3" t="s">
        <v>66</v>
      </c>
      <c r="Q2191" s="2" t="s">
        <v>18568</v>
      </c>
      <c r="R2191" s="3" t="s">
        <v>67</v>
      </c>
      <c r="S2191" s="4">
        <v>18</v>
      </c>
      <c r="T2191" s="4">
        <v>34</v>
      </c>
      <c r="U2191" s="5" t="s">
        <v>3628</v>
      </c>
      <c r="V2191" s="5" t="s">
        <v>18569</v>
      </c>
      <c r="W2191" s="5" t="s">
        <v>69</v>
      </c>
      <c r="X2191" s="5" t="s">
        <v>69</v>
      </c>
      <c r="Y2191" s="4">
        <v>1908</v>
      </c>
      <c r="Z2191" s="4">
        <v>60</v>
      </c>
      <c r="AA2191" s="4">
        <v>62</v>
      </c>
      <c r="AB2191" s="4">
        <v>5</v>
      </c>
      <c r="AC2191" s="4">
        <v>6</v>
      </c>
      <c r="AD2191" s="4">
        <v>135</v>
      </c>
      <c r="AE2191" s="4">
        <v>137</v>
      </c>
      <c r="AF2191" s="4">
        <v>2</v>
      </c>
      <c r="AG2191" s="4">
        <v>3</v>
      </c>
      <c r="AH2191" s="4">
        <v>105</v>
      </c>
      <c r="AI2191" s="4">
        <v>106</v>
      </c>
      <c r="AJ2191" s="4">
        <v>24</v>
      </c>
      <c r="AK2191" s="4">
        <v>25</v>
      </c>
      <c r="AL2191" s="4">
        <v>59</v>
      </c>
      <c r="AM2191" s="4">
        <v>59</v>
      </c>
      <c r="AN2191" s="4">
        <v>0</v>
      </c>
      <c r="AO2191" s="4">
        <v>0</v>
      </c>
      <c r="AP2191" s="4">
        <v>34</v>
      </c>
      <c r="AQ2191" s="4">
        <v>36</v>
      </c>
      <c r="AR2191" s="3" t="s">
        <v>63</v>
      </c>
      <c r="AS2191" s="3" t="s">
        <v>63</v>
      </c>
      <c r="AT2191" s="3" t="s">
        <v>62</v>
      </c>
      <c r="AU2191" s="6" t="str">
        <f>HYPERLINK("http://catalog.hathitrust.org/Record/001061148","HathiTrust Record")</f>
        <v>HathiTrust Record</v>
      </c>
      <c r="AV2191" s="6" t="str">
        <f>HYPERLINK("http://mcgill.on.worldcat.org/oclc/1959187","Catalog Record")</f>
        <v>Catalog Record</v>
      </c>
      <c r="AW2191" s="6" t="str">
        <f>HYPERLINK("http://www.worldcat.org/oclc/1959187","WorldCat Record")</f>
        <v>WorldCat Record</v>
      </c>
      <c r="AX2191" s="3" t="s">
        <v>18570</v>
      </c>
      <c r="AY2191" s="3" t="s">
        <v>18571</v>
      </c>
      <c r="AZ2191" s="3" t="s">
        <v>18572</v>
      </c>
      <c r="BA2191" s="3" t="s">
        <v>18572</v>
      </c>
      <c r="BB2191" s="3" t="s">
        <v>18575</v>
      </c>
      <c r="BC2191" s="3" t="s">
        <v>82</v>
      </c>
      <c r="BD2191" s="3" t="s">
        <v>538</v>
      </c>
      <c r="BF2191" s="3" t="s">
        <v>18575</v>
      </c>
      <c r="BG2191" s="3" t="s">
        <v>18576</v>
      </c>
    </row>
    <row r="2192" spans="1:59" ht="60" x14ac:dyDescent="0.25">
      <c r="A2192" s="2" t="s">
        <v>59</v>
      </c>
      <c r="B2192" s="2" t="s">
        <v>60</v>
      </c>
      <c r="C2192" s="2" t="s">
        <v>18577</v>
      </c>
      <c r="D2192" s="2" t="s">
        <v>18578</v>
      </c>
      <c r="E2192" s="2" t="s">
        <v>18579</v>
      </c>
      <c r="F2192" s="3" t="s">
        <v>3653</v>
      </c>
      <c r="G2192" s="3" t="s">
        <v>62</v>
      </c>
      <c r="I2192" s="3" t="s">
        <v>63</v>
      </c>
      <c r="J2192" s="3" t="s">
        <v>63</v>
      </c>
      <c r="K2192" s="3" t="s">
        <v>64</v>
      </c>
      <c r="M2192" s="2" t="s">
        <v>18580</v>
      </c>
      <c r="N2192" s="3" t="s">
        <v>11887</v>
      </c>
      <c r="P2192" s="3" t="s">
        <v>90</v>
      </c>
      <c r="R2192" s="3" t="s">
        <v>67</v>
      </c>
      <c r="S2192" s="4">
        <v>1</v>
      </c>
      <c r="T2192" s="4">
        <v>5</v>
      </c>
      <c r="U2192" s="5" t="s">
        <v>18581</v>
      </c>
      <c r="V2192" s="5" t="s">
        <v>18582</v>
      </c>
      <c r="W2192" s="5" t="s">
        <v>69</v>
      </c>
      <c r="X2192" s="5" t="s">
        <v>69</v>
      </c>
      <c r="Y2192" s="4">
        <v>3</v>
      </c>
      <c r="Z2192" s="4">
        <v>1</v>
      </c>
      <c r="AA2192" s="4">
        <v>3</v>
      </c>
      <c r="AB2192" s="4">
        <v>1</v>
      </c>
      <c r="AC2192" s="4">
        <v>1</v>
      </c>
      <c r="AD2192" s="4">
        <v>2</v>
      </c>
      <c r="AE2192" s="4">
        <v>24</v>
      </c>
      <c r="AF2192" s="4">
        <v>0</v>
      </c>
      <c r="AG2192" s="4">
        <v>0</v>
      </c>
      <c r="AH2192" s="4">
        <v>2</v>
      </c>
      <c r="AI2192" s="4">
        <v>22</v>
      </c>
      <c r="AJ2192" s="4">
        <v>0</v>
      </c>
      <c r="AK2192" s="4">
        <v>2</v>
      </c>
      <c r="AL2192" s="4">
        <v>2</v>
      </c>
      <c r="AM2192" s="4">
        <v>18</v>
      </c>
      <c r="AN2192" s="4">
        <v>0</v>
      </c>
      <c r="AO2192" s="4">
        <v>0</v>
      </c>
      <c r="AP2192" s="4">
        <v>0</v>
      </c>
      <c r="AQ2192" s="4">
        <v>2</v>
      </c>
      <c r="AR2192" s="3" t="s">
        <v>63</v>
      </c>
      <c r="AS2192" s="3" t="s">
        <v>63</v>
      </c>
      <c r="AT2192" s="3" t="s">
        <v>63</v>
      </c>
      <c r="AV2192" s="6" t="str">
        <f>HYPERLINK("http://mcgill.on.worldcat.org/oclc/61536130","Catalog Record")</f>
        <v>Catalog Record</v>
      </c>
      <c r="AW2192" s="6" t="str">
        <f>HYPERLINK("http://www.worldcat.org/oclc/61536130","WorldCat Record")</f>
        <v>WorldCat Record</v>
      </c>
      <c r="AX2192" s="3" t="s">
        <v>18583</v>
      </c>
      <c r="AY2192" s="3" t="s">
        <v>18584</v>
      </c>
      <c r="AZ2192" s="3" t="s">
        <v>18585</v>
      </c>
      <c r="BA2192" s="3" t="s">
        <v>18585</v>
      </c>
      <c r="BB2192" s="3" t="s">
        <v>18586</v>
      </c>
      <c r="BC2192" s="3" t="s">
        <v>82</v>
      </c>
      <c r="BD2192" s="3" t="s">
        <v>70</v>
      </c>
      <c r="BF2192" s="3" t="s">
        <v>18586</v>
      </c>
      <c r="BG2192" s="3" t="s">
        <v>18587</v>
      </c>
    </row>
    <row r="2193" spans="1:59" ht="60" x14ac:dyDescent="0.25">
      <c r="A2193" s="2" t="s">
        <v>59</v>
      </c>
      <c r="B2193" s="2" t="s">
        <v>60</v>
      </c>
      <c r="C2193" s="2" t="s">
        <v>18577</v>
      </c>
      <c r="D2193" s="2" t="s">
        <v>18578</v>
      </c>
      <c r="E2193" s="2" t="s">
        <v>18579</v>
      </c>
      <c r="F2193" s="3" t="s">
        <v>3638</v>
      </c>
      <c r="G2193" s="3" t="s">
        <v>62</v>
      </c>
      <c r="I2193" s="3" t="s">
        <v>63</v>
      </c>
      <c r="J2193" s="3" t="s">
        <v>63</v>
      </c>
      <c r="K2193" s="3" t="s">
        <v>64</v>
      </c>
      <c r="M2193" s="2" t="s">
        <v>18580</v>
      </c>
      <c r="N2193" s="3" t="s">
        <v>11887</v>
      </c>
      <c r="P2193" s="3" t="s">
        <v>90</v>
      </c>
      <c r="R2193" s="3" t="s">
        <v>67</v>
      </c>
      <c r="S2193" s="4">
        <v>2</v>
      </c>
      <c r="T2193" s="4">
        <v>5</v>
      </c>
      <c r="U2193" s="5" t="s">
        <v>18582</v>
      </c>
      <c r="V2193" s="5" t="s">
        <v>18582</v>
      </c>
      <c r="W2193" s="5" t="s">
        <v>69</v>
      </c>
      <c r="X2193" s="5" t="s">
        <v>69</v>
      </c>
      <c r="Y2193" s="4">
        <v>3</v>
      </c>
      <c r="Z2193" s="4">
        <v>1</v>
      </c>
      <c r="AA2193" s="4">
        <v>3</v>
      </c>
      <c r="AB2193" s="4">
        <v>1</v>
      </c>
      <c r="AC2193" s="4">
        <v>1</v>
      </c>
      <c r="AD2193" s="4">
        <v>2</v>
      </c>
      <c r="AE2193" s="4">
        <v>24</v>
      </c>
      <c r="AF2193" s="4">
        <v>0</v>
      </c>
      <c r="AG2193" s="4">
        <v>0</v>
      </c>
      <c r="AH2193" s="4">
        <v>2</v>
      </c>
      <c r="AI2193" s="4">
        <v>22</v>
      </c>
      <c r="AJ2193" s="4">
        <v>0</v>
      </c>
      <c r="AK2193" s="4">
        <v>2</v>
      </c>
      <c r="AL2193" s="4">
        <v>2</v>
      </c>
      <c r="AM2193" s="4">
        <v>18</v>
      </c>
      <c r="AN2193" s="4">
        <v>0</v>
      </c>
      <c r="AO2193" s="4">
        <v>0</v>
      </c>
      <c r="AP2193" s="4">
        <v>0</v>
      </c>
      <c r="AQ2193" s="4">
        <v>2</v>
      </c>
      <c r="AR2193" s="3" t="s">
        <v>63</v>
      </c>
      <c r="AS2193" s="3" t="s">
        <v>63</v>
      </c>
      <c r="AT2193" s="3" t="s">
        <v>63</v>
      </c>
      <c r="AV2193" s="6" t="str">
        <f>HYPERLINK("http://mcgill.on.worldcat.org/oclc/61536130","Catalog Record")</f>
        <v>Catalog Record</v>
      </c>
      <c r="AW2193" s="6" t="str">
        <f>HYPERLINK("http://www.worldcat.org/oclc/61536130","WorldCat Record")</f>
        <v>WorldCat Record</v>
      </c>
      <c r="AX2193" s="3" t="s">
        <v>18583</v>
      </c>
      <c r="AY2193" s="3" t="s">
        <v>18584</v>
      </c>
      <c r="AZ2193" s="3" t="s">
        <v>18585</v>
      </c>
      <c r="BA2193" s="3" t="s">
        <v>18585</v>
      </c>
      <c r="BB2193" s="3" t="s">
        <v>18588</v>
      </c>
      <c r="BC2193" s="3" t="s">
        <v>82</v>
      </c>
      <c r="BD2193" s="3" t="s">
        <v>70</v>
      </c>
      <c r="BF2193" s="3" t="s">
        <v>18588</v>
      </c>
      <c r="BG2193" s="3" t="s">
        <v>18589</v>
      </c>
    </row>
    <row r="2194" spans="1:59" ht="60" x14ac:dyDescent="0.25">
      <c r="A2194" s="2" t="s">
        <v>59</v>
      </c>
      <c r="B2194" s="2" t="s">
        <v>60</v>
      </c>
      <c r="C2194" s="2" t="s">
        <v>18577</v>
      </c>
      <c r="D2194" s="2" t="s">
        <v>18578</v>
      </c>
      <c r="E2194" s="2" t="s">
        <v>18579</v>
      </c>
      <c r="F2194" s="3" t="s">
        <v>3647</v>
      </c>
      <c r="G2194" s="3" t="s">
        <v>62</v>
      </c>
      <c r="I2194" s="3" t="s">
        <v>63</v>
      </c>
      <c r="J2194" s="3" t="s">
        <v>63</v>
      </c>
      <c r="K2194" s="3" t="s">
        <v>64</v>
      </c>
      <c r="M2194" s="2" t="s">
        <v>18580</v>
      </c>
      <c r="N2194" s="3" t="s">
        <v>11887</v>
      </c>
      <c r="P2194" s="3" t="s">
        <v>90</v>
      </c>
      <c r="R2194" s="3" t="s">
        <v>67</v>
      </c>
      <c r="S2194" s="4">
        <v>1</v>
      </c>
      <c r="T2194" s="4">
        <v>5</v>
      </c>
      <c r="U2194" s="5" t="s">
        <v>18581</v>
      </c>
      <c r="V2194" s="5" t="s">
        <v>18582</v>
      </c>
      <c r="W2194" s="5" t="s">
        <v>69</v>
      </c>
      <c r="X2194" s="5" t="s">
        <v>69</v>
      </c>
      <c r="Y2194" s="4">
        <v>3</v>
      </c>
      <c r="Z2194" s="4">
        <v>1</v>
      </c>
      <c r="AA2194" s="4">
        <v>3</v>
      </c>
      <c r="AB2194" s="4">
        <v>1</v>
      </c>
      <c r="AC2194" s="4">
        <v>1</v>
      </c>
      <c r="AD2194" s="4">
        <v>2</v>
      </c>
      <c r="AE2194" s="4">
        <v>24</v>
      </c>
      <c r="AF2194" s="4">
        <v>0</v>
      </c>
      <c r="AG2194" s="4">
        <v>0</v>
      </c>
      <c r="AH2194" s="4">
        <v>2</v>
      </c>
      <c r="AI2194" s="4">
        <v>22</v>
      </c>
      <c r="AJ2194" s="4">
        <v>0</v>
      </c>
      <c r="AK2194" s="4">
        <v>2</v>
      </c>
      <c r="AL2194" s="4">
        <v>2</v>
      </c>
      <c r="AM2194" s="4">
        <v>18</v>
      </c>
      <c r="AN2194" s="4">
        <v>0</v>
      </c>
      <c r="AO2194" s="4">
        <v>0</v>
      </c>
      <c r="AP2194" s="4">
        <v>0</v>
      </c>
      <c r="AQ2194" s="4">
        <v>2</v>
      </c>
      <c r="AR2194" s="3" t="s">
        <v>63</v>
      </c>
      <c r="AS2194" s="3" t="s">
        <v>63</v>
      </c>
      <c r="AT2194" s="3" t="s">
        <v>63</v>
      </c>
      <c r="AV2194" s="6" t="str">
        <f>HYPERLINK("http://mcgill.on.worldcat.org/oclc/61536130","Catalog Record")</f>
        <v>Catalog Record</v>
      </c>
      <c r="AW2194" s="6" t="str">
        <f>HYPERLINK("http://www.worldcat.org/oclc/61536130","WorldCat Record")</f>
        <v>WorldCat Record</v>
      </c>
      <c r="AX2194" s="3" t="s">
        <v>18583</v>
      </c>
      <c r="AY2194" s="3" t="s">
        <v>18584</v>
      </c>
      <c r="AZ2194" s="3" t="s">
        <v>18585</v>
      </c>
      <c r="BA2194" s="3" t="s">
        <v>18585</v>
      </c>
      <c r="BB2194" s="3" t="s">
        <v>18590</v>
      </c>
      <c r="BC2194" s="3" t="s">
        <v>82</v>
      </c>
      <c r="BD2194" s="3" t="s">
        <v>70</v>
      </c>
      <c r="BF2194" s="3" t="s">
        <v>18590</v>
      </c>
      <c r="BG2194" s="3" t="s">
        <v>18591</v>
      </c>
    </row>
    <row r="2195" spans="1:59" ht="60" x14ac:dyDescent="0.25">
      <c r="A2195" s="2" t="s">
        <v>59</v>
      </c>
      <c r="B2195" s="2" t="s">
        <v>60</v>
      </c>
      <c r="C2195" s="2" t="s">
        <v>18577</v>
      </c>
      <c r="D2195" s="2" t="s">
        <v>18578</v>
      </c>
      <c r="E2195" s="2" t="s">
        <v>18579</v>
      </c>
      <c r="F2195" s="3" t="s">
        <v>3650</v>
      </c>
      <c r="G2195" s="3" t="s">
        <v>62</v>
      </c>
      <c r="I2195" s="3" t="s">
        <v>63</v>
      </c>
      <c r="J2195" s="3" t="s">
        <v>63</v>
      </c>
      <c r="K2195" s="3" t="s">
        <v>64</v>
      </c>
      <c r="M2195" s="2" t="s">
        <v>18580</v>
      </c>
      <c r="N2195" s="3" t="s">
        <v>11887</v>
      </c>
      <c r="P2195" s="3" t="s">
        <v>90</v>
      </c>
      <c r="R2195" s="3" t="s">
        <v>67</v>
      </c>
      <c r="S2195" s="4">
        <v>1</v>
      </c>
      <c r="T2195" s="4">
        <v>5</v>
      </c>
      <c r="U2195" s="5" t="s">
        <v>18581</v>
      </c>
      <c r="V2195" s="5" t="s">
        <v>18582</v>
      </c>
      <c r="W2195" s="5" t="s">
        <v>69</v>
      </c>
      <c r="X2195" s="5" t="s">
        <v>69</v>
      </c>
      <c r="Y2195" s="4">
        <v>3</v>
      </c>
      <c r="Z2195" s="4">
        <v>1</v>
      </c>
      <c r="AA2195" s="4">
        <v>3</v>
      </c>
      <c r="AB2195" s="4">
        <v>1</v>
      </c>
      <c r="AC2195" s="4">
        <v>1</v>
      </c>
      <c r="AD2195" s="4">
        <v>2</v>
      </c>
      <c r="AE2195" s="4">
        <v>24</v>
      </c>
      <c r="AF2195" s="4">
        <v>0</v>
      </c>
      <c r="AG2195" s="4">
        <v>0</v>
      </c>
      <c r="AH2195" s="4">
        <v>2</v>
      </c>
      <c r="AI2195" s="4">
        <v>22</v>
      </c>
      <c r="AJ2195" s="4">
        <v>0</v>
      </c>
      <c r="AK2195" s="4">
        <v>2</v>
      </c>
      <c r="AL2195" s="4">
        <v>2</v>
      </c>
      <c r="AM2195" s="4">
        <v>18</v>
      </c>
      <c r="AN2195" s="4">
        <v>0</v>
      </c>
      <c r="AO2195" s="4">
        <v>0</v>
      </c>
      <c r="AP2195" s="4">
        <v>0</v>
      </c>
      <c r="AQ2195" s="4">
        <v>2</v>
      </c>
      <c r="AR2195" s="3" t="s">
        <v>63</v>
      </c>
      <c r="AS2195" s="3" t="s">
        <v>63</v>
      </c>
      <c r="AT2195" s="3" t="s">
        <v>63</v>
      </c>
      <c r="AV2195" s="6" t="str">
        <f>HYPERLINK("http://mcgill.on.worldcat.org/oclc/61536130","Catalog Record")</f>
        <v>Catalog Record</v>
      </c>
      <c r="AW2195" s="6" t="str">
        <f>HYPERLINK("http://www.worldcat.org/oclc/61536130","WorldCat Record")</f>
        <v>WorldCat Record</v>
      </c>
      <c r="AX2195" s="3" t="s">
        <v>18583</v>
      </c>
      <c r="AY2195" s="3" t="s">
        <v>18584</v>
      </c>
      <c r="AZ2195" s="3" t="s">
        <v>18585</v>
      </c>
      <c r="BA2195" s="3" t="s">
        <v>18585</v>
      </c>
      <c r="BB2195" s="3" t="s">
        <v>18592</v>
      </c>
      <c r="BC2195" s="3" t="s">
        <v>82</v>
      </c>
      <c r="BD2195" s="3" t="s">
        <v>70</v>
      </c>
      <c r="BF2195" s="3" t="s">
        <v>18592</v>
      </c>
      <c r="BG2195" s="3" t="s">
        <v>18593</v>
      </c>
    </row>
    <row r="2196" spans="1:59" ht="60" x14ac:dyDescent="0.25">
      <c r="A2196" s="2" t="s">
        <v>59</v>
      </c>
      <c r="B2196" s="2" t="s">
        <v>60</v>
      </c>
      <c r="C2196" s="2" t="s">
        <v>18594</v>
      </c>
      <c r="D2196" s="2" t="s">
        <v>18595</v>
      </c>
      <c r="E2196" s="2" t="s">
        <v>18596</v>
      </c>
      <c r="G2196" s="3" t="s">
        <v>63</v>
      </c>
      <c r="I2196" s="3" t="s">
        <v>63</v>
      </c>
      <c r="J2196" s="3" t="s">
        <v>63</v>
      </c>
      <c r="K2196" s="3" t="s">
        <v>64</v>
      </c>
      <c r="L2196" s="2" t="s">
        <v>18597</v>
      </c>
      <c r="M2196" s="2" t="s">
        <v>18598</v>
      </c>
      <c r="N2196" s="3" t="s">
        <v>2043</v>
      </c>
      <c r="P2196" s="3" t="s">
        <v>66</v>
      </c>
      <c r="R2196" s="3" t="s">
        <v>67</v>
      </c>
      <c r="S2196" s="4">
        <v>5</v>
      </c>
      <c r="T2196" s="4">
        <v>5</v>
      </c>
      <c r="U2196" s="5" t="s">
        <v>18599</v>
      </c>
      <c r="V2196" s="5" t="s">
        <v>18599</v>
      </c>
      <c r="W2196" s="5" t="s">
        <v>69</v>
      </c>
      <c r="X2196" s="5" t="s">
        <v>69</v>
      </c>
      <c r="Y2196" s="4">
        <v>955</v>
      </c>
      <c r="Z2196" s="4">
        <v>39</v>
      </c>
      <c r="AA2196" s="4">
        <v>40</v>
      </c>
      <c r="AB2196" s="4">
        <v>3</v>
      </c>
      <c r="AC2196" s="4">
        <v>3</v>
      </c>
      <c r="AD2196" s="4">
        <v>114</v>
      </c>
      <c r="AE2196" s="4">
        <v>115</v>
      </c>
      <c r="AF2196" s="4">
        <v>1</v>
      </c>
      <c r="AG2196" s="4">
        <v>1</v>
      </c>
      <c r="AH2196" s="4">
        <v>97</v>
      </c>
      <c r="AI2196" s="4">
        <v>98</v>
      </c>
      <c r="AJ2196" s="4">
        <v>16</v>
      </c>
      <c r="AK2196" s="4">
        <v>16</v>
      </c>
      <c r="AL2196" s="4">
        <v>54</v>
      </c>
      <c r="AM2196" s="4">
        <v>54</v>
      </c>
      <c r="AN2196" s="4">
        <v>0</v>
      </c>
      <c r="AO2196" s="4">
        <v>0</v>
      </c>
      <c r="AP2196" s="4">
        <v>22</v>
      </c>
      <c r="AQ2196" s="4">
        <v>22</v>
      </c>
      <c r="AR2196" s="3" t="s">
        <v>63</v>
      </c>
      <c r="AS2196" s="3" t="s">
        <v>63</v>
      </c>
      <c r="AT2196" s="3" t="s">
        <v>62</v>
      </c>
      <c r="AU2196" s="6" t="str">
        <f>HYPERLINK("http://catalog.hathitrust.org/Record/000127863","HathiTrust Record")</f>
        <v>HathiTrust Record</v>
      </c>
      <c r="AV2196" s="6" t="str">
        <f>HYPERLINK("http://mcgill.on.worldcat.org/oclc/6788518","Catalog Record")</f>
        <v>Catalog Record</v>
      </c>
      <c r="AW2196" s="6" t="str">
        <f>HYPERLINK("http://www.worldcat.org/oclc/6788518","WorldCat Record")</f>
        <v>WorldCat Record</v>
      </c>
      <c r="AX2196" s="3" t="s">
        <v>18600</v>
      </c>
      <c r="AY2196" s="3" t="s">
        <v>18601</v>
      </c>
      <c r="AZ2196" s="3" t="s">
        <v>18602</v>
      </c>
      <c r="BA2196" s="3" t="s">
        <v>18602</v>
      </c>
      <c r="BB2196" s="3" t="s">
        <v>18603</v>
      </c>
      <c r="BC2196" s="3" t="s">
        <v>82</v>
      </c>
      <c r="BD2196" s="3" t="s">
        <v>70</v>
      </c>
      <c r="BE2196" s="3" t="s">
        <v>18604</v>
      </c>
      <c r="BF2196" s="3" t="s">
        <v>18603</v>
      </c>
      <c r="BG2196" s="3" t="s">
        <v>18605</v>
      </c>
    </row>
    <row r="2197" spans="1:59" ht="60" x14ac:dyDescent="0.25">
      <c r="A2197" s="2" t="s">
        <v>59</v>
      </c>
      <c r="B2197" s="2" t="s">
        <v>60</v>
      </c>
      <c r="C2197" s="2" t="s">
        <v>18606</v>
      </c>
      <c r="D2197" s="2" t="s">
        <v>18607</v>
      </c>
      <c r="E2197" s="2" t="s">
        <v>18608</v>
      </c>
      <c r="G2197" s="3" t="s">
        <v>63</v>
      </c>
      <c r="I2197" s="3" t="s">
        <v>63</v>
      </c>
      <c r="J2197" s="3" t="s">
        <v>63</v>
      </c>
      <c r="K2197" s="3" t="s">
        <v>64</v>
      </c>
      <c r="L2197" s="2" t="s">
        <v>18609</v>
      </c>
      <c r="M2197" s="2" t="s">
        <v>18610</v>
      </c>
      <c r="N2197" s="3" t="s">
        <v>313</v>
      </c>
      <c r="P2197" s="3" t="s">
        <v>90</v>
      </c>
      <c r="Q2197" s="2" t="s">
        <v>18611</v>
      </c>
      <c r="R2197" s="3" t="s">
        <v>67</v>
      </c>
      <c r="S2197" s="4">
        <v>1</v>
      </c>
      <c r="T2197" s="4">
        <v>1</v>
      </c>
      <c r="U2197" s="5" t="s">
        <v>18612</v>
      </c>
      <c r="V2197" s="5" t="s">
        <v>18612</v>
      </c>
      <c r="W2197" s="5" t="s">
        <v>69</v>
      </c>
      <c r="X2197" s="5" t="s">
        <v>69</v>
      </c>
      <c r="Y2197" s="4">
        <v>54</v>
      </c>
      <c r="Z2197" s="4">
        <v>5</v>
      </c>
      <c r="AA2197" s="4">
        <v>5</v>
      </c>
      <c r="AB2197" s="4">
        <v>1</v>
      </c>
      <c r="AC2197" s="4">
        <v>1</v>
      </c>
      <c r="AD2197" s="4">
        <v>28</v>
      </c>
      <c r="AE2197" s="4">
        <v>28</v>
      </c>
      <c r="AF2197" s="4">
        <v>0</v>
      </c>
      <c r="AG2197" s="4">
        <v>0</v>
      </c>
      <c r="AH2197" s="4">
        <v>26</v>
      </c>
      <c r="AI2197" s="4">
        <v>26</v>
      </c>
      <c r="AJ2197" s="4">
        <v>3</v>
      </c>
      <c r="AK2197" s="4">
        <v>3</v>
      </c>
      <c r="AL2197" s="4">
        <v>20</v>
      </c>
      <c r="AM2197" s="4">
        <v>20</v>
      </c>
      <c r="AN2197" s="4">
        <v>0</v>
      </c>
      <c r="AO2197" s="4">
        <v>0</v>
      </c>
      <c r="AP2197" s="4">
        <v>3</v>
      </c>
      <c r="AQ2197" s="4">
        <v>3</v>
      </c>
      <c r="AR2197" s="3" t="s">
        <v>63</v>
      </c>
      <c r="AS2197" s="3" t="s">
        <v>63</v>
      </c>
      <c r="AT2197" s="3" t="s">
        <v>63</v>
      </c>
      <c r="AV2197" s="6" t="str">
        <f>HYPERLINK("http://mcgill.on.worldcat.org/oclc/608627980","Catalog Record")</f>
        <v>Catalog Record</v>
      </c>
      <c r="AW2197" s="6" t="str">
        <f>HYPERLINK("http://www.worldcat.org/oclc/608627980","WorldCat Record")</f>
        <v>WorldCat Record</v>
      </c>
      <c r="AX2197" s="3" t="s">
        <v>18613</v>
      </c>
      <c r="AY2197" s="3" t="s">
        <v>18614</v>
      </c>
      <c r="AZ2197" s="3" t="s">
        <v>18615</v>
      </c>
      <c r="BA2197" s="3" t="s">
        <v>18615</v>
      </c>
      <c r="BB2197" s="3" t="s">
        <v>18616</v>
      </c>
      <c r="BC2197" s="3" t="s">
        <v>82</v>
      </c>
      <c r="BD2197" s="3" t="s">
        <v>70</v>
      </c>
      <c r="BE2197" s="3" t="s">
        <v>18617</v>
      </c>
      <c r="BF2197" s="3" t="s">
        <v>18616</v>
      </c>
      <c r="BG2197" s="3" t="s">
        <v>18618</v>
      </c>
    </row>
    <row r="2198" spans="1:59" ht="60" x14ac:dyDescent="0.25">
      <c r="A2198" s="2" t="s">
        <v>59</v>
      </c>
      <c r="B2198" s="2" t="s">
        <v>60</v>
      </c>
      <c r="C2198" s="2" t="s">
        <v>18619</v>
      </c>
      <c r="D2198" s="2" t="s">
        <v>18620</v>
      </c>
      <c r="E2198" s="2" t="s">
        <v>18621</v>
      </c>
      <c r="G2198" s="3" t="s">
        <v>63</v>
      </c>
      <c r="I2198" s="3" t="s">
        <v>63</v>
      </c>
      <c r="J2198" s="3" t="s">
        <v>63</v>
      </c>
      <c r="K2198" s="3" t="s">
        <v>64</v>
      </c>
      <c r="L2198" s="2" t="s">
        <v>5257</v>
      </c>
      <c r="M2198" s="2" t="s">
        <v>18622</v>
      </c>
      <c r="N2198" s="3" t="s">
        <v>313</v>
      </c>
      <c r="O2198" s="2" t="s">
        <v>18623</v>
      </c>
      <c r="P2198" s="3" t="s">
        <v>66</v>
      </c>
      <c r="R2198" s="3" t="s">
        <v>67</v>
      </c>
      <c r="S2198" s="4">
        <v>0</v>
      </c>
      <c r="T2198" s="4">
        <v>0</v>
      </c>
      <c r="W2198" s="5" t="s">
        <v>69</v>
      </c>
      <c r="X2198" s="5" t="s">
        <v>69</v>
      </c>
      <c r="Y2198" s="4">
        <v>615</v>
      </c>
      <c r="Z2198" s="4">
        <v>34</v>
      </c>
      <c r="AA2198" s="4">
        <v>37</v>
      </c>
      <c r="AB2198" s="4">
        <v>3</v>
      </c>
      <c r="AC2198" s="4">
        <v>4</v>
      </c>
      <c r="AD2198" s="4">
        <v>86</v>
      </c>
      <c r="AE2198" s="4">
        <v>88</v>
      </c>
      <c r="AF2198" s="4">
        <v>0</v>
      </c>
      <c r="AG2198" s="4">
        <v>0</v>
      </c>
      <c r="AH2198" s="4">
        <v>77</v>
      </c>
      <c r="AI2198" s="4">
        <v>79</v>
      </c>
      <c r="AJ2198" s="4">
        <v>11</v>
      </c>
      <c r="AK2198" s="4">
        <v>12</v>
      </c>
      <c r="AL2198" s="4">
        <v>49</v>
      </c>
      <c r="AM2198" s="4">
        <v>50</v>
      </c>
      <c r="AN2198" s="4">
        <v>0</v>
      </c>
      <c r="AO2198" s="4">
        <v>0</v>
      </c>
      <c r="AP2198" s="4">
        <v>11</v>
      </c>
      <c r="AQ2198" s="4">
        <v>12</v>
      </c>
      <c r="AR2198" s="3" t="s">
        <v>63</v>
      </c>
      <c r="AS2198" s="3" t="s">
        <v>63</v>
      </c>
      <c r="AT2198" s="3" t="s">
        <v>63</v>
      </c>
      <c r="AV2198" s="6" t="str">
        <f>HYPERLINK("http://mcgill.on.worldcat.org/oclc/424555576","Catalog Record")</f>
        <v>Catalog Record</v>
      </c>
      <c r="AW2198" s="6" t="str">
        <f>HYPERLINK("http://www.worldcat.org/oclc/424555576","WorldCat Record")</f>
        <v>WorldCat Record</v>
      </c>
      <c r="AX2198" s="3" t="s">
        <v>18624</v>
      </c>
      <c r="AY2198" s="3" t="s">
        <v>18625</v>
      </c>
      <c r="AZ2198" s="3" t="s">
        <v>18626</v>
      </c>
      <c r="BA2198" s="3" t="s">
        <v>18626</v>
      </c>
      <c r="BB2198" s="3" t="s">
        <v>18627</v>
      </c>
      <c r="BC2198" s="3" t="s">
        <v>82</v>
      </c>
      <c r="BD2198" s="3" t="s">
        <v>70</v>
      </c>
      <c r="BE2198" s="3" t="s">
        <v>18628</v>
      </c>
      <c r="BF2198" s="3" t="s">
        <v>18627</v>
      </c>
      <c r="BG2198" s="3" t="s">
        <v>18629</v>
      </c>
    </row>
    <row r="2199" spans="1:59" ht="60" x14ac:dyDescent="0.25">
      <c r="A2199" s="2" t="s">
        <v>59</v>
      </c>
      <c r="B2199" s="2" t="s">
        <v>60</v>
      </c>
      <c r="C2199" s="2" t="s">
        <v>18630</v>
      </c>
      <c r="D2199" s="2" t="s">
        <v>18631</v>
      </c>
      <c r="E2199" s="2" t="s">
        <v>18632</v>
      </c>
      <c r="G2199" s="3" t="s">
        <v>63</v>
      </c>
      <c r="I2199" s="3" t="s">
        <v>63</v>
      </c>
      <c r="J2199" s="3" t="s">
        <v>63</v>
      </c>
      <c r="K2199" s="3" t="s">
        <v>64</v>
      </c>
      <c r="L2199" s="2" t="s">
        <v>6341</v>
      </c>
      <c r="M2199" s="2" t="s">
        <v>18633</v>
      </c>
      <c r="N2199" s="3" t="s">
        <v>313</v>
      </c>
      <c r="P2199" s="3" t="s">
        <v>90</v>
      </c>
      <c r="R2199" s="3" t="s">
        <v>67</v>
      </c>
      <c r="S2199" s="4">
        <v>4</v>
      </c>
      <c r="T2199" s="4">
        <v>4</v>
      </c>
      <c r="U2199" s="5" t="s">
        <v>18634</v>
      </c>
      <c r="V2199" s="5" t="s">
        <v>18634</v>
      </c>
      <c r="W2199" s="5" t="s">
        <v>69</v>
      </c>
      <c r="X2199" s="5" t="s">
        <v>69</v>
      </c>
      <c r="Y2199" s="4">
        <v>87</v>
      </c>
      <c r="Z2199" s="4">
        <v>7</v>
      </c>
      <c r="AA2199" s="4">
        <v>7</v>
      </c>
      <c r="AB2199" s="4">
        <v>1</v>
      </c>
      <c r="AC2199" s="4">
        <v>1</v>
      </c>
      <c r="AD2199" s="4">
        <v>41</v>
      </c>
      <c r="AE2199" s="4">
        <v>43</v>
      </c>
      <c r="AF2199" s="4">
        <v>0</v>
      </c>
      <c r="AG2199" s="4">
        <v>0</v>
      </c>
      <c r="AH2199" s="4">
        <v>40</v>
      </c>
      <c r="AI2199" s="4">
        <v>42</v>
      </c>
      <c r="AJ2199" s="4">
        <v>2</v>
      </c>
      <c r="AK2199" s="4">
        <v>2</v>
      </c>
      <c r="AL2199" s="4">
        <v>29</v>
      </c>
      <c r="AM2199" s="4">
        <v>31</v>
      </c>
      <c r="AN2199" s="4">
        <v>0</v>
      </c>
      <c r="AO2199" s="4">
        <v>0</v>
      </c>
      <c r="AP2199" s="4">
        <v>2</v>
      </c>
      <c r="AQ2199" s="4">
        <v>2</v>
      </c>
      <c r="AR2199" s="3" t="s">
        <v>63</v>
      </c>
      <c r="AS2199" s="3" t="s">
        <v>63</v>
      </c>
      <c r="AT2199" s="3" t="s">
        <v>63</v>
      </c>
      <c r="AV2199" s="6" t="str">
        <f>HYPERLINK("http://mcgill.on.worldcat.org/oclc/656165829","Catalog Record")</f>
        <v>Catalog Record</v>
      </c>
      <c r="AW2199" s="6" t="str">
        <f>HYPERLINK("http://www.worldcat.org/oclc/656165829","WorldCat Record")</f>
        <v>WorldCat Record</v>
      </c>
      <c r="AX2199" s="3" t="s">
        <v>18635</v>
      </c>
      <c r="AY2199" s="3" t="s">
        <v>18636</v>
      </c>
      <c r="AZ2199" s="3" t="s">
        <v>18637</v>
      </c>
      <c r="BA2199" s="3" t="s">
        <v>18637</v>
      </c>
      <c r="BB2199" s="3" t="s">
        <v>18638</v>
      </c>
      <c r="BC2199" s="3" t="s">
        <v>82</v>
      </c>
      <c r="BD2199" s="3" t="s">
        <v>70</v>
      </c>
      <c r="BE2199" s="3" t="s">
        <v>18639</v>
      </c>
      <c r="BF2199" s="3" t="s">
        <v>18638</v>
      </c>
      <c r="BG2199" s="3" t="s">
        <v>18640</v>
      </c>
    </row>
    <row r="2200" spans="1:59" ht="60" x14ac:dyDescent="0.25">
      <c r="A2200" s="2" t="s">
        <v>59</v>
      </c>
      <c r="B2200" s="2" t="s">
        <v>60</v>
      </c>
      <c r="C2200" s="2" t="s">
        <v>18641</v>
      </c>
      <c r="D2200" s="2" t="s">
        <v>18642</v>
      </c>
      <c r="E2200" s="2" t="s">
        <v>18643</v>
      </c>
      <c r="G2200" s="3" t="s">
        <v>63</v>
      </c>
      <c r="I2200" s="3" t="s">
        <v>63</v>
      </c>
      <c r="J2200" s="3" t="s">
        <v>63</v>
      </c>
      <c r="K2200" s="3" t="s">
        <v>64</v>
      </c>
      <c r="M2200" s="2" t="s">
        <v>18644</v>
      </c>
      <c r="N2200" s="3" t="s">
        <v>143</v>
      </c>
      <c r="P2200" s="3" t="s">
        <v>90</v>
      </c>
      <c r="Q2200" s="2" t="s">
        <v>18645</v>
      </c>
      <c r="R2200" s="3" t="s">
        <v>67</v>
      </c>
      <c r="S2200" s="4">
        <v>1</v>
      </c>
      <c r="T2200" s="4">
        <v>1</v>
      </c>
      <c r="U2200" s="5" t="s">
        <v>4818</v>
      </c>
      <c r="V2200" s="5" t="s">
        <v>4818</v>
      </c>
      <c r="W2200" s="5" t="s">
        <v>69</v>
      </c>
      <c r="X2200" s="5" t="s">
        <v>69</v>
      </c>
      <c r="Y2200" s="4">
        <v>36</v>
      </c>
      <c r="Z2200" s="4">
        <v>3</v>
      </c>
      <c r="AA2200" s="4">
        <v>3</v>
      </c>
      <c r="AB2200" s="4">
        <v>1</v>
      </c>
      <c r="AC2200" s="4">
        <v>1</v>
      </c>
      <c r="AD2200" s="4">
        <v>27</v>
      </c>
      <c r="AE2200" s="4">
        <v>27</v>
      </c>
      <c r="AF2200" s="4">
        <v>0</v>
      </c>
      <c r="AG2200" s="4">
        <v>0</v>
      </c>
      <c r="AH2200" s="4">
        <v>26</v>
      </c>
      <c r="AI2200" s="4">
        <v>26</v>
      </c>
      <c r="AJ2200" s="4">
        <v>1</v>
      </c>
      <c r="AK2200" s="4">
        <v>1</v>
      </c>
      <c r="AL2200" s="4">
        <v>25</v>
      </c>
      <c r="AM2200" s="4">
        <v>25</v>
      </c>
      <c r="AN2200" s="4">
        <v>0</v>
      </c>
      <c r="AO2200" s="4">
        <v>0</v>
      </c>
      <c r="AP2200" s="4">
        <v>1</v>
      </c>
      <c r="AQ2200" s="4">
        <v>1</v>
      </c>
      <c r="AR2200" s="3" t="s">
        <v>63</v>
      </c>
      <c r="AS2200" s="3" t="s">
        <v>63</v>
      </c>
      <c r="AT2200" s="3" t="s">
        <v>63</v>
      </c>
      <c r="AV2200" s="6" t="str">
        <f>HYPERLINK("http://mcgill.on.worldcat.org/oclc/894849895","Catalog Record")</f>
        <v>Catalog Record</v>
      </c>
      <c r="AW2200" s="6" t="str">
        <f>HYPERLINK("http://www.worldcat.org/oclc/894849895","WorldCat Record")</f>
        <v>WorldCat Record</v>
      </c>
      <c r="AX2200" s="3" t="s">
        <v>18646</v>
      </c>
      <c r="AY2200" s="3" t="s">
        <v>18647</v>
      </c>
      <c r="AZ2200" s="3" t="s">
        <v>18648</v>
      </c>
      <c r="BA2200" s="3" t="s">
        <v>18648</v>
      </c>
      <c r="BB2200" s="3" t="s">
        <v>18649</v>
      </c>
      <c r="BC2200" s="3" t="s">
        <v>82</v>
      </c>
      <c r="BD2200" s="3" t="s">
        <v>70</v>
      </c>
      <c r="BE2200" s="3" t="s">
        <v>18650</v>
      </c>
      <c r="BF2200" s="3" t="s">
        <v>18649</v>
      </c>
      <c r="BG2200" s="3" t="s">
        <v>18651</v>
      </c>
    </row>
    <row r="2201" spans="1:59" ht="60" x14ac:dyDescent="0.25">
      <c r="A2201" s="2" t="s">
        <v>59</v>
      </c>
      <c r="B2201" s="2" t="s">
        <v>60</v>
      </c>
      <c r="C2201" s="2" t="s">
        <v>18652</v>
      </c>
      <c r="D2201" s="2" t="s">
        <v>18653</v>
      </c>
      <c r="E2201" s="2" t="s">
        <v>18654</v>
      </c>
      <c r="G2201" s="3" t="s">
        <v>63</v>
      </c>
      <c r="I2201" s="3" t="s">
        <v>63</v>
      </c>
      <c r="J2201" s="3" t="s">
        <v>63</v>
      </c>
      <c r="K2201" s="3" t="s">
        <v>64</v>
      </c>
      <c r="L2201" s="2" t="s">
        <v>18655</v>
      </c>
      <c r="M2201" s="2" t="s">
        <v>18656</v>
      </c>
      <c r="N2201" s="3" t="s">
        <v>313</v>
      </c>
      <c r="P2201" s="3" t="s">
        <v>66</v>
      </c>
      <c r="R2201" s="3" t="s">
        <v>67</v>
      </c>
      <c r="S2201" s="4">
        <v>1</v>
      </c>
      <c r="T2201" s="4">
        <v>1</v>
      </c>
      <c r="U2201" s="5" t="s">
        <v>6150</v>
      </c>
      <c r="V2201" s="5" t="s">
        <v>6150</v>
      </c>
      <c r="W2201" s="5" t="s">
        <v>69</v>
      </c>
      <c r="X2201" s="5" t="s">
        <v>69</v>
      </c>
      <c r="Y2201" s="4">
        <v>323</v>
      </c>
      <c r="Z2201" s="4">
        <v>19</v>
      </c>
      <c r="AA2201" s="4">
        <v>88</v>
      </c>
      <c r="AB2201" s="4">
        <v>2</v>
      </c>
      <c r="AC2201" s="4">
        <v>15</v>
      </c>
      <c r="AD2201" s="4">
        <v>89</v>
      </c>
      <c r="AE2201" s="4">
        <v>141</v>
      </c>
      <c r="AF2201" s="4">
        <v>1</v>
      </c>
      <c r="AG2201" s="4">
        <v>8</v>
      </c>
      <c r="AH2201" s="4">
        <v>80</v>
      </c>
      <c r="AI2201" s="4">
        <v>102</v>
      </c>
      <c r="AJ2201" s="4">
        <v>12</v>
      </c>
      <c r="AK2201" s="4">
        <v>23</v>
      </c>
      <c r="AL2201" s="4">
        <v>50</v>
      </c>
      <c r="AM2201" s="4">
        <v>58</v>
      </c>
      <c r="AN2201" s="4">
        <v>0</v>
      </c>
      <c r="AO2201" s="4">
        <v>0</v>
      </c>
      <c r="AP2201" s="4">
        <v>14</v>
      </c>
      <c r="AQ2201" s="4">
        <v>45</v>
      </c>
      <c r="AR2201" s="3" t="s">
        <v>63</v>
      </c>
      <c r="AS2201" s="3" t="s">
        <v>63</v>
      </c>
      <c r="AT2201" s="3" t="s">
        <v>63</v>
      </c>
      <c r="AV2201" s="6" t="str">
        <f>HYPERLINK("http://mcgill.on.worldcat.org/oclc/470361188","Catalog Record")</f>
        <v>Catalog Record</v>
      </c>
      <c r="AW2201" s="6" t="str">
        <f>HYPERLINK("http://www.worldcat.org/oclc/470361188","WorldCat Record")</f>
        <v>WorldCat Record</v>
      </c>
      <c r="AX2201" s="3" t="s">
        <v>18657</v>
      </c>
      <c r="AY2201" s="3" t="s">
        <v>18658</v>
      </c>
      <c r="AZ2201" s="3" t="s">
        <v>18659</v>
      </c>
      <c r="BA2201" s="3" t="s">
        <v>18659</v>
      </c>
      <c r="BB2201" s="3" t="s">
        <v>18660</v>
      </c>
      <c r="BC2201" s="3" t="s">
        <v>82</v>
      </c>
      <c r="BD2201" s="3" t="s">
        <v>70</v>
      </c>
      <c r="BE2201" s="3" t="s">
        <v>18661</v>
      </c>
      <c r="BF2201" s="3" t="s">
        <v>18660</v>
      </c>
      <c r="BG2201" s="3" t="s">
        <v>18662</v>
      </c>
    </row>
    <row r="2202" spans="1:59" ht="60" x14ac:dyDescent="0.25">
      <c r="A2202" s="2" t="s">
        <v>59</v>
      </c>
      <c r="B2202" s="2" t="s">
        <v>60</v>
      </c>
      <c r="C2202" s="2" t="s">
        <v>18663</v>
      </c>
      <c r="D2202" s="2" t="s">
        <v>18664</v>
      </c>
      <c r="E2202" s="2" t="s">
        <v>18665</v>
      </c>
      <c r="G2202" s="3" t="s">
        <v>63</v>
      </c>
      <c r="I2202" s="3" t="s">
        <v>63</v>
      </c>
      <c r="J2202" s="3" t="s">
        <v>63</v>
      </c>
      <c r="K2202" s="3" t="s">
        <v>64</v>
      </c>
      <c r="L2202" s="2" t="s">
        <v>18666</v>
      </c>
      <c r="M2202" s="2" t="s">
        <v>18667</v>
      </c>
      <c r="N2202" s="3" t="s">
        <v>849</v>
      </c>
      <c r="P2202" s="3" t="s">
        <v>90</v>
      </c>
      <c r="R2202" s="3" t="s">
        <v>67</v>
      </c>
      <c r="S2202" s="4">
        <v>2</v>
      </c>
      <c r="T2202" s="4">
        <v>2</v>
      </c>
      <c r="U2202" s="5" t="s">
        <v>18668</v>
      </c>
      <c r="V2202" s="5" t="s">
        <v>18668</v>
      </c>
      <c r="W2202" s="5" t="s">
        <v>69</v>
      </c>
      <c r="X2202" s="5" t="s">
        <v>69</v>
      </c>
      <c r="Y2202" s="4">
        <v>65</v>
      </c>
      <c r="Z2202" s="4">
        <v>8</v>
      </c>
      <c r="AA2202" s="4">
        <v>8</v>
      </c>
      <c r="AB2202" s="4">
        <v>1</v>
      </c>
      <c r="AC2202" s="4">
        <v>1</v>
      </c>
      <c r="AD2202" s="4">
        <v>50</v>
      </c>
      <c r="AE2202" s="4">
        <v>50</v>
      </c>
      <c r="AF2202" s="4">
        <v>0</v>
      </c>
      <c r="AG2202" s="4">
        <v>0</v>
      </c>
      <c r="AH2202" s="4">
        <v>46</v>
      </c>
      <c r="AI2202" s="4">
        <v>46</v>
      </c>
      <c r="AJ2202" s="4">
        <v>7</v>
      </c>
      <c r="AK2202" s="4">
        <v>7</v>
      </c>
      <c r="AL2202" s="4">
        <v>27</v>
      </c>
      <c r="AM2202" s="4">
        <v>27</v>
      </c>
      <c r="AN2202" s="4">
        <v>0</v>
      </c>
      <c r="AO2202" s="4">
        <v>0</v>
      </c>
      <c r="AP2202" s="4">
        <v>7</v>
      </c>
      <c r="AQ2202" s="4">
        <v>7</v>
      </c>
      <c r="AR2202" s="3" t="s">
        <v>63</v>
      </c>
      <c r="AS2202" s="3" t="s">
        <v>63</v>
      </c>
      <c r="AT2202" s="3" t="s">
        <v>62</v>
      </c>
      <c r="AU2202" s="6" t="str">
        <f>HYPERLINK("http://catalog.hathitrust.org/Record/000720098","HathiTrust Record")</f>
        <v>HathiTrust Record</v>
      </c>
      <c r="AV2202" s="6" t="str">
        <f>HYPERLINK("http://mcgill.on.worldcat.org/oclc/7007763","Catalog Record")</f>
        <v>Catalog Record</v>
      </c>
      <c r="AW2202" s="6" t="str">
        <f>HYPERLINK("http://www.worldcat.org/oclc/7007763","WorldCat Record")</f>
        <v>WorldCat Record</v>
      </c>
      <c r="AX2202" s="3" t="s">
        <v>18669</v>
      </c>
      <c r="AY2202" s="3" t="s">
        <v>18670</v>
      </c>
      <c r="AZ2202" s="3" t="s">
        <v>18671</v>
      </c>
      <c r="BA2202" s="3" t="s">
        <v>18671</v>
      </c>
      <c r="BB2202" s="3" t="s">
        <v>18672</v>
      </c>
      <c r="BC2202" s="3" t="s">
        <v>82</v>
      </c>
      <c r="BD2202" s="3" t="s">
        <v>70</v>
      </c>
      <c r="BF2202" s="3" t="s">
        <v>18672</v>
      </c>
      <c r="BG2202" s="3" t="s">
        <v>18673</v>
      </c>
    </row>
    <row r="2203" spans="1:59" ht="135" x14ac:dyDescent="0.25">
      <c r="A2203" s="2" t="s">
        <v>59</v>
      </c>
      <c r="B2203" s="2" t="s">
        <v>60</v>
      </c>
      <c r="C2203" s="2" t="s">
        <v>18674</v>
      </c>
      <c r="D2203" s="2" t="s">
        <v>18675</v>
      </c>
      <c r="E2203" s="2" t="s">
        <v>18676</v>
      </c>
      <c r="G2203" s="3" t="s">
        <v>63</v>
      </c>
      <c r="I2203" s="3" t="s">
        <v>63</v>
      </c>
      <c r="J2203" s="3" t="s">
        <v>63</v>
      </c>
      <c r="K2203" s="3" t="s">
        <v>64</v>
      </c>
      <c r="M2203" s="2" t="s">
        <v>5057</v>
      </c>
      <c r="N2203" s="3" t="s">
        <v>313</v>
      </c>
      <c r="P2203" s="3" t="s">
        <v>90</v>
      </c>
      <c r="R2203" s="3" t="s">
        <v>67</v>
      </c>
      <c r="S2203" s="4">
        <v>0</v>
      </c>
      <c r="T2203" s="4">
        <v>0</v>
      </c>
      <c r="W2203" s="5" t="s">
        <v>69</v>
      </c>
      <c r="X2203" s="5" t="s">
        <v>69</v>
      </c>
      <c r="Y2203" s="4">
        <v>39</v>
      </c>
      <c r="Z2203" s="4">
        <v>3</v>
      </c>
      <c r="AA2203" s="4">
        <v>3</v>
      </c>
      <c r="AB2203" s="4">
        <v>1</v>
      </c>
      <c r="AC2203" s="4">
        <v>1</v>
      </c>
      <c r="AD2203" s="4">
        <v>26</v>
      </c>
      <c r="AE2203" s="4">
        <v>26</v>
      </c>
      <c r="AF2203" s="4">
        <v>0</v>
      </c>
      <c r="AG2203" s="4">
        <v>0</v>
      </c>
      <c r="AH2203" s="4">
        <v>24</v>
      </c>
      <c r="AI2203" s="4">
        <v>24</v>
      </c>
      <c r="AJ2203" s="4">
        <v>1</v>
      </c>
      <c r="AK2203" s="4">
        <v>1</v>
      </c>
      <c r="AL2203" s="4">
        <v>22</v>
      </c>
      <c r="AM2203" s="4">
        <v>22</v>
      </c>
      <c r="AN2203" s="4">
        <v>0</v>
      </c>
      <c r="AO2203" s="4">
        <v>0</v>
      </c>
      <c r="AP2203" s="4">
        <v>1</v>
      </c>
      <c r="AQ2203" s="4">
        <v>1</v>
      </c>
      <c r="AR2203" s="3" t="s">
        <v>63</v>
      </c>
      <c r="AS2203" s="3" t="s">
        <v>63</v>
      </c>
      <c r="AT2203" s="3" t="s">
        <v>63</v>
      </c>
      <c r="AV2203" s="6" t="str">
        <f>HYPERLINK("http://mcgill.on.worldcat.org/oclc/711737671","Catalog Record")</f>
        <v>Catalog Record</v>
      </c>
      <c r="AW2203" s="6" t="str">
        <f>HYPERLINK("http://www.worldcat.org/oclc/711737671","WorldCat Record")</f>
        <v>WorldCat Record</v>
      </c>
      <c r="AX2203" s="3" t="s">
        <v>18677</v>
      </c>
      <c r="AY2203" s="3" t="s">
        <v>18678</v>
      </c>
      <c r="AZ2203" s="3" t="s">
        <v>18679</v>
      </c>
      <c r="BA2203" s="3" t="s">
        <v>18679</v>
      </c>
      <c r="BB2203" s="3" t="s">
        <v>18680</v>
      </c>
      <c r="BC2203" s="3" t="s">
        <v>82</v>
      </c>
      <c r="BD2203" s="3" t="s">
        <v>70</v>
      </c>
      <c r="BE2203" s="3" t="s">
        <v>18681</v>
      </c>
      <c r="BF2203" s="3" t="s">
        <v>18680</v>
      </c>
      <c r="BG2203" s="3" t="s">
        <v>18682</v>
      </c>
    </row>
    <row r="2204" spans="1:59" ht="60" x14ac:dyDescent="0.25">
      <c r="A2204" s="2" t="s">
        <v>59</v>
      </c>
      <c r="B2204" s="2" t="s">
        <v>60</v>
      </c>
      <c r="C2204" s="2" t="s">
        <v>18683</v>
      </c>
      <c r="D2204" s="2" t="s">
        <v>18684</v>
      </c>
      <c r="E2204" s="2" t="s">
        <v>18685</v>
      </c>
      <c r="G2204" s="3" t="s">
        <v>63</v>
      </c>
      <c r="I2204" s="3" t="s">
        <v>63</v>
      </c>
      <c r="J2204" s="3" t="s">
        <v>63</v>
      </c>
      <c r="K2204" s="3" t="s">
        <v>64</v>
      </c>
      <c r="L2204" s="2" t="s">
        <v>18686</v>
      </c>
      <c r="M2204" s="2" t="s">
        <v>18687</v>
      </c>
      <c r="N2204" s="3" t="s">
        <v>629</v>
      </c>
      <c r="P2204" s="3" t="s">
        <v>548</v>
      </c>
      <c r="Q2204" s="2" t="s">
        <v>18688</v>
      </c>
      <c r="R2204" s="3" t="s">
        <v>67</v>
      </c>
      <c r="S2204" s="4">
        <v>0</v>
      </c>
      <c r="T2204" s="4">
        <v>0</v>
      </c>
      <c r="W2204" s="5" t="s">
        <v>69</v>
      </c>
      <c r="X2204" s="5" t="s">
        <v>69</v>
      </c>
      <c r="Y2204" s="4">
        <v>36</v>
      </c>
      <c r="Z2204" s="4">
        <v>3</v>
      </c>
      <c r="AA2204" s="4">
        <v>7</v>
      </c>
      <c r="AB2204" s="4">
        <v>1</v>
      </c>
      <c r="AC2204" s="4">
        <v>4</v>
      </c>
      <c r="AD2204" s="4">
        <v>23</v>
      </c>
      <c r="AE2204" s="4">
        <v>26</v>
      </c>
      <c r="AF2204" s="4">
        <v>0</v>
      </c>
      <c r="AG2204" s="4">
        <v>2</v>
      </c>
      <c r="AH2204" s="4">
        <v>22</v>
      </c>
      <c r="AI2204" s="4">
        <v>24</v>
      </c>
      <c r="AJ2204" s="4">
        <v>1</v>
      </c>
      <c r="AK2204" s="4">
        <v>4</v>
      </c>
      <c r="AL2204" s="4">
        <v>20</v>
      </c>
      <c r="AM2204" s="4">
        <v>20</v>
      </c>
      <c r="AN2204" s="4">
        <v>0</v>
      </c>
      <c r="AO2204" s="4">
        <v>0</v>
      </c>
      <c r="AP2204" s="4">
        <v>1</v>
      </c>
      <c r="AQ2204" s="4">
        <v>3</v>
      </c>
      <c r="AR2204" s="3" t="s">
        <v>63</v>
      </c>
      <c r="AS2204" s="3" t="s">
        <v>63</v>
      </c>
      <c r="AT2204" s="3" t="s">
        <v>63</v>
      </c>
      <c r="AV2204" s="6" t="str">
        <f>HYPERLINK("http://mcgill.on.worldcat.org/oclc/770224731","Catalog Record")</f>
        <v>Catalog Record</v>
      </c>
      <c r="AW2204" s="6" t="str">
        <f>HYPERLINK("http://www.worldcat.org/oclc/770224731","WorldCat Record")</f>
        <v>WorldCat Record</v>
      </c>
      <c r="AX2204" s="3" t="s">
        <v>18689</v>
      </c>
      <c r="AY2204" s="3" t="s">
        <v>18690</v>
      </c>
      <c r="AZ2204" s="3" t="s">
        <v>18691</v>
      </c>
      <c r="BA2204" s="3" t="s">
        <v>18691</v>
      </c>
      <c r="BB2204" s="3" t="s">
        <v>18692</v>
      </c>
      <c r="BC2204" s="3" t="s">
        <v>82</v>
      </c>
      <c r="BD2204" s="3" t="s">
        <v>70</v>
      </c>
      <c r="BE2204" s="3" t="s">
        <v>18693</v>
      </c>
      <c r="BF2204" s="3" t="s">
        <v>18692</v>
      </c>
      <c r="BG2204" s="3" t="s">
        <v>18694</v>
      </c>
    </row>
    <row r="2205" spans="1:59" ht="60" x14ac:dyDescent="0.25">
      <c r="A2205" s="2" t="s">
        <v>59</v>
      </c>
      <c r="B2205" s="2" t="s">
        <v>60</v>
      </c>
      <c r="C2205" s="2" t="s">
        <v>18695</v>
      </c>
      <c r="D2205" s="2" t="s">
        <v>18696</v>
      </c>
      <c r="E2205" s="2" t="s">
        <v>18697</v>
      </c>
      <c r="G2205" s="3" t="s">
        <v>63</v>
      </c>
      <c r="I2205" s="3" t="s">
        <v>62</v>
      </c>
      <c r="J2205" s="3" t="s">
        <v>63</v>
      </c>
      <c r="K2205" s="3" t="s">
        <v>64</v>
      </c>
      <c r="L2205" s="2" t="s">
        <v>18698</v>
      </c>
      <c r="M2205" s="2" t="s">
        <v>18699</v>
      </c>
      <c r="N2205" s="3" t="s">
        <v>455</v>
      </c>
      <c r="P2205" s="3" t="s">
        <v>66</v>
      </c>
      <c r="R2205" s="3" t="s">
        <v>67</v>
      </c>
      <c r="S2205" s="4">
        <v>11</v>
      </c>
      <c r="T2205" s="4">
        <v>31</v>
      </c>
      <c r="U2205" s="5" t="s">
        <v>18700</v>
      </c>
      <c r="V2205" s="5" t="s">
        <v>17391</v>
      </c>
      <c r="W2205" s="5" t="s">
        <v>69</v>
      </c>
      <c r="X2205" s="5" t="s">
        <v>69</v>
      </c>
      <c r="Y2205" s="4">
        <v>541</v>
      </c>
      <c r="Z2205" s="4">
        <v>29</v>
      </c>
      <c r="AA2205" s="4">
        <v>33</v>
      </c>
      <c r="AB2205" s="4">
        <v>1</v>
      </c>
      <c r="AC2205" s="4">
        <v>1</v>
      </c>
      <c r="AD2205" s="4">
        <v>112</v>
      </c>
      <c r="AE2205" s="4">
        <v>117</v>
      </c>
      <c r="AF2205" s="4">
        <v>0</v>
      </c>
      <c r="AG2205" s="4">
        <v>0</v>
      </c>
      <c r="AH2205" s="4">
        <v>100</v>
      </c>
      <c r="AI2205" s="4">
        <v>102</v>
      </c>
      <c r="AJ2205" s="4">
        <v>14</v>
      </c>
      <c r="AK2205" s="4">
        <v>18</v>
      </c>
      <c r="AL2205" s="4">
        <v>56</v>
      </c>
      <c r="AM2205" s="4">
        <v>56</v>
      </c>
      <c r="AN2205" s="4">
        <v>0</v>
      </c>
      <c r="AO2205" s="4">
        <v>0</v>
      </c>
      <c r="AP2205" s="4">
        <v>18</v>
      </c>
      <c r="AQ2205" s="4">
        <v>22</v>
      </c>
      <c r="AR2205" s="3" t="s">
        <v>63</v>
      </c>
      <c r="AS2205" s="3" t="s">
        <v>63</v>
      </c>
      <c r="AT2205" s="3" t="s">
        <v>62</v>
      </c>
      <c r="AU2205" s="6" t="str">
        <f>HYPERLINK("http://catalog.hathitrust.org/Record/000782241","HathiTrust Record")</f>
        <v>HathiTrust Record</v>
      </c>
      <c r="AV2205" s="6" t="str">
        <f>HYPERLINK("http://mcgill.on.worldcat.org/oclc/10275877","Catalog Record")</f>
        <v>Catalog Record</v>
      </c>
      <c r="AW2205" s="6" t="str">
        <f>HYPERLINK("http://www.worldcat.org/oclc/10275877","WorldCat Record")</f>
        <v>WorldCat Record</v>
      </c>
      <c r="AX2205" s="3" t="s">
        <v>18701</v>
      </c>
      <c r="AY2205" s="3" t="s">
        <v>18702</v>
      </c>
      <c r="AZ2205" s="3" t="s">
        <v>18703</v>
      </c>
      <c r="BA2205" s="3" t="s">
        <v>18703</v>
      </c>
      <c r="BB2205" s="3" t="s">
        <v>18704</v>
      </c>
      <c r="BC2205" s="3" t="s">
        <v>82</v>
      </c>
      <c r="BD2205" s="3" t="s">
        <v>70</v>
      </c>
      <c r="BE2205" s="3" t="s">
        <v>18705</v>
      </c>
      <c r="BF2205" s="3" t="s">
        <v>18704</v>
      </c>
      <c r="BG2205" s="3" t="s">
        <v>18706</v>
      </c>
    </row>
    <row r="2206" spans="1:59" ht="60" x14ac:dyDescent="0.25">
      <c r="A2206" s="2" t="s">
        <v>59</v>
      </c>
      <c r="B2206" s="2" t="s">
        <v>60</v>
      </c>
      <c r="C2206" s="2" t="s">
        <v>18695</v>
      </c>
      <c r="D2206" s="2" t="s">
        <v>18696</v>
      </c>
      <c r="E2206" s="2" t="s">
        <v>18697</v>
      </c>
      <c r="G2206" s="3" t="s">
        <v>63</v>
      </c>
      <c r="I2206" s="3" t="s">
        <v>62</v>
      </c>
      <c r="J2206" s="3" t="s">
        <v>63</v>
      </c>
      <c r="K2206" s="3" t="s">
        <v>64</v>
      </c>
      <c r="L2206" s="2" t="s">
        <v>18698</v>
      </c>
      <c r="M2206" s="2" t="s">
        <v>18699</v>
      </c>
      <c r="N2206" s="3" t="s">
        <v>455</v>
      </c>
      <c r="P2206" s="3" t="s">
        <v>66</v>
      </c>
      <c r="R2206" s="3" t="s">
        <v>67</v>
      </c>
      <c r="S2206" s="4">
        <v>20</v>
      </c>
      <c r="T2206" s="4">
        <v>31</v>
      </c>
      <c r="U2206" s="5" t="s">
        <v>17391</v>
      </c>
      <c r="V2206" s="5" t="s">
        <v>17391</v>
      </c>
      <c r="W2206" s="5" t="s">
        <v>69</v>
      </c>
      <c r="X2206" s="5" t="s">
        <v>69</v>
      </c>
      <c r="Y2206" s="4">
        <v>541</v>
      </c>
      <c r="Z2206" s="4">
        <v>29</v>
      </c>
      <c r="AA2206" s="4">
        <v>33</v>
      </c>
      <c r="AB2206" s="4">
        <v>1</v>
      </c>
      <c r="AC2206" s="4">
        <v>1</v>
      </c>
      <c r="AD2206" s="4">
        <v>112</v>
      </c>
      <c r="AE2206" s="4">
        <v>117</v>
      </c>
      <c r="AF2206" s="4">
        <v>0</v>
      </c>
      <c r="AG2206" s="4">
        <v>0</v>
      </c>
      <c r="AH2206" s="4">
        <v>100</v>
      </c>
      <c r="AI2206" s="4">
        <v>102</v>
      </c>
      <c r="AJ2206" s="4">
        <v>14</v>
      </c>
      <c r="AK2206" s="4">
        <v>18</v>
      </c>
      <c r="AL2206" s="4">
        <v>56</v>
      </c>
      <c r="AM2206" s="4">
        <v>56</v>
      </c>
      <c r="AN2206" s="4">
        <v>0</v>
      </c>
      <c r="AO2206" s="4">
        <v>0</v>
      </c>
      <c r="AP2206" s="4">
        <v>18</v>
      </c>
      <c r="AQ2206" s="4">
        <v>22</v>
      </c>
      <c r="AR2206" s="3" t="s">
        <v>63</v>
      </c>
      <c r="AS2206" s="3" t="s">
        <v>63</v>
      </c>
      <c r="AT2206" s="3" t="s">
        <v>62</v>
      </c>
      <c r="AU2206" s="6" t="str">
        <f>HYPERLINK("http://catalog.hathitrust.org/Record/000782241","HathiTrust Record")</f>
        <v>HathiTrust Record</v>
      </c>
      <c r="AV2206" s="6" t="str">
        <f>HYPERLINK("http://mcgill.on.worldcat.org/oclc/10275877","Catalog Record")</f>
        <v>Catalog Record</v>
      </c>
      <c r="AW2206" s="6" t="str">
        <f>HYPERLINK("http://www.worldcat.org/oclc/10275877","WorldCat Record")</f>
        <v>WorldCat Record</v>
      </c>
      <c r="AX2206" s="3" t="s">
        <v>18701</v>
      </c>
      <c r="AY2206" s="3" t="s">
        <v>18702</v>
      </c>
      <c r="AZ2206" s="3" t="s">
        <v>18703</v>
      </c>
      <c r="BA2206" s="3" t="s">
        <v>18703</v>
      </c>
      <c r="BB2206" s="3" t="s">
        <v>18707</v>
      </c>
      <c r="BC2206" s="3" t="s">
        <v>82</v>
      </c>
      <c r="BD2206" s="3" t="s">
        <v>70</v>
      </c>
      <c r="BE2206" s="3" t="s">
        <v>18705</v>
      </c>
      <c r="BF2206" s="3" t="s">
        <v>18707</v>
      </c>
      <c r="BG2206" s="3" t="s">
        <v>18708</v>
      </c>
    </row>
    <row r="2207" spans="1:59" ht="60" x14ac:dyDescent="0.25">
      <c r="A2207" s="2" t="s">
        <v>59</v>
      </c>
      <c r="B2207" s="2" t="s">
        <v>60</v>
      </c>
      <c r="C2207" s="2" t="s">
        <v>18709</v>
      </c>
      <c r="D2207" s="2" t="s">
        <v>18710</v>
      </c>
      <c r="E2207" s="2" t="s">
        <v>18711</v>
      </c>
      <c r="G2207" s="3" t="s">
        <v>63</v>
      </c>
      <c r="I2207" s="3" t="s">
        <v>63</v>
      </c>
      <c r="J2207" s="3" t="s">
        <v>63</v>
      </c>
      <c r="K2207" s="3" t="s">
        <v>64</v>
      </c>
      <c r="M2207" s="2" t="s">
        <v>18712</v>
      </c>
      <c r="N2207" s="3" t="s">
        <v>1023</v>
      </c>
      <c r="P2207" s="3" t="s">
        <v>548</v>
      </c>
      <c r="Q2207" s="2" t="s">
        <v>18713</v>
      </c>
      <c r="R2207" s="3" t="s">
        <v>67</v>
      </c>
      <c r="S2207" s="4">
        <v>3</v>
      </c>
      <c r="T2207" s="4">
        <v>3</v>
      </c>
      <c r="U2207" s="5" t="s">
        <v>17391</v>
      </c>
      <c r="V2207" s="5" t="s">
        <v>17391</v>
      </c>
      <c r="W2207" s="5" t="s">
        <v>69</v>
      </c>
      <c r="X2207" s="5" t="s">
        <v>69</v>
      </c>
      <c r="Y2207" s="4">
        <v>48</v>
      </c>
      <c r="Z2207" s="4">
        <v>1</v>
      </c>
      <c r="AA2207" s="4">
        <v>2</v>
      </c>
      <c r="AB2207" s="4">
        <v>1</v>
      </c>
      <c r="AC2207" s="4">
        <v>2</v>
      </c>
      <c r="AD2207" s="4">
        <v>23</v>
      </c>
      <c r="AE2207" s="4">
        <v>24</v>
      </c>
      <c r="AF2207" s="4">
        <v>0</v>
      </c>
      <c r="AG2207" s="4">
        <v>1</v>
      </c>
      <c r="AH2207" s="4">
        <v>22</v>
      </c>
      <c r="AI2207" s="4">
        <v>22</v>
      </c>
      <c r="AJ2207" s="4">
        <v>0</v>
      </c>
      <c r="AK2207" s="4">
        <v>1</v>
      </c>
      <c r="AL2207" s="4">
        <v>19</v>
      </c>
      <c r="AM2207" s="4">
        <v>19</v>
      </c>
      <c r="AN2207" s="4">
        <v>0</v>
      </c>
      <c r="AO2207" s="4">
        <v>0</v>
      </c>
      <c r="AP2207" s="4">
        <v>0</v>
      </c>
      <c r="AQ2207" s="4">
        <v>0</v>
      </c>
      <c r="AR2207" s="3" t="s">
        <v>63</v>
      </c>
      <c r="AS2207" s="3" t="s">
        <v>63</v>
      </c>
      <c r="AT2207" s="3" t="s">
        <v>62</v>
      </c>
      <c r="AU2207" s="6" t="str">
        <f>HYPERLINK("http://catalog.hathitrust.org/Record/002961417","HathiTrust Record")</f>
        <v>HathiTrust Record</v>
      </c>
      <c r="AV2207" s="6" t="str">
        <f>HYPERLINK("http://mcgill.on.worldcat.org/oclc/32194326","Catalog Record")</f>
        <v>Catalog Record</v>
      </c>
      <c r="AW2207" s="6" t="str">
        <f>HYPERLINK("http://www.worldcat.org/oclc/32194326","WorldCat Record")</f>
        <v>WorldCat Record</v>
      </c>
      <c r="AX2207" s="3" t="s">
        <v>18714</v>
      </c>
      <c r="AY2207" s="3" t="s">
        <v>18715</v>
      </c>
      <c r="AZ2207" s="3" t="s">
        <v>18716</v>
      </c>
      <c r="BA2207" s="3" t="s">
        <v>18716</v>
      </c>
      <c r="BB2207" s="3" t="s">
        <v>18717</v>
      </c>
      <c r="BC2207" s="3" t="s">
        <v>82</v>
      </c>
      <c r="BD2207" s="3" t="s">
        <v>70</v>
      </c>
      <c r="BE2207" s="3" t="s">
        <v>18718</v>
      </c>
      <c r="BF2207" s="3" t="s">
        <v>18717</v>
      </c>
      <c r="BG2207" s="3" t="s">
        <v>18719</v>
      </c>
    </row>
    <row r="2208" spans="1:59" ht="60" x14ac:dyDescent="0.25">
      <c r="A2208" s="2" t="s">
        <v>59</v>
      </c>
      <c r="B2208" s="2" t="s">
        <v>60</v>
      </c>
      <c r="C2208" s="2" t="s">
        <v>18720</v>
      </c>
      <c r="D2208" s="2" t="s">
        <v>18721</v>
      </c>
      <c r="E2208" s="2" t="s">
        <v>18722</v>
      </c>
      <c r="G2208" s="3" t="s">
        <v>63</v>
      </c>
      <c r="I2208" s="3" t="s">
        <v>63</v>
      </c>
      <c r="J2208" s="3" t="s">
        <v>63</v>
      </c>
      <c r="K2208" s="3" t="s">
        <v>64</v>
      </c>
      <c r="L2208" s="2" t="s">
        <v>17389</v>
      </c>
      <c r="M2208" s="2" t="s">
        <v>18723</v>
      </c>
      <c r="N2208" s="3" t="s">
        <v>213</v>
      </c>
      <c r="P2208" s="3" t="s">
        <v>90</v>
      </c>
      <c r="R2208" s="3" t="s">
        <v>67</v>
      </c>
      <c r="S2208" s="4">
        <v>2</v>
      </c>
      <c r="T2208" s="4">
        <v>2</v>
      </c>
      <c r="U2208" s="5" t="s">
        <v>17391</v>
      </c>
      <c r="V2208" s="5" t="s">
        <v>17391</v>
      </c>
      <c r="W2208" s="5" t="s">
        <v>69</v>
      </c>
      <c r="X2208" s="5" t="s">
        <v>69</v>
      </c>
      <c r="Y2208" s="4">
        <v>76</v>
      </c>
      <c r="Z2208" s="4">
        <v>7</v>
      </c>
      <c r="AA2208" s="4">
        <v>7</v>
      </c>
      <c r="AB2208" s="4">
        <v>1</v>
      </c>
      <c r="AC2208" s="4">
        <v>1</v>
      </c>
      <c r="AD2208" s="4">
        <v>42</v>
      </c>
      <c r="AE2208" s="4">
        <v>42</v>
      </c>
      <c r="AF2208" s="4">
        <v>0</v>
      </c>
      <c r="AG2208" s="4">
        <v>0</v>
      </c>
      <c r="AH2208" s="4">
        <v>40</v>
      </c>
      <c r="AI2208" s="4">
        <v>40</v>
      </c>
      <c r="AJ2208" s="4">
        <v>5</v>
      </c>
      <c r="AK2208" s="4">
        <v>5</v>
      </c>
      <c r="AL2208" s="4">
        <v>32</v>
      </c>
      <c r="AM2208" s="4">
        <v>32</v>
      </c>
      <c r="AN2208" s="4">
        <v>0</v>
      </c>
      <c r="AO2208" s="4">
        <v>0</v>
      </c>
      <c r="AP2208" s="4">
        <v>5</v>
      </c>
      <c r="AQ2208" s="4">
        <v>5</v>
      </c>
      <c r="AR2208" s="3" t="s">
        <v>63</v>
      </c>
      <c r="AS2208" s="3" t="s">
        <v>63</v>
      </c>
      <c r="AT2208" s="3" t="s">
        <v>62</v>
      </c>
      <c r="AU2208" s="6" t="str">
        <f>HYPERLINK("http://catalog.hathitrust.org/Record/001730473","HathiTrust Record")</f>
        <v>HathiTrust Record</v>
      </c>
      <c r="AV2208" s="6" t="str">
        <f>HYPERLINK("http://mcgill.on.worldcat.org/oclc/4264102","Catalog Record")</f>
        <v>Catalog Record</v>
      </c>
      <c r="AW2208" s="6" t="str">
        <f>HYPERLINK("http://www.worldcat.org/oclc/4264102","WorldCat Record")</f>
        <v>WorldCat Record</v>
      </c>
      <c r="AX2208" s="3" t="s">
        <v>18724</v>
      </c>
      <c r="AY2208" s="3" t="s">
        <v>18725</v>
      </c>
      <c r="AZ2208" s="3" t="s">
        <v>18726</v>
      </c>
      <c r="BA2208" s="3" t="s">
        <v>18726</v>
      </c>
      <c r="BB2208" s="3" t="s">
        <v>18727</v>
      </c>
      <c r="BC2208" s="3" t="s">
        <v>82</v>
      </c>
      <c r="BD2208" s="3" t="s">
        <v>70</v>
      </c>
      <c r="BF2208" s="3" t="s">
        <v>18727</v>
      </c>
      <c r="BG2208" s="3" t="s">
        <v>18728</v>
      </c>
    </row>
    <row r="2209" spans="1:59" ht="60" x14ac:dyDescent="0.25">
      <c r="A2209" s="2" t="s">
        <v>59</v>
      </c>
      <c r="B2209" s="2" t="s">
        <v>60</v>
      </c>
      <c r="C2209" s="2" t="s">
        <v>18729</v>
      </c>
      <c r="D2209" s="2" t="s">
        <v>18730</v>
      </c>
      <c r="E2209" s="2" t="s">
        <v>18731</v>
      </c>
      <c r="G2209" s="3" t="s">
        <v>63</v>
      </c>
      <c r="I2209" s="3" t="s">
        <v>62</v>
      </c>
      <c r="J2209" s="3" t="s">
        <v>63</v>
      </c>
      <c r="K2209" s="3" t="s">
        <v>64</v>
      </c>
      <c r="L2209" s="2" t="s">
        <v>18732</v>
      </c>
      <c r="M2209" s="2" t="s">
        <v>18733</v>
      </c>
      <c r="N2209" s="3" t="s">
        <v>849</v>
      </c>
      <c r="P2209" s="3" t="s">
        <v>66</v>
      </c>
      <c r="R2209" s="3" t="s">
        <v>67</v>
      </c>
      <c r="S2209" s="4">
        <v>6</v>
      </c>
      <c r="T2209" s="4">
        <v>15</v>
      </c>
      <c r="U2209" s="5" t="s">
        <v>18734</v>
      </c>
      <c r="V2209" s="5" t="s">
        <v>6150</v>
      </c>
      <c r="W2209" s="5" t="s">
        <v>69</v>
      </c>
      <c r="X2209" s="5" t="s">
        <v>69</v>
      </c>
      <c r="Y2209" s="4">
        <v>423</v>
      </c>
      <c r="Z2209" s="4">
        <v>26</v>
      </c>
      <c r="AA2209" s="4">
        <v>26</v>
      </c>
      <c r="AB2209" s="4">
        <v>1</v>
      </c>
      <c r="AC2209" s="4">
        <v>1</v>
      </c>
      <c r="AD2209" s="4">
        <v>113</v>
      </c>
      <c r="AE2209" s="4">
        <v>113</v>
      </c>
      <c r="AF2209" s="4">
        <v>0</v>
      </c>
      <c r="AG2209" s="4">
        <v>0</v>
      </c>
      <c r="AH2209" s="4">
        <v>101</v>
      </c>
      <c r="AI2209" s="4">
        <v>101</v>
      </c>
      <c r="AJ2209" s="4">
        <v>15</v>
      </c>
      <c r="AK2209" s="4">
        <v>15</v>
      </c>
      <c r="AL2209" s="4">
        <v>54</v>
      </c>
      <c r="AM2209" s="4">
        <v>54</v>
      </c>
      <c r="AN2209" s="4">
        <v>0</v>
      </c>
      <c r="AO2209" s="4">
        <v>0</v>
      </c>
      <c r="AP2209" s="4">
        <v>19</v>
      </c>
      <c r="AQ2209" s="4">
        <v>19</v>
      </c>
      <c r="AR2209" s="3" t="s">
        <v>63</v>
      </c>
      <c r="AS2209" s="3" t="s">
        <v>63</v>
      </c>
      <c r="AT2209" s="3" t="s">
        <v>62</v>
      </c>
      <c r="AU2209" s="6" t="str">
        <f>HYPERLINK("http://catalog.hathitrust.org/Record/000258262","HathiTrust Record")</f>
        <v>HathiTrust Record</v>
      </c>
      <c r="AV2209" s="6" t="str">
        <f>HYPERLINK("http://mcgill.on.worldcat.org/oclc/4549491","Catalog Record")</f>
        <v>Catalog Record</v>
      </c>
      <c r="AW2209" s="6" t="str">
        <f>HYPERLINK("http://www.worldcat.org/oclc/4549491","WorldCat Record")</f>
        <v>WorldCat Record</v>
      </c>
      <c r="AX2209" s="3" t="s">
        <v>18735</v>
      </c>
      <c r="AY2209" s="3" t="s">
        <v>18736</v>
      </c>
      <c r="AZ2209" s="3" t="s">
        <v>18737</v>
      </c>
      <c r="BA2209" s="3" t="s">
        <v>18737</v>
      </c>
      <c r="BB2209" s="3" t="s">
        <v>18738</v>
      </c>
      <c r="BC2209" s="3" t="s">
        <v>82</v>
      </c>
      <c r="BD2209" s="3" t="s">
        <v>70</v>
      </c>
      <c r="BE2209" s="3" t="s">
        <v>18739</v>
      </c>
      <c r="BF2209" s="3" t="s">
        <v>18738</v>
      </c>
      <c r="BG2209" s="3" t="s">
        <v>18740</v>
      </c>
    </row>
    <row r="2210" spans="1:59" ht="60" x14ac:dyDescent="0.25">
      <c r="A2210" s="2" t="s">
        <v>59</v>
      </c>
      <c r="B2210" s="2" t="s">
        <v>60</v>
      </c>
      <c r="C2210" s="2" t="s">
        <v>18729</v>
      </c>
      <c r="D2210" s="2" t="s">
        <v>18730</v>
      </c>
      <c r="E2210" s="2" t="s">
        <v>18731</v>
      </c>
      <c r="G2210" s="3" t="s">
        <v>63</v>
      </c>
      <c r="I2210" s="3" t="s">
        <v>62</v>
      </c>
      <c r="J2210" s="3" t="s">
        <v>63</v>
      </c>
      <c r="K2210" s="3" t="s">
        <v>64</v>
      </c>
      <c r="L2210" s="2" t="s">
        <v>18732</v>
      </c>
      <c r="M2210" s="2" t="s">
        <v>18733</v>
      </c>
      <c r="N2210" s="3" t="s">
        <v>849</v>
      </c>
      <c r="P2210" s="3" t="s">
        <v>66</v>
      </c>
      <c r="R2210" s="3" t="s">
        <v>67</v>
      </c>
      <c r="S2210" s="4">
        <v>9</v>
      </c>
      <c r="T2210" s="4">
        <v>15</v>
      </c>
      <c r="U2210" s="5" t="s">
        <v>6150</v>
      </c>
      <c r="V2210" s="5" t="s">
        <v>6150</v>
      </c>
      <c r="W2210" s="5" t="s">
        <v>69</v>
      </c>
      <c r="X2210" s="5" t="s">
        <v>69</v>
      </c>
      <c r="Y2210" s="4">
        <v>423</v>
      </c>
      <c r="Z2210" s="4">
        <v>26</v>
      </c>
      <c r="AA2210" s="4">
        <v>26</v>
      </c>
      <c r="AB2210" s="4">
        <v>1</v>
      </c>
      <c r="AC2210" s="4">
        <v>1</v>
      </c>
      <c r="AD2210" s="4">
        <v>113</v>
      </c>
      <c r="AE2210" s="4">
        <v>113</v>
      </c>
      <c r="AF2210" s="4">
        <v>0</v>
      </c>
      <c r="AG2210" s="4">
        <v>0</v>
      </c>
      <c r="AH2210" s="4">
        <v>101</v>
      </c>
      <c r="AI2210" s="4">
        <v>101</v>
      </c>
      <c r="AJ2210" s="4">
        <v>15</v>
      </c>
      <c r="AK2210" s="4">
        <v>15</v>
      </c>
      <c r="AL2210" s="4">
        <v>54</v>
      </c>
      <c r="AM2210" s="4">
        <v>54</v>
      </c>
      <c r="AN2210" s="4">
        <v>0</v>
      </c>
      <c r="AO2210" s="4">
        <v>0</v>
      </c>
      <c r="AP2210" s="4">
        <v>19</v>
      </c>
      <c r="AQ2210" s="4">
        <v>19</v>
      </c>
      <c r="AR2210" s="3" t="s">
        <v>63</v>
      </c>
      <c r="AS2210" s="3" t="s">
        <v>63</v>
      </c>
      <c r="AT2210" s="3" t="s">
        <v>62</v>
      </c>
      <c r="AU2210" s="6" t="str">
        <f>HYPERLINK("http://catalog.hathitrust.org/Record/000258262","HathiTrust Record")</f>
        <v>HathiTrust Record</v>
      </c>
      <c r="AV2210" s="6" t="str">
        <f>HYPERLINK("http://mcgill.on.worldcat.org/oclc/4549491","Catalog Record")</f>
        <v>Catalog Record</v>
      </c>
      <c r="AW2210" s="6" t="str">
        <f>HYPERLINK("http://www.worldcat.org/oclc/4549491","WorldCat Record")</f>
        <v>WorldCat Record</v>
      </c>
      <c r="AX2210" s="3" t="s">
        <v>18735</v>
      </c>
      <c r="AY2210" s="3" t="s">
        <v>18736</v>
      </c>
      <c r="AZ2210" s="3" t="s">
        <v>18737</v>
      </c>
      <c r="BA2210" s="3" t="s">
        <v>18737</v>
      </c>
      <c r="BB2210" s="3" t="s">
        <v>18741</v>
      </c>
      <c r="BC2210" s="3" t="s">
        <v>82</v>
      </c>
      <c r="BD2210" s="3" t="s">
        <v>70</v>
      </c>
      <c r="BE2210" s="3" t="s">
        <v>18739</v>
      </c>
      <c r="BF2210" s="3" t="s">
        <v>18741</v>
      </c>
      <c r="BG2210" s="3" t="s">
        <v>18742</v>
      </c>
    </row>
    <row r="2211" spans="1:59" ht="60" x14ac:dyDescent="0.25">
      <c r="A2211" s="2" t="s">
        <v>59</v>
      </c>
      <c r="B2211" s="2" t="s">
        <v>60</v>
      </c>
      <c r="C2211" s="2" t="s">
        <v>18743</v>
      </c>
      <c r="D2211" s="2" t="s">
        <v>18744</v>
      </c>
      <c r="E2211" s="2" t="s">
        <v>18745</v>
      </c>
      <c r="G2211" s="3" t="s">
        <v>63</v>
      </c>
      <c r="I2211" s="3" t="s">
        <v>63</v>
      </c>
      <c r="J2211" s="3" t="s">
        <v>63</v>
      </c>
      <c r="K2211" s="3" t="s">
        <v>64</v>
      </c>
      <c r="M2211" s="2" t="s">
        <v>18746</v>
      </c>
      <c r="N2211" s="3" t="s">
        <v>176</v>
      </c>
      <c r="P2211" s="3" t="s">
        <v>548</v>
      </c>
      <c r="Q2211" s="2" t="s">
        <v>18747</v>
      </c>
      <c r="R2211" s="3" t="s">
        <v>67</v>
      </c>
      <c r="S2211" s="4">
        <v>3</v>
      </c>
      <c r="T2211" s="4">
        <v>3</v>
      </c>
      <c r="U2211" s="5" t="s">
        <v>17391</v>
      </c>
      <c r="V2211" s="5" t="s">
        <v>17391</v>
      </c>
      <c r="W2211" s="5" t="s">
        <v>69</v>
      </c>
      <c r="X2211" s="5" t="s">
        <v>69</v>
      </c>
      <c r="Y2211" s="4">
        <v>42</v>
      </c>
      <c r="Z2211" s="4">
        <v>4</v>
      </c>
      <c r="AA2211" s="4">
        <v>4</v>
      </c>
      <c r="AB2211" s="4">
        <v>2</v>
      </c>
      <c r="AC2211" s="4">
        <v>2</v>
      </c>
      <c r="AD2211" s="4">
        <v>26</v>
      </c>
      <c r="AE2211" s="4">
        <v>26</v>
      </c>
      <c r="AF2211" s="4">
        <v>0</v>
      </c>
      <c r="AG2211" s="4">
        <v>0</v>
      </c>
      <c r="AH2211" s="4">
        <v>25</v>
      </c>
      <c r="AI2211" s="4">
        <v>25</v>
      </c>
      <c r="AJ2211" s="4">
        <v>1</v>
      </c>
      <c r="AK2211" s="4">
        <v>1</v>
      </c>
      <c r="AL2211" s="4">
        <v>21</v>
      </c>
      <c r="AM2211" s="4">
        <v>21</v>
      </c>
      <c r="AN2211" s="4">
        <v>0</v>
      </c>
      <c r="AO2211" s="4">
        <v>0</v>
      </c>
      <c r="AP2211" s="4">
        <v>1</v>
      </c>
      <c r="AQ2211" s="4">
        <v>1</v>
      </c>
      <c r="AR2211" s="3" t="s">
        <v>63</v>
      </c>
      <c r="AS2211" s="3" t="s">
        <v>63</v>
      </c>
      <c r="AT2211" s="3" t="s">
        <v>62</v>
      </c>
      <c r="AU2211" s="6" t="str">
        <f>HYPERLINK("http://catalog.hathitrust.org/Record/003314017","HathiTrust Record")</f>
        <v>HathiTrust Record</v>
      </c>
      <c r="AV2211" s="6" t="str">
        <f>HYPERLINK("http://mcgill.on.worldcat.org/oclc/40462623","Catalog Record")</f>
        <v>Catalog Record</v>
      </c>
      <c r="AW2211" s="6" t="str">
        <f>HYPERLINK("http://www.worldcat.org/oclc/40462623","WorldCat Record")</f>
        <v>WorldCat Record</v>
      </c>
      <c r="AX2211" s="3" t="s">
        <v>18748</v>
      </c>
      <c r="AY2211" s="3" t="s">
        <v>18749</v>
      </c>
      <c r="AZ2211" s="3" t="s">
        <v>18750</v>
      </c>
      <c r="BA2211" s="3" t="s">
        <v>18750</v>
      </c>
      <c r="BB2211" s="3" t="s">
        <v>18751</v>
      </c>
      <c r="BC2211" s="3" t="s">
        <v>82</v>
      </c>
      <c r="BD2211" s="3" t="s">
        <v>70</v>
      </c>
      <c r="BE2211" s="3" t="s">
        <v>18752</v>
      </c>
      <c r="BF2211" s="3" t="s">
        <v>18751</v>
      </c>
      <c r="BG2211" s="3" t="s">
        <v>18753</v>
      </c>
    </row>
    <row r="2212" spans="1:59" ht="60" x14ac:dyDescent="0.25">
      <c r="A2212" s="2" t="s">
        <v>59</v>
      </c>
      <c r="B2212" s="2" t="s">
        <v>60</v>
      </c>
      <c r="C2212" s="2" t="s">
        <v>18754</v>
      </c>
      <c r="D2212" s="2" t="s">
        <v>18755</v>
      </c>
      <c r="E2212" s="2" t="s">
        <v>18756</v>
      </c>
      <c r="G2212" s="3" t="s">
        <v>63</v>
      </c>
      <c r="I2212" s="3" t="s">
        <v>63</v>
      </c>
      <c r="J2212" s="3" t="s">
        <v>63</v>
      </c>
      <c r="K2212" s="3" t="s">
        <v>64</v>
      </c>
      <c r="M2212" s="2" t="s">
        <v>18757</v>
      </c>
      <c r="N2212" s="3" t="s">
        <v>2459</v>
      </c>
      <c r="P2212" s="3" t="s">
        <v>548</v>
      </c>
      <c r="Q2212" s="2" t="s">
        <v>18758</v>
      </c>
      <c r="R2212" s="3" t="s">
        <v>67</v>
      </c>
      <c r="S2212" s="4">
        <v>1</v>
      </c>
      <c r="T2212" s="4">
        <v>1</v>
      </c>
      <c r="U2212" s="5" t="s">
        <v>17391</v>
      </c>
      <c r="V2212" s="5" t="s">
        <v>17391</v>
      </c>
      <c r="W2212" s="5" t="s">
        <v>69</v>
      </c>
      <c r="X2212" s="5" t="s">
        <v>69</v>
      </c>
      <c r="Y2212" s="4">
        <v>37</v>
      </c>
      <c r="Z2212" s="4">
        <v>3</v>
      </c>
      <c r="AA2212" s="4">
        <v>4</v>
      </c>
      <c r="AB2212" s="4">
        <v>1</v>
      </c>
      <c r="AC2212" s="4">
        <v>1</v>
      </c>
      <c r="AD2212" s="4">
        <v>22</v>
      </c>
      <c r="AE2212" s="4">
        <v>23</v>
      </c>
      <c r="AF2212" s="4">
        <v>0</v>
      </c>
      <c r="AG2212" s="4">
        <v>0</v>
      </c>
      <c r="AH2212" s="4">
        <v>21</v>
      </c>
      <c r="AI2212" s="4">
        <v>22</v>
      </c>
      <c r="AJ2212" s="4">
        <v>1</v>
      </c>
      <c r="AK2212" s="4">
        <v>2</v>
      </c>
      <c r="AL2212" s="4">
        <v>18</v>
      </c>
      <c r="AM2212" s="4">
        <v>18</v>
      </c>
      <c r="AN2212" s="4">
        <v>0</v>
      </c>
      <c r="AO2212" s="4">
        <v>0</v>
      </c>
      <c r="AP2212" s="4">
        <v>1</v>
      </c>
      <c r="AQ2212" s="4">
        <v>2</v>
      </c>
      <c r="AR2212" s="3" t="s">
        <v>63</v>
      </c>
      <c r="AS2212" s="3" t="s">
        <v>63</v>
      </c>
      <c r="AT2212" s="3" t="s">
        <v>62</v>
      </c>
      <c r="AU2212" s="6" t="str">
        <f>HYPERLINK("http://catalog.hathitrust.org/Record/006780398","HathiTrust Record")</f>
        <v>HathiTrust Record</v>
      </c>
      <c r="AV2212" s="6" t="str">
        <f>HYPERLINK("http://mcgill.on.worldcat.org/oclc/300276439","Catalog Record")</f>
        <v>Catalog Record</v>
      </c>
      <c r="AW2212" s="6" t="str">
        <f>HYPERLINK("http://www.worldcat.org/oclc/300276439","WorldCat Record")</f>
        <v>WorldCat Record</v>
      </c>
      <c r="AX2212" s="3" t="s">
        <v>18759</v>
      </c>
      <c r="AY2212" s="3" t="s">
        <v>18760</v>
      </c>
      <c r="AZ2212" s="3" t="s">
        <v>18761</v>
      </c>
      <c r="BA2212" s="3" t="s">
        <v>18761</v>
      </c>
      <c r="BB2212" s="3" t="s">
        <v>18762</v>
      </c>
      <c r="BC2212" s="3" t="s">
        <v>82</v>
      </c>
      <c r="BD2212" s="3" t="s">
        <v>70</v>
      </c>
      <c r="BE2212" s="3" t="s">
        <v>18763</v>
      </c>
      <c r="BF2212" s="3" t="s">
        <v>18762</v>
      </c>
      <c r="BG2212" s="3" t="s">
        <v>18764</v>
      </c>
    </row>
    <row r="2213" spans="1:59" ht="60" x14ac:dyDescent="0.25">
      <c r="A2213" s="2" t="s">
        <v>59</v>
      </c>
      <c r="B2213" s="2" t="s">
        <v>60</v>
      </c>
      <c r="C2213" s="2" t="s">
        <v>18765</v>
      </c>
      <c r="D2213" s="2" t="s">
        <v>18766</v>
      </c>
      <c r="E2213" s="2" t="s">
        <v>18767</v>
      </c>
      <c r="G2213" s="3" t="s">
        <v>63</v>
      </c>
      <c r="I2213" s="3" t="s">
        <v>63</v>
      </c>
      <c r="J2213" s="3" t="s">
        <v>63</v>
      </c>
      <c r="K2213" s="3" t="s">
        <v>64</v>
      </c>
      <c r="L2213" s="2" t="s">
        <v>17202</v>
      </c>
      <c r="M2213" s="2" t="s">
        <v>18768</v>
      </c>
      <c r="N2213" s="3" t="s">
        <v>668</v>
      </c>
      <c r="P2213" s="3" t="s">
        <v>66</v>
      </c>
      <c r="Q2213" s="2" t="s">
        <v>18769</v>
      </c>
      <c r="R2213" s="3" t="s">
        <v>67</v>
      </c>
      <c r="S2213" s="4">
        <v>17</v>
      </c>
      <c r="T2213" s="4">
        <v>17</v>
      </c>
      <c r="U2213" s="5" t="s">
        <v>11152</v>
      </c>
      <c r="V2213" s="5" t="s">
        <v>11152</v>
      </c>
      <c r="W2213" s="5" t="s">
        <v>69</v>
      </c>
      <c r="X2213" s="5" t="s">
        <v>69</v>
      </c>
      <c r="Y2213" s="4">
        <v>136</v>
      </c>
      <c r="Z2213" s="4">
        <v>15</v>
      </c>
      <c r="AA2213" s="4">
        <v>15</v>
      </c>
      <c r="AB2213" s="4">
        <v>1</v>
      </c>
      <c r="AC2213" s="4">
        <v>1</v>
      </c>
      <c r="AD2213" s="4">
        <v>68</v>
      </c>
      <c r="AE2213" s="4">
        <v>68</v>
      </c>
      <c r="AF2213" s="4">
        <v>0</v>
      </c>
      <c r="AG2213" s="4">
        <v>0</v>
      </c>
      <c r="AH2213" s="4">
        <v>63</v>
      </c>
      <c r="AI2213" s="4">
        <v>63</v>
      </c>
      <c r="AJ2213" s="4">
        <v>13</v>
      </c>
      <c r="AK2213" s="4">
        <v>13</v>
      </c>
      <c r="AL2213" s="4">
        <v>36</v>
      </c>
      <c r="AM2213" s="4">
        <v>36</v>
      </c>
      <c r="AN2213" s="4">
        <v>0</v>
      </c>
      <c r="AO2213" s="4">
        <v>0</v>
      </c>
      <c r="AP2213" s="4">
        <v>13</v>
      </c>
      <c r="AQ2213" s="4">
        <v>13</v>
      </c>
      <c r="AR2213" s="3" t="s">
        <v>63</v>
      </c>
      <c r="AS2213" s="3" t="s">
        <v>63</v>
      </c>
      <c r="AT2213" s="3" t="s">
        <v>62</v>
      </c>
      <c r="AU2213" s="6" t="str">
        <f>HYPERLINK("http://catalog.hathitrust.org/Record/002450069","HathiTrust Record")</f>
        <v>HathiTrust Record</v>
      </c>
      <c r="AV2213" s="6" t="str">
        <f>HYPERLINK("http://mcgill.on.worldcat.org/oclc/21869819","Catalog Record")</f>
        <v>Catalog Record</v>
      </c>
      <c r="AW2213" s="6" t="str">
        <f>HYPERLINK("http://www.worldcat.org/oclc/21869819","WorldCat Record")</f>
        <v>WorldCat Record</v>
      </c>
      <c r="AX2213" s="3" t="s">
        <v>18770</v>
      </c>
      <c r="AY2213" s="3" t="s">
        <v>18771</v>
      </c>
      <c r="AZ2213" s="3" t="s">
        <v>18772</v>
      </c>
      <c r="BA2213" s="3" t="s">
        <v>18772</v>
      </c>
      <c r="BB2213" s="3" t="s">
        <v>18773</v>
      </c>
      <c r="BC2213" s="3" t="s">
        <v>82</v>
      </c>
      <c r="BD2213" s="3" t="s">
        <v>70</v>
      </c>
      <c r="BE2213" s="3" t="s">
        <v>18774</v>
      </c>
      <c r="BF2213" s="3" t="s">
        <v>18773</v>
      </c>
      <c r="BG2213" s="3" t="s">
        <v>18775</v>
      </c>
    </row>
    <row r="2214" spans="1:59" ht="60" x14ac:dyDescent="0.25">
      <c r="A2214" s="2" t="s">
        <v>59</v>
      </c>
      <c r="B2214" s="2" t="s">
        <v>60</v>
      </c>
      <c r="C2214" s="2" t="s">
        <v>18776</v>
      </c>
      <c r="D2214" s="2" t="s">
        <v>18777</v>
      </c>
      <c r="E2214" s="2" t="s">
        <v>18778</v>
      </c>
      <c r="G2214" s="3" t="s">
        <v>63</v>
      </c>
      <c r="I2214" s="3" t="s">
        <v>63</v>
      </c>
      <c r="J2214" s="3" t="s">
        <v>63</v>
      </c>
      <c r="K2214" s="3" t="s">
        <v>64</v>
      </c>
      <c r="L2214" s="2" t="s">
        <v>14212</v>
      </c>
      <c r="M2214" s="2" t="s">
        <v>18779</v>
      </c>
      <c r="N2214" s="3" t="s">
        <v>837</v>
      </c>
      <c r="P2214" s="3" t="s">
        <v>548</v>
      </c>
      <c r="Q2214" s="2" t="s">
        <v>18780</v>
      </c>
      <c r="R2214" s="3" t="s">
        <v>67</v>
      </c>
      <c r="S2214" s="4">
        <v>9</v>
      </c>
      <c r="T2214" s="4">
        <v>9</v>
      </c>
      <c r="U2214" s="5" t="s">
        <v>17391</v>
      </c>
      <c r="V2214" s="5" t="s">
        <v>17391</v>
      </c>
      <c r="W2214" s="5" t="s">
        <v>69</v>
      </c>
      <c r="X2214" s="5" t="s">
        <v>69</v>
      </c>
      <c r="Y2214" s="4">
        <v>101</v>
      </c>
      <c r="Z2214" s="4">
        <v>10</v>
      </c>
      <c r="AA2214" s="4">
        <v>11</v>
      </c>
      <c r="AB2214" s="4">
        <v>1</v>
      </c>
      <c r="AC2214" s="4">
        <v>2</v>
      </c>
      <c r="AD2214" s="4">
        <v>54</v>
      </c>
      <c r="AE2214" s="4">
        <v>55</v>
      </c>
      <c r="AF2214" s="4">
        <v>0</v>
      </c>
      <c r="AG2214" s="4">
        <v>1</v>
      </c>
      <c r="AH2214" s="4">
        <v>51</v>
      </c>
      <c r="AI2214" s="4">
        <v>51</v>
      </c>
      <c r="AJ2214" s="4">
        <v>7</v>
      </c>
      <c r="AK2214" s="4">
        <v>8</v>
      </c>
      <c r="AL2214" s="4">
        <v>40</v>
      </c>
      <c r="AM2214" s="4">
        <v>40</v>
      </c>
      <c r="AN2214" s="4">
        <v>0</v>
      </c>
      <c r="AO2214" s="4">
        <v>0</v>
      </c>
      <c r="AP2214" s="4">
        <v>7</v>
      </c>
      <c r="AQ2214" s="4">
        <v>7</v>
      </c>
      <c r="AR2214" s="3" t="s">
        <v>63</v>
      </c>
      <c r="AS2214" s="3" t="s">
        <v>63</v>
      </c>
      <c r="AT2214" s="3" t="s">
        <v>63</v>
      </c>
      <c r="AV2214" s="6" t="str">
        <f>HYPERLINK("http://mcgill.on.worldcat.org/oclc/2144150","Catalog Record")</f>
        <v>Catalog Record</v>
      </c>
      <c r="AW2214" s="6" t="str">
        <f>HYPERLINK("http://www.worldcat.org/oclc/2144150","WorldCat Record")</f>
        <v>WorldCat Record</v>
      </c>
      <c r="AX2214" s="3" t="s">
        <v>18781</v>
      </c>
      <c r="AY2214" s="3" t="s">
        <v>18782</v>
      </c>
      <c r="AZ2214" s="3" t="s">
        <v>18783</v>
      </c>
      <c r="BA2214" s="3" t="s">
        <v>18783</v>
      </c>
      <c r="BB2214" s="3" t="s">
        <v>18784</v>
      </c>
      <c r="BC2214" s="3" t="s">
        <v>82</v>
      </c>
      <c r="BD2214" s="3" t="s">
        <v>70</v>
      </c>
      <c r="BF2214" s="3" t="s">
        <v>18784</v>
      </c>
      <c r="BG2214" s="3" t="s">
        <v>18785</v>
      </c>
    </row>
    <row r="2215" spans="1:59" ht="60" x14ac:dyDescent="0.25">
      <c r="A2215" s="2" t="s">
        <v>59</v>
      </c>
      <c r="B2215" s="2" t="s">
        <v>60</v>
      </c>
      <c r="C2215" s="2" t="s">
        <v>18786</v>
      </c>
      <c r="D2215" s="2" t="s">
        <v>18787</v>
      </c>
      <c r="E2215" s="2" t="s">
        <v>18788</v>
      </c>
      <c r="G2215" s="3" t="s">
        <v>63</v>
      </c>
      <c r="I2215" s="3" t="s">
        <v>63</v>
      </c>
      <c r="J2215" s="3" t="s">
        <v>63</v>
      </c>
      <c r="K2215" s="3" t="s">
        <v>64</v>
      </c>
      <c r="M2215" s="2" t="s">
        <v>18789</v>
      </c>
      <c r="N2215" s="3" t="s">
        <v>374</v>
      </c>
      <c r="P2215" s="3" t="s">
        <v>548</v>
      </c>
      <c r="Q2215" s="2" t="s">
        <v>18790</v>
      </c>
      <c r="R2215" s="3" t="s">
        <v>67</v>
      </c>
      <c r="S2215" s="4">
        <v>7</v>
      </c>
      <c r="T2215" s="4">
        <v>7</v>
      </c>
      <c r="U2215" s="5" t="s">
        <v>17391</v>
      </c>
      <c r="V2215" s="5" t="s">
        <v>17391</v>
      </c>
      <c r="W2215" s="5" t="s">
        <v>69</v>
      </c>
      <c r="X2215" s="5" t="s">
        <v>69</v>
      </c>
      <c r="Y2215" s="4">
        <v>30</v>
      </c>
      <c r="Z2215" s="4">
        <v>5</v>
      </c>
      <c r="AA2215" s="4">
        <v>5</v>
      </c>
      <c r="AB2215" s="4">
        <v>4</v>
      </c>
      <c r="AC2215" s="4">
        <v>4</v>
      </c>
      <c r="AD2215" s="4">
        <v>3</v>
      </c>
      <c r="AE2215" s="4">
        <v>3</v>
      </c>
      <c r="AF2215" s="4">
        <v>2</v>
      </c>
      <c r="AG2215" s="4">
        <v>2</v>
      </c>
      <c r="AH2215" s="4">
        <v>2</v>
      </c>
      <c r="AI2215" s="4">
        <v>2</v>
      </c>
      <c r="AJ2215" s="4">
        <v>3</v>
      </c>
      <c r="AK2215" s="4">
        <v>3</v>
      </c>
      <c r="AL2215" s="4">
        <v>0</v>
      </c>
      <c r="AM2215" s="4">
        <v>0</v>
      </c>
      <c r="AN2215" s="4">
        <v>0</v>
      </c>
      <c r="AO2215" s="4">
        <v>0</v>
      </c>
      <c r="AP2215" s="4">
        <v>3</v>
      </c>
      <c r="AQ2215" s="4">
        <v>3</v>
      </c>
      <c r="AR2215" s="3" t="s">
        <v>63</v>
      </c>
      <c r="AS2215" s="3" t="s">
        <v>63</v>
      </c>
      <c r="AT2215" s="3" t="s">
        <v>62</v>
      </c>
      <c r="AU2215" s="6" t="str">
        <f>HYPERLINK("http://catalog.hathitrust.org/Record/003031513","HathiTrust Record")</f>
        <v>HathiTrust Record</v>
      </c>
      <c r="AV2215" s="6" t="str">
        <f>HYPERLINK("http://mcgill.on.worldcat.org/oclc/463888374","Catalog Record")</f>
        <v>Catalog Record</v>
      </c>
      <c r="AW2215" s="6" t="str">
        <f>HYPERLINK("http://www.worldcat.org/oclc/463888374","WorldCat Record")</f>
        <v>WorldCat Record</v>
      </c>
      <c r="AX2215" s="3" t="s">
        <v>18791</v>
      </c>
      <c r="AY2215" s="3" t="s">
        <v>18792</v>
      </c>
      <c r="AZ2215" s="3" t="s">
        <v>18793</v>
      </c>
      <c r="BA2215" s="3" t="s">
        <v>18793</v>
      </c>
      <c r="BB2215" s="3" t="s">
        <v>18794</v>
      </c>
      <c r="BC2215" s="3" t="s">
        <v>82</v>
      </c>
      <c r="BD2215" s="3" t="s">
        <v>70</v>
      </c>
      <c r="BE2215" s="3" t="s">
        <v>18795</v>
      </c>
      <c r="BF2215" s="3" t="s">
        <v>18794</v>
      </c>
      <c r="BG2215" s="3" t="s">
        <v>18796</v>
      </c>
    </row>
    <row r="2216" spans="1:59" ht="60" x14ac:dyDescent="0.25">
      <c r="A2216" s="2" t="s">
        <v>59</v>
      </c>
      <c r="B2216" s="2" t="s">
        <v>60</v>
      </c>
      <c r="C2216" s="2" t="s">
        <v>18797</v>
      </c>
      <c r="D2216" s="2" t="s">
        <v>18798</v>
      </c>
      <c r="E2216" s="2" t="s">
        <v>18799</v>
      </c>
      <c r="G2216" s="3" t="s">
        <v>63</v>
      </c>
      <c r="I2216" s="3" t="s">
        <v>63</v>
      </c>
      <c r="J2216" s="3" t="s">
        <v>63</v>
      </c>
      <c r="K2216" s="3" t="s">
        <v>64</v>
      </c>
      <c r="L2216" s="2" t="s">
        <v>18800</v>
      </c>
      <c r="M2216" s="2" t="s">
        <v>18801</v>
      </c>
      <c r="N2216" s="3" t="s">
        <v>2271</v>
      </c>
      <c r="P2216" s="3" t="s">
        <v>442</v>
      </c>
      <c r="R2216" s="3" t="s">
        <v>67</v>
      </c>
      <c r="S2216" s="4">
        <v>1</v>
      </c>
      <c r="T2216" s="4">
        <v>1</v>
      </c>
      <c r="U2216" s="5" t="s">
        <v>17391</v>
      </c>
      <c r="V2216" s="5" t="s">
        <v>17391</v>
      </c>
      <c r="W2216" s="5" t="s">
        <v>69</v>
      </c>
      <c r="X2216" s="5" t="s">
        <v>69</v>
      </c>
      <c r="Y2216" s="4">
        <v>45</v>
      </c>
      <c r="Z2216" s="4">
        <v>3</v>
      </c>
      <c r="AA2216" s="4">
        <v>3</v>
      </c>
      <c r="AB2216" s="4">
        <v>1</v>
      </c>
      <c r="AC2216" s="4">
        <v>1</v>
      </c>
      <c r="AD2216" s="4">
        <v>30</v>
      </c>
      <c r="AE2216" s="4">
        <v>30</v>
      </c>
      <c r="AF2216" s="4">
        <v>0</v>
      </c>
      <c r="AG2216" s="4">
        <v>0</v>
      </c>
      <c r="AH2216" s="4">
        <v>27</v>
      </c>
      <c r="AI2216" s="4">
        <v>27</v>
      </c>
      <c r="AJ2216" s="4">
        <v>1</v>
      </c>
      <c r="AK2216" s="4">
        <v>1</v>
      </c>
      <c r="AL2216" s="4">
        <v>22</v>
      </c>
      <c r="AM2216" s="4">
        <v>22</v>
      </c>
      <c r="AN2216" s="4">
        <v>0</v>
      </c>
      <c r="AO2216" s="4">
        <v>0</v>
      </c>
      <c r="AP2216" s="4">
        <v>2</v>
      </c>
      <c r="AQ2216" s="4">
        <v>2</v>
      </c>
      <c r="AR2216" s="3" t="s">
        <v>63</v>
      </c>
      <c r="AS2216" s="3" t="s">
        <v>63</v>
      </c>
      <c r="AT2216" s="3" t="s">
        <v>62</v>
      </c>
      <c r="AU2216" s="6" t="str">
        <f>HYPERLINK("http://catalog.hathitrust.org/Record/002596618","HathiTrust Record")</f>
        <v>HathiTrust Record</v>
      </c>
      <c r="AV2216" s="6" t="str">
        <f>HYPERLINK("http://mcgill.on.worldcat.org/oclc/396255","Catalog Record")</f>
        <v>Catalog Record</v>
      </c>
      <c r="AW2216" s="6" t="str">
        <f>HYPERLINK("http://www.worldcat.org/oclc/396255","WorldCat Record")</f>
        <v>WorldCat Record</v>
      </c>
      <c r="AX2216" s="3" t="s">
        <v>18802</v>
      </c>
      <c r="AY2216" s="3" t="s">
        <v>18803</v>
      </c>
      <c r="AZ2216" s="3" t="s">
        <v>18804</v>
      </c>
      <c r="BA2216" s="3" t="s">
        <v>18804</v>
      </c>
      <c r="BB2216" s="3" t="s">
        <v>18805</v>
      </c>
      <c r="BC2216" s="3" t="s">
        <v>82</v>
      </c>
      <c r="BD2216" s="3" t="s">
        <v>70</v>
      </c>
      <c r="BF2216" s="3" t="s">
        <v>18805</v>
      </c>
      <c r="BG2216" s="3" t="s">
        <v>18806</v>
      </c>
    </row>
    <row r="2217" spans="1:59" ht="60" x14ac:dyDescent="0.25">
      <c r="A2217" s="2" t="s">
        <v>59</v>
      </c>
      <c r="B2217" s="2" t="s">
        <v>60</v>
      </c>
      <c r="C2217" s="2" t="s">
        <v>18807</v>
      </c>
      <c r="D2217" s="2" t="s">
        <v>18808</v>
      </c>
      <c r="E2217" s="2" t="s">
        <v>18809</v>
      </c>
      <c r="G2217" s="3" t="s">
        <v>63</v>
      </c>
      <c r="I2217" s="3" t="s">
        <v>63</v>
      </c>
      <c r="J2217" s="3" t="s">
        <v>63</v>
      </c>
      <c r="K2217" s="3" t="s">
        <v>64</v>
      </c>
      <c r="L2217" s="2" t="s">
        <v>18810</v>
      </c>
      <c r="M2217" s="2" t="s">
        <v>18811</v>
      </c>
      <c r="N2217" s="3" t="s">
        <v>401</v>
      </c>
      <c r="P2217" s="3" t="s">
        <v>442</v>
      </c>
      <c r="Q2217" s="2" t="s">
        <v>18812</v>
      </c>
      <c r="R2217" s="3" t="s">
        <v>67</v>
      </c>
      <c r="S2217" s="4">
        <v>2</v>
      </c>
      <c r="T2217" s="4">
        <v>2</v>
      </c>
      <c r="U2217" s="5" t="s">
        <v>17391</v>
      </c>
      <c r="V2217" s="5" t="s">
        <v>17391</v>
      </c>
      <c r="W2217" s="5" t="s">
        <v>69</v>
      </c>
      <c r="X2217" s="5" t="s">
        <v>69</v>
      </c>
      <c r="Y2217" s="4">
        <v>129</v>
      </c>
      <c r="Z2217" s="4">
        <v>5</v>
      </c>
      <c r="AA2217" s="4">
        <v>9</v>
      </c>
      <c r="AB2217" s="4">
        <v>1</v>
      </c>
      <c r="AC2217" s="4">
        <v>2</v>
      </c>
      <c r="AD2217" s="4">
        <v>58</v>
      </c>
      <c r="AE2217" s="4">
        <v>61</v>
      </c>
      <c r="AF2217" s="4">
        <v>0</v>
      </c>
      <c r="AG2217" s="4">
        <v>1</v>
      </c>
      <c r="AH2217" s="4">
        <v>55</v>
      </c>
      <c r="AI2217" s="4">
        <v>57</v>
      </c>
      <c r="AJ2217" s="4">
        <v>4</v>
      </c>
      <c r="AK2217" s="4">
        <v>7</v>
      </c>
      <c r="AL2217" s="4">
        <v>37</v>
      </c>
      <c r="AM2217" s="4">
        <v>38</v>
      </c>
      <c r="AN2217" s="4">
        <v>0</v>
      </c>
      <c r="AO2217" s="4">
        <v>0</v>
      </c>
      <c r="AP2217" s="4">
        <v>4</v>
      </c>
      <c r="AQ2217" s="4">
        <v>7</v>
      </c>
      <c r="AR2217" s="3" t="s">
        <v>63</v>
      </c>
      <c r="AS2217" s="3" t="s">
        <v>63</v>
      </c>
      <c r="AT2217" s="3" t="s">
        <v>63</v>
      </c>
      <c r="AV2217" s="6" t="str">
        <f>HYPERLINK("http://mcgill.on.worldcat.org/oclc/1595760","Catalog Record")</f>
        <v>Catalog Record</v>
      </c>
      <c r="AW2217" s="6" t="str">
        <f>HYPERLINK("http://www.worldcat.org/oclc/1595760","WorldCat Record")</f>
        <v>WorldCat Record</v>
      </c>
      <c r="AX2217" s="3" t="s">
        <v>18813</v>
      </c>
      <c r="AY2217" s="3" t="s">
        <v>18814</v>
      </c>
      <c r="AZ2217" s="3" t="s">
        <v>18815</v>
      </c>
      <c r="BA2217" s="3" t="s">
        <v>18815</v>
      </c>
      <c r="BB2217" s="3" t="s">
        <v>18816</v>
      </c>
      <c r="BC2217" s="3" t="s">
        <v>524</v>
      </c>
      <c r="BD2217" s="3" t="s">
        <v>70</v>
      </c>
      <c r="BE2217" s="3" t="s">
        <v>18817</v>
      </c>
      <c r="BF2217" s="3" t="s">
        <v>18816</v>
      </c>
      <c r="BG2217" s="3" t="s">
        <v>18818</v>
      </c>
    </row>
    <row r="2218" spans="1:59" ht="60" x14ac:dyDescent="0.25">
      <c r="A2218" s="2" t="s">
        <v>59</v>
      </c>
      <c r="B2218" s="2" t="s">
        <v>60</v>
      </c>
      <c r="C2218" s="2" t="s">
        <v>18819</v>
      </c>
      <c r="D2218" s="2" t="s">
        <v>18820</v>
      </c>
      <c r="E2218" s="2" t="s">
        <v>18821</v>
      </c>
      <c r="G2218" s="3" t="s">
        <v>63</v>
      </c>
      <c r="I2218" s="3" t="s">
        <v>63</v>
      </c>
      <c r="J2218" s="3" t="s">
        <v>63</v>
      </c>
      <c r="K2218" s="3" t="s">
        <v>64</v>
      </c>
      <c r="M2218" s="2" t="s">
        <v>18822</v>
      </c>
      <c r="N2218" s="3" t="s">
        <v>234</v>
      </c>
      <c r="P2218" s="3" t="s">
        <v>66</v>
      </c>
      <c r="R2218" s="3" t="s">
        <v>67</v>
      </c>
      <c r="S2218" s="4">
        <v>4</v>
      </c>
      <c r="T2218" s="4">
        <v>4</v>
      </c>
      <c r="U2218" s="5" t="s">
        <v>17391</v>
      </c>
      <c r="V2218" s="5" t="s">
        <v>17391</v>
      </c>
      <c r="W2218" s="5" t="s">
        <v>69</v>
      </c>
      <c r="X2218" s="5" t="s">
        <v>69</v>
      </c>
      <c r="Y2218" s="4">
        <v>127</v>
      </c>
      <c r="Z2218" s="4">
        <v>11</v>
      </c>
      <c r="AA2218" s="4">
        <v>13</v>
      </c>
      <c r="AB2218" s="4">
        <v>1</v>
      </c>
      <c r="AC2218" s="4">
        <v>3</v>
      </c>
      <c r="AD2218" s="4">
        <v>58</v>
      </c>
      <c r="AE2218" s="4">
        <v>59</v>
      </c>
      <c r="AF2218" s="4">
        <v>0</v>
      </c>
      <c r="AG2218" s="4">
        <v>0</v>
      </c>
      <c r="AH2218" s="4">
        <v>53</v>
      </c>
      <c r="AI2218" s="4">
        <v>54</v>
      </c>
      <c r="AJ2218" s="4">
        <v>9</v>
      </c>
      <c r="AK2218" s="4">
        <v>9</v>
      </c>
      <c r="AL2218" s="4">
        <v>34</v>
      </c>
      <c r="AM2218" s="4">
        <v>35</v>
      </c>
      <c r="AN2218" s="4">
        <v>0</v>
      </c>
      <c r="AO2218" s="4">
        <v>0</v>
      </c>
      <c r="AP2218" s="4">
        <v>9</v>
      </c>
      <c r="AQ2218" s="4">
        <v>9</v>
      </c>
      <c r="AR2218" s="3" t="s">
        <v>63</v>
      </c>
      <c r="AS2218" s="3" t="s">
        <v>63</v>
      </c>
      <c r="AT2218" s="3" t="s">
        <v>63</v>
      </c>
      <c r="AV2218" s="6" t="str">
        <f>HYPERLINK("http://mcgill.on.worldcat.org/oclc/68786775","Catalog Record")</f>
        <v>Catalog Record</v>
      </c>
      <c r="AW2218" s="6" t="str">
        <f>HYPERLINK("http://www.worldcat.org/oclc/68786775","WorldCat Record")</f>
        <v>WorldCat Record</v>
      </c>
      <c r="AX2218" s="3" t="s">
        <v>18823</v>
      </c>
      <c r="AY2218" s="3" t="s">
        <v>18824</v>
      </c>
      <c r="AZ2218" s="3" t="s">
        <v>18825</v>
      </c>
      <c r="BA2218" s="3" t="s">
        <v>18825</v>
      </c>
      <c r="BB2218" s="3" t="s">
        <v>18826</v>
      </c>
      <c r="BC2218" s="3" t="s">
        <v>82</v>
      </c>
      <c r="BD2218" s="3" t="s">
        <v>538</v>
      </c>
      <c r="BE2218" s="3" t="s">
        <v>18827</v>
      </c>
      <c r="BF2218" s="3" t="s">
        <v>18826</v>
      </c>
      <c r="BG2218" s="3" t="s">
        <v>18828</v>
      </c>
    </row>
    <row r="2219" spans="1:59" ht="60" x14ac:dyDescent="0.25">
      <c r="A2219" s="2" t="s">
        <v>59</v>
      </c>
      <c r="B2219" s="2" t="s">
        <v>60</v>
      </c>
      <c r="C2219" s="2" t="s">
        <v>18919</v>
      </c>
      <c r="D2219" s="2" t="s">
        <v>18907</v>
      </c>
      <c r="E2219" s="2" t="s">
        <v>18908</v>
      </c>
      <c r="G2219" s="3" t="s">
        <v>63</v>
      </c>
      <c r="I2219" s="3" t="s">
        <v>62</v>
      </c>
      <c r="J2219" s="3" t="s">
        <v>63</v>
      </c>
      <c r="K2219" s="3" t="s">
        <v>64</v>
      </c>
      <c r="L2219" s="2" t="s">
        <v>18909</v>
      </c>
      <c r="M2219" s="2" t="s">
        <v>18910</v>
      </c>
      <c r="N2219" s="3" t="s">
        <v>143</v>
      </c>
      <c r="O2219" s="2" t="s">
        <v>18911</v>
      </c>
      <c r="P2219" s="3" t="s">
        <v>90</v>
      </c>
      <c r="Q2219" s="2" t="s">
        <v>18912</v>
      </c>
      <c r="R2219" s="3" t="s">
        <v>67</v>
      </c>
      <c r="S2219" s="4">
        <v>0</v>
      </c>
      <c r="T2219" s="4">
        <v>0</v>
      </c>
      <c r="W2219" s="5" t="s">
        <v>69</v>
      </c>
      <c r="X2219" s="5" t="s">
        <v>69</v>
      </c>
      <c r="Y2219" s="4">
        <v>2</v>
      </c>
      <c r="Z2219" s="4">
        <v>1</v>
      </c>
      <c r="AA2219" s="4">
        <v>3</v>
      </c>
      <c r="AB2219" s="4">
        <v>1</v>
      </c>
      <c r="AC2219" s="4">
        <v>1</v>
      </c>
      <c r="AD2219" s="4">
        <v>1</v>
      </c>
      <c r="AE2219" s="4">
        <v>5</v>
      </c>
      <c r="AF2219" s="4">
        <v>0</v>
      </c>
      <c r="AG2219" s="4">
        <v>0</v>
      </c>
      <c r="AH2219" s="4">
        <v>1</v>
      </c>
      <c r="AI2219" s="4">
        <v>5</v>
      </c>
      <c r="AJ2219" s="4">
        <v>0</v>
      </c>
      <c r="AK2219" s="4">
        <v>1</v>
      </c>
      <c r="AL2219" s="4">
        <v>1</v>
      </c>
      <c r="AM2219" s="4">
        <v>5</v>
      </c>
      <c r="AN2219" s="4">
        <v>0</v>
      </c>
      <c r="AO2219" s="4">
        <v>0</v>
      </c>
      <c r="AP2219" s="4">
        <v>0</v>
      </c>
      <c r="AQ2219" s="4">
        <v>1</v>
      </c>
      <c r="AR2219" s="3" t="s">
        <v>63</v>
      </c>
      <c r="AS2219" s="3" t="s">
        <v>63</v>
      </c>
      <c r="AT2219" s="3" t="s">
        <v>63</v>
      </c>
      <c r="AV2219" s="6" t="str">
        <f>HYPERLINK("http://mcgill.on.worldcat.org/oclc/898477131","Catalog Record")</f>
        <v>Catalog Record</v>
      </c>
      <c r="AW2219" s="6" t="str">
        <f>HYPERLINK("http://www.worldcat.org/oclc/898477131","WorldCat Record")</f>
        <v>WorldCat Record</v>
      </c>
      <c r="AX2219" s="3" t="s">
        <v>18913</v>
      </c>
      <c r="AY2219" s="3" t="s">
        <v>18914</v>
      </c>
      <c r="AZ2219" s="3" t="s">
        <v>18915</v>
      </c>
      <c r="BA2219" s="3" t="s">
        <v>18915</v>
      </c>
      <c r="BB2219" s="3" t="s">
        <v>18920</v>
      </c>
      <c r="BC2219" s="3" t="s">
        <v>82</v>
      </c>
      <c r="BD2219" s="3" t="s">
        <v>70</v>
      </c>
      <c r="BE2219" s="3" t="s">
        <v>18917</v>
      </c>
      <c r="BF2219" s="3" t="s">
        <v>18920</v>
      </c>
      <c r="BG2219" s="3" t="s">
        <v>18921</v>
      </c>
    </row>
    <row r="2220" spans="1:59" ht="60" x14ac:dyDescent="0.25">
      <c r="A2220" s="2" t="s">
        <v>59</v>
      </c>
      <c r="B2220" s="2" t="s">
        <v>60</v>
      </c>
      <c r="C2220" s="2" t="s">
        <v>18829</v>
      </c>
      <c r="D2220" s="2" t="s">
        <v>18830</v>
      </c>
      <c r="E2220" s="2" t="s">
        <v>18831</v>
      </c>
      <c r="G2220" s="3" t="s">
        <v>63</v>
      </c>
      <c r="I2220" s="3" t="s">
        <v>62</v>
      </c>
      <c r="J2220" s="3" t="s">
        <v>63</v>
      </c>
      <c r="K2220" s="3" t="s">
        <v>64</v>
      </c>
      <c r="M2220" s="2" t="s">
        <v>5326</v>
      </c>
      <c r="N2220" s="3" t="s">
        <v>2103</v>
      </c>
      <c r="O2220" s="2" t="s">
        <v>590</v>
      </c>
      <c r="P2220" s="3" t="s">
        <v>66</v>
      </c>
      <c r="Q2220" s="2" t="s">
        <v>8323</v>
      </c>
      <c r="R2220" s="3" t="s">
        <v>67</v>
      </c>
      <c r="S2220" s="4">
        <v>5</v>
      </c>
      <c r="T2220" s="4">
        <v>6</v>
      </c>
      <c r="U2220" s="5" t="s">
        <v>16276</v>
      </c>
      <c r="V2220" s="5" t="s">
        <v>16276</v>
      </c>
      <c r="W2220" s="5" t="s">
        <v>69</v>
      </c>
      <c r="X2220" s="5" t="s">
        <v>69</v>
      </c>
      <c r="Y2220" s="4">
        <v>692</v>
      </c>
      <c r="Z2220" s="4">
        <v>32</v>
      </c>
      <c r="AA2220" s="4">
        <v>44</v>
      </c>
      <c r="AB2220" s="4">
        <v>1</v>
      </c>
      <c r="AC2220" s="4">
        <v>6</v>
      </c>
      <c r="AD2220" s="4">
        <v>111</v>
      </c>
      <c r="AE2220" s="4">
        <v>124</v>
      </c>
      <c r="AF2220" s="4">
        <v>0</v>
      </c>
      <c r="AG2220" s="4">
        <v>4</v>
      </c>
      <c r="AH2220" s="4">
        <v>99</v>
      </c>
      <c r="AI2220" s="4">
        <v>107</v>
      </c>
      <c r="AJ2220" s="4">
        <v>14</v>
      </c>
      <c r="AK2220" s="4">
        <v>20</v>
      </c>
      <c r="AL2220" s="4">
        <v>55</v>
      </c>
      <c r="AM2220" s="4">
        <v>59</v>
      </c>
      <c r="AN2220" s="4">
        <v>0</v>
      </c>
      <c r="AO2220" s="4">
        <v>0</v>
      </c>
      <c r="AP2220" s="4">
        <v>19</v>
      </c>
      <c r="AQ2220" s="4">
        <v>25</v>
      </c>
      <c r="AR2220" s="3" t="s">
        <v>63</v>
      </c>
      <c r="AS2220" s="3" t="s">
        <v>63</v>
      </c>
      <c r="AT2220" s="3" t="s">
        <v>63</v>
      </c>
      <c r="AV2220" s="6" t="str">
        <f>HYPERLINK("http://mcgill.on.worldcat.org/oclc/49942290","Catalog Record")</f>
        <v>Catalog Record</v>
      </c>
      <c r="AW2220" s="6" t="str">
        <f>HYPERLINK("http://www.worldcat.org/oclc/49942290","WorldCat Record")</f>
        <v>WorldCat Record</v>
      </c>
      <c r="AX2220" s="3" t="s">
        <v>18832</v>
      </c>
      <c r="AY2220" s="3" t="s">
        <v>18833</v>
      </c>
      <c r="AZ2220" s="3" t="s">
        <v>18834</v>
      </c>
      <c r="BA2220" s="3" t="s">
        <v>18834</v>
      </c>
      <c r="BB2220" s="3" t="s">
        <v>18835</v>
      </c>
      <c r="BC2220" s="3" t="s">
        <v>82</v>
      </c>
      <c r="BD2220" s="3" t="s">
        <v>70</v>
      </c>
      <c r="BE2220" s="3" t="s">
        <v>18836</v>
      </c>
      <c r="BF2220" s="3" t="s">
        <v>18835</v>
      </c>
      <c r="BG2220" s="3" t="s">
        <v>18837</v>
      </c>
    </row>
    <row r="2221" spans="1:59" ht="60" x14ac:dyDescent="0.25">
      <c r="A2221" s="2" t="s">
        <v>59</v>
      </c>
      <c r="B2221" s="2" t="s">
        <v>60</v>
      </c>
      <c r="C2221" s="2" t="s">
        <v>18829</v>
      </c>
      <c r="D2221" s="2" t="s">
        <v>18830</v>
      </c>
      <c r="E2221" s="2" t="s">
        <v>18831</v>
      </c>
      <c r="G2221" s="3" t="s">
        <v>63</v>
      </c>
      <c r="I2221" s="3" t="s">
        <v>62</v>
      </c>
      <c r="J2221" s="3" t="s">
        <v>63</v>
      </c>
      <c r="K2221" s="3" t="s">
        <v>64</v>
      </c>
      <c r="M2221" s="2" t="s">
        <v>5326</v>
      </c>
      <c r="N2221" s="3" t="s">
        <v>2103</v>
      </c>
      <c r="O2221" s="2" t="s">
        <v>590</v>
      </c>
      <c r="P2221" s="3" t="s">
        <v>66</v>
      </c>
      <c r="Q2221" s="2" t="s">
        <v>8323</v>
      </c>
      <c r="R2221" s="3" t="s">
        <v>67</v>
      </c>
      <c r="S2221" s="4">
        <v>1</v>
      </c>
      <c r="T2221" s="4">
        <v>6</v>
      </c>
      <c r="U2221" s="5" t="s">
        <v>18569</v>
      </c>
      <c r="V2221" s="5" t="s">
        <v>16276</v>
      </c>
      <c r="W2221" s="5" t="s">
        <v>69</v>
      </c>
      <c r="X2221" s="5" t="s">
        <v>69</v>
      </c>
      <c r="Y2221" s="4">
        <v>692</v>
      </c>
      <c r="Z2221" s="4">
        <v>32</v>
      </c>
      <c r="AA2221" s="4">
        <v>44</v>
      </c>
      <c r="AB2221" s="4">
        <v>1</v>
      </c>
      <c r="AC2221" s="4">
        <v>6</v>
      </c>
      <c r="AD2221" s="4">
        <v>111</v>
      </c>
      <c r="AE2221" s="4">
        <v>124</v>
      </c>
      <c r="AF2221" s="4">
        <v>0</v>
      </c>
      <c r="AG2221" s="4">
        <v>4</v>
      </c>
      <c r="AH2221" s="4">
        <v>99</v>
      </c>
      <c r="AI2221" s="4">
        <v>107</v>
      </c>
      <c r="AJ2221" s="4">
        <v>14</v>
      </c>
      <c r="AK2221" s="4">
        <v>20</v>
      </c>
      <c r="AL2221" s="4">
        <v>55</v>
      </c>
      <c r="AM2221" s="4">
        <v>59</v>
      </c>
      <c r="AN2221" s="4">
        <v>0</v>
      </c>
      <c r="AO2221" s="4">
        <v>0</v>
      </c>
      <c r="AP2221" s="4">
        <v>19</v>
      </c>
      <c r="AQ2221" s="4">
        <v>25</v>
      </c>
      <c r="AR2221" s="3" t="s">
        <v>63</v>
      </c>
      <c r="AS2221" s="3" t="s">
        <v>63</v>
      </c>
      <c r="AT2221" s="3" t="s">
        <v>63</v>
      </c>
      <c r="AV2221" s="6" t="str">
        <f>HYPERLINK("http://mcgill.on.worldcat.org/oclc/49942290","Catalog Record")</f>
        <v>Catalog Record</v>
      </c>
      <c r="AW2221" s="6" t="str">
        <f>HYPERLINK("http://www.worldcat.org/oclc/49942290","WorldCat Record")</f>
        <v>WorldCat Record</v>
      </c>
      <c r="AX2221" s="3" t="s">
        <v>18832</v>
      </c>
      <c r="AY2221" s="3" t="s">
        <v>18833</v>
      </c>
      <c r="AZ2221" s="3" t="s">
        <v>18834</v>
      </c>
      <c r="BA2221" s="3" t="s">
        <v>18834</v>
      </c>
      <c r="BB2221" s="3" t="s">
        <v>18838</v>
      </c>
      <c r="BC2221" s="3" t="s">
        <v>82</v>
      </c>
      <c r="BD2221" s="3" t="s">
        <v>70</v>
      </c>
      <c r="BE2221" s="3" t="s">
        <v>18836</v>
      </c>
      <c r="BF2221" s="3" t="s">
        <v>18838</v>
      </c>
      <c r="BG2221" s="3" t="s">
        <v>18839</v>
      </c>
    </row>
    <row r="2222" spans="1:59" ht="60" x14ac:dyDescent="0.25">
      <c r="A2222" s="2" t="s">
        <v>59</v>
      </c>
      <c r="B2222" s="2" t="s">
        <v>60</v>
      </c>
      <c r="C2222" s="2" t="s">
        <v>18840</v>
      </c>
      <c r="D2222" s="2" t="s">
        <v>18841</v>
      </c>
      <c r="E2222" s="2" t="s">
        <v>18842</v>
      </c>
      <c r="G2222" s="3" t="s">
        <v>63</v>
      </c>
      <c r="I2222" s="3" t="s">
        <v>62</v>
      </c>
      <c r="J2222" s="3" t="s">
        <v>63</v>
      </c>
      <c r="K2222" s="3" t="s">
        <v>64</v>
      </c>
      <c r="L2222" s="2" t="s">
        <v>17279</v>
      </c>
      <c r="M2222" s="2" t="s">
        <v>3055</v>
      </c>
      <c r="N2222" s="3" t="s">
        <v>1296</v>
      </c>
      <c r="P2222" s="3" t="s">
        <v>66</v>
      </c>
      <c r="Q2222" s="2" t="s">
        <v>16319</v>
      </c>
      <c r="R2222" s="3" t="s">
        <v>67</v>
      </c>
      <c r="S2222" s="4">
        <v>40</v>
      </c>
      <c r="T2222" s="4">
        <v>69</v>
      </c>
      <c r="U2222" s="5" t="s">
        <v>3466</v>
      </c>
      <c r="V2222" s="5" t="s">
        <v>3466</v>
      </c>
      <c r="W2222" s="5" t="s">
        <v>69</v>
      </c>
      <c r="X2222" s="5" t="s">
        <v>69</v>
      </c>
      <c r="Y2222" s="4">
        <v>1230</v>
      </c>
      <c r="Z2222" s="4">
        <v>59</v>
      </c>
      <c r="AA2222" s="4">
        <v>60</v>
      </c>
      <c r="AB2222" s="4">
        <v>4</v>
      </c>
      <c r="AC2222" s="4">
        <v>4</v>
      </c>
      <c r="AD2222" s="4">
        <v>136</v>
      </c>
      <c r="AE2222" s="4">
        <v>137</v>
      </c>
      <c r="AF2222" s="4">
        <v>2</v>
      </c>
      <c r="AG2222" s="4">
        <v>2</v>
      </c>
      <c r="AH2222" s="4">
        <v>103</v>
      </c>
      <c r="AI2222" s="4">
        <v>104</v>
      </c>
      <c r="AJ2222" s="4">
        <v>22</v>
      </c>
      <c r="AK2222" s="4">
        <v>23</v>
      </c>
      <c r="AL2222" s="4">
        <v>57</v>
      </c>
      <c r="AM2222" s="4">
        <v>57</v>
      </c>
      <c r="AN2222" s="4">
        <v>0</v>
      </c>
      <c r="AO2222" s="4">
        <v>0</v>
      </c>
      <c r="AP2222" s="4">
        <v>39</v>
      </c>
      <c r="AQ2222" s="4">
        <v>40</v>
      </c>
      <c r="AR2222" s="3" t="s">
        <v>63</v>
      </c>
      <c r="AS2222" s="3" t="s">
        <v>63</v>
      </c>
      <c r="AT2222" s="3" t="s">
        <v>63</v>
      </c>
      <c r="AV2222" s="6" t="str">
        <f>HYPERLINK("http://mcgill.on.worldcat.org/oclc/61980","Catalog Record")</f>
        <v>Catalog Record</v>
      </c>
      <c r="AW2222" s="6" t="str">
        <f>HYPERLINK("http://www.worldcat.org/oclc/61980","WorldCat Record")</f>
        <v>WorldCat Record</v>
      </c>
      <c r="AX2222" s="3" t="s">
        <v>18843</v>
      </c>
      <c r="AY2222" s="3" t="s">
        <v>18844</v>
      </c>
      <c r="AZ2222" s="3" t="s">
        <v>18845</v>
      </c>
      <c r="BA2222" s="3" t="s">
        <v>18845</v>
      </c>
      <c r="BB2222" s="3" t="s">
        <v>18846</v>
      </c>
      <c r="BC2222" s="3" t="s">
        <v>82</v>
      </c>
      <c r="BD2222" s="3" t="s">
        <v>70</v>
      </c>
      <c r="BE2222" s="3" t="s">
        <v>18847</v>
      </c>
      <c r="BF2222" s="3" t="s">
        <v>18846</v>
      </c>
      <c r="BG2222" s="3" t="s">
        <v>18848</v>
      </c>
    </row>
    <row r="2223" spans="1:59" ht="60" x14ac:dyDescent="0.25">
      <c r="A2223" s="2" t="s">
        <v>59</v>
      </c>
      <c r="B2223" s="2" t="s">
        <v>60</v>
      </c>
      <c r="C2223" s="2" t="s">
        <v>18840</v>
      </c>
      <c r="D2223" s="2" t="s">
        <v>18841</v>
      </c>
      <c r="E2223" s="2" t="s">
        <v>18842</v>
      </c>
      <c r="G2223" s="3" t="s">
        <v>63</v>
      </c>
      <c r="I2223" s="3" t="s">
        <v>62</v>
      </c>
      <c r="J2223" s="3" t="s">
        <v>63</v>
      </c>
      <c r="K2223" s="3" t="s">
        <v>64</v>
      </c>
      <c r="L2223" s="2" t="s">
        <v>17279</v>
      </c>
      <c r="M2223" s="2" t="s">
        <v>3055</v>
      </c>
      <c r="N2223" s="3" t="s">
        <v>1296</v>
      </c>
      <c r="P2223" s="3" t="s">
        <v>66</v>
      </c>
      <c r="Q2223" s="2" t="s">
        <v>16319</v>
      </c>
      <c r="R2223" s="3" t="s">
        <v>67</v>
      </c>
      <c r="S2223" s="4">
        <v>29</v>
      </c>
      <c r="T2223" s="4">
        <v>69</v>
      </c>
      <c r="U2223" s="5" t="s">
        <v>18849</v>
      </c>
      <c r="V2223" s="5" t="s">
        <v>3466</v>
      </c>
      <c r="W2223" s="5" t="s">
        <v>69</v>
      </c>
      <c r="X2223" s="5" t="s">
        <v>69</v>
      </c>
      <c r="Y2223" s="4">
        <v>1230</v>
      </c>
      <c r="Z2223" s="4">
        <v>59</v>
      </c>
      <c r="AA2223" s="4">
        <v>60</v>
      </c>
      <c r="AB2223" s="4">
        <v>4</v>
      </c>
      <c r="AC2223" s="4">
        <v>4</v>
      </c>
      <c r="AD2223" s="4">
        <v>136</v>
      </c>
      <c r="AE2223" s="4">
        <v>137</v>
      </c>
      <c r="AF2223" s="4">
        <v>2</v>
      </c>
      <c r="AG2223" s="4">
        <v>2</v>
      </c>
      <c r="AH2223" s="4">
        <v>103</v>
      </c>
      <c r="AI2223" s="4">
        <v>104</v>
      </c>
      <c r="AJ2223" s="4">
        <v>22</v>
      </c>
      <c r="AK2223" s="4">
        <v>23</v>
      </c>
      <c r="AL2223" s="4">
        <v>57</v>
      </c>
      <c r="AM2223" s="4">
        <v>57</v>
      </c>
      <c r="AN2223" s="4">
        <v>0</v>
      </c>
      <c r="AO2223" s="4">
        <v>0</v>
      </c>
      <c r="AP2223" s="4">
        <v>39</v>
      </c>
      <c r="AQ2223" s="4">
        <v>40</v>
      </c>
      <c r="AR2223" s="3" t="s">
        <v>63</v>
      </c>
      <c r="AS2223" s="3" t="s">
        <v>63</v>
      </c>
      <c r="AT2223" s="3" t="s">
        <v>63</v>
      </c>
      <c r="AV2223" s="6" t="str">
        <f>HYPERLINK("http://mcgill.on.worldcat.org/oclc/61980","Catalog Record")</f>
        <v>Catalog Record</v>
      </c>
      <c r="AW2223" s="6" t="str">
        <f>HYPERLINK("http://www.worldcat.org/oclc/61980","WorldCat Record")</f>
        <v>WorldCat Record</v>
      </c>
      <c r="AX2223" s="3" t="s">
        <v>18843</v>
      </c>
      <c r="AY2223" s="3" t="s">
        <v>18844</v>
      </c>
      <c r="AZ2223" s="3" t="s">
        <v>18845</v>
      </c>
      <c r="BA2223" s="3" t="s">
        <v>18845</v>
      </c>
      <c r="BB2223" s="3" t="s">
        <v>18850</v>
      </c>
      <c r="BC2223" s="3" t="s">
        <v>82</v>
      </c>
      <c r="BD2223" s="3" t="s">
        <v>70</v>
      </c>
      <c r="BE2223" s="3" t="s">
        <v>18847</v>
      </c>
      <c r="BF2223" s="3" t="s">
        <v>18850</v>
      </c>
      <c r="BG2223" s="3" t="s">
        <v>18851</v>
      </c>
    </row>
    <row r="2224" spans="1:59" ht="60" x14ac:dyDescent="0.25">
      <c r="A2224" s="2" t="s">
        <v>59</v>
      </c>
      <c r="B2224" s="2" t="s">
        <v>60</v>
      </c>
      <c r="C2224" s="2" t="s">
        <v>18852</v>
      </c>
      <c r="D2224" s="2" t="s">
        <v>18853</v>
      </c>
      <c r="E2224" s="2" t="s">
        <v>18854</v>
      </c>
      <c r="G2224" s="3" t="s">
        <v>63</v>
      </c>
      <c r="I2224" s="3" t="s">
        <v>63</v>
      </c>
      <c r="J2224" s="3" t="s">
        <v>63</v>
      </c>
      <c r="K2224" s="3" t="s">
        <v>64</v>
      </c>
      <c r="L2224" s="2" t="s">
        <v>5720</v>
      </c>
      <c r="M2224" s="2" t="s">
        <v>18855</v>
      </c>
      <c r="N2224" s="3" t="s">
        <v>939</v>
      </c>
      <c r="P2224" s="3" t="s">
        <v>90</v>
      </c>
      <c r="Q2224" s="2" t="s">
        <v>18856</v>
      </c>
      <c r="R2224" s="3" t="s">
        <v>67</v>
      </c>
      <c r="S2224" s="4">
        <v>8</v>
      </c>
      <c r="T2224" s="4">
        <v>8</v>
      </c>
      <c r="U2224" s="5" t="s">
        <v>18857</v>
      </c>
      <c r="V2224" s="5" t="s">
        <v>18857</v>
      </c>
      <c r="W2224" s="5" t="s">
        <v>69</v>
      </c>
      <c r="X2224" s="5" t="s">
        <v>69</v>
      </c>
      <c r="Y2224" s="4">
        <v>23</v>
      </c>
      <c r="Z2224" s="4">
        <v>7</v>
      </c>
      <c r="AA2224" s="4">
        <v>20</v>
      </c>
      <c r="AB2224" s="4">
        <v>1</v>
      </c>
      <c r="AC2224" s="4">
        <v>2</v>
      </c>
      <c r="AD2224" s="4">
        <v>7</v>
      </c>
      <c r="AE2224" s="4">
        <v>86</v>
      </c>
      <c r="AF2224" s="4">
        <v>0</v>
      </c>
      <c r="AG2224" s="4">
        <v>1</v>
      </c>
      <c r="AH2224" s="4">
        <v>5</v>
      </c>
      <c r="AI2224" s="4">
        <v>76</v>
      </c>
      <c r="AJ2224" s="4">
        <v>5</v>
      </c>
      <c r="AK2224" s="4">
        <v>16</v>
      </c>
      <c r="AL2224" s="4">
        <v>1</v>
      </c>
      <c r="AM2224" s="4">
        <v>48</v>
      </c>
      <c r="AN2224" s="4">
        <v>0</v>
      </c>
      <c r="AO2224" s="4">
        <v>1</v>
      </c>
      <c r="AP2224" s="4">
        <v>5</v>
      </c>
      <c r="AQ2224" s="4">
        <v>15</v>
      </c>
      <c r="AR2224" s="3" t="s">
        <v>63</v>
      </c>
      <c r="AS2224" s="3" t="s">
        <v>63</v>
      </c>
      <c r="AT2224" s="3" t="s">
        <v>62</v>
      </c>
      <c r="AU2224" s="6" t="str">
        <f>HYPERLINK("http://catalog.hathitrust.org/Record/006232950","HathiTrust Record")</f>
        <v>HathiTrust Record</v>
      </c>
      <c r="AV2224" s="6" t="str">
        <f>HYPERLINK("http://mcgill.on.worldcat.org/oclc/153315303","Catalog Record")</f>
        <v>Catalog Record</v>
      </c>
      <c r="AW2224" s="6" t="str">
        <f>HYPERLINK("http://www.worldcat.org/oclc/153315303","WorldCat Record")</f>
        <v>WorldCat Record</v>
      </c>
      <c r="AX2224" s="3" t="s">
        <v>18858</v>
      </c>
      <c r="AY2224" s="3" t="s">
        <v>18859</v>
      </c>
      <c r="AZ2224" s="3" t="s">
        <v>18860</v>
      </c>
      <c r="BA2224" s="3" t="s">
        <v>18860</v>
      </c>
      <c r="BB2224" s="3" t="s">
        <v>18861</v>
      </c>
      <c r="BC2224" s="3" t="s">
        <v>82</v>
      </c>
      <c r="BD2224" s="3" t="s">
        <v>70</v>
      </c>
      <c r="BF2224" s="3" t="s">
        <v>18861</v>
      </c>
      <c r="BG2224" s="3" t="s">
        <v>18862</v>
      </c>
    </row>
    <row r="2225" spans="1:59" ht="60" x14ac:dyDescent="0.25">
      <c r="A2225" s="2" t="s">
        <v>59</v>
      </c>
      <c r="B2225" s="2" t="s">
        <v>60</v>
      </c>
      <c r="C2225" s="2" t="s">
        <v>18863</v>
      </c>
      <c r="D2225" s="2" t="s">
        <v>18864</v>
      </c>
      <c r="E2225" s="2" t="s">
        <v>18865</v>
      </c>
      <c r="G2225" s="3" t="s">
        <v>63</v>
      </c>
      <c r="I2225" s="3" t="s">
        <v>63</v>
      </c>
      <c r="J2225" s="3" t="s">
        <v>63</v>
      </c>
      <c r="K2225" s="3" t="s">
        <v>64</v>
      </c>
      <c r="L2225" s="2" t="s">
        <v>18866</v>
      </c>
      <c r="M2225" s="2" t="s">
        <v>10946</v>
      </c>
      <c r="N2225" s="3" t="s">
        <v>130</v>
      </c>
      <c r="P2225" s="3" t="s">
        <v>66</v>
      </c>
      <c r="R2225" s="3" t="s">
        <v>67</v>
      </c>
      <c r="S2225" s="4">
        <v>3</v>
      </c>
      <c r="T2225" s="4">
        <v>3</v>
      </c>
      <c r="U2225" s="5" t="s">
        <v>746</v>
      </c>
      <c r="V2225" s="5" t="s">
        <v>746</v>
      </c>
      <c r="W2225" s="5" t="s">
        <v>69</v>
      </c>
      <c r="X2225" s="5" t="s">
        <v>69</v>
      </c>
      <c r="Y2225" s="4">
        <v>254</v>
      </c>
      <c r="Z2225" s="4">
        <v>22</v>
      </c>
      <c r="AA2225" s="4">
        <v>85</v>
      </c>
      <c r="AB2225" s="4">
        <v>1</v>
      </c>
      <c r="AC2225" s="4">
        <v>15</v>
      </c>
      <c r="AD2225" s="4">
        <v>72</v>
      </c>
      <c r="AE2225" s="4">
        <v>118</v>
      </c>
      <c r="AF2225" s="4">
        <v>0</v>
      </c>
      <c r="AG2225" s="4">
        <v>8</v>
      </c>
      <c r="AH2225" s="4">
        <v>65</v>
      </c>
      <c r="AI2225" s="4">
        <v>85</v>
      </c>
      <c r="AJ2225" s="4">
        <v>13</v>
      </c>
      <c r="AK2225" s="4">
        <v>23</v>
      </c>
      <c r="AL2225" s="4">
        <v>42</v>
      </c>
      <c r="AM2225" s="4">
        <v>49</v>
      </c>
      <c r="AN2225" s="4">
        <v>0</v>
      </c>
      <c r="AO2225" s="4">
        <v>0</v>
      </c>
      <c r="AP2225" s="4">
        <v>16</v>
      </c>
      <c r="AQ2225" s="4">
        <v>43</v>
      </c>
      <c r="AR2225" s="3" t="s">
        <v>63</v>
      </c>
      <c r="AS2225" s="3" t="s">
        <v>63</v>
      </c>
      <c r="AT2225" s="3" t="s">
        <v>63</v>
      </c>
      <c r="AV2225" s="6" t="str">
        <f>HYPERLINK("http://mcgill.on.worldcat.org/oclc/826458590","Catalog Record")</f>
        <v>Catalog Record</v>
      </c>
      <c r="AW2225" s="6" t="str">
        <f>HYPERLINK("http://www.worldcat.org/oclc/826458590","WorldCat Record")</f>
        <v>WorldCat Record</v>
      </c>
      <c r="AX2225" s="3" t="s">
        <v>18867</v>
      </c>
      <c r="AY2225" s="3" t="s">
        <v>18868</v>
      </c>
      <c r="AZ2225" s="3" t="s">
        <v>18869</v>
      </c>
      <c r="BA2225" s="3" t="s">
        <v>18869</v>
      </c>
      <c r="BB2225" s="3" t="s">
        <v>18870</v>
      </c>
      <c r="BC2225" s="3" t="s">
        <v>82</v>
      </c>
      <c r="BD2225" s="3" t="s">
        <v>70</v>
      </c>
      <c r="BE2225" s="3" t="s">
        <v>18871</v>
      </c>
      <c r="BF2225" s="3" t="s">
        <v>18870</v>
      </c>
      <c r="BG2225" s="3" t="s">
        <v>18872</v>
      </c>
    </row>
    <row r="2226" spans="1:59" ht="60" x14ac:dyDescent="0.25">
      <c r="A2226" s="2" t="s">
        <v>59</v>
      </c>
      <c r="B2226" s="2" t="s">
        <v>60</v>
      </c>
      <c r="C2226" s="2" t="s">
        <v>18873</v>
      </c>
      <c r="D2226" s="2" t="s">
        <v>18874</v>
      </c>
      <c r="E2226" s="2" t="s">
        <v>18875</v>
      </c>
      <c r="G2226" s="3" t="s">
        <v>63</v>
      </c>
      <c r="I2226" s="3" t="s">
        <v>63</v>
      </c>
      <c r="J2226" s="3" t="s">
        <v>63</v>
      </c>
      <c r="K2226" s="3" t="s">
        <v>64</v>
      </c>
      <c r="L2226" s="2" t="s">
        <v>18876</v>
      </c>
      <c r="M2226" s="2" t="s">
        <v>18877</v>
      </c>
      <c r="N2226" s="3" t="s">
        <v>826</v>
      </c>
      <c r="P2226" s="3" t="s">
        <v>66</v>
      </c>
      <c r="Q2226" s="2" t="s">
        <v>18878</v>
      </c>
      <c r="R2226" s="3" t="s">
        <v>67</v>
      </c>
      <c r="S2226" s="4">
        <v>28</v>
      </c>
      <c r="T2226" s="4">
        <v>28</v>
      </c>
      <c r="U2226" s="5" t="s">
        <v>16276</v>
      </c>
      <c r="V2226" s="5" t="s">
        <v>16276</v>
      </c>
      <c r="W2226" s="5" t="s">
        <v>69</v>
      </c>
      <c r="X2226" s="5" t="s">
        <v>69</v>
      </c>
      <c r="Y2226" s="4">
        <v>197</v>
      </c>
      <c r="Z2226" s="4">
        <v>26</v>
      </c>
      <c r="AA2226" s="4">
        <v>27</v>
      </c>
      <c r="AB2226" s="4">
        <v>2</v>
      </c>
      <c r="AC2226" s="4">
        <v>2</v>
      </c>
      <c r="AD2226" s="4">
        <v>55</v>
      </c>
      <c r="AE2226" s="4">
        <v>56</v>
      </c>
      <c r="AF2226" s="4">
        <v>1</v>
      </c>
      <c r="AG2226" s="4">
        <v>1</v>
      </c>
      <c r="AH2226" s="4">
        <v>43</v>
      </c>
      <c r="AI2226" s="4">
        <v>43</v>
      </c>
      <c r="AJ2226" s="4">
        <v>15</v>
      </c>
      <c r="AK2226" s="4">
        <v>15</v>
      </c>
      <c r="AL2226" s="4">
        <v>27</v>
      </c>
      <c r="AM2226" s="4">
        <v>27</v>
      </c>
      <c r="AN2226" s="4">
        <v>0</v>
      </c>
      <c r="AO2226" s="4">
        <v>0</v>
      </c>
      <c r="AP2226" s="4">
        <v>17</v>
      </c>
      <c r="AQ2226" s="4">
        <v>18</v>
      </c>
      <c r="AR2226" s="3" t="s">
        <v>63</v>
      </c>
      <c r="AS2226" s="3" t="s">
        <v>63</v>
      </c>
      <c r="AT2226" s="3" t="s">
        <v>62</v>
      </c>
      <c r="AU2226" s="6" t="str">
        <f>HYPERLINK("http://catalog.hathitrust.org/Record/002913291","HathiTrust Record")</f>
        <v>HathiTrust Record</v>
      </c>
      <c r="AV2226" s="6" t="str">
        <f>HYPERLINK("http://mcgill.on.worldcat.org/oclc/602268","Catalog Record")</f>
        <v>Catalog Record</v>
      </c>
      <c r="AW2226" s="6" t="str">
        <f>HYPERLINK("http://www.worldcat.org/oclc/602268","WorldCat Record")</f>
        <v>WorldCat Record</v>
      </c>
      <c r="AX2226" s="3" t="s">
        <v>18879</v>
      </c>
      <c r="AY2226" s="3" t="s">
        <v>18880</v>
      </c>
      <c r="AZ2226" s="3" t="s">
        <v>18881</v>
      </c>
      <c r="BA2226" s="3" t="s">
        <v>18881</v>
      </c>
      <c r="BB2226" s="3" t="s">
        <v>18882</v>
      </c>
      <c r="BC2226" s="3" t="s">
        <v>82</v>
      </c>
      <c r="BD2226" s="3" t="s">
        <v>70</v>
      </c>
      <c r="BE2226" s="3" t="s">
        <v>18883</v>
      </c>
      <c r="BF2226" s="3" t="s">
        <v>18882</v>
      </c>
      <c r="BG2226" s="3" t="s">
        <v>18884</v>
      </c>
    </row>
    <row r="2227" spans="1:59" ht="60" x14ac:dyDescent="0.25">
      <c r="A2227" s="2" t="s">
        <v>59</v>
      </c>
      <c r="B2227" s="2" t="s">
        <v>60</v>
      </c>
      <c r="C2227" s="2" t="s">
        <v>18885</v>
      </c>
      <c r="D2227" s="2" t="s">
        <v>18886</v>
      </c>
      <c r="E2227" s="2" t="s">
        <v>18887</v>
      </c>
      <c r="G2227" s="3" t="s">
        <v>63</v>
      </c>
      <c r="I2227" s="3" t="s">
        <v>63</v>
      </c>
      <c r="J2227" s="3" t="s">
        <v>63</v>
      </c>
      <c r="K2227" s="3" t="s">
        <v>64</v>
      </c>
      <c r="L2227" s="2" t="s">
        <v>18888</v>
      </c>
      <c r="M2227" s="2" t="s">
        <v>18889</v>
      </c>
      <c r="N2227" s="3" t="s">
        <v>161</v>
      </c>
      <c r="P2227" s="3" t="s">
        <v>66</v>
      </c>
      <c r="Q2227" s="2" t="s">
        <v>7789</v>
      </c>
      <c r="R2227" s="3" t="s">
        <v>67</v>
      </c>
      <c r="S2227" s="4">
        <v>9</v>
      </c>
      <c r="T2227" s="4">
        <v>9</v>
      </c>
      <c r="U2227" s="5" t="s">
        <v>155</v>
      </c>
      <c r="V2227" s="5" t="s">
        <v>155</v>
      </c>
      <c r="W2227" s="5" t="s">
        <v>69</v>
      </c>
      <c r="X2227" s="5" t="s">
        <v>69</v>
      </c>
      <c r="Y2227" s="4">
        <v>126</v>
      </c>
      <c r="Z2227" s="4">
        <v>11</v>
      </c>
      <c r="AA2227" s="4">
        <v>11</v>
      </c>
      <c r="AB2227" s="4">
        <v>1</v>
      </c>
      <c r="AC2227" s="4">
        <v>1</v>
      </c>
      <c r="AD2227" s="4">
        <v>71</v>
      </c>
      <c r="AE2227" s="4">
        <v>71</v>
      </c>
      <c r="AF2227" s="4">
        <v>0</v>
      </c>
      <c r="AG2227" s="4">
        <v>0</v>
      </c>
      <c r="AH2227" s="4">
        <v>68</v>
      </c>
      <c r="AI2227" s="4">
        <v>68</v>
      </c>
      <c r="AJ2227" s="4">
        <v>9</v>
      </c>
      <c r="AK2227" s="4">
        <v>9</v>
      </c>
      <c r="AL2227" s="4">
        <v>44</v>
      </c>
      <c r="AM2227" s="4">
        <v>44</v>
      </c>
      <c r="AN2227" s="4">
        <v>0</v>
      </c>
      <c r="AO2227" s="4">
        <v>0</v>
      </c>
      <c r="AP2227" s="4">
        <v>9</v>
      </c>
      <c r="AQ2227" s="4">
        <v>9</v>
      </c>
      <c r="AR2227" s="3" t="s">
        <v>63</v>
      </c>
      <c r="AS2227" s="3" t="s">
        <v>63</v>
      </c>
      <c r="AT2227" s="3" t="s">
        <v>62</v>
      </c>
      <c r="AU2227" s="6" t="str">
        <f>HYPERLINK("http://catalog.hathitrust.org/Record/001826479","HathiTrust Record")</f>
        <v>HathiTrust Record</v>
      </c>
      <c r="AV2227" s="6" t="str">
        <f>HYPERLINK("http://mcgill.on.worldcat.org/oclc/21357540","Catalog Record")</f>
        <v>Catalog Record</v>
      </c>
      <c r="AW2227" s="6" t="str">
        <f>HYPERLINK("http://www.worldcat.org/oclc/21357540","WorldCat Record")</f>
        <v>WorldCat Record</v>
      </c>
      <c r="AX2227" s="3" t="s">
        <v>18890</v>
      </c>
      <c r="AY2227" s="3" t="s">
        <v>18891</v>
      </c>
      <c r="AZ2227" s="3" t="s">
        <v>18892</v>
      </c>
      <c r="BA2227" s="3" t="s">
        <v>18892</v>
      </c>
      <c r="BB2227" s="3" t="s">
        <v>18893</v>
      </c>
      <c r="BC2227" s="3" t="s">
        <v>82</v>
      </c>
      <c r="BD2227" s="3" t="s">
        <v>70</v>
      </c>
      <c r="BE2227" s="3" t="s">
        <v>18894</v>
      </c>
      <c r="BF2227" s="3" t="s">
        <v>18893</v>
      </c>
      <c r="BG2227" s="3" t="s">
        <v>18895</v>
      </c>
    </row>
    <row r="2228" spans="1:59" ht="60" x14ac:dyDescent="0.25">
      <c r="A2228" s="2" t="s">
        <v>59</v>
      </c>
      <c r="B2228" s="2" t="s">
        <v>60</v>
      </c>
      <c r="C2228" s="2" t="s">
        <v>18896</v>
      </c>
      <c r="D2228" s="2" t="s">
        <v>18897</v>
      </c>
      <c r="E2228" s="2" t="s">
        <v>18898</v>
      </c>
      <c r="G2228" s="3" t="s">
        <v>63</v>
      </c>
      <c r="I2228" s="3" t="s">
        <v>63</v>
      </c>
      <c r="J2228" s="3" t="s">
        <v>63</v>
      </c>
      <c r="K2228" s="3" t="s">
        <v>64</v>
      </c>
      <c r="L2228" s="2" t="s">
        <v>17345</v>
      </c>
      <c r="M2228" s="2" t="s">
        <v>7776</v>
      </c>
      <c r="N2228" s="3" t="s">
        <v>629</v>
      </c>
      <c r="P2228" s="3" t="s">
        <v>66</v>
      </c>
      <c r="R2228" s="3" t="s">
        <v>67</v>
      </c>
      <c r="S2228" s="4">
        <v>5</v>
      </c>
      <c r="T2228" s="4">
        <v>5</v>
      </c>
      <c r="U2228" s="5" t="s">
        <v>18899</v>
      </c>
      <c r="V2228" s="5" t="s">
        <v>18899</v>
      </c>
      <c r="W2228" s="5" t="s">
        <v>69</v>
      </c>
      <c r="X2228" s="5" t="s">
        <v>69</v>
      </c>
      <c r="Y2228" s="4">
        <v>278</v>
      </c>
      <c r="Z2228" s="4">
        <v>18</v>
      </c>
      <c r="AA2228" s="4">
        <v>20</v>
      </c>
      <c r="AB2228" s="4">
        <v>1</v>
      </c>
      <c r="AC2228" s="4">
        <v>1</v>
      </c>
      <c r="AD2228" s="4">
        <v>90</v>
      </c>
      <c r="AE2228" s="4">
        <v>92</v>
      </c>
      <c r="AF2228" s="4">
        <v>0</v>
      </c>
      <c r="AG2228" s="4">
        <v>0</v>
      </c>
      <c r="AH2228" s="4">
        <v>82</v>
      </c>
      <c r="AI2228" s="4">
        <v>83</v>
      </c>
      <c r="AJ2228" s="4">
        <v>12</v>
      </c>
      <c r="AK2228" s="4">
        <v>12</v>
      </c>
      <c r="AL2228" s="4">
        <v>48</v>
      </c>
      <c r="AM2228" s="4">
        <v>48</v>
      </c>
      <c r="AN2228" s="4">
        <v>0</v>
      </c>
      <c r="AO2228" s="4">
        <v>0</v>
      </c>
      <c r="AP2228" s="4">
        <v>13</v>
      </c>
      <c r="AQ2228" s="4">
        <v>14</v>
      </c>
      <c r="AR2228" s="3" t="s">
        <v>63</v>
      </c>
      <c r="AS2228" s="3" t="s">
        <v>63</v>
      </c>
      <c r="AT2228" s="3" t="s">
        <v>63</v>
      </c>
      <c r="AV2228" s="6" t="str">
        <f>HYPERLINK("http://mcgill.on.worldcat.org/oclc/721085453","Catalog Record")</f>
        <v>Catalog Record</v>
      </c>
      <c r="AW2228" s="6" t="str">
        <f>HYPERLINK("http://www.worldcat.org/oclc/721085453","WorldCat Record")</f>
        <v>WorldCat Record</v>
      </c>
      <c r="AX2228" s="3" t="s">
        <v>18900</v>
      </c>
      <c r="AY2228" s="3" t="s">
        <v>18901</v>
      </c>
      <c r="AZ2228" s="3" t="s">
        <v>18902</v>
      </c>
      <c r="BA2228" s="3" t="s">
        <v>18902</v>
      </c>
      <c r="BB2228" s="3" t="s">
        <v>18903</v>
      </c>
      <c r="BC2228" s="3" t="s">
        <v>82</v>
      </c>
      <c r="BD2228" s="3" t="s">
        <v>70</v>
      </c>
      <c r="BE2228" s="3" t="s">
        <v>18904</v>
      </c>
      <c r="BF2228" s="3" t="s">
        <v>18903</v>
      </c>
      <c r="BG2228" s="3" t="s">
        <v>18905</v>
      </c>
    </row>
    <row r="2229" spans="1:59" ht="60" x14ac:dyDescent="0.25">
      <c r="A2229" s="2" t="s">
        <v>59</v>
      </c>
      <c r="B2229" s="2" t="s">
        <v>60</v>
      </c>
      <c r="C2229" s="2" t="s">
        <v>18906</v>
      </c>
      <c r="D2229" s="2" t="s">
        <v>18907</v>
      </c>
      <c r="E2229" s="2" t="s">
        <v>18908</v>
      </c>
      <c r="G2229" s="3" t="s">
        <v>63</v>
      </c>
      <c r="I2229" s="3" t="s">
        <v>62</v>
      </c>
      <c r="J2229" s="3" t="s">
        <v>63</v>
      </c>
      <c r="K2229" s="3" t="s">
        <v>64</v>
      </c>
      <c r="L2229" s="2" t="s">
        <v>18909</v>
      </c>
      <c r="M2229" s="2" t="s">
        <v>18910</v>
      </c>
      <c r="N2229" s="3" t="s">
        <v>143</v>
      </c>
      <c r="O2229" s="2" t="s">
        <v>18911</v>
      </c>
      <c r="P2229" s="3" t="s">
        <v>90</v>
      </c>
      <c r="Q2229" s="2" t="s">
        <v>18912</v>
      </c>
      <c r="R2229" s="3" t="s">
        <v>67</v>
      </c>
      <c r="S2229" s="4">
        <v>0</v>
      </c>
      <c r="T2229" s="4">
        <v>0</v>
      </c>
      <c r="W2229" s="5" t="s">
        <v>69</v>
      </c>
      <c r="X2229" s="5" t="s">
        <v>69</v>
      </c>
      <c r="Y2229" s="4">
        <v>2</v>
      </c>
      <c r="Z2229" s="4">
        <v>1</v>
      </c>
      <c r="AA2229" s="4">
        <v>3</v>
      </c>
      <c r="AB2229" s="4">
        <v>1</v>
      </c>
      <c r="AC2229" s="4">
        <v>1</v>
      </c>
      <c r="AD2229" s="4">
        <v>1</v>
      </c>
      <c r="AE2229" s="4">
        <v>5</v>
      </c>
      <c r="AF2229" s="4">
        <v>0</v>
      </c>
      <c r="AG2229" s="4">
        <v>0</v>
      </c>
      <c r="AH2229" s="4">
        <v>1</v>
      </c>
      <c r="AI2229" s="4">
        <v>5</v>
      </c>
      <c r="AJ2229" s="4">
        <v>0</v>
      </c>
      <c r="AK2229" s="4">
        <v>1</v>
      </c>
      <c r="AL2229" s="4">
        <v>1</v>
      </c>
      <c r="AM2229" s="4">
        <v>5</v>
      </c>
      <c r="AN2229" s="4">
        <v>0</v>
      </c>
      <c r="AO2229" s="4">
        <v>0</v>
      </c>
      <c r="AP2229" s="4">
        <v>0</v>
      </c>
      <c r="AQ2229" s="4">
        <v>1</v>
      </c>
      <c r="AR2229" s="3" t="s">
        <v>63</v>
      </c>
      <c r="AS2229" s="3" t="s">
        <v>63</v>
      </c>
      <c r="AT2229" s="3" t="s">
        <v>63</v>
      </c>
      <c r="AV2229" s="6" t="str">
        <f>HYPERLINK("http://mcgill.on.worldcat.org/oclc/898477131","Catalog Record")</f>
        <v>Catalog Record</v>
      </c>
      <c r="AW2229" s="6" t="str">
        <f>HYPERLINK("http://www.worldcat.org/oclc/898477131","WorldCat Record")</f>
        <v>WorldCat Record</v>
      </c>
      <c r="AX2229" s="3" t="s">
        <v>18913</v>
      </c>
      <c r="AY2229" s="3" t="s">
        <v>18914</v>
      </c>
      <c r="AZ2229" s="3" t="s">
        <v>18915</v>
      </c>
      <c r="BA2229" s="3" t="s">
        <v>18915</v>
      </c>
      <c r="BB2229" s="3" t="s">
        <v>18916</v>
      </c>
      <c r="BC2229" s="3" t="s">
        <v>82</v>
      </c>
      <c r="BD2229" s="3" t="s">
        <v>70</v>
      </c>
      <c r="BE2229" s="3" t="s">
        <v>18917</v>
      </c>
      <c r="BF2229" s="3" t="s">
        <v>18916</v>
      </c>
      <c r="BG2229" s="3" t="s">
        <v>18918</v>
      </c>
    </row>
    <row r="2230" spans="1:59" ht="60" x14ac:dyDescent="0.25">
      <c r="A2230" s="2" t="s">
        <v>59</v>
      </c>
      <c r="B2230" s="2" t="s">
        <v>60</v>
      </c>
      <c r="C2230" s="2" t="s">
        <v>18922</v>
      </c>
      <c r="D2230" s="2" t="s">
        <v>18923</v>
      </c>
      <c r="E2230" s="2" t="s">
        <v>18924</v>
      </c>
      <c r="G2230" s="3" t="s">
        <v>63</v>
      </c>
      <c r="I2230" s="3" t="s">
        <v>63</v>
      </c>
      <c r="J2230" s="3" t="s">
        <v>63</v>
      </c>
      <c r="K2230" s="3" t="s">
        <v>64</v>
      </c>
      <c r="L2230" s="2" t="s">
        <v>17367</v>
      </c>
      <c r="M2230" s="2" t="s">
        <v>18925</v>
      </c>
      <c r="N2230" s="3" t="s">
        <v>2459</v>
      </c>
      <c r="P2230" s="3" t="s">
        <v>66</v>
      </c>
      <c r="Q2230" s="2" t="s">
        <v>18926</v>
      </c>
      <c r="R2230" s="3" t="s">
        <v>67</v>
      </c>
      <c r="S2230" s="4">
        <v>4</v>
      </c>
      <c r="T2230" s="4">
        <v>4</v>
      </c>
      <c r="U2230" s="5" t="s">
        <v>16276</v>
      </c>
      <c r="V2230" s="5" t="s">
        <v>16276</v>
      </c>
      <c r="W2230" s="5" t="s">
        <v>69</v>
      </c>
      <c r="X2230" s="5" t="s">
        <v>69</v>
      </c>
      <c r="Y2230" s="4">
        <v>231</v>
      </c>
      <c r="Z2230" s="4">
        <v>16</v>
      </c>
      <c r="AA2230" s="4">
        <v>91</v>
      </c>
      <c r="AB2230" s="4">
        <v>1</v>
      </c>
      <c r="AC2230" s="4">
        <v>17</v>
      </c>
      <c r="AD2230" s="4">
        <v>79</v>
      </c>
      <c r="AE2230" s="4">
        <v>119</v>
      </c>
      <c r="AF2230" s="4">
        <v>0</v>
      </c>
      <c r="AG2230" s="4">
        <v>8</v>
      </c>
      <c r="AH2230" s="4">
        <v>73</v>
      </c>
      <c r="AI2230" s="4">
        <v>85</v>
      </c>
      <c r="AJ2230" s="4">
        <v>11</v>
      </c>
      <c r="AK2230" s="4">
        <v>20</v>
      </c>
      <c r="AL2230" s="4">
        <v>45</v>
      </c>
      <c r="AM2230" s="4">
        <v>51</v>
      </c>
      <c r="AN2230" s="4">
        <v>0</v>
      </c>
      <c r="AO2230" s="4">
        <v>0</v>
      </c>
      <c r="AP2230" s="4">
        <v>12</v>
      </c>
      <c r="AQ2230" s="4">
        <v>41</v>
      </c>
      <c r="AR2230" s="3" t="s">
        <v>63</v>
      </c>
      <c r="AS2230" s="3" t="s">
        <v>63</v>
      </c>
      <c r="AT2230" s="3" t="s">
        <v>62</v>
      </c>
      <c r="AU2230" s="6" t="str">
        <f>HYPERLINK("http://catalog.hathitrust.org/Record/005887430","HathiTrust Record")</f>
        <v>HathiTrust Record</v>
      </c>
      <c r="AV2230" s="6" t="str">
        <f>HYPERLINK("http://mcgill.on.worldcat.org/oclc/212847597","Catalog Record")</f>
        <v>Catalog Record</v>
      </c>
      <c r="AW2230" s="6" t="str">
        <f>HYPERLINK("http://www.worldcat.org/oclc/212847597","WorldCat Record")</f>
        <v>WorldCat Record</v>
      </c>
      <c r="AX2230" s="3" t="s">
        <v>18927</v>
      </c>
      <c r="AY2230" s="3" t="s">
        <v>18928</v>
      </c>
      <c r="AZ2230" s="3" t="s">
        <v>18929</v>
      </c>
      <c r="BA2230" s="3" t="s">
        <v>18929</v>
      </c>
      <c r="BB2230" s="3" t="s">
        <v>18930</v>
      </c>
      <c r="BC2230" s="3" t="s">
        <v>82</v>
      </c>
      <c r="BD2230" s="3" t="s">
        <v>70</v>
      </c>
      <c r="BE2230" s="3" t="s">
        <v>18931</v>
      </c>
      <c r="BF2230" s="3" t="s">
        <v>18930</v>
      </c>
      <c r="BG2230" s="3" t="s">
        <v>18932</v>
      </c>
    </row>
    <row r="2231" spans="1:59" ht="60" x14ac:dyDescent="0.25">
      <c r="A2231" s="2" t="s">
        <v>59</v>
      </c>
      <c r="B2231" s="2" t="s">
        <v>60</v>
      </c>
      <c r="C2231" s="2" t="s">
        <v>18933</v>
      </c>
      <c r="D2231" s="2" t="s">
        <v>18934</v>
      </c>
      <c r="E2231" s="2" t="s">
        <v>18935</v>
      </c>
      <c r="G2231" s="3" t="s">
        <v>63</v>
      </c>
      <c r="I2231" s="3" t="s">
        <v>63</v>
      </c>
      <c r="J2231" s="3" t="s">
        <v>63</v>
      </c>
      <c r="K2231" s="3" t="s">
        <v>11580</v>
      </c>
      <c r="L2231" s="2" t="s">
        <v>18443</v>
      </c>
      <c r="M2231" s="2" t="s">
        <v>18936</v>
      </c>
      <c r="N2231" s="3" t="s">
        <v>313</v>
      </c>
      <c r="P2231" s="3" t="s">
        <v>66</v>
      </c>
      <c r="R2231" s="3" t="s">
        <v>67</v>
      </c>
      <c r="S2231" s="4">
        <v>0</v>
      </c>
      <c r="T2231" s="4">
        <v>0</v>
      </c>
      <c r="W2231" s="5" t="s">
        <v>69</v>
      </c>
      <c r="X2231" s="5" t="s">
        <v>69</v>
      </c>
      <c r="Y2231" s="4">
        <v>1</v>
      </c>
      <c r="Z2231" s="4">
        <v>1</v>
      </c>
      <c r="AA2231" s="4">
        <v>18</v>
      </c>
      <c r="AB2231" s="4">
        <v>1</v>
      </c>
      <c r="AC2231" s="4">
        <v>2</v>
      </c>
      <c r="AD2231" s="4">
        <v>0</v>
      </c>
      <c r="AE2231" s="4">
        <v>67</v>
      </c>
      <c r="AF2231" s="4">
        <v>0</v>
      </c>
      <c r="AG2231" s="4">
        <v>1</v>
      </c>
      <c r="AH2231" s="4">
        <v>0</v>
      </c>
      <c r="AI2231" s="4">
        <v>59</v>
      </c>
      <c r="AJ2231" s="4">
        <v>0</v>
      </c>
      <c r="AK2231" s="4">
        <v>10</v>
      </c>
      <c r="AL2231" s="4">
        <v>0</v>
      </c>
      <c r="AM2231" s="4">
        <v>35</v>
      </c>
      <c r="AN2231" s="4">
        <v>0</v>
      </c>
      <c r="AO2231" s="4">
        <v>2</v>
      </c>
      <c r="AP2231" s="4">
        <v>0</v>
      </c>
      <c r="AQ2231" s="4">
        <v>13</v>
      </c>
      <c r="AR2231" s="3" t="s">
        <v>63</v>
      </c>
      <c r="AS2231" s="3" t="s">
        <v>63</v>
      </c>
      <c r="AT2231" s="3" t="s">
        <v>63</v>
      </c>
      <c r="AV2231" s="6" t="str">
        <f>HYPERLINK("http://mcgill.on.worldcat.org/oclc/793358734","Catalog Record")</f>
        <v>Catalog Record</v>
      </c>
      <c r="AW2231" s="6" t="str">
        <f>HYPERLINK("http://www.worldcat.org/oclc/793358734","WorldCat Record")</f>
        <v>WorldCat Record</v>
      </c>
      <c r="AX2231" s="3" t="s">
        <v>18937</v>
      </c>
      <c r="AY2231" s="3" t="s">
        <v>18938</v>
      </c>
      <c r="AZ2231" s="3" t="s">
        <v>18939</v>
      </c>
      <c r="BA2231" s="3" t="s">
        <v>18939</v>
      </c>
      <c r="BB2231" s="3" t="s">
        <v>18940</v>
      </c>
      <c r="BC2231" s="3" t="s">
        <v>82</v>
      </c>
      <c r="BD2231" s="3" t="s">
        <v>70</v>
      </c>
      <c r="BF2231" s="3" t="s">
        <v>18940</v>
      </c>
      <c r="BG2231" s="3" t="s">
        <v>18941</v>
      </c>
    </row>
    <row r="2232" spans="1:59" ht="60" x14ac:dyDescent="0.25">
      <c r="A2232" s="2" t="s">
        <v>59</v>
      </c>
      <c r="B2232" s="2" t="s">
        <v>60</v>
      </c>
      <c r="C2232" s="2" t="s">
        <v>18942</v>
      </c>
      <c r="D2232" s="2" t="s">
        <v>18943</v>
      </c>
      <c r="E2232" s="2" t="s">
        <v>18944</v>
      </c>
      <c r="G2232" s="3" t="s">
        <v>63</v>
      </c>
      <c r="I2232" s="3" t="s">
        <v>63</v>
      </c>
      <c r="J2232" s="3" t="s">
        <v>63</v>
      </c>
      <c r="K2232" s="3" t="s">
        <v>64</v>
      </c>
      <c r="L2232" s="2" t="s">
        <v>15063</v>
      </c>
      <c r="M2232" s="2" t="s">
        <v>18945</v>
      </c>
      <c r="N2232" s="3" t="s">
        <v>2459</v>
      </c>
      <c r="P2232" s="3" t="s">
        <v>66</v>
      </c>
      <c r="Q2232" s="2" t="s">
        <v>1949</v>
      </c>
      <c r="R2232" s="3" t="s">
        <v>67</v>
      </c>
      <c r="S2232" s="4">
        <v>4</v>
      </c>
      <c r="T2232" s="4">
        <v>4</v>
      </c>
      <c r="U2232" s="5" t="s">
        <v>8645</v>
      </c>
      <c r="V2232" s="5" t="s">
        <v>8645</v>
      </c>
      <c r="W2232" s="5" t="s">
        <v>69</v>
      </c>
      <c r="X2232" s="5" t="s">
        <v>69</v>
      </c>
      <c r="Y2232" s="4">
        <v>175</v>
      </c>
      <c r="Z2232" s="4">
        <v>13</v>
      </c>
      <c r="AA2232" s="4">
        <v>102</v>
      </c>
      <c r="AB2232" s="4">
        <v>1</v>
      </c>
      <c r="AC2232" s="4">
        <v>20</v>
      </c>
      <c r="AD2232" s="4">
        <v>64</v>
      </c>
      <c r="AE2232" s="4">
        <v>138</v>
      </c>
      <c r="AF2232" s="4">
        <v>0</v>
      </c>
      <c r="AG2232" s="4">
        <v>8</v>
      </c>
      <c r="AH2232" s="4">
        <v>58</v>
      </c>
      <c r="AI2232" s="4">
        <v>97</v>
      </c>
      <c r="AJ2232" s="4">
        <v>10</v>
      </c>
      <c r="AK2232" s="4">
        <v>23</v>
      </c>
      <c r="AL2232" s="4">
        <v>42</v>
      </c>
      <c r="AM2232" s="4">
        <v>55</v>
      </c>
      <c r="AN2232" s="4">
        <v>0</v>
      </c>
      <c r="AO2232" s="4">
        <v>0</v>
      </c>
      <c r="AP2232" s="4">
        <v>10</v>
      </c>
      <c r="AQ2232" s="4">
        <v>46</v>
      </c>
      <c r="AR2232" s="3" t="s">
        <v>63</v>
      </c>
      <c r="AS2232" s="3" t="s">
        <v>63</v>
      </c>
      <c r="AT2232" s="3" t="s">
        <v>62</v>
      </c>
      <c r="AU2232" s="6" t="str">
        <f>HYPERLINK("http://catalog.hathitrust.org/Record/005681958","HathiTrust Record")</f>
        <v>HathiTrust Record</v>
      </c>
      <c r="AV2232" s="6" t="str">
        <f>HYPERLINK("http://mcgill.on.worldcat.org/oclc/190761294","Catalog Record")</f>
        <v>Catalog Record</v>
      </c>
      <c r="AW2232" s="6" t="str">
        <f>HYPERLINK("http://www.worldcat.org/oclc/190761294","WorldCat Record")</f>
        <v>WorldCat Record</v>
      </c>
      <c r="AX2232" s="3" t="s">
        <v>18946</v>
      </c>
      <c r="AY2232" s="3" t="s">
        <v>18947</v>
      </c>
      <c r="AZ2232" s="3" t="s">
        <v>18948</v>
      </c>
      <c r="BA2232" s="3" t="s">
        <v>18948</v>
      </c>
      <c r="BB2232" s="3" t="s">
        <v>18949</v>
      </c>
      <c r="BC2232" s="3" t="s">
        <v>82</v>
      </c>
      <c r="BD2232" s="3" t="s">
        <v>70</v>
      </c>
      <c r="BE2232" s="3" t="s">
        <v>18950</v>
      </c>
      <c r="BF2232" s="3" t="s">
        <v>18949</v>
      </c>
      <c r="BG2232" s="3" t="s">
        <v>18951</v>
      </c>
    </row>
    <row r="2233" spans="1:59" ht="60" x14ac:dyDescent="0.25">
      <c r="A2233" s="2" t="s">
        <v>59</v>
      </c>
      <c r="B2233" s="2" t="s">
        <v>60</v>
      </c>
      <c r="C2233" s="2" t="s">
        <v>18952</v>
      </c>
      <c r="D2233" s="2" t="s">
        <v>18953</v>
      </c>
      <c r="E2233" s="2" t="s">
        <v>18954</v>
      </c>
      <c r="G2233" s="3" t="s">
        <v>63</v>
      </c>
      <c r="I2233" s="3" t="s">
        <v>62</v>
      </c>
      <c r="J2233" s="3" t="s">
        <v>63</v>
      </c>
      <c r="K2233" s="3" t="s">
        <v>64</v>
      </c>
      <c r="M2233" s="2" t="s">
        <v>18955</v>
      </c>
      <c r="N2233" s="3" t="s">
        <v>814</v>
      </c>
      <c r="P2233" s="3" t="s">
        <v>66</v>
      </c>
      <c r="R2233" s="3" t="s">
        <v>67</v>
      </c>
      <c r="S2233" s="4">
        <v>23</v>
      </c>
      <c r="T2233" s="4">
        <v>36</v>
      </c>
      <c r="U2233" s="5" t="s">
        <v>16276</v>
      </c>
      <c r="V2233" s="5" t="s">
        <v>16276</v>
      </c>
      <c r="W2233" s="5" t="s">
        <v>69</v>
      </c>
      <c r="X2233" s="5" t="s">
        <v>69</v>
      </c>
      <c r="Y2233" s="4">
        <v>347</v>
      </c>
      <c r="Z2233" s="4">
        <v>28</v>
      </c>
      <c r="AA2233" s="4">
        <v>31</v>
      </c>
      <c r="AB2233" s="4">
        <v>2</v>
      </c>
      <c r="AC2233" s="4">
        <v>3</v>
      </c>
      <c r="AD2233" s="4">
        <v>77</v>
      </c>
      <c r="AE2233" s="4">
        <v>87</v>
      </c>
      <c r="AF2233" s="4">
        <v>1</v>
      </c>
      <c r="AG2233" s="4">
        <v>2</v>
      </c>
      <c r="AH2233" s="4">
        <v>61</v>
      </c>
      <c r="AI2233" s="4">
        <v>70</v>
      </c>
      <c r="AJ2233" s="4">
        <v>17</v>
      </c>
      <c r="AK2233" s="4">
        <v>19</v>
      </c>
      <c r="AL2233" s="4">
        <v>31</v>
      </c>
      <c r="AM2233" s="4">
        <v>35</v>
      </c>
      <c r="AN2233" s="4">
        <v>0</v>
      </c>
      <c r="AO2233" s="4">
        <v>0</v>
      </c>
      <c r="AP2233" s="4">
        <v>21</v>
      </c>
      <c r="AQ2233" s="4">
        <v>24</v>
      </c>
      <c r="AR2233" s="3" t="s">
        <v>63</v>
      </c>
      <c r="AS2233" s="3" t="s">
        <v>63</v>
      </c>
      <c r="AT2233" s="3" t="s">
        <v>63</v>
      </c>
      <c r="AV2233" s="6" t="str">
        <f>HYPERLINK("http://mcgill.on.worldcat.org/oclc/11466527","Catalog Record")</f>
        <v>Catalog Record</v>
      </c>
      <c r="AW2233" s="6" t="str">
        <f>HYPERLINK("http://www.worldcat.org/oclc/11466527","WorldCat Record")</f>
        <v>WorldCat Record</v>
      </c>
      <c r="AX2233" s="3" t="s">
        <v>18956</v>
      </c>
      <c r="AY2233" s="3" t="s">
        <v>18957</v>
      </c>
      <c r="AZ2233" s="3" t="s">
        <v>18958</v>
      </c>
      <c r="BA2233" s="3" t="s">
        <v>18958</v>
      </c>
      <c r="BB2233" s="3" t="s">
        <v>18959</v>
      </c>
      <c r="BC2233" s="3" t="s">
        <v>82</v>
      </c>
      <c r="BD2233" s="3" t="s">
        <v>70</v>
      </c>
      <c r="BE2233" s="3" t="s">
        <v>18960</v>
      </c>
      <c r="BF2233" s="3" t="s">
        <v>18959</v>
      </c>
      <c r="BG2233" s="3" t="s">
        <v>18961</v>
      </c>
    </row>
    <row r="2234" spans="1:59" ht="60" x14ac:dyDescent="0.25">
      <c r="A2234" s="2" t="s">
        <v>59</v>
      </c>
      <c r="B2234" s="2" t="s">
        <v>60</v>
      </c>
      <c r="C2234" s="2" t="s">
        <v>18952</v>
      </c>
      <c r="D2234" s="2" t="s">
        <v>18953</v>
      </c>
      <c r="E2234" s="2" t="s">
        <v>18954</v>
      </c>
      <c r="G2234" s="3" t="s">
        <v>63</v>
      </c>
      <c r="I2234" s="3" t="s">
        <v>62</v>
      </c>
      <c r="J2234" s="3" t="s">
        <v>63</v>
      </c>
      <c r="K2234" s="3" t="s">
        <v>64</v>
      </c>
      <c r="M2234" s="2" t="s">
        <v>18955</v>
      </c>
      <c r="N2234" s="3" t="s">
        <v>814</v>
      </c>
      <c r="P2234" s="3" t="s">
        <v>66</v>
      </c>
      <c r="R2234" s="3" t="s">
        <v>67</v>
      </c>
      <c r="S2234" s="4">
        <v>13</v>
      </c>
      <c r="T2234" s="4">
        <v>36</v>
      </c>
      <c r="U2234" s="5" t="s">
        <v>18962</v>
      </c>
      <c r="V2234" s="5" t="s">
        <v>16276</v>
      </c>
      <c r="W2234" s="5" t="s">
        <v>69</v>
      </c>
      <c r="X2234" s="5" t="s">
        <v>69</v>
      </c>
      <c r="Y2234" s="4">
        <v>347</v>
      </c>
      <c r="Z2234" s="4">
        <v>28</v>
      </c>
      <c r="AA2234" s="4">
        <v>31</v>
      </c>
      <c r="AB2234" s="4">
        <v>2</v>
      </c>
      <c r="AC2234" s="4">
        <v>3</v>
      </c>
      <c r="AD2234" s="4">
        <v>77</v>
      </c>
      <c r="AE2234" s="4">
        <v>87</v>
      </c>
      <c r="AF2234" s="4">
        <v>1</v>
      </c>
      <c r="AG2234" s="4">
        <v>2</v>
      </c>
      <c r="AH2234" s="4">
        <v>61</v>
      </c>
      <c r="AI2234" s="4">
        <v>70</v>
      </c>
      <c r="AJ2234" s="4">
        <v>17</v>
      </c>
      <c r="AK2234" s="4">
        <v>19</v>
      </c>
      <c r="AL2234" s="4">
        <v>31</v>
      </c>
      <c r="AM2234" s="4">
        <v>35</v>
      </c>
      <c r="AN2234" s="4">
        <v>0</v>
      </c>
      <c r="AO2234" s="4">
        <v>0</v>
      </c>
      <c r="AP2234" s="4">
        <v>21</v>
      </c>
      <c r="AQ2234" s="4">
        <v>24</v>
      </c>
      <c r="AR2234" s="3" t="s">
        <v>63</v>
      </c>
      <c r="AS2234" s="3" t="s">
        <v>63</v>
      </c>
      <c r="AT2234" s="3" t="s">
        <v>63</v>
      </c>
      <c r="AV2234" s="6" t="str">
        <f>HYPERLINK("http://mcgill.on.worldcat.org/oclc/11466527","Catalog Record")</f>
        <v>Catalog Record</v>
      </c>
      <c r="AW2234" s="6" t="str">
        <f>HYPERLINK("http://www.worldcat.org/oclc/11466527","WorldCat Record")</f>
        <v>WorldCat Record</v>
      </c>
      <c r="AX2234" s="3" t="s">
        <v>18956</v>
      </c>
      <c r="AY2234" s="3" t="s">
        <v>18957</v>
      </c>
      <c r="AZ2234" s="3" t="s">
        <v>18958</v>
      </c>
      <c r="BA2234" s="3" t="s">
        <v>18958</v>
      </c>
      <c r="BB2234" s="3" t="s">
        <v>18963</v>
      </c>
      <c r="BC2234" s="3" t="s">
        <v>82</v>
      </c>
      <c r="BD2234" s="3" t="s">
        <v>70</v>
      </c>
      <c r="BE2234" s="3" t="s">
        <v>18960</v>
      </c>
      <c r="BF2234" s="3" t="s">
        <v>18963</v>
      </c>
      <c r="BG2234" s="3" t="s">
        <v>18964</v>
      </c>
    </row>
    <row r="2235" spans="1:59" ht="60" x14ac:dyDescent="0.25">
      <c r="A2235" s="2" t="s">
        <v>59</v>
      </c>
      <c r="B2235" s="2" t="s">
        <v>60</v>
      </c>
      <c r="C2235" s="2" t="s">
        <v>18965</v>
      </c>
      <c r="D2235" s="2" t="s">
        <v>18966</v>
      </c>
      <c r="E2235" s="2" t="s">
        <v>18967</v>
      </c>
      <c r="G2235" s="3" t="s">
        <v>63</v>
      </c>
      <c r="I2235" s="3" t="s">
        <v>63</v>
      </c>
      <c r="J2235" s="3" t="s">
        <v>63</v>
      </c>
      <c r="K2235" s="3" t="s">
        <v>64</v>
      </c>
      <c r="L2235" s="2" t="s">
        <v>18968</v>
      </c>
      <c r="M2235" s="2" t="s">
        <v>18969</v>
      </c>
      <c r="N2235" s="3" t="s">
        <v>261</v>
      </c>
      <c r="O2235" s="2" t="s">
        <v>590</v>
      </c>
      <c r="P2235" s="3" t="s">
        <v>66</v>
      </c>
      <c r="Q2235" s="2" t="s">
        <v>18970</v>
      </c>
      <c r="R2235" s="3" t="s">
        <v>67</v>
      </c>
      <c r="S2235" s="4">
        <v>3</v>
      </c>
      <c r="T2235" s="4">
        <v>3</v>
      </c>
      <c r="U2235" s="5" t="s">
        <v>155</v>
      </c>
      <c r="V2235" s="5" t="s">
        <v>155</v>
      </c>
      <c r="W2235" s="5" t="s">
        <v>69</v>
      </c>
      <c r="X2235" s="5" t="s">
        <v>69</v>
      </c>
      <c r="Y2235" s="4">
        <v>231</v>
      </c>
      <c r="Z2235" s="4">
        <v>11</v>
      </c>
      <c r="AA2235" s="4">
        <v>11</v>
      </c>
      <c r="AB2235" s="4">
        <v>1</v>
      </c>
      <c r="AC2235" s="4">
        <v>1</v>
      </c>
      <c r="AD2235" s="4">
        <v>74</v>
      </c>
      <c r="AE2235" s="4">
        <v>74</v>
      </c>
      <c r="AF2235" s="4">
        <v>0</v>
      </c>
      <c r="AG2235" s="4">
        <v>0</v>
      </c>
      <c r="AH2235" s="4">
        <v>71</v>
      </c>
      <c r="AI2235" s="4">
        <v>71</v>
      </c>
      <c r="AJ2235" s="4">
        <v>7</v>
      </c>
      <c r="AK2235" s="4">
        <v>7</v>
      </c>
      <c r="AL2235" s="4">
        <v>43</v>
      </c>
      <c r="AM2235" s="4">
        <v>43</v>
      </c>
      <c r="AN2235" s="4">
        <v>0</v>
      </c>
      <c r="AO2235" s="4">
        <v>0</v>
      </c>
      <c r="AP2235" s="4">
        <v>7</v>
      </c>
      <c r="AQ2235" s="4">
        <v>7</v>
      </c>
      <c r="AR2235" s="3" t="s">
        <v>63</v>
      </c>
      <c r="AS2235" s="3" t="s">
        <v>63</v>
      </c>
      <c r="AT2235" s="3" t="s">
        <v>62</v>
      </c>
      <c r="AU2235" s="6" t="str">
        <f>HYPERLINK("http://catalog.hathitrust.org/Record/005623358","HathiTrust Record")</f>
        <v>HathiTrust Record</v>
      </c>
      <c r="AV2235" s="6" t="str">
        <f>HYPERLINK("http://mcgill.on.worldcat.org/oclc/71842783","Catalog Record")</f>
        <v>Catalog Record</v>
      </c>
      <c r="AW2235" s="6" t="str">
        <f>HYPERLINK("http://www.worldcat.org/oclc/71842783","WorldCat Record")</f>
        <v>WorldCat Record</v>
      </c>
      <c r="AX2235" s="3" t="s">
        <v>18971</v>
      </c>
      <c r="AY2235" s="3" t="s">
        <v>18972</v>
      </c>
      <c r="AZ2235" s="3" t="s">
        <v>18973</v>
      </c>
      <c r="BA2235" s="3" t="s">
        <v>18973</v>
      </c>
      <c r="BB2235" s="3" t="s">
        <v>18974</v>
      </c>
      <c r="BC2235" s="3" t="s">
        <v>82</v>
      </c>
      <c r="BD2235" s="3" t="s">
        <v>70</v>
      </c>
      <c r="BE2235" s="3" t="s">
        <v>18975</v>
      </c>
      <c r="BF2235" s="3" t="s">
        <v>18974</v>
      </c>
      <c r="BG2235" s="3" t="s">
        <v>18976</v>
      </c>
    </row>
    <row r="2236" spans="1:59" ht="60" x14ac:dyDescent="0.25">
      <c r="A2236" s="2" t="s">
        <v>59</v>
      </c>
      <c r="B2236" s="2" t="s">
        <v>60</v>
      </c>
      <c r="C2236" s="2" t="s">
        <v>18977</v>
      </c>
      <c r="D2236" s="2" t="s">
        <v>18978</v>
      </c>
      <c r="E2236" s="2" t="s">
        <v>18979</v>
      </c>
      <c r="G2236" s="3" t="s">
        <v>63</v>
      </c>
      <c r="I2236" s="3" t="s">
        <v>62</v>
      </c>
      <c r="J2236" s="3" t="s">
        <v>63</v>
      </c>
      <c r="K2236" s="3" t="s">
        <v>64</v>
      </c>
      <c r="L2236" s="2" t="s">
        <v>18980</v>
      </c>
      <c r="M2236" s="2" t="s">
        <v>18981</v>
      </c>
      <c r="N2236" s="3" t="s">
        <v>826</v>
      </c>
      <c r="P2236" s="3" t="s">
        <v>66</v>
      </c>
      <c r="R2236" s="3" t="s">
        <v>67</v>
      </c>
      <c r="S2236" s="4">
        <v>5</v>
      </c>
      <c r="T2236" s="4">
        <v>27</v>
      </c>
      <c r="U2236" s="5" t="s">
        <v>18982</v>
      </c>
      <c r="V2236" s="5" t="s">
        <v>5789</v>
      </c>
      <c r="W2236" s="5" t="s">
        <v>69</v>
      </c>
      <c r="X2236" s="5" t="s">
        <v>69</v>
      </c>
      <c r="Y2236" s="4">
        <v>716</v>
      </c>
      <c r="Z2236" s="4">
        <v>44</v>
      </c>
      <c r="AA2236" s="4">
        <v>48</v>
      </c>
      <c r="AB2236" s="4">
        <v>4</v>
      </c>
      <c r="AC2236" s="4">
        <v>6</v>
      </c>
      <c r="AD2236" s="4">
        <v>123</v>
      </c>
      <c r="AE2236" s="4">
        <v>127</v>
      </c>
      <c r="AF2236" s="4">
        <v>2</v>
      </c>
      <c r="AG2236" s="4">
        <v>4</v>
      </c>
      <c r="AH2236" s="4">
        <v>98</v>
      </c>
      <c r="AI2236" s="4">
        <v>99</v>
      </c>
      <c r="AJ2236" s="4">
        <v>19</v>
      </c>
      <c r="AK2236" s="4">
        <v>22</v>
      </c>
      <c r="AL2236" s="4">
        <v>56</v>
      </c>
      <c r="AM2236" s="4">
        <v>56</v>
      </c>
      <c r="AN2236" s="4">
        <v>0</v>
      </c>
      <c r="AO2236" s="4">
        <v>0</v>
      </c>
      <c r="AP2236" s="4">
        <v>32</v>
      </c>
      <c r="AQ2236" s="4">
        <v>35</v>
      </c>
      <c r="AR2236" s="3" t="s">
        <v>63</v>
      </c>
      <c r="AS2236" s="3" t="s">
        <v>63</v>
      </c>
      <c r="AT2236" s="3" t="s">
        <v>62</v>
      </c>
      <c r="AU2236" s="6" t="str">
        <f>HYPERLINK("http://catalog.hathitrust.org/Record/001061175","HathiTrust Record")</f>
        <v>HathiTrust Record</v>
      </c>
      <c r="AV2236" s="6" t="str">
        <f>HYPERLINK("http://mcgill.on.worldcat.org/oclc/121732","Catalog Record")</f>
        <v>Catalog Record</v>
      </c>
      <c r="AW2236" s="6" t="str">
        <f>HYPERLINK("http://www.worldcat.org/oclc/121732","WorldCat Record")</f>
        <v>WorldCat Record</v>
      </c>
      <c r="AX2236" s="3" t="s">
        <v>18983</v>
      </c>
      <c r="AY2236" s="3" t="s">
        <v>18984</v>
      </c>
      <c r="AZ2236" s="3" t="s">
        <v>18985</v>
      </c>
      <c r="BA2236" s="3" t="s">
        <v>18985</v>
      </c>
      <c r="BB2236" s="3" t="s">
        <v>18986</v>
      </c>
      <c r="BC2236" s="3" t="s">
        <v>82</v>
      </c>
      <c r="BD2236" s="3" t="s">
        <v>70</v>
      </c>
      <c r="BE2236" s="3" t="s">
        <v>18987</v>
      </c>
      <c r="BF2236" s="3" t="s">
        <v>18986</v>
      </c>
      <c r="BG2236" s="3" t="s">
        <v>18988</v>
      </c>
    </row>
    <row r="2237" spans="1:59" ht="60" x14ac:dyDescent="0.25">
      <c r="A2237" s="2" t="s">
        <v>59</v>
      </c>
      <c r="B2237" s="2" t="s">
        <v>60</v>
      </c>
      <c r="C2237" s="2" t="s">
        <v>18977</v>
      </c>
      <c r="D2237" s="2" t="s">
        <v>18978</v>
      </c>
      <c r="E2237" s="2" t="s">
        <v>18979</v>
      </c>
      <c r="G2237" s="3" t="s">
        <v>63</v>
      </c>
      <c r="I2237" s="3" t="s">
        <v>62</v>
      </c>
      <c r="J2237" s="3" t="s">
        <v>63</v>
      </c>
      <c r="K2237" s="3" t="s">
        <v>64</v>
      </c>
      <c r="L2237" s="2" t="s">
        <v>18980</v>
      </c>
      <c r="M2237" s="2" t="s">
        <v>18981</v>
      </c>
      <c r="N2237" s="3" t="s">
        <v>826</v>
      </c>
      <c r="P2237" s="3" t="s">
        <v>66</v>
      </c>
      <c r="R2237" s="3" t="s">
        <v>67</v>
      </c>
      <c r="S2237" s="4">
        <v>9</v>
      </c>
      <c r="T2237" s="4">
        <v>27</v>
      </c>
      <c r="U2237" s="5" t="s">
        <v>5789</v>
      </c>
      <c r="V2237" s="5" t="s">
        <v>5789</v>
      </c>
      <c r="W2237" s="5" t="s">
        <v>69</v>
      </c>
      <c r="X2237" s="5" t="s">
        <v>69</v>
      </c>
      <c r="Y2237" s="4">
        <v>716</v>
      </c>
      <c r="Z2237" s="4">
        <v>44</v>
      </c>
      <c r="AA2237" s="4">
        <v>48</v>
      </c>
      <c r="AB2237" s="4">
        <v>4</v>
      </c>
      <c r="AC2237" s="4">
        <v>6</v>
      </c>
      <c r="AD2237" s="4">
        <v>123</v>
      </c>
      <c r="AE2237" s="4">
        <v>127</v>
      </c>
      <c r="AF2237" s="4">
        <v>2</v>
      </c>
      <c r="AG2237" s="4">
        <v>4</v>
      </c>
      <c r="AH2237" s="4">
        <v>98</v>
      </c>
      <c r="AI2237" s="4">
        <v>99</v>
      </c>
      <c r="AJ2237" s="4">
        <v>19</v>
      </c>
      <c r="AK2237" s="4">
        <v>22</v>
      </c>
      <c r="AL2237" s="4">
        <v>56</v>
      </c>
      <c r="AM2237" s="4">
        <v>56</v>
      </c>
      <c r="AN2237" s="4">
        <v>0</v>
      </c>
      <c r="AO2237" s="4">
        <v>0</v>
      </c>
      <c r="AP2237" s="4">
        <v>32</v>
      </c>
      <c r="AQ2237" s="4">
        <v>35</v>
      </c>
      <c r="AR2237" s="3" t="s">
        <v>63</v>
      </c>
      <c r="AS2237" s="3" t="s">
        <v>63</v>
      </c>
      <c r="AT2237" s="3" t="s">
        <v>62</v>
      </c>
      <c r="AU2237" s="6" t="str">
        <f>HYPERLINK("http://catalog.hathitrust.org/Record/001061175","HathiTrust Record")</f>
        <v>HathiTrust Record</v>
      </c>
      <c r="AV2237" s="6" t="str">
        <f>HYPERLINK("http://mcgill.on.worldcat.org/oclc/121732","Catalog Record")</f>
        <v>Catalog Record</v>
      </c>
      <c r="AW2237" s="6" t="str">
        <f>HYPERLINK("http://www.worldcat.org/oclc/121732","WorldCat Record")</f>
        <v>WorldCat Record</v>
      </c>
      <c r="AX2237" s="3" t="s">
        <v>18983</v>
      </c>
      <c r="AY2237" s="3" t="s">
        <v>18984</v>
      </c>
      <c r="AZ2237" s="3" t="s">
        <v>18985</v>
      </c>
      <c r="BA2237" s="3" t="s">
        <v>18985</v>
      </c>
      <c r="BB2237" s="3" t="s">
        <v>18989</v>
      </c>
      <c r="BC2237" s="3" t="s">
        <v>82</v>
      </c>
      <c r="BD2237" s="3" t="s">
        <v>70</v>
      </c>
      <c r="BE2237" s="3" t="s">
        <v>18987</v>
      </c>
      <c r="BF2237" s="3" t="s">
        <v>18989</v>
      </c>
      <c r="BG2237" s="3" t="s">
        <v>18990</v>
      </c>
    </row>
    <row r="2238" spans="1:59" ht="60" x14ac:dyDescent="0.25">
      <c r="A2238" s="2" t="s">
        <v>59</v>
      </c>
      <c r="B2238" s="2" t="s">
        <v>60</v>
      </c>
      <c r="C2238" s="2" t="s">
        <v>18977</v>
      </c>
      <c r="D2238" s="2" t="s">
        <v>18978</v>
      </c>
      <c r="E2238" s="2" t="s">
        <v>18979</v>
      </c>
      <c r="G2238" s="3" t="s">
        <v>63</v>
      </c>
      <c r="I2238" s="3" t="s">
        <v>62</v>
      </c>
      <c r="J2238" s="3" t="s">
        <v>63</v>
      </c>
      <c r="K2238" s="3" t="s">
        <v>64</v>
      </c>
      <c r="L2238" s="2" t="s">
        <v>18980</v>
      </c>
      <c r="M2238" s="2" t="s">
        <v>18981</v>
      </c>
      <c r="N2238" s="3" t="s">
        <v>826</v>
      </c>
      <c r="P2238" s="3" t="s">
        <v>66</v>
      </c>
      <c r="R2238" s="3" t="s">
        <v>67</v>
      </c>
      <c r="S2238" s="4">
        <v>13</v>
      </c>
      <c r="T2238" s="4">
        <v>27</v>
      </c>
      <c r="U2238" s="5" t="s">
        <v>18991</v>
      </c>
      <c r="V2238" s="5" t="s">
        <v>5789</v>
      </c>
      <c r="W2238" s="5" t="s">
        <v>69</v>
      </c>
      <c r="X2238" s="5" t="s">
        <v>69</v>
      </c>
      <c r="Y2238" s="4">
        <v>716</v>
      </c>
      <c r="Z2238" s="4">
        <v>44</v>
      </c>
      <c r="AA2238" s="4">
        <v>48</v>
      </c>
      <c r="AB2238" s="4">
        <v>4</v>
      </c>
      <c r="AC2238" s="4">
        <v>6</v>
      </c>
      <c r="AD2238" s="4">
        <v>123</v>
      </c>
      <c r="AE2238" s="4">
        <v>127</v>
      </c>
      <c r="AF2238" s="4">
        <v>2</v>
      </c>
      <c r="AG2238" s="4">
        <v>4</v>
      </c>
      <c r="AH2238" s="4">
        <v>98</v>
      </c>
      <c r="AI2238" s="4">
        <v>99</v>
      </c>
      <c r="AJ2238" s="4">
        <v>19</v>
      </c>
      <c r="AK2238" s="4">
        <v>22</v>
      </c>
      <c r="AL2238" s="4">
        <v>56</v>
      </c>
      <c r="AM2238" s="4">
        <v>56</v>
      </c>
      <c r="AN2238" s="4">
        <v>0</v>
      </c>
      <c r="AO2238" s="4">
        <v>0</v>
      </c>
      <c r="AP2238" s="4">
        <v>32</v>
      </c>
      <c r="AQ2238" s="4">
        <v>35</v>
      </c>
      <c r="AR2238" s="3" t="s">
        <v>63</v>
      </c>
      <c r="AS2238" s="3" t="s">
        <v>63</v>
      </c>
      <c r="AT2238" s="3" t="s">
        <v>62</v>
      </c>
      <c r="AU2238" s="6" t="str">
        <f>HYPERLINK("http://catalog.hathitrust.org/Record/001061175","HathiTrust Record")</f>
        <v>HathiTrust Record</v>
      </c>
      <c r="AV2238" s="6" t="str">
        <f>HYPERLINK("http://mcgill.on.worldcat.org/oclc/121732","Catalog Record")</f>
        <v>Catalog Record</v>
      </c>
      <c r="AW2238" s="6" t="str">
        <f>HYPERLINK("http://www.worldcat.org/oclc/121732","WorldCat Record")</f>
        <v>WorldCat Record</v>
      </c>
      <c r="AX2238" s="3" t="s">
        <v>18983</v>
      </c>
      <c r="AY2238" s="3" t="s">
        <v>18984</v>
      </c>
      <c r="AZ2238" s="3" t="s">
        <v>18985</v>
      </c>
      <c r="BA2238" s="3" t="s">
        <v>18985</v>
      </c>
      <c r="BB2238" s="3" t="s">
        <v>18992</v>
      </c>
      <c r="BC2238" s="3" t="s">
        <v>82</v>
      </c>
      <c r="BD2238" s="3" t="s">
        <v>70</v>
      </c>
      <c r="BE2238" s="3" t="s">
        <v>18987</v>
      </c>
      <c r="BF2238" s="3" t="s">
        <v>18992</v>
      </c>
      <c r="BG2238" s="3" t="s">
        <v>18993</v>
      </c>
    </row>
    <row r="2239" spans="1:59" ht="60" x14ac:dyDescent="0.25">
      <c r="A2239" s="2" t="s">
        <v>59</v>
      </c>
      <c r="B2239" s="2" t="s">
        <v>60</v>
      </c>
      <c r="C2239" s="2" t="s">
        <v>18994</v>
      </c>
      <c r="D2239" s="2" t="s">
        <v>18995</v>
      </c>
      <c r="E2239" s="2" t="s">
        <v>18996</v>
      </c>
      <c r="G2239" s="3" t="s">
        <v>63</v>
      </c>
      <c r="I2239" s="3" t="s">
        <v>62</v>
      </c>
      <c r="J2239" s="3" t="s">
        <v>62</v>
      </c>
      <c r="K2239" s="3" t="s">
        <v>64</v>
      </c>
      <c r="L2239" s="2" t="s">
        <v>18997</v>
      </c>
      <c r="M2239" s="2" t="s">
        <v>18998</v>
      </c>
      <c r="N2239" s="3" t="s">
        <v>1010</v>
      </c>
      <c r="O2239" s="2" t="s">
        <v>976</v>
      </c>
      <c r="P2239" s="3" t="s">
        <v>66</v>
      </c>
      <c r="R2239" s="3" t="s">
        <v>67</v>
      </c>
      <c r="S2239" s="4">
        <v>11</v>
      </c>
      <c r="T2239" s="4">
        <v>29</v>
      </c>
      <c r="U2239" s="5" t="s">
        <v>18999</v>
      </c>
      <c r="V2239" s="5" t="s">
        <v>19000</v>
      </c>
      <c r="W2239" s="5" t="s">
        <v>69</v>
      </c>
      <c r="X2239" s="5" t="s">
        <v>69</v>
      </c>
      <c r="Y2239" s="4">
        <v>906</v>
      </c>
      <c r="Z2239" s="4">
        <v>38</v>
      </c>
      <c r="AA2239" s="4">
        <v>56</v>
      </c>
      <c r="AB2239" s="4">
        <v>2</v>
      </c>
      <c r="AC2239" s="4">
        <v>4</v>
      </c>
      <c r="AD2239" s="4">
        <v>121</v>
      </c>
      <c r="AE2239" s="4">
        <v>140</v>
      </c>
      <c r="AF2239" s="4">
        <v>1</v>
      </c>
      <c r="AG2239" s="4">
        <v>2</v>
      </c>
      <c r="AH2239" s="4">
        <v>98</v>
      </c>
      <c r="AI2239" s="4">
        <v>108</v>
      </c>
      <c r="AJ2239" s="4">
        <v>19</v>
      </c>
      <c r="AK2239" s="4">
        <v>23</v>
      </c>
      <c r="AL2239" s="4">
        <v>55</v>
      </c>
      <c r="AM2239" s="4">
        <v>60</v>
      </c>
      <c r="AN2239" s="4">
        <v>0</v>
      </c>
      <c r="AO2239" s="4">
        <v>0</v>
      </c>
      <c r="AP2239" s="4">
        <v>28</v>
      </c>
      <c r="AQ2239" s="4">
        <v>36</v>
      </c>
      <c r="AR2239" s="3" t="s">
        <v>63</v>
      </c>
      <c r="AS2239" s="3" t="s">
        <v>63</v>
      </c>
      <c r="AT2239" s="3" t="s">
        <v>63</v>
      </c>
      <c r="AU2239" s="6" t="str">
        <f>HYPERLINK("http://catalog.hathitrust.org/Record/001110425","HathiTrust Record")</f>
        <v>HathiTrust Record</v>
      </c>
      <c r="AV2239" s="6" t="str">
        <f>HYPERLINK("http://mcgill.on.worldcat.org/oclc/174027","Catalog Record")</f>
        <v>Catalog Record</v>
      </c>
      <c r="AW2239" s="6" t="str">
        <f>HYPERLINK("http://www.worldcat.org/oclc/174027","WorldCat Record")</f>
        <v>WorldCat Record</v>
      </c>
      <c r="AX2239" s="3" t="s">
        <v>19001</v>
      </c>
      <c r="AY2239" s="3" t="s">
        <v>19002</v>
      </c>
      <c r="AZ2239" s="3" t="s">
        <v>19003</v>
      </c>
      <c r="BA2239" s="3" t="s">
        <v>19003</v>
      </c>
      <c r="BB2239" s="3" t="s">
        <v>19004</v>
      </c>
      <c r="BC2239" s="3" t="s">
        <v>82</v>
      </c>
      <c r="BD2239" s="3" t="s">
        <v>70</v>
      </c>
      <c r="BF2239" s="3" t="s">
        <v>19004</v>
      </c>
      <c r="BG2239" s="3" t="s">
        <v>19005</v>
      </c>
    </row>
    <row r="2240" spans="1:59" ht="60" x14ac:dyDescent="0.25">
      <c r="A2240" s="2" t="s">
        <v>59</v>
      </c>
      <c r="B2240" s="2" t="s">
        <v>60</v>
      </c>
      <c r="C2240" s="2" t="s">
        <v>18994</v>
      </c>
      <c r="D2240" s="2" t="s">
        <v>18995</v>
      </c>
      <c r="E2240" s="2" t="s">
        <v>18996</v>
      </c>
      <c r="G2240" s="3" t="s">
        <v>63</v>
      </c>
      <c r="I2240" s="3" t="s">
        <v>62</v>
      </c>
      <c r="J2240" s="3" t="s">
        <v>62</v>
      </c>
      <c r="K2240" s="3" t="s">
        <v>64</v>
      </c>
      <c r="L2240" s="2" t="s">
        <v>18997</v>
      </c>
      <c r="M2240" s="2" t="s">
        <v>18998</v>
      </c>
      <c r="N2240" s="3" t="s">
        <v>1010</v>
      </c>
      <c r="O2240" s="2" t="s">
        <v>976</v>
      </c>
      <c r="P2240" s="3" t="s">
        <v>66</v>
      </c>
      <c r="R2240" s="3" t="s">
        <v>67</v>
      </c>
      <c r="S2240" s="4">
        <v>9</v>
      </c>
      <c r="T2240" s="4">
        <v>29</v>
      </c>
      <c r="U2240" s="5" t="s">
        <v>19000</v>
      </c>
      <c r="V2240" s="5" t="s">
        <v>19000</v>
      </c>
      <c r="W2240" s="5" t="s">
        <v>69</v>
      </c>
      <c r="X2240" s="5" t="s">
        <v>69</v>
      </c>
      <c r="Y2240" s="4">
        <v>906</v>
      </c>
      <c r="Z2240" s="4">
        <v>38</v>
      </c>
      <c r="AA2240" s="4">
        <v>56</v>
      </c>
      <c r="AB2240" s="4">
        <v>2</v>
      </c>
      <c r="AC2240" s="4">
        <v>4</v>
      </c>
      <c r="AD2240" s="4">
        <v>121</v>
      </c>
      <c r="AE2240" s="4">
        <v>140</v>
      </c>
      <c r="AF2240" s="4">
        <v>1</v>
      </c>
      <c r="AG2240" s="4">
        <v>2</v>
      </c>
      <c r="AH2240" s="4">
        <v>98</v>
      </c>
      <c r="AI2240" s="4">
        <v>108</v>
      </c>
      <c r="AJ2240" s="4">
        <v>19</v>
      </c>
      <c r="AK2240" s="4">
        <v>23</v>
      </c>
      <c r="AL2240" s="4">
        <v>55</v>
      </c>
      <c r="AM2240" s="4">
        <v>60</v>
      </c>
      <c r="AN2240" s="4">
        <v>0</v>
      </c>
      <c r="AO2240" s="4">
        <v>0</v>
      </c>
      <c r="AP2240" s="4">
        <v>28</v>
      </c>
      <c r="AQ2240" s="4">
        <v>36</v>
      </c>
      <c r="AR2240" s="3" t="s">
        <v>63</v>
      </c>
      <c r="AS2240" s="3" t="s">
        <v>63</v>
      </c>
      <c r="AT2240" s="3" t="s">
        <v>63</v>
      </c>
      <c r="AU2240" s="6" t="str">
        <f>HYPERLINK("http://catalog.hathitrust.org/Record/001110425","HathiTrust Record")</f>
        <v>HathiTrust Record</v>
      </c>
      <c r="AV2240" s="6" t="str">
        <f>HYPERLINK("http://mcgill.on.worldcat.org/oclc/174027","Catalog Record")</f>
        <v>Catalog Record</v>
      </c>
      <c r="AW2240" s="6" t="str">
        <f>HYPERLINK("http://www.worldcat.org/oclc/174027","WorldCat Record")</f>
        <v>WorldCat Record</v>
      </c>
      <c r="AX2240" s="3" t="s">
        <v>19001</v>
      </c>
      <c r="AY2240" s="3" t="s">
        <v>19002</v>
      </c>
      <c r="AZ2240" s="3" t="s">
        <v>19003</v>
      </c>
      <c r="BA2240" s="3" t="s">
        <v>19003</v>
      </c>
      <c r="BB2240" s="3" t="s">
        <v>19006</v>
      </c>
      <c r="BC2240" s="3" t="s">
        <v>82</v>
      </c>
      <c r="BD2240" s="3" t="s">
        <v>70</v>
      </c>
      <c r="BF2240" s="3" t="s">
        <v>19006</v>
      </c>
      <c r="BG2240" s="3" t="s">
        <v>19007</v>
      </c>
    </row>
    <row r="2241" spans="1:59" ht="60" x14ac:dyDescent="0.25">
      <c r="A2241" s="2" t="s">
        <v>59</v>
      </c>
      <c r="B2241" s="2" t="s">
        <v>60</v>
      </c>
      <c r="C2241" s="2" t="s">
        <v>18994</v>
      </c>
      <c r="D2241" s="2" t="s">
        <v>18995</v>
      </c>
      <c r="E2241" s="2" t="s">
        <v>18996</v>
      </c>
      <c r="G2241" s="3" t="s">
        <v>63</v>
      </c>
      <c r="I2241" s="3" t="s">
        <v>62</v>
      </c>
      <c r="J2241" s="3" t="s">
        <v>62</v>
      </c>
      <c r="K2241" s="3" t="s">
        <v>64</v>
      </c>
      <c r="L2241" s="2" t="s">
        <v>18997</v>
      </c>
      <c r="M2241" s="2" t="s">
        <v>18998</v>
      </c>
      <c r="N2241" s="3" t="s">
        <v>1010</v>
      </c>
      <c r="O2241" s="2" t="s">
        <v>976</v>
      </c>
      <c r="P2241" s="3" t="s">
        <v>66</v>
      </c>
      <c r="R2241" s="3" t="s">
        <v>67</v>
      </c>
      <c r="S2241" s="4">
        <v>7</v>
      </c>
      <c r="T2241" s="4">
        <v>29</v>
      </c>
      <c r="U2241" s="5" t="s">
        <v>19008</v>
      </c>
      <c r="V2241" s="5" t="s">
        <v>19000</v>
      </c>
      <c r="W2241" s="5" t="s">
        <v>69</v>
      </c>
      <c r="X2241" s="5" t="s">
        <v>69</v>
      </c>
      <c r="Y2241" s="4">
        <v>906</v>
      </c>
      <c r="Z2241" s="4">
        <v>38</v>
      </c>
      <c r="AA2241" s="4">
        <v>56</v>
      </c>
      <c r="AB2241" s="4">
        <v>2</v>
      </c>
      <c r="AC2241" s="4">
        <v>4</v>
      </c>
      <c r="AD2241" s="4">
        <v>121</v>
      </c>
      <c r="AE2241" s="4">
        <v>140</v>
      </c>
      <c r="AF2241" s="4">
        <v>1</v>
      </c>
      <c r="AG2241" s="4">
        <v>2</v>
      </c>
      <c r="AH2241" s="4">
        <v>98</v>
      </c>
      <c r="AI2241" s="4">
        <v>108</v>
      </c>
      <c r="AJ2241" s="4">
        <v>19</v>
      </c>
      <c r="AK2241" s="4">
        <v>23</v>
      </c>
      <c r="AL2241" s="4">
        <v>55</v>
      </c>
      <c r="AM2241" s="4">
        <v>60</v>
      </c>
      <c r="AN2241" s="4">
        <v>0</v>
      </c>
      <c r="AO2241" s="4">
        <v>0</v>
      </c>
      <c r="AP2241" s="4">
        <v>28</v>
      </c>
      <c r="AQ2241" s="4">
        <v>36</v>
      </c>
      <c r="AR2241" s="3" t="s">
        <v>63</v>
      </c>
      <c r="AS2241" s="3" t="s">
        <v>63</v>
      </c>
      <c r="AT2241" s="3" t="s">
        <v>63</v>
      </c>
      <c r="AU2241" s="6" t="str">
        <f>HYPERLINK("http://catalog.hathitrust.org/Record/001110425","HathiTrust Record")</f>
        <v>HathiTrust Record</v>
      </c>
      <c r="AV2241" s="6" t="str">
        <f>HYPERLINK("http://mcgill.on.worldcat.org/oclc/174027","Catalog Record")</f>
        <v>Catalog Record</v>
      </c>
      <c r="AW2241" s="6" t="str">
        <f>HYPERLINK("http://www.worldcat.org/oclc/174027","WorldCat Record")</f>
        <v>WorldCat Record</v>
      </c>
      <c r="AX2241" s="3" t="s">
        <v>19001</v>
      </c>
      <c r="AY2241" s="3" t="s">
        <v>19002</v>
      </c>
      <c r="AZ2241" s="3" t="s">
        <v>19003</v>
      </c>
      <c r="BA2241" s="3" t="s">
        <v>19003</v>
      </c>
      <c r="BB2241" s="3" t="s">
        <v>19009</v>
      </c>
      <c r="BC2241" s="3" t="s">
        <v>82</v>
      </c>
      <c r="BD2241" s="3" t="s">
        <v>70</v>
      </c>
      <c r="BF2241" s="3" t="s">
        <v>19009</v>
      </c>
      <c r="BG2241" s="3" t="s">
        <v>19010</v>
      </c>
    </row>
    <row r="2242" spans="1:59" ht="60" x14ac:dyDescent="0.25">
      <c r="A2242" s="2" t="s">
        <v>59</v>
      </c>
      <c r="B2242" s="2" t="s">
        <v>60</v>
      </c>
      <c r="C2242" s="2" t="s">
        <v>18994</v>
      </c>
      <c r="D2242" s="2" t="s">
        <v>18995</v>
      </c>
      <c r="E2242" s="2" t="s">
        <v>18996</v>
      </c>
      <c r="G2242" s="3" t="s">
        <v>63</v>
      </c>
      <c r="I2242" s="3" t="s">
        <v>62</v>
      </c>
      <c r="J2242" s="3" t="s">
        <v>62</v>
      </c>
      <c r="K2242" s="3" t="s">
        <v>64</v>
      </c>
      <c r="L2242" s="2" t="s">
        <v>18997</v>
      </c>
      <c r="M2242" s="2" t="s">
        <v>18998</v>
      </c>
      <c r="N2242" s="3" t="s">
        <v>1010</v>
      </c>
      <c r="O2242" s="2" t="s">
        <v>976</v>
      </c>
      <c r="P2242" s="3" t="s">
        <v>66</v>
      </c>
      <c r="R2242" s="3" t="s">
        <v>67</v>
      </c>
      <c r="S2242" s="4">
        <v>2</v>
      </c>
      <c r="T2242" s="4">
        <v>29</v>
      </c>
      <c r="U2242" s="5" t="s">
        <v>19011</v>
      </c>
      <c r="V2242" s="5" t="s">
        <v>19000</v>
      </c>
      <c r="W2242" s="5" t="s">
        <v>69</v>
      </c>
      <c r="X2242" s="5" t="s">
        <v>69</v>
      </c>
      <c r="Y2242" s="4">
        <v>906</v>
      </c>
      <c r="Z2242" s="4">
        <v>38</v>
      </c>
      <c r="AA2242" s="4">
        <v>56</v>
      </c>
      <c r="AB2242" s="4">
        <v>2</v>
      </c>
      <c r="AC2242" s="4">
        <v>4</v>
      </c>
      <c r="AD2242" s="4">
        <v>121</v>
      </c>
      <c r="AE2242" s="4">
        <v>140</v>
      </c>
      <c r="AF2242" s="4">
        <v>1</v>
      </c>
      <c r="AG2242" s="4">
        <v>2</v>
      </c>
      <c r="AH2242" s="4">
        <v>98</v>
      </c>
      <c r="AI2242" s="4">
        <v>108</v>
      </c>
      <c r="AJ2242" s="4">
        <v>19</v>
      </c>
      <c r="AK2242" s="4">
        <v>23</v>
      </c>
      <c r="AL2242" s="4">
        <v>55</v>
      </c>
      <c r="AM2242" s="4">
        <v>60</v>
      </c>
      <c r="AN2242" s="4">
        <v>0</v>
      </c>
      <c r="AO2242" s="4">
        <v>0</v>
      </c>
      <c r="AP2242" s="4">
        <v>28</v>
      </c>
      <c r="AQ2242" s="4">
        <v>36</v>
      </c>
      <c r="AR2242" s="3" t="s">
        <v>63</v>
      </c>
      <c r="AS2242" s="3" t="s">
        <v>63</v>
      </c>
      <c r="AT2242" s="3" t="s">
        <v>63</v>
      </c>
      <c r="AU2242" s="6" t="str">
        <f>HYPERLINK("http://catalog.hathitrust.org/Record/001110425","HathiTrust Record")</f>
        <v>HathiTrust Record</v>
      </c>
      <c r="AV2242" s="6" t="str">
        <f>HYPERLINK("http://mcgill.on.worldcat.org/oclc/174027","Catalog Record")</f>
        <v>Catalog Record</v>
      </c>
      <c r="AW2242" s="6" t="str">
        <f>HYPERLINK("http://www.worldcat.org/oclc/174027","WorldCat Record")</f>
        <v>WorldCat Record</v>
      </c>
      <c r="AX2242" s="3" t="s">
        <v>19001</v>
      </c>
      <c r="AY2242" s="3" t="s">
        <v>19002</v>
      </c>
      <c r="AZ2242" s="3" t="s">
        <v>19003</v>
      </c>
      <c r="BA2242" s="3" t="s">
        <v>19003</v>
      </c>
      <c r="BB2242" s="3" t="s">
        <v>19012</v>
      </c>
      <c r="BC2242" s="3" t="s">
        <v>82</v>
      </c>
      <c r="BD2242" s="3" t="s">
        <v>70</v>
      </c>
      <c r="BF2242" s="3" t="s">
        <v>19012</v>
      </c>
      <c r="BG2242" s="3" t="s">
        <v>19013</v>
      </c>
    </row>
    <row r="2243" spans="1:59" ht="60" x14ac:dyDescent="0.25">
      <c r="A2243" s="2" t="s">
        <v>59</v>
      </c>
      <c r="B2243" s="2" t="s">
        <v>60</v>
      </c>
      <c r="C2243" s="2" t="s">
        <v>19014</v>
      </c>
      <c r="D2243" s="2" t="s">
        <v>19015</v>
      </c>
      <c r="E2243" s="2" t="s">
        <v>19016</v>
      </c>
      <c r="G2243" s="3" t="s">
        <v>63</v>
      </c>
      <c r="I2243" s="3" t="s">
        <v>63</v>
      </c>
      <c r="J2243" s="3" t="s">
        <v>63</v>
      </c>
      <c r="K2243" s="3" t="s">
        <v>64</v>
      </c>
      <c r="M2243" s="2" t="s">
        <v>19017</v>
      </c>
      <c r="N2243" s="3" t="s">
        <v>313</v>
      </c>
      <c r="P2243" s="3" t="s">
        <v>548</v>
      </c>
      <c r="Q2243" s="2" t="s">
        <v>19018</v>
      </c>
      <c r="R2243" s="3" t="s">
        <v>67</v>
      </c>
      <c r="S2243" s="4">
        <v>1</v>
      </c>
      <c r="T2243" s="4">
        <v>1</v>
      </c>
      <c r="U2243" s="5" t="s">
        <v>19019</v>
      </c>
      <c r="V2243" s="5" t="s">
        <v>19019</v>
      </c>
      <c r="W2243" s="5" t="s">
        <v>69</v>
      </c>
      <c r="X2243" s="5" t="s">
        <v>69</v>
      </c>
      <c r="Y2243" s="4">
        <v>35</v>
      </c>
      <c r="Z2243" s="4">
        <v>3</v>
      </c>
      <c r="AA2243" s="4">
        <v>5</v>
      </c>
      <c r="AB2243" s="4">
        <v>1</v>
      </c>
      <c r="AC2243" s="4">
        <v>2</v>
      </c>
      <c r="AD2243" s="4">
        <v>22</v>
      </c>
      <c r="AE2243" s="4">
        <v>24</v>
      </c>
      <c r="AF2243" s="4">
        <v>0</v>
      </c>
      <c r="AG2243" s="4">
        <v>1</v>
      </c>
      <c r="AH2243" s="4">
        <v>21</v>
      </c>
      <c r="AI2243" s="4">
        <v>23</v>
      </c>
      <c r="AJ2243" s="4">
        <v>1</v>
      </c>
      <c r="AK2243" s="4">
        <v>3</v>
      </c>
      <c r="AL2243" s="4">
        <v>19</v>
      </c>
      <c r="AM2243" s="4">
        <v>19</v>
      </c>
      <c r="AN2243" s="4">
        <v>0</v>
      </c>
      <c r="AO2243" s="4">
        <v>0</v>
      </c>
      <c r="AP2243" s="4">
        <v>1</v>
      </c>
      <c r="AQ2243" s="4">
        <v>3</v>
      </c>
      <c r="AR2243" s="3" t="s">
        <v>63</v>
      </c>
      <c r="AS2243" s="3" t="s">
        <v>63</v>
      </c>
      <c r="AT2243" s="3" t="s">
        <v>62</v>
      </c>
      <c r="AU2243" s="6" t="str">
        <f>HYPERLINK("http://catalog.hathitrust.org/Record/009459069","HathiTrust Record")</f>
        <v>HathiTrust Record</v>
      </c>
      <c r="AV2243" s="6" t="str">
        <f>HYPERLINK("http://mcgill.on.worldcat.org/oclc/694829418","Catalog Record")</f>
        <v>Catalog Record</v>
      </c>
      <c r="AW2243" s="6" t="str">
        <f>HYPERLINK("http://www.worldcat.org/oclc/694829418","WorldCat Record")</f>
        <v>WorldCat Record</v>
      </c>
      <c r="AX2243" s="3" t="s">
        <v>19020</v>
      </c>
      <c r="AY2243" s="3" t="s">
        <v>19021</v>
      </c>
      <c r="AZ2243" s="3" t="s">
        <v>19022</v>
      </c>
      <c r="BA2243" s="3" t="s">
        <v>19022</v>
      </c>
      <c r="BB2243" s="3" t="s">
        <v>19023</v>
      </c>
      <c r="BC2243" s="3" t="s">
        <v>82</v>
      </c>
      <c r="BD2243" s="3" t="s">
        <v>70</v>
      </c>
      <c r="BE2243" s="3" t="s">
        <v>19024</v>
      </c>
      <c r="BF2243" s="3" t="s">
        <v>19023</v>
      </c>
      <c r="BG2243" s="3" t="s">
        <v>19025</v>
      </c>
    </row>
    <row r="2244" spans="1:59" ht="60" x14ac:dyDescent="0.25">
      <c r="A2244" s="2" t="s">
        <v>59</v>
      </c>
      <c r="B2244" s="2" t="s">
        <v>60</v>
      </c>
      <c r="C2244" s="2" t="s">
        <v>19026</v>
      </c>
      <c r="D2244" s="2" t="s">
        <v>19027</v>
      </c>
      <c r="E2244" s="2" t="s">
        <v>19028</v>
      </c>
      <c r="G2244" s="3" t="s">
        <v>63</v>
      </c>
      <c r="I2244" s="3" t="s">
        <v>63</v>
      </c>
      <c r="J2244" s="3" t="s">
        <v>63</v>
      </c>
      <c r="K2244" s="3" t="s">
        <v>64</v>
      </c>
      <c r="L2244" s="2" t="s">
        <v>19029</v>
      </c>
      <c r="M2244" s="2" t="s">
        <v>12956</v>
      </c>
      <c r="N2244" s="3" t="s">
        <v>706</v>
      </c>
      <c r="P2244" s="3" t="s">
        <v>66</v>
      </c>
      <c r="Q2244" s="2" t="s">
        <v>12957</v>
      </c>
      <c r="R2244" s="3" t="s">
        <v>67</v>
      </c>
      <c r="S2244" s="4">
        <v>42</v>
      </c>
      <c r="T2244" s="4">
        <v>42</v>
      </c>
      <c r="U2244" s="5" t="s">
        <v>18899</v>
      </c>
      <c r="V2244" s="5" t="s">
        <v>18899</v>
      </c>
      <c r="W2244" s="5" t="s">
        <v>69</v>
      </c>
      <c r="X2244" s="5" t="s">
        <v>69</v>
      </c>
      <c r="Y2244" s="4">
        <v>554</v>
      </c>
      <c r="Z2244" s="4">
        <v>25</v>
      </c>
      <c r="AA2244" s="4">
        <v>26</v>
      </c>
      <c r="AB2244" s="4">
        <v>1</v>
      </c>
      <c r="AC2244" s="4">
        <v>2</v>
      </c>
      <c r="AD2244" s="4">
        <v>95</v>
      </c>
      <c r="AE2244" s="4">
        <v>95</v>
      </c>
      <c r="AF2244" s="4">
        <v>0</v>
      </c>
      <c r="AG2244" s="4">
        <v>0</v>
      </c>
      <c r="AH2244" s="4">
        <v>87</v>
      </c>
      <c r="AI2244" s="4">
        <v>87</v>
      </c>
      <c r="AJ2244" s="4">
        <v>13</v>
      </c>
      <c r="AK2244" s="4">
        <v>13</v>
      </c>
      <c r="AL2244" s="4">
        <v>50</v>
      </c>
      <c r="AM2244" s="4">
        <v>50</v>
      </c>
      <c r="AN2244" s="4">
        <v>0</v>
      </c>
      <c r="AO2244" s="4">
        <v>0</v>
      </c>
      <c r="AP2244" s="4">
        <v>14</v>
      </c>
      <c r="AQ2244" s="4">
        <v>14</v>
      </c>
      <c r="AR2244" s="3" t="s">
        <v>63</v>
      </c>
      <c r="AS2244" s="3" t="s">
        <v>63</v>
      </c>
      <c r="AT2244" s="3" t="s">
        <v>62</v>
      </c>
      <c r="AU2244" s="6" t="str">
        <f>HYPERLINK("http://catalog.hathitrust.org/Record/000445261","HathiTrust Record")</f>
        <v>HathiTrust Record</v>
      </c>
      <c r="AV2244" s="6" t="str">
        <f>HYPERLINK("http://mcgill.on.worldcat.org/oclc/12723048","Catalog Record")</f>
        <v>Catalog Record</v>
      </c>
      <c r="AW2244" s="6" t="str">
        <f>HYPERLINK("http://www.worldcat.org/oclc/12723048","WorldCat Record")</f>
        <v>WorldCat Record</v>
      </c>
      <c r="AX2244" s="3" t="s">
        <v>19030</v>
      </c>
      <c r="AY2244" s="3" t="s">
        <v>19031</v>
      </c>
      <c r="AZ2244" s="3" t="s">
        <v>19032</v>
      </c>
      <c r="BA2244" s="3" t="s">
        <v>19032</v>
      </c>
      <c r="BB2244" s="3" t="s">
        <v>19033</v>
      </c>
      <c r="BC2244" s="3" t="s">
        <v>82</v>
      </c>
      <c r="BD2244" s="3" t="s">
        <v>538</v>
      </c>
      <c r="BE2244" s="3" t="s">
        <v>19034</v>
      </c>
      <c r="BF2244" s="3" t="s">
        <v>19033</v>
      </c>
      <c r="BG2244" s="3" t="s">
        <v>19035</v>
      </c>
    </row>
    <row r="2245" spans="1:59" ht="60" x14ac:dyDescent="0.25">
      <c r="A2245" s="2" t="s">
        <v>59</v>
      </c>
      <c r="B2245" s="2" t="s">
        <v>60</v>
      </c>
      <c r="C2245" s="2" t="s">
        <v>19036</v>
      </c>
      <c r="D2245" s="2" t="s">
        <v>19037</v>
      </c>
      <c r="E2245" s="2" t="s">
        <v>19038</v>
      </c>
      <c r="G2245" s="3" t="s">
        <v>63</v>
      </c>
      <c r="I2245" s="3" t="s">
        <v>63</v>
      </c>
      <c r="J2245" s="3" t="s">
        <v>63</v>
      </c>
      <c r="K2245" s="3" t="s">
        <v>64</v>
      </c>
      <c r="L2245" s="2" t="s">
        <v>8562</v>
      </c>
      <c r="M2245" s="2" t="s">
        <v>19039</v>
      </c>
      <c r="N2245" s="3" t="s">
        <v>629</v>
      </c>
      <c r="P2245" s="3" t="s">
        <v>66</v>
      </c>
      <c r="Q2245" s="2" t="s">
        <v>16458</v>
      </c>
      <c r="R2245" s="3" t="s">
        <v>67</v>
      </c>
      <c r="S2245" s="4">
        <v>3</v>
      </c>
      <c r="T2245" s="4">
        <v>3</v>
      </c>
      <c r="U2245" s="5" t="s">
        <v>8037</v>
      </c>
      <c r="V2245" s="5" t="s">
        <v>8037</v>
      </c>
      <c r="W2245" s="5" t="s">
        <v>69</v>
      </c>
      <c r="X2245" s="5" t="s">
        <v>69</v>
      </c>
      <c r="Y2245" s="4">
        <v>222</v>
      </c>
      <c r="Z2245" s="4">
        <v>16</v>
      </c>
      <c r="AA2245" s="4">
        <v>85</v>
      </c>
      <c r="AB2245" s="4">
        <v>1</v>
      </c>
      <c r="AC2245" s="4">
        <v>15</v>
      </c>
      <c r="AD2245" s="4">
        <v>86</v>
      </c>
      <c r="AE2245" s="4">
        <v>135</v>
      </c>
      <c r="AF2245" s="4">
        <v>0</v>
      </c>
      <c r="AG2245" s="4">
        <v>8</v>
      </c>
      <c r="AH2245" s="4">
        <v>80</v>
      </c>
      <c r="AI2245" s="4">
        <v>100</v>
      </c>
      <c r="AJ2245" s="4">
        <v>10</v>
      </c>
      <c r="AK2245" s="4">
        <v>23</v>
      </c>
      <c r="AL2245" s="4">
        <v>50</v>
      </c>
      <c r="AM2245" s="4">
        <v>56</v>
      </c>
      <c r="AN2245" s="4">
        <v>0</v>
      </c>
      <c r="AO2245" s="4">
        <v>0</v>
      </c>
      <c r="AP2245" s="4">
        <v>10</v>
      </c>
      <c r="AQ2245" s="4">
        <v>43</v>
      </c>
      <c r="AR2245" s="3" t="s">
        <v>63</v>
      </c>
      <c r="AS2245" s="3" t="s">
        <v>63</v>
      </c>
      <c r="AT2245" s="3" t="s">
        <v>62</v>
      </c>
      <c r="AU2245" s="6" t="str">
        <f>HYPERLINK("http://catalog.hathitrust.org/Record/009451609","HathiTrust Record")</f>
        <v>HathiTrust Record</v>
      </c>
      <c r="AV2245" s="6" t="str">
        <f>HYPERLINK("http://mcgill.on.worldcat.org/oclc/601349211","Catalog Record")</f>
        <v>Catalog Record</v>
      </c>
      <c r="AW2245" s="6" t="str">
        <f>HYPERLINK("http://www.worldcat.org/oclc/601349211","WorldCat Record")</f>
        <v>WorldCat Record</v>
      </c>
      <c r="AX2245" s="3" t="s">
        <v>19040</v>
      </c>
      <c r="AY2245" s="3" t="s">
        <v>19041</v>
      </c>
      <c r="AZ2245" s="3" t="s">
        <v>19042</v>
      </c>
      <c r="BA2245" s="3" t="s">
        <v>19042</v>
      </c>
      <c r="BB2245" s="3" t="s">
        <v>19043</v>
      </c>
      <c r="BC2245" s="3" t="s">
        <v>82</v>
      </c>
      <c r="BD2245" s="3" t="s">
        <v>70</v>
      </c>
      <c r="BE2245" s="3" t="s">
        <v>19044</v>
      </c>
      <c r="BF2245" s="3" t="s">
        <v>19043</v>
      </c>
      <c r="BG2245" s="3" t="s">
        <v>19045</v>
      </c>
    </row>
    <row r="2246" spans="1:59" ht="60" x14ac:dyDescent="0.25">
      <c r="A2246" s="2" t="s">
        <v>59</v>
      </c>
      <c r="B2246" s="2" t="s">
        <v>60</v>
      </c>
      <c r="C2246" s="2" t="s">
        <v>19046</v>
      </c>
      <c r="D2246" s="2" t="s">
        <v>19047</v>
      </c>
      <c r="E2246" s="2" t="s">
        <v>19048</v>
      </c>
      <c r="G2246" s="3" t="s">
        <v>63</v>
      </c>
      <c r="I2246" s="3" t="s">
        <v>63</v>
      </c>
      <c r="J2246" s="3" t="s">
        <v>63</v>
      </c>
      <c r="K2246" s="3" t="s">
        <v>64</v>
      </c>
      <c r="M2246" s="2" t="s">
        <v>19049</v>
      </c>
      <c r="N2246" s="3" t="s">
        <v>313</v>
      </c>
      <c r="P2246" s="3" t="s">
        <v>66</v>
      </c>
      <c r="R2246" s="3" t="s">
        <v>67</v>
      </c>
      <c r="S2246" s="4">
        <v>5</v>
      </c>
      <c r="T2246" s="4">
        <v>5</v>
      </c>
      <c r="U2246" s="5" t="s">
        <v>19050</v>
      </c>
      <c r="V2246" s="5" t="s">
        <v>19050</v>
      </c>
      <c r="W2246" s="5" t="s">
        <v>69</v>
      </c>
      <c r="X2246" s="5" t="s">
        <v>69</v>
      </c>
      <c r="Y2246" s="4">
        <v>115</v>
      </c>
      <c r="Z2246" s="4">
        <v>8</v>
      </c>
      <c r="AA2246" s="4">
        <v>79</v>
      </c>
      <c r="AB2246" s="4">
        <v>1</v>
      </c>
      <c r="AC2246" s="4">
        <v>14</v>
      </c>
      <c r="AD2246" s="4">
        <v>58</v>
      </c>
      <c r="AE2246" s="4">
        <v>125</v>
      </c>
      <c r="AF2246" s="4">
        <v>0</v>
      </c>
      <c r="AG2246" s="4">
        <v>8</v>
      </c>
      <c r="AH2246" s="4">
        <v>54</v>
      </c>
      <c r="AI2246" s="4">
        <v>90</v>
      </c>
      <c r="AJ2246" s="4">
        <v>5</v>
      </c>
      <c r="AK2246" s="4">
        <v>21</v>
      </c>
      <c r="AL2246" s="4">
        <v>35</v>
      </c>
      <c r="AM2246" s="4">
        <v>53</v>
      </c>
      <c r="AN2246" s="4">
        <v>0</v>
      </c>
      <c r="AO2246" s="4">
        <v>0</v>
      </c>
      <c r="AP2246" s="4">
        <v>6</v>
      </c>
      <c r="AQ2246" s="4">
        <v>41</v>
      </c>
      <c r="AR2246" s="3" t="s">
        <v>63</v>
      </c>
      <c r="AS2246" s="3" t="s">
        <v>63</v>
      </c>
      <c r="AT2246" s="3" t="s">
        <v>63</v>
      </c>
      <c r="AV2246" s="6" t="str">
        <f>HYPERLINK("http://mcgill.on.worldcat.org/oclc/649827381","Catalog Record")</f>
        <v>Catalog Record</v>
      </c>
      <c r="AW2246" s="6" t="str">
        <f>HYPERLINK("http://www.worldcat.org/oclc/649827381","WorldCat Record")</f>
        <v>WorldCat Record</v>
      </c>
      <c r="AX2246" s="3" t="s">
        <v>19051</v>
      </c>
      <c r="AY2246" s="3" t="s">
        <v>19052</v>
      </c>
      <c r="AZ2246" s="3" t="s">
        <v>19053</v>
      </c>
      <c r="BA2246" s="3" t="s">
        <v>19053</v>
      </c>
      <c r="BB2246" s="3" t="s">
        <v>19054</v>
      </c>
      <c r="BC2246" s="3" t="s">
        <v>82</v>
      </c>
      <c r="BD2246" s="3" t="s">
        <v>70</v>
      </c>
      <c r="BE2246" s="3" t="s">
        <v>19055</v>
      </c>
      <c r="BF2246" s="3" t="s">
        <v>19054</v>
      </c>
      <c r="BG2246" s="3" t="s">
        <v>19056</v>
      </c>
    </row>
    <row r="2247" spans="1:59" ht="60" x14ac:dyDescent="0.25">
      <c r="A2247" s="2" t="s">
        <v>59</v>
      </c>
      <c r="B2247" s="2" t="s">
        <v>60</v>
      </c>
      <c r="C2247" s="2" t="s">
        <v>19057</v>
      </c>
      <c r="D2247" s="2" t="s">
        <v>19058</v>
      </c>
      <c r="E2247" s="2" t="s">
        <v>19059</v>
      </c>
      <c r="G2247" s="3" t="s">
        <v>63</v>
      </c>
      <c r="I2247" s="3" t="s">
        <v>63</v>
      </c>
      <c r="J2247" s="3" t="s">
        <v>63</v>
      </c>
      <c r="K2247" s="3" t="s">
        <v>64</v>
      </c>
      <c r="M2247" s="2" t="s">
        <v>19060</v>
      </c>
      <c r="N2247" s="3" t="s">
        <v>814</v>
      </c>
      <c r="P2247" s="3" t="s">
        <v>90</v>
      </c>
      <c r="R2247" s="3" t="s">
        <v>67</v>
      </c>
      <c r="S2247" s="4">
        <v>1</v>
      </c>
      <c r="T2247" s="4">
        <v>1</v>
      </c>
      <c r="U2247" s="5" t="s">
        <v>4818</v>
      </c>
      <c r="V2247" s="5" t="s">
        <v>4818</v>
      </c>
      <c r="W2247" s="5" t="s">
        <v>69</v>
      </c>
      <c r="X2247" s="5" t="s">
        <v>69</v>
      </c>
      <c r="Y2247" s="4">
        <v>80</v>
      </c>
      <c r="Z2247" s="4">
        <v>9</v>
      </c>
      <c r="AA2247" s="4">
        <v>10</v>
      </c>
      <c r="AB2247" s="4">
        <v>1</v>
      </c>
      <c r="AC2247" s="4">
        <v>1</v>
      </c>
      <c r="AD2247" s="4">
        <v>57</v>
      </c>
      <c r="AE2247" s="4">
        <v>60</v>
      </c>
      <c r="AF2247" s="4">
        <v>0</v>
      </c>
      <c r="AG2247" s="4">
        <v>0</v>
      </c>
      <c r="AH2247" s="4">
        <v>53</v>
      </c>
      <c r="AI2247" s="4">
        <v>56</v>
      </c>
      <c r="AJ2247" s="4">
        <v>7</v>
      </c>
      <c r="AK2247" s="4">
        <v>8</v>
      </c>
      <c r="AL2247" s="4">
        <v>34</v>
      </c>
      <c r="AM2247" s="4">
        <v>36</v>
      </c>
      <c r="AN2247" s="4">
        <v>0</v>
      </c>
      <c r="AO2247" s="4">
        <v>0</v>
      </c>
      <c r="AP2247" s="4">
        <v>7</v>
      </c>
      <c r="AQ2247" s="4">
        <v>8</v>
      </c>
      <c r="AR2247" s="3" t="s">
        <v>63</v>
      </c>
      <c r="AS2247" s="3" t="s">
        <v>63</v>
      </c>
      <c r="AT2247" s="3" t="s">
        <v>62</v>
      </c>
      <c r="AU2247" s="6" t="str">
        <f>HYPERLINK("http://catalog.hathitrust.org/Record/007852608","HathiTrust Record")</f>
        <v>HathiTrust Record</v>
      </c>
      <c r="AV2247" s="6" t="str">
        <f>HYPERLINK("http://mcgill.on.worldcat.org/oclc/5334490","Catalog Record")</f>
        <v>Catalog Record</v>
      </c>
      <c r="AW2247" s="6" t="str">
        <f>HYPERLINK("http://www.worldcat.org/oclc/5334490","WorldCat Record")</f>
        <v>WorldCat Record</v>
      </c>
      <c r="AX2247" s="3" t="s">
        <v>19061</v>
      </c>
      <c r="AY2247" s="3" t="s">
        <v>19062</v>
      </c>
      <c r="AZ2247" s="3" t="s">
        <v>19063</v>
      </c>
      <c r="BA2247" s="3" t="s">
        <v>19063</v>
      </c>
      <c r="BB2247" s="3" t="s">
        <v>19064</v>
      </c>
      <c r="BC2247" s="3" t="s">
        <v>82</v>
      </c>
      <c r="BD2247" s="3" t="s">
        <v>70</v>
      </c>
      <c r="BF2247" s="3" t="s">
        <v>19064</v>
      </c>
      <c r="BG2247" s="3" t="s">
        <v>19065</v>
      </c>
    </row>
    <row r="2248" spans="1:59" ht="60" x14ac:dyDescent="0.25">
      <c r="A2248" s="2" t="s">
        <v>59</v>
      </c>
      <c r="B2248" s="2" t="s">
        <v>60</v>
      </c>
      <c r="C2248" s="2" t="s">
        <v>19066</v>
      </c>
      <c r="D2248" s="2" t="s">
        <v>19067</v>
      </c>
      <c r="E2248" s="2" t="s">
        <v>19068</v>
      </c>
      <c r="G2248" s="3" t="s">
        <v>63</v>
      </c>
      <c r="I2248" s="3" t="s">
        <v>63</v>
      </c>
      <c r="J2248" s="3" t="s">
        <v>63</v>
      </c>
      <c r="K2248" s="3" t="s">
        <v>64</v>
      </c>
      <c r="L2248" s="2" t="s">
        <v>19069</v>
      </c>
      <c r="M2248" s="2" t="s">
        <v>19070</v>
      </c>
      <c r="N2248" s="3" t="s">
        <v>2535</v>
      </c>
      <c r="P2248" s="3" t="s">
        <v>66</v>
      </c>
      <c r="R2248" s="3" t="s">
        <v>67</v>
      </c>
      <c r="S2248" s="4">
        <v>21</v>
      </c>
      <c r="T2248" s="4">
        <v>21</v>
      </c>
      <c r="U2248" s="5" t="s">
        <v>19071</v>
      </c>
      <c r="V2248" s="5" t="s">
        <v>19071</v>
      </c>
      <c r="W2248" s="5" t="s">
        <v>69</v>
      </c>
      <c r="X2248" s="5" t="s">
        <v>69</v>
      </c>
      <c r="Y2248" s="4">
        <v>773</v>
      </c>
      <c r="Z2248" s="4">
        <v>40</v>
      </c>
      <c r="AA2248" s="4">
        <v>41</v>
      </c>
      <c r="AB2248" s="4">
        <v>4</v>
      </c>
      <c r="AC2248" s="4">
        <v>4</v>
      </c>
      <c r="AD2248" s="4">
        <v>127</v>
      </c>
      <c r="AE2248" s="4">
        <v>128</v>
      </c>
      <c r="AF2248" s="4">
        <v>2</v>
      </c>
      <c r="AG2248" s="4">
        <v>2</v>
      </c>
      <c r="AH2248" s="4">
        <v>105</v>
      </c>
      <c r="AI2248" s="4">
        <v>105</v>
      </c>
      <c r="AJ2248" s="4">
        <v>20</v>
      </c>
      <c r="AK2248" s="4">
        <v>20</v>
      </c>
      <c r="AL2248" s="4">
        <v>57</v>
      </c>
      <c r="AM2248" s="4">
        <v>57</v>
      </c>
      <c r="AN2248" s="4">
        <v>0</v>
      </c>
      <c r="AO2248" s="4">
        <v>0</v>
      </c>
      <c r="AP2248" s="4">
        <v>27</v>
      </c>
      <c r="AQ2248" s="4">
        <v>28</v>
      </c>
      <c r="AR2248" s="3" t="s">
        <v>63</v>
      </c>
      <c r="AS2248" s="3" t="s">
        <v>63</v>
      </c>
      <c r="AT2248" s="3" t="s">
        <v>62</v>
      </c>
      <c r="AU2248" s="6" t="str">
        <f>HYPERLINK("http://catalog.hathitrust.org/Record/001110426","HathiTrust Record")</f>
        <v>HathiTrust Record</v>
      </c>
      <c r="AV2248" s="6" t="str">
        <f>HYPERLINK("http://mcgill.on.worldcat.org/oclc/800476","Catalog Record")</f>
        <v>Catalog Record</v>
      </c>
      <c r="AW2248" s="6" t="str">
        <f>HYPERLINK("http://www.worldcat.org/oclc/800476","WorldCat Record")</f>
        <v>WorldCat Record</v>
      </c>
      <c r="AX2248" s="3" t="s">
        <v>19072</v>
      </c>
      <c r="AY2248" s="3" t="s">
        <v>19073</v>
      </c>
      <c r="AZ2248" s="3" t="s">
        <v>19074</v>
      </c>
      <c r="BA2248" s="3" t="s">
        <v>19074</v>
      </c>
      <c r="BB2248" s="3" t="s">
        <v>19075</v>
      </c>
      <c r="BC2248" s="3" t="s">
        <v>82</v>
      </c>
      <c r="BD2248" s="3" t="s">
        <v>70</v>
      </c>
      <c r="BE2248" s="3" t="s">
        <v>19076</v>
      </c>
      <c r="BF2248" s="3" t="s">
        <v>19075</v>
      </c>
      <c r="BG2248" s="3" t="s">
        <v>19077</v>
      </c>
    </row>
    <row r="2249" spans="1:59" ht="60" x14ac:dyDescent="0.25">
      <c r="A2249" s="2" t="s">
        <v>59</v>
      </c>
      <c r="B2249" s="2" t="s">
        <v>60</v>
      </c>
      <c r="C2249" s="2" t="s">
        <v>19078</v>
      </c>
      <c r="D2249" s="2" t="s">
        <v>19079</v>
      </c>
      <c r="E2249" s="2" t="s">
        <v>19080</v>
      </c>
      <c r="G2249" s="3" t="s">
        <v>63</v>
      </c>
      <c r="I2249" s="3" t="s">
        <v>63</v>
      </c>
      <c r="J2249" s="3" t="s">
        <v>63</v>
      </c>
      <c r="K2249" s="3" t="s">
        <v>64</v>
      </c>
      <c r="M2249" s="2" t="s">
        <v>19081</v>
      </c>
      <c r="N2249" s="3" t="s">
        <v>1226</v>
      </c>
      <c r="P2249" s="3" t="s">
        <v>548</v>
      </c>
      <c r="Q2249" s="2" t="s">
        <v>19082</v>
      </c>
      <c r="R2249" s="3" t="s">
        <v>67</v>
      </c>
      <c r="S2249" s="4">
        <v>4</v>
      </c>
      <c r="T2249" s="4">
        <v>4</v>
      </c>
      <c r="U2249" s="5" t="s">
        <v>4818</v>
      </c>
      <c r="V2249" s="5" t="s">
        <v>4818</v>
      </c>
      <c r="W2249" s="5" t="s">
        <v>69</v>
      </c>
      <c r="X2249" s="5" t="s">
        <v>69</v>
      </c>
      <c r="Y2249" s="4">
        <v>34</v>
      </c>
      <c r="Z2249" s="4">
        <v>3</v>
      </c>
      <c r="AA2249" s="4">
        <v>3</v>
      </c>
      <c r="AB2249" s="4">
        <v>1</v>
      </c>
      <c r="AC2249" s="4">
        <v>1</v>
      </c>
      <c r="AD2249" s="4">
        <v>22</v>
      </c>
      <c r="AE2249" s="4">
        <v>22</v>
      </c>
      <c r="AF2249" s="4">
        <v>0</v>
      </c>
      <c r="AG2249" s="4">
        <v>0</v>
      </c>
      <c r="AH2249" s="4">
        <v>21</v>
      </c>
      <c r="AI2249" s="4">
        <v>21</v>
      </c>
      <c r="AJ2249" s="4">
        <v>1</v>
      </c>
      <c r="AK2249" s="4">
        <v>1</v>
      </c>
      <c r="AL2249" s="4">
        <v>18</v>
      </c>
      <c r="AM2249" s="4">
        <v>18</v>
      </c>
      <c r="AN2249" s="4">
        <v>0</v>
      </c>
      <c r="AO2249" s="4">
        <v>0</v>
      </c>
      <c r="AP2249" s="4">
        <v>1</v>
      </c>
      <c r="AQ2249" s="4">
        <v>1</v>
      </c>
      <c r="AR2249" s="3" t="s">
        <v>63</v>
      </c>
      <c r="AS2249" s="3" t="s">
        <v>63</v>
      </c>
      <c r="AT2249" s="3" t="s">
        <v>63</v>
      </c>
      <c r="AV2249" s="6" t="str">
        <f>HYPERLINK("http://mcgill.on.worldcat.org/oclc/52133572","Catalog Record")</f>
        <v>Catalog Record</v>
      </c>
      <c r="AW2249" s="6" t="str">
        <f>HYPERLINK("http://www.worldcat.org/oclc/52133572","WorldCat Record")</f>
        <v>WorldCat Record</v>
      </c>
      <c r="AX2249" s="3" t="s">
        <v>19083</v>
      </c>
      <c r="AY2249" s="3" t="s">
        <v>19084</v>
      </c>
      <c r="AZ2249" s="3" t="s">
        <v>19085</v>
      </c>
      <c r="BA2249" s="3" t="s">
        <v>19085</v>
      </c>
      <c r="BB2249" s="3" t="s">
        <v>19086</v>
      </c>
      <c r="BC2249" s="3" t="s">
        <v>82</v>
      </c>
      <c r="BD2249" s="3" t="s">
        <v>70</v>
      </c>
      <c r="BE2249" s="3" t="s">
        <v>19087</v>
      </c>
      <c r="BF2249" s="3" t="s">
        <v>19086</v>
      </c>
      <c r="BG2249" s="3" t="s">
        <v>19088</v>
      </c>
    </row>
    <row r="2250" spans="1:59" ht="60" x14ac:dyDescent="0.25">
      <c r="A2250" s="2" t="s">
        <v>59</v>
      </c>
      <c r="B2250" s="2" t="s">
        <v>60</v>
      </c>
      <c r="C2250" s="2" t="s">
        <v>19089</v>
      </c>
      <c r="D2250" s="2" t="s">
        <v>19090</v>
      </c>
      <c r="E2250" s="2" t="s">
        <v>19091</v>
      </c>
      <c r="G2250" s="3" t="s">
        <v>63</v>
      </c>
      <c r="I2250" s="3" t="s">
        <v>63</v>
      </c>
      <c r="J2250" s="3" t="s">
        <v>63</v>
      </c>
      <c r="K2250" s="3" t="s">
        <v>64</v>
      </c>
      <c r="L2250" s="2" t="s">
        <v>19092</v>
      </c>
      <c r="M2250" s="2" t="s">
        <v>19093</v>
      </c>
      <c r="N2250" s="3" t="s">
        <v>546</v>
      </c>
      <c r="P2250" s="3" t="s">
        <v>66</v>
      </c>
      <c r="Q2250" s="2" t="s">
        <v>19094</v>
      </c>
      <c r="R2250" s="3" t="s">
        <v>67</v>
      </c>
      <c r="S2250" s="4">
        <v>9</v>
      </c>
      <c r="T2250" s="4">
        <v>9</v>
      </c>
      <c r="U2250" s="5" t="s">
        <v>17391</v>
      </c>
      <c r="V2250" s="5" t="s">
        <v>17391</v>
      </c>
      <c r="W2250" s="5" t="s">
        <v>69</v>
      </c>
      <c r="X2250" s="5" t="s">
        <v>69</v>
      </c>
      <c r="Y2250" s="4">
        <v>293</v>
      </c>
      <c r="Z2250" s="4">
        <v>9</v>
      </c>
      <c r="AA2250" s="4">
        <v>81</v>
      </c>
      <c r="AB2250" s="4">
        <v>1</v>
      </c>
      <c r="AC2250" s="4">
        <v>15</v>
      </c>
      <c r="AD2250" s="4">
        <v>82</v>
      </c>
      <c r="AE2250" s="4">
        <v>131</v>
      </c>
      <c r="AF2250" s="4">
        <v>0</v>
      </c>
      <c r="AG2250" s="4">
        <v>8</v>
      </c>
      <c r="AH2250" s="4">
        <v>77</v>
      </c>
      <c r="AI2250" s="4">
        <v>98</v>
      </c>
      <c r="AJ2250" s="4">
        <v>7</v>
      </c>
      <c r="AK2250" s="4">
        <v>22</v>
      </c>
      <c r="AL2250" s="4">
        <v>47</v>
      </c>
      <c r="AM2250" s="4">
        <v>51</v>
      </c>
      <c r="AN2250" s="4">
        <v>0</v>
      </c>
      <c r="AO2250" s="4">
        <v>0</v>
      </c>
      <c r="AP2250" s="4">
        <v>6</v>
      </c>
      <c r="AQ2250" s="4">
        <v>40</v>
      </c>
      <c r="AR2250" s="3" t="s">
        <v>63</v>
      </c>
      <c r="AS2250" s="3" t="s">
        <v>63</v>
      </c>
      <c r="AT2250" s="3" t="s">
        <v>62</v>
      </c>
      <c r="AU2250" s="6" t="str">
        <f>HYPERLINK("http://catalog.hathitrust.org/Record/001110427","HathiTrust Record")</f>
        <v>HathiTrust Record</v>
      </c>
      <c r="AV2250" s="6" t="str">
        <f>HYPERLINK("http://mcgill.on.worldcat.org/oclc/1854850","Catalog Record")</f>
        <v>Catalog Record</v>
      </c>
      <c r="AW2250" s="6" t="str">
        <f>HYPERLINK("http://www.worldcat.org/oclc/1854850","WorldCat Record")</f>
        <v>WorldCat Record</v>
      </c>
      <c r="AX2250" s="3" t="s">
        <v>19095</v>
      </c>
      <c r="AY2250" s="3" t="s">
        <v>19096</v>
      </c>
      <c r="AZ2250" s="3" t="s">
        <v>19097</v>
      </c>
      <c r="BA2250" s="3" t="s">
        <v>19097</v>
      </c>
      <c r="BB2250" s="3" t="s">
        <v>19098</v>
      </c>
      <c r="BC2250" s="3" t="s">
        <v>82</v>
      </c>
      <c r="BD2250" s="3" t="s">
        <v>70</v>
      </c>
      <c r="BF2250" s="3" t="s">
        <v>19098</v>
      </c>
      <c r="BG2250" s="3" t="s">
        <v>19099</v>
      </c>
    </row>
    <row r="2251" spans="1:59" ht="60" x14ac:dyDescent="0.25">
      <c r="A2251" s="2" t="s">
        <v>59</v>
      </c>
      <c r="B2251" s="2" t="s">
        <v>60</v>
      </c>
      <c r="C2251" s="2" t="s">
        <v>19100</v>
      </c>
      <c r="D2251" s="2" t="s">
        <v>19101</v>
      </c>
      <c r="E2251" s="2" t="s">
        <v>19102</v>
      </c>
      <c r="G2251" s="3" t="s">
        <v>63</v>
      </c>
      <c r="I2251" s="3" t="s">
        <v>63</v>
      </c>
      <c r="J2251" s="3" t="s">
        <v>62</v>
      </c>
      <c r="K2251" s="3" t="s">
        <v>64</v>
      </c>
      <c r="L2251" s="2" t="s">
        <v>19103</v>
      </c>
      <c r="M2251" s="2" t="s">
        <v>19104</v>
      </c>
      <c r="N2251" s="3" t="s">
        <v>758</v>
      </c>
      <c r="P2251" s="3" t="s">
        <v>90</v>
      </c>
      <c r="R2251" s="3" t="s">
        <v>67</v>
      </c>
      <c r="S2251" s="4">
        <v>2</v>
      </c>
      <c r="T2251" s="4">
        <v>2</v>
      </c>
      <c r="U2251" s="5" t="s">
        <v>17391</v>
      </c>
      <c r="V2251" s="5" t="s">
        <v>17391</v>
      </c>
      <c r="W2251" s="5" t="s">
        <v>69</v>
      </c>
      <c r="X2251" s="5" t="s">
        <v>69</v>
      </c>
      <c r="Y2251" s="4">
        <v>85</v>
      </c>
      <c r="Z2251" s="4">
        <v>8</v>
      </c>
      <c r="AA2251" s="4">
        <v>14</v>
      </c>
      <c r="AB2251" s="4">
        <v>1</v>
      </c>
      <c r="AC2251" s="4">
        <v>1</v>
      </c>
      <c r="AD2251" s="4">
        <v>53</v>
      </c>
      <c r="AE2251" s="4">
        <v>80</v>
      </c>
      <c r="AF2251" s="4">
        <v>0</v>
      </c>
      <c r="AG2251" s="4">
        <v>0</v>
      </c>
      <c r="AH2251" s="4">
        <v>50</v>
      </c>
      <c r="AI2251" s="4">
        <v>73</v>
      </c>
      <c r="AJ2251" s="4">
        <v>6</v>
      </c>
      <c r="AK2251" s="4">
        <v>10</v>
      </c>
      <c r="AL2251" s="4">
        <v>36</v>
      </c>
      <c r="AM2251" s="4">
        <v>48</v>
      </c>
      <c r="AN2251" s="4">
        <v>0</v>
      </c>
      <c r="AO2251" s="4">
        <v>0</v>
      </c>
      <c r="AP2251" s="4">
        <v>6</v>
      </c>
      <c r="AQ2251" s="4">
        <v>11</v>
      </c>
      <c r="AR2251" s="3" t="s">
        <v>63</v>
      </c>
      <c r="AS2251" s="3" t="s">
        <v>63</v>
      </c>
      <c r="AT2251" s="3" t="s">
        <v>62</v>
      </c>
      <c r="AU2251" s="6" t="str">
        <f>HYPERLINK("http://catalog.hathitrust.org/Record/001061170","HathiTrust Record")</f>
        <v>HathiTrust Record</v>
      </c>
      <c r="AV2251" s="6" t="str">
        <f>HYPERLINK("http://mcgill.on.worldcat.org/oclc/9386902","Catalog Record")</f>
        <v>Catalog Record</v>
      </c>
      <c r="AW2251" s="6" t="str">
        <f>HYPERLINK("http://www.worldcat.org/oclc/9386902","WorldCat Record")</f>
        <v>WorldCat Record</v>
      </c>
      <c r="AX2251" s="3" t="s">
        <v>19105</v>
      </c>
      <c r="AY2251" s="3" t="s">
        <v>19106</v>
      </c>
      <c r="AZ2251" s="3" t="s">
        <v>19107</v>
      </c>
      <c r="BA2251" s="3" t="s">
        <v>19107</v>
      </c>
      <c r="BB2251" s="3" t="s">
        <v>19108</v>
      </c>
      <c r="BC2251" s="3" t="s">
        <v>82</v>
      </c>
      <c r="BD2251" s="3" t="s">
        <v>70</v>
      </c>
      <c r="BF2251" s="3" t="s">
        <v>19108</v>
      </c>
      <c r="BG2251" s="3" t="s">
        <v>19109</v>
      </c>
    </row>
    <row r="2252" spans="1:59" ht="60" x14ac:dyDescent="0.25">
      <c r="A2252" s="2" t="s">
        <v>59</v>
      </c>
      <c r="B2252" s="2" t="s">
        <v>60</v>
      </c>
      <c r="C2252" s="2" t="s">
        <v>19110</v>
      </c>
      <c r="D2252" s="2" t="s">
        <v>19111</v>
      </c>
      <c r="E2252" s="2" t="s">
        <v>19112</v>
      </c>
      <c r="G2252" s="3" t="s">
        <v>63</v>
      </c>
      <c r="I2252" s="3" t="s">
        <v>63</v>
      </c>
      <c r="J2252" s="3" t="s">
        <v>63</v>
      </c>
      <c r="K2252" s="3" t="s">
        <v>64</v>
      </c>
      <c r="M2252" s="2" t="s">
        <v>19113</v>
      </c>
      <c r="N2252" s="3" t="s">
        <v>2765</v>
      </c>
      <c r="P2252" s="3" t="s">
        <v>66</v>
      </c>
      <c r="R2252" s="3" t="s">
        <v>67</v>
      </c>
      <c r="S2252" s="4">
        <v>1</v>
      </c>
      <c r="T2252" s="4">
        <v>1</v>
      </c>
      <c r="U2252" s="5" t="s">
        <v>19114</v>
      </c>
      <c r="V2252" s="5" t="s">
        <v>19114</v>
      </c>
      <c r="W2252" s="5" t="s">
        <v>69</v>
      </c>
      <c r="X2252" s="5" t="s">
        <v>69</v>
      </c>
      <c r="Y2252" s="4">
        <v>155</v>
      </c>
      <c r="Z2252" s="4">
        <v>11</v>
      </c>
      <c r="AA2252" s="4">
        <v>17</v>
      </c>
      <c r="AB2252" s="4">
        <v>1</v>
      </c>
      <c r="AC2252" s="4">
        <v>6</v>
      </c>
      <c r="AD2252" s="4">
        <v>69</v>
      </c>
      <c r="AE2252" s="4">
        <v>77</v>
      </c>
      <c r="AF2252" s="4">
        <v>0</v>
      </c>
      <c r="AG2252" s="4">
        <v>3</v>
      </c>
      <c r="AH2252" s="4">
        <v>64</v>
      </c>
      <c r="AI2252" s="4">
        <v>68</v>
      </c>
      <c r="AJ2252" s="4">
        <v>8</v>
      </c>
      <c r="AK2252" s="4">
        <v>11</v>
      </c>
      <c r="AL2252" s="4">
        <v>41</v>
      </c>
      <c r="AM2252" s="4">
        <v>43</v>
      </c>
      <c r="AN2252" s="4">
        <v>0</v>
      </c>
      <c r="AO2252" s="4">
        <v>0</v>
      </c>
      <c r="AP2252" s="4">
        <v>8</v>
      </c>
      <c r="AQ2252" s="4">
        <v>12</v>
      </c>
      <c r="AR2252" s="3" t="s">
        <v>63</v>
      </c>
      <c r="AS2252" s="3" t="s">
        <v>63</v>
      </c>
      <c r="AT2252" s="3" t="s">
        <v>63</v>
      </c>
      <c r="AV2252" s="6" t="str">
        <f>HYPERLINK("http://mcgill.on.worldcat.org/oclc/879583932","Catalog Record")</f>
        <v>Catalog Record</v>
      </c>
      <c r="AW2252" s="6" t="str">
        <f>HYPERLINK("http://www.worldcat.org/oclc/879583932","WorldCat Record")</f>
        <v>WorldCat Record</v>
      </c>
      <c r="AX2252" s="3" t="s">
        <v>19115</v>
      </c>
      <c r="AY2252" s="3" t="s">
        <v>19116</v>
      </c>
      <c r="AZ2252" s="3" t="s">
        <v>19117</v>
      </c>
      <c r="BA2252" s="3" t="s">
        <v>19117</v>
      </c>
      <c r="BB2252" s="3" t="s">
        <v>19118</v>
      </c>
      <c r="BC2252" s="3" t="s">
        <v>82</v>
      </c>
      <c r="BD2252" s="3" t="s">
        <v>70</v>
      </c>
      <c r="BE2252" s="3" t="s">
        <v>19119</v>
      </c>
      <c r="BF2252" s="3" t="s">
        <v>19118</v>
      </c>
      <c r="BG2252" s="3" t="s">
        <v>19120</v>
      </c>
    </row>
    <row r="2253" spans="1:59" ht="60" x14ac:dyDescent="0.25">
      <c r="A2253" s="2" t="s">
        <v>59</v>
      </c>
      <c r="B2253" s="2" t="s">
        <v>60</v>
      </c>
      <c r="C2253" s="2" t="s">
        <v>19121</v>
      </c>
      <c r="D2253" s="2" t="s">
        <v>19122</v>
      </c>
      <c r="E2253" s="2" t="s">
        <v>19123</v>
      </c>
      <c r="G2253" s="3" t="s">
        <v>63</v>
      </c>
      <c r="I2253" s="3" t="s">
        <v>63</v>
      </c>
      <c r="J2253" s="3" t="s">
        <v>62</v>
      </c>
      <c r="K2253" s="3" t="s">
        <v>64</v>
      </c>
      <c r="L2253" s="2" t="s">
        <v>19124</v>
      </c>
      <c r="M2253" s="2" t="s">
        <v>19125</v>
      </c>
      <c r="N2253" s="3" t="s">
        <v>1402</v>
      </c>
      <c r="P2253" s="3" t="s">
        <v>66</v>
      </c>
      <c r="R2253" s="3" t="s">
        <v>67</v>
      </c>
      <c r="S2253" s="4">
        <v>25</v>
      </c>
      <c r="T2253" s="4">
        <v>25</v>
      </c>
      <c r="U2253" s="5" t="s">
        <v>17281</v>
      </c>
      <c r="V2253" s="5" t="s">
        <v>17281</v>
      </c>
      <c r="W2253" s="5" t="s">
        <v>69</v>
      </c>
      <c r="X2253" s="5" t="s">
        <v>69</v>
      </c>
      <c r="Y2253" s="4">
        <v>466</v>
      </c>
      <c r="Z2253" s="4">
        <v>12</v>
      </c>
      <c r="AA2253" s="4">
        <v>69</v>
      </c>
      <c r="AB2253" s="4">
        <v>1</v>
      </c>
      <c r="AC2253" s="4">
        <v>8</v>
      </c>
      <c r="AD2253" s="4">
        <v>84</v>
      </c>
      <c r="AE2253" s="4">
        <v>149</v>
      </c>
      <c r="AF2253" s="4">
        <v>0</v>
      </c>
      <c r="AG2253" s="4">
        <v>3</v>
      </c>
      <c r="AH2253" s="4">
        <v>77</v>
      </c>
      <c r="AI2253" s="4">
        <v>114</v>
      </c>
      <c r="AJ2253" s="4">
        <v>5</v>
      </c>
      <c r="AK2253" s="4">
        <v>24</v>
      </c>
      <c r="AL2253" s="4">
        <v>46</v>
      </c>
      <c r="AM2253" s="4">
        <v>62</v>
      </c>
      <c r="AN2253" s="4">
        <v>0</v>
      </c>
      <c r="AO2253" s="4">
        <v>0</v>
      </c>
      <c r="AP2253" s="4">
        <v>9</v>
      </c>
      <c r="AQ2253" s="4">
        <v>40</v>
      </c>
      <c r="AR2253" s="3" t="s">
        <v>63</v>
      </c>
      <c r="AS2253" s="3" t="s">
        <v>63</v>
      </c>
      <c r="AT2253" s="3" t="s">
        <v>63</v>
      </c>
      <c r="AV2253" s="6" t="str">
        <f>HYPERLINK("http://mcgill.on.worldcat.org/oclc/259228","Catalog Record")</f>
        <v>Catalog Record</v>
      </c>
      <c r="AW2253" s="6" t="str">
        <f>HYPERLINK("http://www.worldcat.org/oclc/259228","WorldCat Record")</f>
        <v>WorldCat Record</v>
      </c>
      <c r="AX2253" s="3" t="s">
        <v>19126</v>
      </c>
      <c r="AY2253" s="3" t="s">
        <v>19127</v>
      </c>
      <c r="AZ2253" s="3" t="s">
        <v>19128</v>
      </c>
      <c r="BA2253" s="3" t="s">
        <v>19128</v>
      </c>
      <c r="BB2253" s="3" t="s">
        <v>19129</v>
      </c>
      <c r="BC2253" s="3" t="s">
        <v>82</v>
      </c>
      <c r="BD2253" s="3" t="s">
        <v>70</v>
      </c>
      <c r="BF2253" s="3" t="s">
        <v>19129</v>
      </c>
      <c r="BG2253" s="3" t="s">
        <v>19130</v>
      </c>
    </row>
    <row r="2254" spans="1:59" ht="60" x14ac:dyDescent="0.25">
      <c r="A2254" s="2" t="s">
        <v>59</v>
      </c>
      <c r="B2254" s="2" t="s">
        <v>60</v>
      </c>
      <c r="C2254" s="2" t="s">
        <v>19131</v>
      </c>
      <c r="D2254" s="2" t="s">
        <v>19132</v>
      </c>
      <c r="E2254" s="2" t="s">
        <v>19133</v>
      </c>
      <c r="G2254" s="3" t="s">
        <v>63</v>
      </c>
      <c r="I2254" s="3" t="s">
        <v>63</v>
      </c>
      <c r="J2254" s="3" t="s">
        <v>62</v>
      </c>
      <c r="K2254" s="3" t="s">
        <v>64</v>
      </c>
      <c r="L2254" s="2" t="s">
        <v>19124</v>
      </c>
      <c r="M2254" s="2" t="s">
        <v>19134</v>
      </c>
      <c r="N2254" s="3" t="s">
        <v>918</v>
      </c>
      <c r="P2254" s="3" t="s">
        <v>66</v>
      </c>
      <c r="R2254" s="3" t="s">
        <v>67</v>
      </c>
      <c r="S2254" s="4">
        <v>52</v>
      </c>
      <c r="T2254" s="4">
        <v>52</v>
      </c>
      <c r="U2254" s="5" t="s">
        <v>19135</v>
      </c>
      <c r="V2254" s="5" t="s">
        <v>19135</v>
      </c>
      <c r="W2254" s="5" t="s">
        <v>69</v>
      </c>
      <c r="X2254" s="5" t="s">
        <v>69</v>
      </c>
      <c r="Y2254" s="4">
        <v>108</v>
      </c>
      <c r="Z2254" s="4">
        <v>13</v>
      </c>
      <c r="AA2254" s="4">
        <v>69</v>
      </c>
      <c r="AB2254" s="4">
        <v>2</v>
      </c>
      <c r="AC2254" s="4">
        <v>8</v>
      </c>
      <c r="AD2254" s="4">
        <v>25</v>
      </c>
      <c r="AE2254" s="4">
        <v>149</v>
      </c>
      <c r="AF2254" s="4">
        <v>1</v>
      </c>
      <c r="AG2254" s="4">
        <v>3</v>
      </c>
      <c r="AH2254" s="4">
        <v>17</v>
      </c>
      <c r="AI2254" s="4">
        <v>114</v>
      </c>
      <c r="AJ2254" s="4">
        <v>5</v>
      </c>
      <c r="AK2254" s="4">
        <v>24</v>
      </c>
      <c r="AL2254" s="4">
        <v>5</v>
      </c>
      <c r="AM2254" s="4">
        <v>62</v>
      </c>
      <c r="AN2254" s="4">
        <v>0</v>
      </c>
      <c r="AO2254" s="4">
        <v>0</v>
      </c>
      <c r="AP2254" s="4">
        <v>12</v>
      </c>
      <c r="AQ2254" s="4">
        <v>40</v>
      </c>
      <c r="AR2254" s="3" t="s">
        <v>63</v>
      </c>
      <c r="AS2254" s="3" t="s">
        <v>63</v>
      </c>
      <c r="AT2254" s="3" t="s">
        <v>63</v>
      </c>
      <c r="AV2254" s="6" t="str">
        <f>HYPERLINK("http://mcgill.on.worldcat.org/oclc/465039","Catalog Record")</f>
        <v>Catalog Record</v>
      </c>
      <c r="AW2254" s="6" t="str">
        <f>HYPERLINK("http://www.worldcat.org/oclc/465039","WorldCat Record")</f>
        <v>WorldCat Record</v>
      </c>
      <c r="AX2254" s="3" t="s">
        <v>19126</v>
      </c>
      <c r="AY2254" s="3" t="s">
        <v>19136</v>
      </c>
      <c r="AZ2254" s="3" t="s">
        <v>19137</v>
      </c>
      <c r="BA2254" s="3" t="s">
        <v>19137</v>
      </c>
      <c r="BB2254" s="3" t="s">
        <v>19138</v>
      </c>
      <c r="BC2254" s="3" t="s">
        <v>82</v>
      </c>
      <c r="BD2254" s="3" t="s">
        <v>70</v>
      </c>
      <c r="BF2254" s="3" t="s">
        <v>19138</v>
      </c>
      <c r="BG2254" s="3" t="s">
        <v>19139</v>
      </c>
    </row>
    <row r="2255" spans="1:59" ht="60" x14ac:dyDescent="0.25">
      <c r="A2255" s="2" t="s">
        <v>59</v>
      </c>
      <c r="B2255" s="2" t="s">
        <v>60</v>
      </c>
      <c r="C2255" s="2" t="s">
        <v>19140</v>
      </c>
      <c r="D2255" s="2" t="s">
        <v>19141</v>
      </c>
      <c r="E2255" s="2" t="s">
        <v>19142</v>
      </c>
      <c r="G2255" s="3" t="s">
        <v>63</v>
      </c>
      <c r="I2255" s="3" t="s">
        <v>62</v>
      </c>
      <c r="J2255" s="3" t="s">
        <v>62</v>
      </c>
      <c r="K2255" s="3" t="s">
        <v>64</v>
      </c>
      <c r="L2255" s="2" t="s">
        <v>19124</v>
      </c>
      <c r="M2255" s="2" t="s">
        <v>19143</v>
      </c>
      <c r="N2255" s="3" t="s">
        <v>706</v>
      </c>
      <c r="P2255" s="3" t="s">
        <v>66</v>
      </c>
      <c r="Q2255" s="2" t="s">
        <v>19144</v>
      </c>
      <c r="R2255" s="3" t="s">
        <v>67</v>
      </c>
      <c r="S2255" s="4">
        <v>38</v>
      </c>
      <c r="T2255" s="4">
        <v>85</v>
      </c>
      <c r="U2255" s="5" t="s">
        <v>19145</v>
      </c>
      <c r="V2255" s="5" t="s">
        <v>19145</v>
      </c>
      <c r="W2255" s="5" t="s">
        <v>69</v>
      </c>
      <c r="X2255" s="5" t="s">
        <v>69</v>
      </c>
      <c r="Y2255" s="4">
        <v>139</v>
      </c>
      <c r="Z2255" s="4">
        <v>2</v>
      </c>
      <c r="AA2255" s="4">
        <v>69</v>
      </c>
      <c r="AB2255" s="4">
        <v>1</v>
      </c>
      <c r="AC2255" s="4">
        <v>8</v>
      </c>
      <c r="AD2255" s="4">
        <v>32</v>
      </c>
      <c r="AE2255" s="4">
        <v>149</v>
      </c>
      <c r="AF2255" s="4">
        <v>0</v>
      </c>
      <c r="AG2255" s="4">
        <v>3</v>
      </c>
      <c r="AH2255" s="4">
        <v>31</v>
      </c>
      <c r="AI2255" s="4">
        <v>114</v>
      </c>
      <c r="AJ2255" s="4">
        <v>1</v>
      </c>
      <c r="AK2255" s="4">
        <v>24</v>
      </c>
      <c r="AL2255" s="4">
        <v>18</v>
      </c>
      <c r="AM2255" s="4">
        <v>62</v>
      </c>
      <c r="AN2255" s="4">
        <v>0</v>
      </c>
      <c r="AO2255" s="4">
        <v>0</v>
      </c>
      <c r="AP2255" s="4">
        <v>1</v>
      </c>
      <c r="AQ2255" s="4">
        <v>40</v>
      </c>
      <c r="AR2255" s="3" t="s">
        <v>63</v>
      </c>
      <c r="AS2255" s="3" t="s">
        <v>63</v>
      </c>
      <c r="AT2255" s="3" t="s">
        <v>63</v>
      </c>
      <c r="AV2255" s="6" t="str">
        <f>HYPERLINK("http://mcgill.on.worldcat.org/oclc/10044831","Catalog Record")</f>
        <v>Catalog Record</v>
      </c>
      <c r="AW2255" s="6" t="str">
        <f>HYPERLINK("http://www.worldcat.org/oclc/10044831","WorldCat Record")</f>
        <v>WorldCat Record</v>
      </c>
      <c r="AX2255" s="3" t="s">
        <v>19126</v>
      </c>
      <c r="AY2255" s="3" t="s">
        <v>19146</v>
      </c>
      <c r="AZ2255" s="3" t="s">
        <v>19147</v>
      </c>
      <c r="BA2255" s="3" t="s">
        <v>19147</v>
      </c>
      <c r="BB2255" s="3" t="s">
        <v>19148</v>
      </c>
      <c r="BC2255" s="3" t="s">
        <v>82</v>
      </c>
      <c r="BD2255" s="3" t="s">
        <v>70</v>
      </c>
      <c r="BE2255" s="3" t="s">
        <v>19149</v>
      </c>
      <c r="BF2255" s="3" t="s">
        <v>19148</v>
      </c>
      <c r="BG2255" s="3" t="s">
        <v>19150</v>
      </c>
    </row>
    <row r="2256" spans="1:59" ht="60" x14ac:dyDescent="0.25">
      <c r="A2256" s="2" t="s">
        <v>59</v>
      </c>
      <c r="B2256" s="2" t="s">
        <v>60</v>
      </c>
      <c r="C2256" s="2" t="s">
        <v>19140</v>
      </c>
      <c r="D2256" s="2" t="s">
        <v>19141</v>
      </c>
      <c r="E2256" s="2" t="s">
        <v>19142</v>
      </c>
      <c r="G2256" s="3" t="s">
        <v>63</v>
      </c>
      <c r="I2256" s="3" t="s">
        <v>62</v>
      </c>
      <c r="J2256" s="3" t="s">
        <v>62</v>
      </c>
      <c r="K2256" s="3" t="s">
        <v>64</v>
      </c>
      <c r="L2256" s="2" t="s">
        <v>19124</v>
      </c>
      <c r="M2256" s="2" t="s">
        <v>19143</v>
      </c>
      <c r="N2256" s="3" t="s">
        <v>706</v>
      </c>
      <c r="P2256" s="3" t="s">
        <v>66</v>
      </c>
      <c r="Q2256" s="2" t="s">
        <v>19144</v>
      </c>
      <c r="R2256" s="3" t="s">
        <v>67</v>
      </c>
      <c r="S2256" s="4">
        <v>47</v>
      </c>
      <c r="T2256" s="4">
        <v>85</v>
      </c>
      <c r="U2256" s="5" t="s">
        <v>17124</v>
      </c>
      <c r="V2256" s="5" t="s">
        <v>19145</v>
      </c>
      <c r="W2256" s="5" t="s">
        <v>69</v>
      </c>
      <c r="X2256" s="5" t="s">
        <v>69</v>
      </c>
      <c r="Y2256" s="4">
        <v>139</v>
      </c>
      <c r="Z2256" s="4">
        <v>2</v>
      </c>
      <c r="AA2256" s="4">
        <v>69</v>
      </c>
      <c r="AB2256" s="4">
        <v>1</v>
      </c>
      <c r="AC2256" s="4">
        <v>8</v>
      </c>
      <c r="AD2256" s="4">
        <v>32</v>
      </c>
      <c r="AE2256" s="4">
        <v>149</v>
      </c>
      <c r="AF2256" s="4">
        <v>0</v>
      </c>
      <c r="AG2256" s="4">
        <v>3</v>
      </c>
      <c r="AH2256" s="4">
        <v>31</v>
      </c>
      <c r="AI2256" s="4">
        <v>114</v>
      </c>
      <c r="AJ2256" s="4">
        <v>1</v>
      </c>
      <c r="AK2256" s="4">
        <v>24</v>
      </c>
      <c r="AL2256" s="4">
        <v>18</v>
      </c>
      <c r="AM2256" s="4">
        <v>62</v>
      </c>
      <c r="AN2256" s="4">
        <v>0</v>
      </c>
      <c r="AO2256" s="4">
        <v>0</v>
      </c>
      <c r="AP2256" s="4">
        <v>1</v>
      </c>
      <c r="AQ2256" s="4">
        <v>40</v>
      </c>
      <c r="AR2256" s="3" t="s">
        <v>63</v>
      </c>
      <c r="AS2256" s="3" t="s">
        <v>63</v>
      </c>
      <c r="AT2256" s="3" t="s">
        <v>63</v>
      </c>
      <c r="AV2256" s="6" t="str">
        <f>HYPERLINK("http://mcgill.on.worldcat.org/oclc/10044831","Catalog Record")</f>
        <v>Catalog Record</v>
      </c>
      <c r="AW2256" s="6" t="str">
        <f>HYPERLINK("http://www.worldcat.org/oclc/10044831","WorldCat Record")</f>
        <v>WorldCat Record</v>
      </c>
      <c r="AX2256" s="3" t="s">
        <v>19126</v>
      </c>
      <c r="AY2256" s="3" t="s">
        <v>19146</v>
      </c>
      <c r="AZ2256" s="3" t="s">
        <v>19147</v>
      </c>
      <c r="BA2256" s="3" t="s">
        <v>19147</v>
      </c>
      <c r="BB2256" s="3" t="s">
        <v>19151</v>
      </c>
      <c r="BC2256" s="3" t="s">
        <v>82</v>
      </c>
      <c r="BD2256" s="3" t="s">
        <v>70</v>
      </c>
      <c r="BE2256" s="3" t="s">
        <v>19149</v>
      </c>
      <c r="BF2256" s="3" t="s">
        <v>19151</v>
      </c>
      <c r="BG2256" s="3" t="s">
        <v>19152</v>
      </c>
    </row>
    <row r="2257" spans="1:59" ht="60" x14ac:dyDescent="0.25">
      <c r="A2257" s="2" t="s">
        <v>59</v>
      </c>
      <c r="B2257" s="2" t="s">
        <v>60</v>
      </c>
      <c r="C2257" s="2" t="s">
        <v>19153</v>
      </c>
      <c r="D2257" s="2" t="s">
        <v>19154</v>
      </c>
      <c r="E2257" s="2" t="s">
        <v>19155</v>
      </c>
      <c r="G2257" s="3" t="s">
        <v>63</v>
      </c>
      <c r="I2257" s="3" t="s">
        <v>63</v>
      </c>
      <c r="J2257" s="3" t="s">
        <v>63</v>
      </c>
      <c r="K2257" s="3" t="s">
        <v>64</v>
      </c>
      <c r="L2257" s="2" t="s">
        <v>19156</v>
      </c>
      <c r="M2257" s="2" t="s">
        <v>19157</v>
      </c>
      <c r="N2257" s="3" t="s">
        <v>220</v>
      </c>
      <c r="P2257" s="3" t="s">
        <v>90</v>
      </c>
      <c r="R2257" s="3" t="s">
        <v>67</v>
      </c>
      <c r="S2257" s="4">
        <v>3</v>
      </c>
      <c r="T2257" s="4">
        <v>3</v>
      </c>
      <c r="U2257" s="5" t="s">
        <v>4818</v>
      </c>
      <c r="V2257" s="5" t="s">
        <v>4818</v>
      </c>
      <c r="W2257" s="5" t="s">
        <v>69</v>
      </c>
      <c r="X2257" s="5" t="s">
        <v>69</v>
      </c>
      <c r="Y2257" s="4">
        <v>67</v>
      </c>
      <c r="Z2257" s="4">
        <v>5</v>
      </c>
      <c r="AA2257" s="4">
        <v>5</v>
      </c>
      <c r="AB2257" s="4">
        <v>1</v>
      </c>
      <c r="AC2257" s="4">
        <v>1</v>
      </c>
      <c r="AD2257" s="4">
        <v>47</v>
      </c>
      <c r="AE2257" s="4">
        <v>47</v>
      </c>
      <c r="AF2257" s="4">
        <v>0</v>
      </c>
      <c r="AG2257" s="4">
        <v>0</v>
      </c>
      <c r="AH2257" s="4">
        <v>46</v>
      </c>
      <c r="AI2257" s="4">
        <v>46</v>
      </c>
      <c r="AJ2257" s="4">
        <v>3</v>
      </c>
      <c r="AK2257" s="4">
        <v>3</v>
      </c>
      <c r="AL2257" s="4">
        <v>35</v>
      </c>
      <c r="AM2257" s="4">
        <v>35</v>
      </c>
      <c r="AN2257" s="4">
        <v>0</v>
      </c>
      <c r="AO2257" s="4">
        <v>0</v>
      </c>
      <c r="AP2257" s="4">
        <v>3</v>
      </c>
      <c r="AQ2257" s="4">
        <v>3</v>
      </c>
      <c r="AR2257" s="3" t="s">
        <v>63</v>
      </c>
      <c r="AS2257" s="3" t="s">
        <v>63</v>
      </c>
      <c r="AT2257" s="3" t="s">
        <v>62</v>
      </c>
      <c r="AU2257" s="6" t="str">
        <f>HYPERLINK("http://catalog.hathitrust.org/Record/002864111","HathiTrust Record")</f>
        <v>HathiTrust Record</v>
      </c>
      <c r="AV2257" s="6" t="str">
        <f>HYPERLINK("http://mcgill.on.worldcat.org/oclc/30385745","Catalog Record")</f>
        <v>Catalog Record</v>
      </c>
      <c r="AW2257" s="6" t="str">
        <f>HYPERLINK("http://www.worldcat.org/oclc/30385745","WorldCat Record")</f>
        <v>WorldCat Record</v>
      </c>
      <c r="AX2257" s="3" t="s">
        <v>19158</v>
      </c>
      <c r="AY2257" s="3" t="s">
        <v>19159</v>
      </c>
      <c r="AZ2257" s="3" t="s">
        <v>19160</v>
      </c>
      <c r="BA2257" s="3" t="s">
        <v>19160</v>
      </c>
      <c r="BB2257" s="3" t="s">
        <v>19161</v>
      </c>
      <c r="BC2257" s="3" t="s">
        <v>82</v>
      </c>
      <c r="BD2257" s="3" t="s">
        <v>70</v>
      </c>
      <c r="BE2257" s="3" t="s">
        <v>19162</v>
      </c>
      <c r="BF2257" s="3" t="s">
        <v>19161</v>
      </c>
      <c r="BG2257" s="3" t="s">
        <v>19163</v>
      </c>
    </row>
    <row r="2258" spans="1:59" ht="60" x14ac:dyDescent="0.25">
      <c r="A2258" s="2" t="s">
        <v>59</v>
      </c>
      <c r="B2258" s="2" t="s">
        <v>60</v>
      </c>
      <c r="C2258" s="2" t="s">
        <v>19164</v>
      </c>
      <c r="D2258" s="2" t="s">
        <v>19165</v>
      </c>
      <c r="E2258" s="2" t="s">
        <v>19166</v>
      </c>
      <c r="G2258" s="3" t="s">
        <v>63</v>
      </c>
      <c r="I2258" s="3" t="s">
        <v>63</v>
      </c>
      <c r="J2258" s="3" t="s">
        <v>63</v>
      </c>
      <c r="K2258" s="3" t="s">
        <v>64</v>
      </c>
      <c r="L2258" s="2" t="s">
        <v>19167</v>
      </c>
      <c r="M2258" s="2" t="s">
        <v>19168</v>
      </c>
      <c r="N2258" s="3" t="s">
        <v>2103</v>
      </c>
      <c r="P2258" s="3" t="s">
        <v>66</v>
      </c>
      <c r="R2258" s="3" t="s">
        <v>67</v>
      </c>
      <c r="S2258" s="4">
        <v>2</v>
      </c>
      <c r="T2258" s="4">
        <v>2</v>
      </c>
      <c r="U2258" s="5" t="s">
        <v>4818</v>
      </c>
      <c r="V2258" s="5" t="s">
        <v>4818</v>
      </c>
      <c r="W2258" s="5" t="s">
        <v>69</v>
      </c>
      <c r="X2258" s="5" t="s">
        <v>69</v>
      </c>
      <c r="Y2258" s="4">
        <v>21</v>
      </c>
      <c r="Z2258" s="4">
        <v>1</v>
      </c>
      <c r="AA2258" s="4">
        <v>1</v>
      </c>
      <c r="AB2258" s="4">
        <v>1</v>
      </c>
      <c r="AC2258" s="4">
        <v>1</v>
      </c>
      <c r="AD2258" s="4">
        <v>11</v>
      </c>
      <c r="AE2258" s="4">
        <v>11</v>
      </c>
      <c r="AF2258" s="4">
        <v>0</v>
      </c>
      <c r="AG2258" s="4">
        <v>0</v>
      </c>
      <c r="AH2258" s="4">
        <v>11</v>
      </c>
      <c r="AI2258" s="4">
        <v>11</v>
      </c>
      <c r="AJ2258" s="4">
        <v>0</v>
      </c>
      <c r="AK2258" s="4">
        <v>0</v>
      </c>
      <c r="AL2258" s="4">
        <v>6</v>
      </c>
      <c r="AM2258" s="4">
        <v>6</v>
      </c>
      <c r="AN2258" s="4">
        <v>0</v>
      </c>
      <c r="AO2258" s="4">
        <v>0</v>
      </c>
      <c r="AP2258" s="4">
        <v>0</v>
      </c>
      <c r="AQ2258" s="4">
        <v>0</v>
      </c>
      <c r="AR2258" s="3" t="s">
        <v>63</v>
      </c>
      <c r="AS2258" s="3" t="s">
        <v>63</v>
      </c>
      <c r="AT2258" s="3" t="s">
        <v>62</v>
      </c>
      <c r="AU2258" s="6" t="str">
        <f>HYPERLINK("http://catalog.hathitrust.org/Record/008561664","HathiTrust Record")</f>
        <v>HathiTrust Record</v>
      </c>
      <c r="AV2258" s="6" t="str">
        <f>HYPERLINK("http://mcgill.on.worldcat.org/oclc/53832825","Catalog Record")</f>
        <v>Catalog Record</v>
      </c>
      <c r="AW2258" s="6" t="str">
        <f>HYPERLINK("http://www.worldcat.org/oclc/53832825","WorldCat Record")</f>
        <v>WorldCat Record</v>
      </c>
      <c r="AX2258" s="3" t="s">
        <v>19169</v>
      </c>
      <c r="AY2258" s="3" t="s">
        <v>19170</v>
      </c>
      <c r="AZ2258" s="3" t="s">
        <v>19171</v>
      </c>
      <c r="BA2258" s="3" t="s">
        <v>19171</v>
      </c>
      <c r="BB2258" s="3" t="s">
        <v>19172</v>
      </c>
      <c r="BC2258" s="3" t="s">
        <v>82</v>
      </c>
      <c r="BD2258" s="3" t="s">
        <v>70</v>
      </c>
      <c r="BE2258" s="3" t="s">
        <v>19173</v>
      </c>
      <c r="BF2258" s="3" t="s">
        <v>19172</v>
      </c>
      <c r="BG2258" s="3" t="s">
        <v>19174</v>
      </c>
    </row>
    <row r="2259" spans="1:59" ht="75" x14ac:dyDescent="0.25">
      <c r="A2259" s="2" t="s">
        <v>59</v>
      </c>
      <c r="B2259" s="2" t="s">
        <v>60</v>
      </c>
      <c r="C2259" s="2" t="s">
        <v>19175</v>
      </c>
      <c r="D2259" s="2" t="s">
        <v>19176</v>
      </c>
      <c r="E2259" s="2" t="s">
        <v>19177</v>
      </c>
      <c r="G2259" s="3" t="s">
        <v>63</v>
      </c>
      <c r="I2259" s="3" t="s">
        <v>63</v>
      </c>
      <c r="J2259" s="3" t="s">
        <v>63</v>
      </c>
      <c r="K2259" s="3" t="s">
        <v>64</v>
      </c>
      <c r="L2259" s="2" t="s">
        <v>13932</v>
      </c>
      <c r="M2259" s="2" t="s">
        <v>19178</v>
      </c>
      <c r="N2259" s="3" t="s">
        <v>176</v>
      </c>
      <c r="P2259" s="3" t="s">
        <v>66</v>
      </c>
      <c r="R2259" s="3" t="s">
        <v>67</v>
      </c>
      <c r="S2259" s="4">
        <v>26</v>
      </c>
      <c r="T2259" s="4">
        <v>26</v>
      </c>
      <c r="U2259" s="5" t="s">
        <v>6344</v>
      </c>
      <c r="V2259" s="5" t="s">
        <v>6344</v>
      </c>
      <c r="W2259" s="5" t="s">
        <v>69</v>
      </c>
      <c r="X2259" s="5" t="s">
        <v>69</v>
      </c>
      <c r="Y2259" s="4">
        <v>256</v>
      </c>
      <c r="Z2259" s="4">
        <v>19</v>
      </c>
      <c r="AA2259" s="4">
        <v>23</v>
      </c>
      <c r="AB2259" s="4">
        <v>1</v>
      </c>
      <c r="AC2259" s="4">
        <v>3</v>
      </c>
      <c r="AD2259" s="4">
        <v>99</v>
      </c>
      <c r="AE2259" s="4">
        <v>111</v>
      </c>
      <c r="AF2259" s="4">
        <v>0</v>
      </c>
      <c r="AG2259" s="4">
        <v>1</v>
      </c>
      <c r="AH2259" s="4">
        <v>89</v>
      </c>
      <c r="AI2259" s="4">
        <v>101</v>
      </c>
      <c r="AJ2259" s="4">
        <v>14</v>
      </c>
      <c r="AK2259" s="4">
        <v>17</v>
      </c>
      <c r="AL2259" s="4">
        <v>49</v>
      </c>
      <c r="AM2259" s="4">
        <v>54</v>
      </c>
      <c r="AN2259" s="4">
        <v>0</v>
      </c>
      <c r="AO2259" s="4">
        <v>0</v>
      </c>
      <c r="AP2259" s="4">
        <v>15</v>
      </c>
      <c r="AQ2259" s="4">
        <v>18</v>
      </c>
      <c r="AR2259" s="3" t="s">
        <v>63</v>
      </c>
      <c r="AS2259" s="3" t="s">
        <v>63</v>
      </c>
      <c r="AT2259" s="3" t="s">
        <v>63</v>
      </c>
      <c r="AV2259" s="6" t="str">
        <f>HYPERLINK("http://mcgill.on.worldcat.org/oclc/38853820","Catalog Record")</f>
        <v>Catalog Record</v>
      </c>
      <c r="AW2259" s="6" t="str">
        <f>HYPERLINK("http://www.worldcat.org/oclc/38853820","WorldCat Record")</f>
        <v>WorldCat Record</v>
      </c>
      <c r="AX2259" s="3" t="s">
        <v>19179</v>
      </c>
      <c r="AY2259" s="3" t="s">
        <v>19180</v>
      </c>
      <c r="AZ2259" s="3" t="s">
        <v>19181</v>
      </c>
      <c r="BA2259" s="3" t="s">
        <v>19181</v>
      </c>
      <c r="BB2259" s="3" t="s">
        <v>19182</v>
      </c>
      <c r="BC2259" s="3" t="s">
        <v>82</v>
      </c>
      <c r="BD2259" s="3" t="s">
        <v>538</v>
      </c>
      <c r="BE2259" s="3" t="s">
        <v>19183</v>
      </c>
      <c r="BF2259" s="3" t="s">
        <v>19182</v>
      </c>
      <c r="BG2259" s="3" t="s">
        <v>19184</v>
      </c>
    </row>
    <row r="2260" spans="1:59" ht="75" x14ac:dyDescent="0.25">
      <c r="A2260" s="2" t="s">
        <v>59</v>
      </c>
      <c r="B2260" s="2" t="s">
        <v>60</v>
      </c>
      <c r="C2260" s="2" t="s">
        <v>19185</v>
      </c>
      <c r="D2260" s="2" t="s">
        <v>19186</v>
      </c>
      <c r="E2260" s="2" t="s">
        <v>19187</v>
      </c>
      <c r="G2260" s="3" t="s">
        <v>63</v>
      </c>
      <c r="I2260" s="3" t="s">
        <v>63</v>
      </c>
      <c r="J2260" s="3" t="s">
        <v>63</v>
      </c>
      <c r="K2260" s="3" t="s">
        <v>64</v>
      </c>
      <c r="M2260" s="2" t="s">
        <v>19188</v>
      </c>
      <c r="N2260" s="3" t="s">
        <v>326</v>
      </c>
      <c r="P2260" s="3" t="s">
        <v>548</v>
      </c>
      <c r="Q2260" s="2" t="s">
        <v>19189</v>
      </c>
      <c r="R2260" s="3" t="s">
        <v>67</v>
      </c>
      <c r="S2260" s="4">
        <v>3</v>
      </c>
      <c r="T2260" s="4">
        <v>3</v>
      </c>
      <c r="U2260" s="5" t="s">
        <v>19190</v>
      </c>
      <c r="V2260" s="5" t="s">
        <v>19190</v>
      </c>
      <c r="W2260" s="5" t="s">
        <v>69</v>
      </c>
      <c r="X2260" s="5" t="s">
        <v>69</v>
      </c>
      <c r="Y2260" s="4">
        <v>37</v>
      </c>
      <c r="Z2260" s="4">
        <v>4</v>
      </c>
      <c r="AA2260" s="4">
        <v>6</v>
      </c>
      <c r="AB2260" s="4">
        <v>2</v>
      </c>
      <c r="AC2260" s="4">
        <v>3</v>
      </c>
      <c r="AD2260" s="4">
        <v>24</v>
      </c>
      <c r="AE2260" s="4">
        <v>26</v>
      </c>
      <c r="AF2260" s="4">
        <v>0</v>
      </c>
      <c r="AG2260" s="4">
        <v>1</v>
      </c>
      <c r="AH2260" s="4">
        <v>23</v>
      </c>
      <c r="AI2260" s="4">
        <v>25</v>
      </c>
      <c r="AJ2260" s="4">
        <v>1</v>
      </c>
      <c r="AK2260" s="4">
        <v>3</v>
      </c>
      <c r="AL2260" s="4">
        <v>20</v>
      </c>
      <c r="AM2260" s="4">
        <v>20</v>
      </c>
      <c r="AN2260" s="4">
        <v>0</v>
      </c>
      <c r="AO2260" s="4">
        <v>0</v>
      </c>
      <c r="AP2260" s="4">
        <v>1</v>
      </c>
      <c r="AQ2260" s="4">
        <v>3</v>
      </c>
      <c r="AR2260" s="3" t="s">
        <v>63</v>
      </c>
      <c r="AS2260" s="3" t="s">
        <v>63</v>
      </c>
      <c r="AT2260" s="3" t="s">
        <v>63</v>
      </c>
      <c r="AV2260" s="6" t="str">
        <f>HYPERLINK("http://mcgill.on.worldcat.org/oclc/492092972","Catalog Record")</f>
        <v>Catalog Record</v>
      </c>
      <c r="AW2260" s="6" t="str">
        <f>HYPERLINK("http://www.worldcat.org/oclc/492092972","WorldCat Record")</f>
        <v>WorldCat Record</v>
      </c>
      <c r="AX2260" s="3" t="s">
        <v>19191</v>
      </c>
      <c r="AY2260" s="3" t="s">
        <v>19192</v>
      </c>
      <c r="AZ2260" s="3" t="s">
        <v>19193</v>
      </c>
      <c r="BA2260" s="3" t="s">
        <v>19193</v>
      </c>
      <c r="BB2260" s="3" t="s">
        <v>19194</v>
      </c>
      <c r="BC2260" s="3" t="s">
        <v>82</v>
      </c>
      <c r="BD2260" s="3" t="s">
        <v>70</v>
      </c>
      <c r="BE2260" s="3" t="s">
        <v>19195</v>
      </c>
      <c r="BF2260" s="3" t="s">
        <v>19194</v>
      </c>
      <c r="BG2260" s="3" t="s">
        <v>19196</v>
      </c>
    </row>
    <row r="2261" spans="1:59" ht="60" x14ac:dyDescent="0.25">
      <c r="A2261" s="2" t="s">
        <v>59</v>
      </c>
      <c r="B2261" s="2" t="s">
        <v>60</v>
      </c>
      <c r="C2261" s="2" t="s">
        <v>19197</v>
      </c>
      <c r="D2261" s="2" t="s">
        <v>19198</v>
      </c>
      <c r="E2261" s="2" t="s">
        <v>19199</v>
      </c>
      <c r="G2261" s="3" t="s">
        <v>63</v>
      </c>
      <c r="I2261" s="3" t="s">
        <v>63</v>
      </c>
      <c r="J2261" s="3" t="s">
        <v>63</v>
      </c>
      <c r="K2261" s="3" t="s">
        <v>64</v>
      </c>
      <c r="M2261" s="2" t="s">
        <v>19200</v>
      </c>
      <c r="N2261" s="3" t="s">
        <v>143</v>
      </c>
      <c r="P2261" s="3" t="s">
        <v>548</v>
      </c>
      <c r="Q2261" s="2" t="s">
        <v>19201</v>
      </c>
      <c r="R2261" s="3" t="s">
        <v>67</v>
      </c>
      <c r="S2261" s="4">
        <v>0</v>
      </c>
      <c r="T2261" s="4">
        <v>0</v>
      </c>
      <c r="W2261" s="5" t="s">
        <v>69</v>
      </c>
      <c r="X2261" s="5" t="s">
        <v>69</v>
      </c>
      <c r="Y2261" s="4">
        <v>31</v>
      </c>
      <c r="Z2261" s="4">
        <v>3</v>
      </c>
      <c r="AA2261" s="4">
        <v>3</v>
      </c>
      <c r="AB2261" s="4">
        <v>1</v>
      </c>
      <c r="AC2261" s="4">
        <v>1</v>
      </c>
      <c r="AD2261" s="4">
        <v>22</v>
      </c>
      <c r="AE2261" s="4">
        <v>23</v>
      </c>
      <c r="AF2261" s="4">
        <v>0</v>
      </c>
      <c r="AG2261" s="4">
        <v>0</v>
      </c>
      <c r="AH2261" s="4">
        <v>21</v>
      </c>
      <c r="AI2261" s="4">
        <v>22</v>
      </c>
      <c r="AJ2261" s="4">
        <v>1</v>
      </c>
      <c r="AK2261" s="4">
        <v>1</v>
      </c>
      <c r="AL2261" s="4">
        <v>19</v>
      </c>
      <c r="AM2261" s="4">
        <v>20</v>
      </c>
      <c r="AN2261" s="4">
        <v>0</v>
      </c>
      <c r="AO2261" s="4">
        <v>0</v>
      </c>
      <c r="AP2261" s="4">
        <v>1</v>
      </c>
      <c r="AQ2261" s="4">
        <v>1</v>
      </c>
      <c r="AR2261" s="3" t="s">
        <v>63</v>
      </c>
      <c r="AS2261" s="3" t="s">
        <v>63</v>
      </c>
      <c r="AT2261" s="3" t="s">
        <v>63</v>
      </c>
      <c r="AV2261" s="6" t="str">
        <f>HYPERLINK("http://mcgill.on.worldcat.org/oclc/902617363","Catalog Record")</f>
        <v>Catalog Record</v>
      </c>
      <c r="AW2261" s="6" t="str">
        <f>HYPERLINK("http://www.worldcat.org/oclc/902617363","WorldCat Record")</f>
        <v>WorldCat Record</v>
      </c>
      <c r="AX2261" s="3" t="s">
        <v>19202</v>
      </c>
      <c r="AY2261" s="3" t="s">
        <v>19203</v>
      </c>
      <c r="AZ2261" s="3" t="s">
        <v>19204</v>
      </c>
      <c r="BA2261" s="3" t="s">
        <v>19204</v>
      </c>
      <c r="BB2261" s="3" t="s">
        <v>19205</v>
      </c>
      <c r="BC2261" s="3" t="s">
        <v>82</v>
      </c>
      <c r="BD2261" s="3" t="s">
        <v>70</v>
      </c>
      <c r="BE2261" s="3" t="s">
        <v>19206</v>
      </c>
      <c r="BF2261" s="3" t="s">
        <v>19205</v>
      </c>
      <c r="BG2261" s="3" t="s">
        <v>19207</v>
      </c>
    </row>
    <row r="2262" spans="1:59" ht="60" x14ac:dyDescent="0.25">
      <c r="A2262" s="2" t="s">
        <v>59</v>
      </c>
      <c r="B2262" s="2" t="s">
        <v>60</v>
      </c>
      <c r="C2262" s="2" t="s">
        <v>19208</v>
      </c>
      <c r="D2262" s="2" t="s">
        <v>19209</v>
      </c>
      <c r="E2262" s="2" t="s">
        <v>19210</v>
      </c>
      <c r="G2262" s="3" t="s">
        <v>63</v>
      </c>
      <c r="I2262" s="3" t="s">
        <v>63</v>
      </c>
      <c r="J2262" s="3" t="s">
        <v>63</v>
      </c>
      <c r="K2262" s="3" t="s">
        <v>64</v>
      </c>
      <c r="L2262" s="2" t="s">
        <v>19211</v>
      </c>
      <c r="M2262" s="2" t="s">
        <v>19212</v>
      </c>
      <c r="N2262" s="3" t="s">
        <v>2535</v>
      </c>
      <c r="P2262" s="3" t="s">
        <v>66</v>
      </c>
      <c r="R2262" s="3" t="s">
        <v>67</v>
      </c>
      <c r="S2262" s="4">
        <v>10</v>
      </c>
      <c r="T2262" s="4">
        <v>10</v>
      </c>
      <c r="U2262" s="5" t="s">
        <v>12340</v>
      </c>
      <c r="V2262" s="5" t="s">
        <v>12340</v>
      </c>
      <c r="W2262" s="5" t="s">
        <v>69</v>
      </c>
      <c r="X2262" s="5" t="s">
        <v>69</v>
      </c>
      <c r="Y2262" s="4">
        <v>146</v>
      </c>
      <c r="Z2262" s="4">
        <v>13</v>
      </c>
      <c r="AA2262" s="4">
        <v>14</v>
      </c>
      <c r="AB2262" s="4">
        <v>2</v>
      </c>
      <c r="AC2262" s="4">
        <v>2</v>
      </c>
      <c r="AD2262" s="4">
        <v>33</v>
      </c>
      <c r="AE2262" s="4">
        <v>34</v>
      </c>
      <c r="AF2262" s="4">
        <v>1</v>
      </c>
      <c r="AG2262" s="4">
        <v>1</v>
      </c>
      <c r="AH2262" s="4">
        <v>28</v>
      </c>
      <c r="AI2262" s="4">
        <v>29</v>
      </c>
      <c r="AJ2262" s="4">
        <v>11</v>
      </c>
      <c r="AK2262" s="4">
        <v>12</v>
      </c>
      <c r="AL2262" s="4">
        <v>12</v>
      </c>
      <c r="AM2262" s="4">
        <v>12</v>
      </c>
      <c r="AN2262" s="4">
        <v>0</v>
      </c>
      <c r="AO2262" s="4">
        <v>0</v>
      </c>
      <c r="AP2262" s="4">
        <v>11</v>
      </c>
      <c r="AQ2262" s="4">
        <v>12</v>
      </c>
      <c r="AR2262" s="3" t="s">
        <v>63</v>
      </c>
      <c r="AS2262" s="3" t="s">
        <v>63</v>
      </c>
      <c r="AT2262" s="3" t="s">
        <v>62</v>
      </c>
      <c r="AU2262" s="6" t="str">
        <f>HYPERLINK("http://catalog.hathitrust.org/Record/001061168","HathiTrust Record")</f>
        <v>HathiTrust Record</v>
      </c>
      <c r="AV2262" s="6" t="str">
        <f>HYPERLINK("http://mcgill.on.worldcat.org/oclc/842351","Catalog Record")</f>
        <v>Catalog Record</v>
      </c>
      <c r="AW2262" s="6" t="str">
        <f>HYPERLINK("http://www.worldcat.org/oclc/842351","WorldCat Record")</f>
        <v>WorldCat Record</v>
      </c>
      <c r="AX2262" s="3" t="s">
        <v>19213</v>
      </c>
      <c r="AY2262" s="3" t="s">
        <v>19214</v>
      </c>
      <c r="AZ2262" s="3" t="s">
        <v>19215</v>
      </c>
      <c r="BA2262" s="3" t="s">
        <v>19215</v>
      </c>
      <c r="BB2262" s="3" t="s">
        <v>19216</v>
      </c>
      <c r="BC2262" s="3" t="s">
        <v>82</v>
      </c>
      <c r="BD2262" s="3" t="s">
        <v>70</v>
      </c>
      <c r="BE2262" s="3" t="s">
        <v>19217</v>
      </c>
      <c r="BF2262" s="3" t="s">
        <v>19216</v>
      </c>
      <c r="BG2262" s="3" t="s">
        <v>19218</v>
      </c>
    </row>
    <row r="2263" spans="1:59" ht="60" x14ac:dyDescent="0.25">
      <c r="A2263" s="2" t="s">
        <v>59</v>
      </c>
      <c r="B2263" s="2" t="s">
        <v>60</v>
      </c>
      <c r="C2263" s="2" t="s">
        <v>19219</v>
      </c>
      <c r="D2263" s="2" t="s">
        <v>19220</v>
      </c>
      <c r="E2263" s="2" t="s">
        <v>19221</v>
      </c>
      <c r="G2263" s="3" t="s">
        <v>63</v>
      </c>
      <c r="I2263" s="3" t="s">
        <v>63</v>
      </c>
      <c r="J2263" s="3" t="s">
        <v>63</v>
      </c>
      <c r="K2263" s="3" t="s">
        <v>64</v>
      </c>
      <c r="L2263" s="2" t="s">
        <v>19222</v>
      </c>
      <c r="M2263" s="2" t="s">
        <v>19223</v>
      </c>
      <c r="N2263" s="3" t="s">
        <v>731</v>
      </c>
      <c r="P2263" s="3" t="s">
        <v>66</v>
      </c>
      <c r="R2263" s="3" t="s">
        <v>67</v>
      </c>
      <c r="S2263" s="4">
        <v>17</v>
      </c>
      <c r="T2263" s="4">
        <v>17</v>
      </c>
      <c r="U2263" s="5" t="s">
        <v>155</v>
      </c>
      <c r="V2263" s="5" t="s">
        <v>155</v>
      </c>
      <c r="W2263" s="5" t="s">
        <v>69</v>
      </c>
      <c r="X2263" s="5" t="s">
        <v>69</v>
      </c>
      <c r="Y2263" s="4">
        <v>198</v>
      </c>
      <c r="Z2263" s="4">
        <v>26</v>
      </c>
      <c r="AA2263" s="4">
        <v>39</v>
      </c>
      <c r="AB2263" s="4">
        <v>3</v>
      </c>
      <c r="AC2263" s="4">
        <v>4</v>
      </c>
      <c r="AD2263" s="4">
        <v>47</v>
      </c>
      <c r="AE2263" s="4">
        <v>107</v>
      </c>
      <c r="AF2263" s="4">
        <v>1</v>
      </c>
      <c r="AG2263" s="4">
        <v>2</v>
      </c>
      <c r="AH2263" s="4">
        <v>38</v>
      </c>
      <c r="AI2263" s="4">
        <v>89</v>
      </c>
      <c r="AJ2263" s="4">
        <v>14</v>
      </c>
      <c r="AK2263" s="4">
        <v>21</v>
      </c>
      <c r="AL2263" s="4">
        <v>19</v>
      </c>
      <c r="AM2263" s="4">
        <v>48</v>
      </c>
      <c r="AN2263" s="4">
        <v>0</v>
      </c>
      <c r="AO2263" s="4">
        <v>0</v>
      </c>
      <c r="AP2263" s="4">
        <v>17</v>
      </c>
      <c r="AQ2263" s="4">
        <v>27</v>
      </c>
      <c r="AR2263" s="3" t="s">
        <v>63</v>
      </c>
      <c r="AS2263" s="3" t="s">
        <v>63</v>
      </c>
      <c r="AT2263" s="3" t="s">
        <v>62</v>
      </c>
      <c r="AU2263" s="6" t="str">
        <f>HYPERLINK("http://catalog.hathitrust.org/Record/001061119","HathiTrust Record")</f>
        <v>HathiTrust Record</v>
      </c>
      <c r="AV2263" s="6" t="str">
        <f>HYPERLINK("http://mcgill.on.worldcat.org/oclc/1597732","Catalog Record")</f>
        <v>Catalog Record</v>
      </c>
      <c r="AW2263" s="6" t="str">
        <f>HYPERLINK("http://www.worldcat.org/oclc/1597732","WorldCat Record")</f>
        <v>WorldCat Record</v>
      </c>
      <c r="AX2263" s="3" t="s">
        <v>19224</v>
      </c>
      <c r="AY2263" s="3" t="s">
        <v>19225</v>
      </c>
      <c r="AZ2263" s="3" t="s">
        <v>19226</v>
      </c>
      <c r="BA2263" s="3" t="s">
        <v>19226</v>
      </c>
      <c r="BB2263" s="3" t="s">
        <v>19227</v>
      </c>
      <c r="BC2263" s="3" t="s">
        <v>82</v>
      </c>
      <c r="BD2263" s="3" t="s">
        <v>70</v>
      </c>
      <c r="BE2263" s="3" t="s">
        <v>19228</v>
      </c>
      <c r="BF2263" s="3" t="s">
        <v>19227</v>
      </c>
      <c r="BG2263" s="3" t="s">
        <v>19229</v>
      </c>
    </row>
    <row r="2264" spans="1:59" ht="60" x14ac:dyDescent="0.25">
      <c r="A2264" s="2" t="s">
        <v>59</v>
      </c>
      <c r="B2264" s="2" t="s">
        <v>60</v>
      </c>
      <c r="C2264" s="2" t="s">
        <v>19230</v>
      </c>
      <c r="D2264" s="2" t="s">
        <v>19231</v>
      </c>
      <c r="E2264" s="2" t="s">
        <v>19232</v>
      </c>
      <c r="G2264" s="3" t="s">
        <v>63</v>
      </c>
      <c r="I2264" s="3" t="s">
        <v>63</v>
      </c>
      <c r="J2264" s="3" t="s">
        <v>63</v>
      </c>
      <c r="K2264" s="3" t="s">
        <v>64</v>
      </c>
      <c r="L2264" s="2" t="s">
        <v>8381</v>
      </c>
      <c r="M2264" s="2" t="s">
        <v>8103</v>
      </c>
      <c r="N2264" s="3" t="s">
        <v>220</v>
      </c>
      <c r="P2264" s="3" t="s">
        <v>66</v>
      </c>
      <c r="R2264" s="3" t="s">
        <v>67</v>
      </c>
      <c r="S2264" s="4">
        <v>28</v>
      </c>
      <c r="T2264" s="4">
        <v>28</v>
      </c>
      <c r="U2264" s="5" t="s">
        <v>5434</v>
      </c>
      <c r="V2264" s="5" t="s">
        <v>5434</v>
      </c>
      <c r="W2264" s="5" t="s">
        <v>69</v>
      </c>
      <c r="X2264" s="5" t="s">
        <v>69</v>
      </c>
      <c r="Y2264" s="4">
        <v>539</v>
      </c>
      <c r="Z2264" s="4">
        <v>31</v>
      </c>
      <c r="AA2264" s="4">
        <v>94</v>
      </c>
      <c r="AB2264" s="4">
        <v>1</v>
      </c>
      <c r="AC2264" s="4">
        <v>15</v>
      </c>
      <c r="AD2264" s="4">
        <v>123</v>
      </c>
      <c r="AE2264" s="4">
        <v>152</v>
      </c>
      <c r="AF2264" s="4">
        <v>0</v>
      </c>
      <c r="AG2264" s="4">
        <v>8</v>
      </c>
      <c r="AH2264" s="4">
        <v>107</v>
      </c>
      <c r="AI2264" s="4">
        <v>113</v>
      </c>
      <c r="AJ2264" s="4">
        <v>19</v>
      </c>
      <c r="AK2264" s="4">
        <v>27</v>
      </c>
      <c r="AL2264" s="4">
        <v>58</v>
      </c>
      <c r="AM2264" s="4">
        <v>60</v>
      </c>
      <c r="AN2264" s="4">
        <v>0</v>
      </c>
      <c r="AO2264" s="4">
        <v>0</v>
      </c>
      <c r="AP2264" s="4">
        <v>24</v>
      </c>
      <c r="AQ2264" s="4">
        <v>48</v>
      </c>
      <c r="AR2264" s="3" t="s">
        <v>63</v>
      </c>
      <c r="AS2264" s="3" t="s">
        <v>63</v>
      </c>
      <c r="AT2264" s="3" t="s">
        <v>63</v>
      </c>
      <c r="AV2264" s="6" t="str">
        <f>HYPERLINK("http://mcgill.on.worldcat.org/oclc/26851800","Catalog Record")</f>
        <v>Catalog Record</v>
      </c>
      <c r="AW2264" s="6" t="str">
        <f>HYPERLINK("http://www.worldcat.org/oclc/26851800","WorldCat Record")</f>
        <v>WorldCat Record</v>
      </c>
      <c r="AX2264" s="3" t="s">
        <v>19233</v>
      </c>
      <c r="AY2264" s="3" t="s">
        <v>19234</v>
      </c>
      <c r="AZ2264" s="3" t="s">
        <v>19235</v>
      </c>
      <c r="BA2264" s="3" t="s">
        <v>19235</v>
      </c>
      <c r="BB2264" s="3" t="s">
        <v>19236</v>
      </c>
      <c r="BC2264" s="3" t="s">
        <v>82</v>
      </c>
      <c r="BD2264" s="3" t="s">
        <v>538</v>
      </c>
      <c r="BE2264" s="3" t="s">
        <v>19237</v>
      </c>
      <c r="BF2264" s="3" t="s">
        <v>19236</v>
      </c>
      <c r="BG2264" s="3" t="s">
        <v>19238</v>
      </c>
    </row>
    <row r="2265" spans="1:59" ht="60" x14ac:dyDescent="0.25">
      <c r="A2265" s="2" t="s">
        <v>59</v>
      </c>
      <c r="B2265" s="2" t="s">
        <v>60</v>
      </c>
      <c r="C2265" s="2" t="s">
        <v>19239</v>
      </c>
      <c r="D2265" s="2" t="s">
        <v>19240</v>
      </c>
      <c r="E2265" s="2" t="s">
        <v>19241</v>
      </c>
      <c r="G2265" s="3" t="s">
        <v>63</v>
      </c>
      <c r="I2265" s="3" t="s">
        <v>63</v>
      </c>
      <c r="J2265" s="3" t="s">
        <v>63</v>
      </c>
      <c r="K2265" s="3" t="s">
        <v>64</v>
      </c>
      <c r="M2265" s="2" t="s">
        <v>19242</v>
      </c>
      <c r="N2265" s="3" t="s">
        <v>2765</v>
      </c>
      <c r="P2265" s="3" t="s">
        <v>548</v>
      </c>
      <c r="Q2265" s="2" t="s">
        <v>19243</v>
      </c>
      <c r="R2265" s="3" t="s">
        <v>67</v>
      </c>
      <c r="S2265" s="4">
        <v>0</v>
      </c>
      <c r="T2265" s="4">
        <v>0</v>
      </c>
      <c r="W2265" s="5" t="s">
        <v>69</v>
      </c>
      <c r="X2265" s="5" t="s">
        <v>69</v>
      </c>
      <c r="Y2265" s="4">
        <v>25</v>
      </c>
      <c r="Z2265" s="4">
        <v>1</v>
      </c>
      <c r="AA2265" s="4">
        <v>1</v>
      </c>
      <c r="AB2265" s="4">
        <v>1</v>
      </c>
      <c r="AC2265" s="4">
        <v>1</v>
      </c>
      <c r="AD2265" s="4">
        <v>20</v>
      </c>
      <c r="AE2265" s="4">
        <v>20</v>
      </c>
      <c r="AF2265" s="4">
        <v>0</v>
      </c>
      <c r="AG2265" s="4">
        <v>0</v>
      </c>
      <c r="AH2265" s="4">
        <v>19</v>
      </c>
      <c r="AI2265" s="4">
        <v>19</v>
      </c>
      <c r="AJ2265" s="4">
        <v>0</v>
      </c>
      <c r="AK2265" s="4">
        <v>0</v>
      </c>
      <c r="AL2265" s="4">
        <v>17</v>
      </c>
      <c r="AM2265" s="4">
        <v>17</v>
      </c>
      <c r="AN2265" s="4">
        <v>0</v>
      </c>
      <c r="AO2265" s="4">
        <v>0</v>
      </c>
      <c r="AP2265" s="4">
        <v>0</v>
      </c>
      <c r="AQ2265" s="4">
        <v>0</v>
      </c>
      <c r="AR2265" s="3" t="s">
        <v>63</v>
      </c>
      <c r="AS2265" s="3" t="s">
        <v>63</v>
      </c>
      <c r="AT2265" s="3" t="s">
        <v>63</v>
      </c>
      <c r="AV2265" s="6" t="str">
        <f>HYPERLINK("http://mcgill.on.worldcat.org/oclc/931096876","Catalog Record")</f>
        <v>Catalog Record</v>
      </c>
      <c r="AW2265" s="6" t="str">
        <f>HYPERLINK("http://www.worldcat.org/oclc/931096876","WorldCat Record")</f>
        <v>WorldCat Record</v>
      </c>
      <c r="AX2265" s="3" t="s">
        <v>19244</v>
      </c>
      <c r="AY2265" s="3" t="s">
        <v>19245</v>
      </c>
      <c r="AZ2265" s="3" t="s">
        <v>19246</v>
      </c>
      <c r="BA2265" s="3" t="s">
        <v>19246</v>
      </c>
      <c r="BB2265" s="3" t="s">
        <v>19247</v>
      </c>
      <c r="BC2265" s="3" t="s">
        <v>82</v>
      </c>
      <c r="BD2265" s="3" t="s">
        <v>70</v>
      </c>
      <c r="BE2265" s="3" t="s">
        <v>19248</v>
      </c>
      <c r="BF2265" s="3" t="s">
        <v>19247</v>
      </c>
      <c r="BG2265" s="3" t="s">
        <v>19249</v>
      </c>
    </row>
    <row r="2266" spans="1:59" ht="60" x14ac:dyDescent="0.25">
      <c r="A2266" s="2" t="s">
        <v>59</v>
      </c>
      <c r="B2266" s="2" t="s">
        <v>60</v>
      </c>
      <c r="C2266" s="2" t="s">
        <v>19250</v>
      </c>
      <c r="D2266" s="2" t="s">
        <v>19251</v>
      </c>
      <c r="E2266" s="2" t="s">
        <v>19252</v>
      </c>
      <c r="G2266" s="3" t="s">
        <v>63</v>
      </c>
      <c r="I2266" s="3" t="s">
        <v>63</v>
      </c>
      <c r="J2266" s="3" t="s">
        <v>63</v>
      </c>
      <c r="K2266" s="3" t="s">
        <v>64</v>
      </c>
      <c r="L2266" s="2" t="s">
        <v>19253</v>
      </c>
      <c r="M2266" s="2" t="s">
        <v>19254</v>
      </c>
      <c r="N2266" s="3" t="s">
        <v>326</v>
      </c>
      <c r="P2266" s="3" t="s">
        <v>66</v>
      </c>
      <c r="Q2266" s="2" t="s">
        <v>19255</v>
      </c>
      <c r="R2266" s="3" t="s">
        <v>67</v>
      </c>
      <c r="S2266" s="4">
        <v>4</v>
      </c>
      <c r="T2266" s="4">
        <v>4</v>
      </c>
      <c r="U2266" s="5" t="s">
        <v>19256</v>
      </c>
      <c r="V2266" s="5" t="s">
        <v>19256</v>
      </c>
      <c r="W2266" s="5" t="s">
        <v>69</v>
      </c>
      <c r="X2266" s="5" t="s">
        <v>69</v>
      </c>
      <c r="Y2266" s="4">
        <v>234</v>
      </c>
      <c r="Z2266" s="4">
        <v>18</v>
      </c>
      <c r="AA2266" s="4">
        <v>95</v>
      </c>
      <c r="AB2266" s="4">
        <v>2</v>
      </c>
      <c r="AC2266" s="4">
        <v>18</v>
      </c>
      <c r="AD2266" s="4">
        <v>92</v>
      </c>
      <c r="AE2266" s="4">
        <v>134</v>
      </c>
      <c r="AF2266" s="4">
        <v>0</v>
      </c>
      <c r="AG2266" s="4">
        <v>8</v>
      </c>
      <c r="AH2266" s="4">
        <v>86</v>
      </c>
      <c r="AI2266" s="4">
        <v>99</v>
      </c>
      <c r="AJ2266" s="4">
        <v>12</v>
      </c>
      <c r="AK2266" s="4">
        <v>22</v>
      </c>
      <c r="AL2266" s="4">
        <v>55</v>
      </c>
      <c r="AM2266" s="4">
        <v>57</v>
      </c>
      <c r="AN2266" s="4">
        <v>0</v>
      </c>
      <c r="AO2266" s="4">
        <v>0</v>
      </c>
      <c r="AP2266" s="4">
        <v>13</v>
      </c>
      <c r="AQ2266" s="4">
        <v>43</v>
      </c>
      <c r="AR2266" s="3" t="s">
        <v>63</v>
      </c>
      <c r="AS2266" s="3" t="s">
        <v>63</v>
      </c>
      <c r="AT2266" s="3" t="s">
        <v>63</v>
      </c>
      <c r="AV2266" s="6" t="str">
        <f>HYPERLINK("http://mcgill.on.worldcat.org/oclc/276339419","Catalog Record")</f>
        <v>Catalog Record</v>
      </c>
      <c r="AW2266" s="6" t="str">
        <f>HYPERLINK("http://www.worldcat.org/oclc/276339419","WorldCat Record")</f>
        <v>WorldCat Record</v>
      </c>
      <c r="AX2266" s="3" t="s">
        <v>19257</v>
      </c>
      <c r="AY2266" s="3" t="s">
        <v>19258</v>
      </c>
      <c r="AZ2266" s="3" t="s">
        <v>19259</v>
      </c>
      <c r="BA2266" s="3" t="s">
        <v>19259</v>
      </c>
      <c r="BB2266" s="3" t="s">
        <v>19260</v>
      </c>
      <c r="BC2266" s="3" t="s">
        <v>82</v>
      </c>
      <c r="BD2266" s="3" t="s">
        <v>70</v>
      </c>
      <c r="BE2266" s="3" t="s">
        <v>19261</v>
      </c>
      <c r="BF2266" s="3" t="s">
        <v>19260</v>
      </c>
      <c r="BG2266" s="3" t="s">
        <v>19262</v>
      </c>
    </row>
    <row r="2267" spans="1:59" ht="60" x14ac:dyDescent="0.25">
      <c r="A2267" s="2" t="s">
        <v>59</v>
      </c>
      <c r="B2267" s="2" t="s">
        <v>60</v>
      </c>
      <c r="C2267" s="2" t="s">
        <v>19263</v>
      </c>
      <c r="D2267" s="2" t="s">
        <v>19264</v>
      </c>
      <c r="E2267" s="2" t="s">
        <v>19265</v>
      </c>
      <c r="G2267" s="3" t="s">
        <v>63</v>
      </c>
      <c r="I2267" s="3" t="s">
        <v>63</v>
      </c>
      <c r="J2267" s="3" t="s">
        <v>63</v>
      </c>
      <c r="K2267" s="3" t="s">
        <v>64</v>
      </c>
      <c r="L2267" s="2" t="s">
        <v>15707</v>
      </c>
      <c r="M2267" s="2" t="s">
        <v>19266</v>
      </c>
      <c r="N2267" s="3" t="s">
        <v>2225</v>
      </c>
      <c r="P2267" s="3" t="s">
        <v>66</v>
      </c>
      <c r="Q2267" s="2" t="s">
        <v>19267</v>
      </c>
      <c r="R2267" s="3" t="s">
        <v>67</v>
      </c>
      <c r="S2267" s="4">
        <v>4</v>
      </c>
      <c r="T2267" s="4">
        <v>4</v>
      </c>
      <c r="U2267" s="5" t="s">
        <v>17281</v>
      </c>
      <c r="V2267" s="5" t="s">
        <v>17281</v>
      </c>
      <c r="W2267" s="5" t="s">
        <v>69</v>
      </c>
      <c r="X2267" s="5" t="s">
        <v>69</v>
      </c>
      <c r="Y2267" s="4">
        <v>358</v>
      </c>
      <c r="Z2267" s="4">
        <v>31</v>
      </c>
      <c r="AA2267" s="4">
        <v>31</v>
      </c>
      <c r="AB2267" s="4">
        <v>2</v>
      </c>
      <c r="AC2267" s="4">
        <v>2</v>
      </c>
      <c r="AD2267" s="4">
        <v>113</v>
      </c>
      <c r="AE2267" s="4">
        <v>113</v>
      </c>
      <c r="AF2267" s="4">
        <v>1</v>
      </c>
      <c r="AG2267" s="4">
        <v>1</v>
      </c>
      <c r="AH2267" s="4">
        <v>97</v>
      </c>
      <c r="AI2267" s="4">
        <v>97</v>
      </c>
      <c r="AJ2267" s="4">
        <v>23</v>
      </c>
      <c r="AK2267" s="4">
        <v>23</v>
      </c>
      <c r="AL2267" s="4">
        <v>53</v>
      </c>
      <c r="AM2267" s="4">
        <v>53</v>
      </c>
      <c r="AN2267" s="4">
        <v>5</v>
      </c>
      <c r="AO2267" s="4">
        <v>5</v>
      </c>
      <c r="AP2267" s="4">
        <v>25</v>
      </c>
      <c r="AQ2267" s="4">
        <v>25</v>
      </c>
      <c r="AR2267" s="3" t="s">
        <v>63</v>
      </c>
      <c r="AS2267" s="3" t="s">
        <v>63</v>
      </c>
      <c r="AT2267" s="3" t="s">
        <v>62</v>
      </c>
      <c r="AU2267" s="6" t="str">
        <f>HYPERLINK("http://catalog.hathitrust.org/Record/001054986","HathiTrust Record")</f>
        <v>HathiTrust Record</v>
      </c>
      <c r="AV2267" s="6" t="str">
        <f>HYPERLINK("http://mcgill.on.worldcat.org/oclc/13285155","Catalog Record")</f>
        <v>Catalog Record</v>
      </c>
      <c r="AW2267" s="6" t="str">
        <f>HYPERLINK("http://www.worldcat.org/oclc/13285155","WorldCat Record")</f>
        <v>WorldCat Record</v>
      </c>
      <c r="AX2267" s="3" t="s">
        <v>19268</v>
      </c>
      <c r="AY2267" s="3" t="s">
        <v>19269</v>
      </c>
      <c r="AZ2267" s="3" t="s">
        <v>19270</v>
      </c>
      <c r="BA2267" s="3" t="s">
        <v>19270</v>
      </c>
      <c r="BB2267" s="3" t="s">
        <v>19271</v>
      </c>
      <c r="BC2267" s="3" t="s">
        <v>82</v>
      </c>
      <c r="BD2267" s="3" t="s">
        <v>70</v>
      </c>
      <c r="BF2267" s="3" t="s">
        <v>19271</v>
      </c>
      <c r="BG2267" s="3" t="s">
        <v>19272</v>
      </c>
    </row>
    <row r="2268" spans="1:59" ht="60" x14ac:dyDescent="0.25">
      <c r="A2268" s="2" t="s">
        <v>59</v>
      </c>
      <c r="B2268" s="2" t="s">
        <v>60</v>
      </c>
      <c r="C2268" s="2" t="s">
        <v>19273</v>
      </c>
      <c r="D2268" s="2" t="s">
        <v>19274</v>
      </c>
      <c r="E2268" s="2" t="s">
        <v>19275</v>
      </c>
      <c r="G2268" s="3" t="s">
        <v>63</v>
      </c>
      <c r="I2268" s="3" t="s">
        <v>63</v>
      </c>
      <c r="J2268" s="3" t="s">
        <v>63</v>
      </c>
      <c r="K2268" s="3" t="s">
        <v>64</v>
      </c>
      <c r="L2268" s="2" t="s">
        <v>19276</v>
      </c>
      <c r="M2268" s="2" t="s">
        <v>19277</v>
      </c>
      <c r="N2268" s="3" t="s">
        <v>326</v>
      </c>
      <c r="O2268" s="2" t="s">
        <v>590</v>
      </c>
      <c r="P2268" s="3" t="s">
        <v>66</v>
      </c>
      <c r="R2268" s="3" t="s">
        <v>67</v>
      </c>
      <c r="S2268" s="4">
        <v>5</v>
      </c>
      <c r="T2268" s="4">
        <v>5</v>
      </c>
      <c r="U2268" s="5" t="s">
        <v>3534</v>
      </c>
      <c r="V2268" s="5" t="s">
        <v>3534</v>
      </c>
      <c r="W2268" s="5" t="s">
        <v>69</v>
      </c>
      <c r="X2268" s="5" t="s">
        <v>69</v>
      </c>
      <c r="Y2268" s="4">
        <v>151</v>
      </c>
      <c r="Z2268" s="4">
        <v>15</v>
      </c>
      <c r="AA2268" s="4">
        <v>20</v>
      </c>
      <c r="AB2268" s="4">
        <v>2</v>
      </c>
      <c r="AC2268" s="4">
        <v>5</v>
      </c>
      <c r="AD2268" s="4">
        <v>76</v>
      </c>
      <c r="AE2268" s="4">
        <v>79</v>
      </c>
      <c r="AF2268" s="4">
        <v>0</v>
      </c>
      <c r="AG2268" s="4">
        <v>1</v>
      </c>
      <c r="AH2268" s="4">
        <v>70</v>
      </c>
      <c r="AI2268" s="4">
        <v>71</v>
      </c>
      <c r="AJ2268" s="4">
        <v>11</v>
      </c>
      <c r="AK2268" s="4">
        <v>13</v>
      </c>
      <c r="AL2268" s="4">
        <v>46</v>
      </c>
      <c r="AM2268" s="4">
        <v>46</v>
      </c>
      <c r="AN2268" s="4">
        <v>0</v>
      </c>
      <c r="AO2268" s="4">
        <v>0</v>
      </c>
      <c r="AP2268" s="4">
        <v>11</v>
      </c>
      <c r="AQ2268" s="4">
        <v>14</v>
      </c>
      <c r="AR2268" s="3" t="s">
        <v>63</v>
      </c>
      <c r="AS2268" s="3" t="s">
        <v>63</v>
      </c>
      <c r="AT2268" s="3" t="s">
        <v>63</v>
      </c>
      <c r="AV2268" s="6" t="str">
        <f>HYPERLINK("http://mcgill.on.worldcat.org/oclc/254529144","Catalog Record")</f>
        <v>Catalog Record</v>
      </c>
      <c r="AW2268" s="6" t="str">
        <f>HYPERLINK("http://www.worldcat.org/oclc/254529144","WorldCat Record")</f>
        <v>WorldCat Record</v>
      </c>
      <c r="AX2268" s="3" t="s">
        <v>19278</v>
      </c>
      <c r="AY2268" s="3" t="s">
        <v>19279</v>
      </c>
      <c r="AZ2268" s="3" t="s">
        <v>19280</v>
      </c>
      <c r="BA2268" s="3" t="s">
        <v>19280</v>
      </c>
      <c r="BB2268" s="3" t="s">
        <v>19281</v>
      </c>
      <c r="BC2268" s="3" t="s">
        <v>82</v>
      </c>
      <c r="BD2268" s="3" t="s">
        <v>70</v>
      </c>
      <c r="BE2268" s="3" t="s">
        <v>19282</v>
      </c>
      <c r="BF2268" s="3" t="s">
        <v>19281</v>
      </c>
      <c r="BG2268" s="3" t="s">
        <v>19283</v>
      </c>
    </row>
    <row r="2269" spans="1:59" ht="60" x14ac:dyDescent="0.25">
      <c r="A2269" s="2" t="s">
        <v>59</v>
      </c>
      <c r="B2269" s="2" t="s">
        <v>60</v>
      </c>
      <c r="C2269" s="2" t="s">
        <v>19284</v>
      </c>
      <c r="D2269" s="2" t="s">
        <v>19285</v>
      </c>
      <c r="E2269" s="2" t="s">
        <v>19286</v>
      </c>
      <c r="G2269" s="3" t="s">
        <v>63</v>
      </c>
      <c r="I2269" s="3" t="s">
        <v>63</v>
      </c>
      <c r="J2269" s="3" t="s">
        <v>63</v>
      </c>
      <c r="K2269" s="3" t="s">
        <v>64</v>
      </c>
      <c r="L2269" s="2" t="s">
        <v>19287</v>
      </c>
      <c r="M2269" s="2" t="s">
        <v>19288</v>
      </c>
      <c r="N2269" s="3" t="s">
        <v>2459</v>
      </c>
      <c r="P2269" s="3" t="s">
        <v>66</v>
      </c>
      <c r="R2269" s="3" t="s">
        <v>67</v>
      </c>
      <c r="S2269" s="4">
        <v>2</v>
      </c>
      <c r="T2269" s="4">
        <v>2</v>
      </c>
      <c r="U2269" s="5" t="s">
        <v>2032</v>
      </c>
      <c r="V2269" s="5" t="s">
        <v>2032</v>
      </c>
      <c r="W2269" s="5" t="s">
        <v>69</v>
      </c>
      <c r="X2269" s="5" t="s">
        <v>69</v>
      </c>
      <c r="Y2269" s="4">
        <v>163</v>
      </c>
      <c r="Z2269" s="4">
        <v>7</v>
      </c>
      <c r="AA2269" s="4">
        <v>80</v>
      </c>
      <c r="AB2269" s="4">
        <v>1</v>
      </c>
      <c r="AC2269" s="4">
        <v>14</v>
      </c>
      <c r="AD2269" s="4">
        <v>58</v>
      </c>
      <c r="AE2269" s="4">
        <v>120</v>
      </c>
      <c r="AF2269" s="4">
        <v>0</v>
      </c>
      <c r="AG2269" s="4">
        <v>8</v>
      </c>
      <c r="AH2269" s="4">
        <v>55</v>
      </c>
      <c r="AI2269" s="4">
        <v>86</v>
      </c>
      <c r="AJ2269" s="4">
        <v>6</v>
      </c>
      <c r="AK2269" s="4">
        <v>22</v>
      </c>
      <c r="AL2269" s="4">
        <v>41</v>
      </c>
      <c r="AM2269" s="4">
        <v>49</v>
      </c>
      <c r="AN2269" s="4">
        <v>0</v>
      </c>
      <c r="AO2269" s="4">
        <v>0</v>
      </c>
      <c r="AP2269" s="4">
        <v>6</v>
      </c>
      <c r="AQ2269" s="4">
        <v>41</v>
      </c>
      <c r="AR2269" s="3" t="s">
        <v>63</v>
      </c>
      <c r="AS2269" s="3" t="s">
        <v>63</v>
      </c>
      <c r="AT2269" s="3" t="s">
        <v>63</v>
      </c>
      <c r="AV2269" s="6" t="str">
        <f>HYPERLINK("http://mcgill.on.worldcat.org/oclc/189699326","Catalog Record")</f>
        <v>Catalog Record</v>
      </c>
      <c r="AW2269" s="6" t="str">
        <f>HYPERLINK("http://www.worldcat.org/oclc/189699326","WorldCat Record")</f>
        <v>WorldCat Record</v>
      </c>
      <c r="AX2269" s="3" t="s">
        <v>19289</v>
      </c>
      <c r="AY2269" s="3" t="s">
        <v>19290</v>
      </c>
      <c r="AZ2269" s="3" t="s">
        <v>19291</v>
      </c>
      <c r="BA2269" s="3" t="s">
        <v>19291</v>
      </c>
      <c r="BB2269" s="3" t="s">
        <v>19292</v>
      </c>
      <c r="BC2269" s="3" t="s">
        <v>82</v>
      </c>
      <c r="BD2269" s="3" t="s">
        <v>70</v>
      </c>
      <c r="BE2269" s="3" t="s">
        <v>19293</v>
      </c>
      <c r="BF2269" s="3" t="s">
        <v>19292</v>
      </c>
      <c r="BG2269" s="3" t="s">
        <v>19294</v>
      </c>
    </row>
    <row r="2270" spans="1:59" ht="60" x14ac:dyDescent="0.25">
      <c r="A2270" s="2" t="s">
        <v>59</v>
      </c>
      <c r="B2270" s="2" t="s">
        <v>60</v>
      </c>
      <c r="C2270" s="2" t="s">
        <v>19295</v>
      </c>
      <c r="D2270" s="2" t="s">
        <v>19296</v>
      </c>
      <c r="E2270" s="2" t="s">
        <v>19297</v>
      </c>
      <c r="G2270" s="3" t="s">
        <v>63</v>
      </c>
      <c r="I2270" s="3" t="s">
        <v>63</v>
      </c>
      <c r="J2270" s="3" t="s">
        <v>63</v>
      </c>
      <c r="K2270" s="3" t="s">
        <v>64</v>
      </c>
      <c r="L2270" s="2" t="s">
        <v>13932</v>
      </c>
      <c r="M2270" s="2" t="s">
        <v>19298</v>
      </c>
      <c r="N2270" s="3" t="s">
        <v>261</v>
      </c>
      <c r="P2270" s="3" t="s">
        <v>66</v>
      </c>
      <c r="R2270" s="3" t="s">
        <v>67</v>
      </c>
      <c r="S2270" s="4">
        <v>10</v>
      </c>
      <c r="T2270" s="4">
        <v>10</v>
      </c>
      <c r="U2270" s="5" t="s">
        <v>12340</v>
      </c>
      <c r="V2270" s="5" t="s">
        <v>12340</v>
      </c>
      <c r="W2270" s="5" t="s">
        <v>69</v>
      </c>
      <c r="X2270" s="5" t="s">
        <v>69</v>
      </c>
      <c r="Y2270" s="4">
        <v>151</v>
      </c>
      <c r="Z2270" s="4">
        <v>12</v>
      </c>
      <c r="AA2270" s="4">
        <v>15</v>
      </c>
      <c r="AB2270" s="4">
        <v>1</v>
      </c>
      <c r="AC2270" s="4">
        <v>4</v>
      </c>
      <c r="AD2270" s="4">
        <v>61</v>
      </c>
      <c r="AE2270" s="4">
        <v>64</v>
      </c>
      <c r="AF2270" s="4">
        <v>0</v>
      </c>
      <c r="AG2270" s="4">
        <v>0</v>
      </c>
      <c r="AH2270" s="4">
        <v>57</v>
      </c>
      <c r="AI2270" s="4">
        <v>60</v>
      </c>
      <c r="AJ2270" s="4">
        <v>8</v>
      </c>
      <c r="AK2270" s="4">
        <v>8</v>
      </c>
      <c r="AL2270" s="4">
        <v>38</v>
      </c>
      <c r="AM2270" s="4">
        <v>39</v>
      </c>
      <c r="AN2270" s="4">
        <v>0</v>
      </c>
      <c r="AO2270" s="4">
        <v>0</v>
      </c>
      <c r="AP2270" s="4">
        <v>8</v>
      </c>
      <c r="AQ2270" s="4">
        <v>8</v>
      </c>
      <c r="AR2270" s="3" t="s">
        <v>63</v>
      </c>
      <c r="AS2270" s="3" t="s">
        <v>63</v>
      </c>
      <c r="AT2270" s="3" t="s">
        <v>63</v>
      </c>
      <c r="AV2270" s="6" t="str">
        <f>HYPERLINK("http://mcgill.on.worldcat.org/oclc/137331420","Catalog Record")</f>
        <v>Catalog Record</v>
      </c>
      <c r="AW2270" s="6" t="str">
        <f>HYPERLINK("http://www.worldcat.org/oclc/137331420","WorldCat Record")</f>
        <v>WorldCat Record</v>
      </c>
      <c r="AX2270" s="3" t="s">
        <v>19299</v>
      </c>
      <c r="AY2270" s="3" t="s">
        <v>19300</v>
      </c>
      <c r="AZ2270" s="3" t="s">
        <v>19301</v>
      </c>
      <c r="BA2270" s="3" t="s">
        <v>19301</v>
      </c>
      <c r="BB2270" s="3" t="s">
        <v>19302</v>
      </c>
      <c r="BC2270" s="3" t="s">
        <v>82</v>
      </c>
      <c r="BD2270" s="3" t="s">
        <v>70</v>
      </c>
      <c r="BE2270" s="3" t="s">
        <v>19303</v>
      </c>
      <c r="BF2270" s="3" t="s">
        <v>19302</v>
      </c>
      <c r="BG2270" s="3" t="s">
        <v>19304</v>
      </c>
    </row>
    <row r="2271" spans="1:59" ht="60" x14ac:dyDescent="0.25">
      <c r="A2271" s="2" t="s">
        <v>59</v>
      </c>
      <c r="B2271" s="2" t="s">
        <v>60</v>
      </c>
      <c r="C2271" s="2" t="s">
        <v>19305</v>
      </c>
      <c r="D2271" s="2" t="s">
        <v>19306</v>
      </c>
      <c r="E2271" s="2" t="s">
        <v>19307</v>
      </c>
      <c r="G2271" s="3" t="s">
        <v>63</v>
      </c>
      <c r="I2271" s="3" t="s">
        <v>62</v>
      </c>
      <c r="J2271" s="3" t="s">
        <v>63</v>
      </c>
      <c r="K2271" s="3" t="s">
        <v>64</v>
      </c>
      <c r="L2271" s="2" t="s">
        <v>19308</v>
      </c>
      <c r="M2271" s="2" t="s">
        <v>19309</v>
      </c>
      <c r="N2271" s="3" t="s">
        <v>918</v>
      </c>
      <c r="P2271" s="3" t="s">
        <v>66</v>
      </c>
      <c r="Q2271" s="2" t="s">
        <v>19310</v>
      </c>
      <c r="R2271" s="3" t="s">
        <v>67</v>
      </c>
      <c r="S2271" s="4">
        <v>11</v>
      </c>
      <c r="T2271" s="4">
        <v>20</v>
      </c>
      <c r="U2271" s="5" t="s">
        <v>19311</v>
      </c>
      <c r="V2271" s="5" t="s">
        <v>3534</v>
      </c>
      <c r="W2271" s="5" t="s">
        <v>69</v>
      </c>
      <c r="X2271" s="5" t="s">
        <v>69</v>
      </c>
      <c r="Y2271" s="4">
        <v>187</v>
      </c>
      <c r="Z2271" s="4">
        <v>21</v>
      </c>
      <c r="AA2271" s="4">
        <v>32</v>
      </c>
      <c r="AB2271" s="4">
        <v>1</v>
      </c>
      <c r="AC2271" s="4">
        <v>3</v>
      </c>
      <c r="AD2271" s="4">
        <v>56</v>
      </c>
      <c r="AE2271" s="4">
        <v>110</v>
      </c>
      <c r="AF2271" s="4">
        <v>0</v>
      </c>
      <c r="AG2271" s="4">
        <v>1</v>
      </c>
      <c r="AH2271" s="4">
        <v>47</v>
      </c>
      <c r="AI2271" s="4">
        <v>95</v>
      </c>
      <c r="AJ2271" s="4">
        <v>12</v>
      </c>
      <c r="AK2271" s="4">
        <v>18</v>
      </c>
      <c r="AL2271" s="4">
        <v>28</v>
      </c>
      <c r="AM2271" s="4">
        <v>55</v>
      </c>
      <c r="AN2271" s="4">
        <v>0</v>
      </c>
      <c r="AO2271" s="4">
        <v>0</v>
      </c>
      <c r="AP2271" s="4">
        <v>14</v>
      </c>
      <c r="AQ2271" s="4">
        <v>22</v>
      </c>
      <c r="AR2271" s="3" t="s">
        <v>63</v>
      </c>
      <c r="AS2271" s="3" t="s">
        <v>63</v>
      </c>
      <c r="AT2271" s="3" t="s">
        <v>62</v>
      </c>
      <c r="AU2271" s="6" t="str">
        <f>HYPERLINK("http://catalog.hathitrust.org/Record/001061176","HathiTrust Record")</f>
        <v>HathiTrust Record</v>
      </c>
      <c r="AV2271" s="6" t="str">
        <f>HYPERLINK("http://mcgill.on.worldcat.org/oclc/458165","Catalog Record")</f>
        <v>Catalog Record</v>
      </c>
      <c r="AW2271" s="6" t="str">
        <f>HYPERLINK("http://www.worldcat.org/oclc/458165","WorldCat Record")</f>
        <v>WorldCat Record</v>
      </c>
      <c r="AX2271" s="3" t="s">
        <v>19312</v>
      </c>
      <c r="AY2271" s="3" t="s">
        <v>19313</v>
      </c>
      <c r="AZ2271" s="3" t="s">
        <v>19314</v>
      </c>
      <c r="BA2271" s="3" t="s">
        <v>19314</v>
      </c>
      <c r="BB2271" s="3" t="s">
        <v>19315</v>
      </c>
      <c r="BC2271" s="3" t="s">
        <v>82</v>
      </c>
      <c r="BD2271" s="3" t="s">
        <v>70</v>
      </c>
      <c r="BF2271" s="3" t="s">
        <v>19315</v>
      </c>
      <c r="BG2271" s="3" t="s">
        <v>19316</v>
      </c>
    </row>
    <row r="2272" spans="1:59" ht="60" x14ac:dyDescent="0.25">
      <c r="A2272" s="2" t="s">
        <v>59</v>
      </c>
      <c r="B2272" s="2" t="s">
        <v>60</v>
      </c>
      <c r="C2272" s="2" t="s">
        <v>19305</v>
      </c>
      <c r="D2272" s="2" t="s">
        <v>19306</v>
      </c>
      <c r="E2272" s="2" t="s">
        <v>19307</v>
      </c>
      <c r="G2272" s="3" t="s">
        <v>63</v>
      </c>
      <c r="I2272" s="3" t="s">
        <v>62</v>
      </c>
      <c r="J2272" s="3" t="s">
        <v>63</v>
      </c>
      <c r="K2272" s="3" t="s">
        <v>64</v>
      </c>
      <c r="L2272" s="2" t="s">
        <v>19308</v>
      </c>
      <c r="M2272" s="2" t="s">
        <v>19309</v>
      </c>
      <c r="N2272" s="3" t="s">
        <v>918</v>
      </c>
      <c r="P2272" s="3" t="s">
        <v>66</v>
      </c>
      <c r="Q2272" s="2" t="s">
        <v>19310</v>
      </c>
      <c r="R2272" s="3" t="s">
        <v>67</v>
      </c>
      <c r="S2272" s="4">
        <v>9</v>
      </c>
      <c r="T2272" s="4">
        <v>20</v>
      </c>
      <c r="U2272" s="5" t="s">
        <v>3534</v>
      </c>
      <c r="V2272" s="5" t="s">
        <v>3534</v>
      </c>
      <c r="W2272" s="5" t="s">
        <v>69</v>
      </c>
      <c r="X2272" s="5" t="s">
        <v>69</v>
      </c>
      <c r="Y2272" s="4">
        <v>187</v>
      </c>
      <c r="Z2272" s="4">
        <v>21</v>
      </c>
      <c r="AA2272" s="4">
        <v>32</v>
      </c>
      <c r="AB2272" s="4">
        <v>1</v>
      </c>
      <c r="AC2272" s="4">
        <v>3</v>
      </c>
      <c r="AD2272" s="4">
        <v>56</v>
      </c>
      <c r="AE2272" s="4">
        <v>110</v>
      </c>
      <c r="AF2272" s="4">
        <v>0</v>
      </c>
      <c r="AG2272" s="4">
        <v>1</v>
      </c>
      <c r="AH2272" s="4">
        <v>47</v>
      </c>
      <c r="AI2272" s="4">
        <v>95</v>
      </c>
      <c r="AJ2272" s="4">
        <v>12</v>
      </c>
      <c r="AK2272" s="4">
        <v>18</v>
      </c>
      <c r="AL2272" s="4">
        <v>28</v>
      </c>
      <c r="AM2272" s="4">
        <v>55</v>
      </c>
      <c r="AN2272" s="4">
        <v>0</v>
      </c>
      <c r="AO2272" s="4">
        <v>0</v>
      </c>
      <c r="AP2272" s="4">
        <v>14</v>
      </c>
      <c r="AQ2272" s="4">
        <v>22</v>
      </c>
      <c r="AR2272" s="3" t="s">
        <v>63</v>
      </c>
      <c r="AS2272" s="3" t="s">
        <v>63</v>
      </c>
      <c r="AT2272" s="3" t="s">
        <v>62</v>
      </c>
      <c r="AU2272" s="6" t="str">
        <f>HYPERLINK("http://catalog.hathitrust.org/Record/001061176","HathiTrust Record")</f>
        <v>HathiTrust Record</v>
      </c>
      <c r="AV2272" s="6" t="str">
        <f>HYPERLINK("http://mcgill.on.worldcat.org/oclc/458165","Catalog Record")</f>
        <v>Catalog Record</v>
      </c>
      <c r="AW2272" s="6" t="str">
        <f>HYPERLINK("http://www.worldcat.org/oclc/458165","WorldCat Record")</f>
        <v>WorldCat Record</v>
      </c>
      <c r="AX2272" s="3" t="s">
        <v>19312</v>
      </c>
      <c r="AY2272" s="3" t="s">
        <v>19313</v>
      </c>
      <c r="AZ2272" s="3" t="s">
        <v>19314</v>
      </c>
      <c r="BA2272" s="3" t="s">
        <v>19314</v>
      </c>
      <c r="BB2272" s="3" t="s">
        <v>19317</v>
      </c>
      <c r="BC2272" s="3" t="s">
        <v>82</v>
      </c>
      <c r="BD2272" s="3" t="s">
        <v>70</v>
      </c>
      <c r="BF2272" s="3" t="s">
        <v>19317</v>
      </c>
      <c r="BG2272" s="3" t="s">
        <v>19318</v>
      </c>
    </row>
    <row r="2273" spans="1:59" ht="60" x14ac:dyDescent="0.25">
      <c r="A2273" s="2" t="s">
        <v>59</v>
      </c>
      <c r="B2273" s="2" t="s">
        <v>60</v>
      </c>
      <c r="C2273" s="2" t="s">
        <v>19319</v>
      </c>
      <c r="D2273" s="2" t="s">
        <v>19320</v>
      </c>
      <c r="E2273" s="2" t="s">
        <v>19321</v>
      </c>
      <c r="G2273" s="3" t="s">
        <v>63</v>
      </c>
      <c r="I2273" s="3" t="s">
        <v>63</v>
      </c>
      <c r="J2273" s="3" t="s">
        <v>63</v>
      </c>
      <c r="K2273" s="3" t="s">
        <v>64</v>
      </c>
      <c r="M2273" s="2" t="s">
        <v>17268</v>
      </c>
      <c r="N2273" s="3" t="s">
        <v>130</v>
      </c>
      <c r="P2273" s="3" t="s">
        <v>548</v>
      </c>
      <c r="Q2273" s="2" t="s">
        <v>19322</v>
      </c>
      <c r="R2273" s="3" t="s">
        <v>67</v>
      </c>
      <c r="S2273" s="4">
        <v>0</v>
      </c>
      <c r="T2273" s="4">
        <v>0</v>
      </c>
      <c r="W2273" s="5" t="s">
        <v>69</v>
      </c>
      <c r="X2273" s="5" t="s">
        <v>69</v>
      </c>
      <c r="Y2273" s="4">
        <v>35</v>
      </c>
      <c r="Z2273" s="4">
        <v>3</v>
      </c>
      <c r="AA2273" s="4">
        <v>3</v>
      </c>
      <c r="AB2273" s="4">
        <v>1</v>
      </c>
      <c r="AC2273" s="4">
        <v>1</v>
      </c>
      <c r="AD2273" s="4">
        <v>23</v>
      </c>
      <c r="AE2273" s="4">
        <v>23</v>
      </c>
      <c r="AF2273" s="4">
        <v>0</v>
      </c>
      <c r="AG2273" s="4">
        <v>0</v>
      </c>
      <c r="AH2273" s="4">
        <v>22</v>
      </c>
      <c r="AI2273" s="4">
        <v>22</v>
      </c>
      <c r="AJ2273" s="4">
        <v>1</v>
      </c>
      <c r="AK2273" s="4">
        <v>1</v>
      </c>
      <c r="AL2273" s="4">
        <v>19</v>
      </c>
      <c r="AM2273" s="4">
        <v>19</v>
      </c>
      <c r="AN2273" s="4">
        <v>0</v>
      </c>
      <c r="AO2273" s="4">
        <v>0</v>
      </c>
      <c r="AP2273" s="4">
        <v>1</v>
      </c>
      <c r="AQ2273" s="4">
        <v>1</v>
      </c>
      <c r="AR2273" s="3" t="s">
        <v>63</v>
      </c>
      <c r="AS2273" s="3" t="s">
        <v>63</v>
      </c>
      <c r="AT2273" s="3" t="s">
        <v>63</v>
      </c>
      <c r="AV2273" s="6" t="str">
        <f>HYPERLINK("http://mcgill.on.worldcat.org/oclc/829062638","Catalog Record")</f>
        <v>Catalog Record</v>
      </c>
      <c r="AW2273" s="6" t="str">
        <f>HYPERLINK("http://www.worldcat.org/oclc/829062638","WorldCat Record")</f>
        <v>WorldCat Record</v>
      </c>
      <c r="AX2273" s="3" t="s">
        <v>19323</v>
      </c>
      <c r="AY2273" s="3" t="s">
        <v>19324</v>
      </c>
      <c r="AZ2273" s="3" t="s">
        <v>19325</v>
      </c>
      <c r="BA2273" s="3" t="s">
        <v>19325</v>
      </c>
      <c r="BB2273" s="3" t="s">
        <v>19326</v>
      </c>
      <c r="BC2273" s="3" t="s">
        <v>82</v>
      </c>
      <c r="BD2273" s="3" t="s">
        <v>70</v>
      </c>
      <c r="BE2273" s="3" t="s">
        <v>19327</v>
      </c>
      <c r="BF2273" s="3" t="s">
        <v>19326</v>
      </c>
      <c r="BG2273" s="3" t="s">
        <v>19328</v>
      </c>
    </row>
    <row r="2274" spans="1:59" ht="60" x14ac:dyDescent="0.25">
      <c r="A2274" s="2" t="s">
        <v>59</v>
      </c>
      <c r="B2274" s="2" t="s">
        <v>60</v>
      </c>
      <c r="C2274" s="2" t="s">
        <v>19329</v>
      </c>
      <c r="D2274" s="2" t="s">
        <v>19330</v>
      </c>
      <c r="E2274" s="2" t="s">
        <v>19331</v>
      </c>
      <c r="G2274" s="3" t="s">
        <v>63</v>
      </c>
      <c r="I2274" s="3" t="s">
        <v>63</v>
      </c>
      <c r="J2274" s="3" t="s">
        <v>63</v>
      </c>
      <c r="K2274" s="3" t="s">
        <v>64</v>
      </c>
      <c r="L2274" s="2" t="s">
        <v>19332</v>
      </c>
      <c r="M2274" s="2" t="s">
        <v>1308</v>
      </c>
      <c r="N2274" s="3" t="s">
        <v>204</v>
      </c>
      <c r="P2274" s="3" t="s">
        <v>66</v>
      </c>
      <c r="Q2274" s="2" t="s">
        <v>8874</v>
      </c>
      <c r="R2274" s="3" t="s">
        <v>67</v>
      </c>
      <c r="S2274" s="4">
        <v>4</v>
      </c>
      <c r="T2274" s="4">
        <v>4</v>
      </c>
      <c r="U2274" s="5" t="s">
        <v>5549</v>
      </c>
      <c r="V2274" s="5" t="s">
        <v>5549</v>
      </c>
      <c r="W2274" s="5" t="s">
        <v>69</v>
      </c>
      <c r="X2274" s="5" t="s">
        <v>69</v>
      </c>
      <c r="Y2274" s="4">
        <v>260</v>
      </c>
      <c r="Z2274" s="4">
        <v>18</v>
      </c>
      <c r="AA2274" s="4">
        <v>18</v>
      </c>
      <c r="AB2274" s="4">
        <v>1</v>
      </c>
      <c r="AC2274" s="4">
        <v>1</v>
      </c>
      <c r="AD2274" s="4">
        <v>95</v>
      </c>
      <c r="AE2274" s="4">
        <v>95</v>
      </c>
      <c r="AF2274" s="4">
        <v>0</v>
      </c>
      <c r="AG2274" s="4">
        <v>0</v>
      </c>
      <c r="AH2274" s="4">
        <v>87</v>
      </c>
      <c r="AI2274" s="4">
        <v>87</v>
      </c>
      <c r="AJ2274" s="4">
        <v>10</v>
      </c>
      <c r="AK2274" s="4">
        <v>10</v>
      </c>
      <c r="AL2274" s="4">
        <v>51</v>
      </c>
      <c r="AM2274" s="4">
        <v>51</v>
      </c>
      <c r="AN2274" s="4">
        <v>0</v>
      </c>
      <c r="AO2274" s="4">
        <v>0</v>
      </c>
      <c r="AP2274" s="4">
        <v>12</v>
      </c>
      <c r="AQ2274" s="4">
        <v>12</v>
      </c>
      <c r="AR2274" s="3" t="s">
        <v>63</v>
      </c>
      <c r="AS2274" s="3" t="s">
        <v>63</v>
      </c>
      <c r="AT2274" s="3" t="s">
        <v>62</v>
      </c>
      <c r="AU2274" s="6" t="str">
        <f>HYPERLINK("http://catalog.hathitrust.org/Record/003144185","HathiTrust Record")</f>
        <v>HathiTrust Record</v>
      </c>
      <c r="AV2274" s="6" t="str">
        <f>HYPERLINK("http://mcgill.on.worldcat.org/oclc/35174839","Catalog Record")</f>
        <v>Catalog Record</v>
      </c>
      <c r="AW2274" s="6" t="str">
        <f>HYPERLINK("http://www.worldcat.org/oclc/35174839","WorldCat Record")</f>
        <v>WorldCat Record</v>
      </c>
      <c r="AX2274" s="3" t="s">
        <v>19333</v>
      </c>
      <c r="AY2274" s="3" t="s">
        <v>19334</v>
      </c>
      <c r="AZ2274" s="3" t="s">
        <v>19335</v>
      </c>
      <c r="BA2274" s="3" t="s">
        <v>19335</v>
      </c>
      <c r="BB2274" s="3" t="s">
        <v>19336</v>
      </c>
      <c r="BC2274" s="3" t="s">
        <v>82</v>
      </c>
      <c r="BD2274" s="3" t="s">
        <v>70</v>
      </c>
      <c r="BE2274" s="3" t="s">
        <v>19337</v>
      </c>
      <c r="BF2274" s="3" t="s">
        <v>19336</v>
      </c>
      <c r="BG2274" s="3" t="s">
        <v>19338</v>
      </c>
    </row>
    <row r="2275" spans="1:59" ht="60" x14ac:dyDescent="0.25">
      <c r="A2275" s="2" t="s">
        <v>59</v>
      </c>
      <c r="B2275" s="2" t="s">
        <v>60</v>
      </c>
      <c r="C2275" s="2" t="s">
        <v>19339</v>
      </c>
      <c r="D2275" s="2" t="s">
        <v>19340</v>
      </c>
      <c r="E2275" s="2" t="s">
        <v>19341</v>
      </c>
      <c r="F2275" s="3" t="s">
        <v>19342</v>
      </c>
      <c r="G2275" s="3" t="s">
        <v>62</v>
      </c>
      <c r="I2275" s="3" t="s">
        <v>62</v>
      </c>
      <c r="J2275" s="3" t="s">
        <v>63</v>
      </c>
      <c r="K2275" s="3" t="s">
        <v>64</v>
      </c>
      <c r="L2275" s="2" t="s">
        <v>19343</v>
      </c>
      <c r="M2275" s="2" t="s">
        <v>19344</v>
      </c>
      <c r="N2275" s="3" t="s">
        <v>758</v>
      </c>
      <c r="P2275" s="3" t="s">
        <v>90</v>
      </c>
      <c r="R2275" s="3" t="s">
        <v>67</v>
      </c>
      <c r="S2275" s="4">
        <v>0</v>
      </c>
      <c r="T2275" s="4">
        <v>106</v>
      </c>
      <c r="V2275" s="5" t="s">
        <v>16663</v>
      </c>
      <c r="W2275" s="5" t="s">
        <v>69</v>
      </c>
      <c r="X2275" s="5" t="s">
        <v>69</v>
      </c>
      <c r="Y2275" s="4">
        <v>4</v>
      </c>
      <c r="Z2275" s="4">
        <v>3</v>
      </c>
      <c r="AA2275" s="4">
        <v>4</v>
      </c>
      <c r="AB2275" s="4">
        <v>1</v>
      </c>
      <c r="AC2275" s="4">
        <v>1</v>
      </c>
      <c r="AD2275" s="4">
        <v>2</v>
      </c>
      <c r="AE2275" s="4">
        <v>3</v>
      </c>
      <c r="AF2275" s="4">
        <v>0</v>
      </c>
      <c r="AG2275" s="4">
        <v>0</v>
      </c>
      <c r="AH2275" s="4">
        <v>2</v>
      </c>
      <c r="AI2275" s="4">
        <v>3</v>
      </c>
      <c r="AJ2275" s="4">
        <v>1</v>
      </c>
      <c r="AK2275" s="4">
        <v>2</v>
      </c>
      <c r="AL2275" s="4">
        <v>1</v>
      </c>
      <c r="AM2275" s="4">
        <v>1</v>
      </c>
      <c r="AN2275" s="4">
        <v>0</v>
      </c>
      <c r="AO2275" s="4">
        <v>0</v>
      </c>
      <c r="AP2275" s="4">
        <v>1</v>
      </c>
      <c r="AQ2275" s="4">
        <v>2</v>
      </c>
      <c r="AR2275" s="3" t="s">
        <v>63</v>
      </c>
      <c r="AS2275" s="3" t="s">
        <v>63</v>
      </c>
      <c r="AT2275" s="3" t="s">
        <v>63</v>
      </c>
      <c r="AV2275" s="6" t="str">
        <f>HYPERLINK("http://mcgill.on.worldcat.org/oclc/61585991","Catalog Record")</f>
        <v>Catalog Record</v>
      </c>
      <c r="AW2275" s="6" t="str">
        <f>HYPERLINK("http://www.worldcat.org/oclc/61585991","WorldCat Record")</f>
        <v>WorldCat Record</v>
      </c>
      <c r="AX2275" s="3" t="s">
        <v>19345</v>
      </c>
      <c r="AY2275" s="3" t="s">
        <v>19346</v>
      </c>
      <c r="AZ2275" s="3" t="s">
        <v>19347</v>
      </c>
      <c r="BA2275" s="3" t="s">
        <v>19347</v>
      </c>
      <c r="BB2275" s="3" t="s">
        <v>19348</v>
      </c>
      <c r="BC2275" s="3" t="s">
        <v>82</v>
      </c>
      <c r="BD2275" s="3" t="s">
        <v>70</v>
      </c>
      <c r="BF2275" s="3" t="s">
        <v>19348</v>
      </c>
      <c r="BG2275" s="3" t="s">
        <v>19349</v>
      </c>
    </row>
    <row r="2276" spans="1:59" ht="60" x14ac:dyDescent="0.25">
      <c r="A2276" s="2" t="s">
        <v>59</v>
      </c>
      <c r="B2276" s="2" t="s">
        <v>60</v>
      </c>
      <c r="C2276" s="2" t="s">
        <v>19339</v>
      </c>
      <c r="D2276" s="2" t="s">
        <v>19340</v>
      </c>
      <c r="E2276" s="2" t="s">
        <v>19341</v>
      </c>
      <c r="F2276" s="3" t="s">
        <v>19350</v>
      </c>
      <c r="G2276" s="3" t="s">
        <v>62</v>
      </c>
      <c r="I2276" s="3" t="s">
        <v>62</v>
      </c>
      <c r="J2276" s="3" t="s">
        <v>63</v>
      </c>
      <c r="K2276" s="3" t="s">
        <v>64</v>
      </c>
      <c r="L2276" s="2" t="s">
        <v>19343</v>
      </c>
      <c r="M2276" s="2" t="s">
        <v>19344</v>
      </c>
      <c r="N2276" s="3" t="s">
        <v>758</v>
      </c>
      <c r="P2276" s="3" t="s">
        <v>90</v>
      </c>
      <c r="R2276" s="3" t="s">
        <v>67</v>
      </c>
      <c r="S2276" s="4">
        <v>3</v>
      </c>
      <c r="T2276" s="4">
        <v>106</v>
      </c>
      <c r="U2276" s="5" t="s">
        <v>19351</v>
      </c>
      <c r="V2276" s="5" t="s">
        <v>16663</v>
      </c>
      <c r="W2276" s="5" t="s">
        <v>69</v>
      </c>
      <c r="X2276" s="5" t="s">
        <v>69</v>
      </c>
      <c r="Y2276" s="4">
        <v>4</v>
      </c>
      <c r="Z2276" s="4">
        <v>3</v>
      </c>
      <c r="AA2276" s="4">
        <v>4</v>
      </c>
      <c r="AB2276" s="4">
        <v>1</v>
      </c>
      <c r="AC2276" s="4">
        <v>1</v>
      </c>
      <c r="AD2276" s="4">
        <v>2</v>
      </c>
      <c r="AE2276" s="4">
        <v>3</v>
      </c>
      <c r="AF2276" s="4">
        <v>0</v>
      </c>
      <c r="AG2276" s="4">
        <v>0</v>
      </c>
      <c r="AH2276" s="4">
        <v>2</v>
      </c>
      <c r="AI2276" s="4">
        <v>3</v>
      </c>
      <c r="AJ2276" s="4">
        <v>1</v>
      </c>
      <c r="AK2276" s="4">
        <v>2</v>
      </c>
      <c r="AL2276" s="4">
        <v>1</v>
      </c>
      <c r="AM2276" s="4">
        <v>1</v>
      </c>
      <c r="AN2276" s="4">
        <v>0</v>
      </c>
      <c r="AO2276" s="4">
        <v>0</v>
      </c>
      <c r="AP2276" s="4">
        <v>1</v>
      </c>
      <c r="AQ2276" s="4">
        <v>2</v>
      </c>
      <c r="AR2276" s="3" t="s">
        <v>63</v>
      </c>
      <c r="AS2276" s="3" t="s">
        <v>63</v>
      </c>
      <c r="AT2276" s="3" t="s">
        <v>63</v>
      </c>
      <c r="AV2276" s="6" t="str">
        <f>HYPERLINK("http://mcgill.on.worldcat.org/oclc/61585991","Catalog Record")</f>
        <v>Catalog Record</v>
      </c>
      <c r="AW2276" s="6" t="str">
        <f>HYPERLINK("http://www.worldcat.org/oclc/61585991","WorldCat Record")</f>
        <v>WorldCat Record</v>
      </c>
      <c r="AX2276" s="3" t="s">
        <v>19345</v>
      </c>
      <c r="AY2276" s="3" t="s">
        <v>19346</v>
      </c>
      <c r="AZ2276" s="3" t="s">
        <v>19347</v>
      </c>
      <c r="BA2276" s="3" t="s">
        <v>19347</v>
      </c>
      <c r="BB2276" s="3" t="s">
        <v>19352</v>
      </c>
      <c r="BC2276" s="3" t="s">
        <v>82</v>
      </c>
      <c r="BD2276" s="3" t="s">
        <v>70</v>
      </c>
      <c r="BF2276" s="3" t="s">
        <v>19352</v>
      </c>
      <c r="BG2276" s="3" t="s">
        <v>19353</v>
      </c>
    </row>
    <row r="2277" spans="1:59" ht="60" x14ac:dyDescent="0.25">
      <c r="A2277" s="2" t="s">
        <v>59</v>
      </c>
      <c r="B2277" s="2" t="s">
        <v>60</v>
      </c>
      <c r="C2277" s="2" t="s">
        <v>19339</v>
      </c>
      <c r="D2277" s="2" t="s">
        <v>19340</v>
      </c>
      <c r="E2277" s="2" t="s">
        <v>19341</v>
      </c>
      <c r="F2277" s="3" t="s">
        <v>19354</v>
      </c>
      <c r="G2277" s="3" t="s">
        <v>62</v>
      </c>
      <c r="I2277" s="3" t="s">
        <v>62</v>
      </c>
      <c r="J2277" s="3" t="s">
        <v>63</v>
      </c>
      <c r="K2277" s="3" t="s">
        <v>64</v>
      </c>
      <c r="L2277" s="2" t="s">
        <v>19343</v>
      </c>
      <c r="M2277" s="2" t="s">
        <v>19344</v>
      </c>
      <c r="N2277" s="3" t="s">
        <v>758</v>
      </c>
      <c r="P2277" s="3" t="s">
        <v>90</v>
      </c>
      <c r="R2277" s="3" t="s">
        <v>67</v>
      </c>
      <c r="S2277" s="4">
        <v>0</v>
      </c>
      <c r="T2277" s="4">
        <v>106</v>
      </c>
      <c r="V2277" s="5" t="s">
        <v>16663</v>
      </c>
      <c r="W2277" s="5" t="s">
        <v>69</v>
      </c>
      <c r="X2277" s="5" t="s">
        <v>69</v>
      </c>
      <c r="Y2277" s="4">
        <v>4</v>
      </c>
      <c r="Z2277" s="4">
        <v>3</v>
      </c>
      <c r="AA2277" s="4">
        <v>4</v>
      </c>
      <c r="AB2277" s="4">
        <v>1</v>
      </c>
      <c r="AC2277" s="4">
        <v>1</v>
      </c>
      <c r="AD2277" s="4">
        <v>2</v>
      </c>
      <c r="AE2277" s="4">
        <v>3</v>
      </c>
      <c r="AF2277" s="4">
        <v>0</v>
      </c>
      <c r="AG2277" s="4">
        <v>0</v>
      </c>
      <c r="AH2277" s="4">
        <v>2</v>
      </c>
      <c r="AI2277" s="4">
        <v>3</v>
      </c>
      <c r="AJ2277" s="4">
        <v>1</v>
      </c>
      <c r="AK2277" s="4">
        <v>2</v>
      </c>
      <c r="AL2277" s="4">
        <v>1</v>
      </c>
      <c r="AM2277" s="4">
        <v>1</v>
      </c>
      <c r="AN2277" s="4">
        <v>0</v>
      </c>
      <c r="AO2277" s="4">
        <v>0</v>
      </c>
      <c r="AP2277" s="4">
        <v>1</v>
      </c>
      <c r="AQ2277" s="4">
        <v>2</v>
      </c>
      <c r="AR2277" s="3" t="s">
        <v>63</v>
      </c>
      <c r="AS2277" s="3" t="s">
        <v>63</v>
      </c>
      <c r="AT2277" s="3" t="s">
        <v>63</v>
      </c>
      <c r="AV2277" s="6" t="str">
        <f>HYPERLINK("http://mcgill.on.worldcat.org/oclc/61585991","Catalog Record")</f>
        <v>Catalog Record</v>
      </c>
      <c r="AW2277" s="6" t="str">
        <f>HYPERLINK("http://www.worldcat.org/oclc/61585991","WorldCat Record")</f>
        <v>WorldCat Record</v>
      </c>
      <c r="AX2277" s="3" t="s">
        <v>19345</v>
      </c>
      <c r="AY2277" s="3" t="s">
        <v>19346</v>
      </c>
      <c r="AZ2277" s="3" t="s">
        <v>19347</v>
      </c>
      <c r="BA2277" s="3" t="s">
        <v>19347</v>
      </c>
      <c r="BB2277" s="3" t="s">
        <v>19355</v>
      </c>
      <c r="BC2277" s="3" t="s">
        <v>82</v>
      </c>
      <c r="BD2277" s="3" t="s">
        <v>70</v>
      </c>
      <c r="BF2277" s="3" t="s">
        <v>19355</v>
      </c>
      <c r="BG2277" s="3" t="s">
        <v>19356</v>
      </c>
    </row>
    <row r="2278" spans="1:59" ht="60" x14ac:dyDescent="0.25">
      <c r="A2278" s="2" t="s">
        <v>59</v>
      </c>
      <c r="B2278" s="2" t="s">
        <v>60</v>
      </c>
      <c r="C2278" s="2" t="s">
        <v>19339</v>
      </c>
      <c r="D2278" s="2" t="s">
        <v>19340</v>
      </c>
      <c r="E2278" s="2" t="s">
        <v>19341</v>
      </c>
      <c r="F2278" s="3" t="s">
        <v>19357</v>
      </c>
      <c r="G2278" s="3" t="s">
        <v>62</v>
      </c>
      <c r="I2278" s="3" t="s">
        <v>62</v>
      </c>
      <c r="J2278" s="3" t="s">
        <v>63</v>
      </c>
      <c r="K2278" s="3" t="s">
        <v>64</v>
      </c>
      <c r="L2278" s="2" t="s">
        <v>19343</v>
      </c>
      <c r="M2278" s="2" t="s">
        <v>19344</v>
      </c>
      <c r="N2278" s="3" t="s">
        <v>758</v>
      </c>
      <c r="P2278" s="3" t="s">
        <v>90</v>
      </c>
      <c r="R2278" s="3" t="s">
        <v>67</v>
      </c>
      <c r="S2278" s="4">
        <v>0</v>
      </c>
      <c r="T2278" s="4">
        <v>106</v>
      </c>
      <c r="V2278" s="5" t="s">
        <v>16663</v>
      </c>
      <c r="W2278" s="5" t="s">
        <v>69</v>
      </c>
      <c r="X2278" s="5" t="s">
        <v>69</v>
      </c>
      <c r="Y2278" s="4">
        <v>4</v>
      </c>
      <c r="Z2278" s="4">
        <v>3</v>
      </c>
      <c r="AA2278" s="4">
        <v>4</v>
      </c>
      <c r="AB2278" s="4">
        <v>1</v>
      </c>
      <c r="AC2278" s="4">
        <v>1</v>
      </c>
      <c r="AD2278" s="4">
        <v>2</v>
      </c>
      <c r="AE2278" s="4">
        <v>3</v>
      </c>
      <c r="AF2278" s="4">
        <v>0</v>
      </c>
      <c r="AG2278" s="4">
        <v>0</v>
      </c>
      <c r="AH2278" s="4">
        <v>2</v>
      </c>
      <c r="AI2278" s="4">
        <v>3</v>
      </c>
      <c r="AJ2278" s="4">
        <v>1</v>
      </c>
      <c r="AK2278" s="4">
        <v>2</v>
      </c>
      <c r="AL2278" s="4">
        <v>1</v>
      </c>
      <c r="AM2278" s="4">
        <v>1</v>
      </c>
      <c r="AN2278" s="4">
        <v>0</v>
      </c>
      <c r="AO2278" s="4">
        <v>0</v>
      </c>
      <c r="AP2278" s="4">
        <v>1</v>
      </c>
      <c r="AQ2278" s="4">
        <v>2</v>
      </c>
      <c r="AR2278" s="3" t="s">
        <v>63</v>
      </c>
      <c r="AS2278" s="3" t="s">
        <v>63</v>
      </c>
      <c r="AT2278" s="3" t="s">
        <v>63</v>
      </c>
      <c r="AV2278" s="6" t="str">
        <f>HYPERLINK("http://mcgill.on.worldcat.org/oclc/61585991","Catalog Record")</f>
        <v>Catalog Record</v>
      </c>
      <c r="AW2278" s="6" t="str">
        <f>HYPERLINK("http://www.worldcat.org/oclc/61585991","WorldCat Record")</f>
        <v>WorldCat Record</v>
      </c>
      <c r="AX2278" s="3" t="s">
        <v>19345</v>
      </c>
      <c r="AY2278" s="3" t="s">
        <v>19346</v>
      </c>
      <c r="AZ2278" s="3" t="s">
        <v>19347</v>
      </c>
      <c r="BA2278" s="3" t="s">
        <v>19347</v>
      </c>
      <c r="BB2278" s="3" t="s">
        <v>19358</v>
      </c>
      <c r="BC2278" s="3" t="s">
        <v>82</v>
      </c>
      <c r="BD2278" s="3" t="s">
        <v>70</v>
      </c>
      <c r="BF2278" s="3" t="s">
        <v>19358</v>
      </c>
      <c r="BG2278" s="3" t="s">
        <v>19359</v>
      </c>
    </row>
    <row r="2279" spans="1:59" ht="60" x14ac:dyDescent="0.25">
      <c r="A2279" s="2" t="s">
        <v>59</v>
      </c>
      <c r="B2279" s="2" t="s">
        <v>60</v>
      </c>
      <c r="C2279" s="2" t="s">
        <v>19339</v>
      </c>
      <c r="D2279" s="2" t="s">
        <v>19340</v>
      </c>
      <c r="E2279" s="2" t="s">
        <v>19341</v>
      </c>
      <c r="F2279" s="3" t="s">
        <v>19360</v>
      </c>
      <c r="G2279" s="3" t="s">
        <v>62</v>
      </c>
      <c r="I2279" s="3" t="s">
        <v>62</v>
      </c>
      <c r="J2279" s="3" t="s">
        <v>63</v>
      </c>
      <c r="K2279" s="3" t="s">
        <v>64</v>
      </c>
      <c r="L2279" s="2" t="s">
        <v>19343</v>
      </c>
      <c r="M2279" s="2" t="s">
        <v>19344</v>
      </c>
      <c r="N2279" s="3" t="s">
        <v>758</v>
      </c>
      <c r="P2279" s="3" t="s">
        <v>90</v>
      </c>
      <c r="R2279" s="3" t="s">
        <v>67</v>
      </c>
      <c r="S2279" s="4">
        <v>0</v>
      </c>
      <c r="T2279" s="4">
        <v>106</v>
      </c>
      <c r="V2279" s="5" t="s">
        <v>16663</v>
      </c>
      <c r="W2279" s="5" t="s">
        <v>69</v>
      </c>
      <c r="X2279" s="5" t="s">
        <v>69</v>
      </c>
      <c r="Y2279" s="4">
        <v>4</v>
      </c>
      <c r="Z2279" s="4">
        <v>3</v>
      </c>
      <c r="AA2279" s="4">
        <v>4</v>
      </c>
      <c r="AB2279" s="4">
        <v>1</v>
      </c>
      <c r="AC2279" s="4">
        <v>1</v>
      </c>
      <c r="AD2279" s="4">
        <v>2</v>
      </c>
      <c r="AE2279" s="4">
        <v>3</v>
      </c>
      <c r="AF2279" s="4">
        <v>0</v>
      </c>
      <c r="AG2279" s="4">
        <v>0</v>
      </c>
      <c r="AH2279" s="4">
        <v>2</v>
      </c>
      <c r="AI2279" s="4">
        <v>3</v>
      </c>
      <c r="AJ2279" s="4">
        <v>1</v>
      </c>
      <c r="AK2279" s="4">
        <v>2</v>
      </c>
      <c r="AL2279" s="4">
        <v>1</v>
      </c>
      <c r="AM2279" s="4">
        <v>1</v>
      </c>
      <c r="AN2279" s="4">
        <v>0</v>
      </c>
      <c r="AO2279" s="4">
        <v>0</v>
      </c>
      <c r="AP2279" s="4">
        <v>1</v>
      </c>
      <c r="AQ2279" s="4">
        <v>2</v>
      </c>
      <c r="AR2279" s="3" t="s">
        <v>63</v>
      </c>
      <c r="AS2279" s="3" t="s">
        <v>63</v>
      </c>
      <c r="AT2279" s="3" t="s">
        <v>63</v>
      </c>
      <c r="AV2279" s="6" t="str">
        <f>HYPERLINK("http://mcgill.on.worldcat.org/oclc/61585991","Catalog Record")</f>
        <v>Catalog Record</v>
      </c>
      <c r="AW2279" s="6" t="str">
        <f>HYPERLINK("http://www.worldcat.org/oclc/61585991","WorldCat Record")</f>
        <v>WorldCat Record</v>
      </c>
      <c r="AX2279" s="3" t="s">
        <v>19345</v>
      </c>
      <c r="AY2279" s="3" t="s">
        <v>19346</v>
      </c>
      <c r="AZ2279" s="3" t="s">
        <v>19347</v>
      </c>
      <c r="BA2279" s="3" t="s">
        <v>19347</v>
      </c>
      <c r="BB2279" s="3" t="s">
        <v>19361</v>
      </c>
      <c r="BC2279" s="3" t="s">
        <v>82</v>
      </c>
      <c r="BD2279" s="3" t="s">
        <v>70</v>
      </c>
      <c r="BF2279" s="3" t="s">
        <v>19361</v>
      </c>
      <c r="BG2279" s="3" t="s">
        <v>19362</v>
      </c>
    </row>
    <row r="2280" spans="1:59" ht="60" x14ac:dyDescent="0.25">
      <c r="A2280" s="2" t="s">
        <v>59</v>
      </c>
      <c r="B2280" s="2" t="s">
        <v>60</v>
      </c>
      <c r="C2280" s="2" t="s">
        <v>19339</v>
      </c>
      <c r="D2280" s="2" t="s">
        <v>19340</v>
      </c>
      <c r="E2280" s="2" t="s">
        <v>19341</v>
      </c>
      <c r="F2280" s="3" t="s">
        <v>19363</v>
      </c>
      <c r="G2280" s="3" t="s">
        <v>62</v>
      </c>
      <c r="I2280" s="3" t="s">
        <v>62</v>
      </c>
      <c r="J2280" s="3" t="s">
        <v>63</v>
      </c>
      <c r="K2280" s="3" t="s">
        <v>64</v>
      </c>
      <c r="L2280" s="2" t="s">
        <v>19343</v>
      </c>
      <c r="M2280" s="2" t="s">
        <v>19344</v>
      </c>
      <c r="N2280" s="3" t="s">
        <v>758</v>
      </c>
      <c r="P2280" s="3" t="s">
        <v>90</v>
      </c>
      <c r="R2280" s="3" t="s">
        <v>67</v>
      </c>
      <c r="S2280" s="4">
        <v>4</v>
      </c>
      <c r="T2280" s="4">
        <v>106</v>
      </c>
      <c r="U2280" s="5" t="s">
        <v>15109</v>
      </c>
      <c r="V2280" s="5" t="s">
        <v>16663</v>
      </c>
      <c r="W2280" s="5" t="s">
        <v>69</v>
      </c>
      <c r="X2280" s="5" t="s">
        <v>69</v>
      </c>
      <c r="Y2280" s="4">
        <v>4</v>
      </c>
      <c r="Z2280" s="4">
        <v>3</v>
      </c>
      <c r="AA2280" s="4">
        <v>4</v>
      </c>
      <c r="AB2280" s="4">
        <v>1</v>
      </c>
      <c r="AC2280" s="4">
        <v>1</v>
      </c>
      <c r="AD2280" s="4">
        <v>2</v>
      </c>
      <c r="AE2280" s="4">
        <v>3</v>
      </c>
      <c r="AF2280" s="4">
        <v>0</v>
      </c>
      <c r="AG2280" s="4">
        <v>0</v>
      </c>
      <c r="AH2280" s="4">
        <v>2</v>
      </c>
      <c r="AI2280" s="4">
        <v>3</v>
      </c>
      <c r="AJ2280" s="4">
        <v>1</v>
      </c>
      <c r="AK2280" s="4">
        <v>2</v>
      </c>
      <c r="AL2280" s="4">
        <v>1</v>
      </c>
      <c r="AM2280" s="4">
        <v>1</v>
      </c>
      <c r="AN2280" s="4">
        <v>0</v>
      </c>
      <c r="AO2280" s="4">
        <v>0</v>
      </c>
      <c r="AP2280" s="4">
        <v>1</v>
      </c>
      <c r="AQ2280" s="4">
        <v>2</v>
      </c>
      <c r="AR2280" s="3" t="s">
        <v>63</v>
      </c>
      <c r="AS2280" s="3" t="s">
        <v>63</v>
      </c>
      <c r="AT2280" s="3" t="s">
        <v>63</v>
      </c>
      <c r="AV2280" s="6" t="str">
        <f>HYPERLINK("http://mcgill.on.worldcat.org/oclc/61585991","Catalog Record")</f>
        <v>Catalog Record</v>
      </c>
      <c r="AW2280" s="6" t="str">
        <f>HYPERLINK("http://www.worldcat.org/oclc/61585991","WorldCat Record")</f>
        <v>WorldCat Record</v>
      </c>
      <c r="AX2280" s="3" t="s">
        <v>19345</v>
      </c>
      <c r="AY2280" s="3" t="s">
        <v>19346</v>
      </c>
      <c r="AZ2280" s="3" t="s">
        <v>19347</v>
      </c>
      <c r="BA2280" s="3" t="s">
        <v>19347</v>
      </c>
      <c r="BB2280" s="3" t="s">
        <v>19364</v>
      </c>
      <c r="BC2280" s="3" t="s">
        <v>82</v>
      </c>
      <c r="BD2280" s="3" t="s">
        <v>70</v>
      </c>
      <c r="BF2280" s="3" t="s">
        <v>19364</v>
      </c>
      <c r="BG2280" s="3" t="s">
        <v>19365</v>
      </c>
    </row>
    <row r="2281" spans="1:59" ht="60" x14ac:dyDescent="0.25">
      <c r="A2281" s="2" t="s">
        <v>59</v>
      </c>
      <c r="B2281" s="2" t="s">
        <v>60</v>
      </c>
      <c r="C2281" s="2" t="s">
        <v>19339</v>
      </c>
      <c r="D2281" s="2" t="s">
        <v>19340</v>
      </c>
      <c r="E2281" s="2" t="s">
        <v>19341</v>
      </c>
      <c r="F2281" s="3" t="s">
        <v>19350</v>
      </c>
      <c r="G2281" s="3" t="s">
        <v>62</v>
      </c>
      <c r="I2281" s="3" t="s">
        <v>62</v>
      </c>
      <c r="J2281" s="3" t="s">
        <v>63</v>
      </c>
      <c r="K2281" s="3" t="s">
        <v>64</v>
      </c>
      <c r="L2281" s="2" t="s">
        <v>19343</v>
      </c>
      <c r="M2281" s="2" t="s">
        <v>19344</v>
      </c>
      <c r="N2281" s="3" t="s">
        <v>758</v>
      </c>
      <c r="P2281" s="3" t="s">
        <v>90</v>
      </c>
      <c r="R2281" s="3" t="s">
        <v>67</v>
      </c>
      <c r="S2281" s="4">
        <v>0</v>
      </c>
      <c r="T2281" s="4">
        <v>106</v>
      </c>
      <c r="V2281" s="5" t="s">
        <v>16663</v>
      </c>
      <c r="W2281" s="5" t="s">
        <v>69</v>
      </c>
      <c r="X2281" s="5" t="s">
        <v>69</v>
      </c>
      <c r="Y2281" s="4">
        <v>4</v>
      </c>
      <c r="Z2281" s="4">
        <v>3</v>
      </c>
      <c r="AA2281" s="4">
        <v>4</v>
      </c>
      <c r="AB2281" s="4">
        <v>1</v>
      </c>
      <c r="AC2281" s="4">
        <v>1</v>
      </c>
      <c r="AD2281" s="4">
        <v>2</v>
      </c>
      <c r="AE2281" s="4">
        <v>3</v>
      </c>
      <c r="AF2281" s="4">
        <v>0</v>
      </c>
      <c r="AG2281" s="4">
        <v>0</v>
      </c>
      <c r="AH2281" s="4">
        <v>2</v>
      </c>
      <c r="AI2281" s="4">
        <v>3</v>
      </c>
      <c r="AJ2281" s="4">
        <v>1</v>
      </c>
      <c r="AK2281" s="4">
        <v>2</v>
      </c>
      <c r="AL2281" s="4">
        <v>1</v>
      </c>
      <c r="AM2281" s="4">
        <v>1</v>
      </c>
      <c r="AN2281" s="4">
        <v>0</v>
      </c>
      <c r="AO2281" s="4">
        <v>0</v>
      </c>
      <c r="AP2281" s="4">
        <v>1</v>
      </c>
      <c r="AQ2281" s="4">
        <v>2</v>
      </c>
      <c r="AR2281" s="3" t="s">
        <v>63</v>
      </c>
      <c r="AS2281" s="3" t="s">
        <v>63</v>
      </c>
      <c r="AT2281" s="3" t="s">
        <v>63</v>
      </c>
      <c r="AV2281" s="6" t="str">
        <f>HYPERLINK("http://mcgill.on.worldcat.org/oclc/61585991","Catalog Record")</f>
        <v>Catalog Record</v>
      </c>
      <c r="AW2281" s="6" t="str">
        <f>HYPERLINK("http://www.worldcat.org/oclc/61585991","WorldCat Record")</f>
        <v>WorldCat Record</v>
      </c>
      <c r="AX2281" s="3" t="s">
        <v>19345</v>
      </c>
      <c r="AY2281" s="3" t="s">
        <v>19346</v>
      </c>
      <c r="AZ2281" s="3" t="s">
        <v>19347</v>
      </c>
      <c r="BA2281" s="3" t="s">
        <v>19347</v>
      </c>
      <c r="BB2281" s="3" t="s">
        <v>19366</v>
      </c>
      <c r="BC2281" s="3" t="s">
        <v>82</v>
      </c>
      <c r="BD2281" s="3" t="s">
        <v>70</v>
      </c>
      <c r="BF2281" s="3" t="s">
        <v>19366</v>
      </c>
      <c r="BG2281" s="3" t="s">
        <v>19367</v>
      </c>
    </row>
    <row r="2282" spans="1:59" ht="60" x14ac:dyDescent="0.25">
      <c r="A2282" s="2" t="s">
        <v>59</v>
      </c>
      <c r="B2282" s="2" t="s">
        <v>60</v>
      </c>
      <c r="C2282" s="2" t="s">
        <v>19339</v>
      </c>
      <c r="D2282" s="2" t="s">
        <v>19340</v>
      </c>
      <c r="E2282" s="2" t="s">
        <v>19341</v>
      </c>
      <c r="F2282" s="3" t="s">
        <v>19368</v>
      </c>
      <c r="G2282" s="3" t="s">
        <v>62</v>
      </c>
      <c r="I2282" s="3" t="s">
        <v>62</v>
      </c>
      <c r="J2282" s="3" t="s">
        <v>63</v>
      </c>
      <c r="K2282" s="3" t="s">
        <v>64</v>
      </c>
      <c r="L2282" s="2" t="s">
        <v>19343</v>
      </c>
      <c r="M2282" s="2" t="s">
        <v>19344</v>
      </c>
      <c r="N2282" s="3" t="s">
        <v>758</v>
      </c>
      <c r="P2282" s="3" t="s">
        <v>90</v>
      </c>
      <c r="R2282" s="3" t="s">
        <v>67</v>
      </c>
      <c r="S2282" s="4">
        <v>1</v>
      </c>
      <c r="T2282" s="4">
        <v>106</v>
      </c>
      <c r="U2282" s="5" t="s">
        <v>19369</v>
      </c>
      <c r="V2282" s="5" t="s">
        <v>16663</v>
      </c>
      <c r="W2282" s="5" t="s">
        <v>69</v>
      </c>
      <c r="X2282" s="5" t="s">
        <v>69</v>
      </c>
      <c r="Y2282" s="4">
        <v>4</v>
      </c>
      <c r="Z2282" s="4">
        <v>3</v>
      </c>
      <c r="AA2282" s="4">
        <v>4</v>
      </c>
      <c r="AB2282" s="4">
        <v>1</v>
      </c>
      <c r="AC2282" s="4">
        <v>1</v>
      </c>
      <c r="AD2282" s="4">
        <v>2</v>
      </c>
      <c r="AE2282" s="4">
        <v>3</v>
      </c>
      <c r="AF2282" s="4">
        <v>0</v>
      </c>
      <c r="AG2282" s="4">
        <v>0</v>
      </c>
      <c r="AH2282" s="4">
        <v>2</v>
      </c>
      <c r="AI2282" s="4">
        <v>3</v>
      </c>
      <c r="AJ2282" s="4">
        <v>1</v>
      </c>
      <c r="AK2282" s="4">
        <v>2</v>
      </c>
      <c r="AL2282" s="4">
        <v>1</v>
      </c>
      <c r="AM2282" s="4">
        <v>1</v>
      </c>
      <c r="AN2282" s="4">
        <v>0</v>
      </c>
      <c r="AO2282" s="4">
        <v>0</v>
      </c>
      <c r="AP2282" s="4">
        <v>1</v>
      </c>
      <c r="AQ2282" s="4">
        <v>2</v>
      </c>
      <c r="AR2282" s="3" t="s">
        <v>63</v>
      </c>
      <c r="AS2282" s="3" t="s">
        <v>63</v>
      </c>
      <c r="AT2282" s="3" t="s">
        <v>63</v>
      </c>
      <c r="AV2282" s="6" t="str">
        <f>HYPERLINK("http://mcgill.on.worldcat.org/oclc/61585991","Catalog Record")</f>
        <v>Catalog Record</v>
      </c>
      <c r="AW2282" s="6" t="str">
        <f>HYPERLINK("http://www.worldcat.org/oclc/61585991","WorldCat Record")</f>
        <v>WorldCat Record</v>
      </c>
      <c r="AX2282" s="3" t="s">
        <v>19345</v>
      </c>
      <c r="AY2282" s="3" t="s">
        <v>19346</v>
      </c>
      <c r="AZ2282" s="3" t="s">
        <v>19347</v>
      </c>
      <c r="BA2282" s="3" t="s">
        <v>19347</v>
      </c>
      <c r="BB2282" s="3" t="s">
        <v>19370</v>
      </c>
      <c r="BC2282" s="3" t="s">
        <v>82</v>
      </c>
      <c r="BD2282" s="3" t="s">
        <v>70</v>
      </c>
      <c r="BF2282" s="3" t="s">
        <v>19370</v>
      </c>
      <c r="BG2282" s="3" t="s">
        <v>19371</v>
      </c>
    </row>
    <row r="2283" spans="1:59" ht="60" x14ac:dyDescent="0.25">
      <c r="A2283" s="2" t="s">
        <v>59</v>
      </c>
      <c r="B2283" s="2" t="s">
        <v>60</v>
      </c>
      <c r="C2283" s="2" t="s">
        <v>19339</v>
      </c>
      <c r="D2283" s="2" t="s">
        <v>19340</v>
      </c>
      <c r="E2283" s="2" t="s">
        <v>19341</v>
      </c>
      <c r="F2283" s="3" t="s">
        <v>19363</v>
      </c>
      <c r="G2283" s="3" t="s">
        <v>62</v>
      </c>
      <c r="I2283" s="3" t="s">
        <v>62</v>
      </c>
      <c r="J2283" s="3" t="s">
        <v>63</v>
      </c>
      <c r="K2283" s="3" t="s">
        <v>64</v>
      </c>
      <c r="L2283" s="2" t="s">
        <v>19343</v>
      </c>
      <c r="M2283" s="2" t="s">
        <v>19344</v>
      </c>
      <c r="N2283" s="3" t="s">
        <v>758</v>
      </c>
      <c r="P2283" s="3" t="s">
        <v>90</v>
      </c>
      <c r="R2283" s="3" t="s">
        <v>67</v>
      </c>
      <c r="S2283" s="4">
        <v>5</v>
      </c>
      <c r="T2283" s="4">
        <v>106</v>
      </c>
      <c r="U2283" s="5" t="s">
        <v>12092</v>
      </c>
      <c r="V2283" s="5" t="s">
        <v>16663</v>
      </c>
      <c r="W2283" s="5" t="s">
        <v>69</v>
      </c>
      <c r="X2283" s="5" t="s">
        <v>69</v>
      </c>
      <c r="Y2283" s="4">
        <v>4</v>
      </c>
      <c r="Z2283" s="4">
        <v>3</v>
      </c>
      <c r="AA2283" s="4">
        <v>4</v>
      </c>
      <c r="AB2283" s="4">
        <v>1</v>
      </c>
      <c r="AC2283" s="4">
        <v>1</v>
      </c>
      <c r="AD2283" s="4">
        <v>2</v>
      </c>
      <c r="AE2283" s="4">
        <v>3</v>
      </c>
      <c r="AF2283" s="4">
        <v>0</v>
      </c>
      <c r="AG2283" s="4">
        <v>0</v>
      </c>
      <c r="AH2283" s="4">
        <v>2</v>
      </c>
      <c r="AI2283" s="4">
        <v>3</v>
      </c>
      <c r="AJ2283" s="4">
        <v>1</v>
      </c>
      <c r="AK2283" s="4">
        <v>2</v>
      </c>
      <c r="AL2283" s="4">
        <v>1</v>
      </c>
      <c r="AM2283" s="4">
        <v>1</v>
      </c>
      <c r="AN2283" s="4">
        <v>0</v>
      </c>
      <c r="AO2283" s="4">
        <v>0</v>
      </c>
      <c r="AP2283" s="4">
        <v>1</v>
      </c>
      <c r="AQ2283" s="4">
        <v>2</v>
      </c>
      <c r="AR2283" s="3" t="s">
        <v>63</v>
      </c>
      <c r="AS2283" s="3" t="s">
        <v>63</v>
      </c>
      <c r="AT2283" s="3" t="s">
        <v>63</v>
      </c>
      <c r="AV2283" s="6" t="str">
        <f>HYPERLINK("http://mcgill.on.worldcat.org/oclc/61585991","Catalog Record")</f>
        <v>Catalog Record</v>
      </c>
      <c r="AW2283" s="6" t="str">
        <f>HYPERLINK("http://www.worldcat.org/oclc/61585991","WorldCat Record")</f>
        <v>WorldCat Record</v>
      </c>
      <c r="AX2283" s="3" t="s">
        <v>19345</v>
      </c>
      <c r="AY2283" s="3" t="s">
        <v>19346</v>
      </c>
      <c r="AZ2283" s="3" t="s">
        <v>19347</v>
      </c>
      <c r="BA2283" s="3" t="s">
        <v>19347</v>
      </c>
      <c r="BB2283" s="3" t="s">
        <v>19372</v>
      </c>
      <c r="BC2283" s="3" t="s">
        <v>82</v>
      </c>
      <c r="BD2283" s="3" t="s">
        <v>70</v>
      </c>
      <c r="BF2283" s="3" t="s">
        <v>19372</v>
      </c>
      <c r="BG2283" s="3" t="s">
        <v>19373</v>
      </c>
    </row>
    <row r="2284" spans="1:59" ht="60" x14ac:dyDescent="0.25">
      <c r="A2284" s="2" t="s">
        <v>59</v>
      </c>
      <c r="B2284" s="2" t="s">
        <v>60</v>
      </c>
      <c r="C2284" s="2" t="s">
        <v>19339</v>
      </c>
      <c r="D2284" s="2" t="s">
        <v>19340</v>
      </c>
      <c r="E2284" s="2" t="s">
        <v>19341</v>
      </c>
      <c r="F2284" s="3" t="s">
        <v>19374</v>
      </c>
      <c r="G2284" s="3" t="s">
        <v>62</v>
      </c>
      <c r="I2284" s="3" t="s">
        <v>62</v>
      </c>
      <c r="J2284" s="3" t="s">
        <v>63</v>
      </c>
      <c r="K2284" s="3" t="s">
        <v>64</v>
      </c>
      <c r="L2284" s="2" t="s">
        <v>19343</v>
      </c>
      <c r="M2284" s="2" t="s">
        <v>19344</v>
      </c>
      <c r="N2284" s="3" t="s">
        <v>758</v>
      </c>
      <c r="P2284" s="3" t="s">
        <v>90</v>
      </c>
      <c r="R2284" s="3" t="s">
        <v>67</v>
      </c>
      <c r="S2284" s="4">
        <v>0</v>
      </c>
      <c r="T2284" s="4">
        <v>106</v>
      </c>
      <c r="V2284" s="5" t="s">
        <v>16663</v>
      </c>
      <c r="W2284" s="5" t="s">
        <v>69</v>
      </c>
      <c r="X2284" s="5" t="s">
        <v>69</v>
      </c>
      <c r="Y2284" s="4">
        <v>4</v>
      </c>
      <c r="Z2284" s="4">
        <v>3</v>
      </c>
      <c r="AA2284" s="4">
        <v>4</v>
      </c>
      <c r="AB2284" s="4">
        <v>1</v>
      </c>
      <c r="AC2284" s="4">
        <v>1</v>
      </c>
      <c r="AD2284" s="4">
        <v>2</v>
      </c>
      <c r="AE2284" s="4">
        <v>3</v>
      </c>
      <c r="AF2284" s="4">
        <v>0</v>
      </c>
      <c r="AG2284" s="4">
        <v>0</v>
      </c>
      <c r="AH2284" s="4">
        <v>2</v>
      </c>
      <c r="AI2284" s="4">
        <v>3</v>
      </c>
      <c r="AJ2284" s="4">
        <v>1</v>
      </c>
      <c r="AK2284" s="4">
        <v>2</v>
      </c>
      <c r="AL2284" s="4">
        <v>1</v>
      </c>
      <c r="AM2284" s="4">
        <v>1</v>
      </c>
      <c r="AN2284" s="4">
        <v>0</v>
      </c>
      <c r="AO2284" s="4">
        <v>0</v>
      </c>
      <c r="AP2284" s="4">
        <v>1</v>
      </c>
      <c r="AQ2284" s="4">
        <v>2</v>
      </c>
      <c r="AR2284" s="3" t="s">
        <v>63</v>
      </c>
      <c r="AS2284" s="3" t="s">
        <v>63</v>
      </c>
      <c r="AT2284" s="3" t="s">
        <v>63</v>
      </c>
      <c r="AV2284" s="6" t="str">
        <f>HYPERLINK("http://mcgill.on.worldcat.org/oclc/61585991","Catalog Record")</f>
        <v>Catalog Record</v>
      </c>
      <c r="AW2284" s="6" t="str">
        <f>HYPERLINK("http://www.worldcat.org/oclc/61585991","WorldCat Record")</f>
        <v>WorldCat Record</v>
      </c>
      <c r="AX2284" s="3" t="s">
        <v>19345</v>
      </c>
      <c r="AY2284" s="3" t="s">
        <v>19346</v>
      </c>
      <c r="AZ2284" s="3" t="s">
        <v>19347</v>
      </c>
      <c r="BA2284" s="3" t="s">
        <v>19347</v>
      </c>
      <c r="BB2284" s="3" t="s">
        <v>19375</v>
      </c>
      <c r="BC2284" s="3" t="s">
        <v>82</v>
      </c>
      <c r="BD2284" s="3" t="s">
        <v>70</v>
      </c>
      <c r="BF2284" s="3" t="s">
        <v>19375</v>
      </c>
      <c r="BG2284" s="3" t="s">
        <v>19376</v>
      </c>
    </row>
    <row r="2285" spans="1:59" ht="60" x14ac:dyDescent="0.25">
      <c r="A2285" s="2" t="s">
        <v>59</v>
      </c>
      <c r="B2285" s="2" t="s">
        <v>60</v>
      </c>
      <c r="C2285" s="2" t="s">
        <v>19339</v>
      </c>
      <c r="D2285" s="2" t="s">
        <v>19340</v>
      </c>
      <c r="E2285" s="2" t="s">
        <v>19341</v>
      </c>
      <c r="F2285" s="3" t="s">
        <v>19368</v>
      </c>
      <c r="G2285" s="3" t="s">
        <v>62</v>
      </c>
      <c r="I2285" s="3" t="s">
        <v>62</v>
      </c>
      <c r="J2285" s="3" t="s">
        <v>63</v>
      </c>
      <c r="K2285" s="3" t="s">
        <v>64</v>
      </c>
      <c r="L2285" s="2" t="s">
        <v>19343</v>
      </c>
      <c r="M2285" s="2" t="s">
        <v>19344</v>
      </c>
      <c r="N2285" s="3" t="s">
        <v>758</v>
      </c>
      <c r="P2285" s="3" t="s">
        <v>90</v>
      </c>
      <c r="R2285" s="3" t="s">
        <v>67</v>
      </c>
      <c r="S2285" s="4">
        <v>1</v>
      </c>
      <c r="T2285" s="4">
        <v>106</v>
      </c>
      <c r="U2285" s="5" t="s">
        <v>12050</v>
      </c>
      <c r="V2285" s="5" t="s">
        <v>16663</v>
      </c>
      <c r="W2285" s="5" t="s">
        <v>69</v>
      </c>
      <c r="X2285" s="5" t="s">
        <v>69</v>
      </c>
      <c r="Y2285" s="4">
        <v>4</v>
      </c>
      <c r="Z2285" s="4">
        <v>3</v>
      </c>
      <c r="AA2285" s="4">
        <v>4</v>
      </c>
      <c r="AB2285" s="4">
        <v>1</v>
      </c>
      <c r="AC2285" s="4">
        <v>1</v>
      </c>
      <c r="AD2285" s="4">
        <v>2</v>
      </c>
      <c r="AE2285" s="4">
        <v>3</v>
      </c>
      <c r="AF2285" s="4">
        <v>0</v>
      </c>
      <c r="AG2285" s="4">
        <v>0</v>
      </c>
      <c r="AH2285" s="4">
        <v>2</v>
      </c>
      <c r="AI2285" s="4">
        <v>3</v>
      </c>
      <c r="AJ2285" s="4">
        <v>1</v>
      </c>
      <c r="AK2285" s="4">
        <v>2</v>
      </c>
      <c r="AL2285" s="4">
        <v>1</v>
      </c>
      <c r="AM2285" s="4">
        <v>1</v>
      </c>
      <c r="AN2285" s="4">
        <v>0</v>
      </c>
      <c r="AO2285" s="4">
        <v>0</v>
      </c>
      <c r="AP2285" s="4">
        <v>1</v>
      </c>
      <c r="AQ2285" s="4">
        <v>2</v>
      </c>
      <c r="AR2285" s="3" t="s">
        <v>63</v>
      </c>
      <c r="AS2285" s="3" t="s">
        <v>63</v>
      </c>
      <c r="AT2285" s="3" t="s">
        <v>63</v>
      </c>
      <c r="AV2285" s="6" t="str">
        <f>HYPERLINK("http://mcgill.on.worldcat.org/oclc/61585991","Catalog Record")</f>
        <v>Catalog Record</v>
      </c>
      <c r="AW2285" s="6" t="str">
        <f>HYPERLINK("http://www.worldcat.org/oclc/61585991","WorldCat Record")</f>
        <v>WorldCat Record</v>
      </c>
      <c r="AX2285" s="3" t="s">
        <v>19345</v>
      </c>
      <c r="AY2285" s="3" t="s">
        <v>19346</v>
      </c>
      <c r="AZ2285" s="3" t="s">
        <v>19347</v>
      </c>
      <c r="BA2285" s="3" t="s">
        <v>19347</v>
      </c>
      <c r="BB2285" s="3" t="s">
        <v>19377</v>
      </c>
      <c r="BC2285" s="3" t="s">
        <v>82</v>
      </c>
      <c r="BD2285" s="3" t="s">
        <v>70</v>
      </c>
      <c r="BF2285" s="3" t="s">
        <v>19377</v>
      </c>
      <c r="BG2285" s="3" t="s">
        <v>19378</v>
      </c>
    </row>
    <row r="2286" spans="1:59" ht="60" x14ac:dyDescent="0.25">
      <c r="A2286" s="2" t="s">
        <v>59</v>
      </c>
      <c r="B2286" s="2" t="s">
        <v>60</v>
      </c>
      <c r="C2286" s="2" t="s">
        <v>19339</v>
      </c>
      <c r="D2286" s="2" t="s">
        <v>19340</v>
      </c>
      <c r="E2286" s="2" t="s">
        <v>19341</v>
      </c>
      <c r="F2286" s="3" t="s">
        <v>19379</v>
      </c>
      <c r="G2286" s="3" t="s">
        <v>62</v>
      </c>
      <c r="I2286" s="3" t="s">
        <v>62</v>
      </c>
      <c r="J2286" s="3" t="s">
        <v>63</v>
      </c>
      <c r="K2286" s="3" t="s">
        <v>64</v>
      </c>
      <c r="L2286" s="2" t="s">
        <v>19343</v>
      </c>
      <c r="M2286" s="2" t="s">
        <v>19344</v>
      </c>
      <c r="N2286" s="3" t="s">
        <v>758</v>
      </c>
      <c r="P2286" s="3" t="s">
        <v>90</v>
      </c>
      <c r="R2286" s="3" t="s">
        <v>67</v>
      </c>
      <c r="S2286" s="4">
        <v>5</v>
      </c>
      <c r="T2286" s="4">
        <v>106</v>
      </c>
      <c r="U2286" s="5" t="s">
        <v>15148</v>
      </c>
      <c r="V2286" s="5" t="s">
        <v>16663</v>
      </c>
      <c r="W2286" s="5" t="s">
        <v>69</v>
      </c>
      <c r="X2286" s="5" t="s">
        <v>69</v>
      </c>
      <c r="Y2286" s="4">
        <v>4</v>
      </c>
      <c r="Z2286" s="4">
        <v>3</v>
      </c>
      <c r="AA2286" s="4">
        <v>4</v>
      </c>
      <c r="AB2286" s="4">
        <v>1</v>
      </c>
      <c r="AC2286" s="4">
        <v>1</v>
      </c>
      <c r="AD2286" s="4">
        <v>2</v>
      </c>
      <c r="AE2286" s="4">
        <v>3</v>
      </c>
      <c r="AF2286" s="4">
        <v>0</v>
      </c>
      <c r="AG2286" s="4">
        <v>0</v>
      </c>
      <c r="AH2286" s="4">
        <v>2</v>
      </c>
      <c r="AI2286" s="4">
        <v>3</v>
      </c>
      <c r="AJ2286" s="4">
        <v>1</v>
      </c>
      <c r="AK2286" s="4">
        <v>2</v>
      </c>
      <c r="AL2286" s="4">
        <v>1</v>
      </c>
      <c r="AM2286" s="4">
        <v>1</v>
      </c>
      <c r="AN2286" s="4">
        <v>0</v>
      </c>
      <c r="AO2286" s="4">
        <v>0</v>
      </c>
      <c r="AP2286" s="4">
        <v>1</v>
      </c>
      <c r="AQ2286" s="4">
        <v>2</v>
      </c>
      <c r="AR2286" s="3" t="s">
        <v>63</v>
      </c>
      <c r="AS2286" s="3" t="s">
        <v>63</v>
      </c>
      <c r="AT2286" s="3" t="s">
        <v>63</v>
      </c>
      <c r="AV2286" s="6" t="str">
        <f>HYPERLINK("http://mcgill.on.worldcat.org/oclc/61585991","Catalog Record")</f>
        <v>Catalog Record</v>
      </c>
      <c r="AW2286" s="6" t="str">
        <f>HYPERLINK("http://www.worldcat.org/oclc/61585991","WorldCat Record")</f>
        <v>WorldCat Record</v>
      </c>
      <c r="AX2286" s="3" t="s">
        <v>19345</v>
      </c>
      <c r="AY2286" s="3" t="s">
        <v>19346</v>
      </c>
      <c r="AZ2286" s="3" t="s">
        <v>19347</v>
      </c>
      <c r="BA2286" s="3" t="s">
        <v>19347</v>
      </c>
      <c r="BB2286" s="3" t="s">
        <v>19380</v>
      </c>
      <c r="BC2286" s="3" t="s">
        <v>82</v>
      </c>
      <c r="BD2286" s="3" t="s">
        <v>70</v>
      </c>
      <c r="BF2286" s="3" t="s">
        <v>19380</v>
      </c>
      <c r="BG2286" s="3" t="s">
        <v>19381</v>
      </c>
    </row>
    <row r="2287" spans="1:59" ht="60" x14ac:dyDescent="0.25">
      <c r="A2287" s="2" t="s">
        <v>59</v>
      </c>
      <c r="B2287" s="2" t="s">
        <v>60</v>
      </c>
      <c r="C2287" s="2" t="s">
        <v>19339</v>
      </c>
      <c r="D2287" s="2" t="s">
        <v>19340</v>
      </c>
      <c r="E2287" s="2" t="s">
        <v>19341</v>
      </c>
      <c r="F2287" s="3" t="s">
        <v>19382</v>
      </c>
      <c r="G2287" s="3" t="s">
        <v>62</v>
      </c>
      <c r="I2287" s="3" t="s">
        <v>62</v>
      </c>
      <c r="J2287" s="3" t="s">
        <v>63</v>
      </c>
      <c r="K2287" s="3" t="s">
        <v>64</v>
      </c>
      <c r="L2287" s="2" t="s">
        <v>19343</v>
      </c>
      <c r="M2287" s="2" t="s">
        <v>19344</v>
      </c>
      <c r="N2287" s="3" t="s">
        <v>758</v>
      </c>
      <c r="P2287" s="3" t="s">
        <v>90</v>
      </c>
      <c r="R2287" s="3" t="s">
        <v>67</v>
      </c>
      <c r="S2287" s="4">
        <v>0</v>
      </c>
      <c r="T2287" s="4">
        <v>106</v>
      </c>
      <c r="V2287" s="5" t="s">
        <v>16663</v>
      </c>
      <c r="W2287" s="5" t="s">
        <v>69</v>
      </c>
      <c r="X2287" s="5" t="s">
        <v>69</v>
      </c>
      <c r="Y2287" s="4">
        <v>4</v>
      </c>
      <c r="Z2287" s="4">
        <v>3</v>
      </c>
      <c r="AA2287" s="4">
        <v>4</v>
      </c>
      <c r="AB2287" s="4">
        <v>1</v>
      </c>
      <c r="AC2287" s="4">
        <v>1</v>
      </c>
      <c r="AD2287" s="4">
        <v>2</v>
      </c>
      <c r="AE2287" s="4">
        <v>3</v>
      </c>
      <c r="AF2287" s="4">
        <v>0</v>
      </c>
      <c r="AG2287" s="4">
        <v>0</v>
      </c>
      <c r="AH2287" s="4">
        <v>2</v>
      </c>
      <c r="AI2287" s="4">
        <v>3</v>
      </c>
      <c r="AJ2287" s="4">
        <v>1</v>
      </c>
      <c r="AK2287" s="4">
        <v>2</v>
      </c>
      <c r="AL2287" s="4">
        <v>1</v>
      </c>
      <c r="AM2287" s="4">
        <v>1</v>
      </c>
      <c r="AN2287" s="4">
        <v>0</v>
      </c>
      <c r="AO2287" s="4">
        <v>0</v>
      </c>
      <c r="AP2287" s="4">
        <v>1</v>
      </c>
      <c r="AQ2287" s="4">
        <v>2</v>
      </c>
      <c r="AR2287" s="3" t="s">
        <v>63</v>
      </c>
      <c r="AS2287" s="3" t="s">
        <v>63</v>
      </c>
      <c r="AT2287" s="3" t="s">
        <v>63</v>
      </c>
      <c r="AV2287" s="6" t="str">
        <f>HYPERLINK("http://mcgill.on.worldcat.org/oclc/61585991","Catalog Record")</f>
        <v>Catalog Record</v>
      </c>
      <c r="AW2287" s="6" t="str">
        <f>HYPERLINK("http://www.worldcat.org/oclc/61585991","WorldCat Record")</f>
        <v>WorldCat Record</v>
      </c>
      <c r="AX2287" s="3" t="s">
        <v>19345</v>
      </c>
      <c r="AY2287" s="3" t="s">
        <v>19346</v>
      </c>
      <c r="AZ2287" s="3" t="s">
        <v>19347</v>
      </c>
      <c r="BA2287" s="3" t="s">
        <v>19347</v>
      </c>
      <c r="BB2287" s="3" t="s">
        <v>19383</v>
      </c>
      <c r="BC2287" s="3" t="s">
        <v>82</v>
      </c>
      <c r="BD2287" s="3" t="s">
        <v>70</v>
      </c>
      <c r="BF2287" s="3" t="s">
        <v>19383</v>
      </c>
      <c r="BG2287" s="3" t="s">
        <v>19384</v>
      </c>
    </row>
    <row r="2288" spans="1:59" ht="60" x14ac:dyDescent="0.25">
      <c r="A2288" s="2" t="s">
        <v>59</v>
      </c>
      <c r="B2288" s="2" t="s">
        <v>60</v>
      </c>
      <c r="C2288" s="2" t="s">
        <v>19339</v>
      </c>
      <c r="D2288" s="2" t="s">
        <v>19340</v>
      </c>
      <c r="E2288" s="2" t="s">
        <v>19341</v>
      </c>
      <c r="F2288" s="3" t="s">
        <v>19385</v>
      </c>
      <c r="G2288" s="3" t="s">
        <v>62</v>
      </c>
      <c r="I2288" s="3" t="s">
        <v>62</v>
      </c>
      <c r="J2288" s="3" t="s">
        <v>63</v>
      </c>
      <c r="K2288" s="3" t="s">
        <v>64</v>
      </c>
      <c r="L2288" s="2" t="s">
        <v>19343</v>
      </c>
      <c r="M2288" s="2" t="s">
        <v>19344</v>
      </c>
      <c r="N2288" s="3" t="s">
        <v>758</v>
      </c>
      <c r="P2288" s="3" t="s">
        <v>90</v>
      </c>
      <c r="R2288" s="3" t="s">
        <v>67</v>
      </c>
      <c r="S2288" s="4">
        <v>0</v>
      </c>
      <c r="T2288" s="4">
        <v>106</v>
      </c>
      <c r="V2288" s="5" t="s">
        <v>16663</v>
      </c>
      <c r="W2288" s="5" t="s">
        <v>69</v>
      </c>
      <c r="X2288" s="5" t="s">
        <v>69</v>
      </c>
      <c r="Y2288" s="4">
        <v>4</v>
      </c>
      <c r="Z2288" s="4">
        <v>3</v>
      </c>
      <c r="AA2288" s="4">
        <v>4</v>
      </c>
      <c r="AB2288" s="4">
        <v>1</v>
      </c>
      <c r="AC2288" s="4">
        <v>1</v>
      </c>
      <c r="AD2288" s="4">
        <v>2</v>
      </c>
      <c r="AE2288" s="4">
        <v>3</v>
      </c>
      <c r="AF2288" s="4">
        <v>0</v>
      </c>
      <c r="AG2288" s="4">
        <v>0</v>
      </c>
      <c r="AH2288" s="4">
        <v>2</v>
      </c>
      <c r="AI2288" s="4">
        <v>3</v>
      </c>
      <c r="AJ2288" s="4">
        <v>1</v>
      </c>
      <c r="AK2288" s="4">
        <v>2</v>
      </c>
      <c r="AL2288" s="4">
        <v>1</v>
      </c>
      <c r="AM2288" s="4">
        <v>1</v>
      </c>
      <c r="AN2288" s="4">
        <v>0</v>
      </c>
      <c r="AO2288" s="4">
        <v>0</v>
      </c>
      <c r="AP2288" s="4">
        <v>1</v>
      </c>
      <c r="AQ2288" s="4">
        <v>2</v>
      </c>
      <c r="AR2288" s="3" t="s">
        <v>63</v>
      </c>
      <c r="AS2288" s="3" t="s">
        <v>63</v>
      </c>
      <c r="AT2288" s="3" t="s">
        <v>63</v>
      </c>
      <c r="AV2288" s="6" t="str">
        <f>HYPERLINK("http://mcgill.on.worldcat.org/oclc/61585991","Catalog Record")</f>
        <v>Catalog Record</v>
      </c>
      <c r="AW2288" s="6" t="str">
        <f>HYPERLINK("http://www.worldcat.org/oclc/61585991","WorldCat Record")</f>
        <v>WorldCat Record</v>
      </c>
      <c r="AX2288" s="3" t="s">
        <v>19345</v>
      </c>
      <c r="AY2288" s="3" t="s">
        <v>19346</v>
      </c>
      <c r="AZ2288" s="3" t="s">
        <v>19347</v>
      </c>
      <c r="BA2288" s="3" t="s">
        <v>19347</v>
      </c>
      <c r="BB2288" s="3" t="s">
        <v>19386</v>
      </c>
      <c r="BC2288" s="3" t="s">
        <v>82</v>
      </c>
      <c r="BD2288" s="3" t="s">
        <v>70</v>
      </c>
      <c r="BF2288" s="3" t="s">
        <v>19386</v>
      </c>
      <c r="BG2288" s="3" t="s">
        <v>19387</v>
      </c>
    </row>
    <row r="2289" spans="1:59" ht="60" x14ac:dyDescent="0.25">
      <c r="A2289" s="2" t="s">
        <v>59</v>
      </c>
      <c r="B2289" s="2" t="s">
        <v>60</v>
      </c>
      <c r="C2289" s="2" t="s">
        <v>19339</v>
      </c>
      <c r="D2289" s="2" t="s">
        <v>19340</v>
      </c>
      <c r="E2289" s="2" t="s">
        <v>19341</v>
      </c>
      <c r="F2289" s="3" t="s">
        <v>19388</v>
      </c>
      <c r="G2289" s="3" t="s">
        <v>62</v>
      </c>
      <c r="I2289" s="3" t="s">
        <v>62</v>
      </c>
      <c r="J2289" s="3" t="s">
        <v>63</v>
      </c>
      <c r="K2289" s="3" t="s">
        <v>64</v>
      </c>
      <c r="L2289" s="2" t="s">
        <v>19343</v>
      </c>
      <c r="M2289" s="2" t="s">
        <v>19344</v>
      </c>
      <c r="N2289" s="3" t="s">
        <v>758</v>
      </c>
      <c r="P2289" s="3" t="s">
        <v>90</v>
      </c>
      <c r="R2289" s="3" t="s">
        <v>67</v>
      </c>
      <c r="S2289" s="4">
        <v>5</v>
      </c>
      <c r="T2289" s="4">
        <v>106</v>
      </c>
      <c r="U2289" s="5" t="s">
        <v>19389</v>
      </c>
      <c r="V2289" s="5" t="s">
        <v>16663</v>
      </c>
      <c r="W2289" s="5" t="s">
        <v>69</v>
      </c>
      <c r="X2289" s="5" t="s">
        <v>69</v>
      </c>
      <c r="Y2289" s="4">
        <v>4</v>
      </c>
      <c r="Z2289" s="4">
        <v>3</v>
      </c>
      <c r="AA2289" s="4">
        <v>4</v>
      </c>
      <c r="AB2289" s="4">
        <v>1</v>
      </c>
      <c r="AC2289" s="4">
        <v>1</v>
      </c>
      <c r="AD2289" s="4">
        <v>2</v>
      </c>
      <c r="AE2289" s="4">
        <v>3</v>
      </c>
      <c r="AF2289" s="4">
        <v>0</v>
      </c>
      <c r="AG2289" s="4">
        <v>0</v>
      </c>
      <c r="AH2289" s="4">
        <v>2</v>
      </c>
      <c r="AI2289" s="4">
        <v>3</v>
      </c>
      <c r="AJ2289" s="4">
        <v>1</v>
      </c>
      <c r="AK2289" s="4">
        <v>2</v>
      </c>
      <c r="AL2289" s="4">
        <v>1</v>
      </c>
      <c r="AM2289" s="4">
        <v>1</v>
      </c>
      <c r="AN2289" s="4">
        <v>0</v>
      </c>
      <c r="AO2289" s="4">
        <v>0</v>
      </c>
      <c r="AP2289" s="4">
        <v>1</v>
      </c>
      <c r="AQ2289" s="4">
        <v>2</v>
      </c>
      <c r="AR2289" s="3" t="s">
        <v>63</v>
      </c>
      <c r="AS2289" s="3" t="s">
        <v>63</v>
      </c>
      <c r="AT2289" s="3" t="s">
        <v>63</v>
      </c>
      <c r="AV2289" s="6" t="str">
        <f>HYPERLINK("http://mcgill.on.worldcat.org/oclc/61585991","Catalog Record")</f>
        <v>Catalog Record</v>
      </c>
      <c r="AW2289" s="6" t="str">
        <f>HYPERLINK("http://www.worldcat.org/oclc/61585991","WorldCat Record")</f>
        <v>WorldCat Record</v>
      </c>
      <c r="AX2289" s="3" t="s">
        <v>19345</v>
      </c>
      <c r="AY2289" s="3" t="s">
        <v>19346</v>
      </c>
      <c r="AZ2289" s="3" t="s">
        <v>19347</v>
      </c>
      <c r="BA2289" s="3" t="s">
        <v>19347</v>
      </c>
      <c r="BB2289" s="3" t="s">
        <v>19390</v>
      </c>
      <c r="BC2289" s="3" t="s">
        <v>82</v>
      </c>
      <c r="BD2289" s="3" t="s">
        <v>70</v>
      </c>
      <c r="BF2289" s="3" t="s">
        <v>19390</v>
      </c>
      <c r="BG2289" s="3" t="s">
        <v>19391</v>
      </c>
    </row>
    <row r="2290" spans="1:59" ht="60" x14ac:dyDescent="0.25">
      <c r="A2290" s="2" t="s">
        <v>59</v>
      </c>
      <c r="B2290" s="2" t="s">
        <v>60</v>
      </c>
      <c r="C2290" s="2" t="s">
        <v>19339</v>
      </c>
      <c r="D2290" s="2" t="s">
        <v>19340</v>
      </c>
      <c r="E2290" s="2" t="s">
        <v>19341</v>
      </c>
      <c r="F2290" s="3" t="s">
        <v>19392</v>
      </c>
      <c r="G2290" s="3" t="s">
        <v>62</v>
      </c>
      <c r="I2290" s="3" t="s">
        <v>62</v>
      </c>
      <c r="J2290" s="3" t="s">
        <v>63</v>
      </c>
      <c r="K2290" s="3" t="s">
        <v>64</v>
      </c>
      <c r="L2290" s="2" t="s">
        <v>19343</v>
      </c>
      <c r="M2290" s="2" t="s">
        <v>19344</v>
      </c>
      <c r="N2290" s="3" t="s">
        <v>758</v>
      </c>
      <c r="P2290" s="3" t="s">
        <v>90</v>
      </c>
      <c r="R2290" s="3" t="s">
        <v>67</v>
      </c>
      <c r="S2290" s="4">
        <v>0</v>
      </c>
      <c r="T2290" s="4">
        <v>106</v>
      </c>
      <c r="V2290" s="5" t="s">
        <v>16663</v>
      </c>
      <c r="W2290" s="5" t="s">
        <v>69</v>
      </c>
      <c r="X2290" s="5" t="s">
        <v>69</v>
      </c>
      <c r="Y2290" s="4">
        <v>4</v>
      </c>
      <c r="Z2290" s="4">
        <v>3</v>
      </c>
      <c r="AA2290" s="4">
        <v>4</v>
      </c>
      <c r="AB2290" s="4">
        <v>1</v>
      </c>
      <c r="AC2290" s="4">
        <v>1</v>
      </c>
      <c r="AD2290" s="4">
        <v>2</v>
      </c>
      <c r="AE2290" s="4">
        <v>3</v>
      </c>
      <c r="AF2290" s="4">
        <v>0</v>
      </c>
      <c r="AG2290" s="4">
        <v>0</v>
      </c>
      <c r="AH2290" s="4">
        <v>2</v>
      </c>
      <c r="AI2290" s="4">
        <v>3</v>
      </c>
      <c r="AJ2290" s="4">
        <v>1</v>
      </c>
      <c r="AK2290" s="4">
        <v>2</v>
      </c>
      <c r="AL2290" s="4">
        <v>1</v>
      </c>
      <c r="AM2290" s="4">
        <v>1</v>
      </c>
      <c r="AN2290" s="4">
        <v>0</v>
      </c>
      <c r="AO2290" s="4">
        <v>0</v>
      </c>
      <c r="AP2290" s="4">
        <v>1</v>
      </c>
      <c r="AQ2290" s="4">
        <v>2</v>
      </c>
      <c r="AR2290" s="3" t="s">
        <v>63</v>
      </c>
      <c r="AS2290" s="3" t="s">
        <v>63</v>
      </c>
      <c r="AT2290" s="3" t="s">
        <v>63</v>
      </c>
      <c r="AV2290" s="6" t="str">
        <f>HYPERLINK("http://mcgill.on.worldcat.org/oclc/61585991","Catalog Record")</f>
        <v>Catalog Record</v>
      </c>
      <c r="AW2290" s="6" t="str">
        <f>HYPERLINK("http://www.worldcat.org/oclc/61585991","WorldCat Record")</f>
        <v>WorldCat Record</v>
      </c>
      <c r="AX2290" s="3" t="s">
        <v>19345</v>
      </c>
      <c r="AY2290" s="3" t="s">
        <v>19346</v>
      </c>
      <c r="AZ2290" s="3" t="s">
        <v>19347</v>
      </c>
      <c r="BA2290" s="3" t="s">
        <v>19347</v>
      </c>
      <c r="BB2290" s="3" t="s">
        <v>19393</v>
      </c>
      <c r="BC2290" s="3" t="s">
        <v>82</v>
      </c>
      <c r="BD2290" s="3" t="s">
        <v>70</v>
      </c>
      <c r="BF2290" s="3" t="s">
        <v>19393</v>
      </c>
      <c r="BG2290" s="3" t="s">
        <v>19394</v>
      </c>
    </row>
    <row r="2291" spans="1:59" ht="60" x14ac:dyDescent="0.25">
      <c r="A2291" s="2" t="s">
        <v>59</v>
      </c>
      <c r="B2291" s="2" t="s">
        <v>60</v>
      </c>
      <c r="C2291" s="2" t="s">
        <v>19339</v>
      </c>
      <c r="D2291" s="2" t="s">
        <v>19340</v>
      </c>
      <c r="E2291" s="2" t="s">
        <v>19341</v>
      </c>
      <c r="F2291" s="3" t="s">
        <v>19395</v>
      </c>
      <c r="G2291" s="3" t="s">
        <v>62</v>
      </c>
      <c r="I2291" s="3" t="s">
        <v>62</v>
      </c>
      <c r="J2291" s="3" t="s">
        <v>63</v>
      </c>
      <c r="K2291" s="3" t="s">
        <v>64</v>
      </c>
      <c r="L2291" s="2" t="s">
        <v>19343</v>
      </c>
      <c r="M2291" s="2" t="s">
        <v>19344</v>
      </c>
      <c r="N2291" s="3" t="s">
        <v>758</v>
      </c>
      <c r="P2291" s="3" t="s">
        <v>90</v>
      </c>
      <c r="R2291" s="3" t="s">
        <v>67</v>
      </c>
      <c r="S2291" s="4">
        <v>4</v>
      </c>
      <c r="T2291" s="4">
        <v>106</v>
      </c>
      <c r="U2291" s="5" t="s">
        <v>19396</v>
      </c>
      <c r="V2291" s="5" t="s">
        <v>16663</v>
      </c>
      <c r="W2291" s="5" t="s">
        <v>69</v>
      </c>
      <c r="X2291" s="5" t="s">
        <v>69</v>
      </c>
      <c r="Y2291" s="4">
        <v>4</v>
      </c>
      <c r="Z2291" s="4">
        <v>3</v>
      </c>
      <c r="AA2291" s="4">
        <v>4</v>
      </c>
      <c r="AB2291" s="4">
        <v>1</v>
      </c>
      <c r="AC2291" s="4">
        <v>1</v>
      </c>
      <c r="AD2291" s="4">
        <v>2</v>
      </c>
      <c r="AE2291" s="4">
        <v>3</v>
      </c>
      <c r="AF2291" s="4">
        <v>0</v>
      </c>
      <c r="AG2291" s="4">
        <v>0</v>
      </c>
      <c r="AH2291" s="4">
        <v>2</v>
      </c>
      <c r="AI2291" s="4">
        <v>3</v>
      </c>
      <c r="AJ2291" s="4">
        <v>1</v>
      </c>
      <c r="AK2291" s="4">
        <v>2</v>
      </c>
      <c r="AL2291" s="4">
        <v>1</v>
      </c>
      <c r="AM2291" s="4">
        <v>1</v>
      </c>
      <c r="AN2291" s="4">
        <v>0</v>
      </c>
      <c r="AO2291" s="4">
        <v>0</v>
      </c>
      <c r="AP2291" s="4">
        <v>1</v>
      </c>
      <c r="AQ2291" s="4">
        <v>2</v>
      </c>
      <c r="AR2291" s="3" t="s">
        <v>63</v>
      </c>
      <c r="AS2291" s="3" t="s">
        <v>63</v>
      </c>
      <c r="AT2291" s="3" t="s">
        <v>63</v>
      </c>
      <c r="AV2291" s="6" t="str">
        <f>HYPERLINK("http://mcgill.on.worldcat.org/oclc/61585991","Catalog Record")</f>
        <v>Catalog Record</v>
      </c>
      <c r="AW2291" s="6" t="str">
        <f>HYPERLINK("http://www.worldcat.org/oclc/61585991","WorldCat Record")</f>
        <v>WorldCat Record</v>
      </c>
      <c r="AX2291" s="3" t="s">
        <v>19345</v>
      </c>
      <c r="AY2291" s="3" t="s">
        <v>19346</v>
      </c>
      <c r="AZ2291" s="3" t="s">
        <v>19347</v>
      </c>
      <c r="BA2291" s="3" t="s">
        <v>19347</v>
      </c>
      <c r="BB2291" s="3" t="s">
        <v>19397</v>
      </c>
      <c r="BC2291" s="3" t="s">
        <v>82</v>
      </c>
      <c r="BD2291" s="3" t="s">
        <v>70</v>
      </c>
      <c r="BF2291" s="3" t="s">
        <v>19397</v>
      </c>
      <c r="BG2291" s="3" t="s">
        <v>19398</v>
      </c>
    </row>
    <row r="2292" spans="1:59" ht="60" x14ac:dyDescent="0.25">
      <c r="A2292" s="2" t="s">
        <v>59</v>
      </c>
      <c r="B2292" s="2" t="s">
        <v>60</v>
      </c>
      <c r="C2292" s="2" t="s">
        <v>19339</v>
      </c>
      <c r="D2292" s="2" t="s">
        <v>19340</v>
      </c>
      <c r="E2292" s="2" t="s">
        <v>19341</v>
      </c>
      <c r="F2292" s="3" t="s">
        <v>19399</v>
      </c>
      <c r="G2292" s="3" t="s">
        <v>62</v>
      </c>
      <c r="I2292" s="3" t="s">
        <v>62</v>
      </c>
      <c r="J2292" s="3" t="s">
        <v>63</v>
      </c>
      <c r="K2292" s="3" t="s">
        <v>64</v>
      </c>
      <c r="L2292" s="2" t="s">
        <v>19343</v>
      </c>
      <c r="M2292" s="2" t="s">
        <v>19344</v>
      </c>
      <c r="N2292" s="3" t="s">
        <v>758</v>
      </c>
      <c r="P2292" s="3" t="s">
        <v>90</v>
      </c>
      <c r="R2292" s="3" t="s">
        <v>67</v>
      </c>
      <c r="S2292" s="4">
        <v>2</v>
      </c>
      <c r="T2292" s="4">
        <v>106</v>
      </c>
      <c r="U2292" s="5" t="s">
        <v>19400</v>
      </c>
      <c r="V2292" s="5" t="s">
        <v>16663</v>
      </c>
      <c r="W2292" s="5" t="s">
        <v>69</v>
      </c>
      <c r="X2292" s="5" t="s">
        <v>69</v>
      </c>
      <c r="Y2292" s="4">
        <v>4</v>
      </c>
      <c r="Z2292" s="4">
        <v>3</v>
      </c>
      <c r="AA2292" s="4">
        <v>4</v>
      </c>
      <c r="AB2292" s="4">
        <v>1</v>
      </c>
      <c r="AC2292" s="4">
        <v>1</v>
      </c>
      <c r="AD2292" s="4">
        <v>2</v>
      </c>
      <c r="AE2292" s="4">
        <v>3</v>
      </c>
      <c r="AF2292" s="4">
        <v>0</v>
      </c>
      <c r="AG2292" s="4">
        <v>0</v>
      </c>
      <c r="AH2292" s="4">
        <v>2</v>
      </c>
      <c r="AI2292" s="4">
        <v>3</v>
      </c>
      <c r="AJ2292" s="4">
        <v>1</v>
      </c>
      <c r="AK2292" s="4">
        <v>2</v>
      </c>
      <c r="AL2292" s="4">
        <v>1</v>
      </c>
      <c r="AM2292" s="4">
        <v>1</v>
      </c>
      <c r="AN2292" s="4">
        <v>0</v>
      </c>
      <c r="AO2292" s="4">
        <v>0</v>
      </c>
      <c r="AP2292" s="4">
        <v>1</v>
      </c>
      <c r="AQ2292" s="4">
        <v>2</v>
      </c>
      <c r="AR2292" s="3" t="s">
        <v>63</v>
      </c>
      <c r="AS2292" s="3" t="s">
        <v>63</v>
      </c>
      <c r="AT2292" s="3" t="s">
        <v>63</v>
      </c>
      <c r="AV2292" s="6" t="str">
        <f>HYPERLINK("http://mcgill.on.worldcat.org/oclc/61585991","Catalog Record")</f>
        <v>Catalog Record</v>
      </c>
      <c r="AW2292" s="6" t="str">
        <f>HYPERLINK("http://www.worldcat.org/oclc/61585991","WorldCat Record")</f>
        <v>WorldCat Record</v>
      </c>
      <c r="AX2292" s="3" t="s">
        <v>19345</v>
      </c>
      <c r="AY2292" s="3" t="s">
        <v>19346</v>
      </c>
      <c r="AZ2292" s="3" t="s">
        <v>19347</v>
      </c>
      <c r="BA2292" s="3" t="s">
        <v>19347</v>
      </c>
      <c r="BB2292" s="3" t="s">
        <v>19401</v>
      </c>
      <c r="BC2292" s="3" t="s">
        <v>82</v>
      </c>
      <c r="BD2292" s="3" t="s">
        <v>70</v>
      </c>
      <c r="BF2292" s="3" t="s">
        <v>19401</v>
      </c>
      <c r="BG2292" s="3" t="s">
        <v>19402</v>
      </c>
    </row>
    <row r="2293" spans="1:59" ht="60" x14ac:dyDescent="0.25">
      <c r="A2293" s="2" t="s">
        <v>59</v>
      </c>
      <c r="B2293" s="2" t="s">
        <v>60</v>
      </c>
      <c r="C2293" s="2" t="s">
        <v>19339</v>
      </c>
      <c r="D2293" s="2" t="s">
        <v>19340</v>
      </c>
      <c r="E2293" s="2" t="s">
        <v>19341</v>
      </c>
      <c r="F2293" s="3" t="s">
        <v>19403</v>
      </c>
      <c r="G2293" s="3" t="s">
        <v>62</v>
      </c>
      <c r="I2293" s="3" t="s">
        <v>62</v>
      </c>
      <c r="J2293" s="3" t="s">
        <v>63</v>
      </c>
      <c r="K2293" s="3" t="s">
        <v>64</v>
      </c>
      <c r="L2293" s="2" t="s">
        <v>19343</v>
      </c>
      <c r="M2293" s="2" t="s">
        <v>19344</v>
      </c>
      <c r="N2293" s="3" t="s">
        <v>758</v>
      </c>
      <c r="P2293" s="3" t="s">
        <v>90</v>
      </c>
      <c r="R2293" s="3" t="s">
        <v>67</v>
      </c>
      <c r="S2293" s="4">
        <v>3</v>
      </c>
      <c r="T2293" s="4">
        <v>106</v>
      </c>
      <c r="U2293" s="5" t="s">
        <v>12092</v>
      </c>
      <c r="V2293" s="5" t="s">
        <v>16663</v>
      </c>
      <c r="W2293" s="5" t="s">
        <v>69</v>
      </c>
      <c r="X2293" s="5" t="s">
        <v>69</v>
      </c>
      <c r="Y2293" s="4">
        <v>4</v>
      </c>
      <c r="Z2293" s="4">
        <v>3</v>
      </c>
      <c r="AA2293" s="4">
        <v>4</v>
      </c>
      <c r="AB2293" s="4">
        <v>1</v>
      </c>
      <c r="AC2293" s="4">
        <v>1</v>
      </c>
      <c r="AD2293" s="4">
        <v>2</v>
      </c>
      <c r="AE2293" s="4">
        <v>3</v>
      </c>
      <c r="AF2293" s="4">
        <v>0</v>
      </c>
      <c r="AG2293" s="4">
        <v>0</v>
      </c>
      <c r="AH2293" s="4">
        <v>2</v>
      </c>
      <c r="AI2293" s="4">
        <v>3</v>
      </c>
      <c r="AJ2293" s="4">
        <v>1</v>
      </c>
      <c r="AK2293" s="4">
        <v>2</v>
      </c>
      <c r="AL2293" s="4">
        <v>1</v>
      </c>
      <c r="AM2293" s="4">
        <v>1</v>
      </c>
      <c r="AN2293" s="4">
        <v>0</v>
      </c>
      <c r="AO2293" s="4">
        <v>0</v>
      </c>
      <c r="AP2293" s="4">
        <v>1</v>
      </c>
      <c r="AQ2293" s="4">
        <v>2</v>
      </c>
      <c r="AR2293" s="3" t="s">
        <v>63</v>
      </c>
      <c r="AS2293" s="3" t="s">
        <v>63</v>
      </c>
      <c r="AT2293" s="3" t="s">
        <v>63</v>
      </c>
      <c r="AV2293" s="6" t="str">
        <f>HYPERLINK("http://mcgill.on.worldcat.org/oclc/61585991","Catalog Record")</f>
        <v>Catalog Record</v>
      </c>
      <c r="AW2293" s="6" t="str">
        <f>HYPERLINK("http://www.worldcat.org/oclc/61585991","WorldCat Record")</f>
        <v>WorldCat Record</v>
      </c>
      <c r="AX2293" s="3" t="s">
        <v>19345</v>
      </c>
      <c r="AY2293" s="3" t="s">
        <v>19346</v>
      </c>
      <c r="AZ2293" s="3" t="s">
        <v>19347</v>
      </c>
      <c r="BA2293" s="3" t="s">
        <v>19347</v>
      </c>
      <c r="BB2293" s="3" t="s">
        <v>19404</v>
      </c>
      <c r="BC2293" s="3" t="s">
        <v>82</v>
      </c>
      <c r="BD2293" s="3" t="s">
        <v>70</v>
      </c>
      <c r="BF2293" s="3" t="s">
        <v>19404</v>
      </c>
      <c r="BG2293" s="3" t="s">
        <v>19405</v>
      </c>
    </row>
    <row r="2294" spans="1:59" ht="60" x14ac:dyDescent="0.25">
      <c r="A2294" s="2" t="s">
        <v>59</v>
      </c>
      <c r="B2294" s="2" t="s">
        <v>60</v>
      </c>
      <c r="C2294" s="2" t="s">
        <v>19339</v>
      </c>
      <c r="D2294" s="2" t="s">
        <v>19340</v>
      </c>
      <c r="E2294" s="2" t="s">
        <v>19341</v>
      </c>
      <c r="F2294" s="3" t="s">
        <v>19406</v>
      </c>
      <c r="G2294" s="3" t="s">
        <v>62</v>
      </c>
      <c r="I2294" s="3" t="s">
        <v>62</v>
      </c>
      <c r="J2294" s="3" t="s">
        <v>63</v>
      </c>
      <c r="K2294" s="3" t="s">
        <v>64</v>
      </c>
      <c r="L2294" s="2" t="s">
        <v>19343</v>
      </c>
      <c r="M2294" s="2" t="s">
        <v>19344</v>
      </c>
      <c r="N2294" s="3" t="s">
        <v>758</v>
      </c>
      <c r="P2294" s="3" t="s">
        <v>90</v>
      </c>
      <c r="R2294" s="3" t="s">
        <v>67</v>
      </c>
      <c r="S2294" s="4">
        <v>0</v>
      </c>
      <c r="T2294" s="4">
        <v>106</v>
      </c>
      <c r="V2294" s="5" t="s">
        <v>16663</v>
      </c>
      <c r="W2294" s="5" t="s">
        <v>69</v>
      </c>
      <c r="X2294" s="5" t="s">
        <v>69</v>
      </c>
      <c r="Y2294" s="4">
        <v>4</v>
      </c>
      <c r="Z2294" s="4">
        <v>3</v>
      </c>
      <c r="AA2294" s="4">
        <v>4</v>
      </c>
      <c r="AB2294" s="4">
        <v>1</v>
      </c>
      <c r="AC2294" s="4">
        <v>1</v>
      </c>
      <c r="AD2294" s="4">
        <v>2</v>
      </c>
      <c r="AE2294" s="4">
        <v>3</v>
      </c>
      <c r="AF2294" s="4">
        <v>0</v>
      </c>
      <c r="AG2294" s="4">
        <v>0</v>
      </c>
      <c r="AH2294" s="4">
        <v>2</v>
      </c>
      <c r="AI2294" s="4">
        <v>3</v>
      </c>
      <c r="AJ2294" s="4">
        <v>1</v>
      </c>
      <c r="AK2294" s="4">
        <v>2</v>
      </c>
      <c r="AL2294" s="4">
        <v>1</v>
      </c>
      <c r="AM2294" s="4">
        <v>1</v>
      </c>
      <c r="AN2294" s="4">
        <v>0</v>
      </c>
      <c r="AO2294" s="4">
        <v>0</v>
      </c>
      <c r="AP2294" s="4">
        <v>1</v>
      </c>
      <c r="AQ2294" s="4">
        <v>2</v>
      </c>
      <c r="AR2294" s="3" t="s">
        <v>63</v>
      </c>
      <c r="AS2294" s="3" t="s">
        <v>63</v>
      </c>
      <c r="AT2294" s="3" t="s">
        <v>63</v>
      </c>
      <c r="AV2294" s="6" t="str">
        <f>HYPERLINK("http://mcgill.on.worldcat.org/oclc/61585991","Catalog Record")</f>
        <v>Catalog Record</v>
      </c>
      <c r="AW2294" s="6" t="str">
        <f>HYPERLINK("http://www.worldcat.org/oclc/61585991","WorldCat Record")</f>
        <v>WorldCat Record</v>
      </c>
      <c r="AX2294" s="3" t="s">
        <v>19345</v>
      </c>
      <c r="AY2294" s="3" t="s">
        <v>19346</v>
      </c>
      <c r="AZ2294" s="3" t="s">
        <v>19347</v>
      </c>
      <c r="BA2294" s="3" t="s">
        <v>19347</v>
      </c>
      <c r="BB2294" s="3" t="s">
        <v>19407</v>
      </c>
      <c r="BC2294" s="3" t="s">
        <v>82</v>
      </c>
      <c r="BD2294" s="3" t="s">
        <v>70</v>
      </c>
      <c r="BF2294" s="3" t="s">
        <v>19407</v>
      </c>
      <c r="BG2294" s="3" t="s">
        <v>19408</v>
      </c>
    </row>
    <row r="2295" spans="1:59" ht="60" x14ac:dyDescent="0.25">
      <c r="A2295" s="2" t="s">
        <v>59</v>
      </c>
      <c r="B2295" s="2" t="s">
        <v>60</v>
      </c>
      <c r="C2295" s="2" t="s">
        <v>19339</v>
      </c>
      <c r="D2295" s="2" t="s">
        <v>19340</v>
      </c>
      <c r="E2295" s="2" t="s">
        <v>19341</v>
      </c>
      <c r="F2295" s="3" t="s">
        <v>19409</v>
      </c>
      <c r="G2295" s="3" t="s">
        <v>62</v>
      </c>
      <c r="I2295" s="3" t="s">
        <v>62</v>
      </c>
      <c r="J2295" s="3" t="s">
        <v>63</v>
      </c>
      <c r="K2295" s="3" t="s">
        <v>64</v>
      </c>
      <c r="L2295" s="2" t="s">
        <v>19343</v>
      </c>
      <c r="M2295" s="2" t="s">
        <v>19344</v>
      </c>
      <c r="N2295" s="3" t="s">
        <v>758</v>
      </c>
      <c r="P2295" s="3" t="s">
        <v>90</v>
      </c>
      <c r="R2295" s="3" t="s">
        <v>67</v>
      </c>
      <c r="S2295" s="4">
        <v>1</v>
      </c>
      <c r="T2295" s="4">
        <v>106</v>
      </c>
      <c r="U2295" s="5" t="s">
        <v>19410</v>
      </c>
      <c r="V2295" s="5" t="s">
        <v>16663</v>
      </c>
      <c r="W2295" s="5" t="s">
        <v>69</v>
      </c>
      <c r="X2295" s="5" t="s">
        <v>69</v>
      </c>
      <c r="Y2295" s="4">
        <v>4</v>
      </c>
      <c r="Z2295" s="4">
        <v>3</v>
      </c>
      <c r="AA2295" s="4">
        <v>4</v>
      </c>
      <c r="AB2295" s="4">
        <v>1</v>
      </c>
      <c r="AC2295" s="4">
        <v>1</v>
      </c>
      <c r="AD2295" s="4">
        <v>2</v>
      </c>
      <c r="AE2295" s="4">
        <v>3</v>
      </c>
      <c r="AF2295" s="4">
        <v>0</v>
      </c>
      <c r="AG2295" s="4">
        <v>0</v>
      </c>
      <c r="AH2295" s="4">
        <v>2</v>
      </c>
      <c r="AI2295" s="4">
        <v>3</v>
      </c>
      <c r="AJ2295" s="4">
        <v>1</v>
      </c>
      <c r="AK2295" s="4">
        <v>2</v>
      </c>
      <c r="AL2295" s="4">
        <v>1</v>
      </c>
      <c r="AM2295" s="4">
        <v>1</v>
      </c>
      <c r="AN2295" s="4">
        <v>0</v>
      </c>
      <c r="AO2295" s="4">
        <v>0</v>
      </c>
      <c r="AP2295" s="4">
        <v>1</v>
      </c>
      <c r="AQ2295" s="4">
        <v>2</v>
      </c>
      <c r="AR2295" s="3" t="s">
        <v>63</v>
      </c>
      <c r="AS2295" s="3" t="s">
        <v>63</v>
      </c>
      <c r="AT2295" s="3" t="s">
        <v>63</v>
      </c>
      <c r="AV2295" s="6" t="str">
        <f>HYPERLINK("http://mcgill.on.worldcat.org/oclc/61585991","Catalog Record")</f>
        <v>Catalog Record</v>
      </c>
      <c r="AW2295" s="6" t="str">
        <f>HYPERLINK("http://www.worldcat.org/oclc/61585991","WorldCat Record")</f>
        <v>WorldCat Record</v>
      </c>
      <c r="AX2295" s="3" t="s">
        <v>19345</v>
      </c>
      <c r="AY2295" s="3" t="s">
        <v>19346</v>
      </c>
      <c r="AZ2295" s="3" t="s">
        <v>19347</v>
      </c>
      <c r="BA2295" s="3" t="s">
        <v>19347</v>
      </c>
      <c r="BB2295" s="3" t="s">
        <v>19411</v>
      </c>
      <c r="BC2295" s="3" t="s">
        <v>82</v>
      </c>
      <c r="BD2295" s="3" t="s">
        <v>70</v>
      </c>
      <c r="BF2295" s="3" t="s">
        <v>19411</v>
      </c>
      <c r="BG2295" s="3" t="s">
        <v>19412</v>
      </c>
    </row>
    <row r="2296" spans="1:59" ht="60" x14ac:dyDescent="0.25">
      <c r="A2296" s="2" t="s">
        <v>59</v>
      </c>
      <c r="B2296" s="2" t="s">
        <v>60</v>
      </c>
      <c r="C2296" s="2" t="s">
        <v>19339</v>
      </c>
      <c r="D2296" s="2" t="s">
        <v>19340</v>
      </c>
      <c r="E2296" s="2" t="s">
        <v>19341</v>
      </c>
      <c r="F2296" s="3" t="s">
        <v>19413</v>
      </c>
      <c r="G2296" s="3" t="s">
        <v>62</v>
      </c>
      <c r="I2296" s="3" t="s">
        <v>62</v>
      </c>
      <c r="J2296" s="3" t="s">
        <v>63</v>
      </c>
      <c r="K2296" s="3" t="s">
        <v>64</v>
      </c>
      <c r="L2296" s="2" t="s">
        <v>19343</v>
      </c>
      <c r="M2296" s="2" t="s">
        <v>19344</v>
      </c>
      <c r="N2296" s="3" t="s">
        <v>758</v>
      </c>
      <c r="P2296" s="3" t="s">
        <v>90</v>
      </c>
      <c r="R2296" s="3" t="s">
        <v>67</v>
      </c>
      <c r="S2296" s="4">
        <v>6</v>
      </c>
      <c r="T2296" s="4">
        <v>106</v>
      </c>
      <c r="U2296" s="5" t="s">
        <v>5549</v>
      </c>
      <c r="V2296" s="5" t="s">
        <v>16663</v>
      </c>
      <c r="W2296" s="5" t="s">
        <v>69</v>
      </c>
      <c r="X2296" s="5" t="s">
        <v>69</v>
      </c>
      <c r="Y2296" s="4">
        <v>4</v>
      </c>
      <c r="Z2296" s="4">
        <v>3</v>
      </c>
      <c r="AA2296" s="4">
        <v>4</v>
      </c>
      <c r="AB2296" s="4">
        <v>1</v>
      </c>
      <c r="AC2296" s="4">
        <v>1</v>
      </c>
      <c r="AD2296" s="4">
        <v>2</v>
      </c>
      <c r="AE2296" s="4">
        <v>3</v>
      </c>
      <c r="AF2296" s="4">
        <v>0</v>
      </c>
      <c r="AG2296" s="4">
        <v>0</v>
      </c>
      <c r="AH2296" s="4">
        <v>2</v>
      </c>
      <c r="AI2296" s="4">
        <v>3</v>
      </c>
      <c r="AJ2296" s="4">
        <v>1</v>
      </c>
      <c r="AK2296" s="4">
        <v>2</v>
      </c>
      <c r="AL2296" s="4">
        <v>1</v>
      </c>
      <c r="AM2296" s="4">
        <v>1</v>
      </c>
      <c r="AN2296" s="4">
        <v>0</v>
      </c>
      <c r="AO2296" s="4">
        <v>0</v>
      </c>
      <c r="AP2296" s="4">
        <v>1</v>
      </c>
      <c r="AQ2296" s="4">
        <v>2</v>
      </c>
      <c r="AR2296" s="3" t="s">
        <v>63</v>
      </c>
      <c r="AS2296" s="3" t="s">
        <v>63</v>
      </c>
      <c r="AT2296" s="3" t="s">
        <v>63</v>
      </c>
      <c r="AV2296" s="6" t="str">
        <f>HYPERLINK("http://mcgill.on.worldcat.org/oclc/61585991","Catalog Record")</f>
        <v>Catalog Record</v>
      </c>
      <c r="AW2296" s="6" t="str">
        <f>HYPERLINK("http://www.worldcat.org/oclc/61585991","WorldCat Record")</f>
        <v>WorldCat Record</v>
      </c>
      <c r="AX2296" s="3" t="s">
        <v>19345</v>
      </c>
      <c r="AY2296" s="3" t="s">
        <v>19346</v>
      </c>
      <c r="AZ2296" s="3" t="s">
        <v>19347</v>
      </c>
      <c r="BA2296" s="3" t="s">
        <v>19347</v>
      </c>
      <c r="BB2296" s="3" t="s">
        <v>19414</v>
      </c>
      <c r="BC2296" s="3" t="s">
        <v>82</v>
      </c>
      <c r="BD2296" s="3" t="s">
        <v>70</v>
      </c>
      <c r="BF2296" s="3" t="s">
        <v>19414</v>
      </c>
      <c r="BG2296" s="3" t="s">
        <v>19415</v>
      </c>
    </row>
    <row r="2297" spans="1:59" ht="60" x14ac:dyDescent="0.25">
      <c r="A2297" s="2" t="s">
        <v>59</v>
      </c>
      <c r="B2297" s="2" t="s">
        <v>60</v>
      </c>
      <c r="C2297" s="2" t="s">
        <v>19339</v>
      </c>
      <c r="D2297" s="2" t="s">
        <v>19340</v>
      </c>
      <c r="E2297" s="2" t="s">
        <v>19341</v>
      </c>
      <c r="F2297" s="3" t="s">
        <v>19416</v>
      </c>
      <c r="G2297" s="3" t="s">
        <v>62</v>
      </c>
      <c r="I2297" s="3" t="s">
        <v>62</v>
      </c>
      <c r="J2297" s="3" t="s">
        <v>63</v>
      </c>
      <c r="K2297" s="3" t="s">
        <v>64</v>
      </c>
      <c r="L2297" s="2" t="s">
        <v>19343</v>
      </c>
      <c r="M2297" s="2" t="s">
        <v>19344</v>
      </c>
      <c r="N2297" s="3" t="s">
        <v>758</v>
      </c>
      <c r="P2297" s="3" t="s">
        <v>90</v>
      </c>
      <c r="R2297" s="3" t="s">
        <v>67</v>
      </c>
      <c r="S2297" s="4">
        <v>0</v>
      </c>
      <c r="T2297" s="4">
        <v>106</v>
      </c>
      <c r="V2297" s="5" t="s">
        <v>16663</v>
      </c>
      <c r="W2297" s="5" t="s">
        <v>69</v>
      </c>
      <c r="X2297" s="5" t="s">
        <v>69</v>
      </c>
      <c r="Y2297" s="4">
        <v>4</v>
      </c>
      <c r="Z2297" s="4">
        <v>3</v>
      </c>
      <c r="AA2297" s="4">
        <v>4</v>
      </c>
      <c r="AB2297" s="4">
        <v>1</v>
      </c>
      <c r="AC2297" s="4">
        <v>1</v>
      </c>
      <c r="AD2297" s="4">
        <v>2</v>
      </c>
      <c r="AE2297" s="4">
        <v>3</v>
      </c>
      <c r="AF2297" s="4">
        <v>0</v>
      </c>
      <c r="AG2297" s="4">
        <v>0</v>
      </c>
      <c r="AH2297" s="4">
        <v>2</v>
      </c>
      <c r="AI2297" s="4">
        <v>3</v>
      </c>
      <c r="AJ2297" s="4">
        <v>1</v>
      </c>
      <c r="AK2297" s="4">
        <v>2</v>
      </c>
      <c r="AL2297" s="4">
        <v>1</v>
      </c>
      <c r="AM2297" s="4">
        <v>1</v>
      </c>
      <c r="AN2297" s="4">
        <v>0</v>
      </c>
      <c r="AO2297" s="4">
        <v>0</v>
      </c>
      <c r="AP2297" s="4">
        <v>1</v>
      </c>
      <c r="AQ2297" s="4">
        <v>2</v>
      </c>
      <c r="AR2297" s="3" t="s">
        <v>63</v>
      </c>
      <c r="AS2297" s="3" t="s">
        <v>63</v>
      </c>
      <c r="AT2297" s="3" t="s">
        <v>63</v>
      </c>
      <c r="AV2297" s="6" t="str">
        <f>HYPERLINK("http://mcgill.on.worldcat.org/oclc/61585991","Catalog Record")</f>
        <v>Catalog Record</v>
      </c>
      <c r="AW2297" s="6" t="str">
        <f>HYPERLINK("http://www.worldcat.org/oclc/61585991","WorldCat Record")</f>
        <v>WorldCat Record</v>
      </c>
      <c r="AX2297" s="3" t="s">
        <v>19345</v>
      </c>
      <c r="AY2297" s="3" t="s">
        <v>19346</v>
      </c>
      <c r="AZ2297" s="3" t="s">
        <v>19347</v>
      </c>
      <c r="BA2297" s="3" t="s">
        <v>19347</v>
      </c>
      <c r="BB2297" s="3" t="s">
        <v>19417</v>
      </c>
      <c r="BC2297" s="3" t="s">
        <v>82</v>
      </c>
      <c r="BD2297" s="3" t="s">
        <v>70</v>
      </c>
      <c r="BF2297" s="3" t="s">
        <v>19417</v>
      </c>
      <c r="BG2297" s="3" t="s">
        <v>19418</v>
      </c>
    </row>
    <row r="2298" spans="1:59" ht="60" x14ac:dyDescent="0.25">
      <c r="A2298" s="2" t="s">
        <v>59</v>
      </c>
      <c r="B2298" s="2" t="s">
        <v>60</v>
      </c>
      <c r="C2298" s="2" t="s">
        <v>19339</v>
      </c>
      <c r="D2298" s="2" t="s">
        <v>19340</v>
      </c>
      <c r="E2298" s="2" t="s">
        <v>19341</v>
      </c>
      <c r="F2298" s="3" t="s">
        <v>15309</v>
      </c>
      <c r="G2298" s="3" t="s">
        <v>62</v>
      </c>
      <c r="I2298" s="3" t="s">
        <v>62</v>
      </c>
      <c r="J2298" s="3" t="s">
        <v>63</v>
      </c>
      <c r="K2298" s="3" t="s">
        <v>64</v>
      </c>
      <c r="L2298" s="2" t="s">
        <v>19343</v>
      </c>
      <c r="M2298" s="2" t="s">
        <v>19344</v>
      </c>
      <c r="N2298" s="3" t="s">
        <v>758</v>
      </c>
      <c r="P2298" s="3" t="s">
        <v>90</v>
      </c>
      <c r="R2298" s="3" t="s">
        <v>67</v>
      </c>
      <c r="S2298" s="4">
        <v>0</v>
      </c>
      <c r="T2298" s="4">
        <v>106</v>
      </c>
      <c r="V2298" s="5" t="s">
        <v>16663</v>
      </c>
      <c r="W2298" s="5" t="s">
        <v>69</v>
      </c>
      <c r="X2298" s="5" t="s">
        <v>69</v>
      </c>
      <c r="Y2298" s="4">
        <v>4</v>
      </c>
      <c r="Z2298" s="4">
        <v>3</v>
      </c>
      <c r="AA2298" s="4">
        <v>4</v>
      </c>
      <c r="AB2298" s="4">
        <v>1</v>
      </c>
      <c r="AC2298" s="4">
        <v>1</v>
      </c>
      <c r="AD2298" s="4">
        <v>2</v>
      </c>
      <c r="AE2298" s="4">
        <v>3</v>
      </c>
      <c r="AF2298" s="4">
        <v>0</v>
      </c>
      <c r="AG2298" s="4">
        <v>0</v>
      </c>
      <c r="AH2298" s="4">
        <v>2</v>
      </c>
      <c r="AI2298" s="4">
        <v>3</v>
      </c>
      <c r="AJ2298" s="4">
        <v>1</v>
      </c>
      <c r="AK2298" s="4">
        <v>2</v>
      </c>
      <c r="AL2298" s="4">
        <v>1</v>
      </c>
      <c r="AM2298" s="4">
        <v>1</v>
      </c>
      <c r="AN2298" s="4">
        <v>0</v>
      </c>
      <c r="AO2298" s="4">
        <v>0</v>
      </c>
      <c r="AP2298" s="4">
        <v>1</v>
      </c>
      <c r="AQ2298" s="4">
        <v>2</v>
      </c>
      <c r="AR2298" s="3" t="s">
        <v>63</v>
      </c>
      <c r="AS2298" s="3" t="s">
        <v>63</v>
      </c>
      <c r="AT2298" s="3" t="s">
        <v>63</v>
      </c>
      <c r="AV2298" s="6" t="str">
        <f>HYPERLINK("http://mcgill.on.worldcat.org/oclc/61585991","Catalog Record")</f>
        <v>Catalog Record</v>
      </c>
      <c r="AW2298" s="6" t="str">
        <f>HYPERLINK("http://www.worldcat.org/oclc/61585991","WorldCat Record")</f>
        <v>WorldCat Record</v>
      </c>
      <c r="AX2298" s="3" t="s">
        <v>19345</v>
      </c>
      <c r="AY2298" s="3" t="s">
        <v>19346</v>
      </c>
      <c r="AZ2298" s="3" t="s">
        <v>19347</v>
      </c>
      <c r="BA2298" s="3" t="s">
        <v>19347</v>
      </c>
      <c r="BB2298" s="3" t="s">
        <v>19419</v>
      </c>
      <c r="BC2298" s="3" t="s">
        <v>82</v>
      </c>
      <c r="BD2298" s="3" t="s">
        <v>70</v>
      </c>
      <c r="BF2298" s="3" t="s">
        <v>19419</v>
      </c>
      <c r="BG2298" s="3" t="s">
        <v>19420</v>
      </c>
    </row>
    <row r="2299" spans="1:59" ht="60" x14ac:dyDescent="0.25">
      <c r="A2299" s="2" t="s">
        <v>59</v>
      </c>
      <c r="B2299" s="2" t="s">
        <v>60</v>
      </c>
      <c r="C2299" s="2" t="s">
        <v>19339</v>
      </c>
      <c r="D2299" s="2" t="s">
        <v>19340</v>
      </c>
      <c r="E2299" s="2" t="s">
        <v>19341</v>
      </c>
      <c r="F2299" s="3" t="s">
        <v>19357</v>
      </c>
      <c r="G2299" s="3" t="s">
        <v>62</v>
      </c>
      <c r="I2299" s="3" t="s">
        <v>62</v>
      </c>
      <c r="J2299" s="3" t="s">
        <v>63</v>
      </c>
      <c r="K2299" s="3" t="s">
        <v>64</v>
      </c>
      <c r="L2299" s="2" t="s">
        <v>19343</v>
      </c>
      <c r="M2299" s="2" t="s">
        <v>19344</v>
      </c>
      <c r="N2299" s="3" t="s">
        <v>758</v>
      </c>
      <c r="P2299" s="3" t="s">
        <v>90</v>
      </c>
      <c r="R2299" s="3" t="s">
        <v>67</v>
      </c>
      <c r="S2299" s="4">
        <v>0</v>
      </c>
      <c r="T2299" s="4">
        <v>106</v>
      </c>
      <c r="V2299" s="5" t="s">
        <v>16663</v>
      </c>
      <c r="W2299" s="5" t="s">
        <v>69</v>
      </c>
      <c r="X2299" s="5" t="s">
        <v>69</v>
      </c>
      <c r="Y2299" s="4">
        <v>4</v>
      </c>
      <c r="Z2299" s="4">
        <v>3</v>
      </c>
      <c r="AA2299" s="4">
        <v>4</v>
      </c>
      <c r="AB2299" s="4">
        <v>1</v>
      </c>
      <c r="AC2299" s="4">
        <v>1</v>
      </c>
      <c r="AD2299" s="4">
        <v>2</v>
      </c>
      <c r="AE2299" s="4">
        <v>3</v>
      </c>
      <c r="AF2299" s="4">
        <v>0</v>
      </c>
      <c r="AG2299" s="4">
        <v>0</v>
      </c>
      <c r="AH2299" s="4">
        <v>2</v>
      </c>
      <c r="AI2299" s="4">
        <v>3</v>
      </c>
      <c r="AJ2299" s="4">
        <v>1</v>
      </c>
      <c r="AK2299" s="4">
        <v>2</v>
      </c>
      <c r="AL2299" s="4">
        <v>1</v>
      </c>
      <c r="AM2299" s="4">
        <v>1</v>
      </c>
      <c r="AN2299" s="4">
        <v>0</v>
      </c>
      <c r="AO2299" s="4">
        <v>0</v>
      </c>
      <c r="AP2299" s="4">
        <v>1</v>
      </c>
      <c r="AQ2299" s="4">
        <v>2</v>
      </c>
      <c r="AR2299" s="3" t="s">
        <v>63</v>
      </c>
      <c r="AS2299" s="3" t="s">
        <v>63</v>
      </c>
      <c r="AT2299" s="3" t="s">
        <v>63</v>
      </c>
      <c r="AV2299" s="6" t="str">
        <f>HYPERLINK("http://mcgill.on.worldcat.org/oclc/61585991","Catalog Record")</f>
        <v>Catalog Record</v>
      </c>
      <c r="AW2299" s="6" t="str">
        <f>HYPERLINK("http://www.worldcat.org/oclc/61585991","WorldCat Record")</f>
        <v>WorldCat Record</v>
      </c>
      <c r="AX2299" s="3" t="s">
        <v>19345</v>
      </c>
      <c r="AY2299" s="3" t="s">
        <v>19346</v>
      </c>
      <c r="AZ2299" s="3" t="s">
        <v>19347</v>
      </c>
      <c r="BA2299" s="3" t="s">
        <v>19347</v>
      </c>
      <c r="BB2299" s="3" t="s">
        <v>19421</v>
      </c>
      <c r="BC2299" s="3" t="s">
        <v>82</v>
      </c>
      <c r="BD2299" s="3" t="s">
        <v>70</v>
      </c>
      <c r="BF2299" s="3" t="s">
        <v>19421</v>
      </c>
      <c r="BG2299" s="3" t="s">
        <v>19422</v>
      </c>
    </row>
    <row r="2300" spans="1:59" ht="60" x14ac:dyDescent="0.25">
      <c r="A2300" s="2" t="s">
        <v>59</v>
      </c>
      <c r="B2300" s="2" t="s">
        <v>60</v>
      </c>
      <c r="C2300" s="2" t="s">
        <v>19339</v>
      </c>
      <c r="D2300" s="2" t="s">
        <v>19340</v>
      </c>
      <c r="E2300" s="2" t="s">
        <v>19341</v>
      </c>
      <c r="F2300" s="3" t="s">
        <v>19423</v>
      </c>
      <c r="G2300" s="3" t="s">
        <v>62</v>
      </c>
      <c r="I2300" s="3" t="s">
        <v>62</v>
      </c>
      <c r="J2300" s="3" t="s">
        <v>63</v>
      </c>
      <c r="K2300" s="3" t="s">
        <v>64</v>
      </c>
      <c r="L2300" s="2" t="s">
        <v>19343</v>
      </c>
      <c r="M2300" s="2" t="s">
        <v>19344</v>
      </c>
      <c r="N2300" s="3" t="s">
        <v>758</v>
      </c>
      <c r="P2300" s="3" t="s">
        <v>90</v>
      </c>
      <c r="R2300" s="3" t="s">
        <v>67</v>
      </c>
      <c r="S2300" s="4">
        <v>2</v>
      </c>
      <c r="T2300" s="4">
        <v>106</v>
      </c>
      <c r="U2300" s="5" t="s">
        <v>19424</v>
      </c>
      <c r="V2300" s="5" t="s">
        <v>16663</v>
      </c>
      <c r="W2300" s="5" t="s">
        <v>69</v>
      </c>
      <c r="X2300" s="5" t="s">
        <v>69</v>
      </c>
      <c r="Y2300" s="4">
        <v>4</v>
      </c>
      <c r="Z2300" s="4">
        <v>3</v>
      </c>
      <c r="AA2300" s="4">
        <v>4</v>
      </c>
      <c r="AB2300" s="4">
        <v>1</v>
      </c>
      <c r="AC2300" s="4">
        <v>1</v>
      </c>
      <c r="AD2300" s="4">
        <v>2</v>
      </c>
      <c r="AE2300" s="4">
        <v>3</v>
      </c>
      <c r="AF2300" s="4">
        <v>0</v>
      </c>
      <c r="AG2300" s="4">
        <v>0</v>
      </c>
      <c r="AH2300" s="4">
        <v>2</v>
      </c>
      <c r="AI2300" s="4">
        <v>3</v>
      </c>
      <c r="AJ2300" s="4">
        <v>1</v>
      </c>
      <c r="AK2300" s="4">
        <v>2</v>
      </c>
      <c r="AL2300" s="4">
        <v>1</v>
      </c>
      <c r="AM2300" s="4">
        <v>1</v>
      </c>
      <c r="AN2300" s="4">
        <v>0</v>
      </c>
      <c r="AO2300" s="4">
        <v>0</v>
      </c>
      <c r="AP2300" s="4">
        <v>1</v>
      </c>
      <c r="AQ2300" s="4">
        <v>2</v>
      </c>
      <c r="AR2300" s="3" t="s">
        <v>63</v>
      </c>
      <c r="AS2300" s="3" t="s">
        <v>63</v>
      </c>
      <c r="AT2300" s="3" t="s">
        <v>63</v>
      </c>
      <c r="AV2300" s="6" t="str">
        <f>HYPERLINK("http://mcgill.on.worldcat.org/oclc/61585991","Catalog Record")</f>
        <v>Catalog Record</v>
      </c>
      <c r="AW2300" s="6" t="str">
        <f>HYPERLINK("http://www.worldcat.org/oclc/61585991","WorldCat Record")</f>
        <v>WorldCat Record</v>
      </c>
      <c r="AX2300" s="3" t="s">
        <v>19345</v>
      </c>
      <c r="AY2300" s="3" t="s">
        <v>19346</v>
      </c>
      <c r="AZ2300" s="3" t="s">
        <v>19347</v>
      </c>
      <c r="BA2300" s="3" t="s">
        <v>19347</v>
      </c>
      <c r="BB2300" s="3" t="s">
        <v>19425</v>
      </c>
      <c r="BC2300" s="3" t="s">
        <v>82</v>
      </c>
      <c r="BD2300" s="3" t="s">
        <v>70</v>
      </c>
      <c r="BF2300" s="3" t="s">
        <v>19425</v>
      </c>
      <c r="BG2300" s="3" t="s">
        <v>19426</v>
      </c>
    </row>
    <row r="2301" spans="1:59" ht="60" x14ac:dyDescent="0.25">
      <c r="A2301" s="2" t="s">
        <v>59</v>
      </c>
      <c r="B2301" s="2" t="s">
        <v>60</v>
      </c>
      <c r="C2301" s="2" t="s">
        <v>19339</v>
      </c>
      <c r="D2301" s="2" t="s">
        <v>19340</v>
      </c>
      <c r="E2301" s="2" t="s">
        <v>19341</v>
      </c>
      <c r="F2301" s="3" t="s">
        <v>15318</v>
      </c>
      <c r="G2301" s="3" t="s">
        <v>62</v>
      </c>
      <c r="I2301" s="3" t="s">
        <v>62</v>
      </c>
      <c r="J2301" s="3" t="s">
        <v>63</v>
      </c>
      <c r="K2301" s="3" t="s">
        <v>64</v>
      </c>
      <c r="L2301" s="2" t="s">
        <v>19343</v>
      </c>
      <c r="M2301" s="2" t="s">
        <v>19344</v>
      </c>
      <c r="N2301" s="3" t="s">
        <v>758</v>
      </c>
      <c r="P2301" s="3" t="s">
        <v>90</v>
      </c>
      <c r="R2301" s="3" t="s">
        <v>67</v>
      </c>
      <c r="S2301" s="4">
        <v>4</v>
      </c>
      <c r="T2301" s="4">
        <v>106</v>
      </c>
      <c r="U2301" s="5" t="s">
        <v>16663</v>
      </c>
      <c r="V2301" s="5" t="s">
        <v>16663</v>
      </c>
      <c r="W2301" s="5" t="s">
        <v>69</v>
      </c>
      <c r="X2301" s="5" t="s">
        <v>69</v>
      </c>
      <c r="Y2301" s="4">
        <v>4</v>
      </c>
      <c r="Z2301" s="4">
        <v>3</v>
      </c>
      <c r="AA2301" s="4">
        <v>4</v>
      </c>
      <c r="AB2301" s="4">
        <v>1</v>
      </c>
      <c r="AC2301" s="4">
        <v>1</v>
      </c>
      <c r="AD2301" s="4">
        <v>2</v>
      </c>
      <c r="AE2301" s="4">
        <v>3</v>
      </c>
      <c r="AF2301" s="4">
        <v>0</v>
      </c>
      <c r="AG2301" s="4">
        <v>0</v>
      </c>
      <c r="AH2301" s="4">
        <v>2</v>
      </c>
      <c r="AI2301" s="4">
        <v>3</v>
      </c>
      <c r="AJ2301" s="4">
        <v>1</v>
      </c>
      <c r="AK2301" s="4">
        <v>2</v>
      </c>
      <c r="AL2301" s="4">
        <v>1</v>
      </c>
      <c r="AM2301" s="4">
        <v>1</v>
      </c>
      <c r="AN2301" s="4">
        <v>0</v>
      </c>
      <c r="AO2301" s="4">
        <v>0</v>
      </c>
      <c r="AP2301" s="4">
        <v>1</v>
      </c>
      <c r="AQ2301" s="4">
        <v>2</v>
      </c>
      <c r="AR2301" s="3" t="s">
        <v>63</v>
      </c>
      <c r="AS2301" s="3" t="s">
        <v>63</v>
      </c>
      <c r="AT2301" s="3" t="s">
        <v>63</v>
      </c>
      <c r="AV2301" s="6" t="str">
        <f>HYPERLINK("http://mcgill.on.worldcat.org/oclc/61585991","Catalog Record")</f>
        <v>Catalog Record</v>
      </c>
      <c r="AW2301" s="6" t="str">
        <f>HYPERLINK("http://www.worldcat.org/oclc/61585991","WorldCat Record")</f>
        <v>WorldCat Record</v>
      </c>
      <c r="AX2301" s="3" t="s">
        <v>19345</v>
      </c>
      <c r="AY2301" s="3" t="s">
        <v>19346</v>
      </c>
      <c r="AZ2301" s="3" t="s">
        <v>19347</v>
      </c>
      <c r="BA2301" s="3" t="s">
        <v>19347</v>
      </c>
      <c r="BB2301" s="3" t="s">
        <v>19427</v>
      </c>
      <c r="BC2301" s="3" t="s">
        <v>82</v>
      </c>
      <c r="BD2301" s="3" t="s">
        <v>70</v>
      </c>
      <c r="BF2301" s="3" t="s">
        <v>19427</v>
      </c>
      <c r="BG2301" s="3" t="s">
        <v>19428</v>
      </c>
    </row>
    <row r="2302" spans="1:59" ht="60" x14ac:dyDescent="0.25">
      <c r="A2302" s="2" t="s">
        <v>59</v>
      </c>
      <c r="B2302" s="2" t="s">
        <v>60</v>
      </c>
      <c r="C2302" s="2" t="s">
        <v>19339</v>
      </c>
      <c r="D2302" s="2" t="s">
        <v>19340</v>
      </c>
      <c r="E2302" s="2" t="s">
        <v>19341</v>
      </c>
      <c r="F2302" s="3" t="s">
        <v>19360</v>
      </c>
      <c r="G2302" s="3" t="s">
        <v>62</v>
      </c>
      <c r="I2302" s="3" t="s">
        <v>62</v>
      </c>
      <c r="J2302" s="3" t="s">
        <v>63</v>
      </c>
      <c r="K2302" s="3" t="s">
        <v>64</v>
      </c>
      <c r="L2302" s="2" t="s">
        <v>19343</v>
      </c>
      <c r="M2302" s="2" t="s">
        <v>19344</v>
      </c>
      <c r="N2302" s="3" t="s">
        <v>758</v>
      </c>
      <c r="P2302" s="3" t="s">
        <v>90</v>
      </c>
      <c r="R2302" s="3" t="s">
        <v>67</v>
      </c>
      <c r="S2302" s="4">
        <v>0</v>
      </c>
      <c r="T2302" s="4">
        <v>106</v>
      </c>
      <c r="V2302" s="5" t="s">
        <v>16663</v>
      </c>
      <c r="W2302" s="5" t="s">
        <v>69</v>
      </c>
      <c r="X2302" s="5" t="s">
        <v>69</v>
      </c>
      <c r="Y2302" s="4">
        <v>4</v>
      </c>
      <c r="Z2302" s="4">
        <v>3</v>
      </c>
      <c r="AA2302" s="4">
        <v>4</v>
      </c>
      <c r="AB2302" s="4">
        <v>1</v>
      </c>
      <c r="AC2302" s="4">
        <v>1</v>
      </c>
      <c r="AD2302" s="4">
        <v>2</v>
      </c>
      <c r="AE2302" s="4">
        <v>3</v>
      </c>
      <c r="AF2302" s="4">
        <v>0</v>
      </c>
      <c r="AG2302" s="4">
        <v>0</v>
      </c>
      <c r="AH2302" s="4">
        <v>2</v>
      </c>
      <c r="AI2302" s="4">
        <v>3</v>
      </c>
      <c r="AJ2302" s="4">
        <v>1</v>
      </c>
      <c r="AK2302" s="4">
        <v>2</v>
      </c>
      <c r="AL2302" s="4">
        <v>1</v>
      </c>
      <c r="AM2302" s="4">
        <v>1</v>
      </c>
      <c r="AN2302" s="4">
        <v>0</v>
      </c>
      <c r="AO2302" s="4">
        <v>0</v>
      </c>
      <c r="AP2302" s="4">
        <v>1</v>
      </c>
      <c r="AQ2302" s="4">
        <v>2</v>
      </c>
      <c r="AR2302" s="3" t="s">
        <v>63</v>
      </c>
      <c r="AS2302" s="3" t="s">
        <v>63</v>
      </c>
      <c r="AT2302" s="3" t="s">
        <v>63</v>
      </c>
      <c r="AV2302" s="6" t="str">
        <f>HYPERLINK("http://mcgill.on.worldcat.org/oclc/61585991","Catalog Record")</f>
        <v>Catalog Record</v>
      </c>
      <c r="AW2302" s="6" t="str">
        <f>HYPERLINK("http://www.worldcat.org/oclc/61585991","WorldCat Record")</f>
        <v>WorldCat Record</v>
      </c>
      <c r="AX2302" s="3" t="s">
        <v>19345</v>
      </c>
      <c r="AY2302" s="3" t="s">
        <v>19346</v>
      </c>
      <c r="AZ2302" s="3" t="s">
        <v>19347</v>
      </c>
      <c r="BA2302" s="3" t="s">
        <v>19347</v>
      </c>
      <c r="BB2302" s="3" t="s">
        <v>19429</v>
      </c>
      <c r="BC2302" s="3" t="s">
        <v>82</v>
      </c>
      <c r="BD2302" s="3" t="s">
        <v>70</v>
      </c>
      <c r="BF2302" s="3" t="s">
        <v>19429</v>
      </c>
      <c r="BG2302" s="3" t="s">
        <v>19430</v>
      </c>
    </row>
    <row r="2303" spans="1:59" ht="60" x14ac:dyDescent="0.25">
      <c r="A2303" s="2" t="s">
        <v>59</v>
      </c>
      <c r="B2303" s="2" t="s">
        <v>60</v>
      </c>
      <c r="C2303" s="2" t="s">
        <v>19339</v>
      </c>
      <c r="D2303" s="2" t="s">
        <v>19340</v>
      </c>
      <c r="E2303" s="2" t="s">
        <v>19341</v>
      </c>
      <c r="F2303" s="3" t="s">
        <v>19379</v>
      </c>
      <c r="G2303" s="3" t="s">
        <v>62</v>
      </c>
      <c r="I2303" s="3" t="s">
        <v>62</v>
      </c>
      <c r="J2303" s="3" t="s">
        <v>63</v>
      </c>
      <c r="K2303" s="3" t="s">
        <v>64</v>
      </c>
      <c r="L2303" s="2" t="s">
        <v>19343</v>
      </c>
      <c r="M2303" s="2" t="s">
        <v>19344</v>
      </c>
      <c r="N2303" s="3" t="s">
        <v>758</v>
      </c>
      <c r="P2303" s="3" t="s">
        <v>90</v>
      </c>
      <c r="R2303" s="3" t="s">
        <v>67</v>
      </c>
      <c r="S2303" s="4">
        <v>8</v>
      </c>
      <c r="T2303" s="4">
        <v>106</v>
      </c>
      <c r="U2303" s="5" t="s">
        <v>19431</v>
      </c>
      <c r="V2303" s="5" t="s">
        <v>16663</v>
      </c>
      <c r="W2303" s="5" t="s">
        <v>69</v>
      </c>
      <c r="X2303" s="5" t="s">
        <v>69</v>
      </c>
      <c r="Y2303" s="4">
        <v>4</v>
      </c>
      <c r="Z2303" s="4">
        <v>3</v>
      </c>
      <c r="AA2303" s="4">
        <v>4</v>
      </c>
      <c r="AB2303" s="4">
        <v>1</v>
      </c>
      <c r="AC2303" s="4">
        <v>1</v>
      </c>
      <c r="AD2303" s="4">
        <v>2</v>
      </c>
      <c r="AE2303" s="4">
        <v>3</v>
      </c>
      <c r="AF2303" s="4">
        <v>0</v>
      </c>
      <c r="AG2303" s="4">
        <v>0</v>
      </c>
      <c r="AH2303" s="4">
        <v>2</v>
      </c>
      <c r="AI2303" s="4">
        <v>3</v>
      </c>
      <c r="AJ2303" s="4">
        <v>1</v>
      </c>
      <c r="AK2303" s="4">
        <v>2</v>
      </c>
      <c r="AL2303" s="4">
        <v>1</v>
      </c>
      <c r="AM2303" s="4">
        <v>1</v>
      </c>
      <c r="AN2303" s="4">
        <v>0</v>
      </c>
      <c r="AO2303" s="4">
        <v>0</v>
      </c>
      <c r="AP2303" s="4">
        <v>1</v>
      </c>
      <c r="AQ2303" s="4">
        <v>2</v>
      </c>
      <c r="AR2303" s="3" t="s">
        <v>63</v>
      </c>
      <c r="AS2303" s="3" t="s">
        <v>63</v>
      </c>
      <c r="AT2303" s="3" t="s">
        <v>63</v>
      </c>
      <c r="AV2303" s="6" t="str">
        <f>HYPERLINK("http://mcgill.on.worldcat.org/oclc/61585991","Catalog Record")</f>
        <v>Catalog Record</v>
      </c>
      <c r="AW2303" s="6" t="str">
        <f>HYPERLINK("http://www.worldcat.org/oclc/61585991","WorldCat Record")</f>
        <v>WorldCat Record</v>
      </c>
      <c r="AX2303" s="3" t="s">
        <v>19345</v>
      </c>
      <c r="AY2303" s="3" t="s">
        <v>19346</v>
      </c>
      <c r="AZ2303" s="3" t="s">
        <v>19347</v>
      </c>
      <c r="BA2303" s="3" t="s">
        <v>19347</v>
      </c>
      <c r="BB2303" s="3" t="s">
        <v>19432</v>
      </c>
      <c r="BC2303" s="3" t="s">
        <v>82</v>
      </c>
      <c r="BD2303" s="3" t="s">
        <v>70</v>
      </c>
      <c r="BF2303" s="3" t="s">
        <v>19432</v>
      </c>
      <c r="BG2303" s="3" t="s">
        <v>19433</v>
      </c>
    </row>
    <row r="2304" spans="1:59" ht="60" x14ac:dyDescent="0.25">
      <c r="A2304" s="2" t="s">
        <v>59</v>
      </c>
      <c r="B2304" s="2" t="s">
        <v>60</v>
      </c>
      <c r="C2304" s="2" t="s">
        <v>19339</v>
      </c>
      <c r="D2304" s="2" t="s">
        <v>19340</v>
      </c>
      <c r="E2304" s="2" t="s">
        <v>19341</v>
      </c>
      <c r="F2304" s="3" t="s">
        <v>19434</v>
      </c>
      <c r="G2304" s="3" t="s">
        <v>62</v>
      </c>
      <c r="I2304" s="3" t="s">
        <v>62</v>
      </c>
      <c r="J2304" s="3" t="s">
        <v>63</v>
      </c>
      <c r="K2304" s="3" t="s">
        <v>64</v>
      </c>
      <c r="L2304" s="2" t="s">
        <v>19343</v>
      </c>
      <c r="M2304" s="2" t="s">
        <v>19344</v>
      </c>
      <c r="N2304" s="3" t="s">
        <v>758</v>
      </c>
      <c r="P2304" s="3" t="s">
        <v>90</v>
      </c>
      <c r="R2304" s="3" t="s">
        <v>67</v>
      </c>
      <c r="S2304" s="4">
        <v>0</v>
      </c>
      <c r="T2304" s="4">
        <v>106</v>
      </c>
      <c r="V2304" s="5" t="s">
        <v>16663</v>
      </c>
      <c r="W2304" s="5" t="s">
        <v>69</v>
      </c>
      <c r="X2304" s="5" t="s">
        <v>69</v>
      </c>
      <c r="Y2304" s="4">
        <v>4</v>
      </c>
      <c r="Z2304" s="4">
        <v>3</v>
      </c>
      <c r="AA2304" s="4">
        <v>4</v>
      </c>
      <c r="AB2304" s="4">
        <v>1</v>
      </c>
      <c r="AC2304" s="4">
        <v>1</v>
      </c>
      <c r="AD2304" s="4">
        <v>2</v>
      </c>
      <c r="AE2304" s="4">
        <v>3</v>
      </c>
      <c r="AF2304" s="4">
        <v>0</v>
      </c>
      <c r="AG2304" s="4">
        <v>0</v>
      </c>
      <c r="AH2304" s="4">
        <v>2</v>
      </c>
      <c r="AI2304" s="4">
        <v>3</v>
      </c>
      <c r="AJ2304" s="4">
        <v>1</v>
      </c>
      <c r="AK2304" s="4">
        <v>2</v>
      </c>
      <c r="AL2304" s="4">
        <v>1</v>
      </c>
      <c r="AM2304" s="4">
        <v>1</v>
      </c>
      <c r="AN2304" s="4">
        <v>0</v>
      </c>
      <c r="AO2304" s="4">
        <v>0</v>
      </c>
      <c r="AP2304" s="4">
        <v>1</v>
      </c>
      <c r="AQ2304" s="4">
        <v>2</v>
      </c>
      <c r="AR2304" s="3" t="s">
        <v>63</v>
      </c>
      <c r="AS2304" s="3" t="s">
        <v>63</v>
      </c>
      <c r="AT2304" s="3" t="s">
        <v>63</v>
      </c>
      <c r="AV2304" s="6" t="str">
        <f>HYPERLINK("http://mcgill.on.worldcat.org/oclc/61585991","Catalog Record")</f>
        <v>Catalog Record</v>
      </c>
      <c r="AW2304" s="6" t="str">
        <f>HYPERLINK("http://www.worldcat.org/oclc/61585991","WorldCat Record")</f>
        <v>WorldCat Record</v>
      </c>
      <c r="AX2304" s="3" t="s">
        <v>19345</v>
      </c>
      <c r="AY2304" s="3" t="s">
        <v>19346</v>
      </c>
      <c r="AZ2304" s="3" t="s">
        <v>19347</v>
      </c>
      <c r="BA2304" s="3" t="s">
        <v>19347</v>
      </c>
      <c r="BB2304" s="3" t="s">
        <v>19435</v>
      </c>
      <c r="BC2304" s="3" t="s">
        <v>82</v>
      </c>
      <c r="BD2304" s="3" t="s">
        <v>70</v>
      </c>
      <c r="BF2304" s="3" t="s">
        <v>19435</v>
      </c>
      <c r="BG2304" s="3" t="s">
        <v>19436</v>
      </c>
    </row>
    <row r="2305" spans="1:59" ht="60" x14ac:dyDescent="0.25">
      <c r="A2305" s="2" t="s">
        <v>59</v>
      </c>
      <c r="B2305" s="2" t="s">
        <v>60</v>
      </c>
      <c r="C2305" s="2" t="s">
        <v>19339</v>
      </c>
      <c r="D2305" s="2" t="s">
        <v>19340</v>
      </c>
      <c r="E2305" s="2" t="s">
        <v>19341</v>
      </c>
      <c r="F2305" s="3" t="s">
        <v>19437</v>
      </c>
      <c r="G2305" s="3" t="s">
        <v>62</v>
      </c>
      <c r="I2305" s="3" t="s">
        <v>62</v>
      </c>
      <c r="J2305" s="3" t="s">
        <v>63</v>
      </c>
      <c r="K2305" s="3" t="s">
        <v>64</v>
      </c>
      <c r="L2305" s="2" t="s">
        <v>19343</v>
      </c>
      <c r="M2305" s="2" t="s">
        <v>19344</v>
      </c>
      <c r="N2305" s="3" t="s">
        <v>758</v>
      </c>
      <c r="P2305" s="3" t="s">
        <v>90</v>
      </c>
      <c r="R2305" s="3" t="s">
        <v>67</v>
      </c>
      <c r="S2305" s="4">
        <v>2</v>
      </c>
      <c r="T2305" s="4">
        <v>106</v>
      </c>
      <c r="U2305" s="5" t="s">
        <v>15128</v>
      </c>
      <c r="V2305" s="5" t="s">
        <v>16663</v>
      </c>
      <c r="W2305" s="5" t="s">
        <v>69</v>
      </c>
      <c r="X2305" s="5" t="s">
        <v>69</v>
      </c>
      <c r="Y2305" s="4">
        <v>4</v>
      </c>
      <c r="Z2305" s="4">
        <v>3</v>
      </c>
      <c r="AA2305" s="4">
        <v>4</v>
      </c>
      <c r="AB2305" s="4">
        <v>1</v>
      </c>
      <c r="AC2305" s="4">
        <v>1</v>
      </c>
      <c r="AD2305" s="4">
        <v>2</v>
      </c>
      <c r="AE2305" s="4">
        <v>3</v>
      </c>
      <c r="AF2305" s="4">
        <v>0</v>
      </c>
      <c r="AG2305" s="4">
        <v>0</v>
      </c>
      <c r="AH2305" s="4">
        <v>2</v>
      </c>
      <c r="AI2305" s="4">
        <v>3</v>
      </c>
      <c r="AJ2305" s="4">
        <v>1</v>
      </c>
      <c r="AK2305" s="4">
        <v>2</v>
      </c>
      <c r="AL2305" s="4">
        <v>1</v>
      </c>
      <c r="AM2305" s="4">
        <v>1</v>
      </c>
      <c r="AN2305" s="4">
        <v>0</v>
      </c>
      <c r="AO2305" s="4">
        <v>0</v>
      </c>
      <c r="AP2305" s="4">
        <v>1</v>
      </c>
      <c r="AQ2305" s="4">
        <v>2</v>
      </c>
      <c r="AR2305" s="3" t="s">
        <v>63</v>
      </c>
      <c r="AS2305" s="3" t="s">
        <v>63</v>
      </c>
      <c r="AT2305" s="3" t="s">
        <v>63</v>
      </c>
      <c r="AV2305" s="6" t="str">
        <f>HYPERLINK("http://mcgill.on.worldcat.org/oclc/61585991","Catalog Record")</f>
        <v>Catalog Record</v>
      </c>
      <c r="AW2305" s="6" t="str">
        <f>HYPERLINK("http://www.worldcat.org/oclc/61585991","WorldCat Record")</f>
        <v>WorldCat Record</v>
      </c>
      <c r="AX2305" s="3" t="s">
        <v>19345</v>
      </c>
      <c r="AY2305" s="3" t="s">
        <v>19346</v>
      </c>
      <c r="AZ2305" s="3" t="s">
        <v>19347</v>
      </c>
      <c r="BA2305" s="3" t="s">
        <v>19347</v>
      </c>
      <c r="BB2305" s="3" t="s">
        <v>19438</v>
      </c>
      <c r="BC2305" s="3" t="s">
        <v>82</v>
      </c>
      <c r="BD2305" s="3" t="s">
        <v>70</v>
      </c>
      <c r="BF2305" s="3" t="s">
        <v>19438</v>
      </c>
      <c r="BG2305" s="3" t="s">
        <v>19439</v>
      </c>
    </row>
    <row r="2306" spans="1:59" ht="60" x14ac:dyDescent="0.25">
      <c r="A2306" s="2" t="s">
        <v>59</v>
      </c>
      <c r="B2306" s="2" t="s">
        <v>60</v>
      </c>
      <c r="C2306" s="2" t="s">
        <v>19339</v>
      </c>
      <c r="D2306" s="2" t="s">
        <v>19340</v>
      </c>
      <c r="E2306" s="2" t="s">
        <v>19341</v>
      </c>
      <c r="F2306" s="3" t="s">
        <v>19388</v>
      </c>
      <c r="G2306" s="3" t="s">
        <v>62</v>
      </c>
      <c r="I2306" s="3" t="s">
        <v>62</v>
      </c>
      <c r="J2306" s="3" t="s">
        <v>63</v>
      </c>
      <c r="K2306" s="3" t="s">
        <v>64</v>
      </c>
      <c r="L2306" s="2" t="s">
        <v>19343</v>
      </c>
      <c r="M2306" s="2" t="s">
        <v>19344</v>
      </c>
      <c r="N2306" s="3" t="s">
        <v>758</v>
      </c>
      <c r="P2306" s="3" t="s">
        <v>90</v>
      </c>
      <c r="R2306" s="3" t="s">
        <v>67</v>
      </c>
      <c r="S2306" s="4">
        <v>4</v>
      </c>
      <c r="T2306" s="4">
        <v>106</v>
      </c>
      <c r="U2306" s="5" t="s">
        <v>16671</v>
      </c>
      <c r="V2306" s="5" t="s">
        <v>16663</v>
      </c>
      <c r="W2306" s="5" t="s">
        <v>69</v>
      </c>
      <c r="X2306" s="5" t="s">
        <v>69</v>
      </c>
      <c r="Y2306" s="4">
        <v>4</v>
      </c>
      <c r="Z2306" s="4">
        <v>3</v>
      </c>
      <c r="AA2306" s="4">
        <v>4</v>
      </c>
      <c r="AB2306" s="4">
        <v>1</v>
      </c>
      <c r="AC2306" s="4">
        <v>1</v>
      </c>
      <c r="AD2306" s="4">
        <v>2</v>
      </c>
      <c r="AE2306" s="4">
        <v>3</v>
      </c>
      <c r="AF2306" s="4">
        <v>0</v>
      </c>
      <c r="AG2306" s="4">
        <v>0</v>
      </c>
      <c r="AH2306" s="4">
        <v>2</v>
      </c>
      <c r="AI2306" s="4">
        <v>3</v>
      </c>
      <c r="AJ2306" s="4">
        <v>1</v>
      </c>
      <c r="AK2306" s="4">
        <v>2</v>
      </c>
      <c r="AL2306" s="4">
        <v>1</v>
      </c>
      <c r="AM2306" s="4">
        <v>1</v>
      </c>
      <c r="AN2306" s="4">
        <v>0</v>
      </c>
      <c r="AO2306" s="4">
        <v>0</v>
      </c>
      <c r="AP2306" s="4">
        <v>1</v>
      </c>
      <c r="AQ2306" s="4">
        <v>2</v>
      </c>
      <c r="AR2306" s="3" t="s">
        <v>63</v>
      </c>
      <c r="AS2306" s="3" t="s">
        <v>63</v>
      </c>
      <c r="AT2306" s="3" t="s">
        <v>63</v>
      </c>
      <c r="AV2306" s="6" t="str">
        <f>HYPERLINK("http://mcgill.on.worldcat.org/oclc/61585991","Catalog Record")</f>
        <v>Catalog Record</v>
      </c>
      <c r="AW2306" s="6" t="str">
        <f>HYPERLINK("http://www.worldcat.org/oclc/61585991","WorldCat Record")</f>
        <v>WorldCat Record</v>
      </c>
      <c r="AX2306" s="3" t="s">
        <v>19345</v>
      </c>
      <c r="AY2306" s="3" t="s">
        <v>19346</v>
      </c>
      <c r="AZ2306" s="3" t="s">
        <v>19347</v>
      </c>
      <c r="BA2306" s="3" t="s">
        <v>19347</v>
      </c>
      <c r="BB2306" s="3" t="s">
        <v>19440</v>
      </c>
      <c r="BC2306" s="3" t="s">
        <v>82</v>
      </c>
      <c r="BD2306" s="3" t="s">
        <v>70</v>
      </c>
      <c r="BF2306" s="3" t="s">
        <v>19440</v>
      </c>
      <c r="BG2306" s="3" t="s">
        <v>19441</v>
      </c>
    </row>
    <row r="2307" spans="1:59" ht="60" x14ac:dyDescent="0.25">
      <c r="A2307" s="2" t="s">
        <v>59</v>
      </c>
      <c r="B2307" s="2" t="s">
        <v>60</v>
      </c>
      <c r="C2307" s="2" t="s">
        <v>19339</v>
      </c>
      <c r="D2307" s="2" t="s">
        <v>19340</v>
      </c>
      <c r="E2307" s="2" t="s">
        <v>19341</v>
      </c>
      <c r="F2307" s="3" t="s">
        <v>19406</v>
      </c>
      <c r="G2307" s="3" t="s">
        <v>62</v>
      </c>
      <c r="I2307" s="3" t="s">
        <v>62</v>
      </c>
      <c r="J2307" s="3" t="s">
        <v>63</v>
      </c>
      <c r="K2307" s="3" t="s">
        <v>64</v>
      </c>
      <c r="L2307" s="2" t="s">
        <v>19343</v>
      </c>
      <c r="M2307" s="2" t="s">
        <v>19344</v>
      </c>
      <c r="N2307" s="3" t="s">
        <v>758</v>
      </c>
      <c r="P2307" s="3" t="s">
        <v>90</v>
      </c>
      <c r="R2307" s="3" t="s">
        <v>67</v>
      </c>
      <c r="S2307" s="4">
        <v>0</v>
      </c>
      <c r="T2307" s="4">
        <v>106</v>
      </c>
      <c r="V2307" s="5" t="s">
        <v>16663</v>
      </c>
      <c r="W2307" s="5" t="s">
        <v>69</v>
      </c>
      <c r="X2307" s="5" t="s">
        <v>69</v>
      </c>
      <c r="Y2307" s="4">
        <v>4</v>
      </c>
      <c r="Z2307" s="4">
        <v>3</v>
      </c>
      <c r="AA2307" s="4">
        <v>4</v>
      </c>
      <c r="AB2307" s="4">
        <v>1</v>
      </c>
      <c r="AC2307" s="4">
        <v>1</v>
      </c>
      <c r="AD2307" s="4">
        <v>2</v>
      </c>
      <c r="AE2307" s="4">
        <v>3</v>
      </c>
      <c r="AF2307" s="4">
        <v>0</v>
      </c>
      <c r="AG2307" s="4">
        <v>0</v>
      </c>
      <c r="AH2307" s="4">
        <v>2</v>
      </c>
      <c r="AI2307" s="4">
        <v>3</v>
      </c>
      <c r="AJ2307" s="4">
        <v>1</v>
      </c>
      <c r="AK2307" s="4">
        <v>2</v>
      </c>
      <c r="AL2307" s="4">
        <v>1</v>
      </c>
      <c r="AM2307" s="4">
        <v>1</v>
      </c>
      <c r="AN2307" s="4">
        <v>0</v>
      </c>
      <c r="AO2307" s="4">
        <v>0</v>
      </c>
      <c r="AP2307" s="4">
        <v>1</v>
      </c>
      <c r="AQ2307" s="4">
        <v>2</v>
      </c>
      <c r="AR2307" s="3" t="s">
        <v>63</v>
      </c>
      <c r="AS2307" s="3" t="s">
        <v>63</v>
      </c>
      <c r="AT2307" s="3" t="s">
        <v>63</v>
      </c>
      <c r="AV2307" s="6" t="str">
        <f>HYPERLINK("http://mcgill.on.worldcat.org/oclc/61585991","Catalog Record")</f>
        <v>Catalog Record</v>
      </c>
      <c r="AW2307" s="6" t="str">
        <f>HYPERLINK("http://www.worldcat.org/oclc/61585991","WorldCat Record")</f>
        <v>WorldCat Record</v>
      </c>
      <c r="AX2307" s="3" t="s">
        <v>19345</v>
      </c>
      <c r="AY2307" s="3" t="s">
        <v>19346</v>
      </c>
      <c r="AZ2307" s="3" t="s">
        <v>19347</v>
      </c>
      <c r="BA2307" s="3" t="s">
        <v>19347</v>
      </c>
      <c r="BB2307" s="3" t="s">
        <v>19442</v>
      </c>
      <c r="BC2307" s="3" t="s">
        <v>82</v>
      </c>
      <c r="BD2307" s="3" t="s">
        <v>70</v>
      </c>
      <c r="BF2307" s="3" t="s">
        <v>19442</v>
      </c>
      <c r="BG2307" s="3" t="s">
        <v>19443</v>
      </c>
    </row>
    <row r="2308" spans="1:59" ht="60" x14ac:dyDescent="0.25">
      <c r="A2308" s="2" t="s">
        <v>59</v>
      </c>
      <c r="B2308" s="2" t="s">
        <v>60</v>
      </c>
      <c r="C2308" s="2" t="s">
        <v>19339</v>
      </c>
      <c r="D2308" s="2" t="s">
        <v>19340</v>
      </c>
      <c r="E2308" s="2" t="s">
        <v>19341</v>
      </c>
      <c r="F2308" s="3" t="s">
        <v>19374</v>
      </c>
      <c r="G2308" s="3" t="s">
        <v>62</v>
      </c>
      <c r="I2308" s="3" t="s">
        <v>62</v>
      </c>
      <c r="J2308" s="3" t="s">
        <v>63</v>
      </c>
      <c r="K2308" s="3" t="s">
        <v>64</v>
      </c>
      <c r="L2308" s="2" t="s">
        <v>19343</v>
      </c>
      <c r="M2308" s="2" t="s">
        <v>19344</v>
      </c>
      <c r="N2308" s="3" t="s">
        <v>758</v>
      </c>
      <c r="P2308" s="3" t="s">
        <v>90</v>
      </c>
      <c r="R2308" s="3" t="s">
        <v>67</v>
      </c>
      <c r="S2308" s="4">
        <v>0</v>
      </c>
      <c r="T2308" s="4">
        <v>106</v>
      </c>
      <c r="V2308" s="5" t="s">
        <v>16663</v>
      </c>
      <c r="W2308" s="5" t="s">
        <v>69</v>
      </c>
      <c r="X2308" s="5" t="s">
        <v>69</v>
      </c>
      <c r="Y2308" s="4">
        <v>4</v>
      </c>
      <c r="Z2308" s="4">
        <v>3</v>
      </c>
      <c r="AA2308" s="4">
        <v>4</v>
      </c>
      <c r="AB2308" s="4">
        <v>1</v>
      </c>
      <c r="AC2308" s="4">
        <v>1</v>
      </c>
      <c r="AD2308" s="4">
        <v>2</v>
      </c>
      <c r="AE2308" s="4">
        <v>3</v>
      </c>
      <c r="AF2308" s="4">
        <v>0</v>
      </c>
      <c r="AG2308" s="4">
        <v>0</v>
      </c>
      <c r="AH2308" s="4">
        <v>2</v>
      </c>
      <c r="AI2308" s="4">
        <v>3</v>
      </c>
      <c r="AJ2308" s="4">
        <v>1</v>
      </c>
      <c r="AK2308" s="4">
        <v>2</v>
      </c>
      <c r="AL2308" s="4">
        <v>1</v>
      </c>
      <c r="AM2308" s="4">
        <v>1</v>
      </c>
      <c r="AN2308" s="4">
        <v>0</v>
      </c>
      <c r="AO2308" s="4">
        <v>0</v>
      </c>
      <c r="AP2308" s="4">
        <v>1</v>
      </c>
      <c r="AQ2308" s="4">
        <v>2</v>
      </c>
      <c r="AR2308" s="3" t="s">
        <v>63</v>
      </c>
      <c r="AS2308" s="3" t="s">
        <v>63</v>
      </c>
      <c r="AT2308" s="3" t="s">
        <v>63</v>
      </c>
      <c r="AV2308" s="6" t="str">
        <f>HYPERLINK("http://mcgill.on.worldcat.org/oclc/61585991","Catalog Record")</f>
        <v>Catalog Record</v>
      </c>
      <c r="AW2308" s="6" t="str">
        <f>HYPERLINK("http://www.worldcat.org/oclc/61585991","WorldCat Record")</f>
        <v>WorldCat Record</v>
      </c>
      <c r="AX2308" s="3" t="s">
        <v>19345</v>
      </c>
      <c r="AY2308" s="3" t="s">
        <v>19346</v>
      </c>
      <c r="AZ2308" s="3" t="s">
        <v>19347</v>
      </c>
      <c r="BA2308" s="3" t="s">
        <v>19347</v>
      </c>
      <c r="BB2308" s="3" t="s">
        <v>19444</v>
      </c>
      <c r="BC2308" s="3" t="s">
        <v>82</v>
      </c>
      <c r="BD2308" s="3" t="s">
        <v>70</v>
      </c>
      <c r="BF2308" s="3" t="s">
        <v>19444</v>
      </c>
      <c r="BG2308" s="3" t="s">
        <v>19445</v>
      </c>
    </row>
    <row r="2309" spans="1:59" ht="60" x14ac:dyDescent="0.25">
      <c r="A2309" s="2" t="s">
        <v>59</v>
      </c>
      <c r="B2309" s="2" t="s">
        <v>60</v>
      </c>
      <c r="C2309" s="2" t="s">
        <v>19339</v>
      </c>
      <c r="D2309" s="2" t="s">
        <v>19340</v>
      </c>
      <c r="E2309" s="2" t="s">
        <v>19341</v>
      </c>
      <c r="F2309" s="3" t="s">
        <v>19392</v>
      </c>
      <c r="G2309" s="3" t="s">
        <v>62</v>
      </c>
      <c r="I2309" s="3" t="s">
        <v>62</v>
      </c>
      <c r="J2309" s="3" t="s">
        <v>63</v>
      </c>
      <c r="K2309" s="3" t="s">
        <v>64</v>
      </c>
      <c r="L2309" s="2" t="s">
        <v>19343</v>
      </c>
      <c r="M2309" s="2" t="s">
        <v>19344</v>
      </c>
      <c r="N2309" s="3" t="s">
        <v>758</v>
      </c>
      <c r="P2309" s="3" t="s">
        <v>90</v>
      </c>
      <c r="R2309" s="3" t="s">
        <v>67</v>
      </c>
      <c r="S2309" s="4">
        <v>0</v>
      </c>
      <c r="T2309" s="4">
        <v>106</v>
      </c>
      <c r="V2309" s="5" t="s">
        <v>16663</v>
      </c>
      <c r="W2309" s="5" t="s">
        <v>69</v>
      </c>
      <c r="X2309" s="5" t="s">
        <v>69</v>
      </c>
      <c r="Y2309" s="4">
        <v>4</v>
      </c>
      <c r="Z2309" s="4">
        <v>3</v>
      </c>
      <c r="AA2309" s="4">
        <v>4</v>
      </c>
      <c r="AB2309" s="4">
        <v>1</v>
      </c>
      <c r="AC2309" s="4">
        <v>1</v>
      </c>
      <c r="AD2309" s="4">
        <v>2</v>
      </c>
      <c r="AE2309" s="4">
        <v>3</v>
      </c>
      <c r="AF2309" s="4">
        <v>0</v>
      </c>
      <c r="AG2309" s="4">
        <v>0</v>
      </c>
      <c r="AH2309" s="4">
        <v>2</v>
      </c>
      <c r="AI2309" s="4">
        <v>3</v>
      </c>
      <c r="AJ2309" s="4">
        <v>1</v>
      </c>
      <c r="AK2309" s="4">
        <v>2</v>
      </c>
      <c r="AL2309" s="4">
        <v>1</v>
      </c>
      <c r="AM2309" s="4">
        <v>1</v>
      </c>
      <c r="AN2309" s="4">
        <v>0</v>
      </c>
      <c r="AO2309" s="4">
        <v>0</v>
      </c>
      <c r="AP2309" s="4">
        <v>1</v>
      </c>
      <c r="AQ2309" s="4">
        <v>2</v>
      </c>
      <c r="AR2309" s="3" t="s">
        <v>63</v>
      </c>
      <c r="AS2309" s="3" t="s">
        <v>63</v>
      </c>
      <c r="AT2309" s="3" t="s">
        <v>63</v>
      </c>
      <c r="AV2309" s="6" t="str">
        <f>HYPERLINK("http://mcgill.on.worldcat.org/oclc/61585991","Catalog Record")</f>
        <v>Catalog Record</v>
      </c>
      <c r="AW2309" s="6" t="str">
        <f>HYPERLINK("http://www.worldcat.org/oclc/61585991","WorldCat Record")</f>
        <v>WorldCat Record</v>
      </c>
      <c r="AX2309" s="3" t="s">
        <v>19345</v>
      </c>
      <c r="AY2309" s="3" t="s">
        <v>19346</v>
      </c>
      <c r="AZ2309" s="3" t="s">
        <v>19347</v>
      </c>
      <c r="BA2309" s="3" t="s">
        <v>19347</v>
      </c>
      <c r="BB2309" s="3" t="s">
        <v>19446</v>
      </c>
      <c r="BC2309" s="3" t="s">
        <v>82</v>
      </c>
      <c r="BD2309" s="3" t="s">
        <v>70</v>
      </c>
      <c r="BF2309" s="3" t="s">
        <v>19446</v>
      </c>
      <c r="BG2309" s="3" t="s">
        <v>19447</v>
      </c>
    </row>
    <row r="2310" spans="1:59" ht="60" x14ac:dyDescent="0.25">
      <c r="A2310" s="2" t="s">
        <v>59</v>
      </c>
      <c r="B2310" s="2" t="s">
        <v>60</v>
      </c>
      <c r="C2310" s="2" t="s">
        <v>19339</v>
      </c>
      <c r="D2310" s="2" t="s">
        <v>19340</v>
      </c>
      <c r="E2310" s="2" t="s">
        <v>19341</v>
      </c>
      <c r="F2310" s="3" t="s">
        <v>19385</v>
      </c>
      <c r="G2310" s="3" t="s">
        <v>62</v>
      </c>
      <c r="I2310" s="3" t="s">
        <v>62</v>
      </c>
      <c r="J2310" s="3" t="s">
        <v>63</v>
      </c>
      <c r="K2310" s="3" t="s">
        <v>64</v>
      </c>
      <c r="L2310" s="2" t="s">
        <v>19343</v>
      </c>
      <c r="M2310" s="2" t="s">
        <v>19344</v>
      </c>
      <c r="N2310" s="3" t="s">
        <v>758</v>
      </c>
      <c r="P2310" s="3" t="s">
        <v>90</v>
      </c>
      <c r="R2310" s="3" t="s">
        <v>67</v>
      </c>
      <c r="S2310" s="4">
        <v>0</v>
      </c>
      <c r="T2310" s="4">
        <v>106</v>
      </c>
      <c r="V2310" s="5" t="s">
        <v>16663</v>
      </c>
      <c r="W2310" s="5" t="s">
        <v>69</v>
      </c>
      <c r="X2310" s="5" t="s">
        <v>69</v>
      </c>
      <c r="Y2310" s="4">
        <v>4</v>
      </c>
      <c r="Z2310" s="4">
        <v>3</v>
      </c>
      <c r="AA2310" s="4">
        <v>4</v>
      </c>
      <c r="AB2310" s="4">
        <v>1</v>
      </c>
      <c r="AC2310" s="4">
        <v>1</v>
      </c>
      <c r="AD2310" s="4">
        <v>2</v>
      </c>
      <c r="AE2310" s="4">
        <v>3</v>
      </c>
      <c r="AF2310" s="4">
        <v>0</v>
      </c>
      <c r="AG2310" s="4">
        <v>0</v>
      </c>
      <c r="AH2310" s="4">
        <v>2</v>
      </c>
      <c r="AI2310" s="4">
        <v>3</v>
      </c>
      <c r="AJ2310" s="4">
        <v>1</v>
      </c>
      <c r="AK2310" s="4">
        <v>2</v>
      </c>
      <c r="AL2310" s="4">
        <v>1</v>
      </c>
      <c r="AM2310" s="4">
        <v>1</v>
      </c>
      <c r="AN2310" s="4">
        <v>0</v>
      </c>
      <c r="AO2310" s="4">
        <v>0</v>
      </c>
      <c r="AP2310" s="4">
        <v>1</v>
      </c>
      <c r="AQ2310" s="4">
        <v>2</v>
      </c>
      <c r="AR2310" s="3" t="s">
        <v>63</v>
      </c>
      <c r="AS2310" s="3" t="s">
        <v>63</v>
      </c>
      <c r="AT2310" s="3" t="s">
        <v>63</v>
      </c>
      <c r="AV2310" s="6" t="str">
        <f>HYPERLINK("http://mcgill.on.worldcat.org/oclc/61585991","Catalog Record")</f>
        <v>Catalog Record</v>
      </c>
      <c r="AW2310" s="6" t="str">
        <f>HYPERLINK("http://www.worldcat.org/oclc/61585991","WorldCat Record")</f>
        <v>WorldCat Record</v>
      </c>
      <c r="AX2310" s="3" t="s">
        <v>19345</v>
      </c>
      <c r="AY2310" s="3" t="s">
        <v>19346</v>
      </c>
      <c r="AZ2310" s="3" t="s">
        <v>19347</v>
      </c>
      <c r="BA2310" s="3" t="s">
        <v>19347</v>
      </c>
      <c r="BB2310" s="3" t="s">
        <v>19448</v>
      </c>
      <c r="BC2310" s="3" t="s">
        <v>82</v>
      </c>
      <c r="BD2310" s="3" t="s">
        <v>70</v>
      </c>
      <c r="BF2310" s="3" t="s">
        <v>19448</v>
      </c>
      <c r="BG2310" s="3" t="s">
        <v>19449</v>
      </c>
    </row>
    <row r="2311" spans="1:59" ht="60" x14ac:dyDescent="0.25">
      <c r="A2311" s="2" t="s">
        <v>59</v>
      </c>
      <c r="B2311" s="2" t="s">
        <v>60</v>
      </c>
      <c r="C2311" s="2" t="s">
        <v>19339</v>
      </c>
      <c r="D2311" s="2" t="s">
        <v>19340</v>
      </c>
      <c r="E2311" s="2" t="s">
        <v>19341</v>
      </c>
      <c r="F2311" s="3" t="s">
        <v>19450</v>
      </c>
      <c r="G2311" s="3" t="s">
        <v>62</v>
      </c>
      <c r="I2311" s="3" t="s">
        <v>62</v>
      </c>
      <c r="J2311" s="3" t="s">
        <v>63</v>
      </c>
      <c r="K2311" s="3" t="s">
        <v>64</v>
      </c>
      <c r="L2311" s="2" t="s">
        <v>19343</v>
      </c>
      <c r="M2311" s="2" t="s">
        <v>19344</v>
      </c>
      <c r="N2311" s="3" t="s">
        <v>758</v>
      </c>
      <c r="P2311" s="3" t="s">
        <v>90</v>
      </c>
      <c r="R2311" s="3" t="s">
        <v>67</v>
      </c>
      <c r="S2311" s="4">
        <v>5</v>
      </c>
      <c r="T2311" s="4">
        <v>106</v>
      </c>
      <c r="U2311" s="5" t="s">
        <v>19451</v>
      </c>
      <c r="V2311" s="5" t="s">
        <v>16663</v>
      </c>
      <c r="W2311" s="5" t="s">
        <v>69</v>
      </c>
      <c r="X2311" s="5" t="s">
        <v>69</v>
      </c>
      <c r="Y2311" s="4">
        <v>4</v>
      </c>
      <c r="Z2311" s="4">
        <v>3</v>
      </c>
      <c r="AA2311" s="4">
        <v>4</v>
      </c>
      <c r="AB2311" s="4">
        <v>1</v>
      </c>
      <c r="AC2311" s="4">
        <v>1</v>
      </c>
      <c r="AD2311" s="4">
        <v>2</v>
      </c>
      <c r="AE2311" s="4">
        <v>3</v>
      </c>
      <c r="AF2311" s="4">
        <v>0</v>
      </c>
      <c r="AG2311" s="4">
        <v>0</v>
      </c>
      <c r="AH2311" s="4">
        <v>2</v>
      </c>
      <c r="AI2311" s="4">
        <v>3</v>
      </c>
      <c r="AJ2311" s="4">
        <v>1</v>
      </c>
      <c r="AK2311" s="4">
        <v>2</v>
      </c>
      <c r="AL2311" s="4">
        <v>1</v>
      </c>
      <c r="AM2311" s="4">
        <v>1</v>
      </c>
      <c r="AN2311" s="4">
        <v>0</v>
      </c>
      <c r="AO2311" s="4">
        <v>0</v>
      </c>
      <c r="AP2311" s="4">
        <v>1</v>
      </c>
      <c r="AQ2311" s="4">
        <v>2</v>
      </c>
      <c r="AR2311" s="3" t="s">
        <v>63</v>
      </c>
      <c r="AS2311" s="3" t="s">
        <v>63</v>
      </c>
      <c r="AT2311" s="3" t="s">
        <v>63</v>
      </c>
      <c r="AV2311" s="6" t="str">
        <f>HYPERLINK("http://mcgill.on.worldcat.org/oclc/61585991","Catalog Record")</f>
        <v>Catalog Record</v>
      </c>
      <c r="AW2311" s="6" t="str">
        <f>HYPERLINK("http://www.worldcat.org/oclc/61585991","WorldCat Record")</f>
        <v>WorldCat Record</v>
      </c>
      <c r="AX2311" s="3" t="s">
        <v>19345</v>
      </c>
      <c r="AY2311" s="3" t="s">
        <v>19346</v>
      </c>
      <c r="AZ2311" s="3" t="s">
        <v>19347</v>
      </c>
      <c r="BA2311" s="3" t="s">
        <v>19347</v>
      </c>
      <c r="BB2311" s="3" t="s">
        <v>19452</v>
      </c>
      <c r="BC2311" s="3" t="s">
        <v>82</v>
      </c>
      <c r="BD2311" s="3" t="s">
        <v>70</v>
      </c>
      <c r="BF2311" s="3" t="s">
        <v>19452</v>
      </c>
      <c r="BG2311" s="3" t="s">
        <v>19453</v>
      </c>
    </row>
    <row r="2312" spans="1:59" ht="60" x14ac:dyDescent="0.25">
      <c r="A2312" s="2" t="s">
        <v>59</v>
      </c>
      <c r="B2312" s="2" t="s">
        <v>60</v>
      </c>
      <c r="C2312" s="2" t="s">
        <v>19339</v>
      </c>
      <c r="D2312" s="2" t="s">
        <v>19340</v>
      </c>
      <c r="E2312" s="2" t="s">
        <v>19341</v>
      </c>
      <c r="F2312" s="3" t="s">
        <v>19454</v>
      </c>
      <c r="G2312" s="3" t="s">
        <v>62</v>
      </c>
      <c r="I2312" s="3" t="s">
        <v>62</v>
      </c>
      <c r="J2312" s="3" t="s">
        <v>63</v>
      </c>
      <c r="K2312" s="3" t="s">
        <v>64</v>
      </c>
      <c r="L2312" s="2" t="s">
        <v>19343</v>
      </c>
      <c r="M2312" s="2" t="s">
        <v>19344</v>
      </c>
      <c r="N2312" s="3" t="s">
        <v>758</v>
      </c>
      <c r="P2312" s="3" t="s">
        <v>90</v>
      </c>
      <c r="R2312" s="3" t="s">
        <v>67</v>
      </c>
      <c r="S2312" s="4">
        <v>0</v>
      </c>
      <c r="T2312" s="4">
        <v>106</v>
      </c>
      <c r="V2312" s="5" t="s">
        <v>16663</v>
      </c>
      <c r="W2312" s="5" t="s">
        <v>69</v>
      </c>
      <c r="X2312" s="5" t="s">
        <v>69</v>
      </c>
      <c r="Y2312" s="4">
        <v>4</v>
      </c>
      <c r="Z2312" s="4">
        <v>3</v>
      </c>
      <c r="AA2312" s="4">
        <v>4</v>
      </c>
      <c r="AB2312" s="4">
        <v>1</v>
      </c>
      <c r="AC2312" s="4">
        <v>1</v>
      </c>
      <c r="AD2312" s="4">
        <v>2</v>
      </c>
      <c r="AE2312" s="4">
        <v>3</v>
      </c>
      <c r="AF2312" s="4">
        <v>0</v>
      </c>
      <c r="AG2312" s="4">
        <v>0</v>
      </c>
      <c r="AH2312" s="4">
        <v>2</v>
      </c>
      <c r="AI2312" s="4">
        <v>3</v>
      </c>
      <c r="AJ2312" s="4">
        <v>1</v>
      </c>
      <c r="AK2312" s="4">
        <v>2</v>
      </c>
      <c r="AL2312" s="4">
        <v>1</v>
      </c>
      <c r="AM2312" s="4">
        <v>1</v>
      </c>
      <c r="AN2312" s="4">
        <v>0</v>
      </c>
      <c r="AO2312" s="4">
        <v>0</v>
      </c>
      <c r="AP2312" s="4">
        <v>1</v>
      </c>
      <c r="AQ2312" s="4">
        <v>2</v>
      </c>
      <c r="AR2312" s="3" t="s">
        <v>63</v>
      </c>
      <c r="AS2312" s="3" t="s">
        <v>63</v>
      </c>
      <c r="AT2312" s="3" t="s">
        <v>63</v>
      </c>
      <c r="AV2312" s="6" t="str">
        <f>HYPERLINK("http://mcgill.on.worldcat.org/oclc/61585991","Catalog Record")</f>
        <v>Catalog Record</v>
      </c>
      <c r="AW2312" s="6" t="str">
        <f>HYPERLINK("http://www.worldcat.org/oclc/61585991","WorldCat Record")</f>
        <v>WorldCat Record</v>
      </c>
      <c r="AX2312" s="3" t="s">
        <v>19345</v>
      </c>
      <c r="AY2312" s="3" t="s">
        <v>19346</v>
      </c>
      <c r="AZ2312" s="3" t="s">
        <v>19347</v>
      </c>
      <c r="BA2312" s="3" t="s">
        <v>19347</v>
      </c>
      <c r="BB2312" s="3" t="s">
        <v>19455</v>
      </c>
      <c r="BC2312" s="3" t="s">
        <v>82</v>
      </c>
      <c r="BD2312" s="3" t="s">
        <v>70</v>
      </c>
      <c r="BF2312" s="3" t="s">
        <v>19455</v>
      </c>
      <c r="BG2312" s="3" t="s">
        <v>19456</v>
      </c>
    </row>
    <row r="2313" spans="1:59" ht="60" x14ac:dyDescent="0.25">
      <c r="A2313" s="2" t="s">
        <v>59</v>
      </c>
      <c r="B2313" s="2" t="s">
        <v>60</v>
      </c>
      <c r="C2313" s="2" t="s">
        <v>19339</v>
      </c>
      <c r="D2313" s="2" t="s">
        <v>19340</v>
      </c>
      <c r="E2313" s="2" t="s">
        <v>19341</v>
      </c>
      <c r="F2313" s="3" t="s">
        <v>19413</v>
      </c>
      <c r="G2313" s="3" t="s">
        <v>62</v>
      </c>
      <c r="I2313" s="3" t="s">
        <v>62</v>
      </c>
      <c r="J2313" s="3" t="s">
        <v>63</v>
      </c>
      <c r="K2313" s="3" t="s">
        <v>64</v>
      </c>
      <c r="L2313" s="2" t="s">
        <v>19343</v>
      </c>
      <c r="M2313" s="2" t="s">
        <v>19344</v>
      </c>
      <c r="N2313" s="3" t="s">
        <v>758</v>
      </c>
      <c r="P2313" s="3" t="s">
        <v>90</v>
      </c>
      <c r="R2313" s="3" t="s">
        <v>67</v>
      </c>
      <c r="S2313" s="4">
        <v>0</v>
      </c>
      <c r="T2313" s="4">
        <v>106</v>
      </c>
      <c r="V2313" s="5" t="s">
        <v>16663</v>
      </c>
      <c r="W2313" s="5" t="s">
        <v>69</v>
      </c>
      <c r="X2313" s="5" t="s">
        <v>69</v>
      </c>
      <c r="Y2313" s="4">
        <v>4</v>
      </c>
      <c r="Z2313" s="4">
        <v>3</v>
      </c>
      <c r="AA2313" s="4">
        <v>4</v>
      </c>
      <c r="AB2313" s="4">
        <v>1</v>
      </c>
      <c r="AC2313" s="4">
        <v>1</v>
      </c>
      <c r="AD2313" s="4">
        <v>2</v>
      </c>
      <c r="AE2313" s="4">
        <v>3</v>
      </c>
      <c r="AF2313" s="4">
        <v>0</v>
      </c>
      <c r="AG2313" s="4">
        <v>0</v>
      </c>
      <c r="AH2313" s="4">
        <v>2</v>
      </c>
      <c r="AI2313" s="4">
        <v>3</v>
      </c>
      <c r="AJ2313" s="4">
        <v>1</v>
      </c>
      <c r="AK2313" s="4">
        <v>2</v>
      </c>
      <c r="AL2313" s="4">
        <v>1</v>
      </c>
      <c r="AM2313" s="4">
        <v>1</v>
      </c>
      <c r="AN2313" s="4">
        <v>0</v>
      </c>
      <c r="AO2313" s="4">
        <v>0</v>
      </c>
      <c r="AP2313" s="4">
        <v>1</v>
      </c>
      <c r="AQ2313" s="4">
        <v>2</v>
      </c>
      <c r="AR2313" s="3" t="s">
        <v>63</v>
      </c>
      <c r="AS2313" s="3" t="s">
        <v>63</v>
      </c>
      <c r="AT2313" s="3" t="s">
        <v>63</v>
      </c>
      <c r="AV2313" s="6" t="str">
        <f>HYPERLINK("http://mcgill.on.worldcat.org/oclc/61585991","Catalog Record")</f>
        <v>Catalog Record</v>
      </c>
      <c r="AW2313" s="6" t="str">
        <f>HYPERLINK("http://www.worldcat.org/oclc/61585991","WorldCat Record")</f>
        <v>WorldCat Record</v>
      </c>
      <c r="AX2313" s="3" t="s">
        <v>19345</v>
      </c>
      <c r="AY2313" s="3" t="s">
        <v>19346</v>
      </c>
      <c r="AZ2313" s="3" t="s">
        <v>19347</v>
      </c>
      <c r="BA2313" s="3" t="s">
        <v>19347</v>
      </c>
      <c r="BB2313" s="3" t="s">
        <v>19457</v>
      </c>
      <c r="BC2313" s="3" t="s">
        <v>82</v>
      </c>
      <c r="BD2313" s="3" t="s">
        <v>70</v>
      </c>
      <c r="BF2313" s="3" t="s">
        <v>19457</v>
      </c>
      <c r="BG2313" s="3" t="s">
        <v>19458</v>
      </c>
    </row>
    <row r="2314" spans="1:59" ht="60" x14ac:dyDescent="0.25">
      <c r="A2314" s="2" t="s">
        <v>59</v>
      </c>
      <c r="B2314" s="2" t="s">
        <v>60</v>
      </c>
      <c r="C2314" s="2" t="s">
        <v>19339</v>
      </c>
      <c r="D2314" s="2" t="s">
        <v>19340</v>
      </c>
      <c r="E2314" s="2" t="s">
        <v>19341</v>
      </c>
      <c r="F2314" s="3" t="s">
        <v>19342</v>
      </c>
      <c r="G2314" s="3" t="s">
        <v>62</v>
      </c>
      <c r="I2314" s="3" t="s">
        <v>62</v>
      </c>
      <c r="J2314" s="3" t="s">
        <v>63</v>
      </c>
      <c r="K2314" s="3" t="s">
        <v>64</v>
      </c>
      <c r="L2314" s="2" t="s">
        <v>19343</v>
      </c>
      <c r="M2314" s="2" t="s">
        <v>19344</v>
      </c>
      <c r="N2314" s="3" t="s">
        <v>758</v>
      </c>
      <c r="P2314" s="3" t="s">
        <v>90</v>
      </c>
      <c r="R2314" s="3" t="s">
        <v>67</v>
      </c>
      <c r="S2314" s="4">
        <v>0</v>
      </c>
      <c r="T2314" s="4">
        <v>106</v>
      </c>
      <c r="V2314" s="5" t="s">
        <v>16663</v>
      </c>
      <c r="W2314" s="5" t="s">
        <v>69</v>
      </c>
      <c r="X2314" s="5" t="s">
        <v>69</v>
      </c>
      <c r="Y2314" s="4">
        <v>4</v>
      </c>
      <c r="Z2314" s="4">
        <v>3</v>
      </c>
      <c r="AA2314" s="4">
        <v>4</v>
      </c>
      <c r="AB2314" s="4">
        <v>1</v>
      </c>
      <c r="AC2314" s="4">
        <v>1</v>
      </c>
      <c r="AD2314" s="4">
        <v>2</v>
      </c>
      <c r="AE2314" s="4">
        <v>3</v>
      </c>
      <c r="AF2314" s="4">
        <v>0</v>
      </c>
      <c r="AG2314" s="4">
        <v>0</v>
      </c>
      <c r="AH2314" s="4">
        <v>2</v>
      </c>
      <c r="AI2314" s="4">
        <v>3</v>
      </c>
      <c r="AJ2314" s="4">
        <v>1</v>
      </c>
      <c r="AK2314" s="4">
        <v>2</v>
      </c>
      <c r="AL2314" s="4">
        <v>1</v>
      </c>
      <c r="AM2314" s="4">
        <v>1</v>
      </c>
      <c r="AN2314" s="4">
        <v>0</v>
      </c>
      <c r="AO2314" s="4">
        <v>0</v>
      </c>
      <c r="AP2314" s="4">
        <v>1</v>
      </c>
      <c r="AQ2314" s="4">
        <v>2</v>
      </c>
      <c r="AR2314" s="3" t="s">
        <v>63</v>
      </c>
      <c r="AS2314" s="3" t="s">
        <v>63</v>
      </c>
      <c r="AT2314" s="3" t="s">
        <v>63</v>
      </c>
      <c r="AV2314" s="6" t="str">
        <f>HYPERLINK("http://mcgill.on.worldcat.org/oclc/61585991","Catalog Record")</f>
        <v>Catalog Record</v>
      </c>
      <c r="AW2314" s="6" t="str">
        <f>HYPERLINK("http://www.worldcat.org/oclc/61585991","WorldCat Record")</f>
        <v>WorldCat Record</v>
      </c>
      <c r="AX2314" s="3" t="s">
        <v>19345</v>
      </c>
      <c r="AY2314" s="3" t="s">
        <v>19346</v>
      </c>
      <c r="AZ2314" s="3" t="s">
        <v>19347</v>
      </c>
      <c r="BA2314" s="3" t="s">
        <v>19347</v>
      </c>
      <c r="BB2314" s="3" t="s">
        <v>19459</v>
      </c>
      <c r="BC2314" s="3" t="s">
        <v>82</v>
      </c>
      <c r="BD2314" s="3" t="s">
        <v>70</v>
      </c>
      <c r="BF2314" s="3" t="s">
        <v>19459</v>
      </c>
      <c r="BG2314" s="3" t="s">
        <v>19460</v>
      </c>
    </row>
    <row r="2315" spans="1:59" ht="60" x14ac:dyDescent="0.25">
      <c r="A2315" s="2" t="s">
        <v>59</v>
      </c>
      <c r="B2315" s="2" t="s">
        <v>60</v>
      </c>
      <c r="C2315" s="2" t="s">
        <v>19339</v>
      </c>
      <c r="D2315" s="2" t="s">
        <v>19340</v>
      </c>
      <c r="E2315" s="2" t="s">
        <v>19341</v>
      </c>
      <c r="F2315" s="3" t="s">
        <v>19461</v>
      </c>
      <c r="G2315" s="3" t="s">
        <v>62</v>
      </c>
      <c r="I2315" s="3" t="s">
        <v>62</v>
      </c>
      <c r="J2315" s="3" t="s">
        <v>63</v>
      </c>
      <c r="K2315" s="3" t="s">
        <v>64</v>
      </c>
      <c r="L2315" s="2" t="s">
        <v>19343</v>
      </c>
      <c r="M2315" s="2" t="s">
        <v>19344</v>
      </c>
      <c r="N2315" s="3" t="s">
        <v>758</v>
      </c>
      <c r="P2315" s="3" t="s">
        <v>90</v>
      </c>
      <c r="R2315" s="3" t="s">
        <v>67</v>
      </c>
      <c r="S2315" s="4">
        <v>0</v>
      </c>
      <c r="T2315" s="4">
        <v>106</v>
      </c>
      <c r="V2315" s="5" t="s">
        <v>16663</v>
      </c>
      <c r="W2315" s="5" t="s">
        <v>69</v>
      </c>
      <c r="X2315" s="5" t="s">
        <v>69</v>
      </c>
      <c r="Y2315" s="4">
        <v>4</v>
      </c>
      <c r="Z2315" s="4">
        <v>3</v>
      </c>
      <c r="AA2315" s="4">
        <v>4</v>
      </c>
      <c r="AB2315" s="4">
        <v>1</v>
      </c>
      <c r="AC2315" s="4">
        <v>1</v>
      </c>
      <c r="AD2315" s="4">
        <v>2</v>
      </c>
      <c r="AE2315" s="4">
        <v>3</v>
      </c>
      <c r="AF2315" s="4">
        <v>0</v>
      </c>
      <c r="AG2315" s="4">
        <v>0</v>
      </c>
      <c r="AH2315" s="4">
        <v>2</v>
      </c>
      <c r="AI2315" s="4">
        <v>3</v>
      </c>
      <c r="AJ2315" s="4">
        <v>1</v>
      </c>
      <c r="AK2315" s="4">
        <v>2</v>
      </c>
      <c r="AL2315" s="4">
        <v>1</v>
      </c>
      <c r="AM2315" s="4">
        <v>1</v>
      </c>
      <c r="AN2315" s="4">
        <v>0</v>
      </c>
      <c r="AO2315" s="4">
        <v>0</v>
      </c>
      <c r="AP2315" s="4">
        <v>1</v>
      </c>
      <c r="AQ2315" s="4">
        <v>2</v>
      </c>
      <c r="AR2315" s="3" t="s">
        <v>63</v>
      </c>
      <c r="AS2315" s="3" t="s">
        <v>63</v>
      </c>
      <c r="AT2315" s="3" t="s">
        <v>63</v>
      </c>
      <c r="AV2315" s="6" t="str">
        <f>HYPERLINK("http://mcgill.on.worldcat.org/oclc/61585991","Catalog Record")</f>
        <v>Catalog Record</v>
      </c>
      <c r="AW2315" s="6" t="str">
        <f>HYPERLINK("http://www.worldcat.org/oclc/61585991","WorldCat Record")</f>
        <v>WorldCat Record</v>
      </c>
      <c r="AX2315" s="3" t="s">
        <v>19345</v>
      </c>
      <c r="AY2315" s="3" t="s">
        <v>19346</v>
      </c>
      <c r="AZ2315" s="3" t="s">
        <v>19347</v>
      </c>
      <c r="BA2315" s="3" t="s">
        <v>19347</v>
      </c>
      <c r="BB2315" s="3" t="s">
        <v>19462</v>
      </c>
      <c r="BC2315" s="3" t="s">
        <v>82</v>
      </c>
      <c r="BD2315" s="3" t="s">
        <v>70</v>
      </c>
      <c r="BF2315" s="3" t="s">
        <v>19462</v>
      </c>
      <c r="BG2315" s="3" t="s">
        <v>19463</v>
      </c>
    </row>
    <row r="2316" spans="1:59" ht="60" x14ac:dyDescent="0.25">
      <c r="A2316" s="2" t="s">
        <v>59</v>
      </c>
      <c r="B2316" s="2" t="s">
        <v>60</v>
      </c>
      <c r="C2316" s="2" t="s">
        <v>19339</v>
      </c>
      <c r="D2316" s="2" t="s">
        <v>19340</v>
      </c>
      <c r="E2316" s="2" t="s">
        <v>19341</v>
      </c>
      <c r="F2316" s="3" t="s">
        <v>19461</v>
      </c>
      <c r="G2316" s="3" t="s">
        <v>62</v>
      </c>
      <c r="I2316" s="3" t="s">
        <v>62</v>
      </c>
      <c r="J2316" s="3" t="s">
        <v>63</v>
      </c>
      <c r="K2316" s="3" t="s">
        <v>64</v>
      </c>
      <c r="L2316" s="2" t="s">
        <v>19343</v>
      </c>
      <c r="M2316" s="2" t="s">
        <v>19344</v>
      </c>
      <c r="N2316" s="3" t="s">
        <v>758</v>
      </c>
      <c r="P2316" s="3" t="s">
        <v>90</v>
      </c>
      <c r="R2316" s="3" t="s">
        <v>67</v>
      </c>
      <c r="S2316" s="4">
        <v>0</v>
      </c>
      <c r="T2316" s="4">
        <v>106</v>
      </c>
      <c r="V2316" s="5" t="s">
        <v>16663</v>
      </c>
      <c r="W2316" s="5" t="s">
        <v>69</v>
      </c>
      <c r="X2316" s="5" t="s">
        <v>69</v>
      </c>
      <c r="Y2316" s="4">
        <v>4</v>
      </c>
      <c r="Z2316" s="4">
        <v>3</v>
      </c>
      <c r="AA2316" s="4">
        <v>4</v>
      </c>
      <c r="AB2316" s="4">
        <v>1</v>
      </c>
      <c r="AC2316" s="4">
        <v>1</v>
      </c>
      <c r="AD2316" s="4">
        <v>2</v>
      </c>
      <c r="AE2316" s="4">
        <v>3</v>
      </c>
      <c r="AF2316" s="4">
        <v>0</v>
      </c>
      <c r="AG2316" s="4">
        <v>0</v>
      </c>
      <c r="AH2316" s="4">
        <v>2</v>
      </c>
      <c r="AI2316" s="4">
        <v>3</v>
      </c>
      <c r="AJ2316" s="4">
        <v>1</v>
      </c>
      <c r="AK2316" s="4">
        <v>2</v>
      </c>
      <c r="AL2316" s="4">
        <v>1</v>
      </c>
      <c r="AM2316" s="4">
        <v>1</v>
      </c>
      <c r="AN2316" s="4">
        <v>0</v>
      </c>
      <c r="AO2316" s="4">
        <v>0</v>
      </c>
      <c r="AP2316" s="4">
        <v>1</v>
      </c>
      <c r="AQ2316" s="4">
        <v>2</v>
      </c>
      <c r="AR2316" s="3" t="s">
        <v>63</v>
      </c>
      <c r="AS2316" s="3" t="s">
        <v>63</v>
      </c>
      <c r="AT2316" s="3" t="s">
        <v>63</v>
      </c>
      <c r="AV2316" s="6" t="str">
        <f>HYPERLINK("http://mcgill.on.worldcat.org/oclc/61585991","Catalog Record")</f>
        <v>Catalog Record</v>
      </c>
      <c r="AW2316" s="6" t="str">
        <f>HYPERLINK("http://www.worldcat.org/oclc/61585991","WorldCat Record")</f>
        <v>WorldCat Record</v>
      </c>
      <c r="AX2316" s="3" t="s">
        <v>19345</v>
      </c>
      <c r="AY2316" s="3" t="s">
        <v>19346</v>
      </c>
      <c r="AZ2316" s="3" t="s">
        <v>19347</v>
      </c>
      <c r="BA2316" s="3" t="s">
        <v>19347</v>
      </c>
      <c r="BB2316" s="3" t="s">
        <v>19464</v>
      </c>
      <c r="BC2316" s="3" t="s">
        <v>82</v>
      </c>
      <c r="BD2316" s="3" t="s">
        <v>70</v>
      </c>
      <c r="BF2316" s="3" t="s">
        <v>19464</v>
      </c>
      <c r="BG2316" s="3" t="s">
        <v>19465</v>
      </c>
    </row>
    <row r="2317" spans="1:59" ht="60" x14ac:dyDescent="0.25">
      <c r="A2317" s="2" t="s">
        <v>59</v>
      </c>
      <c r="B2317" s="2" t="s">
        <v>60</v>
      </c>
      <c r="C2317" s="2" t="s">
        <v>19339</v>
      </c>
      <c r="D2317" s="2" t="s">
        <v>19340</v>
      </c>
      <c r="E2317" s="2" t="s">
        <v>19341</v>
      </c>
      <c r="F2317" s="3" t="s">
        <v>15318</v>
      </c>
      <c r="G2317" s="3" t="s">
        <v>62</v>
      </c>
      <c r="I2317" s="3" t="s">
        <v>62</v>
      </c>
      <c r="J2317" s="3" t="s">
        <v>63</v>
      </c>
      <c r="K2317" s="3" t="s">
        <v>64</v>
      </c>
      <c r="L2317" s="2" t="s">
        <v>19343</v>
      </c>
      <c r="M2317" s="2" t="s">
        <v>19344</v>
      </c>
      <c r="N2317" s="3" t="s">
        <v>758</v>
      </c>
      <c r="P2317" s="3" t="s">
        <v>90</v>
      </c>
      <c r="R2317" s="3" t="s">
        <v>67</v>
      </c>
      <c r="S2317" s="4">
        <v>1</v>
      </c>
      <c r="T2317" s="4">
        <v>106</v>
      </c>
      <c r="U2317" s="5" t="s">
        <v>19466</v>
      </c>
      <c r="V2317" s="5" t="s">
        <v>16663</v>
      </c>
      <c r="W2317" s="5" t="s">
        <v>69</v>
      </c>
      <c r="X2317" s="5" t="s">
        <v>69</v>
      </c>
      <c r="Y2317" s="4">
        <v>4</v>
      </c>
      <c r="Z2317" s="4">
        <v>3</v>
      </c>
      <c r="AA2317" s="4">
        <v>4</v>
      </c>
      <c r="AB2317" s="4">
        <v>1</v>
      </c>
      <c r="AC2317" s="4">
        <v>1</v>
      </c>
      <c r="AD2317" s="4">
        <v>2</v>
      </c>
      <c r="AE2317" s="4">
        <v>3</v>
      </c>
      <c r="AF2317" s="4">
        <v>0</v>
      </c>
      <c r="AG2317" s="4">
        <v>0</v>
      </c>
      <c r="AH2317" s="4">
        <v>2</v>
      </c>
      <c r="AI2317" s="4">
        <v>3</v>
      </c>
      <c r="AJ2317" s="4">
        <v>1</v>
      </c>
      <c r="AK2317" s="4">
        <v>2</v>
      </c>
      <c r="AL2317" s="4">
        <v>1</v>
      </c>
      <c r="AM2317" s="4">
        <v>1</v>
      </c>
      <c r="AN2317" s="4">
        <v>0</v>
      </c>
      <c r="AO2317" s="4">
        <v>0</v>
      </c>
      <c r="AP2317" s="4">
        <v>1</v>
      </c>
      <c r="AQ2317" s="4">
        <v>2</v>
      </c>
      <c r="AR2317" s="3" t="s">
        <v>63</v>
      </c>
      <c r="AS2317" s="3" t="s">
        <v>63</v>
      </c>
      <c r="AT2317" s="3" t="s">
        <v>63</v>
      </c>
      <c r="AV2317" s="6" t="str">
        <f>HYPERLINK("http://mcgill.on.worldcat.org/oclc/61585991","Catalog Record")</f>
        <v>Catalog Record</v>
      </c>
      <c r="AW2317" s="6" t="str">
        <f>HYPERLINK("http://www.worldcat.org/oclc/61585991","WorldCat Record")</f>
        <v>WorldCat Record</v>
      </c>
      <c r="AX2317" s="3" t="s">
        <v>19345</v>
      </c>
      <c r="AY2317" s="3" t="s">
        <v>19346</v>
      </c>
      <c r="AZ2317" s="3" t="s">
        <v>19347</v>
      </c>
      <c r="BA2317" s="3" t="s">
        <v>19347</v>
      </c>
      <c r="BB2317" s="3" t="s">
        <v>19467</v>
      </c>
      <c r="BC2317" s="3" t="s">
        <v>82</v>
      </c>
      <c r="BD2317" s="3" t="s">
        <v>70</v>
      </c>
      <c r="BF2317" s="3" t="s">
        <v>19467</v>
      </c>
      <c r="BG2317" s="3" t="s">
        <v>19468</v>
      </c>
    </row>
    <row r="2318" spans="1:59" ht="60" x14ac:dyDescent="0.25">
      <c r="A2318" s="2" t="s">
        <v>59</v>
      </c>
      <c r="B2318" s="2" t="s">
        <v>60</v>
      </c>
      <c r="C2318" s="2" t="s">
        <v>19339</v>
      </c>
      <c r="D2318" s="2" t="s">
        <v>19340</v>
      </c>
      <c r="E2318" s="2" t="s">
        <v>19341</v>
      </c>
      <c r="F2318" s="3" t="s">
        <v>19454</v>
      </c>
      <c r="G2318" s="3" t="s">
        <v>62</v>
      </c>
      <c r="I2318" s="3" t="s">
        <v>62</v>
      </c>
      <c r="J2318" s="3" t="s">
        <v>63</v>
      </c>
      <c r="K2318" s="3" t="s">
        <v>64</v>
      </c>
      <c r="L2318" s="2" t="s">
        <v>19343</v>
      </c>
      <c r="M2318" s="2" t="s">
        <v>19344</v>
      </c>
      <c r="N2318" s="3" t="s">
        <v>758</v>
      </c>
      <c r="P2318" s="3" t="s">
        <v>90</v>
      </c>
      <c r="R2318" s="3" t="s">
        <v>67</v>
      </c>
      <c r="S2318" s="4">
        <v>0</v>
      </c>
      <c r="T2318" s="4">
        <v>106</v>
      </c>
      <c r="V2318" s="5" t="s">
        <v>16663</v>
      </c>
      <c r="W2318" s="5" t="s">
        <v>69</v>
      </c>
      <c r="X2318" s="5" t="s">
        <v>69</v>
      </c>
      <c r="Y2318" s="4">
        <v>4</v>
      </c>
      <c r="Z2318" s="4">
        <v>3</v>
      </c>
      <c r="AA2318" s="4">
        <v>4</v>
      </c>
      <c r="AB2318" s="4">
        <v>1</v>
      </c>
      <c r="AC2318" s="4">
        <v>1</v>
      </c>
      <c r="AD2318" s="4">
        <v>2</v>
      </c>
      <c r="AE2318" s="4">
        <v>3</v>
      </c>
      <c r="AF2318" s="4">
        <v>0</v>
      </c>
      <c r="AG2318" s="4">
        <v>0</v>
      </c>
      <c r="AH2318" s="4">
        <v>2</v>
      </c>
      <c r="AI2318" s="4">
        <v>3</v>
      </c>
      <c r="AJ2318" s="4">
        <v>1</v>
      </c>
      <c r="AK2318" s="4">
        <v>2</v>
      </c>
      <c r="AL2318" s="4">
        <v>1</v>
      </c>
      <c r="AM2318" s="4">
        <v>1</v>
      </c>
      <c r="AN2318" s="4">
        <v>0</v>
      </c>
      <c r="AO2318" s="4">
        <v>0</v>
      </c>
      <c r="AP2318" s="4">
        <v>1</v>
      </c>
      <c r="AQ2318" s="4">
        <v>2</v>
      </c>
      <c r="AR2318" s="3" t="s">
        <v>63</v>
      </c>
      <c r="AS2318" s="3" t="s">
        <v>63</v>
      </c>
      <c r="AT2318" s="3" t="s">
        <v>63</v>
      </c>
      <c r="AV2318" s="6" t="str">
        <f>HYPERLINK("http://mcgill.on.worldcat.org/oclc/61585991","Catalog Record")</f>
        <v>Catalog Record</v>
      </c>
      <c r="AW2318" s="6" t="str">
        <f>HYPERLINK("http://www.worldcat.org/oclc/61585991","WorldCat Record")</f>
        <v>WorldCat Record</v>
      </c>
      <c r="AX2318" s="3" t="s">
        <v>19345</v>
      </c>
      <c r="AY2318" s="3" t="s">
        <v>19346</v>
      </c>
      <c r="AZ2318" s="3" t="s">
        <v>19347</v>
      </c>
      <c r="BA2318" s="3" t="s">
        <v>19347</v>
      </c>
      <c r="BB2318" s="3" t="s">
        <v>19469</v>
      </c>
      <c r="BC2318" s="3" t="s">
        <v>82</v>
      </c>
      <c r="BD2318" s="3" t="s">
        <v>70</v>
      </c>
      <c r="BF2318" s="3" t="s">
        <v>19469</v>
      </c>
      <c r="BG2318" s="3" t="s">
        <v>19470</v>
      </c>
    </row>
    <row r="2319" spans="1:59" ht="60" x14ac:dyDescent="0.25">
      <c r="A2319" s="2" t="s">
        <v>59</v>
      </c>
      <c r="B2319" s="2" t="s">
        <v>60</v>
      </c>
      <c r="C2319" s="2" t="s">
        <v>19339</v>
      </c>
      <c r="D2319" s="2" t="s">
        <v>19340</v>
      </c>
      <c r="E2319" s="2" t="s">
        <v>19341</v>
      </c>
      <c r="F2319" s="3" t="s">
        <v>19471</v>
      </c>
      <c r="G2319" s="3" t="s">
        <v>62</v>
      </c>
      <c r="I2319" s="3" t="s">
        <v>62</v>
      </c>
      <c r="J2319" s="3" t="s">
        <v>63</v>
      </c>
      <c r="K2319" s="3" t="s">
        <v>64</v>
      </c>
      <c r="L2319" s="2" t="s">
        <v>19343</v>
      </c>
      <c r="M2319" s="2" t="s">
        <v>19344</v>
      </c>
      <c r="N2319" s="3" t="s">
        <v>758</v>
      </c>
      <c r="P2319" s="3" t="s">
        <v>90</v>
      </c>
      <c r="R2319" s="3" t="s">
        <v>67</v>
      </c>
      <c r="S2319" s="4">
        <v>4</v>
      </c>
      <c r="T2319" s="4">
        <v>106</v>
      </c>
      <c r="U2319" s="5" t="s">
        <v>7280</v>
      </c>
      <c r="V2319" s="5" t="s">
        <v>16663</v>
      </c>
      <c r="W2319" s="5" t="s">
        <v>69</v>
      </c>
      <c r="X2319" s="5" t="s">
        <v>69</v>
      </c>
      <c r="Y2319" s="4">
        <v>4</v>
      </c>
      <c r="Z2319" s="4">
        <v>3</v>
      </c>
      <c r="AA2319" s="4">
        <v>4</v>
      </c>
      <c r="AB2319" s="4">
        <v>1</v>
      </c>
      <c r="AC2319" s="4">
        <v>1</v>
      </c>
      <c r="AD2319" s="4">
        <v>2</v>
      </c>
      <c r="AE2319" s="4">
        <v>3</v>
      </c>
      <c r="AF2319" s="4">
        <v>0</v>
      </c>
      <c r="AG2319" s="4">
        <v>0</v>
      </c>
      <c r="AH2319" s="4">
        <v>2</v>
      </c>
      <c r="AI2319" s="4">
        <v>3</v>
      </c>
      <c r="AJ2319" s="4">
        <v>1</v>
      </c>
      <c r="AK2319" s="4">
        <v>2</v>
      </c>
      <c r="AL2319" s="4">
        <v>1</v>
      </c>
      <c r="AM2319" s="4">
        <v>1</v>
      </c>
      <c r="AN2319" s="4">
        <v>0</v>
      </c>
      <c r="AO2319" s="4">
        <v>0</v>
      </c>
      <c r="AP2319" s="4">
        <v>1</v>
      </c>
      <c r="AQ2319" s="4">
        <v>2</v>
      </c>
      <c r="AR2319" s="3" t="s">
        <v>63</v>
      </c>
      <c r="AS2319" s="3" t="s">
        <v>63</v>
      </c>
      <c r="AT2319" s="3" t="s">
        <v>63</v>
      </c>
      <c r="AV2319" s="6" t="str">
        <f>HYPERLINK("http://mcgill.on.worldcat.org/oclc/61585991","Catalog Record")</f>
        <v>Catalog Record</v>
      </c>
      <c r="AW2319" s="6" t="str">
        <f>HYPERLINK("http://www.worldcat.org/oclc/61585991","WorldCat Record")</f>
        <v>WorldCat Record</v>
      </c>
      <c r="AX2319" s="3" t="s">
        <v>19345</v>
      </c>
      <c r="AY2319" s="3" t="s">
        <v>19346</v>
      </c>
      <c r="AZ2319" s="3" t="s">
        <v>19347</v>
      </c>
      <c r="BA2319" s="3" t="s">
        <v>19347</v>
      </c>
      <c r="BB2319" s="3" t="s">
        <v>19472</v>
      </c>
      <c r="BC2319" s="3" t="s">
        <v>82</v>
      </c>
      <c r="BD2319" s="3" t="s">
        <v>70</v>
      </c>
      <c r="BF2319" s="3" t="s">
        <v>19472</v>
      </c>
      <c r="BG2319" s="3" t="s">
        <v>19473</v>
      </c>
    </row>
    <row r="2320" spans="1:59" ht="60" x14ac:dyDescent="0.25">
      <c r="A2320" s="2" t="s">
        <v>59</v>
      </c>
      <c r="B2320" s="2" t="s">
        <v>60</v>
      </c>
      <c r="C2320" s="2" t="s">
        <v>19339</v>
      </c>
      <c r="D2320" s="2" t="s">
        <v>19340</v>
      </c>
      <c r="E2320" s="2" t="s">
        <v>19341</v>
      </c>
      <c r="F2320" s="3" t="s">
        <v>19474</v>
      </c>
      <c r="G2320" s="3" t="s">
        <v>62</v>
      </c>
      <c r="I2320" s="3" t="s">
        <v>62</v>
      </c>
      <c r="J2320" s="3" t="s">
        <v>63</v>
      </c>
      <c r="K2320" s="3" t="s">
        <v>64</v>
      </c>
      <c r="L2320" s="2" t="s">
        <v>19343</v>
      </c>
      <c r="M2320" s="2" t="s">
        <v>19344</v>
      </c>
      <c r="N2320" s="3" t="s">
        <v>758</v>
      </c>
      <c r="P2320" s="3" t="s">
        <v>90</v>
      </c>
      <c r="R2320" s="3" t="s">
        <v>67</v>
      </c>
      <c r="S2320" s="4">
        <v>0</v>
      </c>
      <c r="T2320" s="4">
        <v>106</v>
      </c>
      <c r="V2320" s="5" t="s">
        <v>16663</v>
      </c>
      <c r="W2320" s="5" t="s">
        <v>69</v>
      </c>
      <c r="X2320" s="5" t="s">
        <v>69</v>
      </c>
      <c r="Y2320" s="4">
        <v>4</v>
      </c>
      <c r="Z2320" s="4">
        <v>3</v>
      </c>
      <c r="AA2320" s="4">
        <v>4</v>
      </c>
      <c r="AB2320" s="4">
        <v>1</v>
      </c>
      <c r="AC2320" s="4">
        <v>1</v>
      </c>
      <c r="AD2320" s="4">
        <v>2</v>
      </c>
      <c r="AE2320" s="4">
        <v>3</v>
      </c>
      <c r="AF2320" s="4">
        <v>0</v>
      </c>
      <c r="AG2320" s="4">
        <v>0</v>
      </c>
      <c r="AH2320" s="4">
        <v>2</v>
      </c>
      <c r="AI2320" s="4">
        <v>3</v>
      </c>
      <c r="AJ2320" s="4">
        <v>1</v>
      </c>
      <c r="AK2320" s="4">
        <v>2</v>
      </c>
      <c r="AL2320" s="4">
        <v>1</v>
      </c>
      <c r="AM2320" s="4">
        <v>1</v>
      </c>
      <c r="AN2320" s="4">
        <v>0</v>
      </c>
      <c r="AO2320" s="4">
        <v>0</v>
      </c>
      <c r="AP2320" s="4">
        <v>1</v>
      </c>
      <c r="AQ2320" s="4">
        <v>2</v>
      </c>
      <c r="AR2320" s="3" t="s">
        <v>63</v>
      </c>
      <c r="AS2320" s="3" t="s">
        <v>63</v>
      </c>
      <c r="AT2320" s="3" t="s">
        <v>63</v>
      </c>
      <c r="AV2320" s="6" t="str">
        <f>HYPERLINK("http://mcgill.on.worldcat.org/oclc/61585991","Catalog Record")</f>
        <v>Catalog Record</v>
      </c>
      <c r="AW2320" s="6" t="str">
        <f>HYPERLINK("http://www.worldcat.org/oclc/61585991","WorldCat Record")</f>
        <v>WorldCat Record</v>
      </c>
      <c r="AX2320" s="3" t="s">
        <v>19345</v>
      </c>
      <c r="AY2320" s="3" t="s">
        <v>19346</v>
      </c>
      <c r="AZ2320" s="3" t="s">
        <v>19347</v>
      </c>
      <c r="BA2320" s="3" t="s">
        <v>19347</v>
      </c>
      <c r="BB2320" s="3" t="s">
        <v>19475</v>
      </c>
      <c r="BC2320" s="3" t="s">
        <v>82</v>
      </c>
      <c r="BD2320" s="3" t="s">
        <v>70</v>
      </c>
      <c r="BF2320" s="3" t="s">
        <v>19475</v>
      </c>
      <c r="BG2320" s="3" t="s">
        <v>19476</v>
      </c>
    </row>
    <row r="2321" spans="1:59" ht="60" x14ac:dyDescent="0.25">
      <c r="A2321" s="2" t="s">
        <v>59</v>
      </c>
      <c r="B2321" s="2" t="s">
        <v>60</v>
      </c>
      <c r="C2321" s="2" t="s">
        <v>19339</v>
      </c>
      <c r="D2321" s="2" t="s">
        <v>19340</v>
      </c>
      <c r="E2321" s="2" t="s">
        <v>19341</v>
      </c>
      <c r="F2321" s="3" t="s">
        <v>19474</v>
      </c>
      <c r="G2321" s="3" t="s">
        <v>62</v>
      </c>
      <c r="I2321" s="3" t="s">
        <v>62</v>
      </c>
      <c r="J2321" s="3" t="s">
        <v>63</v>
      </c>
      <c r="K2321" s="3" t="s">
        <v>64</v>
      </c>
      <c r="L2321" s="2" t="s">
        <v>19343</v>
      </c>
      <c r="M2321" s="2" t="s">
        <v>19344</v>
      </c>
      <c r="N2321" s="3" t="s">
        <v>758</v>
      </c>
      <c r="P2321" s="3" t="s">
        <v>90</v>
      </c>
      <c r="R2321" s="3" t="s">
        <v>67</v>
      </c>
      <c r="S2321" s="4">
        <v>0</v>
      </c>
      <c r="T2321" s="4">
        <v>106</v>
      </c>
      <c r="V2321" s="5" t="s">
        <v>16663</v>
      </c>
      <c r="W2321" s="5" t="s">
        <v>69</v>
      </c>
      <c r="X2321" s="5" t="s">
        <v>69</v>
      </c>
      <c r="Y2321" s="4">
        <v>4</v>
      </c>
      <c r="Z2321" s="4">
        <v>3</v>
      </c>
      <c r="AA2321" s="4">
        <v>4</v>
      </c>
      <c r="AB2321" s="4">
        <v>1</v>
      </c>
      <c r="AC2321" s="4">
        <v>1</v>
      </c>
      <c r="AD2321" s="4">
        <v>2</v>
      </c>
      <c r="AE2321" s="4">
        <v>3</v>
      </c>
      <c r="AF2321" s="4">
        <v>0</v>
      </c>
      <c r="AG2321" s="4">
        <v>0</v>
      </c>
      <c r="AH2321" s="4">
        <v>2</v>
      </c>
      <c r="AI2321" s="4">
        <v>3</v>
      </c>
      <c r="AJ2321" s="4">
        <v>1</v>
      </c>
      <c r="AK2321" s="4">
        <v>2</v>
      </c>
      <c r="AL2321" s="4">
        <v>1</v>
      </c>
      <c r="AM2321" s="4">
        <v>1</v>
      </c>
      <c r="AN2321" s="4">
        <v>0</v>
      </c>
      <c r="AO2321" s="4">
        <v>0</v>
      </c>
      <c r="AP2321" s="4">
        <v>1</v>
      </c>
      <c r="AQ2321" s="4">
        <v>2</v>
      </c>
      <c r="AR2321" s="3" t="s">
        <v>63</v>
      </c>
      <c r="AS2321" s="3" t="s">
        <v>63</v>
      </c>
      <c r="AT2321" s="3" t="s">
        <v>63</v>
      </c>
      <c r="AV2321" s="6" t="str">
        <f>HYPERLINK("http://mcgill.on.worldcat.org/oclc/61585991","Catalog Record")</f>
        <v>Catalog Record</v>
      </c>
      <c r="AW2321" s="6" t="str">
        <f>HYPERLINK("http://www.worldcat.org/oclc/61585991","WorldCat Record")</f>
        <v>WorldCat Record</v>
      </c>
      <c r="AX2321" s="3" t="s">
        <v>19345</v>
      </c>
      <c r="AY2321" s="3" t="s">
        <v>19346</v>
      </c>
      <c r="AZ2321" s="3" t="s">
        <v>19347</v>
      </c>
      <c r="BA2321" s="3" t="s">
        <v>19347</v>
      </c>
      <c r="BB2321" s="3" t="s">
        <v>19477</v>
      </c>
      <c r="BC2321" s="3" t="s">
        <v>82</v>
      </c>
      <c r="BD2321" s="3" t="s">
        <v>70</v>
      </c>
      <c r="BF2321" s="3" t="s">
        <v>19477</v>
      </c>
      <c r="BG2321" s="3" t="s">
        <v>19478</v>
      </c>
    </row>
    <row r="2322" spans="1:59" ht="60" x14ac:dyDescent="0.25">
      <c r="A2322" s="2" t="s">
        <v>59</v>
      </c>
      <c r="B2322" s="2" t="s">
        <v>60</v>
      </c>
      <c r="C2322" s="2" t="s">
        <v>19339</v>
      </c>
      <c r="D2322" s="2" t="s">
        <v>19340</v>
      </c>
      <c r="E2322" s="2" t="s">
        <v>19341</v>
      </c>
      <c r="F2322" s="3" t="s">
        <v>19354</v>
      </c>
      <c r="G2322" s="3" t="s">
        <v>62</v>
      </c>
      <c r="I2322" s="3" t="s">
        <v>62</v>
      </c>
      <c r="J2322" s="3" t="s">
        <v>63</v>
      </c>
      <c r="K2322" s="3" t="s">
        <v>64</v>
      </c>
      <c r="L2322" s="2" t="s">
        <v>19343</v>
      </c>
      <c r="M2322" s="2" t="s">
        <v>19344</v>
      </c>
      <c r="N2322" s="3" t="s">
        <v>758</v>
      </c>
      <c r="P2322" s="3" t="s">
        <v>90</v>
      </c>
      <c r="R2322" s="3" t="s">
        <v>67</v>
      </c>
      <c r="S2322" s="4">
        <v>1</v>
      </c>
      <c r="T2322" s="4">
        <v>106</v>
      </c>
      <c r="U2322" s="5" t="s">
        <v>19410</v>
      </c>
      <c r="V2322" s="5" t="s">
        <v>16663</v>
      </c>
      <c r="W2322" s="5" t="s">
        <v>69</v>
      </c>
      <c r="X2322" s="5" t="s">
        <v>69</v>
      </c>
      <c r="Y2322" s="4">
        <v>4</v>
      </c>
      <c r="Z2322" s="4">
        <v>3</v>
      </c>
      <c r="AA2322" s="4">
        <v>4</v>
      </c>
      <c r="AB2322" s="4">
        <v>1</v>
      </c>
      <c r="AC2322" s="4">
        <v>1</v>
      </c>
      <c r="AD2322" s="4">
        <v>2</v>
      </c>
      <c r="AE2322" s="4">
        <v>3</v>
      </c>
      <c r="AF2322" s="4">
        <v>0</v>
      </c>
      <c r="AG2322" s="4">
        <v>0</v>
      </c>
      <c r="AH2322" s="4">
        <v>2</v>
      </c>
      <c r="AI2322" s="4">
        <v>3</v>
      </c>
      <c r="AJ2322" s="4">
        <v>1</v>
      </c>
      <c r="AK2322" s="4">
        <v>2</v>
      </c>
      <c r="AL2322" s="4">
        <v>1</v>
      </c>
      <c r="AM2322" s="4">
        <v>1</v>
      </c>
      <c r="AN2322" s="4">
        <v>0</v>
      </c>
      <c r="AO2322" s="4">
        <v>0</v>
      </c>
      <c r="AP2322" s="4">
        <v>1</v>
      </c>
      <c r="AQ2322" s="4">
        <v>2</v>
      </c>
      <c r="AR2322" s="3" t="s">
        <v>63</v>
      </c>
      <c r="AS2322" s="3" t="s">
        <v>63</v>
      </c>
      <c r="AT2322" s="3" t="s">
        <v>63</v>
      </c>
      <c r="AV2322" s="6" t="str">
        <f>HYPERLINK("http://mcgill.on.worldcat.org/oclc/61585991","Catalog Record")</f>
        <v>Catalog Record</v>
      </c>
      <c r="AW2322" s="6" t="str">
        <f>HYPERLINK("http://www.worldcat.org/oclc/61585991","WorldCat Record")</f>
        <v>WorldCat Record</v>
      </c>
      <c r="AX2322" s="3" t="s">
        <v>19345</v>
      </c>
      <c r="AY2322" s="3" t="s">
        <v>19346</v>
      </c>
      <c r="AZ2322" s="3" t="s">
        <v>19347</v>
      </c>
      <c r="BA2322" s="3" t="s">
        <v>19347</v>
      </c>
      <c r="BB2322" s="3" t="s">
        <v>19479</v>
      </c>
      <c r="BC2322" s="3" t="s">
        <v>82</v>
      </c>
      <c r="BD2322" s="3" t="s">
        <v>70</v>
      </c>
      <c r="BF2322" s="3" t="s">
        <v>19479</v>
      </c>
      <c r="BG2322" s="3" t="s">
        <v>19480</v>
      </c>
    </row>
    <row r="2323" spans="1:59" ht="60" x14ac:dyDescent="0.25">
      <c r="A2323" s="2" t="s">
        <v>59</v>
      </c>
      <c r="B2323" s="2" t="s">
        <v>60</v>
      </c>
      <c r="C2323" s="2" t="s">
        <v>19339</v>
      </c>
      <c r="D2323" s="2" t="s">
        <v>19340</v>
      </c>
      <c r="E2323" s="2" t="s">
        <v>19341</v>
      </c>
      <c r="F2323" s="3" t="s">
        <v>19395</v>
      </c>
      <c r="G2323" s="3" t="s">
        <v>62</v>
      </c>
      <c r="I2323" s="3" t="s">
        <v>62</v>
      </c>
      <c r="J2323" s="3" t="s">
        <v>63</v>
      </c>
      <c r="K2323" s="3" t="s">
        <v>64</v>
      </c>
      <c r="L2323" s="2" t="s">
        <v>19343</v>
      </c>
      <c r="M2323" s="2" t="s">
        <v>19344</v>
      </c>
      <c r="N2323" s="3" t="s">
        <v>758</v>
      </c>
      <c r="P2323" s="3" t="s">
        <v>90</v>
      </c>
      <c r="R2323" s="3" t="s">
        <v>67</v>
      </c>
      <c r="S2323" s="4">
        <v>8</v>
      </c>
      <c r="T2323" s="4">
        <v>106</v>
      </c>
      <c r="U2323" s="5" t="s">
        <v>15148</v>
      </c>
      <c r="V2323" s="5" t="s">
        <v>16663</v>
      </c>
      <c r="W2323" s="5" t="s">
        <v>69</v>
      </c>
      <c r="X2323" s="5" t="s">
        <v>69</v>
      </c>
      <c r="Y2323" s="4">
        <v>4</v>
      </c>
      <c r="Z2323" s="4">
        <v>3</v>
      </c>
      <c r="AA2323" s="4">
        <v>4</v>
      </c>
      <c r="AB2323" s="4">
        <v>1</v>
      </c>
      <c r="AC2323" s="4">
        <v>1</v>
      </c>
      <c r="AD2323" s="4">
        <v>2</v>
      </c>
      <c r="AE2323" s="4">
        <v>3</v>
      </c>
      <c r="AF2323" s="4">
        <v>0</v>
      </c>
      <c r="AG2323" s="4">
        <v>0</v>
      </c>
      <c r="AH2323" s="4">
        <v>2</v>
      </c>
      <c r="AI2323" s="4">
        <v>3</v>
      </c>
      <c r="AJ2323" s="4">
        <v>1</v>
      </c>
      <c r="AK2323" s="4">
        <v>2</v>
      </c>
      <c r="AL2323" s="4">
        <v>1</v>
      </c>
      <c r="AM2323" s="4">
        <v>1</v>
      </c>
      <c r="AN2323" s="4">
        <v>0</v>
      </c>
      <c r="AO2323" s="4">
        <v>0</v>
      </c>
      <c r="AP2323" s="4">
        <v>1</v>
      </c>
      <c r="AQ2323" s="4">
        <v>2</v>
      </c>
      <c r="AR2323" s="3" t="s">
        <v>63</v>
      </c>
      <c r="AS2323" s="3" t="s">
        <v>63</v>
      </c>
      <c r="AT2323" s="3" t="s">
        <v>63</v>
      </c>
      <c r="AV2323" s="6" t="str">
        <f>HYPERLINK("http://mcgill.on.worldcat.org/oclc/61585991","Catalog Record")</f>
        <v>Catalog Record</v>
      </c>
      <c r="AW2323" s="6" t="str">
        <f>HYPERLINK("http://www.worldcat.org/oclc/61585991","WorldCat Record")</f>
        <v>WorldCat Record</v>
      </c>
      <c r="AX2323" s="3" t="s">
        <v>19345</v>
      </c>
      <c r="AY2323" s="3" t="s">
        <v>19346</v>
      </c>
      <c r="AZ2323" s="3" t="s">
        <v>19347</v>
      </c>
      <c r="BA2323" s="3" t="s">
        <v>19347</v>
      </c>
      <c r="BB2323" s="3" t="s">
        <v>19481</v>
      </c>
      <c r="BC2323" s="3" t="s">
        <v>82</v>
      </c>
      <c r="BD2323" s="3" t="s">
        <v>70</v>
      </c>
      <c r="BF2323" s="3" t="s">
        <v>19481</v>
      </c>
      <c r="BG2323" s="3" t="s">
        <v>19482</v>
      </c>
    </row>
    <row r="2324" spans="1:59" ht="60" x14ac:dyDescent="0.25">
      <c r="A2324" s="2" t="s">
        <v>59</v>
      </c>
      <c r="B2324" s="2" t="s">
        <v>60</v>
      </c>
      <c r="C2324" s="2" t="s">
        <v>19339</v>
      </c>
      <c r="D2324" s="2" t="s">
        <v>19340</v>
      </c>
      <c r="E2324" s="2" t="s">
        <v>19341</v>
      </c>
      <c r="F2324" s="3" t="s">
        <v>19416</v>
      </c>
      <c r="G2324" s="3" t="s">
        <v>62</v>
      </c>
      <c r="I2324" s="3" t="s">
        <v>62</v>
      </c>
      <c r="J2324" s="3" t="s">
        <v>63</v>
      </c>
      <c r="K2324" s="3" t="s">
        <v>64</v>
      </c>
      <c r="L2324" s="2" t="s">
        <v>19343</v>
      </c>
      <c r="M2324" s="2" t="s">
        <v>19344</v>
      </c>
      <c r="N2324" s="3" t="s">
        <v>758</v>
      </c>
      <c r="P2324" s="3" t="s">
        <v>90</v>
      </c>
      <c r="R2324" s="3" t="s">
        <v>67</v>
      </c>
      <c r="S2324" s="4">
        <v>0</v>
      </c>
      <c r="T2324" s="4">
        <v>106</v>
      </c>
      <c r="V2324" s="5" t="s">
        <v>16663</v>
      </c>
      <c r="W2324" s="5" t="s">
        <v>69</v>
      </c>
      <c r="X2324" s="5" t="s">
        <v>69</v>
      </c>
      <c r="Y2324" s="4">
        <v>4</v>
      </c>
      <c r="Z2324" s="4">
        <v>3</v>
      </c>
      <c r="AA2324" s="4">
        <v>4</v>
      </c>
      <c r="AB2324" s="4">
        <v>1</v>
      </c>
      <c r="AC2324" s="4">
        <v>1</v>
      </c>
      <c r="AD2324" s="4">
        <v>2</v>
      </c>
      <c r="AE2324" s="4">
        <v>3</v>
      </c>
      <c r="AF2324" s="4">
        <v>0</v>
      </c>
      <c r="AG2324" s="4">
        <v>0</v>
      </c>
      <c r="AH2324" s="4">
        <v>2</v>
      </c>
      <c r="AI2324" s="4">
        <v>3</v>
      </c>
      <c r="AJ2324" s="4">
        <v>1</v>
      </c>
      <c r="AK2324" s="4">
        <v>2</v>
      </c>
      <c r="AL2324" s="4">
        <v>1</v>
      </c>
      <c r="AM2324" s="4">
        <v>1</v>
      </c>
      <c r="AN2324" s="4">
        <v>0</v>
      </c>
      <c r="AO2324" s="4">
        <v>0</v>
      </c>
      <c r="AP2324" s="4">
        <v>1</v>
      </c>
      <c r="AQ2324" s="4">
        <v>2</v>
      </c>
      <c r="AR2324" s="3" t="s">
        <v>63</v>
      </c>
      <c r="AS2324" s="3" t="s">
        <v>63</v>
      </c>
      <c r="AT2324" s="3" t="s">
        <v>63</v>
      </c>
      <c r="AV2324" s="6" t="str">
        <f>HYPERLINK("http://mcgill.on.worldcat.org/oclc/61585991","Catalog Record")</f>
        <v>Catalog Record</v>
      </c>
      <c r="AW2324" s="6" t="str">
        <f>HYPERLINK("http://www.worldcat.org/oclc/61585991","WorldCat Record")</f>
        <v>WorldCat Record</v>
      </c>
      <c r="AX2324" s="3" t="s">
        <v>19345</v>
      </c>
      <c r="AY2324" s="3" t="s">
        <v>19346</v>
      </c>
      <c r="AZ2324" s="3" t="s">
        <v>19347</v>
      </c>
      <c r="BA2324" s="3" t="s">
        <v>19347</v>
      </c>
      <c r="BB2324" s="3" t="s">
        <v>19483</v>
      </c>
      <c r="BC2324" s="3" t="s">
        <v>82</v>
      </c>
      <c r="BD2324" s="3" t="s">
        <v>70</v>
      </c>
      <c r="BF2324" s="3" t="s">
        <v>19483</v>
      </c>
      <c r="BG2324" s="3" t="s">
        <v>19484</v>
      </c>
    </row>
    <row r="2325" spans="1:59" ht="60" x14ac:dyDescent="0.25">
      <c r="A2325" s="2" t="s">
        <v>59</v>
      </c>
      <c r="B2325" s="2" t="s">
        <v>60</v>
      </c>
      <c r="C2325" s="2" t="s">
        <v>19339</v>
      </c>
      <c r="D2325" s="2" t="s">
        <v>19340</v>
      </c>
      <c r="E2325" s="2" t="s">
        <v>19341</v>
      </c>
      <c r="F2325" s="3" t="s">
        <v>19403</v>
      </c>
      <c r="G2325" s="3" t="s">
        <v>62</v>
      </c>
      <c r="I2325" s="3" t="s">
        <v>62</v>
      </c>
      <c r="J2325" s="3" t="s">
        <v>63</v>
      </c>
      <c r="K2325" s="3" t="s">
        <v>64</v>
      </c>
      <c r="L2325" s="2" t="s">
        <v>19343</v>
      </c>
      <c r="M2325" s="2" t="s">
        <v>19344</v>
      </c>
      <c r="N2325" s="3" t="s">
        <v>758</v>
      </c>
      <c r="P2325" s="3" t="s">
        <v>90</v>
      </c>
      <c r="R2325" s="3" t="s">
        <v>67</v>
      </c>
      <c r="S2325" s="4">
        <v>5</v>
      </c>
      <c r="T2325" s="4">
        <v>106</v>
      </c>
      <c r="U2325" s="5" t="s">
        <v>444</v>
      </c>
      <c r="V2325" s="5" t="s">
        <v>16663</v>
      </c>
      <c r="W2325" s="5" t="s">
        <v>69</v>
      </c>
      <c r="X2325" s="5" t="s">
        <v>69</v>
      </c>
      <c r="Y2325" s="4">
        <v>4</v>
      </c>
      <c r="Z2325" s="4">
        <v>3</v>
      </c>
      <c r="AA2325" s="4">
        <v>4</v>
      </c>
      <c r="AB2325" s="4">
        <v>1</v>
      </c>
      <c r="AC2325" s="4">
        <v>1</v>
      </c>
      <c r="AD2325" s="4">
        <v>2</v>
      </c>
      <c r="AE2325" s="4">
        <v>3</v>
      </c>
      <c r="AF2325" s="4">
        <v>0</v>
      </c>
      <c r="AG2325" s="4">
        <v>0</v>
      </c>
      <c r="AH2325" s="4">
        <v>2</v>
      </c>
      <c r="AI2325" s="4">
        <v>3</v>
      </c>
      <c r="AJ2325" s="4">
        <v>1</v>
      </c>
      <c r="AK2325" s="4">
        <v>2</v>
      </c>
      <c r="AL2325" s="4">
        <v>1</v>
      </c>
      <c r="AM2325" s="4">
        <v>1</v>
      </c>
      <c r="AN2325" s="4">
        <v>0</v>
      </c>
      <c r="AO2325" s="4">
        <v>0</v>
      </c>
      <c r="AP2325" s="4">
        <v>1</v>
      </c>
      <c r="AQ2325" s="4">
        <v>2</v>
      </c>
      <c r="AR2325" s="3" t="s">
        <v>63</v>
      </c>
      <c r="AS2325" s="3" t="s">
        <v>63</v>
      </c>
      <c r="AT2325" s="3" t="s">
        <v>63</v>
      </c>
      <c r="AV2325" s="6" t="str">
        <f>HYPERLINK("http://mcgill.on.worldcat.org/oclc/61585991","Catalog Record")</f>
        <v>Catalog Record</v>
      </c>
      <c r="AW2325" s="6" t="str">
        <f>HYPERLINK("http://www.worldcat.org/oclc/61585991","WorldCat Record")</f>
        <v>WorldCat Record</v>
      </c>
      <c r="AX2325" s="3" t="s">
        <v>19345</v>
      </c>
      <c r="AY2325" s="3" t="s">
        <v>19346</v>
      </c>
      <c r="AZ2325" s="3" t="s">
        <v>19347</v>
      </c>
      <c r="BA2325" s="3" t="s">
        <v>19347</v>
      </c>
      <c r="BB2325" s="3" t="s">
        <v>19485</v>
      </c>
      <c r="BC2325" s="3" t="s">
        <v>82</v>
      </c>
      <c r="BD2325" s="3" t="s">
        <v>70</v>
      </c>
      <c r="BF2325" s="3" t="s">
        <v>19485</v>
      </c>
      <c r="BG2325" s="3" t="s">
        <v>19486</v>
      </c>
    </row>
    <row r="2326" spans="1:59" ht="60" x14ac:dyDescent="0.25">
      <c r="A2326" s="2" t="s">
        <v>59</v>
      </c>
      <c r="B2326" s="2" t="s">
        <v>60</v>
      </c>
      <c r="C2326" s="2" t="s">
        <v>19339</v>
      </c>
      <c r="D2326" s="2" t="s">
        <v>19340</v>
      </c>
      <c r="E2326" s="2" t="s">
        <v>19341</v>
      </c>
      <c r="F2326" s="3" t="s">
        <v>19382</v>
      </c>
      <c r="G2326" s="3" t="s">
        <v>62</v>
      </c>
      <c r="I2326" s="3" t="s">
        <v>62</v>
      </c>
      <c r="J2326" s="3" t="s">
        <v>63</v>
      </c>
      <c r="K2326" s="3" t="s">
        <v>64</v>
      </c>
      <c r="L2326" s="2" t="s">
        <v>19343</v>
      </c>
      <c r="M2326" s="2" t="s">
        <v>19344</v>
      </c>
      <c r="N2326" s="3" t="s">
        <v>758</v>
      </c>
      <c r="P2326" s="3" t="s">
        <v>90</v>
      </c>
      <c r="R2326" s="3" t="s">
        <v>67</v>
      </c>
      <c r="S2326" s="4">
        <v>0</v>
      </c>
      <c r="T2326" s="4">
        <v>106</v>
      </c>
      <c r="V2326" s="5" t="s">
        <v>16663</v>
      </c>
      <c r="W2326" s="5" t="s">
        <v>69</v>
      </c>
      <c r="X2326" s="5" t="s">
        <v>69</v>
      </c>
      <c r="Y2326" s="4">
        <v>4</v>
      </c>
      <c r="Z2326" s="4">
        <v>3</v>
      </c>
      <c r="AA2326" s="4">
        <v>4</v>
      </c>
      <c r="AB2326" s="4">
        <v>1</v>
      </c>
      <c r="AC2326" s="4">
        <v>1</v>
      </c>
      <c r="AD2326" s="4">
        <v>2</v>
      </c>
      <c r="AE2326" s="4">
        <v>3</v>
      </c>
      <c r="AF2326" s="4">
        <v>0</v>
      </c>
      <c r="AG2326" s="4">
        <v>0</v>
      </c>
      <c r="AH2326" s="4">
        <v>2</v>
      </c>
      <c r="AI2326" s="4">
        <v>3</v>
      </c>
      <c r="AJ2326" s="4">
        <v>1</v>
      </c>
      <c r="AK2326" s="4">
        <v>2</v>
      </c>
      <c r="AL2326" s="4">
        <v>1</v>
      </c>
      <c r="AM2326" s="4">
        <v>1</v>
      </c>
      <c r="AN2326" s="4">
        <v>0</v>
      </c>
      <c r="AO2326" s="4">
        <v>0</v>
      </c>
      <c r="AP2326" s="4">
        <v>1</v>
      </c>
      <c r="AQ2326" s="4">
        <v>2</v>
      </c>
      <c r="AR2326" s="3" t="s">
        <v>63</v>
      </c>
      <c r="AS2326" s="3" t="s">
        <v>63</v>
      </c>
      <c r="AT2326" s="3" t="s">
        <v>63</v>
      </c>
      <c r="AV2326" s="6" t="str">
        <f>HYPERLINK("http://mcgill.on.worldcat.org/oclc/61585991","Catalog Record")</f>
        <v>Catalog Record</v>
      </c>
      <c r="AW2326" s="6" t="str">
        <f>HYPERLINK("http://www.worldcat.org/oclc/61585991","WorldCat Record")</f>
        <v>WorldCat Record</v>
      </c>
      <c r="AX2326" s="3" t="s">
        <v>19345</v>
      </c>
      <c r="AY2326" s="3" t="s">
        <v>19346</v>
      </c>
      <c r="AZ2326" s="3" t="s">
        <v>19347</v>
      </c>
      <c r="BA2326" s="3" t="s">
        <v>19347</v>
      </c>
      <c r="BB2326" s="3" t="s">
        <v>19487</v>
      </c>
      <c r="BC2326" s="3" t="s">
        <v>82</v>
      </c>
      <c r="BD2326" s="3" t="s">
        <v>70</v>
      </c>
      <c r="BF2326" s="3" t="s">
        <v>19487</v>
      </c>
      <c r="BG2326" s="3" t="s">
        <v>19488</v>
      </c>
    </row>
    <row r="2327" spans="1:59" ht="60" x14ac:dyDescent="0.25">
      <c r="A2327" s="2" t="s">
        <v>59</v>
      </c>
      <c r="B2327" s="2" t="s">
        <v>60</v>
      </c>
      <c r="C2327" s="2" t="s">
        <v>19339</v>
      </c>
      <c r="D2327" s="2" t="s">
        <v>19340</v>
      </c>
      <c r="E2327" s="2" t="s">
        <v>19341</v>
      </c>
      <c r="F2327" s="3" t="s">
        <v>15309</v>
      </c>
      <c r="G2327" s="3" t="s">
        <v>62</v>
      </c>
      <c r="I2327" s="3" t="s">
        <v>62</v>
      </c>
      <c r="J2327" s="3" t="s">
        <v>63</v>
      </c>
      <c r="K2327" s="3" t="s">
        <v>64</v>
      </c>
      <c r="L2327" s="2" t="s">
        <v>19343</v>
      </c>
      <c r="M2327" s="2" t="s">
        <v>19344</v>
      </c>
      <c r="N2327" s="3" t="s">
        <v>758</v>
      </c>
      <c r="P2327" s="3" t="s">
        <v>90</v>
      </c>
      <c r="R2327" s="3" t="s">
        <v>67</v>
      </c>
      <c r="S2327" s="4">
        <v>1</v>
      </c>
      <c r="T2327" s="4">
        <v>106</v>
      </c>
      <c r="U2327" s="5" t="s">
        <v>19489</v>
      </c>
      <c r="V2327" s="5" t="s">
        <v>16663</v>
      </c>
      <c r="W2327" s="5" t="s">
        <v>69</v>
      </c>
      <c r="X2327" s="5" t="s">
        <v>69</v>
      </c>
      <c r="Y2327" s="4">
        <v>4</v>
      </c>
      <c r="Z2327" s="4">
        <v>3</v>
      </c>
      <c r="AA2327" s="4">
        <v>4</v>
      </c>
      <c r="AB2327" s="4">
        <v>1</v>
      </c>
      <c r="AC2327" s="4">
        <v>1</v>
      </c>
      <c r="AD2327" s="4">
        <v>2</v>
      </c>
      <c r="AE2327" s="4">
        <v>3</v>
      </c>
      <c r="AF2327" s="4">
        <v>0</v>
      </c>
      <c r="AG2327" s="4">
        <v>0</v>
      </c>
      <c r="AH2327" s="4">
        <v>2</v>
      </c>
      <c r="AI2327" s="4">
        <v>3</v>
      </c>
      <c r="AJ2327" s="4">
        <v>1</v>
      </c>
      <c r="AK2327" s="4">
        <v>2</v>
      </c>
      <c r="AL2327" s="4">
        <v>1</v>
      </c>
      <c r="AM2327" s="4">
        <v>1</v>
      </c>
      <c r="AN2327" s="4">
        <v>0</v>
      </c>
      <c r="AO2327" s="4">
        <v>0</v>
      </c>
      <c r="AP2327" s="4">
        <v>1</v>
      </c>
      <c r="AQ2327" s="4">
        <v>2</v>
      </c>
      <c r="AR2327" s="3" t="s">
        <v>63</v>
      </c>
      <c r="AS2327" s="3" t="s">
        <v>63</v>
      </c>
      <c r="AT2327" s="3" t="s">
        <v>63</v>
      </c>
      <c r="AV2327" s="6" t="str">
        <f>HYPERLINK("http://mcgill.on.worldcat.org/oclc/61585991","Catalog Record")</f>
        <v>Catalog Record</v>
      </c>
      <c r="AW2327" s="6" t="str">
        <f>HYPERLINK("http://www.worldcat.org/oclc/61585991","WorldCat Record")</f>
        <v>WorldCat Record</v>
      </c>
      <c r="AX2327" s="3" t="s">
        <v>19345</v>
      </c>
      <c r="AY2327" s="3" t="s">
        <v>19346</v>
      </c>
      <c r="AZ2327" s="3" t="s">
        <v>19347</v>
      </c>
      <c r="BA2327" s="3" t="s">
        <v>19347</v>
      </c>
      <c r="BB2327" s="3" t="s">
        <v>19490</v>
      </c>
      <c r="BC2327" s="3" t="s">
        <v>82</v>
      </c>
      <c r="BD2327" s="3" t="s">
        <v>70</v>
      </c>
      <c r="BF2327" s="3" t="s">
        <v>19490</v>
      </c>
      <c r="BG2327" s="3" t="s">
        <v>19491</v>
      </c>
    </row>
    <row r="2328" spans="1:59" ht="60" x14ac:dyDescent="0.25">
      <c r="A2328" s="2" t="s">
        <v>59</v>
      </c>
      <c r="B2328" s="2" t="s">
        <v>60</v>
      </c>
      <c r="C2328" s="2" t="s">
        <v>19339</v>
      </c>
      <c r="D2328" s="2" t="s">
        <v>19340</v>
      </c>
      <c r="E2328" s="2" t="s">
        <v>19341</v>
      </c>
      <c r="F2328" s="3" t="s">
        <v>19492</v>
      </c>
      <c r="G2328" s="3" t="s">
        <v>62</v>
      </c>
      <c r="I2328" s="3" t="s">
        <v>62</v>
      </c>
      <c r="J2328" s="3" t="s">
        <v>63</v>
      </c>
      <c r="K2328" s="3" t="s">
        <v>64</v>
      </c>
      <c r="L2328" s="2" t="s">
        <v>19343</v>
      </c>
      <c r="M2328" s="2" t="s">
        <v>19344</v>
      </c>
      <c r="N2328" s="3" t="s">
        <v>758</v>
      </c>
      <c r="P2328" s="3" t="s">
        <v>90</v>
      </c>
      <c r="R2328" s="3" t="s">
        <v>67</v>
      </c>
      <c r="S2328" s="4">
        <v>2</v>
      </c>
      <c r="T2328" s="4">
        <v>106</v>
      </c>
      <c r="U2328" s="5" t="s">
        <v>19493</v>
      </c>
      <c r="V2328" s="5" t="s">
        <v>16663</v>
      </c>
      <c r="W2328" s="5" t="s">
        <v>69</v>
      </c>
      <c r="X2328" s="5" t="s">
        <v>69</v>
      </c>
      <c r="Y2328" s="4">
        <v>4</v>
      </c>
      <c r="Z2328" s="4">
        <v>3</v>
      </c>
      <c r="AA2328" s="4">
        <v>4</v>
      </c>
      <c r="AB2328" s="4">
        <v>1</v>
      </c>
      <c r="AC2328" s="4">
        <v>1</v>
      </c>
      <c r="AD2328" s="4">
        <v>2</v>
      </c>
      <c r="AE2328" s="4">
        <v>3</v>
      </c>
      <c r="AF2328" s="4">
        <v>0</v>
      </c>
      <c r="AG2328" s="4">
        <v>0</v>
      </c>
      <c r="AH2328" s="4">
        <v>2</v>
      </c>
      <c r="AI2328" s="4">
        <v>3</v>
      </c>
      <c r="AJ2328" s="4">
        <v>1</v>
      </c>
      <c r="AK2328" s="4">
        <v>2</v>
      </c>
      <c r="AL2328" s="4">
        <v>1</v>
      </c>
      <c r="AM2328" s="4">
        <v>1</v>
      </c>
      <c r="AN2328" s="4">
        <v>0</v>
      </c>
      <c r="AO2328" s="4">
        <v>0</v>
      </c>
      <c r="AP2328" s="4">
        <v>1</v>
      </c>
      <c r="AQ2328" s="4">
        <v>2</v>
      </c>
      <c r="AR2328" s="3" t="s">
        <v>63</v>
      </c>
      <c r="AS2328" s="3" t="s">
        <v>63</v>
      </c>
      <c r="AT2328" s="3" t="s">
        <v>63</v>
      </c>
      <c r="AV2328" s="6" t="str">
        <f>HYPERLINK("http://mcgill.on.worldcat.org/oclc/61585991","Catalog Record")</f>
        <v>Catalog Record</v>
      </c>
      <c r="AW2328" s="6" t="str">
        <f>HYPERLINK("http://www.worldcat.org/oclc/61585991","WorldCat Record")</f>
        <v>WorldCat Record</v>
      </c>
      <c r="AX2328" s="3" t="s">
        <v>19345</v>
      </c>
      <c r="AY2328" s="3" t="s">
        <v>19346</v>
      </c>
      <c r="AZ2328" s="3" t="s">
        <v>19347</v>
      </c>
      <c r="BA2328" s="3" t="s">
        <v>19347</v>
      </c>
      <c r="BB2328" s="3" t="s">
        <v>19494</v>
      </c>
      <c r="BC2328" s="3" t="s">
        <v>82</v>
      </c>
      <c r="BD2328" s="3" t="s">
        <v>70</v>
      </c>
      <c r="BF2328" s="3" t="s">
        <v>19494</v>
      </c>
      <c r="BG2328" s="3" t="s">
        <v>19495</v>
      </c>
    </row>
    <row r="2329" spans="1:59" ht="60" x14ac:dyDescent="0.25">
      <c r="A2329" s="2" t="s">
        <v>59</v>
      </c>
      <c r="B2329" s="2" t="s">
        <v>60</v>
      </c>
      <c r="C2329" s="2" t="s">
        <v>19339</v>
      </c>
      <c r="D2329" s="2" t="s">
        <v>19340</v>
      </c>
      <c r="E2329" s="2" t="s">
        <v>19341</v>
      </c>
      <c r="F2329" s="3" t="s">
        <v>19496</v>
      </c>
      <c r="G2329" s="3" t="s">
        <v>62</v>
      </c>
      <c r="I2329" s="3" t="s">
        <v>62</v>
      </c>
      <c r="J2329" s="3" t="s">
        <v>63</v>
      </c>
      <c r="K2329" s="3" t="s">
        <v>64</v>
      </c>
      <c r="L2329" s="2" t="s">
        <v>19343</v>
      </c>
      <c r="M2329" s="2" t="s">
        <v>19344</v>
      </c>
      <c r="N2329" s="3" t="s">
        <v>758</v>
      </c>
      <c r="P2329" s="3" t="s">
        <v>90</v>
      </c>
      <c r="R2329" s="3" t="s">
        <v>67</v>
      </c>
      <c r="S2329" s="4">
        <v>7</v>
      </c>
      <c r="T2329" s="4">
        <v>106</v>
      </c>
      <c r="U2329" s="5" t="s">
        <v>19497</v>
      </c>
      <c r="V2329" s="5" t="s">
        <v>16663</v>
      </c>
      <c r="W2329" s="5" t="s">
        <v>69</v>
      </c>
      <c r="X2329" s="5" t="s">
        <v>69</v>
      </c>
      <c r="Y2329" s="4">
        <v>4</v>
      </c>
      <c r="Z2329" s="4">
        <v>3</v>
      </c>
      <c r="AA2329" s="4">
        <v>4</v>
      </c>
      <c r="AB2329" s="4">
        <v>1</v>
      </c>
      <c r="AC2329" s="4">
        <v>1</v>
      </c>
      <c r="AD2329" s="4">
        <v>2</v>
      </c>
      <c r="AE2329" s="4">
        <v>3</v>
      </c>
      <c r="AF2329" s="4">
        <v>0</v>
      </c>
      <c r="AG2329" s="4">
        <v>0</v>
      </c>
      <c r="AH2329" s="4">
        <v>2</v>
      </c>
      <c r="AI2329" s="4">
        <v>3</v>
      </c>
      <c r="AJ2329" s="4">
        <v>1</v>
      </c>
      <c r="AK2329" s="4">
        <v>2</v>
      </c>
      <c r="AL2329" s="4">
        <v>1</v>
      </c>
      <c r="AM2329" s="4">
        <v>1</v>
      </c>
      <c r="AN2329" s="4">
        <v>0</v>
      </c>
      <c r="AO2329" s="4">
        <v>0</v>
      </c>
      <c r="AP2329" s="4">
        <v>1</v>
      </c>
      <c r="AQ2329" s="4">
        <v>2</v>
      </c>
      <c r="AR2329" s="3" t="s">
        <v>63</v>
      </c>
      <c r="AS2329" s="3" t="s">
        <v>63</v>
      </c>
      <c r="AT2329" s="3" t="s">
        <v>63</v>
      </c>
      <c r="AV2329" s="6" t="str">
        <f>HYPERLINK("http://mcgill.on.worldcat.org/oclc/61585991","Catalog Record")</f>
        <v>Catalog Record</v>
      </c>
      <c r="AW2329" s="6" t="str">
        <f>HYPERLINK("http://www.worldcat.org/oclc/61585991","WorldCat Record")</f>
        <v>WorldCat Record</v>
      </c>
      <c r="AX2329" s="3" t="s">
        <v>19345</v>
      </c>
      <c r="AY2329" s="3" t="s">
        <v>19346</v>
      </c>
      <c r="AZ2329" s="3" t="s">
        <v>19347</v>
      </c>
      <c r="BA2329" s="3" t="s">
        <v>19347</v>
      </c>
      <c r="BB2329" s="3" t="s">
        <v>19498</v>
      </c>
      <c r="BC2329" s="3" t="s">
        <v>82</v>
      </c>
      <c r="BD2329" s="3" t="s">
        <v>70</v>
      </c>
      <c r="BF2329" s="3" t="s">
        <v>19498</v>
      </c>
      <c r="BG2329" s="3" t="s">
        <v>19499</v>
      </c>
    </row>
    <row r="2330" spans="1:59" ht="60" x14ac:dyDescent="0.25">
      <c r="A2330" s="2" t="s">
        <v>59</v>
      </c>
      <c r="B2330" s="2" t="s">
        <v>60</v>
      </c>
      <c r="C2330" s="2" t="s">
        <v>19339</v>
      </c>
      <c r="D2330" s="2" t="s">
        <v>19340</v>
      </c>
      <c r="E2330" s="2" t="s">
        <v>19341</v>
      </c>
      <c r="F2330" s="3" t="s">
        <v>19500</v>
      </c>
      <c r="G2330" s="3" t="s">
        <v>62</v>
      </c>
      <c r="I2330" s="3" t="s">
        <v>62</v>
      </c>
      <c r="J2330" s="3" t="s">
        <v>63</v>
      </c>
      <c r="K2330" s="3" t="s">
        <v>64</v>
      </c>
      <c r="L2330" s="2" t="s">
        <v>19343</v>
      </c>
      <c r="M2330" s="2" t="s">
        <v>19344</v>
      </c>
      <c r="N2330" s="3" t="s">
        <v>758</v>
      </c>
      <c r="P2330" s="3" t="s">
        <v>90</v>
      </c>
      <c r="R2330" s="3" t="s">
        <v>67</v>
      </c>
      <c r="S2330" s="4">
        <v>0</v>
      </c>
      <c r="T2330" s="4">
        <v>106</v>
      </c>
      <c r="V2330" s="5" t="s">
        <v>16663</v>
      </c>
      <c r="W2330" s="5" t="s">
        <v>69</v>
      </c>
      <c r="X2330" s="5" t="s">
        <v>69</v>
      </c>
      <c r="Y2330" s="4">
        <v>4</v>
      </c>
      <c r="Z2330" s="4">
        <v>3</v>
      </c>
      <c r="AA2330" s="4">
        <v>4</v>
      </c>
      <c r="AB2330" s="4">
        <v>1</v>
      </c>
      <c r="AC2330" s="4">
        <v>1</v>
      </c>
      <c r="AD2330" s="4">
        <v>2</v>
      </c>
      <c r="AE2330" s="4">
        <v>3</v>
      </c>
      <c r="AF2330" s="4">
        <v>0</v>
      </c>
      <c r="AG2330" s="4">
        <v>0</v>
      </c>
      <c r="AH2330" s="4">
        <v>2</v>
      </c>
      <c r="AI2330" s="4">
        <v>3</v>
      </c>
      <c r="AJ2330" s="4">
        <v>1</v>
      </c>
      <c r="AK2330" s="4">
        <v>2</v>
      </c>
      <c r="AL2330" s="4">
        <v>1</v>
      </c>
      <c r="AM2330" s="4">
        <v>1</v>
      </c>
      <c r="AN2330" s="4">
        <v>0</v>
      </c>
      <c r="AO2330" s="4">
        <v>0</v>
      </c>
      <c r="AP2330" s="4">
        <v>1</v>
      </c>
      <c r="AQ2330" s="4">
        <v>2</v>
      </c>
      <c r="AR2330" s="3" t="s">
        <v>63</v>
      </c>
      <c r="AS2330" s="3" t="s">
        <v>63</v>
      </c>
      <c r="AT2330" s="3" t="s">
        <v>63</v>
      </c>
      <c r="AV2330" s="6" t="str">
        <f>HYPERLINK("http://mcgill.on.worldcat.org/oclc/61585991","Catalog Record")</f>
        <v>Catalog Record</v>
      </c>
      <c r="AW2330" s="6" t="str">
        <f>HYPERLINK("http://www.worldcat.org/oclc/61585991","WorldCat Record")</f>
        <v>WorldCat Record</v>
      </c>
      <c r="AX2330" s="3" t="s">
        <v>19345</v>
      </c>
      <c r="AY2330" s="3" t="s">
        <v>19346</v>
      </c>
      <c r="AZ2330" s="3" t="s">
        <v>19347</v>
      </c>
      <c r="BA2330" s="3" t="s">
        <v>19347</v>
      </c>
      <c r="BB2330" s="3" t="s">
        <v>19501</v>
      </c>
      <c r="BC2330" s="3" t="s">
        <v>82</v>
      </c>
      <c r="BD2330" s="3" t="s">
        <v>70</v>
      </c>
      <c r="BF2330" s="3" t="s">
        <v>19501</v>
      </c>
      <c r="BG2330" s="3" t="s">
        <v>19502</v>
      </c>
    </row>
    <row r="2331" spans="1:59" ht="60" x14ac:dyDescent="0.25">
      <c r="A2331" s="2" t="s">
        <v>59</v>
      </c>
      <c r="B2331" s="2" t="s">
        <v>60</v>
      </c>
      <c r="C2331" s="2" t="s">
        <v>19339</v>
      </c>
      <c r="D2331" s="2" t="s">
        <v>19340</v>
      </c>
      <c r="E2331" s="2" t="s">
        <v>19341</v>
      </c>
      <c r="F2331" s="3" t="s">
        <v>19503</v>
      </c>
      <c r="G2331" s="3" t="s">
        <v>62</v>
      </c>
      <c r="I2331" s="3" t="s">
        <v>62</v>
      </c>
      <c r="J2331" s="3" t="s">
        <v>63</v>
      </c>
      <c r="K2331" s="3" t="s">
        <v>64</v>
      </c>
      <c r="L2331" s="2" t="s">
        <v>19343</v>
      </c>
      <c r="M2331" s="2" t="s">
        <v>19344</v>
      </c>
      <c r="N2331" s="3" t="s">
        <v>758</v>
      </c>
      <c r="P2331" s="3" t="s">
        <v>90</v>
      </c>
      <c r="R2331" s="3" t="s">
        <v>67</v>
      </c>
      <c r="S2331" s="4">
        <v>9</v>
      </c>
      <c r="T2331" s="4">
        <v>106</v>
      </c>
      <c r="U2331" s="5" t="s">
        <v>14260</v>
      </c>
      <c r="V2331" s="5" t="s">
        <v>16663</v>
      </c>
      <c r="W2331" s="5" t="s">
        <v>69</v>
      </c>
      <c r="X2331" s="5" t="s">
        <v>69</v>
      </c>
      <c r="Y2331" s="4">
        <v>4</v>
      </c>
      <c r="Z2331" s="4">
        <v>3</v>
      </c>
      <c r="AA2331" s="4">
        <v>4</v>
      </c>
      <c r="AB2331" s="4">
        <v>1</v>
      </c>
      <c r="AC2331" s="4">
        <v>1</v>
      </c>
      <c r="AD2331" s="4">
        <v>2</v>
      </c>
      <c r="AE2331" s="4">
        <v>3</v>
      </c>
      <c r="AF2331" s="4">
        <v>0</v>
      </c>
      <c r="AG2331" s="4">
        <v>0</v>
      </c>
      <c r="AH2331" s="4">
        <v>2</v>
      </c>
      <c r="AI2331" s="4">
        <v>3</v>
      </c>
      <c r="AJ2331" s="4">
        <v>1</v>
      </c>
      <c r="AK2331" s="4">
        <v>2</v>
      </c>
      <c r="AL2331" s="4">
        <v>1</v>
      </c>
      <c r="AM2331" s="4">
        <v>1</v>
      </c>
      <c r="AN2331" s="4">
        <v>0</v>
      </c>
      <c r="AO2331" s="4">
        <v>0</v>
      </c>
      <c r="AP2331" s="4">
        <v>1</v>
      </c>
      <c r="AQ2331" s="4">
        <v>2</v>
      </c>
      <c r="AR2331" s="3" t="s">
        <v>63</v>
      </c>
      <c r="AS2331" s="3" t="s">
        <v>63</v>
      </c>
      <c r="AT2331" s="3" t="s">
        <v>63</v>
      </c>
      <c r="AV2331" s="6" t="str">
        <f>HYPERLINK("http://mcgill.on.worldcat.org/oclc/61585991","Catalog Record")</f>
        <v>Catalog Record</v>
      </c>
      <c r="AW2331" s="6" t="str">
        <f>HYPERLINK("http://www.worldcat.org/oclc/61585991","WorldCat Record")</f>
        <v>WorldCat Record</v>
      </c>
      <c r="AX2331" s="3" t="s">
        <v>19345</v>
      </c>
      <c r="AY2331" s="3" t="s">
        <v>19346</v>
      </c>
      <c r="AZ2331" s="3" t="s">
        <v>19347</v>
      </c>
      <c r="BA2331" s="3" t="s">
        <v>19347</v>
      </c>
      <c r="BB2331" s="3" t="s">
        <v>19504</v>
      </c>
      <c r="BC2331" s="3" t="s">
        <v>82</v>
      </c>
      <c r="BD2331" s="3" t="s">
        <v>70</v>
      </c>
      <c r="BF2331" s="3" t="s">
        <v>19504</v>
      </c>
      <c r="BG2331" s="3" t="s">
        <v>19505</v>
      </c>
    </row>
    <row r="2332" spans="1:59" ht="60" x14ac:dyDescent="0.25">
      <c r="A2332" s="2" t="s">
        <v>59</v>
      </c>
      <c r="B2332" s="2" t="s">
        <v>60</v>
      </c>
      <c r="C2332" s="2" t="s">
        <v>19339</v>
      </c>
      <c r="D2332" s="2" t="s">
        <v>19340</v>
      </c>
      <c r="E2332" s="2" t="s">
        <v>19341</v>
      </c>
      <c r="F2332" s="3" t="s">
        <v>19506</v>
      </c>
      <c r="G2332" s="3" t="s">
        <v>62</v>
      </c>
      <c r="I2332" s="3" t="s">
        <v>62</v>
      </c>
      <c r="J2332" s="3" t="s">
        <v>63</v>
      </c>
      <c r="K2332" s="3" t="s">
        <v>64</v>
      </c>
      <c r="L2332" s="2" t="s">
        <v>19343</v>
      </c>
      <c r="M2332" s="2" t="s">
        <v>19344</v>
      </c>
      <c r="N2332" s="3" t="s">
        <v>758</v>
      </c>
      <c r="P2332" s="3" t="s">
        <v>90</v>
      </c>
      <c r="R2332" s="3" t="s">
        <v>67</v>
      </c>
      <c r="S2332" s="4">
        <v>0</v>
      </c>
      <c r="T2332" s="4">
        <v>106</v>
      </c>
      <c r="V2332" s="5" t="s">
        <v>16663</v>
      </c>
      <c r="W2332" s="5" t="s">
        <v>69</v>
      </c>
      <c r="X2332" s="5" t="s">
        <v>69</v>
      </c>
      <c r="Y2332" s="4">
        <v>4</v>
      </c>
      <c r="Z2332" s="4">
        <v>3</v>
      </c>
      <c r="AA2332" s="4">
        <v>4</v>
      </c>
      <c r="AB2332" s="4">
        <v>1</v>
      </c>
      <c r="AC2332" s="4">
        <v>1</v>
      </c>
      <c r="AD2332" s="4">
        <v>2</v>
      </c>
      <c r="AE2332" s="4">
        <v>3</v>
      </c>
      <c r="AF2332" s="4">
        <v>0</v>
      </c>
      <c r="AG2332" s="4">
        <v>0</v>
      </c>
      <c r="AH2332" s="4">
        <v>2</v>
      </c>
      <c r="AI2332" s="4">
        <v>3</v>
      </c>
      <c r="AJ2332" s="4">
        <v>1</v>
      </c>
      <c r="AK2332" s="4">
        <v>2</v>
      </c>
      <c r="AL2332" s="4">
        <v>1</v>
      </c>
      <c r="AM2332" s="4">
        <v>1</v>
      </c>
      <c r="AN2332" s="4">
        <v>0</v>
      </c>
      <c r="AO2332" s="4">
        <v>0</v>
      </c>
      <c r="AP2332" s="4">
        <v>1</v>
      </c>
      <c r="AQ2332" s="4">
        <v>2</v>
      </c>
      <c r="AR2332" s="3" t="s">
        <v>63</v>
      </c>
      <c r="AS2332" s="3" t="s">
        <v>63</v>
      </c>
      <c r="AT2332" s="3" t="s">
        <v>63</v>
      </c>
      <c r="AV2332" s="6" t="str">
        <f>HYPERLINK("http://mcgill.on.worldcat.org/oclc/61585991","Catalog Record")</f>
        <v>Catalog Record</v>
      </c>
      <c r="AW2332" s="6" t="str">
        <f>HYPERLINK("http://www.worldcat.org/oclc/61585991","WorldCat Record")</f>
        <v>WorldCat Record</v>
      </c>
      <c r="AX2332" s="3" t="s">
        <v>19345</v>
      </c>
      <c r="AY2332" s="3" t="s">
        <v>19346</v>
      </c>
      <c r="AZ2332" s="3" t="s">
        <v>19347</v>
      </c>
      <c r="BA2332" s="3" t="s">
        <v>19347</v>
      </c>
      <c r="BB2332" s="3" t="s">
        <v>19507</v>
      </c>
      <c r="BC2332" s="3" t="s">
        <v>82</v>
      </c>
      <c r="BD2332" s="3" t="s">
        <v>70</v>
      </c>
      <c r="BF2332" s="3" t="s">
        <v>19507</v>
      </c>
      <c r="BG2332" s="3" t="s">
        <v>19508</v>
      </c>
    </row>
    <row r="2333" spans="1:59" ht="60" x14ac:dyDescent="0.25">
      <c r="A2333" s="2" t="s">
        <v>59</v>
      </c>
      <c r="B2333" s="2" t="s">
        <v>60</v>
      </c>
      <c r="C2333" s="2" t="s">
        <v>19339</v>
      </c>
      <c r="D2333" s="2" t="s">
        <v>19340</v>
      </c>
      <c r="E2333" s="2" t="s">
        <v>19341</v>
      </c>
      <c r="F2333" s="3" t="s">
        <v>19434</v>
      </c>
      <c r="G2333" s="3" t="s">
        <v>62</v>
      </c>
      <c r="I2333" s="3" t="s">
        <v>62</v>
      </c>
      <c r="J2333" s="3" t="s">
        <v>63</v>
      </c>
      <c r="K2333" s="3" t="s">
        <v>64</v>
      </c>
      <c r="L2333" s="2" t="s">
        <v>19343</v>
      </c>
      <c r="M2333" s="2" t="s">
        <v>19344</v>
      </c>
      <c r="N2333" s="3" t="s">
        <v>758</v>
      </c>
      <c r="P2333" s="3" t="s">
        <v>90</v>
      </c>
      <c r="R2333" s="3" t="s">
        <v>67</v>
      </c>
      <c r="S2333" s="4">
        <v>3</v>
      </c>
      <c r="T2333" s="4">
        <v>106</v>
      </c>
      <c r="U2333" s="5" t="s">
        <v>19451</v>
      </c>
      <c r="V2333" s="5" t="s">
        <v>16663</v>
      </c>
      <c r="W2333" s="5" t="s">
        <v>69</v>
      </c>
      <c r="X2333" s="5" t="s">
        <v>69</v>
      </c>
      <c r="Y2333" s="4">
        <v>4</v>
      </c>
      <c r="Z2333" s="4">
        <v>3</v>
      </c>
      <c r="AA2333" s="4">
        <v>4</v>
      </c>
      <c r="AB2333" s="4">
        <v>1</v>
      </c>
      <c r="AC2333" s="4">
        <v>1</v>
      </c>
      <c r="AD2333" s="4">
        <v>2</v>
      </c>
      <c r="AE2333" s="4">
        <v>3</v>
      </c>
      <c r="AF2333" s="4">
        <v>0</v>
      </c>
      <c r="AG2333" s="4">
        <v>0</v>
      </c>
      <c r="AH2333" s="4">
        <v>2</v>
      </c>
      <c r="AI2333" s="4">
        <v>3</v>
      </c>
      <c r="AJ2333" s="4">
        <v>1</v>
      </c>
      <c r="AK2333" s="4">
        <v>2</v>
      </c>
      <c r="AL2333" s="4">
        <v>1</v>
      </c>
      <c r="AM2333" s="4">
        <v>1</v>
      </c>
      <c r="AN2333" s="4">
        <v>0</v>
      </c>
      <c r="AO2333" s="4">
        <v>0</v>
      </c>
      <c r="AP2333" s="4">
        <v>1</v>
      </c>
      <c r="AQ2333" s="4">
        <v>2</v>
      </c>
      <c r="AR2333" s="3" t="s">
        <v>63</v>
      </c>
      <c r="AS2333" s="3" t="s">
        <v>63</v>
      </c>
      <c r="AT2333" s="3" t="s">
        <v>63</v>
      </c>
      <c r="AV2333" s="6" t="str">
        <f>HYPERLINK("http://mcgill.on.worldcat.org/oclc/61585991","Catalog Record")</f>
        <v>Catalog Record</v>
      </c>
      <c r="AW2333" s="6" t="str">
        <f>HYPERLINK("http://www.worldcat.org/oclc/61585991","WorldCat Record")</f>
        <v>WorldCat Record</v>
      </c>
      <c r="AX2333" s="3" t="s">
        <v>19345</v>
      </c>
      <c r="AY2333" s="3" t="s">
        <v>19346</v>
      </c>
      <c r="AZ2333" s="3" t="s">
        <v>19347</v>
      </c>
      <c r="BA2333" s="3" t="s">
        <v>19347</v>
      </c>
      <c r="BB2333" s="3" t="s">
        <v>19509</v>
      </c>
      <c r="BC2333" s="3" t="s">
        <v>82</v>
      </c>
      <c r="BD2333" s="3" t="s">
        <v>70</v>
      </c>
      <c r="BF2333" s="3" t="s">
        <v>19509</v>
      </c>
      <c r="BG2333" s="3" t="s">
        <v>19510</v>
      </c>
    </row>
    <row r="2334" spans="1:59" ht="60" x14ac:dyDescent="0.25">
      <c r="A2334" s="2" t="s">
        <v>59</v>
      </c>
      <c r="B2334" s="2" t="s">
        <v>60</v>
      </c>
      <c r="C2334" s="2" t="s">
        <v>19339</v>
      </c>
      <c r="D2334" s="2" t="s">
        <v>19340</v>
      </c>
      <c r="E2334" s="2" t="s">
        <v>19341</v>
      </c>
      <c r="F2334" s="3" t="s">
        <v>19409</v>
      </c>
      <c r="G2334" s="3" t="s">
        <v>62</v>
      </c>
      <c r="I2334" s="3" t="s">
        <v>62</v>
      </c>
      <c r="J2334" s="3" t="s">
        <v>63</v>
      </c>
      <c r="K2334" s="3" t="s">
        <v>64</v>
      </c>
      <c r="L2334" s="2" t="s">
        <v>19343</v>
      </c>
      <c r="M2334" s="2" t="s">
        <v>19344</v>
      </c>
      <c r="N2334" s="3" t="s">
        <v>758</v>
      </c>
      <c r="P2334" s="3" t="s">
        <v>90</v>
      </c>
      <c r="R2334" s="3" t="s">
        <v>67</v>
      </c>
      <c r="S2334" s="4">
        <v>0</v>
      </c>
      <c r="T2334" s="4">
        <v>106</v>
      </c>
      <c r="V2334" s="5" t="s">
        <v>16663</v>
      </c>
      <c r="W2334" s="5" t="s">
        <v>69</v>
      </c>
      <c r="X2334" s="5" t="s">
        <v>69</v>
      </c>
      <c r="Y2334" s="4">
        <v>4</v>
      </c>
      <c r="Z2334" s="4">
        <v>3</v>
      </c>
      <c r="AA2334" s="4">
        <v>4</v>
      </c>
      <c r="AB2334" s="4">
        <v>1</v>
      </c>
      <c r="AC2334" s="4">
        <v>1</v>
      </c>
      <c r="AD2334" s="4">
        <v>2</v>
      </c>
      <c r="AE2334" s="4">
        <v>3</v>
      </c>
      <c r="AF2334" s="4">
        <v>0</v>
      </c>
      <c r="AG2334" s="4">
        <v>0</v>
      </c>
      <c r="AH2334" s="4">
        <v>2</v>
      </c>
      <c r="AI2334" s="4">
        <v>3</v>
      </c>
      <c r="AJ2334" s="4">
        <v>1</v>
      </c>
      <c r="AK2334" s="4">
        <v>2</v>
      </c>
      <c r="AL2334" s="4">
        <v>1</v>
      </c>
      <c r="AM2334" s="4">
        <v>1</v>
      </c>
      <c r="AN2334" s="4">
        <v>0</v>
      </c>
      <c r="AO2334" s="4">
        <v>0</v>
      </c>
      <c r="AP2334" s="4">
        <v>1</v>
      </c>
      <c r="AQ2334" s="4">
        <v>2</v>
      </c>
      <c r="AR2334" s="3" t="s">
        <v>63</v>
      </c>
      <c r="AS2334" s="3" t="s">
        <v>63</v>
      </c>
      <c r="AT2334" s="3" t="s">
        <v>63</v>
      </c>
      <c r="AV2334" s="6" t="str">
        <f>HYPERLINK("http://mcgill.on.worldcat.org/oclc/61585991","Catalog Record")</f>
        <v>Catalog Record</v>
      </c>
      <c r="AW2334" s="6" t="str">
        <f>HYPERLINK("http://www.worldcat.org/oclc/61585991","WorldCat Record")</f>
        <v>WorldCat Record</v>
      </c>
      <c r="AX2334" s="3" t="s">
        <v>19345</v>
      </c>
      <c r="AY2334" s="3" t="s">
        <v>19346</v>
      </c>
      <c r="AZ2334" s="3" t="s">
        <v>19347</v>
      </c>
      <c r="BA2334" s="3" t="s">
        <v>19347</v>
      </c>
      <c r="BB2334" s="3" t="s">
        <v>19511</v>
      </c>
      <c r="BC2334" s="3" t="s">
        <v>82</v>
      </c>
      <c r="BD2334" s="3" t="s">
        <v>70</v>
      </c>
      <c r="BF2334" s="3" t="s">
        <v>19511</v>
      </c>
      <c r="BG2334" s="3" t="s">
        <v>19512</v>
      </c>
    </row>
    <row r="2335" spans="1:59" ht="75" x14ac:dyDescent="0.25">
      <c r="A2335" s="2" t="s">
        <v>59</v>
      </c>
      <c r="B2335" s="2" t="s">
        <v>60</v>
      </c>
      <c r="C2335" s="2" t="s">
        <v>19513</v>
      </c>
      <c r="D2335" s="2" t="s">
        <v>19514</v>
      </c>
      <c r="E2335" s="2" t="s">
        <v>19515</v>
      </c>
      <c r="G2335" s="3" t="s">
        <v>63</v>
      </c>
      <c r="I2335" s="3" t="s">
        <v>63</v>
      </c>
      <c r="J2335" s="3" t="s">
        <v>63</v>
      </c>
      <c r="K2335" s="3" t="s">
        <v>64</v>
      </c>
      <c r="L2335" s="2" t="s">
        <v>19343</v>
      </c>
      <c r="M2335" s="2" t="s">
        <v>19516</v>
      </c>
      <c r="N2335" s="3" t="s">
        <v>731</v>
      </c>
      <c r="P2335" s="3" t="s">
        <v>90</v>
      </c>
      <c r="R2335" s="3" t="s">
        <v>67</v>
      </c>
      <c r="S2335" s="4">
        <v>14</v>
      </c>
      <c r="T2335" s="4">
        <v>14</v>
      </c>
      <c r="U2335" s="5" t="s">
        <v>19517</v>
      </c>
      <c r="V2335" s="5" t="s">
        <v>19517</v>
      </c>
      <c r="W2335" s="5" t="s">
        <v>69</v>
      </c>
      <c r="X2335" s="5" t="s">
        <v>69</v>
      </c>
      <c r="Y2335" s="4">
        <v>5</v>
      </c>
      <c r="Z2335" s="4">
        <v>1</v>
      </c>
      <c r="AA2335" s="4">
        <v>1</v>
      </c>
      <c r="AB2335" s="4">
        <v>1</v>
      </c>
      <c r="AC2335" s="4">
        <v>1</v>
      </c>
      <c r="AD2335" s="4">
        <v>2</v>
      </c>
      <c r="AE2335" s="4">
        <v>4</v>
      </c>
      <c r="AF2335" s="4">
        <v>0</v>
      </c>
      <c r="AG2335" s="4">
        <v>0</v>
      </c>
      <c r="AH2335" s="4">
        <v>2</v>
      </c>
      <c r="AI2335" s="4">
        <v>4</v>
      </c>
      <c r="AJ2335" s="4">
        <v>0</v>
      </c>
      <c r="AK2335" s="4">
        <v>0</v>
      </c>
      <c r="AL2335" s="4">
        <v>1</v>
      </c>
      <c r="AM2335" s="4">
        <v>2</v>
      </c>
      <c r="AN2335" s="4">
        <v>0</v>
      </c>
      <c r="AO2335" s="4">
        <v>0</v>
      </c>
      <c r="AP2335" s="4">
        <v>0</v>
      </c>
      <c r="AQ2335" s="4">
        <v>0</v>
      </c>
      <c r="AR2335" s="3" t="s">
        <v>63</v>
      </c>
      <c r="AS2335" s="3" t="s">
        <v>63</v>
      </c>
      <c r="AT2335" s="3" t="s">
        <v>63</v>
      </c>
      <c r="AV2335" s="6" t="str">
        <f>HYPERLINK("http://mcgill.on.worldcat.org/oclc/1842111","Catalog Record")</f>
        <v>Catalog Record</v>
      </c>
      <c r="AW2335" s="6" t="str">
        <f>HYPERLINK("http://www.worldcat.org/oclc/1842111","WorldCat Record")</f>
        <v>WorldCat Record</v>
      </c>
      <c r="AX2335" s="3" t="s">
        <v>19518</v>
      </c>
      <c r="AY2335" s="3" t="s">
        <v>19519</v>
      </c>
      <c r="AZ2335" s="3" t="s">
        <v>19520</v>
      </c>
      <c r="BA2335" s="3" t="s">
        <v>19520</v>
      </c>
      <c r="BB2335" s="3" t="s">
        <v>19521</v>
      </c>
      <c r="BC2335" s="3" t="s">
        <v>82</v>
      </c>
      <c r="BD2335" s="3" t="s">
        <v>70</v>
      </c>
      <c r="BF2335" s="3" t="s">
        <v>19521</v>
      </c>
      <c r="BG2335" s="3" t="s">
        <v>19522</v>
      </c>
    </row>
    <row r="2336" spans="1:59" ht="150" x14ac:dyDescent="0.25">
      <c r="A2336" s="2" t="s">
        <v>59</v>
      </c>
      <c r="B2336" s="2" t="s">
        <v>60</v>
      </c>
      <c r="C2336" s="2" t="s">
        <v>19523</v>
      </c>
      <c r="D2336" s="2" t="s">
        <v>19524</v>
      </c>
      <c r="E2336" s="2" t="s">
        <v>19525</v>
      </c>
      <c r="G2336" s="3" t="s">
        <v>63</v>
      </c>
      <c r="I2336" s="3" t="s">
        <v>63</v>
      </c>
      <c r="J2336" s="3" t="s">
        <v>63</v>
      </c>
      <c r="K2336" s="3" t="s">
        <v>64</v>
      </c>
      <c r="L2336" s="2" t="s">
        <v>19343</v>
      </c>
      <c r="M2336" s="2" t="s">
        <v>19526</v>
      </c>
      <c r="N2336" s="3" t="s">
        <v>2144</v>
      </c>
      <c r="O2336" s="2" t="s">
        <v>19527</v>
      </c>
      <c r="P2336" s="3" t="s">
        <v>90</v>
      </c>
      <c r="R2336" s="3" t="s">
        <v>67</v>
      </c>
      <c r="S2336" s="4">
        <v>13</v>
      </c>
      <c r="T2336" s="4">
        <v>13</v>
      </c>
      <c r="U2336" s="5" t="s">
        <v>389</v>
      </c>
      <c r="V2336" s="5" t="s">
        <v>389</v>
      </c>
      <c r="W2336" s="5" t="s">
        <v>69</v>
      </c>
      <c r="X2336" s="5" t="s">
        <v>69</v>
      </c>
      <c r="Y2336" s="4">
        <v>1</v>
      </c>
      <c r="Z2336" s="4">
        <v>1</v>
      </c>
      <c r="AA2336" s="4">
        <v>11</v>
      </c>
      <c r="AB2336" s="4">
        <v>1</v>
      </c>
      <c r="AC2336" s="4">
        <v>2</v>
      </c>
      <c r="AD2336" s="4">
        <v>0</v>
      </c>
      <c r="AE2336" s="4">
        <v>50</v>
      </c>
      <c r="AF2336" s="4">
        <v>0</v>
      </c>
      <c r="AG2336" s="4">
        <v>1</v>
      </c>
      <c r="AH2336" s="4">
        <v>0</v>
      </c>
      <c r="AI2336" s="4">
        <v>41</v>
      </c>
      <c r="AJ2336" s="4">
        <v>0</v>
      </c>
      <c r="AK2336" s="4">
        <v>8</v>
      </c>
      <c r="AL2336" s="4">
        <v>0</v>
      </c>
      <c r="AM2336" s="4">
        <v>29</v>
      </c>
      <c r="AN2336" s="4">
        <v>0</v>
      </c>
      <c r="AO2336" s="4">
        <v>2</v>
      </c>
      <c r="AP2336" s="4">
        <v>0</v>
      </c>
      <c r="AQ2336" s="4">
        <v>8</v>
      </c>
      <c r="AR2336" s="3" t="s">
        <v>63</v>
      </c>
      <c r="AS2336" s="3" t="s">
        <v>63</v>
      </c>
      <c r="AT2336" s="3" t="s">
        <v>63</v>
      </c>
      <c r="AV2336" s="6" t="str">
        <f>HYPERLINK("http://mcgill.on.worldcat.org/oclc/427264064","Catalog Record")</f>
        <v>Catalog Record</v>
      </c>
      <c r="AW2336" s="6" t="str">
        <f>HYPERLINK("http://www.worldcat.org/oclc/427264064","WorldCat Record")</f>
        <v>WorldCat Record</v>
      </c>
      <c r="AX2336" s="3" t="s">
        <v>19528</v>
      </c>
      <c r="AY2336" s="3" t="s">
        <v>19529</v>
      </c>
      <c r="AZ2336" s="3" t="s">
        <v>19530</v>
      </c>
      <c r="BA2336" s="3" t="s">
        <v>19530</v>
      </c>
      <c r="BB2336" s="3" t="s">
        <v>19531</v>
      </c>
      <c r="BC2336" s="3" t="s">
        <v>82</v>
      </c>
      <c r="BD2336" s="3" t="s">
        <v>70</v>
      </c>
      <c r="BF2336" s="3" t="s">
        <v>19531</v>
      </c>
      <c r="BG2336" s="3" t="s">
        <v>19532</v>
      </c>
    </row>
    <row r="2337" spans="1:59" ht="60" x14ac:dyDescent="0.25">
      <c r="A2337" s="2" t="s">
        <v>59</v>
      </c>
      <c r="B2337" s="2" t="s">
        <v>60</v>
      </c>
      <c r="C2337" s="2" t="s">
        <v>19533</v>
      </c>
      <c r="D2337" s="2" t="s">
        <v>19534</v>
      </c>
      <c r="E2337" s="2" t="s">
        <v>19535</v>
      </c>
      <c r="G2337" s="3" t="s">
        <v>63</v>
      </c>
      <c r="I2337" s="3" t="s">
        <v>63</v>
      </c>
      <c r="J2337" s="3" t="s">
        <v>63</v>
      </c>
      <c r="K2337" s="3" t="s">
        <v>64</v>
      </c>
      <c r="L2337" s="2" t="s">
        <v>19343</v>
      </c>
      <c r="M2337" s="2" t="s">
        <v>19536</v>
      </c>
      <c r="N2337" s="3" t="s">
        <v>2271</v>
      </c>
      <c r="P2337" s="3" t="s">
        <v>90</v>
      </c>
      <c r="Q2337" s="2" t="s">
        <v>15492</v>
      </c>
      <c r="R2337" s="3" t="s">
        <v>67</v>
      </c>
      <c r="S2337" s="4">
        <v>2</v>
      </c>
      <c r="T2337" s="4">
        <v>2</v>
      </c>
      <c r="U2337" s="5" t="s">
        <v>6056</v>
      </c>
      <c r="V2337" s="5" t="s">
        <v>6056</v>
      </c>
      <c r="W2337" s="5" t="s">
        <v>69</v>
      </c>
      <c r="X2337" s="5" t="s">
        <v>69</v>
      </c>
      <c r="Y2337" s="4">
        <v>128</v>
      </c>
      <c r="Z2337" s="4">
        <v>6</v>
      </c>
      <c r="AA2337" s="4">
        <v>12</v>
      </c>
      <c r="AB2337" s="4">
        <v>1</v>
      </c>
      <c r="AC2337" s="4">
        <v>1</v>
      </c>
      <c r="AD2337" s="4">
        <v>39</v>
      </c>
      <c r="AE2337" s="4">
        <v>67</v>
      </c>
      <c r="AF2337" s="4">
        <v>0</v>
      </c>
      <c r="AG2337" s="4">
        <v>0</v>
      </c>
      <c r="AH2337" s="4">
        <v>35</v>
      </c>
      <c r="AI2337" s="4">
        <v>61</v>
      </c>
      <c r="AJ2337" s="4">
        <v>4</v>
      </c>
      <c r="AK2337" s="4">
        <v>8</v>
      </c>
      <c r="AL2337" s="4">
        <v>22</v>
      </c>
      <c r="AM2337" s="4">
        <v>37</v>
      </c>
      <c r="AN2337" s="4">
        <v>0</v>
      </c>
      <c r="AO2337" s="4">
        <v>0</v>
      </c>
      <c r="AP2337" s="4">
        <v>5</v>
      </c>
      <c r="AQ2337" s="4">
        <v>10</v>
      </c>
      <c r="AR2337" s="3" t="s">
        <v>63</v>
      </c>
      <c r="AS2337" s="3" t="s">
        <v>63</v>
      </c>
      <c r="AT2337" s="3" t="s">
        <v>62</v>
      </c>
      <c r="AU2337" s="6" t="str">
        <f>HYPERLINK("http://catalog.hathitrust.org/Record/009383660","HathiTrust Record")</f>
        <v>HathiTrust Record</v>
      </c>
      <c r="AV2337" s="6" t="str">
        <f>HYPERLINK("http://mcgill.on.worldcat.org/oclc/259094","Catalog Record")</f>
        <v>Catalog Record</v>
      </c>
      <c r="AW2337" s="6" t="str">
        <f>HYPERLINK("http://www.worldcat.org/oclc/259094","WorldCat Record")</f>
        <v>WorldCat Record</v>
      </c>
      <c r="AX2337" s="3" t="s">
        <v>19537</v>
      </c>
      <c r="AY2337" s="3" t="s">
        <v>19538</v>
      </c>
      <c r="AZ2337" s="3" t="s">
        <v>19539</v>
      </c>
      <c r="BA2337" s="3" t="s">
        <v>19539</v>
      </c>
      <c r="BB2337" s="3" t="s">
        <v>19540</v>
      </c>
      <c r="BC2337" s="3" t="s">
        <v>82</v>
      </c>
      <c r="BD2337" s="3" t="s">
        <v>70</v>
      </c>
      <c r="BE2337" s="3" t="s">
        <v>19541</v>
      </c>
      <c r="BF2337" s="3" t="s">
        <v>19540</v>
      </c>
      <c r="BG2337" s="3" t="s">
        <v>19542</v>
      </c>
    </row>
    <row r="2338" spans="1:59" ht="60" x14ac:dyDescent="0.25">
      <c r="A2338" s="2" t="s">
        <v>59</v>
      </c>
      <c r="B2338" s="2" t="s">
        <v>60</v>
      </c>
      <c r="C2338" s="2" t="s">
        <v>19543</v>
      </c>
      <c r="D2338" s="2" t="s">
        <v>19544</v>
      </c>
      <c r="E2338" s="2" t="s">
        <v>19545</v>
      </c>
      <c r="G2338" s="3" t="s">
        <v>63</v>
      </c>
      <c r="I2338" s="3" t="s">
        <v>63</v>
      </c>
      <c r="J2338" s="3" t="s">
        <v>62</v>
      </c>
      <c r="K2338" s="3" t="s">
        <v>64</v>
      </c>
      <c r="L2338" s="2" t="s">
        <v>19343</v>
      </c>
      <c r="M2338" s="2" t="s">
        <v>19546</v>
      </c>
      <c r="N2338" s="3" t="s">
        <v>681</v>
      </c>
      <c r="P2338" s="3" t="s">
        <v>90</v>
      </c>
      <c r="Q2338" s="2" t="s">
        <v>19547</v>
      </c>
      <c r="R2338" s="3" t="s">
        <v>67</v>
      </c>
      <c r="S2338" s="4">
        <v>19</v>
      </c>
      <c r="T2338" s="4">
        <v>19</v>
      </c>
      <c r="U2338" s="5" t="s">
        <v>5789</v>
      </c>
      <c r="V2338" s="5" t="s">
        <v>5789</v>
      </c>
      <c r="W2338" s="5" t="s">
        <v>69</v>
      </c>
      <c r="X2338" s="5" t="s">
        <v>69</v>
      </c>
      <c r="Y2338" s="4">
        <v>58</v>
      </c>
      <c r="Z2338" s="4">
        <v>9</v>
      </c>
      <c r="AA2338" s="4">
        <v>27</v>
      </c>
      <c r="AB2338" s="4">
        <v>1</v>
      </c>
      <c r="AC2338" s="4">
        <v>3</v>
      </c>
      <c r="AD2338" s="4">
        <v>20</v>
      </c>
      <c r="AE2338" s="4">
        <v>115</v>
      </c>
      <c r="AF2338" s="4">
        <v>0</v>
      </c>
      <c r="AG2338" s="4">
        <v>1</v>
      </c>
      <c r="AH2338" s="4">
        <v>17</v>
      </c>
      <c r="AI2338" s="4">
        <v>100</v>
      </c>
      <c r="AJ2338" s="4">
        <v>7</v>
      </c>
      <c r="AK2338" s="4">
        <v>18</v>
      </c>
      <c r="AL2338" s="4">
        <v>11</v>
      </c>
      <c r="AM2338" s="4">
        <v>55</v>
      </c>
      <c r="AN2338" s="4">
        <v>0</v>
      </c>
      <c r="AO2338" s="4">
        <v>5</v>
      </c>
      <c r="AP2338" s="4">
        <v>7</v>
      </c>
      <c r="AQ2338" s="4">
        <v>19</v>
      </c>
      <c r="AR2338" s="3" t="s">
        <v>63</v>
      </c>
      <c r="AS2338" s="3" t="s">
        <v>63</v>
      </c>
      <c r="AT2338" s="3" t="s">
        <v>63</v>
      </c>
      <c r="AV2338" s="6" t="str">
        <f>HYPERLINK("http://mcgill.on.worldcat.org/oclc/2631655","Catalog Record")</f>
        <v>Catalog Record</v>
      </c>
      <c r="AW2338" s="6" t="str">
        <f>HYPERLINK("http://www.worldcat.org/oclc/2631655","WorldCat Record")</f>
        <v>WorldCat Record</v>
      </c>
      <c r="AX2338" s="3" t="s">
        <v>19548</v>
      </c>
      <c r="AY2338" s="3" t="s">
        <v>19549</v>
      </c>
      <c r="AZ2338" s="3" t="s">
        <v>19550</v>
      </c>
      <c r="BA2338" s="3" t="s">
        <v>19550</v>
      </c>
      <c r="BB2338" s="3" t="s">
        <v>19551</v>
      </c>
      <c r="BC2338" s="3" t="s">
        <v>82</v>
      </c>
      <c r="BD2338" s="3" t="s">
        <v>70</v>
      </c>
      <c r="BE2338" s="3" t="s">
        <v>19552</v>
      </c>
      <c r="BF2338" s="3" t="s">
        <v>19551</v>
      </c>
      <c r="BG2338" s="3" t="s">
        <v>19553</v>
      </c>
    </row>
    <row r="2339" spans="1:59" ht="60" x14ac:dyDescent="0.25">
      <c r="A2339" s="2" t="s">
        <v>59</v>
      </c>
      <c r="B2339" s="2" t="s">
        <v>60</v>
      </c>
      <c r="C2339" s="2" t="s">
        <v>19554</v>
      </c>
      <c r="D2339" s="2" t="s">
        <v>19555</v>
      </c>
      <c r="E2339" s="2" t="s">
        <v>19556</v>
      </c>
      <c r="G2339" s="3" t="s">
        <v>63</v>
      </c>
      <c r="I2339" s="3" t="s">
        <v>63</v>
      </c>
      <c r="J2339" s="3" t="s">
        <v>62</v>
      </c>
      <c r="K2339" s="3" t="s">
        <v>64</v>
      </c>
      <c r="L2339" s="2" t="s">
        <v>19343</v>
      </c>
      <c r="M2339" s="2" t="s">
        <v>19557</v>
      </c>
      <c r="N2339" s="3" t="s">
        <v>1343</v>
      </c>
      <c r="P2339" s="3" t="s">
        <v>90</v>
      </c>
      <c r="Q2339" s="2" t="s">
        <v>19558</v>
      </c>
      <c r="R2339" s="3" t="s">
        <v>67</v>
      </c>
      <c r="S2339" s="4">
        <v>17</v>
      </c>
      <c r="T2339" s="4">
        <v>17</v>
      </c>
      <c r="U2339" s="5" t="s">
        <v>19559</v>
      </c>
      <c r="V2339" s="5" t="s">
        <v>19559</v>
      </c>
      <c r="W2339" s="5" t="s">
        <v>69</v>
      </c>
      <c r="X2339" s="5" t="s">
        <v>69</v>
      </c>
      <c r="Y2339" s="4">
        <v>16</v>
      </c>
      <c r="Z2339" s="4">
        <v>2</v>
      </c>
      <c r="AA2339" s="4">
        <v>27</v>
      </c>
      <c r="AB2339" s="4">
        <v>1</v>
      </c>
      <c r="AC2339" s="4">
        <v>3</v>
      </c>
      <c r="AD2339" s="4">
        <v>10</v>
      </c>
      <c r="AE2339" s="4">
        <v>115</v>
      </c>
      <c r="AF2339" s="4">
        <v>0</v>
      </c>
      <c r="AG2339" s="4">
        <v>1</v>
      </c>
      <c r="AH2339" s="4">
        <v>10</v>
      </c>
      <c r="AI2339" s="4">
        <v>100</v>
      </c>
      <c r="AJ2339" s="4">
        <v>1</v>
      </c>
      <c r="AK2339" s="4">
        <v>18</v>
      </c>
      <c r="AL2339" s="4">
        <v>9</v>
      </c>
      <c r="AM2339" s="4">
        <v>55</v>
      </c>
      <c r="AN2339" s="4">
        <v>0</v>
      </c>
      <c r="AO2339" s="4">
        <v>5</v>
      </c>
      <c r="AP2339" s="4">
        <v>1</v>
      </c>
      <c r="AQ2339" s="4">
        <v>19</v>
      </c>
      <c r="AR2339" s="3" t="s">
        <v>63</v>
      </c>
      <c r="AS2339" s="3" t="s">
        <v>63</v>
      </c>
      <c r="AT2339" s="3" t="s">
        <v>63</v>
      </c>
      <c r="AV2339" s="6" t="str">
        <f>HYPERLINK("http://mcgill.on.worldcat.org/oclc/44655978","Catalog Record")</f>
        <v>Catalog Record</v>
      </c>
      <c r="AW2339" s="6" t="str">
        <f>HYPERLINK("http://www.worldcat.org/oclc/44655978","WorldCat Record")</f>
        <v>WorldCat Record</v>
      </c>
      <c r="AX2339" s="3" t="s">
        <v>19548</v>
      </c>
      <c r="AY2339" s="3" t="s">
        <v>19560</v>
      </c>
      <c r="AZ2339" s="3" t="s">
        <v>19561</v>
      </c>
      <c r="BA2339" s="3" t="s">
        <v>19561</v>
      </c>
      <c r="BB2339" s="3" t="s">
        <v>19562</v>
      </c>
      <c r="BC2339" s="3" t="s">
        <v>82</v>
      </c>
      <c r="BD2339" s="3" t="s">
        <v>70</v>
      </c>
      <c r="BE2339" s="3" t="s">
        <v>19563</v>
      </c>
      <c r="BF2339" s="3" t="s">
        <v>19562</v>
      </c>
      <c r="BG2339" s="3" t="s">
        <v>19564</v>
      </c>
    </row>
    <row r="2340" spans="1:59" ht="60" x14ac:dyDescent="0.25">
      <c r="A2340" s="2" t="s">
        <v>59</v>
      </c>
      <c r="B2340" s="2" t="s">
        <v>60</v>
      </c>
      <c r="C2340" s="2" t="s">
        <v>19565</v>
      </c>
      <c r="D2340" s="2" t="s">
        <v>19566</v>
      </c>
      <c r="E2340" s="2" t="s">
        <v>19567</v>
      </c>
      <c r="G2340" s="3" t="s">
        <v>63</v>
      </c>
      <c r="I2340" s="3" t="s">
        <v>63</v>
      </c>
      <c r="J2340" s="3" t="s">
        <v>63</v>
      </c>
      <c r="K2340" s="3" t="s">
        <v>64</v>
      </c>
      <c r="L2340" s="2" t="s">
        <v>19124</v>
      </c>
      <c r="M2340" s="2" t="s">
        <v>19568</v>
      </c>
      <c r="N2340" s="3" t="s">
        <v>2535</v>
      </c>
      <c r="O2340" s="2" t="s">
        <v>19569</v>
      </c>
      <c r="P2340" s="3" t="s">
        <v>66</v>
      </c>
      <c r="Q2340" s="2" t="s">
        <v>19570</v>
      </c>
      <c r="R2340" s="3" t="s">
        <v>67</v>
      </c>
      <c r="S2340" s="4">
        <v>1</v>
      </c>
      <c r="T2340" s="4">
        <v>1</v>
      </c>
      <c r="U2340" s="5" t="s">
        <v>19571</v>
      </c>
      <c r="V2340" s="5" t="s">
        <v>19571</v>
      </c>
      <c r="W2340" s="5" t="s">
        <v>69</v>
      </c>
      <c r="X2340" s="5" t="s">
        <v>69</v>
      </c>
      <c r="Y2340" s="4">
        <v>27</v>
      </c>
      <c r="Z2340" s="4">
        <v>1</v>
      </c>
      <c r="AA2340" s="4">
        <v>22</v>
      </c>
      <c r="AB2340" s="4">
        <v>1</v>
      </c>
      <c r="AC2340" s="4">
        <v>2</v>
      </c>
      <c r="AD2340" s="4">
        <v>12</v>
      </c>
      <c r="AE2340" s="4">
        <v>87</v>
      </c>
      <c r="AF2340" s="4">
        <v>0</v>
      </c>
      <c r="AG2340" s="4">
        <v>1</v>
      </c>
      <c r="AH2340" s="4">
        <v>12</v>
      </c>
      <c r="AI2340" s="4">
        <v>75</v>
      </c>
      <c r="AJ2340" s="4">
        <v>0</v>
      </c>
      <c r="AK2340" s="4">
        <v>15</v>
      </c>
      <c r="AL2340" s="4">
        <v>11</v>
      </c>
      <c r="AM2340" s="4">
        <v>48</v>
      </c>
      <c r="AN2340" s="4">
        <v>0</v>
      </c>
      <c r="AO2340" s="4">
        <v>0</v>
      </c>
      <c r="AP2340" s="4">
        <v>0</v>
      </c>
      <c r="AQ2340" s="4">
        <v>17</v>
      </c>
      <c r="AR2340" s="3" t="s">
        <v>63</v>
      </c>
      <c r="AS2340" s="3" t="s">
        <v>63</v>
      </c>
      <c r="AT2340" s="3" t="s">
        <v>63</v>
      </c>
      <c r="AV2340" s="6" t="str">
        <f>HYPERLINK("http://mcgill.on.worldcat.org/oclc/1227237","Catalog Record")</f>
        <v>Catalog Record</v>
      </c>
      <c r="AW2340" s="6" t="str">
        <f>HYPERLINK("http://www.worldcat.org/oclc/1227237","WorldCat Record")</f>
        <v>WorldCat Record</v>
      </c>
      <c r="AX2340" s="3" t="s">
        <v>19572</v>
      </c>
      <c r="AY2340" s="3" t="s">
        <v>19573</v>
      </c>
      <c r="AZ2340" s="3" t="s">
        <v>19574</v>
      </c>
      <c r="BA2340" s="3" t="s">
        <v>19574</v>
      </c>
      <c r="BB2340" s="3" t="s">
        <v>19575</v>
      </c>
      <c r="BC2340" s="3" t="s">
        <v>82</v>
      </c>
      <c r="BD2340" s="3" t="s">
        <v>70</v>
      </c>
      <c r="BF2340" s="3" t="s">
        <v>19575</v>
      </c>
      <c r="BG2340" s="3" t="s">
        <v>19576</v>
      </c>
    </row>
    <row r="2341" spans="1:59" ht="60" x14ac:dyDescent="0.25">
      <c r="A2341" s="2" t="s">
        <v>59</v>
      </c>
      <c r="B2341" s="2" t="s">
        <v>60</v>
      </c>
      <c r="C2341" s="2" t="s">
        <v>19577</v>
      </c>
      <c r="D2341" s="2" t="s">
        <v>19578</v>
      </c>
      <c r="E2341" s="2" t="s">
        <v>19579</v>
      </c>
      <c r="G2341" s="3" t="s">
        <v>63</v>
      </c>
      <c r="I2341" s="3" t="s">
        <v>63</v>
      </c>
      <c r="J2341" s="3" t="s">
        <v>63</v>
      </c>
      <c r="K2341" s="3" t="s">
        <v>64</v>
      </c>
      <c r="L2341" s="2" t="s">
        <v>19580</v>
      </c>
      <c r="M2341" s="2" t="s">
        <v>19581</v>
      </c>
      <c r="N2341" s="3" t="s">
        <v>3640</v>
      </c>
      <c r="P2341" s="3" t="s">
        <v>66</v>
      </c>
      <c r="R2341" s="3" t="s">
        <v>67</v>
      </c>
      <c r="S2341" s="4">
        <v>28</v>
      </c>
      <c r="T2341" s="4">
        <v>28</v>
      </c>
      <c r="U2341" s="5" t="s">
        <v>16424</v>
      </c>
      <c r="V2341" s="5" t="s">
        <v>16424</v>
      </c>
      <c r="W2341" s="5" t="s">
        <v>69</v>
      </c>
      <c r="X2341" s="5" t="s">
        <v>69</v>
      </c>
      <c r="Y2341" s="4">
        <v>370</v>
      </c>
      <c r="Z2341" s="4">
        <v>28</v>
      </c>
      <c r="AA2341" s="4">
        <v>31</v>
      </c>
      <c r="AB2341" s="4">
        <v>2</v>
      </c>
      <c r="AC2341" s="4">
        <v>3</v>
      </c>
      <c r="AD2341" s="4">
        <v>111</v>
      </c>
      <c r="AE2341" s="4">
        <v>115</v>
      </c>
      <c r="AF2341" s="4">
        <v>1</v>
      </c>
      <c r="AG2341" s="4">
        <v>2</v>
      </c>
      <c r="AH2341" s="4">
        <v>97</v>
      </c>
      <c r="AI2341" s="4">
        <v>99</v>
      </c>
      <c r="AJ2341" s="4">
        <v>19</v>
      </c>
      <c r="AK2341" s="4">
        <v>22</v>
      </c>
      <c r="AL2341" s="4">
        <v>52</v>
      </c>
      <c r="AM2341" s="4">
        <v>53</v>
      </c>
      <c r="AN2341" s="4">
        <v>0</v>
      </c>
      <c r="AO2341" s="4">
        <v>0</v>
      </c>
      <c r="AP2341" s="4">
        <v>22</v>
      </c>
      <c r="AQ2341" s="4">
        <v>24</v>
      </c>
      <c r="AR2341" s="3" t="s">
        <v>63</v>
      </c>
      <c r="AS2341" s="3" t="s">
        <v>63</v>
      </c>
      <c r="AT2341" s="3" t="s">
        <v>62</v>
      </c>
      <c r="AU2341" s="6" t="str">
        <f>HYPERLINK("http://catalog.hathitrust.org/Record/000108293","HathiTrust Record")</f>
        <v>HathiTrust Record</v>
      </c>
      <c r="AV2341" s="6" t="str">
        <f>HYPERLINK("http://mcgill.on.worldcat.org/oclc/6487596","Catalog Record")</f>
        <v>Catalog Record</v>
      </c>
      <c r="AW2341" s="6" t="str">
        <f>HYPERLINK("http://www.worldcat.org/oclc/6487596","WorldCat Record")</f>
        <v>WorldCat Record</v>
      </c>
      <c r="AX2341" s="3" t="s">
        <v>19582</v>
      </c>
      <c r="AY2341" s="3" t="s">
        <v>19583</v>
      </c>
      <c r="AZ2341" s="3" t="s">
        <v>19584</v>
      </c>
      <c r="BA2341" s="3" t="s">
        <v>19584</v>
      </c>
      <c r="BB2341" s="3" t="s">
        <v>19585</v>
      </c>
      <c r="BC2341" s="3" t="s">
        <v>82</v>
      </c>
      <c r="BD2341" s="3" t="s">
        <v>70</v>
      </c>
      <c r="BE2341" s="3" t="s">
        <v>19586</v>
      </c>
      <c r="BF2341" s="3" t="s">
        <v>19585</v>
      </c>
      <c r="BG2341" s="3" t="s">
        <v>19587</v>
      </c>
    </row>
    <row r="2342" spans="1:59" ht="75" x14ac:dyDescent="0.25">
      <c r="A2342" s="2" t="s">
        <v>59</v>
      </c>
      <c r="B2342" s="2" t="s">
        <v>60</v>
      </c>
      <c r="C2342" s="2" t="s">
        <v>19588</v>
      </c>
      <c r="D2342" s="2" t="s">
        <v>19589</v>
      </c>
      <c r="E2342" s="2" t="s">
        <v>19590</v>
      </c>
      <c r="G2342" s="3" t="s">
        <v>63</v>
      </c>
      <c r="I2342" s="3" t="s">
        <v>63</v>
      </c>
      <c r="J2342" s="3" t="s">
        <v>63</v>
      </c>
      <c r="K2342" s="3" t="s">
        <v>64</v>
      </c>
      <c r="L2342" s="2" t="s">
        <v>19029</v>
      </c>
      <c r="M2342" s="2" t="s">
        <v>19591</v>
      </c>
      <c r="N2342" s="3" t="s">
        <v>220</v>
      </c>
      <c r="P2342" s="3" t="s">
        <v>66</v>
      </c>
      <c r="Q2342" s="2" t="s">
        <v>19592</v>
      </c>
      <c r="R2342" s="3" t="s">
        <v>67</v>
      </c>
      <c r="S2342" s="4">
        <v>25</v>
      </c>
      <c r="T2342" s="4">
        <v>25</v>
      </c>
      <c r="U2342" s="5" t="s">
        <v>3789</v>
      </c>
      <c r="V2342" s="5" t="s">
        <v>3789</v>
      </c>
      <c r="W2342" s="5" t="s">
        <v>69</v>
      </c>
      <c r="X2342" s="5" t="s">
        <v>69</v>
      </c>
      <c r="Y2342" s="4">
        <v>358</v>
      </c>
      <c r="Z2342" s="4">
        <v>23</v>
      </c>
      <c r="AA2342" s="4">
        <v>27</v>
      </c>
      <c r="AB2342" s="4">
        <v>1</v>
      </c>
      <c r="AC2342" s="4">
        <v>2</v>
      </c>
      <c r="AD2342" s="4">
        <v>84</v>
      </c>
      <c r="AE2342" s="4">
        <v>94</v>
      </c>
      <c r="AF2342" s="4">
        <v>0</v>
      </c>
      <c r="AG2342" s="4">
        <v>0</v>
      </c>
      <c r="AH2342" s="4">
        <v>78</v>
      </c>
      <c r="AI2342" s="4">
        <v>86</v>
      </c>
      <c r="AJ2342" s="4">
        <v>14</v>
      </c>
      <c r="AK2342" s="4">
        <v>16</v>
      </c>
      <c r="AL2342" s="4">
        <v>42</v>
      </c>
      <c r="AM2342" s="4">
        <v>44</v>
      </c>
      <c r="AN2342" s="4">
        <v>0</v>
      </c>
      <c r="AO2342" s="4">
        <v>0</v>
      </c>
      <c r="AP2342" s="4">
        <v>16</v>
      </c>
      <c r="AQ2342" s="4">
        <v>19</v>
      </c>
      <c r="AR2342" s="3" t="s">
        <v>63</v>
      </c>
      <c r="AS2342" s="3" t="s">
        <v>63</v>
      </c>
      <c r="AT2342" s="3" t="s">
        <v>62</v>
      </c>
      <c r="AU2342" s="6" t="str">
        <f>HYPERLINK("http://catalog.hathitrust.org/Record/002803977","HathiTrust Record")</f>
        <v>HathiTrust Record</v>
      </c>
      <c r="AV2342" s="6" t="str">
        <f>HYPERLINK("http://mcgill.on.worldcat.org/oclc/27976885","Catalog Record")</f>
        <v>Catalog Record</v>
      </c>
      <c r="AW2342" s="6" t="str">
        <f>HYPERLINK("http://www.worldcat.org/oclc/27976885","WorldCat Record")</f>
        <v>WorldCat Record</v>
      </c>
      <c r="AX2342" s="3" t="s">
        <v>19593</v>
      </c>
      <c r="AY2342" s="3" t="s">
        <v>19594</v>
      </c>
      <c r="AZ2342" s="3" t="s">
        <v>19595</v>
      </c>
      <c r="BA2342" s="3" t="s">
        <v>19595</v>
      </c>
      <c r="BB2342" s="3" t="s">
        <v>19596</v>
      </c>
      <c r="BC2342" s="3" t="s">
        <v>82</v>
      </c>
      <c r="BD2342" s="3" t="s">
        <v>70</v>
      </c>
      <c r="BE2342" s="3" t="s">
        <v>19597</v>
      </c>
      <c r="BF2342" s="3" t="s">
        <v>19596</v>
      </c>
      <c r="BG2342" s="3" t="s">
        <v>19598</v>
      </c>
    </row>
    <row r="2343" spans="1:59" ht="75" x14ac:dyDescent="0.25">
      <c r="A2343" s="2" t="s">
        <v>59</v>
      </c>
      <c r="B2343" s="2" t="s">
        <v>60</v>
      </c>
      <c r="C2343" s="2" t="s">
        <v>19599</v>
      </c>
      <c r="D2343" s="2" t="s">
        <v>19600</v>
      </c>
      <c r="E2343" s="2" t="s">
        <v>19601</v>
      </c>
      <c r="G2343" s="3" t="s">
        <v>63</v>
      </c>
      <c r="I2343" s="3" t="s">
        <v>63</v>
      </c>
      <c r="J2343" s="3" t="s">
        <v>63</v>
      </c>
      <c r="K2343" s="3" t="s">
        <v>64</v>
      </c>
      <c r="L2343" s="2" t="s">
        <v>13881</v>
      </c>
      <c r="M2343" s="2" t="s">
        <v>19602</v>
      </c>
      <c r="N2343" s="3" t="s">
        <v>204</v>
      </c>
      <c r="P2343" s="3" t="s">
        <v>66</v>
      </c>
      <c r="Q2343" s="2" t="s">
        <v>13900</v>
      </c>
      <c r="R2343" s="3" t="s">
        <v>67</v>
      </c>
      <c r="S2343" s="4">
        <v>3</v>
      </c>
      <c r="T2343" s="4">
        <v>3</v>
      </c>
      <c r="U2343" s="5" t="s">
        <v>3789</v>
      </c>
      <c r="V2343" s="5" t="s">
        <v>3789</v>
      </c>
      <c r="W2343" s="5" t="s">
        <v>69</v>
      </c>
      <c r="X2343" s="5" t="s">
        <v>69</v>
      </c>
      <c r="Y2343" s="4">
        <v>112</v>
      </c>
      <c r="Z2343" s="4">
        <v>8</v>
      </c>
      <c r="AA2343" s="4">
        <v>8</v>
      </c>
      <c r="AB2343" s="4">
        <v>1</v>
      </c>
      <c r="AC2343" s="4">
        <v>1</v>
      </c>
      <c r="AD2343" s="4">
        <v>52</v>
      </c>
      <c r="AE2343" s="4">
        <v>52</v>
      </c>
      <c r="AF2343" s="4">
        <v>0</v>
      </c>
      <c r="AG2343" s="4">
        <v>0</v>
      </c>
      <c r="AH2343" s="4">
        <v>48</v>
      </c>
      <c r="AI2343" s="4">
        <v>48</v>
      </c>
      <c r="AJ2343" s="4">
        <v>6</v>
      </c>
      <c r="AK2343" s="4">
        <v>6</v>
      </c>
      <c r="AL2343" s="4">
        <v>29</v>
      </c>
      <c r="AM2343" s="4">
        <v>29</v>
      </c>
      <c r="AN2343" s="4">
        <v>0</v>
      </c>
      <c r="AO2343" s="4">
        <v>0</v>
      </c>
      <c r="AP2343" s="4">
        <v>7</v>
      </c>
      <c r="AQ2343" s="4">
        <v>7</v>
      </c>
      <c r="AR2343" s="3" t="s">
        <v>63</v>
      </c>
      <c r="AS2343" s="3" t="s">
        <v>63</v>
      </c>
      <c r="AT2343" s="3" t="s">
        <v>62</v>
      </c>
      <c r="AU2343" s="6" t="str">
        <f>HYPERLINK("http://catalog.hathitrust.org/Record/003080003","HathiTrust Record")</f>
        <v>HathiTrust Record</v>
      </c>
      <c r="AV2343" s="6" t="str">
        <f>HYPERLINK("http://mcgill.on.worldcat.org/oclc/35240740","Catalog Record")</f>
        <v>Catalog Record</v>
      </c>
      <c r="AW2343" s="6" t="str">
        <f>HYPERLINK("http://www.worldcat.org/oclc/35240740","WorldCat Record")</f>
        <v>WorldCat Record</v>
      </c>
      <c r="AX2343" s="3" t="s">
        <v>19603</v>
      </c>
      <c r="AY2343" s="3" t="s">
        <v>19604</v>
      </c>
      <c r="AZ2343" s="3" t="s">
        <v>19605</v>
      </c>
      <c r="BA2343" s="3" t="s">
        <v>19605</v>
      </c>
      <c r="BB2343" s="3" t="s">
        <v>19606</v>
      </c>
      <c r="BC2343" s="3" t="s">
        <v>82</v>
      </c>
      <c r="BD2343" s="3" t="s">
        <v>70</v>
      </c>
      <c r="BE2343" s="3" t="s">
        <v>19607</v>
      </c>
      <c r="BF2343" s="3" t="s">
        <v>19606</v>
      </c>
      <c r="BG2343" s="3" t="s">
        <v>19608</v>
      </c>
    </row>
    <row r="2344" spans="1:59" ht="60" x14ac:dyDescent="0.25">
      <c r="A2344" s="2" t="s">
        <v>59</v>
      </c>
      <c r="B2344" s="2" t="s">
        <v>60</v>
      </c>
      <c r="C2344" s="2" t="s">
        <v>19609</v>
      </c>
      <c r="D2344" s="2" t="s">
        <v>19610</v>
      </c>
      <c r="E2344" s="2" t="s">
        <v>19611</v>
      </c>
      <c r="G2344" s="3" t="s">
        <v>63</v>
      </c>
      <c r="I2344" s="3" t="s">
        <v>63</v>
      </c>
      <c r="J2344" s="3" t="s">
        <v>63</v>
      </c>
      <c r="K2344" s="3" t="s">
        <v>64</v>
      </c>
      <c r="L2344" s="2" t="s">
        <v>19343</v>
      </c>
      <c r="M2344" s="2" t="s">
        <v>19612</v>
      </c>
      <c r="N2344" s="3" t="s">
        <v>1046</v>
      </c>
      <c r="P2344" s="3" t="s">
        <v>90</v>
      </c>
      <c r="Q2344" s="2" t="s">
        <v>2705</v>
      </c>
      <c r="R2344" s="3" t="s">
        <v>67</v>
      </c>
      <c r="S2344" s="4">
        <v>10</v>
      </c>
      <c r="T2344" s="4">
        <v>10</v>
      </c>
      <c r="U2344" s="5" t="s">
        <v>6320</v>
      </c>
      <c r="V2344" s="5" t="s">
        <v>6320</v>
      </c>
      <c r="W2344" s="5" t="s">
        <v>69</v>
      </c>
      <c r="X2344" s="5" t="s">
        <v>69</v>
      </c>
      <c r="Y2344" s="4">
        <v>27</v>
      </c>
      <c r="Z2344" s="4">
        <v>3</v>
      </c>
      <c r="AA2344" s="4">
        <v>30</v>
      </c>
      <c r="AB2344" s="4">
        <v>1</v>
      </c>
      <c r="AC2344" s="4">
        <v>3</v>
      </c>
      <c r="AD2344" s="4">
        <v>9</v>
      </c>
      <c r="AE2344" s="4">
        <v>97</v>
      </c>
      <c r="AF2344" s="4">
        <v>0</v>
      </c>
      <c r="AG2344" s="4">
        <v>0</v>
      </c>
      <c r="AH2344" s="4">
        <v>7</v>
      </c>
      <c r="AI2344" s="4">
        <v>85</v>
      </c>
      <c r="AJ2344" s="4">
        <v>1</v>
      </c>
      <c r="AK2344" s="4">
        <v>14</v>
      </c>
      <c r="AL2344" s="4">
        <v>6</v>
      </c>
      <c r="AM2344" s="4">
        <v>47</v>
      </c>
      <c r="AN2344" s="4">
        <v>0</v>
      </c>
      <c r="AO2344" s="4">
        <v>3</v>
      </c>
      <c r="AP2344" s="4">
        <v>2</v>
      </c>
      <c r="AQ2344" s="4">
        <v>21</v>
      </c>
      <c r="AR2344" s="3" t="s">
        <v>63</v>
      </c>
      <c r="AS2344" s="3" t="s">
        <v>63</v>
      </c>
      <c r="AT2344" s="3" t="s">
        <v>63</v>
      </c>
      <c r="AV2344" s="6" t="str">
        <f>HYPERLINK("http://mcgill.on.worldcat.org/oclc/18850838","Catalog Record")</f>
        <v>Catalog Record</v>
      </c>
      <c r="AW2344" s="6" t="str">
        <f>HYPERLINK("http://www.worldcat.org/oclc/18850838","WorldCat Record")</f>
        <v>WorldCat Record</v>
      </c>
      <c r="AX2344" s="3" t="s">
        <v>19613</v>
      </c>
      <c r="AY2344" s="3" t="s">
        <v>19614</v>
      </c>
      <c r="AZ2344" s="3" t="s">
        <v>19615</v>
      </c>
      <c r="BA2344" s="3" t="s">
        <v>19615</v>
      </c>
      <c r="BB2344" s="3" t="s">
        <v>19616</v>
      </c>
      <c r="BC2344" s="3" t="s">
        <v>82</v>
      </c>
      <c r="BD2344" s="3" t="s">
        <v>70</v>
      </c>
      <c r="BF2344" s="3" t="s">
        <v>19616</v>
      </c>
      <c r="BG2344" s="3" t="s">
        <v>19617</v>
      </c>
    </row>
    <row r="2345" spans="1:59" ht="60" x14ac:dyDescent="0.25">
      <c r="A2345" s="2" t="s">
        <v>59</v>
      </c>
      <c r="B2345" s="2" t="s">
        <v>60</v>
      </c>
      <c r="C2345" s="2" t="s">
        <v>19618</v>
      </c>
      <c r="D2345" s="2" t="s">
        <v>19619</v>
      </c>
      <c r="E2345" s="2" t="s">
        <v>19620</v>
      </c>
      <c r="G2345" s="3" t="s">
        <v>63</v>
      </c>
      <c r="I2345" s="3" t="s">
        <v>63</v>
      </c>
      <c r="J2345" s="3" t="s">
        <v>62</v>
      </c>
      <c r="K2345" s="3" t="s">
        <v>64</v>
      </c>
      <c r="L2345" s="2" t="s">
        <v>19343</v>
      </c>
      <c r="M2345" s="2" t="s">
        <v>19621</v>
      </c>
      <c r="N2345" s="3" t="s">
        <v>2225</v>
      </c>
      <c r="P2345" s="3" t="s">
        <v>90</v>
      </c>
      <c r="R2345" s="3" t="s">
        <v>67</v>
      </c>
      <c r="S2345" s="4">
        <v>8</v>
      </c>
      <c r="T2345" s="4">
        <v>8</v>
      </c>
      <c r="U2345" s="5" t="s">
        <v>8288</v>
      </c>
      <c r="V2345" s="5" t="s">
        <v>8288</v>
      </c>
      <c r="W2345" s="5" t="s">
        <v>69</v>
      </c>
      <c r="X2345" s="5" t="s">
        <v>69</v>
      </c>
      <c r="Y2345" s="4">
        <v>38</v>
      </c>
      <c r="Z2345" s="4">
        <v>9</v>
      </c>
      <c r="AA2345" s="4">
        <v>27</v>
      </c>
      <c r="AB2345" s="4">
        <v>1</v>
      </c>
      <c r="AC2345" s="4">
        <v>4</v>
      </c>
      <c r="AD2345" s="4">
        <v>16</v>
      </c>
      <c r="AE2345" s="4">
        <v>109</v>
      </c>
      <c r="AF2345" s="4">
        <v>0</v>
      </c>
      <c r="AG2345" s="4">
        <v>1</v>
      </c>
      <c r="AH2345" s="4">
        <v>15</v>
      </c>
      <c r="AI2345" s="4">
        <v>97</v>
      </c>
      <c r="AJ2345" s="4">
        <v>6</v>
      </c>
      <c r="AK2345" s="4">
        <v>15</v>
      </c>
      <c r="AL2345" s="4">
        <v>9</v>
      </c>
      <c r="AM2345" s="4">
        <v>54</v>
      </c>
      <c r="AN2345" s="4">
        <v>0</v>
      </c>
      <c r="AO2345" s="4">
        <v>7</v>
      </c>
      <c r="AP2345" s="4">
        <v>7</v>
      </c>
      <c r="AQ2345" s="4">
        <v>18</v>
      </c>
      <c r="AR2345" s="3" t="s">
        <v>63</v>
      </c>
      <c r="AS2345" s="3" t="s">
        <v>63</v>
      </c>
      <c r="AT2345" s="3" t="s">
        <v>63</v>
      </c>
      <c r="AV2345" s="6" t="str">
        <f>HYPERLINK("http://mcgill.on.worldcat.org/oclc/4953640","Catalog Record")</f>
        <v>Catalog Record</v>
      </c>
      <c r="AW2345" s="6" t="str">
        <f>HYPERLINK("http://www.worldcat.org/oclc/4953640","WorldCat Record")</f>
        <v>WorldCat Record</v>
      </c>
      <c r="AX2345" s="3" t="s">
        <v>19622</v>
      </c>
      <c r="AY2345" s="3" t="s">
        <v>19623</v>
      </c>
      <c r="AZ2345" s="3" t="s">
        <v>19624</v>
      </c>
      <c r="BA2345" s="3" t="s">
        <v>19624</v>
      </c>
      <c r="BB2345" s="3" t="s">
        <v>19625</v>
      </c>
      <c r="BC2345" s="3" t="s">
        <v>82</v>
      </c>
      <c r="BD2345" s="3" t="s">
        <v>70</v>
      </c>
      <c r="BF2345" s="3" t="s">
        <v>19625</v>
      </c>
      <c r="BG2345" s="3" t="s">
        <v>19626</v>
      </c>
    </row>
    <row r="2346" spans="1:59" ht="60" x14ac:dyDescent="0.25">
      <c r="A2346" s="2" t="s">
        <v>59</v>
      </c>
      <c r="B2346" s="2" t="s">
        <v>60</v>
      </c>
      <c r="C2346" s="2" t="s">
        <v>19627</v>
      </c>
      <c r="D2346" s="2" t="s">
        <v>19628</v>
      </c>
      <c r="E2346" s="2" t="s">
        <v>19629</v>
      </c>
      <c r="G2346" s="3" t="s">
        <v>63</v>
      </c>
      <c r="I2346" s="3" t="s">
        <v>63</v>
      </c>
      <c r="J2346" s="3" t="s">
        <v>62</v>
      </c>
      <c r="K2346" s="3" t="s">
        <v>64</v>
      </c>
      <c r="L2346" s="2" t="s">
        <v>19343</v>
      </c>
      <c r="M2346" s="2" t="s">
        <v>19630</v>
      </c>
      <c r="N2346" s="3" t="s">
        <v>939</v>
      </c>
      <c r="P2346" s="3" t="s">
        <v>90</v>
      </c>
      <c r="Q2346" s="2" t="s">
        <v>19631</v>
      </c>
      <c r="R2346" s="3" t="s">
        <v>67</v>
      </c>
      <c r="S2346" s="4">
        <v>2</v>
      </c>
      <c r="T2346" s="4">
        <v>2</v>
      </c>
      <c r="U2346" s="5" t="s">
        <v>6056</v>
      </c>
      <c r="V2346" s="5" t="s">
        <v>6056</v>
      </c>
      <c r="W2346" s="5" t="s">
        <v>69</v>
      </c>
      <c r="X2346" s="5" t="s">
        <v>69</v>
      </c>
      <c r="Y2346" s="4">
        <v>15</v>
      </c>
      <c r="Z2346" s="4">
        <v>2</v>
      </c>
      <c r="AA2346" s="4">
        <v>27</v>
      </c>
      <c r="AB2346" s="4">
        <v>1</v>
      </c>
      <c r="AC2346" s="4">
        <v>4</v>
      </c>
      <c r="AD2346" s="4">
        <v>9</v>
      </c>
      <c r="AE2346" s="4">
        <v>109</v>
      </c>
      <c r="AF2346" s="4">
        <v>0</v>
      </c>
      <c r="AG2346" s="4">
        <v>1</v>
      </c>
      <c r="AH2346" s="4">
        <v>8</v>
      </c>
      <c r="AI2346" s="4">
        <v>97</v>
      </c>
      <c r="AJ2346" s="4">
        <v>1</v>
      </c>
      <c r="AK2346" s="4">
        <v>15</v>
      </c>
      <c r="AL2346" s="4">
        <v>3</v>
      </c>
      <c r="AM2346" s="4">
        <v>54</v>
      </c>
      <c r="AN2346" s="4">
        <v>0</v>
      </c>
      <c r="AO2346" s="4">
        <v>7</v>
      </c>
      <c r="AP2346" s="4">
        <v>1</v>
      </c>
      <c r="AQ2346" s="4">
        <v>18</v>
      </c>
      <c r="AR2346" s="3" t="s">
        <v>63</v>
      </c>
      <c r="AS2346" s="3" t="s">
        <v>63</v>
      </c>
      <c r="AT2346" s="3" t="s">
        <v>63</v>
      </c>
      <c r="AV2346" s="6" t="str">
        <f>HYPERLINK("http://mcgill.on.worldcat.org/oclc/10508738","Catalog Record")</f>
        <v>Catalog Record</v>
      </c>
      <c r="AW2346" s="6" t="str">
        <f>HYPERLINK("http://www.worldcat.org/oclc/10508738","WorldCat Record")</f>
        <v>WorldCat Record</v>
      </c>
      <c r="AX2346" s="3" t="s">
        <v>19622</v>
      </c>
      <c r="AY2346" s="3" t="s">
        <v>19632</v>
      </c>
      <c r="AZ2346" s="3" t="s">
        <v>19633</v>
      </c>
      <c r="BA2346" s="3" t="s">
        <v>19633</v>
      </c>
      <c r="BB2346" s="3" t="s">
        <v>19634</v>
      </c>
      <c r="BC2346" s="3" t="s">
        <v>82</v>
      </c>
      <c r="BD2346" s="3" t="s">
        <v>70</v>
      </c>
      <c r="BF2346" s="3" t="s">
        <v>19634</v>
      </c>
      <c r="BG2346" s="3" t="s">
        <v>19635</v>
      </c>
    </row>
    <row r="2347" spans="1:59" ht="60" x14ac:dyDescent="0.25">
      <c r="A2347" s="2" t="s">
        <v>59</v>
      </c>
      <c r="B2347" s="2" t="s">
        <v>60</v>
      </c>
      <c r="C2347" s="2" t="s">
        <v>19636</v>
      </c>
      <c r="D2347" s="2" t="s">
        <v>19637</v>
      </c>
      <c r="E2347" s="2" t="s">
        <v>19638</v>
      </c>
      <c r="G2347" s="3" t="s">
        <v>63</v>
      </c>
      <c r="I2347" s="3" t="s">
        <v>63</v>
      </c>
      <c r="J2347" s="3" t="s">
        <v>63</v>
      </c>
      <c r="K2347" s="3" t="s">
        <v>64</v>
      </c>
      <c r="L2347" s="2" t="s">
        <v>19343</v>
      </c>
      <c r="M2347" s="2" t="s">
        <v>19639</v>
      </c>
      <c r="N2347" s="3" t="s">
        <v>76</v>
      </c>
      <c r="O2347" s="2" t="s">
        <v>2691</v>
      </c>
      <c r="P2347" s="3" t="s">
        <v>66</v>
      </c>
      <c r="R2347" s="3" t="s">
        <v>67</v>
      </c>
      <c r="S2347" s="4">
        <v>2</v>
      </c>
      <c r="T2347" s="4">
        <v>2</v>
      </c>
      <c r="U2347" s="5" t="s">
        <v>19640</v>
      </c>
      <c r="V2347" s="5" t="s">
        <v>19640</v>
      </c>
      <c r="W2347" s="5" t="s">
        <v>69</v>
      </c>
      <c r="X2347" s="5" t="s">
        <v>69</v>
      </c>
      <c r="Y2347" s="4">
        <v>32</v>
      </c>
      <c r="Z2347" s="4">
        <v>1</v>
      </c>
      <c r="AA2347" s="4">
        <v>11</v>
      </c>
      <c r="AB2347" s="4">
        <v>1</v>
      </c>
      <c r="AC2347" s="4">
        <v>2</v>
      </c>
      <c r="AD2347" s="4">
        <v>3</v>
      </c>
      <c r="AE2347" s="4">
        <v>47</v>
      </c>
      <c r="AF2347" s="4">
        <v>0</v>
      </c>
      <c r="AG2347" s="4">
        <v>0</v>
      </c>
      <c r="AH2347" s="4">
        <v>3</v>
      </c>
      <c r="AI2347" s="4">
        <v>44</v>
      </c>
      <c r="AJ2347" s="4">
        <v>0</v>
      </c>
      <c r="AK2347" s="4">
        <v>6</v>
      </c>
      <c r="AL2347" s="4">
        <v>2</v>
      </c>
      <c r="AM2347" s="4">
        <v>30</v>
      </c>
      <c r="AN2347" s="4">
        <v>0</v>
      </c>
      <c r="AO2347" s="4">
        <v>0</v>
      </c>
      <c r="AP2347" s="4">
        <v>0</v>
      </c>
      <c r="AQ2347" s="4">
        <v>6</v>
      </c>
      <c r="AR2347" s="3" t="s">
        <v>63</v>
      </c>
      <c r="AS2347" s="3" t="s">
        <v>63</v>
      </c>
      <c r="AT2347" s="3" t="s">
        <v>63</v>
      </c>
      <c r="AV2347" s="6" t="str">
        <f>HYPERLINK("http://mcgill.on.worldcat.org/oclc/760291816","Catalog Record")</f>
        <v>Catalog Record</v>
      </c>
      <c r="AW2347" s="6" t="str">
        <f>HYPERLINK("http://www.worldcat.org/oclc/760291816","WorldCat Record")</f>
        <v>WorldCat Record</v>
      </c>
      <c r="AX2347" s="3" t="s">
        <v>19641</v>
      </c>
      <c r="AY2347" s="3" t="s">
        <v>19642</v>
      </c>
      <c r="AZ2347" s="3" t="s">
        <v>19643</v>
      </c>
      <c r="BA2347" s="3" t="s">
        <v>19643</v>
      </c>
      <c r="BB2347" s="3" t="s">
        <v>19644</v>
      </c>
      <c r="BC2347" s="3" t="s">
        <v>82</v>
      </c>
      <c r="BD2347" s="3" t="s">
        <v>70</v>
      </c>
      <c r="BE2347" s="3" t="s">
        <v>19645</v>
      </c>
      <c r="BF2347" s="3" t="s">
        <v>19644</v>
      </c>
      <c r="BG2347" s="3" t="s">
        <v>19646</v>
      </c>
    </row>
    <row r="2348" spans="1:59" ht="60" x14ac:dyDescent="0.25">
      <c r="A2348" s="2" t="s">
        <v>59</v>
      </c>
      <c r="B2348" s="2" t="s">
        <v>60</v>
      </c>
      <c r="C2348" s="2" t="s">
        <v>19647</v>
      </c>
      <c r="D2348" s="2" t="s">
        <v>19648</v>
      </c>
      <c r="E2348" s="2" t="s">
        <v>19649</v>
      </c>
      <c r="G2348" s="3" t="s">
        <v>63</v>
      </c>
      <c r="I2348" s="3" t="s">
        <v>63</v>
      </c>
      <c r="J2348" s="3" t="s">
        <v>63</v>
      </c>
      <c r="K2348" s="3" t="s">
        <v>64</v>
      </c>
      <c r="L2348" s="2" t="s">
        <v>19343</v>
      </c>
      <c r="M2348" s="2" t="s">
        <v>4873</v>
      </c>
      <c r="N2348" s="3" t="s">
        <v>1023</v>
      </c>
      <c r="P2348" s="3" t="s">
        <v>66</v>
      </c>
      <c r="R2348" s="3" t="s">
        <v>67</v>
      </c>
      <c r="S2348" s="4">
        <v>48</v>
      </c>
      <c r="T2348" s="4">
        <v>48</v>
      </c>
      <c r="U2348" s="5" t="s">
        <v>12181</v>
      </c>
      <c r="V2348" s="5" t="s">
        <v>12181</v>
      </c>
      <c r="W2348" s="5" t="s">
        <v>69</v>
      </c>
      <c r="X2348" s="5" t="s">
        <v>69</v>
      </c>
      <c r="Y2348" s="4">
        <v>284</v>
      </c>
      <c r="Z2348" s="4">
        <v>19</v>
      </c>
      <c r="AA2348" s="4">
        <v>21</v>
      </c>
      <c r="AB2348" s="4">
        <v>1</v>
      </c>
      <c r="AC2348" s="4">
        <v>3</v>
      </c>
      <c r="AD2348" s="4">
        <v>93</v>
      </c>
      <c r="AE2348" s="4">
        <v>95</v>
      </c>
      <c r="AF2348" s="4">
        <v>0</v>
      </c>
      <c r="AG2348" s="4">
        <v>2</v>
      </c>
      <c r="AH2348" s="4">
        <v>86</v>
      </c>
      <c r="AI2348" s="4">
        <v>87</v>
      </c>
      <c r="AJ2348" s="4">
        <v>10</v>
      </c>
      <c r="AK2348" s="4">
        <v>12</v>
      </c>
      <c r="AL2348" s="4">
        <v>49</v>
      </c>
      <c r="AM2348" s="4">
        <v>49</v>
      </c>
      <c r="AN2348" s="4">
        <v>0</v>
      </c>
      <c r="AO2348" s="4">
        <v>0</v>
      </c>
      <c r="AP2348" s="4">
        <v>13</v>
      </c>
      <c r="AQ2348" s="4">
        <v>14</v>
      </c>
      <c r="AR2348" s="3" t="s">
        <v>63</v>
      </c>
      <c r="AS2348" s="3" t="s">
        <v>63</v>
      </c>
      <c r="AT2348" s="3" t="s">
        <v>62</v>
      </c>
      <c r="AU2348" s="6" t="str">
        <f>HYPERLINK("http://catalog.hathitrust.org/Record/002882982","HathiTrust Record")</f>
        <v>HathiTrust Record</v>
      </c>
      <c r="AV2348" s="6" t="str">
        <f>HYPERLINK("http://mcgill.on.worldcat.org/oclc/29909251","Catalog Record")</f>
        <v>Catalog Record</v>
      </c>
      <c r="AW2348" s="6" t="str">
        <f>HYPERLINK("http://www.worldcat.org/oclc/29909251","WorldCat Record")</f>
        <v>WorldCat Record</v>
      </c>
      <c r="AX2348" s="3" t="s">
        <v>19650</v>
      </c>
      <c r="AY2348" s="3" t="s">
        <v>19651</v>
      </c>
      <c r="AZ2348" s="3" t="s">
        <v>19652</v>
      </c>
      <c r="BA2348" s="3" t="s">
        <v>19652</v>
      </c>
      <c r="BB2348" s="3" t="s">
        <v>19653</v>
      </c>
      <c r="BC2348" s="3" t="s">
        <v>82</v>
      </c>
      <c r="BD2348" s="3" t="s">
        <v>538</v>
      </c>
      <c r="BE2348" s="3" t="s">
        <v>19654</v>
      </c>
      <c r="BF2348" s="3" t="s">
        <v>19653</v>
      </c>
      <c r="BG2348" s="3" t="s">
        <v>19655</v>
      </c>
    </row>
    <row r="2349" spans="1:59" ht="60" x14ac:dyDescent="0.25">
      <c r="A2349" s="2" t="s">
        <v>59</v>
      </c>
      <c r="B2349" s="2" t="s">
        <v>60</v>
      </c>
      <c r="C2349" s="2" t="s">
        <v>19656</v>
      </c>
      <c r="D2349" s="2" t="s">
        <v>19657</v>
      </c>
      <c r="E2349" s="2" t="s">
        <v>19658</v>
      </c>
      <c r="G2349" s="3" t="s">
        <v>63</v>
      </c>
      <c r="I2349" s="3" t="s">
        <v>63</v>
      </c>
      <c r="J2349" s="3" t="s">
        <v>62</v>
      </c>
      <c r="K2349" s="3" t="s">
        <v>215</v>
      </c>
      <c r="L2349" s="2" t="s">
        <v>19343</v>
      </c>
      <c r="M2349" s="2" t="s">
        <v>19659</v>
      </c>
      <c r="N2349" s="3" t="s">
        <v>11746</v>
      </c>
      <c r="O2349" s="2" t="s">
        <v>19660</v>
      </c>
      <c r="P2349" s="3" t="s">
        <v>66</v>
      </c>
      <c r="Q2349" s="2" t="s">
        <v>19661</v>
      </c>
      <c r="R2349" s="3" t="s">
        <v>67</v>
      </c>
      <c r="S2349" s="4">
        <v>2</v>
      </c>
      <c r="T2349" s="4">
        <v>2</v>
      </c>
      <c r="U2349" s="5" t="s">
        <v>19662</v>
      </c>
      <c r="V2349" s="5" t="s">
        <v>19662</v>
      </c>
      <c r="W2349" s="5" t="s">
        <v>69</v>
      </c>
      <c r="X2349" s="5" t="s">
        <v>69</v>
      </c>
      <c r="Y2349" s="4">
        <v>3</v>
      </c>
      <c r="Z2349" s="4">
        <v>2</v>
      </c>
      <c r="AA2349" s="4">
        <v>8</v>
      </c>
      <c r="AB2349" s="4">
        <v>1</v>
      </c>
      <c r="AC2349" s="4">
        <v>1</v>
      </c>
      <c r="AD2349" s="4">
        <v>1</v>
      </c>
      <c r="AE2349" s="4">
        <v>32</v>
      </c>
      <c r="AF2349" s="4">
        <v>0</v>
      </c>
      <c r="AG2349" s="4">
        <v>0</v>
      </c>
      <c r="AH2349" s="4">
        <v>0</v>
      </c>
      <c r="AI2349" s="4">
        <v>24</v>
      </c>
      <c r="AJ2349" s="4">
        <v>1</v>
      </c>
      <c r="AK2349" s="4">
        <v>4</v>
      </c>
      <c r="AL2349" s="4">
        <v>0</v>
      </c>
      <c r="AM2349" s="4">
        <v>19</v>
      </c>
      <c r="AN2349" s="4">
        <v>0</v>
      </c>
      <c r="AO2349" s="4">
        <v>0</v>
      </c>
      <c r="AP2349" s="4">
        <v>1</v>
      </c>
      <c r="AQ2349" s="4">
        <v>7</v>
      </c>
      <c r="AR2349" s="3" t="s">
        <v>63</v>
      </c>
      <c r="AS2349" s="3" t="s">
        <v>63</v>
      </c>
      <c r="AT2349" s="3" t="s">
        <v>63</v>
      </c>
      <c r="AV2349" s="6" t="str">
        <f>HYPERLINK("http://mcgill.on.worldcat.org/oclc/72678357","Catalog Record")</f>
        <v>Catalog Record</v>
      </c>
      <c r="AW2349" s="6" t="str">
        <f>HYPERLINK("http://www.worldcat.org/oclc/72678357","WorldCat Record")</f>
        <v>WorldCat Record</v>
      </c>
      <c r="AX2349" s="3" t="s">
        <v>19663</v>
      </c>
      <c r="AY2349" s="3" t="s">
        <v>19664</v>
      </c>
      <c r="AZ2349" s="3" t="s">
        <v>19665</v>
      </c>
      <c r="BA2349" s="3" t="s">
        <v>19665</v>
      </c>
      <c r="BB2349" s="3" t="s">
        <v>19666</v>
      </c>
      <c r="BC2349" s="3" t="s">
        <v>82</v>
      </c>
      <c r="BD2349" s="3" t="s">
        <v>70</v>
      </c>
      <c r="BF2349" s="3" t="s">
        <v>19666</v>
      </c>
      <c r="BG2349" s="3" t="s">
        <v>19667</v>
      </c>
    </row>
    <row r="2350" spans="1:59" ht="60" x14ac:dyDescent="0.25">
      <c r="A2350" s="2" t="s">
        <v>59</v>
      </c>
      <c r="B2350" s="2" t="s">
        <v>60</v>
      </c>
      <c r="C2350" s="2" t="s">
        <v>19668</v>
      </c>
      <c r="D2350" s="2" t="s">
        <v>19669</v>
      </c>
      <c r="E2350" s="2" t="s">
        <v>19670</v>
      </c>
      <c r="F2350" s="3" t="s">
        <v>5684</v>
      </c>
      <c r="G2350" s="3" t="s">
        <v>62</v>
      </c>
      <c r="I2350" s="3" t="s">
        <v>63</v>
      </c>
      <c r="J2350" s="3" t="s">
        <v>63</v>
      </c>
      <c r="K2350" s="3" t="s">
        <v>64</v>
      </c>
      <c r="L2350" s="2" t="s">
        <v>19343</v>
      </c>
      <c r="M2350" s="2" t="s">
        <v>19671</v>
      </c>
      <c r="N2350" s="3" t="s">
        <v>758</v>
      </c>
      <c r="P2350" s="3" t="s">
        <v>66</v>
      </c>
      <c r="Q2350" s="2" t="s">
        <v>19672</v>
      </c>
      <c r="R2350" s="3" t="s">
        <v>67</v>
      </c>
      <c r="S2350" s="4">
        <v>21</v>
      </c>
      <c r="T2350" s="4">
        <v>29</v>
      </c>
      <c r="U2350" s="5" t="s">
        <v>19640</v>
      </c>
      <c r="V2350" s="5" t="s">
        <v>19640</v>
      </c>
      <c r="W2350" s="5" t="s">
        <v>69</v>
      </c>
      <c r="X2350" s="5" t="s">
        <v>69</v>
      </c>
      <c r="Y2350" s="4">
        <v>271</v>
      </c>
      <c r="Z2350" s="4">
        <v>18</v>
      </c>
      <c r="AA2350" s="4">
        <v>24</v>
      </c>
      <c r="AB2350" s="4">
        <v>1</v>
      </c>
      <c r="AC2350" s="4">
        <v>1</v>
      </c>
      <c r="AD2350" s="4">
        <v>61</v>
      </c>
      <c r="AE2350" s="4">
        <v>74</v>
      </c>
      <c r="AF2350" s="4">
        <v>0</v>
      </c>
      <c r="AG2350" s="4">
        <v>0</v>
      </c>
      <c r="AH2350" s="4">
        <v>54</v>
      </c>
      <c r="AI2350" s="4">
        <v>64</v>
      </c>
      <c r="AJ2350" s="4">
        <v>12</v>
      </c>
      <c r="AK2350" s="4">
        <v>15</v>
      </c>
      <c r="AL2350" s="4">
        <v>30</v>
      </c>
      <c r="AM2350" s="4">
        <v>36</v>
      </c>
      <c r="AN2350" s="4">
        <v>0</v>
      </c>
      <c r="AO2350" s="4">
        <v>0</v>
      </c>
      <c r="AP2350" s="4">
        <v>13</v>
      </c>
      <c r="AQ2350" s="4">
        <v>17</v>
      </c>
      <c r="AR2350" s="3" t="s">
        <v>63</v>
      </c>
      <c r="AS2350" s="3" t="s">
        <v>63</v>
      </c>
      <c r="AT2350" s="3" t="s">
        <v>62</v>
      </c>
      <c r="AU2350" s="6" t="str">
        <f>HYPERLINK("http://catalog.hathitrust.org/Record/008560871","HathiTrust Record")</f>
        <v>HathiTrust Record</v>
      </c>
      <c r="AV2350" s="6" t="str">
        <f>HYPERLINK("http://mcgill.on.worldcat.org/oclc/1172057","Catalog Record")</f>
        <v>Catalog Record</v>
      </c>
      <c r="AW2350" s="6" t="str">
        <f>HYPERLINK("http://www.worldcat.org/oclc/1172057","WorldCat Record")</f>
        <v>WorldCat Record</v>
      </c>
      <c r="AX2350" s="3" t="s">
        <v>19673</v>
      </c>
      <c r="AY2350" s="3" t="s">
        <v>19674</v>
      </c>
      <c r="AZ2350" s="3" t="s">
        <v>19675</v>
      </c>
      <c r="BA2350" s="3" t="s">
        <v>19675</v>
      </c>
      <c r="BB2350" s="3" t="s">
        <v>19676</v>
      </c>
      <c r="BC2350" s="3" t="s">
        <v>82</v>
      </c>
      <c r="BD2350" s="3" t="s">
        <v>70</v>
      </c>
      <c r="BF2350" s="3" t="s">
        <v>19676</v>
      </c>
      <c r="BG2350" s="3" t="s">
        <v>19677</v>
      </c>
    </row>
    <row r="2351" spans="1:59" ht="60" x14ac:dyDescent="0.25">
      <c r="A2351" s="2" t="s">
        <v>59</v>
      </c>
      <c r="B2351" s="2" t="s">
        <v>60</v>
      </c>
      <c r="C2351" s="2" t="s">
        <v>19668</v>
      </c>
      <c r="D2351" s="2" t="s">
        <v>19669</v>
      </c>
      <c r="E2351" s="2" t="s">
        <v>19670</v>
      </c>
      <c r="F2351" s="3" t="s">
        <v>5696</v>
      </c>
      <c r="G2351" s="3" t="s">
        <v>62</v>
      </c>
      <c r="I2351" s="3" t="s">
        <v>63</v>
      </c>
      <c r="J2351" s="3" t="s">
        <v>63</v>
      </c>
      <c r="K2351" s="3" t="s">
        <v>64</v>
      </c>
      <c r="L2351" s="2" t="s">
        <v>19343</v>
      </c>
      <c r="M2351" s="2" t="s">
        <v>19671</v>
      </c>
      <c r="N2351" s="3" t="s">
        <v>758</v>
      </c>
      <c r="P2351" s="3" t="s">
        <v>66</v>
      </c>
      <c r="Q2351" s="2" t="s">
        <v>19672</v>
      </c>
      <c r="R2351" s="3" t="s">
        <v>67</v>
      </c>
      <c r="S2351" s="4">
        <v>8</v>
      </c>
      <c r="T2351" s="4">
        <v>29</v>
      </c>
      <c r="U2351" s="5" t="s">
        <v>19678</v>
      </c>
      <c r="V2351" s="5" t="s">
        <v>19640</v>
      </c>
      <c r="W2351" s="5" t="s">
        <v>69</v>
      </c>
      <c r="X2351" s="5" t="s">
        <v>69</v>
      </c>
      <c r="Y2351" s="4">
        <v>271</v>
      </c>
      <c r="Z2351" s="4">
        <v>18</v>
      </c>
      <c r="AA2351" s="4">
        <v>24</v>
      </c>
      <c r="AB2351" s="4">
        <v>1</v>
      </c>
      <c r="AC2351" s="4">
        <v>1</v>
      </c>
      <c r="AD2351" s="4">
        <v>61</v>
      </c>
      <c r="AE2351" s="4">
        <v>74</v>
      </c>
      <c r="AF2351" s="4">
        <v>0</v>
      </c>
      <c r="AG2351" s="4">
        <v>0</v>
      </c>
      <c r="AH2351" s="4">
        <v>54</v>
      </c>
      <c r="AI2351" s="4">
        <v>64</v>
      </c>
      <c r="AJ2351" s="4">
        <v>12</v>
      </c>
      <c r="AK2351" s="4">
        <v>15</v>
      </c>
      <c r="AL2351" s="4">
        <v>30</v>
      </c>
      <c r="AM2351" s="4">
        <v>36</v>
      </c>
      <c r="AN2351" s="4">
        <v>0</v>
      </c>
      <c r="AO2351" s="4">
        <v>0</v>
      </c>
      <c r="AP2351" s="4">
        <v>13</v>
      </c>
      <c r="AQ2351" s="4">
        <v>17</v>
      </c>
      <c r="AR2351" s="3" t="s">
        <v>63</v>
      </c>
      <c r="AS2351" s="3" t="s">
        <v>63</v>
      </c>
      <c r="AT2351" s="3" t="s">
        <v>62</v>
      </c>
      <c r="AU2351" s="6" t="str">
        <f>HYPERLINK("http://catalog.hathitrust.org/Record/008560871","HathiTrust Record")</f>
        <v>HathiTrust Record</v>
      </c>
      <c r="AV2351" s="6" t="str">
        <f>HYPERLINK("http://mcgill.on.worldcat.org/oclc/1172057","Catalog Record")</f>
        <v>Catalog Record</v>
      </c>
      <c r="AW2351" s="6" t="str">
        <f>HYPERLINK("http://www.worldcat.org/oclc/1172057","WorldCat Record")</f>
        <v>WorldCat Record</v>
      </c>
      <c r="AX2351" s="3" t="s">
        <v>19673</v>
      </c>
      <c r="AY2351" s="3" t="s">
        <v>19674</v>
      </c>
      <c r="AZ2351" s="3" t="s">
        <v>19675</v>
      </c>
      <c r="BA2351" s="3" t="s">
        <v>19675</v>
      </c>
      <c r="BB2351" s="3" t="s">
        <v>19679</v>
      </c>
      <c r="BC2351" s="3" t="s">
        <v>82</v>
      </c>
      <c r="BD2351" s="3" t="s">
        <v>70</v>
      </c>
      <c r="BF2351" s="3" t="s">
        <v>19679</v>
      </c>
      <c r="BG2351" s="3" t="s">
        <v>19680</v>
      </c>
    </row>
    <row r="2352" spans="1:59" ht="60" x14ac:dyDescent="0.25">
      <c r="A2352" s="2" t="s">
        <v>59</v>
      </c>
      <c r="B2352" s="2" t="s">
        <v>60</v>
      </c>
      <c r="C2352" s="2" t="s">
        <v>19681</v>
      </c>
      <c r="D2352" s="2" t="s">
        <v>19682</v>
      </c>
      <c r="E2352" s="2" t="s">
        <v>19683</v>
      </c>
      <c r="G2352" s="3" t="s">
        <v>63</v>
      </c>
      <c r="I2352" s="3" t="s">
        <v>63</v>
      </c>
      <c r="J2352" s="3" t="s">
        <v>62</v>
      </c>
      <c r="K2352" s="3" t="s">
        <v>64</v>
      </c>
      <c r="L2352" s="2" t="s">
        <v>19343</v>
      </c>
      <c r="M2352" s="2" t="s">
        <v>19684</v>
      </c>
      <c r="N2352" s="3" t="s">
        <v>455</v>
      </c>
      <c r="O2352" s="2" t="s">
        <v>590</v>
      </c>
      <c r="P2352" s="3" t="s">
        <v>66</v>
      </c>
      <c r="R2352" s="3" t="s">
        <v>67</v>
      </c>
      <c r="S2352" s="4">
        <v>4</v>
      </c>
      <c r="T2352" s="4">
        <v>4</v>
      </c>
      <c r="U2352" s="5" t="s">
        <v>19685</v>
      </c>
      <c r="V2352" s="5" t="s">
        <v>19685</v>
      </c>
      <c r="W2352" s="5" t="s">
        <v>69</v>
      </c>
      <c r="X2352" s="5" t="s">
        <v>69</v>
      </c>
      <c r="Y2352" s="4">
        <v>347</v>
      </c>
      <c r="Z2352" s="4">
        <v>19</v>
      </c>
      <c r="AA2352" s="4">
        <v>23</v>
      </c>
      <c r="AB2352" s="4">
        <v>3</v>
      </c>
      <c r="AC2352" s="4">
        <v>5</v>
      </c>
      <c r="AD2352" s="4">
        <v>95</v>
      </c>
      <c r="AE2352" s="4">
        <v>96</v>
      </c>
      <c r="AF2352" s="4">
        <v>1</v>
      </c>
      <c r="AG2352" s="4">
        <v>1</v>
      </c>
      <c r="AH2352" s="4">
        <v>88</v>
      </c>
      <c r="AI2352" s="4">
        <v>89</v>
      </c>
      <c r="AJ2352" s="4">
        <v>12</v>
      </c>
      <c r="AK2352" s="4">
        <v>12</v>
      </c>
      <c r="AL2352" s="4">
        <v>48</v>
      </c>
      <c r="AM2352" s="4">
        <v>49</v>
      </c>
      <c r="AN2352" s="4">
        <v>0</v>
      </c>
      <c r="AO2352" s="4">
        <v>0</v>
      </c>
      <c r="AP2352" s="4">
        <v>14</v>
      </c>
      <c r="AQ2352" s="4">
        <v>14</v>
      </c>
      <c r="AR2352" s="3" t="s">
        <v>63</v>
      </c>
      <c r="AS2352" s="3" t="s">
        <v>63</v>
      </c>
      <c r="AT2352" s="3" t="s">
        <v>63</v>
      </c>
      <c r="AV2352" s="6" t="str">
        <f>HYPERLINK("http://mcgill.on.worldcat.org/oclc/10145249","Catalog Record")</f>
        <v>Catalog Record</v>
      </c>
      <c r="AW2352" s="6" t="str">
        <f>HYPERLINK("http://www.worldcat.org/oclc/10145249","WorldCat Record")</f>
        <v>WorldCat Record</v>
      </c>
      <c r="AX2352" s="3" t="s">
        <v>19686</v>
      </c>
      <c r="AY2352" s="3" t="s">
        <v>19687</v>
      </c>
      <c r="AZ2352" s="3" t="s">
        <v>19688</v>
      </c>
      <c r="BA2352" s="3" t="s">
        <v>19688</v>
      </c>
      <c r="BB2352" s="3" t="s">
        <v>19689</v>
      </c>
      <c r="BC2352" s="3" t="s">
        <v>82</v>
      </c>
      <c r="BD2352" s="3" t="s">
        <v>70</v>
      </c>
      <c r="BE2352" s="3" t="s">
        <v>19690</v>
      </c>
      <c r="BF2352" s="3" t="s">
        <v>19689</v>
      </c>
      <c r="BG2352" s="3" t="s">
        <v>19691</v>
      </c>
    </row>
    <row r="2353" spans="1:59" ht="60" x14ac:dyDescent="0.25">
      <c r="A2353" s="2" t="s">
        <v>59</v>
      </c>
      <c r="B2353" s="2" t="s">
        <v>60</v>
      </c>
      <c r="C2353" s="2" t="s">
        <v>19692</v>
      </c>
      <c r="D2353" s="2" t="s">
        <v>19693</v>
      </c>
      <c r="E2353" s="2" t="s">
        <v>19694</v>
      </c>
      <c r="G2353" s="3" t="s">
        <v>63</v>
      </c>
      <c r="I2353" s="3" t="s">
        <v>63</v>
      </c>
      <c r="J2353" s="3" t="s">
        <v>63</v>
      </c>
      <c r="K2353" s="3" t="s">
        <v>64</v>
      </c>
      <c r="L2353" s="2" t="s">
        <v>19343</v>
      </c>
      <c r="M2353" s="2" t="s">
        <v>19695</v>
      </c>
      <c r="N2353" s="3" t="s">
        <v>17641</v>
      </c>
      <c r="O2353" s="2" t="s">
        <v>19660</v>
      </c>
      <c r="P2353" s="3" t="s">
        <v>66</v>
      </c>
      <c r="Q2353" s="2" t="s">
        <v>19696</v>
      </c>
      <c r="R2353" s="3" t="s">
        <v>67</v>
      </c>
      <c r="S2353" s="4">
        <v>11</v>
      </c>
      <c r="T2353" s="4">
        <v>11</v>
      </c>
      <c r="U2353" s="5" t="s">
        <v>19697</v>
      </c>
      <c r="V2353" s="5" t="s">
        <v>19697</v>
      </c>
      <c r="W2353" s="5" t="s">
        <v>69</v>
      </c>
      <c r="X2353" s="5" t="s">
        <v>69</v>
      </c>
      <c r="Y2353" s="4">
        <v>11</v>
      </c>
      <c r="Z2353" s="4">
        <v>1</v>
      </c>
      <c r="AA2353" s="4">
        <v>1</v>
      </c>
      <c r="AB2353" s="4">
        <v>1</v>
      </c>
      <c r="AC2353" s="4">
        <v>1</v>
      </c>
      <c r="AD2353" s="4">
        <v>1</v>
      </c>
      <c r="AE2353" s="4">
        <v>5</v>
      </c>
      <c r="AF2353" s="4">
        <v>0</v>
      </c>
      <c r="AG2353" s="4">
        <v>0</v>
      </c>
      <c r="AH2353" s="4">
        <v>0</v>
      </c>
      <c r="AI2353" s="4">
        <v>4</v>
      </c>
      <c r="AJ2353" s="4">
        <v>0</v>
      </c>
      <c r="AK2353" s="4">
        <v>0</v>
      </c>
      <c r="AL2353" s="4">
        <v>1</v>
      </c>
      <c r="AM2353" s="4">
        <v>3</v>
      </c>
      <c r="AN2353" s="4">
        <v>0</v>
      </c>
      <c r="AO2353" s="4">
        <v>1</v>
      </c>
      <c r="AP2353" s="4">
        <v>0</v>
      </c>
      <c r="AQ2353" s="4">
        <v>0</v>
      </c>
      <c r="AR2353" s="3" t="s">
        <v>63</v>
      </c>
      <c r="AS2353" s="3" t="s">
        <v>63</v>
      </c>
      <c r="AT2353" s="3" t="s">
        <v>63</v>
      </c>
      <c r="AV2353" s="6" t="str">
        <f>HYPERLINK("http://mcgill.on.worldcat.org/oclc/5063657","Catalog Record")</f>
        <v>Catalog Record</v>
      </c>
      <c r="AW2353" s="6" t="str">
        <f>HYPERLINK("http://www.worldcat.org/oclc/5063657","WorldCat Record")</f>
        <v>WorldCat Record</v>
      </c>
      <c r="AX2353" s="3" t="s">
        <v>19698</v>
      </c>
      <c r="AY2353" s="3" t="s">
        <v>19699</v>
      </c>
      <c r="AZ2353" s="3" t="s">
        <v>19700</v>
      </c>
      <c r="BA2353" s="3" t="s">
        <v>19700</v>
      </c>
      <c r="BB2353" s="3" t="s">
        <v>19701</v>
      </c>
      <c r="BC2353" s="3" t="s">
        <v>82</v>
      </c>
      <c r="BD2353" s="3" t="s">
        <v>70</v>
      </c>
      <c r="BF2353" s="3" t="s">
        <v>19701</v>
      </c>
      <c r="BG2353" s="3" t="s">
        <v>19702</v>
      </c>
    </row>
    <row r="2354" spans="1:59" ht="60" x14ac:dyDescent="0.25">
      <c r="A2354" s="2" t="s">
        <v>59</v>
      </c>
      <c r="B2354" s="2" t="s">
        <v>60</v>
      </c>
      <c r="C2354" s="2" t="s">
        <v>19703</v>
      </c>
      <c r="D2354" s="2" t="s">
        <v>19704</v>
      </c>
      <c r="E2354" s="2" t="s">
        <v>19705</v>
      </c>
      <c r="G2354" s="3" t="s">
        <v>63</v>
      </c>
      <c r="I2354" s="3" t="s">
        <v>63</v>
      </c>
      <c r="J2354" s="3" t="s">
        <v>63</v>
      </c>
      <c r="K2354" s="3" t="s">
        <v>64</v>
      </c>
      <c r="L2354" s="2" t="s">
        <v>19343</v>
      </c>
      <c r="M2354" s="2" t="s">
        <v>19706</v>
      </c>
      <c r="N2354" s="3" t="s">
        <v>681</v>
      </c>
      <c r="P2354" s="3" t="s">
        <v>66</v>
      </c>
      <c r="Q2354" s="2" t="s">
        <v>9341</v>
      </c>
      <c r="R2354" s="3" t="s">
        <v>67</v>
      </c>
      <c r="S2354" s="4">
        <v>22</v>
      </c>
      <c r="T2354" s="4">
        <v>22</v>
      </c>
      <c r="U2354" s="5" t="s">
        <v>7544</v>
      </c>
      <c r="V2354" s="5" t="s">
        <v>7544</v>
      </c>
      <c r="W2354" s="5" t="s">
        <v>69</v>
      </c>
      <c r="X2354" s="5" t="s">
        <v>69</v>
      </c>
      <c r="Y2354" s="4">
        <v>355</v>
      </c>
      <c r="Z2354" s="4">
        <v>14</v>
      </c>
      <c r="AA2354" s="4">
        <v>36</v>
      </c>
      <c r="AB2354" s="4">
        <v>1</v>
      </c>
      <c r="AC2354" s="4">
        <v>2</v>
      </c>
      <c r="AD2354" s="4">
        <v>47</v>
      </c>
      <c r="AE2354" s="4">
        <v>81</v>
      </c>
      <c r="AF2354" s="4">
        <v>0</v>
      </c>
      <c r="AG2354" s="4">
        <v>1</v>
      </c>
      <c r="AH2354" s="4">
        <v>39</v>
      </c>
      <c r="AI2354" s="4">
        <v>64</v>
      </c>
      <c r="AJ2354" s="4">
        <v>8</v>
      </c>
      <c r="AK2354" s="4">
        <v>16</v>
      </c>
      <c r="AL2354" s="4">
        <v>22</v>
      </c>
      <c r="AM2354" s="4">
        <v>37</v>
      </c>
      <c r="AN2354" s="4">
        <v>0</v>
      </c>
      <c r="AO2354" s="4">
        <v>0</v>
      </c>
      <c r="AP2354" s="4">
        <v>11</v>
      </c>
      <c r="AQ2354" s="4">
        <v>25</v>
      </c>
      <c r="AR2354" s="3" t="s">
        <v>63</v>
      </c>
      <c r="AS2354" s="3" t="s">
        <v>63</v>
      </c>
      <c r="AT2354" s="3" t="s">
        <v>62</v>
      </c>
      <c r="AU2354" s="6" t="str">
        <f>HYPERLINK("http://catalog.hathitrust.org/Record/001061233","HathiTrust Record")</f>
        <v>HathiTrust Record</v>
      </c>
      <c r="AV2354" s="6" t="str">
        <f>HYPERLINK("http://mcgill.on.worldcat.org/oclc/88687","Catalog Record")</f>
        <v>Catalog Record</v>
      </c>
      <c r="AW2354" s="6" t="str">
        <f>HYPERLINK("http://www.worldcat.org/oclc/88687","WorldCat Record")</f>
        <v>WorldCat Record</v>
      </c>
      <c r="AX2354" s="3" t="s">
        <v>19707</v>
      </c>
      <c r="AY2354" s="3" t="s">
        <v>19708</v>
      </c>
      <c r="AZ2354" s="3" t="s">
        <v>19709</v>
      </c>
      <c r="BA2354" s="3" t="s">
        <v>19709</v>
      </c>
      <c r="BB2354" s="3" t="s">
        <v>19710</v>
      </c>
      <c r="BC2354" s="3" t="s">
        <v>82</v>
      </c>
      <c r="BD2354" s="3" t="s">
        <v>70</v>
      </c>
      <c r="BE2354" s="3" t="s">
        <v>19711</v>
      </c>
      <c r="BF2354" s="3" t="s">
        <v>19710</v>
      </c>
      <c r="BG2354" s="3" t="s">
        <v>19712</v>
      </c>
    </row>
    <row r="2355" spans="1:59" ht="60" x14ac:dyDescent="0.25">
      <c r="A2355" s="2" t="s">
        <v>59</v>
      </c>
      <c r="B2355" s="2" t="s">
        <v>60</v>
      </c>
      <c r="C2355" s="2" t="s">
        <v>19713</v>
      </c>
      <c r="D2355" s="2" t="s">
        <v>19714</v>
      </c>
      <c r="E2355" s="2" t="s">
        <v>19715</v>
      </c>
      <c r="G2355" s="3" t="s">
        <v>63</v>
      </c>
      <c r="I2355" s="3" t="s">
        <v>63</v>
      </c>
      <c r="J2355" s="3" t="s">
        <v>62</v>
      </c>
      <c r="K2355" s="3" t="s">
        <v>10404</v>
      </c>
      <c r="L2355" s="2" t="s">
        <v>19343</v>
      </c>
      <c r="M2355" s="2" t="s">
        <v>19716</v>
      </c>
      <c r="N2355" s="3" t="s">
        <v>18445</v>
      </c>
      <c r="P2355" s="3" t="s">
        <v>66</v>
      </c>
      <c r="Q2355" s="2" t="s">
        <v>19717</v>
      </c>
      <c r="R2355" s="3" t="s">
        <v>67</v>
      </c>
      <c r="S2355" s="4">
        <v>11</v>
      </c>
      <c r="T2355" s="4">
        <v>11</v>
      </c>
      <c r="U2355" s="5" t="s">
        <v>12326</v>
      </c>
      <c r="V2355" s="5" t="s">
        <v>12326</v>
      </c>
      <c r="W2355" s="5" t="s">
        <v>69</v>
      </c>
      <c r="X2355" s="5" t="s">
        <v>69</v>
      </c>
      <c r="Y2355" s="4">
        <v>14</v>
      </c>
      <c r="Z2355" s="4">
        <v>2</v>
      </c>
      <c r="AA2355" s="4">
        <v>51</v>
      </c>
      <c r="AB2355" s="4">
        <v>1</v>
      </c>
      <c r="AC2355" s="4">
        <v>5</v>
      </c>
      <c r="AD2355" s="4">
        <v>3</v>
      </c>
      <c r="AE2355" s="4">
        <v>124</v>
      </c>
      <c r="AF2355" s="4">
        <v>0</v>
      </c>
      <c r="AG2355" s="4">
        <v>1</v>
      </c>
      <c r="AH2355" s="4">
        <v>3</v>
      </c>
      <c r="AI2355" s="4">
        <v>101</v>
      </c>
      <c r="AJ2355" s="4">
        <v>1</v>
      </c>
      <c r="AK2355" s="4">
        <v>17</v>
      </c>
      <c r="AL2355" s="4">
        <v>2</v>
      </c>
      <c r="AM2355" s="4">
        <v>57</v>
      </c>
      <c r="AN2355" s="4">
        <v>0</v>
      </c>
      <c r="AO2355" s="4">
        <v>2</v>
      </c>
      <c r="AP2355" s="4">
        <v>1</v>
      </c>
      <c r="AQ2355" s="4">
        <v>27</v>
      </c>
      <c r="AR2355" s="3" t="s">
        <v>63</v>
      </c>
      <c r="AS2355" s="3" t="s">
        <v>63</v>
      </c>
      <c r="AT2355" s="3" t="s">
        <v>63</v>
      </c>
      <c r="AV2355" s="6" t="str">
        <f>HYPERLINK("http://mcgill.on.worldcat.org/oclc/4848261","Catalog Record")</f>
        <v>Catalog Record</v>
      </c>
      <c r="AW2355" s="6" t="str">
        <f>HYPERLINK("http://www.worldcat.org/oclc/4848261","WorldCat Record")</f>
        <v>WorldCat Record</v>
      </c>
      <c r="AX2355" s="3" t="s">
        <v>19718</v>
      </c>
      <c r="AY2355" s="3" t="s">
        <v>19719</v>
      </c>
      <c r="AZ2355" s="3" t="s">
        <v>19720</v>
      </c>
      <c r="BA2355" s="3" t="s">
        <v>19720</v>
      </c>
      <c r="BB2355" s="3" t="s">
        <v>19721</v>
      </c>
      <c r="BC2355" s="3" t="s">
        <v>82</v>
      </c>
      <c r="BD2355" s="3" t="s">
        <v>70</v>
      </c>
      <c r="BF2355" s="3" t="s">
        <v>19721</v>
      </c>
      <c r="BG2355" s="3" t="s">
        <v>19722</v>
      </c>
    </row>
    <row r="2356" spans="1:59" ht="75" x14ac:dyDescent="0.25">
      <c r="A2356" s="2" t="s">
        <v>59</v>
      </c>
      <c r="B2356" s="2" t="s">
        <v>60</v>
      </c>
      <c r="C2356" s="2" t="s">
        <v>19723</v>
      </c>
      <c r="D2356" s="2" t="s">
        <v>19724</v>
      </c>
      <c r="E2356" s="2" t="s">
        <v>19725</v>
      </c>
      <c r="G2356" s="3" t="s">
        <v>63</v>
      </c>
      <c r="I2356" s="3" t="s">
        <v>63</v>
      </c>
      <c r="J2356" s="3" t="s">
        <v>63</v>
      </c>
      <c r="K2356" s="3" t="s">
        <v>64</v>
      </c>
      <c r="L2356" s="2" t="s">
        <v>19726</v>
      </c>
      <c r="M2356" s="2" t="s">
        <v>19727</v>
      </c>
      <c r="N2356" s="3" t="s">
        <v>143</v>
      </c>
      <c r="O2356" s="2" t="s">
        <v>1605</v>
      </c>
      <c r="P2356" s="3" t="s">
        <v>66</v>
      </c>
      <c r="Q2356" s="2" t="s">
        <v>19728</v>
      </c>
      <c r="R2356" s="3" t="s">
        <v>67</v>
      </c>
      <c r="S2356" s="4">
        <v>6</v>
      </c>
      <c r="T2356" s="4">
        <v>6</v>
      </c>
      <c r="U2356" s="5" t="s">
        <v>19729</v>
      </c>
      <c r="V2356" s="5" t="s">
        <v>19729</v>
      </c>
      <c r="W2356" s="5" t="s">
        <v>69</v>
      </c>
      <c r="X2356" s="5" t="s">
        <v>69</v>
      </c>
      <c r="Y2356" s="4">
        <v>112</v>
      </c>
      <c r="Z2356" s="4">
        <v>10</v>
      </c>
      <c r="AA2356" s="4">
        <v>42</v>
      </c>
      <c r="AB2356" s="4">
        <v>1</v>
      </c>
      <c r="AC2356" s="4">
        <v>5</v>
      </c>
      <c r="AD2356" s="4">
        <v>44</v>
      </c>
      <c r="AE2356" s="4">
        <v>113</v>
      </c>
      <c r="AF2356" s="4">
        <v>0</v>
      </c>
      <c r="AG2356" s="4">
        <v>2</v>
      </c>
      <c r="AH2356" s="4">
        <v>41</v>
      </c>
      <c r="AI2356" s="4">
        <v>100</v>
      </c>
      <c r="AJ2356" s="4">
        <v>5</v>
      </c>
      <c r="AK2356" s="4">
        <v>17</v>
      </c>
      <c r="AL2356" s="4">
        <v>30</v>
      </c>
      <c r="AM2356" s="4">
        <v>57</v>
      </c>
      <c r="AN2356" s="4">
        <v>0</v>
      </c>
      <c r="AO2356" s="4">
        <v>0</v>
      </c>
      <c r="AP2356" s="4">
        <v>5</v>
      </c>
      <c r="AQ2356" s="4">
        <v>22</v>
      </c>
      <c r="AR2356" s="3" t="s">
        <v>63</v>
      </c>
      <c r="AS2356" s="3" t="s">
        <v>63</v>
      </c>
      <c r="AT2356" s="3" t="s">
        <v>63</v>
      </c>
      <c r="AV2356" s="6" t="str">
        <f>HYPERLINK("http://mcgill.on.worldcat.org/oclc/896359218","Catalog Record")</f>
        <v>Catalog Record</v>
      </c>
      <c r="AW2356" s="6" t="str">
        <f>HYPERLINK("http://www.worldcat.org/oclc/896359218","WorldCat Record")</f>
        <v>WorldCat Record</v>
      </c>
      <c r="AX2356" s="3" t="s">
        <v>19730</v>
      </c>
      <c r="AY2356" s="3" t="s">
        <v>19731</v>
      </c>
      <c r="AZ2356" s="3" t="s">
        <v>19732</v>
      </c>
      <c r="BA2356" s="3" t="s">
        <v>19732</v>
      </c>
      <c r="BB2356" s="3" t="s">
        <v>19733</v>
      </c>
      <c r="BC2356" s="3" t="s">
        <v>82</v>
      </c>
      <c r="BD2356" s="3" t="s">
        <v>70</v>
      </c>
      <c r="BE2356" s="3" t="s">
        <v>19734</v>
      </c>
      <c r="BF2356" s="3" t="s">
        <v>19733</v>
      </c>
      <c r="BG2356" s="3" t="s">
        <v>19735</v>
      </c>
    </row>
    <row r="2357" spans="1:59" ht="60" x14ac:dyDescent="0.25">
      <c r="A2357" s="2" t="s">
        <v>59</v>
      </c>
      <c r="B2357" s="2" t="s">
        <v>60</v>
      </c>
      <c r="C2357" s="2" t="s">
        <v>19736</v>
      </c>
      <c r="D2357" s="2" t="s">
        <v>19737</v>
      </c>
      <c r="E2357" s="2" t="s">
        <v>19738</v>
      </c>
      <c r="G2357" s="3" t="s">
        <v>63</v>
      </c>
      <c r="I2357" s="3" t="s">
        <v>63</v>
      </c>
      <c r="J2357" s="3" t="s">
        <v>62</v>
      </c>
      <c r="K2357" s="3" t="s">
        <v>64</v>
      </c>
      <c r="L2357" s="2" t="s">
        <v>19343</v>
      </c>
      <c r="M2357" s="2" t="s">
        <v>19739</v>
      </c>
      <c r="N2357" s="3" t="s">
        <v>546</v>
      </c>
      <c r="P2357" s="3" t="s">
        <v>66</v>
      </c>
      <c r="Q2357" s="2" t="s">
        <v>19740</v>
      </c>
      <c r="R2357" s="3" t="s">
        <v>67</v>
      </c>
      <c r="S2357" s="4">
        <v>12</v>
      </c>
      <c r="T2357" s="4">
        <v>12</v>
      </c>
      <c r="U2357" s="5" t="s">
        <v>19640</v>
      </c>
      <c r="V2357" s="5" t="s">
        <v>19640</v>
      </c>
      <c r="W2357" s="5" t="s">
        <v>69</v>
      </c>
      <c r="X2357" s="5" t="s">
        <v>69</v>
      </c>
      <c r="Y2357" s="4">
        <v>21</v>
      </c>
      <c r="Z2357" s="4">
        <v>3</v>
      </c>
      <c r="AA2357" s="4">
        <v>115</v>
      </c>
      <c r="AB2357" s="4">
        <v>1</v>
      </c>
      <c r="AC2357" s="4">
        <v>17</v>
      </c>
      <c r="AD2357" s="4">
        <v>4</v>
      </c>
      <c r="AE2357" s="4">
        <v>154</v>
      </c>
      <c r="AF2357" s="4">
        <v>0</v>
      </c>
      <c r="AG2357" s="4">
        <v>8</v>
      </c>
      <c r="AH2357" s="4">
        <v>3</v>
      </c>
      <c r="AI2357" s="4">
        <v>110</v>
      </c>
      <c r="AJ2357" s="4">
        <v>0</v>
      </c>
      <c r="AK2357" s="4">
        <v>26</v>
      </c>
      <c r="AL2357" s="4">
        <v>1</v>
      </c>
      <c r="AM2357" s="4">
        <v>59</v>
      </c>
      <c r="AN2357" s="4">
        <v>0</v>
      </c>
      <c r="AO2357" s="4">
        <v>6</v>
      </c>
      <c r="AP2357" s="4">
        <v>1</v>
      </c>
      <c r="AQ2357" s="4">
        <v>51</v>
      </c>
      <c r="AR2357" s="3" t="s">
        <v>63</v>
      </c>
      <c r="AS2357" s="3" t="s">
        <v>63</v>
      </c>
      <c r="AT2357" s="3" t="s">
        <v>62</v>
      </c>
      <c r="AU2357" s="6" t="str">
        <f>HYPERLINK("http://catalog.hathitrust.org/Record/012273392","HathiTrust Record")</f>
        <v>HathiTrust Record</v>
      </c>
      <c r="AV2357" s="6" t="str">
        <f>HYPERLINK("http://mcgill.on.worldcat.org/oclc/317427357","Catalog Record")</f>
        <v>Catalog Record</v>
      </c>
      <c r="AW2357" s="6" t="str">
        <f>HYPERLINK("http://www.worldcat.org/oclc/317427357","WorldCat Record")</f>
        <v>WorldCat Record</v>
      </c>
      <c r="AX2357" s="3" t="s">
        <v>19741</v>
      </c>
      <c r="AY2357" s="3" t="s">
        <v>19742</v>
      </c>
      <c r="AZ2357" s="3" t="s">
        <v>19743</v>
      </c>
      <c r="BA2357" s="3" t="s">
        <v>19743</v>
      </c>
      <c r="BB2357" s="3" t="s">
        <v>19744</v>
      </c>
      <c r="BC2357" s="3" t="s">
        <v>82</v>
      </c>
      <c r="BD2357" s="3" t="s">
        <v>70</v>
      </c>
      <c r="BE2357" s="3" t="s">
        <v>19745</v>
      </c>
      <c r="BF2357" s="3" t="s">
        <v>19744</v>
      </c>
      <c r="BG2357" s="3" t="s">
        <v>19746</v>
      </c>
    </row>
    <row r="2358" spans="1:59" ht="60" x14ac:dyDescent="0.25">
      <c r="A2358" s="2" t="s">
        <v>59</v>
      </c>
      <c r="B2358" s="2" t="s">
        <v>60</v>
      </c>
      <c r="C2358" s="2" t="s">
        <v>19747</v>
      </c>
      <c r="D2358" s="2" t="s">
        <v>19748</v>
      </c>
      <c r="E2358" s="2" t="s">
        <v>19749</v>
      </c>
      <c r="G2358" s="3" t="s">
        <v>63</v>
      </c>
      <c r="I2358" s="3" t="s">
        <v>63</v>
      </c>
      <c r="J2358" s="3" t="s">
        <v>62</v>
      </c>
      <c r="K2358" s="3" t="s">
        <v>215</v>
      </c>
      <c r="L2358" s="2" t="s">
        <v>19343</v>
      </c>
      <c r="M2358" s="2" t="s">
        <v>19750</v>
      </c>
      <c r="N2358" s="3" t="s">
        <v>19751</v>
      </c>
      <c r="P2358" s="3" t="s">
        <v>66</v>
      </c>
      <c r="Q2358" s="2" t="s">
        <v>9783</v>
      </c>
      <c r="R2358" s="3" t="s">
        <v>67</v>
      </c>
      <c r="S2358" s="4">
        <v>21</v>
      </c>
      <c r="T2358" s="4">
        <v>21</v>
      </c>
      <c r="U2358" s="5" t="s">
        <v>339</v>
      </c>
      <c r="V2358" s="5" t="s">
        <v>339</v>
      </c>
      <c r="W2358" s="5" t="s">
        <v>69</v>
      </c>
      <c r="X2358" s="5" t="s">
        <v>69</v>
      </c>
      <c r="Y2358" s="4">
        <v>5</v>
      </c>
      <c r="Z2358" s="4">
        <v>2</v>
      </c>
      <c r="AA2358" s="4">
        <v>184</v>
      </c>
      <c r="AB2358" s="4">
        <v>2</v>
      </c>
      <c r="AC2358" s="4">
        <v>20</v>
      </c>
      <c r="AD2358" s="4">
        <v>0</v>
      </c>
      <c r="AE2358" s="4">
        <v>170</v>
      </c>
      <c r="AF2358" s="4">
        <v>0</v>
      </c>
      <c r="AG2358" s="4">
        <v>8</v>
      </c>
      <c r="AH2358" s="4">
        <v>0</v>
      </c>
      <c r="AI2358" s="4">
        <v>115</v>
      </c>
      <c r="AJ2358" s="4">
        <v>0</v>
      </c>
      <c r="AK2358" s="4">
        <v>28</v>
      </c>
      <c r="AL2358" s="4">
        <v>0</v>
      </c>
      <c r="AM2358" s="4">
        <v>64</v>
      </c>
      <c r="AN2358" s="4">
        <v>0</v>
      </c>
      <c r="AO2358" s="4">
        <v>17</v>
      </c>
      <c r="AP2358" s="4">
        <v>0</v>
      </c>
      <c r="AQ2358" s="4">
        <v>60</v>
      </c>
      <c r="AR2358" s="3" t="s">
        <v>63</v>
      </c>
      <c r="AS2358" s="3" t="s">
        <v>63</v>
      </c>
      <c r="AT2358" s="3" t="s">
        <v>63</v>
      </c>
      <c r="AV2358" s="6" t="str">
        <f>HYPERLINK("http://mcgill.on.worldcat.org/oclc/427389370","Catalog Record")</f>
        <v>Catalog Record</v>
      </c>
      <c r="AW2358" s="6" t="str">
        <f>HYPERLINK("http://www.worldcat.org/oclc/427389370","WorldCat Record")</f>
        <v>WorldCat Record</v>
      </c>
      <c r="AX2358" s="3" t="s">
        <v>19752</v>
      </c>
      <c r="AY2358" s="3" t="s">
        <v>19753</v>
      </c>
      <c r="AZ2358" s="3" t="s">
        <v>19754</v>
      </c>
      <c r="BA2358" s="3" t="s">
        <v>19754</v>
      </c>
      <c r="BB2358" s="3" t="s">
        <v>19755</v>
      </c>
      <c r="BC2358" s="3" t="s">
        <v>82</v>
      </c>
      <c r="BD2358" s="3" t="s">
        <v>70</v>
      </c>
      <c r="BF2358" s="3" t="s">
        <v>19755</v>
      </c>
      <c r="BG2358" s="3" t="s">
        <v>19756</v>
      </c>
    </row>
    <row r="2359" spans="1:59" ht="60" x14ac:dyDescent="0.25">
      <c r="A2359" s="2" t="s">
        <v>59</v>
      </c>
      <c r="B2359" s="2" t="s">
        <v>60</v>
      </c>
      <c r="C2359" s="2" t="s">
        <v>19757</v>
      </c>
      <c r="D2359" s="2" t="s">
        <v>19758</v>
      </c>
      <c r="E2359" s="2" t="s">
        <v>19759</v>
      </c>
      <c r="G2359" s="3" t="s">
        <v>63</v>
      </c>
      <c r="I2359" s="3" t="s">
        <v>63</v>
      </c>
      <c r="J2359" s="3" t="s">
        <v>63</v>
      </c>
      <c r="K2359" s="3" t="s">
        <v>64</v>
      </c>
      <c r="L2359" s="2" t="s">
        <v>19726</v>
      </c>
      <c r="M2359" s="2" t="s">
        <v>19760</v>
      </c>
      <c r="N2359" s="3" t="s">
        <v>1046</v>
      </c>
      <c r="P2359" s="3" t="s">
        <v>66</v>
      </c>
      <c r="Q2359" s="2" t="s">
        <v>19761</v>
      </c>
      <c r="R2359" s="3" t="s">
        <v>67</v>
      </c>
      <c r="S2359" s="4">
        <v>20</v>
      </c>
      <c r="T2359" s="4">
        <v>20</v>
      </c>
      <c r="U2359" s="5" t="s">
        <v>5188</v>
      </c>
      <c r="V2359" s="5" t="s">
        <v>5188</v>
      </c>
      <c r="W2359" s="5" t="s">
        <v>69</v>
      </c>
      <c r="X2359" s="5" t="s">
        <v>69</v>
      </c>
      <c r="Y2359" s="4">
        <v>243</v>
      </c>
      <c r="Z2359" s="4">
        <v>9</v>
      </c>
      <c r="AA2359" s="4">
        <v>11</v>
      </c>
      <c r="AB2359" s="4">
        <v>2</v>
      </c>
      <c r="AC2359" s="4">
        <v>2</v>
      </c>
      <c r="AD2359" s="4">
        <v>38</v>
      </c>
      <c r="AE2359" s="4">
        <v>43</v>
      </c>
      <c r="AF2359" s="4">
        <v>1</v>
      </c>
      <c r="AG2359" s="4">
        <v>1</v>
      </c>
      <c r="AH2359" s="4">
        <v>34</v>
      </c>
      <c r="AI2359" s="4">
        <v>38</v>
      </c>
      <c r="AJ2359" s="4">
        <v>3</v>
      </c>
      <c r="AK2359" s="4">
        <v>5</v>
      </c>
      <c r="AL2359" s="4">
        <v>21</v>
      </c>
      <c r="AM2359" s="4">
        <v>23</v>
      </c>
      <c r="AN2359" s="4">
        <v>0</v>
      </c>
      <c r="AO2359" s="4">
        <v>0</v>
      </c>
      <c r="AP2359" s="4">
        <v>5</v>
      </c>
      <c r="AQ2359" s="4">
        <v>7</v>
      </c>
      <c r="AR2359" s="3" t="s">
        <v>63</v>
      </c>
      <c r="AS2359" s="3" t="s">
        <v>63</v>
      </c>
      <c r="AT2359" s="3" t="s">
        <v>62</v>
      </c>
      <c r="AU2359" s="6" t="str">
        <f>HYPERLINK("http://catalog.hathitrust.org/Record/000980848","HathiTrust Record")</f>
        <v>HathiTrust Record</v>
      </c>
      <c r="AV2359" s="6" t="str">
        <f>HYPERLINK("http://mcgill.on.worldcat.org/oclc/1033611","Catalog Record")</f>
        <v>Catalog Record</v>
      </c>
      <c r="AW2359" s="6" t="str">
        <f>HYPERLINK("http://www.worldcat.org/oclc/1033611","WorldCat Record")</f>
        <v>WorldCat Record</v>
      </c>
      <c r="AX2359" s="3" t="s">
        <v>19762</v>
      </c>
      <c r="AY2359" s="3" t="s">
        <v>19763</v>
      </c>
      <c r="AZ2359" s="3" t="s">
        <v>19764</v>
      </c>
      <c r="BA2359" s="3" t="s">
        <v>19764</v>
      </c>
      <c r="BB2359" s="3" t="s">
        <v>19765</v>
      </c>
      <c r="BC2359" s="3" t="s">
        <v>82</v>
      </c>
      <c r="BD2359" s="3" t="s">
        <v>70</v>
      </c>
      <c r="BF2359" s="3" t="s">
        <v>19765</v>
      </c>
      <c r="BG2359" s="3" t="s">
        <v>19766</v>
      </c>
    </row>
    <row r="2360" spans="1:59" ht="75" x14ac:dyDescent="0.25">
      <c r="A2360" s="2" t="s">
        <v>59</v>
      </c>
      <c r="B2360" s="2" t="s">
        <v>60</v>
      </c>
      <c r="C2360" s="2" t="s">
        <v>19767</v>
      </c>
      <c r="D2360" s="2" t="s">
        <v>19768</v>
      </c>
      <c r="E2360" s="2" t="s">
        <v>19769</v>
      </c>
      <c r="G2360" s="3" t="s">
        <v>63</v>
      </c>
      <c r="I2360" s="3" t="s">
        <v>62</v>
      </c>
      <c r="J2360" s="3" t="s">
        <v>62</v>
      </c>
      <c r="K2360" s="3" t="s">
        <v>215</v>
      </c>
      <c r="L2360" s="2" t="s">
        <v>19726</v>
      </c>
      <c r="M2360" s="2" t="s">
        <v>19770</v>
      </c>
      <c r="N2360" s="3" t="s">
        <v>401</v>
      </c>
      <c r="O2360" s="2" t="s">
        <v>590</v>
      </c>
      <c r="P2360" s="3" t="s">
        <v>66</v>
      </c>
      <c r="Q2360" s="2" t="s">
        <v>19771</v>
      </c>
      <c r="R2360" s="3" t="s">
        <v>67</v>
      </c>
      <c r="S2360" s="4">
        <v>15</v>
      </c>
      <c r="T2360" s="4">
        <v>60</v>
      </c>
      <c r="U2360" s="5" t="s">
        <v>19772</v>
      </c>
      <c r="V2360" s="5" t="s">
        <v>19773</v>
      </c>
      <c r="W2360" s="5" t="s">
        <v>69</v>
      </c>
      <c r="X2360" s="5" t="s">
        <v>69</v>
      </c>
      <c r="Y2360" s="4">
        <v>1048</v>
      </c>
      <c r="Z2360" s="4">
        <v>41</v>
      </c>
      <c r="AA2360" s="4">
        <v>184</v>
      </c>
      <c r="AB2360" s="4">
        <v>4</v>
      </c>
      <c r="AC2360" s="4">
        <v>20</v>
      </c>
      <c r="AD2360" s="4">
        <v>116</v>
      </c>
      <c r="AE2360" s="4">
        <v>170</v>
      </c>
      <c r="AF2360" s="4">
        <v>2</v>
      </c>
      <c r="AG2360" s="4">
        <v>8</v>
      </c>
      <c r="AH2360" s="4">
        <v>93</v>
      </c>
      <c r="AI2360" s="4">
        <v>115</v>
      </c>
      <c r="AJ2360" s="4">
        <v>15</v>
      </c>
      <c r="AK2360" s="4">
        <v>28</v>
      </c>
      <c r="AL2360" s="4">
        <v>49</v>
      </c>
      <c r="AM2360" s="4">
        <v>64</v>
      </c>
      <c r="AN2360" s="4">
        <v>0</v>
      </c>
      <c r="AO2360" s="4">
        <v>17</v>
      </c>
      <c r="AP2360" s="4">
        <v>29</v>
      </c>
      <c r="AQ2360" s="4">
        <v>60</v>
      </c>
      <c r="AR2360" s="3" t="s">
        <v>63</v>
      </c>
      <c r="AS2360" s="3" t="s">
        <v>63</v>
      </c>
      <c r="AT2360" s="3" t="s">
        <v>62</v>
      </c>
      <c r="AU2360" s="6" t="str">
        <f>HYPERLINK("http://catalog.hathitrust.org/Record/002782937","HathiTrust Record")</f>
        <v>HathiTrust Record</v>
      </c>
      <c r="AV2360" s="6" t="str">
        <f>HYPERLINK("http://mcgill.on.worldcat.org/oclc/711805","Catalog Record")</f>
        <v>Catalog Record</v>
      </c>
      <c r="AW2360" s="6" t="str">
        <f>HYPERLINK("http://www.worldcat.org/oclc/711805","WorldCat Record")</f>
        <v>WorldCat Record</v>
      </c>
      <c r="AX2360" s="3" t="s">
        <v>19752</v>
      </c>
      <c r="AY2360" s="3" t="s">
        <v>19774</v>
      </c>
      <c r="AZ2360" s="3" t="s">
        <v>19775</v>
      </c>
      <c r="BA2360" s="3" t="s">
        <v>19775</v>
      </c>
      <c r="BB2360" s="3" t="s">
        <v>19776</v>
      </c>
      <c r="BC2360" s="3" t="s">
        <v>82</v>
      </c>
      <c r="BD2360" s="3" t="s">
        <v>70</v>
      </c>
      <c r="BE2360" s="3" t="s">
        <v>19777</v>
      </c>
      <c r="BF2360" s="3" t="s">
        <v>19776</v>
      </c>
      <c r="BG2360" s="3" t="s">
        <v>19778</v>
      </c>
    </row>
    <row r="2361" spans="1:59" ht="75" x14ac:dyDescent="0.25">
      <c r="A2361" s="2" t="s">
        <v>59</v>
      </c>
      <c r="B2361" s="2" t="s">
        <v>60</v>
      </c>
      <c r="C2361" s="2" t="s">
        <v>19767</v>
      </c>
      <c r="D2361" s="2" t="s">
        <v>19768</v>
      </c>
      <c r="E2361" s="2" t="s">
        <v>19769</v>
      </c>
      <c r="G2361" s="3" t="s">
        <v>63</v>
      </c>
      <c r="I2361" s="3" t="s">
        <v>62</v>
      </c>
      <c r="J2361" s="3" t="s">
        <v>62</v>
      </c>
      <c r="K2361" s="3" t="s">
        <v>215</v>
      </c>
      <c r="L2361" s="2" t="s">
        <v>19726</v>
      </c>
      <c r="M2361" s="2" t="s">
        <v>19770</v>
      </c>
      <c r="N2361" s="3" t="s">
        <v>401</v>
      </c>
      <c r="O2361" s="2" t="s">
        <v>590</v>
      </c>
      <c r="P2361" s="3" t="s">
        <v>66</v>
      </c>
      <c r="Q2361" s="2" t="s">
        <v>19771</v>
      </c>
      <c r="R2361" s="3" t="s">
        <v>67</v>
      </c>
      <c r="S2361" s="4">
        <v>45</v>
      </c>
      <c r="T2361" s="4">
        <v>60</v>
      </c>
      <c r="U2361" s="5" t="s">
        <v>19773</v>
      </c>
      <c r="V2361" s="5" t="s">
        <v>19773</v>
      </c>
      <c r="W2361" s="5" t="s">
        <v>69</v>
      </c>
      <c r="X2361" s="5" t="s">
        <v>69</v>
      </c>
      <c r="Y2361" s="4">
        <v>1048</v>
      </c>
      <c r="Z2361" s="4">
        <v>41</v>
      </c>
      <c r="AA2361" s="4">
        <v>184</v>
      </c>
      <c r="AB2361" s="4">
        <v>4</v>
      </c>
      <c r="AC2361" s="4">
        <v>20</v>
      </c>
      <c r="AD2361" s="4">
        <v>116</v>
      </c>
      <c r="AE2361" s="4">
        <v>170</v>
      </c>
      <c r="AF2361" s="4">
        <v>2</v>
      </c>
      <c r="AG2361" s="4">
        <v>8</v>
      </c>
      <c r="AH2361" s="4">
        <v>93</v>
      </c>
      <c r="AI2361" s="4">
        <v>115</v>
      </c>
      <c r="AJ2361" s="4">
        <v>15</v>
      </c>
      <c r="AK2361" s="4">
        <v>28</v>
      </c>
      <c r="AL2361" s="4">
        <v>49</v>
      </c>
      <c r="AM2361" s="4">
        <v>64</v>
      </c>
      <c r="AN2361" s="4">
        <v>0</v>
      </c>
      <c r="AO2361" s="4">
        <v>17</v>
      </c>
      <c r="AP2361" s="4">
        <v>29</v>
      </c>
      <c r="AQ2361" s="4">
        <v>60</v>
      </c>
      <c r="AR2361" s="3" t="s">
        <v>63</v>
      </c>
      <c r="AS2361" s="3" t="s">
        <v>63</v>
      </c>
      <c r="AT2361" s="3" t="s">
        <v>62</v>
      </c>
      <c r="AU2361" s="6" t="str">
        <f>HYPERLINK("http://catalog.hathitrust.org/Record/002782937","HathiTrust Record")</f>
        <v>HathiTrust Record</v>
      </c>
      <c r="AV2361" s="6" t="str">
        <f>HYPERLINK("http://mcgill.on.worldcat.org/oclc/711805","Catalog Record")</f>
        <v>Catalog Record</v>
      </c>
      <c r="AW2361" s="6" t="str">
        <f>HYPERLINK("http://www.worldcat.org/oclc/711805","WorldCat Record")</f>
        <v>WorldCat Record</v>
      </c>
      <c r="AX2361" s="3" t="s">
        <v>19752</v>
      </c>
      <c r="AY2361" s="3" t="s">
        <v>19774</v>
      </c>
      <c r="AZ2361" s="3" t="s">
        <v>19775</v>
      </c>
      <c r="BA2361" s="3" t="s">
        <v>19775</v>
      </c>
      <c r="BB2361" s="3" t="s">
        <v>19779</v>
      </c>
      <c r="BC2361" s="3" t="s">
        <v>82</v>
      </c>
      <c r="BD2361" s="3" t="s">
        <v>70</v>
      </c>
      <c r="BE2361" s="3" t="s">
        <v>19777</v>
      </c>
      <c r="BF2361" s="3" t="s">
        <v>19779</v>
      </c>
      <c r="BG2361" s="3" t="s">
        <v>19780</v>
      </c>
    </row>
    <row r="2362" spans="1:59" ht="60" x14ac:dyDescent="0.25">
      <c r="A2362" s="2" t="s">
        <v>59</v>
      </c>
      <c r="B2362" s="2" t="s">
        <v>60</v>
      </c>
      <c r="C2362" s="2" t="s">
        <v>19781</v>
      </c>
      <c r="D2362" s="2" t="s">
        <v>19782</v>
      </c>
      <c r="E2362" s="2" t="s">
        <v>19783</v>
      </c>
      <c r="G2362" s="3" t="s">
        <v>63</v>
      </c>
      <c r="I2362" s="3" t="s">
        <v>62</v>
      </c>
      <c r="J2362" s="3" t="s">
        <v>62</v>
      </c>
      <c r="K2362" s="3" t="s">
        <v>215</v>
      </c>
      <c r="L2362" s="2" t="s">
        <v>19343</v>
      </c>
      <c r="M2362" s="2" t="s">
        <v>19784</v>
      </c>
      <c r="N2362" s="3" t="s">
        <v>326</v>
      </c>
      <c r="O2362" s="2" t="s">
        <v>1856</v>
      </c>
      <c r="P2362" s="3" t="s">
        <v>66</v>
      </c>
      <c r="Q2362" s="2" t="s">
        <v>11108</v>
      </c>
      <c r="R2362" s="3" t="s">
        <v>67</v>
      </c>
      <c r="S2362" s="4">
        <v>27</v>
      </c>
      <c r="T2362" s="4">
        <v>28</v>
      </c>
      <c r="U2362" s="5" t="s">
        <v>14104</v>
      </c>
      <c r="V2362" s="5" t="s">
        <v>14104</v>
      </c>
      <c r="W2362" s="5" t="s">
        <v>69</v>
      </c>
      <c r="X2362" s="5" t="s">
        <v>69</v>
      </c>
      <c r="Y2362" s="4">
        <v>227</v>
      </c>
      <c r="Z2362" s="4">
        <v>14</v>
      </c>
      <c r="AA2362" s="4">
        <v>184</v>
      </c>
      <c r="AB2362" s="4">
        <v>2</v>
      </c>
      <c r="AC2362" s="4">
        <v>20</v>
      </c>
      <c r="AD2362" s="4">
        <v>72</v>
      </c>
      <c r="AE2362" s="4">
        <v>170</v>
      </c>
      <c r="AF2362" s="4">
        <v>0</v>
      </c>
      <c r="AG2362" s="4">
        <v>8</v>
      </c>
      <c r="AH2362" s="4">
        <v>67</v>
      </c>
      <c r="AI2362" s="4">
        <v>115</v>
      </c>
      <c r="AJ2362" s="4">
        <v>10</v>
      </c>
      <c r="AK2362" s="4">
        <v>28</v>
      </c>
      <c r="AL2362" s="4">
        <v>43</v>
      </c>
      <c r="AM2362" s="4">
        <v>64</v>
      </c>
      <c r="AN2362" s="4">
        <v>0</v>
      </c>
      <c r="AO2362" s="4">
        <v>17</v>
      </c>
      <c r="AP2362" s="4">
        <v>11</v>
      </c>
      <c r="AQ2362" s="4">
        <v>60</v>
      </c>
      <c r="AR2362" s="3" t="s">
        <v>63</v>
      </c>
      <c r="AS2362" s="3" t="s">
        <v>63</v>
      </c>
      <c r="AT2362" s="3" t="s">
        <v>63</v>
      </c>
      <c r="AV2362" s="6" t="str">
        <f>HYPERLINK("http://mcgill.on.worldcat.org/oclc/217263837","Catalog Record")</f>
        <v>Catalog Record</v>
      </c>
      <c r="AW2362" s="6" t="str">
        <f>HYPERLINK("http://www.worldcat.org/oclc/217263837","WorldCat Record")</f>
        <v>WorldCat Record</v>
      </c>
      <c r="AX2362" s="3" t="s">
        <v>19752</v>
      </c>
      <c r="AY2362" s="3" t="s">
        <v>19785</v>
      </c>
      <c r="AZ2362" s="3" t="s">
        <v>19786</v>
      </c>
      <c r="BA2362" s="3" t="s">
        <v>19786</v>
      </c>
      <c r="BB2362" s="3" t="s">
        <v>19787</v>
      </c>
      <c r="BC2362" s="3" t="s">
        <v>82</v>
      </c>
      <c r="BD2362" s="3" t="s">
        <v>538</v>
      </c>
      <c r="BE2362" s="3" t="s">
        <v>19788</v>
      </c>
      <c r="BF2362" s="3" t="s">
        <v>19787</v>
      </c>
      <c r="BG2362" s="3" t="s">
        <v>19789</v>
      </c>
    </row>
    <row r="2363" spans="1:59" ht="60" x14ac:dyDescent="0.25">
      <c r="A2363" s="2" t="s">
        <v>59</v>
      </c>
      <c r="B2363" s="2" t="s">
        <v>60</v>
      </c>
      <c r="C2363" s="2" t="s">
        <v>19781</v>
      </c>
      <c r="D2363" s="2" t="s">
        <v>19782</v>
      </c>
      <c r="E2363" s="2" t="s">
        <v>19783</v>
      </c>
      <c r="G2363" s="3" t="s">
        <v>63</v>
      </c>
      <c r="I2363" s="3" t="s">
        <v>62</v>
      </c>
      <c r="J2363" s="3" t="s">
        <v>62</v>
      </c>
      <c r="K2363" s="3" t="s">
        <v>215</v>
      </c>
      <c r="L2363" s="2" t="s">
        <v>19343</v>
      </c>
      <c r="M2363" s="2" t="s">
        <v>19784</v>
      </c>
      <c r="N2363" s="3" t="s">
        <v>326</v>
      </c>
      <c r="O2363" s="2" t="s">
        <v>1856</v>
      </c>
      <c r="P2363" s="3" t="s">
        <v>66</v>
      </c>
      <c r="Q2363" s="2" t="s">
        <v>11108</v>
      </c>
      <c r="R2363" s="3" t="s">
        <v>67</v>
      </c>
      <c r="S2363" s="4">
        <v>1</v>
      </c>
      <c r="T2363" s="4">
        <v>28</v>
      </c>
      <c r="V2363" s="5" t="s">
        <v>14104</v>
      </c>
      <c r="W2363" s="5" t="s">
        <v>69</v>
      </c>
      <c r="X2363" s="5" t="s">
        <v>69</v>
      </c>
      <c r="Y2363" s="4">
        <v>227</v>
      </c>
      <c r="Z2363" s="4">
        <v>14</v>
      </c>
      <c r="AA2363" s="4">
        <v>184</v>
      </c>
      <c r="AB2363" s="4">
        <v>2</v>
      </c>
      <c r="AC2363" s="4">
        <v>20</v>
      </c>
      <c r="AD2363" s="4">
        <v>72</v>
      </c>
      <c r="AE2363" s="4">
        <v>170</v>
      </c>
      <c r="AF2363" s="4">
        <v>0</v>
      </c>
      <c r="AG2363" s="4">
        <v>8</v>
      </c>
      <c r="AH2363" s="4">
        <v>67</v>
      </c>
      <c r="AI2363" s="4">
        <v>115</v>
      </c>
      <c r="AJ2363" s="4">
        <v>10</v>
      </c>
      <c r="AK2363" s="4">
        <v>28</v>
      </c>
      <c r="AL2363" s="4">
        <v>43</v>
      </c>
      <c r="AM2363" s="4">
        <v>64</v>
      </c>
      <c r="AN2363" s="4">
        <v>0</v>
      </c>
      <c r="AO2363" s="4">
        <v>17</v>
      </c>
      <c r="AP2363" s="4">
        <v>11</v>
      </c>
      <c r="AQ2363" s="4">
        <v>60</v>
      </c>
      <c r="AR2363" s="3" t="s">
        <v>63</v>
      </c>
      <c r="AS2363" s="3" t="s">
        <v>63</v>
      </c>
      <c r="AT2363" s="3" t="s">
        <v>63</v>
      </c>
      <c r="AV2363" s="6" t="str">
        <f>HYPERLINK("http://mcgill.on.worldcat.org/oclc/217263837","Catalog Record")</f>
        <v>Catalog Record</v>
      </c>
      <c r="AW2363" s="6" t="str">
        <f>HYPERLINK("http://www.worldcat.org/oclc/217263837","WorldCat Record")</f>
        <v>WorldCat Record</v>
      </c>
      <c r="AX2363" s="3" t="s">
        <v>19752</v>
      </c>
      <c r="AY2363" s="3" t="s">
        <v>19785</v>
      </c>
      <c r="AZ2363" s="3" t="s">
        <v>19786</v>
      </c>
      <c r="BA2363" s="3" t="s">
        <v>19786</v>
      </c>
      <c r="BB2363" s="3" t="s">
        <v>19790</v>
      </c>
      <c r="BC2363" s="3" t="s">
        <v>82</v>
      </c>
      <c r="BD2363" s="3" t="s">
        <v>538</v>
      </c>
      <c r="BE2363" s="3" t="s">
        <v>19788</v>
      </c>
      <c r="BF2363" s="3" t="s">
        <v>19790</v>
      </c>
      <c r="BG2363" s="3" t="s">
        <v>19791</v>
      </c>
    </row>
    <row r="2364" spans="1:59" ht="60" x14ac:dyDescent="0.25">
      <c r="A2364" s="2" t="s">
        <v>59</v>
      </c>
      <c r="B2364" s="2" t="s">
        <v>60</v>
      </c>
      <c r="C2364" s="2" t="s">
        <v>19792</v>
      </c>
      <c r="D2364" s="2" t="s">
        <v>19793</v>
      </c>
      <c r="E2364" s="2" t="s">
        <v>19794</v>
      </c>
      <c r="G2364" s="3" t="s">
        <v>63</v>
      </c>
      <c r="I2364" s="3" t="s">
        <v>63</v>
      </c>
      <c r="J2364" s="3" t="s">
        <v>62</v>
      </c>
      <c r="K2364" s="3" t="s">
        <v>215</v>
      </c>
      <c r="L2364" s="2" t="s">
        <v>19343</v>
      </c>
      <c r="M2364" s="2" t="s">
        <v>10792</v>
      </c>
      <c r="N2364" s="3" t="s">
        <v>326</v>
      </c>
      <c r="P2364" s="3" t="s">
        <v>66</v>
      </c>
      <c r="Q2364" s="2" t="s">
        <v>9341</v>
      </c>
      <c r="R2364" s="3" t="s">
        <v>67</v>
      </c>
      <c r="S2364" s="4">
        <v>20</v>
      </c>
      <c r="T2364" s="4">
        <v>20</v>
      </c>
      <c r="U2364" s="5" t="s">
        <v>19729</v>
      </c>
      <c r="V2364" s="5" t="s">
        <v>19729</v>
      </c>
      <c r="W2364" s="5" t="s">
        <v>69</v>
      </c>
      <c r="X2364" s="5" t="s">
        <v>69</v>
      </c>
      <c r="Y2364" s="4">
        <v>277</v>
      </c>
      <c r="Z2364" s="4">
        <v>14</v>
      </c>
      <c r="AA2364" s="4">
        <v>184</v>
      </c>
      <c r="AB2364" s="4">
        <v>2</v>
      </c>
      <c r="AC2364" s="4">
        <v>20</v>
      </c>
      <c r="AD2364" s="4">
        <v>58</v>
      </c>
      <c r="AE2364" s="4">
        <v>170</v>
      </c>
      <c r="AF2364" s="4">
        <v>0</v>
      </c>
      <c r="AG2364" s="4">
        <v>8</v>
      </c>
      <c r="AH2364" s="4">
        <v>54</v>
      </c>
      <c r="AI2364" s="4">
        <v>115</v>
      </c>
      <c r="AJ2364" s="4">
        <v>8</v>
      </c>
      <c r="AK2364" s="4">
        <v>28</v>
      </c>
      <c r="AL2364" s="4">
        <v>37</v>
      </c>
      <c r="AM2364" s="4">
        <v>64</v>
      </c>
      <c r="AN2364" s="4">
        <v>0</v>
      </c>
      <c r="AO2364" s="4">
        <v>17</v>
      </c>
      <c r="AP2364" s="4">
        <v>8</v>
      </c>
      <c r="AQ2364" s="4">
        <v>60</v>
      </c>
      <c r="AR2364" s="3" t="s">
        <v>63</v>
      </c>
      <c r="AS2364" s="3" t="s">
        <v>63</v>
      </c>
      <c r="AT2364" s="3" t="s">
        <v>63</v>
      </c>
      <c r="AV2364" s="6" t="str">
        <f>HYPERLINK("http://mcgill.on.worldcat.org/oclc/318411308","Catalog Record")</f>
        <v>Catalog Record</v>
      </c>
      <c r="AW2364" s="6" t="str">
        <f>HYPERLINK("http://www.worldcat.org/oclc/318411308","WorldCat Record")</f>
        <v>WorldCat Record</v>
      </c>
      <c r="AX2364" s="3" t="s">
        <v>19752</v>
      </c>
      <c r="AY2364" s="3" t="s">
        <v>19795</v>
      </c>
      <c r="AZ2364" s="3" t="s">
        <v>19796</v>
      </c>
      <c r="BA2364" s="3" t="s">
        <v>19796</v>
      </c>
      <c r="BB2364" s="3" t="s">
        <v>19797</v>
      </c>
      <c r="BC2364" s="3" t="s">
        <v>82</v>
      </c>
      <c r="BD2364" s="3" t="s">
        <v>538</v>
      </c>
      <c r="BE2364" s="3" t="s">
        <v>19798</v>
      </c>
      <c r="BF2364" s="3" t="s">
        <v>19797</v>
      </c>
      <c r="BG2364" s="3" t="s">
        <v>19799</v>
      </c>
    </row>
    <row r="2365" spans="1:59" ht="60" x14ac:dyDescent="0.25">
      <c r="A2365" s="2" t="s">
        <v>59</v>
      </c>
      <c r="B2365" s="2" t="s">
        <v>60</v>
      </c>
      <c r="C2365" s="2" t="s">
        <v>19800</v>
      </c>
      <c r="D2365" s="2" t="s">
        <v>19801</v>
      </c>
      <c r="E2365" s="2" t="s">
        <v>19802</v>
      </c>
      <c r="G2365" s="3" t="s">
        <v>63</v>
      </c>
      <c r="I2365" s="3" t="s">
        <v>63</v>
      </c>
      <c r="J2365" s="3" t="s">
        <v>63</v>
      </c>
      <c r="K2365" s="3" t="s">
        <v>64</v>
      </c>
      <c r="L2365" s="2" t="s">
        <v>19343</v>
      </c>
      <c r="M2365" s="2" t="s">
        <v>19803</v>
      </c>
      <c r="N2365" s="3" t="s">
        <v>313</v>
      </c>
      <c r="P2365" s="3" t="s">
        <v>66</v>
      </c>
      <c r="Q2365" s="2" t="s">
        <v>12126</v>
      </c>
      <c r="R2365" s="3" t="s">
        <v>67</v>
      </c>
      <c r="S2365" s="4">
        <v>11</v>
      </c>
      <c r="T2365" s="4">
        <v>11</v>
      </c>
      <c r="U2365" s="5" t="s">
        <v>6873</v>
      </c>
      <c r="V2365" s="5" t="s">
        <v>6873</v>
      </c>
      <c r="W2365" s="5" t="s">
        <v>69</v>
      </c>
      <c r="X2365" s="5" t="s">
        <v>69</v>
      </c>
      <c r="Y2365" s="4">
        <v>68</v>
      </c>
      <c r="Z2365" s="4">
        <v>9</v>
      </c>
      <c r="AA2365" s="4">
        <v>34</v>
      </c>
      <c r="AB2365" s="4">
        <v>1</v>
      </c>
      <c r="AC2365" s="4">
        <v>5</v>
      </c>
      <c r="AD2365" s="4">
        <v>34</v>
      </c>
      <c r="AE2365" s="4">
        <v>75</v>
      </c>
      <c r="AF2365" s="4">
        <v>0</v>
      </c>
      <c r="AG2365" s="4">
        <v>1</v>
      </c>
      <c r="AH2365" s="4">
        <v>31</v>
      </c>
      <c r="AI2365" s="4">
        <v>66</v>
      </c>
      <c r="AJ2365" s="4">
        <v>7</v>
      </c>
      <c r="AK2365" s="4">
        <v>13</v>
      </c>
      <c r="AL2365" s="4">
        <v>23</v>
      </c>
      <c r="AM2365" s="4">
        <v>39</v>
      </c>
      <c r="AN2365" s="4">
        <v>0</v>
      </c>
      <c r="AO2365" s="4">
        <v>0</v>
      </c>
      <c r="AP2365" s="4">
        <v>7</v>
      </c>
      <c r="AQ2365" s="4">
        <v>13</v>
      </c>
      <c r="AR2365" s="3" t="s">
        <v>63</v>
      </c>
      <c r="AS2365" s="3" t="s">
        <v>63</v>
      </c>
      <c r="AT2365" s="3" t="s">
        <v>63</v>
      </c>
      <c r="AV2365" s="6" t="str">
        <f>HYPERLINK("http://mcgill.on.worldcat.org/oclc/489636459","Catalog Record")</f>
        <v>Catalog Record</v>
      </c>
      <c r="AW2365" s="6" t="str">
        <f>HYPERLINK("http://www.worldcat.org/oclc/489636459","WorldCat Record")</f>
        <v>WorldCat Record</v>
      </c>
      <c r="AX2365" s="3" t="s">
        <v>19804</v>
      </c>
      <c r="AY2365" s="3" t="s">
        <v>19805</v>
      </c>
      <c r="AZ2365" s="3" t="s">
        <v>19806</v>
      </c>
      <c r="BA2365" s="3" t="s">
        <v>19806</v>
      </c>
      <c r="BB2365" s="3" t="s">
        <v>19807</v>
      </c>
      <c r="BC2365" s="3" t="s">
        <v>82</v>
      </c>
      <c r="BD2365" s="3" t="s">
        <v>70</v>
      </c>
      <c r="BE2365" s="3" t="s">
        <v>19808</v>
      </c>
      <c r="BF2365" s="3" t="s">
        <v>19807</v>
      </c>
      <c r="BG2365" s="3" t="s">
        <v>19809</v>
      </c>
    </row>
    <row r="2366" spans="1:59" ht="60" x14ac:dyDescent="0.25">
      <c r="A2366" s="2" t="s">
        <v>59</v>
      </c>
      <c r="B2366" s="2" t="s">
        <v>60</v>
      </c>
      <c r="C2366" s="2" t="s">
        <v>19810</v>
      </c>
      <c r="D2366" s="2" t="s">
        <v>19811</v>
      </c>
      <c r="E2366" s="2" t="s">
        <v>19812</v>
      </c>
      <c r="G2366" s="3" t="s">
        <v>63</v>
      </c>
      <c r="I2366" s="3" t="s">
        <v>63</v>
      </c>
      <c r="J2366" s="3" t="s">
        <v>62</v>
      </c>
      <c r="K2366" s="3" t="s">
        <v>215</v>
      </c>
      <c r="L2366" s="2" t="s">
        <v>19343</v>
      </c>
      <c r="M2366" s="2" t="s">
        <v>19813</v>
      </c>
      <c r="N2366" s="3" t="s">
        <v>76</v>
      </c>
      <c r="P2366" s="3" t="s">
        <v>66</v>
      </c>
      <c r="R2366" s="3" t="s">
        <v>67</v>
      </c>
      <c r="S2366" s="4">
        <v>15</v>
      </c>
      <c r="T2366" s="4">
        <v>15</v>
      </c>
      <c r="U2366" s="5" t="s">
        <v>17742</v>
      </c>
      <c r="V2366" s="5" t="s">
        <v>17742</v>
      </c>
      <c r="W2366" s="5" t="s">
        <v>69</v>
      </c>
      <c r="X2366" s="5" t="s">
        <v>69</v>
      </c>
      <c r="Y2366" s="4">
        <v>70</v>
      </c>
      <c r="Z2366" s="4">
        <v>9</v>
      </c>
      <c r="AA2366" s="4">
        <v>54</v>
      </c>
      <c r="AB2366" s="4">
        <v>1</v>
      </c>
      <c r="AC2366" s="4">
        <v>11</v>
      </c>
      <c r="AD2366" s="4">
        <v>38</v>
      </c>
      <c r="AE2366" s="4">
        <v>123</v>
      </c>
      <c r="AF2366" s="4">
        <v>0</v>
      </c>
      <c r="AG2366" s="4">
        <v>4</v>
      </c>
      <c r="AH2366" s="4">
        <v>35</v>
      </c>
      <c r="AI2366" s="4">
        <v>101</v>
      </c>
      <c r="AJ2366" s="4">
        <v>6</v>
      </c>
      <c r="AK2366" s="4">
        <v>20</v>
      </c>
      <c r="AL2366" s="4">
        <v>24</v>
      </c>
      <c r="AM2366" s="4">
        <v>56</v>
      </c>
      <c r="AN2366" s="4">
        <v>0</v>
      </c>
      <c r="AO2366" s="4">
        <v>6</v>
      </c>
      <c r="AP2366" s="4">
        <v>6</v>
      </c>
      <c r="AQ2366" s="4">
        <v>31</v>
      </c>
      <c r="AR2366" s="3" t="s">
        <v>63</v>
      </c>
      <c r="AS2366" s="3" t="s">
        <v>63</v>
      </c>
      <c r="AT2366" s="3" t="s">
        <v>63</v>
      </c>
      <c r="AV2366" s="6" t="str">
        <f>HYPERLINK("http://mcgill.on.worldcat.org/oclc/806438727","Catalog Record")</f>
        <v>Catalog Record</v>
      </c>
      <c r="AW2366" s="6" t="str">
        <f>HYPERLINK("http://www.worldcat.org/oclc/806438727","WorldCat Record")</f>
        <v>WorldCat Record</v>
      </c>
      <c r="AX2366" s="3" t="s">
        <v>19814</v>
      </c>
      <c r="AY2366" s="3" t="s">
        <v>19815</v>
      </c>
      <c r="AZ2366" s="3" t="s">
        <v>19816</v>
      </c>
      <c r="BA2366" s="3" t="s">
        <v>19816</v>
      </c>
      <c r="BB2366" s="3" t="s">
        <v>19817</v>
      </c>
      <c r="BC2366" s="3" t="s">
        <v>82</v>
      </c>
      <c r="BD2366" s="3" t="s">
        <v>538</v>
      </c>
      <c r="BE2366" s="3" t="s">
        <v>19818</v>
      </c>
      <c r="BF2366" s="3" t="s">
        <v>19817</v>
      </c>
      <c r="BG2366" s="3" t="s">
        <v>19819</v>
      </c>
    </row>
    <row r="2367" spans="1:59" ht="75" x14ac:dyDescent="0.25">
      <c r="A2367" s="2" t="s">
        <v>59</v>
      </c>
      <c r="B2367" s="2" t="s">
        <v>60</v>
      </c>
      <c r="C2367" s="2" t="s">
        <v>19820</v>
      </c>
      <c r="D2367" s="2" t="s">
        <v>19821</v>
      </c>
      <c r="E2367" s="2" t="s">
        <v>19822</v>
      </c>
      <c r="G2367" s="3" t="s">
        <v>63</v>
      </c>
      <c r="I2367" s="3" t="s">
        <v>63</v>
      </c>
      <c r="J2367" s="3" t="s">
        <v>63</v>
      </c>
      <c r="K2367" s="3" t="s">
        <v>64</v>
      </c>
      <c r="L2367" s="2" t="s">
        <v>19343</v>
      </c>
      <c r="M2367" s="2" t="s">
        <v>19823</v>
      </c>
      <c r="N2367" s="3" t="s">
        <v>9114</v>
      </c>
      <c r="P2367" s="3" t="s">
        <v>66</v>
      </c>
      <c r="Q2367" s="2" t="s">
        <v>15739</v>
      </c>
      <c r="R2367" s="3" t="s">
        <v>67</v>
      </c>
      <c r="S2367" s="4">
        <v>9</v>
      </c>
      <c r="T2367" s="4">
        <v>9</v>
      </c>
      <c r="U2367" s="5" t="s">
        <v>19685</v>
      </c>
      <c r="V2367" s="5" t="s">
        <v>19685</v>
      </c>
      <c r="W2367" s="5" t="s">
        <v>69</v>
      </c>
      <c r="X2367" s="5" t="s">
        <v>69</v>
      </c>
      <c r="Y2367" s="4">
        <v>96</v>
      </c>
      <c r="Z2367" s="4">
        <v>8</v>
      </c>
      <c r="AA2367" s="4">
        <v>8</v>
      </c>
      <c r="AB2367" s="4">
        <v>3</v>
      </c>
      <c r="AC2367" s="4">
        <v>3</v>
      </c>
      <c r="AD2367" s="4">
        <v>23</v>
      </c>
      <c r="AE2367" s="4">
        <v>23</v>
      </c>
      <c r="AF2367" s="4">
        <v>1</v>
      </c>
      <c r="AG2367" s="4">
        <v>1</v>
      </c>
      <c r="AH2367" s="4">
        <v>20</v>
      </c>
      <c r="AI2367" s="4">
        <v>20</v>
      </c>
      <c r="AJ2367" s="4">
        <v>4</v>
      </c>
      <c r="AK2367" s="4">
        <v>4</v>
      </c>
      <c r="AL2367" s="4">
        <v>13</v>
      </c>
      <c r="AM2367" s="4">
        <v>13</v>
      </c>
      <c r="AN2367" s="4">
        <v>0</v>
      </c>
      <c r="AO2367" s="4">
        <v>0</v>
      </c>
      <c r="AP2367" s="4">
        <v>6</v>
      </c>
      <c r="AQ2367" s="4">
        <v>6</v>
      </c>
      <c r="AR2367" s="3" t="s">
        <v>63</v>
      </c>
      <c r="AS2367" s="3" t="s">
        <v>63</v>
      </c>
      <c r="AT2367" s="3" t="s">
        <v>63</v>
      </c>
      <c r="AV2367" s="6" t="str">
        <f>HYPERLINK("http://mcgill.on.worldcat.org/oclc/2942698","Catalog Record")</f>
        <v>Catalog Record</v>
      </c>
      <c r="AW2367" s="6" t="str">
        <f>HYPERLINK("http://www.worldcat.org/oclc/2942698","WorldCat Record")</f>
        <v>WorldCat Record</v>
      </c>
      <c r="AX2367" s="3" t="s">
        <v>19824</v>
      </c>
      <c r="AY2367" s="3" t="s">
        <v>19825</v>
      </c>
      <c r="AZ2367" s="3" t="s">
        <v>19826</v>
      </c>
      <c r="BA2367" s="3" t="s">
        <v>19826</v>
      </c>
      <c r="BB2367" s="3" t="s">
        <v>19827</v>
      </c>
      <c r="BC2367" s="3" t="s">
        <v>82</v>
      </c>
      <c r="BD2367" s="3" t="s">
        <v>70</v>
      </c>
      <c r="BF2367" s="3" t="s">
        <v>19827</v>
      </c>
      <c r="BG2367" s="3" t="s">
        <v>19828</v>
      </c>
    </row>
    <row r="2368" spans="1:59" ht="60" x14ac:dyDescent="0.25">
      <c r="A2368" s="2" t="s">
        <v>59</v>
      </c>
      <c r="B2368" s="2" t="s">
        <v>60</v>
      </c>
      <c r="C2368" s="2" t="s">
        <v>19829</v>
      </c>
      <c r="D2368" s="2" t="s">
        <v>19830</v>
      </c>
      <c r="E2368" s="2" t="s">
        <v>19831</v>
      </c>
      <c r="F2368" s="3" t="s">
        <v>5684</v>
      </c>
      <c r="G2368" s="3" t="s">
        <v>62</v>
      </c>
      <c r="I2368" s="3" t="s">
        <v>63</v>
      </c>
      <c r="J2368" s="3" t="s">
        <v>62</v>
      </c>
      <c r="K2368" s="3" t="s">
        <v>64</v>
      </c>
      <c r="L2368" s="2" t="s">
        <v>19343</v>
      </c>
      <c r="M2368" s="2" t="s">
        <v>19832</v>
      </c>
      <c r="N2368" s="3" t="s">
        <v>19833</v>
      </c>
      <c r="P2368" s="3" t="s">
        <v>66</v>
      </c>
      <c r="Q2368" s="2" t="s">
        <v>19834</v>
      </c>
      <c r="R2368" s="3" t="s">
        <v>67</v>
      </c>
      <c r="S2368" s="4">
        <v>11</v>
      </c>
      <c r="T2368" s="4">
        <v>19</v>
      </c>
      <c r="U2368" s="5" t="s">
        <v>19835</v>
      </c>
      <c r="V2368" s="5" t="s">
        <v>19835</v>
      </c>
      <c r="W2368" s="5" t="s">
        <v>69</v>
      </c>
      <c r="X2368" s="5" t="s">
        <v>69</v>
      </c>
      <c r="Y2368" s="4">
        <v>45</v>
      </c>
      <c r="Z2368" s="4">
        <v>5</v>
      </c>
      <c r="AA2368" s="4">
        <v>63</v>
      </c>
      <c r="AB2368" s="4">
        <v>1</v>
      </c>
      <c r="AC2368" s="4">
        <v>5</v>
      </c>
      <c r="AD2368" s="4">
        <v>13</v>
      </c>
      <c r="AE2368" s="4">
        <v>142</v>
      </c>
      <c r="AF2368" s="4">
        <v>0</v>
      </c>
      <c r="AG2368" s="4">
        <v>2</v>
      </c>
      <c r="AH2368" s="4">
        <v>11</v>
      </c>
      <c r="AI2368" s="4">
        <v>111</v>
      </c>
      <c r="AJ2368" s="4">
        <v>1</v>
      </c>
      <c r="AK2368" s="4">
        <v>22</v>
      </c>
      <c r="AL2368" s="4">
        <v>6</v>
      </c>
      <c r="AM2368" s="4">
        <v>59</v>
      </c>
      <c r="AN2368" s="4">
        <v>0</v>
      </c>
      <c r="AO2368" s="4">
        <v>0</v>
      </c>
      <c r="AP2368" s="4">
        <v>4</v>
      </c>
      <c r="AQ2368" s="4">
        <v>37</v>
      </c>
      <c r="AR2368" s="3" t="s">
        <v>63</v>
      </c>
      <c r="AS2368" s="3" t="s">
        <v>62</v>
      </c>
      <c r="AT2368" s="3" t="s">
        <v>62</v>
      </c>
      <c r="AU2368" s="6" t="str">
        <f>HYPERLINK("http://catalog.hathitrust.org/Record/006763904","HathiTrust Record")</f>
        <v>HathiTrust Record</v>
      </c>
      <c r="AV2368" s="6" t="str">
        <f>HYPERLINK("http://mcgill.on.worldcat.org/oclc/681615","Catalog Record")</f>
        <v>Catalog Record</v>
      </c>
      <c r="AW2368" s="6" t="str">
        <f>HYPERLINK("http://www.worldcat.org/oclc/681615","WorldCat Record")</f>
        <v>WorldCat Record</v>
      </c>
      <c r="AX2368" s="3" t="s">
        <v>19836</v>
      </c>
      <c r="AY2368" s="3" t="s">
        <v>19837</v>
      </c>
      <c r="AZ2368" s="3" t="s">
        <v>19838</v>
      </c>
      <c r="BA2368" s="3" t="s">
        <v>19838</v>
      </c>
      <c r="BB2368" s="3" t="s">
        <v>19839</v>
      </c>
      <c r="BC2368" s="3" t="s">
        <v>82</v>
      </c>
      <c r="BD2368" s="3" t="s">
        <v>70</v>
      </c>
      <c r="BE2368" s="3" t="s">
        <v>19840</v>
      </c>
      <c r="BF2368" s="3" t="s">
        <v>19839</v>
      </c>
      <c r="BG2368" s="3" t="s">
        <v>19841</v>
      </c>
    </row>
    <row r="2369" spans="1:59" ht="60" x14ac:dyDescent="0.25">
      <c r="A2369" s="2" t="s">
        <v>59</v>
      </c>
      <c r="B2369" s="2" t="s">
        <v>60</v>
      </c>
      <c r="C2369" s="2" t="s">
        <v>19829</v>
      </c>
      <c r="D2369" s="2" t="s">
        <v>19830</v>
      </c>
      <c r="E2369" s="2" t="s">
        <v>19842</v>
      </c>
      <c r="F2369" s="3" t="s">
        <v>4181</v>
      </c>
      <c r="G2369" s="3" t="s">
        <v>62</v>
      </c>
      <c r="I2369" s="3" t="s">
        <v>63</v>
      </c>
      <c r="J2369" s="3" t="s">
        <v>62</v>
      </c>
      <c r="K2369" s="3" t="s">
        <v>64</v>
      </c>
      <c r="L2369" s="2" t="s">
        <v>19343</v>
      </c>
      <c r="M2369" s="2" t="s">
        <v>19843</v>
      </c>
      <c r="N2369" s="3" t="s">
        <v>15289</v>
      </c>
      <c r="P2369" s="3" t="s">
        <v>66</v>
      </c>
      <c r="Q2369" s="2" t="s">
        <v>19844</v>
      </c>
      <c r="R2369" s="3" t="s">
        <v>67</v>
      </c>
      <c r="S2369" s="4">
        <v>0</v>
      </c>
      <c r="T2369" s="4">
        <v>2</v>
      </c>
      <c r="V2369" s="5" t="s">
        <v>19845</v>
      </c>
      <c r="W2369" s="5" t="s">
        <v>69</v>
      </c>
      <c r="X2369" s="5" t="s">
        <v>69</v>
      </c>
      <c r="Y2369" s="4">
        <v>21</v>
      </c>
      <c r="Z2369" s="4">
        <v>1</v>
      </c>
      <c r="AA2369" s="4">
        <v>63</v>
      </c>
      <c r="AB2369" s="4">
        <v>1</v>
      </c>
      <c r="AC2369" s="4">
        <v>5</v>
      </c>
      <c r="AD2369" s="4">
        <v>4</v>
      </c>
      <c r="AE2369" s="4">
        <v>142</v>
      </c>
      <c r="AF2369" s="4">
        <v>0</v>
      </c>
      <c r="AG2369" s="4">
        <v>2</v>
      </c>
      <c r="AH2369" s="4">
        <v>4</v>
      </c>
      <c r="AI2369" s="4">
        <v>111</v>
      </c>
      <c r="AJ2369" s="4">
        <v>0</v>
      </c>
      <c r="AK2369" s="4">
        <v>22</v>
      </c>
      <c r="AL2369" s="4">
        <v>3</v>
      </c>
      <c r="AM2369" s="4">
        <v>59</v>
      </c>
      <c r="AN2369" s="4">
        <v>0</v>
      </c>
      <c r="AO2369" s="4">
        <v>0</v>
      </c>
      <c r="AP2369" s="4">
        <v>0</v>
      </c>
      <c r="AQ2369" s="4">
        <v>37</v>
      </c>
      <c r="AR2369" s="3" t="s">
        <v>63</v>
      </c>
      <c r="AS2369" s="3" t="s">
        <v>63</v>
      </c>
      <c r="AT2369" s="3" t="s">
        <v>63</v>
      </c>
      <c r="AU2369" s="6" t="str">
        <f>HYPERLINK("http://catalog.hathitrust.org/Record/001061250","HathiTrust Record")</f>
        <v>HathiTrust Record</v>
      </c>
      <c r="AV2369" s="6" t="str">
        <f>HYPERLINK("http://mcgill.on.worldcat.org/oclc/23067639","Catalog Record")</f>
        <v>Catalog Record</v>
      </c>
      <c r="AW2369" s="6" t="str">
        <f>HYPERLINK("http://www.worldcat.org/oclc/23067639","WorldCat Record")</f>
        <v>WorldCat Record</v>
      </c>
      <c r="AX2369" s="3" t="s">
        <v>19836</v>
      </c>
      <c r="AY2369" s="3" t="s">
        <v>19846</v>
      </c>
      <c r="AZ2369" s="3" t="s">
        <v>19847</v>
      </c>
      <c r="BA2369" s="3" t="s">
        <v>19847</v>
      </c>
      <c r="BB2369" s="3" t="s">
        <v>19848</v>
      </c>
      <c r="BC2369" s="3" t="s">
        <v>82</v>
      </c>
      <c r="BD2369" s="3" t="s">
        <v>70</v>
      </c>
      <c r="BF2369" s="3" t="s">
        <v>19848</v>
      </c>
      <c r="BG2369" s="3" t="s">
        <v>19849</v>
      </c>
    </row>
    <row r="2370" spans="1:59" ht="60" x14ac:dyDescent="0.25">
      <c r="A2370" s="2" t="s">
        <v>59</v>
      </c>
      <c r="B2370" s="2" t="s">
        <v>60</v>
      </c>
      <c r="C2370" s="2" t="s">
        <v>19829</v>
      </c>
      <c r="D2370" s="2" t="s">
        <v>19830</v>
      </c>
      <c r="E2370" s="2" t="s">
        <v>19831</v>
      </c>
      <c r="F2370" s="3" t="s">
        <v>5696</v>
      </c>
      <c r="G2370" s="3" t="s">
        <v>62</v>
      </c>
      <c r="I2370" s="3" t="s">
        <v>63</v>
      </c>
      <c r="J2370" s="3" t="s">
        <v>62</v>
      </c>
      <c r="K2370" s="3" t="s">
        <v>64</v>
      </c>
      <c r="L2370" s="2" t="s">
        <v>19343</v>
      </c>
      <c r="M2370" s="2" t="s">
        <v>19832</v>
      </c>
      <c r="N2370" s="3" t="s">
        <v>19833</v>
      </c>
      <c r="P2370" s="3" t="s">
        <v>66</v>
      </c>
      <c r="Q2370" s="2" t="s">
        <v>19834</v>
      </c>
      <c r="R2370" s="3" t="s">
        <v>67</v>
      </c>
      <c r="S2370" s="4">
        <v>8</v>
      </c>
      <c r="T2370" s="4">
        <v>19</v>
      </c>
      <c r="U2370" s="5" t="s">
        <v>19835</v>
      </c>
      <c r="V2370" s="5" t="s">
        <v>19835</v>
      </c>
      <c r="W2370" s="5" t="s">
        <v>69</v>
      </c>
      <c r="X2370" s="5" t="s">
        <v>69</v>
      </c>
      <c r="Y2370" s="4">
        <v>45</v>
      </c>
      <c r="Z2370" s="4">
        <v>5</v>
      </c>
      <c r="AA2370" s="4">
        <v>63</v>
      </c>
      <c r="AB2370" s="4">
        <v>1</v>
      </c>
      <c r="AC2370" s="4">
        <v>5</v>
      </c>
      <c r="AD2370" s="4">
        <v>13</v>
      </c>
      <c r="AE2370" s="4">
        <v>142</v>
      </c>
      <c r="AF2370" s="4">
        <v>0</v>
      </c>
      <c r="AG2370" s="4">
        <v>2</v>
      </c>
      <c r="AH2370" s="4">
        <v>11</v>
      </c>
      <c r="AI2370" s="4">
        <v>111</v>
      </c>
      <c r="AJ2370" s="4">
        <v>1</v>
      </c>
      <c r="AK2370" s="4">
        <v>22</v>
      </c>
      <c r="AL2370" s="4">
        <v>6</v>
      </c>
      <c r="AM2370" s="4">
        <v>59</v>
      </c>
      <c r="AN2370" s="4">
        <v>0</v>
      </c>
      <c r="AO2370" s="4">
        <v>0</v>
      </c>
      <c r="AP2370" s="4">
        <v>4</v>
      </c>
      <c r="AQ2370" s="4">
        <v>37</v>
      </c>
      <c r="AR2370" s="3" t="s">
        <v>63</v>
      </c>
      <c r="AS2370" s="3" t="s">
        <v>62</v>
      </c>
      <c r="AT2370" s="3" t="s">
        <v>62</v>
      </c>
      <c r="AU2370" s="6" t="str">
        <f>HYPERLINK("http://catalog.hathitrust.org/Record/006763904","HathiTrust Record")</f>
        <v>HathiTrust Record</v>
      </c>
      <c r="AV2370" s="6" t="str">
        <f>HYPERLINK("http://mcgill.on.worldcat.org/oclc/681615","Catalog Record")</f>
        <v>Catalog Record</v>
      </c>
      <c r="AW2370" s="6" t="str">
        <f>HYPERLINK("http://www.worldcat.org/oclc/681615","WorldCat Record")</f>
        <v>WorldCat Record</v>
      </c>
      <c r="AX2370" s="3" t="s">
        <v>19836</v>
      </c>
      <c r="AY2370" s="3" t="s">
        <v>19837</v>
      </c>
      <c r="AZ2370" s="3" t="s">
        <v>19838</v>
      </c>
      <c r="BA2370" s="3" t="s">
        <v>19838</v>
      </c>
      <c r="BB2370" s="3" t="s">
        <v>19850</v>
      </c>
      <c r="BC2370" s="3" t="s">
        <v>82</v>
      </c>
      <c r="BD2370" s="3" t="s">
        <v>70</v>
      </c>
      <c r="BE2370" s="3" t="s">
        <v>19840</v>
      </c>
      <c r="BF2370" s="3" t="s">
        <v>19850</v>
      </c>
      <c r="BG2370" s="3" t="s">
        <v>19851</v>
      </c>
    </row>
    <row r="2371" spans="1:59" ht="60" x14ac:dyDescent="0.25">
      <c r="A2371" s="2" t="s">
        <v>59</v>
      </c>
      <c r="B2371" s="2" t="s">
        <v>60</v>
      </c>
      <c r="C2371" s="2" t="s">
        <v>19829</v>
      </c>
      <c r="D2371" s="2" t="s">
        <v>19830</v>
      </c>
      <c r="E2371" s="2" t="s">
        <v>19842</v>
      </c>
      <c r="F2371" s="3" t="s">
        <v>2601</v>
      </c>
      <c r="G2371" s="3" t="s">
        <v>62</v>
      </c>
      <c r="I2371" s="3" t="s">
        <v>63</v>
      </c>
      <c r="J2371" s="3" t="s">
        <v>62</v>
      </c>
      <c r="K2371" s="3" t="s">
        <v>64</v>
      </c>
      <c r="L2371" s="2" t="s">
        <v>19343</v>
      </c>
      <c r="M2371" s="2" t="s">
        <v>19843</v>
      </c>
      <c r="N2371" s="3" t="s">
        <v>15289</v>
      </c>
      <c r="P2371" s="3" t="s">
        <v>66</v>
      </c>
      <c r="Q2371" s="2" t="s">
        <v>19844</v>
      </c>
      <c r="R2371" s="3" t="s">
        <v>67</v>
      </c>
      <c r="S2371" s="4">
        <v>2</v>
      </c>
      <c r="T2371" s="4">
        <v>2</v>
      </c>
      <c r="U2371" s="5" t="s">
        <v>19845</v>
      </c>
      <c r="V2371" s="5" t="s">
        <v>19845</v>
      </c>
      <c r="W2371" s="5" t="s">
        <v>69</v>
      </c>
      <c r="X2371" s="5" t="s">
        <v>69</v>
      </c>
      <c r="Y2371" s="4">
        <v>21</v>
      </c>
      <c r="Z2371" s="4">
        <v>1</v>
      </c>
      <c r="AA2371" s="4">
        <v>63</v>
      </c>
      <c r="AB2371" s="4">
        <v>1</v>
      </c>
      <c r="AC2371" s="4">
        <v>5</v>
      </c>
      <c r="AD2371" s="4">
        <v>4</v>
      </c>
      <c r="AE2371" s="4">
        <v>142</v>
      </c>
      <c r="AF2371" s="4">
        <v>0</v>
      </c>
      <c r="AG2371" s="4">
        <v>2</v>
      </c>
      <c r="AH2371" s="4">
        <v>4</v>
      </c>
      <c r="AI2371" s="4">
        <v>111</v>
      </c>
      <c r="AJ2371" s="4">
        <v>0</v>
      </c>
      <c r="AK2371" s="4">
        <v>22</v>
      </c>
      <c r="AL2371" s="4">
        <v>3</v>
      </c>
      <c r="AM2371" s="4">
        <v>59</v>
      </c>
      <c r="AN2371" s="4">
        <v>0</v>
      </c>
      <c r="AO2371" s="4">
        <v>0</v>
      </c>
      <c r="AP2371" s="4">
        <v>0</v>
      </c>
      <c r="AQ2371" s="4">
        <v>37</v>
      </c>
      <c r="AR2371" s="3" t="s">
        <v>63</v>
      </c>
      <c r="AS2371" s="3" t="s">
        <v>63</v>
      </c>
      <c r="AT2371" s="3" t="s">
        <v>63</v>
      </c>
      <c r="AU2371" s="6" t="str">
        <f>HYPERLINK("http://catalog.hathitrust.org/Record/001061250","HathiTrust Record")</f>
        <v>HathiTrust Record</v>
      </c>
      <c r="AV2371" s="6" t="str">
        <f>HYPERLINK("http://mcgill.on.worldcat.org/oclc/23067639","Catalog Record")</f>
        <v>Catalog Record</v>
      </c>
      <c r="AW2371" s="6" t="str">
        <f>HYPERLINK("http://www.worldcat.org/oclc/23067639","WorldCat Record")</f>
        <v>WorldCat Record</v>
      </c>
      <c r="AX2371" s="3" t="s">
        <v>19836</v>
      </c>
      <c r="AY2371" s="3" t="s">
        <v>19846</v>
      </c>
      <c r="AZ2371" s="3" t="s">
        <v>19847</v>
      </c>
      <c r="BA2371" s="3" t="s">
        <v>19847</v>
      </c>
      <c r="BB2371" s="3" t="s">
        <v>19852</v>
      </c>
      <c r="BC2371" s="3" t="s">
        <v>82</v>
      </c>
      <c r="BD2371" s="3" t="s">
        <v>70</v>
      </c>
      <c r="BF2371" s="3" t="s">
        <v>19852</v>
      </c>
      <c r="BG2371" s="3" t="s">
        <v>19853</v>
      </c>
    </row>
    <row r="2372" spans="1:59" ht="60" x14ac:dyDescent="0.25">
      <c r="A2372" s="2" t="s">
        <v>59</v>
      </c>
      <c r="B2372" s="2" t="s">
        <v>60</v>
      </c>
      <c r="C2372" s="2" t="s">
        <v>19854</v>
      </c>
      <c r="D2372" s="2" t="s">
        <v>19855</v>
      </c>
      <c r="E2372" s="2" t="s">
        <v>19856</v>
      </c>
      <c r="G2372" s="3" t="s">
        <v>63</v>
      </c>
      <c r="I2372" s="3" t="s">
        <v>63</v>
      </c>
      <c r="J2372" s="3" t="s">
        <v>62</v>
      </c>
      <c r="K2372" s="3" t="s">
        <v>64</v>
      </c>
      <c r="L2372" s="2" t="s">
        <v>19726</v>
      </c>
      <c r="M2372" s="2" t="s">
        <v>19857</v>
      </c>
      <c r="N2372" s="3" t="s">
        <v>668</v>
      </c>
      <c r="O2372" s="2" t="s">
        <v>2194</v>
      </c>
      <c r="P2372" s="3" t="s">
        <v>66</v>
      </c>
      <c r="Q2372" s="2" t="s">
        <v>9341</v>
      </c>
      <c r="R2372" s="3" t="s">
        <v>67</v>
      </c>
      <c r="S2372" s="4">
        <v>32</v>
      </c>
      <c r="T2372" s="4">
        <v>32</v>
      </c>
      <c r="U2372" s="5" t="s">
        <v>12181</v>
      </c>
      <c r="V2372" s="5" t="s">
        <v>12181</v>
      </c>
      <c r="W2372" s="5" t="s">
        <v>69</v>
      </c>
      <c r="X2372" s="5" t="s">
        <v>69</v>
      </c>
      <c r="Y2372" s="4">
        <v>325</v>
      </c>
      <c r="Z2372" s="4">
        <v>11</v>
      </c>
      <c r="AA2372" s="4">
        <v>63</v>
      </c>
      <c r="AB2372" s="4">
        <v>1</v>
      </c>
      <c r="AC2372" s="4">
        <v>5</v>
      </c>
      <c r="AD2372" s="4">
        <v>54</v>
      </c>
      <c r="AE2372" s="4">
        <v>142</v>
      </c>
      <c r="AF2372" s="4">
        <v>0</v>
      </c>
      <c r="AG2372" s="4">
        <v>2</v>
      </c>
      <c r="AH2372" s="4">
        <v>51</v>
      </c>
      <c r="AI2372" s="4">
        <v>111</v>
      </c>
      <c r="AJ2372" s="4">
        <v>5</v>
      </c>
      <c r="AK2372" s="4">
        <v>22</v>
      </c>
      <c r="AL2372" s="4">
        <v>33</v>
      </c>
      <c r="AM2372" s="4">
        <v>59</v>
      </c>
      <c r="AN2372" s="4">
        <v>0</v>
      </c>
      <c r="AO2372" s="4">
        <v>0</v>
      </c>
      <c r="AP2372" s="4">
        <v>6</v>
      </c>
      <c r="AQ2372" s="4">
        <v>37</v>
      </c>
      <c r="AR2372" s="3" t="s">
        <v>63</v>
      </c>
      <c r="AS2372" s="3" t="s">
        <v>63</v>
      </c>
      <c r="AT2372" s="3" t="s">
        <v>62</v>
      </c>
      <c r="AU2372" s="6" t="str">
        <f>HYPERLINK("http://catalog.hathitrust.org/Record/002431259","HathiTrust Record")</f>
        <v>HathiTrust Record</v>
      </c>
      <c r="AV2372" s="6" t="str">
        <f>HYPERLINK("http://mcgill.on.worldcat.org/oclc/22736825","Catalog Record")</f>
        <v>Catalog Record</v>
      </c>
      <c r="AW2372" s="6" t="str">
        <f>HYPERLINK("http://www.worldcat.org/oclc/22736825","WorldCat Record")</f>
        <v>WorldCat Record</v>
      </c>
      <c r="AX2372" s="3" t="s">
        <v>19836</v>
      </c>
      <c r="AY2372" s="3" t="s">
        <v>19858</v>
      </c>
      <c r="AZ2372" s="3" t="s">
        <v>19859</v>
      </c>
      <c r="BA2372" s="3" t="s">
        <v>19859</v>
      </c>
      <c r="BB2372" s="3" t="s">
        <v>19860</v>
      </c>
      <c r="BC2372" s="3" t="s">
        <v>82</v>
      </c>
      <c r="BD2372" s="3" t="s">
        <v>538</v>
      </c>
      <c r="BE2372" s="3" t="s">
        <v>19861</v>
      </c>
      <c r="BF2372" s="3" t="s">
        <v>19860</v>
      </c>
      <c r="BG2372" s="3" t="s">
        <v>19862</v>
      </c>
    </row>
    <row r="2373" spans="1:59" ht="60" x14ac:dyDescent="0.25">
      <c r="A2373" s="2" t="s">
        <v>59</v>
      </c>
      <c r="B2373" s="2" t="s">
        <v>60</v>
      </c>
      <c r="C2373" s="2" t="s">
        <v>19863</v>
      </c>
      <c r="D2373" s="2" t="s">
        <v>19864</v>
      </c>
      <c r="E2373" s="2" t="s">
        <v>19865</v>
      </c>
      <c r="F2373" s="3" t="s">
        <v>4181</v>
      </c>
      <c r="G2373" s="3" t="s">
        <v>62</v>
      </c>
      <c r="I2373" s="3" t="s">
        <v>63</v>
      </c>
      <c r="J2373" s="3" t="s">
        <v>63</v>
      </c>
      <c r="K2373" s="3" t="s">
        <v>64</v>
      </c>
      <c r="L2373" s="2" t="s">
        <v>19343</v>
      </c>
      <c r="M2373" s="2" t="s">
        <v>19866</v>
      </c>
      <c r="N2373" s="3" t="s">
        <v>2043</v>
      </c>
      <c r="P2373" s="3" t="s">
        <v>548</v>
      </c>
      <c r="Q2373" s="2" t="s">
        <v>19867</v>
      </c>
      <c r="R2373" s="3" t="s">
        <v>67</v>
      </c>
      <c r="S2373" s="4">
        <v>11</v>
      </c>
      <c r="T2373" s="4">
        <v>34</v>
      </c>
      <c r="U2373" s="5" t="s">
        <v>2481</v>
      </c>
      <c r="V2373" s="5" t="s">
        <v>2481</v>
      </c>
      <c r="W2373" s="5" t="s">
        <v>69</v>
      </c>
      <c r="X2373" s="5" t="s">
        <v>69</v>
      </c>
      <c r="Y2373" s="4">
        <v>55</v>
      </c>
      <c r="Z2373" s="4">
        <v>9</v>
      </c>
      <c r="AA2373" s="4">
        <v>16</v>
      </c>
      <c r="AB2373" s="4">
        <v>1</v>
      </c>
      <c r="AC2373" s="4">
        <v>8</v>
      </c>
      <c r="AD2373" s="4">
        <v>24</v>
      </c>
      <c r="AE2373" s="4">
        <v>28</v>
      </c>
      <c r="AF2373" s="4">
        <v>0</v>
      </c>
      <c r="AG2373" s="4">
        <v>4</v>
      </c>
      <c r="AH2373" s="4">
        <v>22</v>
      </c>
      <c r="AI2373" s="4">
        <v>23</v>
      </c>
      <c r="AJ2373" s="4">
        <v>4</v>
      </c>
      <c r="AK2373" s="4">
        <v>8</v>
      </c>
      <c r="AL2373" s="4">
        <v>15</v>
      </c>
      <c r="AM2373" s="4">
        <v>15</v>
      </c>
      <c r="AN2373" s="4">
        <v>0</v>
      </c>
      <c r="AO2373" s="4">
        <v>0</v>
      </c>
      <c r="AP2373" s="4">
        <v>5</v>
      </c>
      <c r="AQ2373" s="4">
        <v>8</v>
      </c>
      <c r="AR2373" s="3" t="s">
        <v>63</v>
      </c>
      <c r="AS2373" s="3" t="s">
        <v>63</v>
      </c>
      <c r="AT2373" s="3" t="s">
        <v>63</v>
      </c>
      <c r="AV2373" s="6" t="str">
        <f>HYPERLINK("http://mcgill.on.worldcat.org/oclc/7973179","Catalog Record")</f>
        <v>Catalog Record</v>
      </c>
      <c r="AW2373" s="6" t="str">
        <f>HYPERLINK("http://www.worldcat.org/oclc/7973179","WorldCat Record")</f>
        <v>WorldCat Record</v>
      </c>
      <c r="AX2373" s="3" t="s">
        <v>19868</v>
      </c>
      <c r="AY2373" s="3" t="s">
        <v>19869</v>
      </c>
      <c r="AZ2373" s="3" t="s">
        <v>19870</v>
      </c>
      <c r="BA2373" s="3" t="s">
        <v>19870</v>
      </c>
      <c r="BB2373" s="3" t="s">
        <v>19871</v>
      </c>
      <c r="BC2373" s="3" t="s">
        <v>82</v>
      </c>
      <c r="BD2373" s="3" t="s">
        <v>70</v>
      </c>
      <c r="BE2373" s="3" t="s">
        <v>19872</v>
      </c>
      <c r="BF2373" s="3" t="s">
        <v>19871</v>
      </c>
      <c r="BG2373" s="3" t="s">
        <v>19873</v>
      </c>
    </row>
    <row r="2374" spans="1:59" ht="60" x14ac:dyDescent="0.25">
      <c r="A2374" s="2" t="s">
        <v>59</v>
      </c>
      <c r="B2374" s="2" t="s">
        <v>60</v>
      </c>
      <c r="C2374" s="2" t="s">
        <v>19863</v>
      </c>
      <c r="D2374" s="2" t="s">
        <v>19864</v>
      </c>
      <c r="E2374" s="2" t="s">
        <v>19865</v>
      </c>
      <c r="F2374" s="3" t="s">
        <v>2601</v>
      </c>
      <c r="G2374" s="3" t="s">
        <v>62</v>
      </c>
      <c r="I2374" s="3" t="s">
        <v>63</v>
      </c>
      <c r="J2374" s="3" t="s">
        <v>63</v>
      </c>
      <c r="K2374" s="3" t="s">
        <v>64</v>
      </c>
      <c r="L2374" s="2" t="s">
        <v>19343</v>
      </c>
      <c r="M2374" s="2" t="s">
        <v>19866</v>
      </c>
      <c r="N2374" s="3" t="s">
        <v>2043</v>
      </c>
      <c r="P2374" s="3" t="s">
        <v>548</v>
      </c>
      <c r="Q2374" s="2" t="s">
        <v>19867</v>
      </c>
      <c r="R2374" s="3" t="s">
        <v>67</v>
      </c>
      <c r="S2374" s="4">
        <v>15</v>
      </c>
      <c r="T2374" s="4">
        <v>34</v>
      </c>
      <c r="U2374" s="5" t="s">
        <v>14637</v>
      </c>
      <c r="V2374" s="5" t="s">
        <v>2481</v>
      </c>
      <c r="W2374" s="5" t="s">
        <v>69</v>
      </c>
      <c r="X2374" s="5" t="s">
        <v>69</v>
      </c>
      <c r="Y2374" s="4">
        <v>55</v>
      </c>
      <c r="Z2374" s="4">
        <v>9</v>
      </c>
      <c r="AA2374" s="4">
        <v>16</v>
      </c>
      <c r="AB2374" s="4">
        <v>1</v>
      </c>
      <c r="AC2374" s="4">
        <v>8</v>
      </c>
      <c r="AD2374" s="4">
        <v>24</v>
      </c>
      <c r="AE2374" s="4">
        <v>28</v>
      </c>
      <c r="AF2374" s="4">
        <v>0</v>
      </c>
      <c r="AG2374" s="4">
        <v>4</v>
      </c>
      <c r="AH2374" s="4">
        <v>22</v>
      </c>
      <c r="AI2374" s="4">
        <v>23</v>
      </c>
      <c r="AJ2374" s="4">
        <v>4</v>
      </c>
      <c r="AK2374" s="4">
        <v>8</v>
      </c>
      <c r="AL2374" s="4">
        <v>15</v>
      </c>
      <c r="AM2374" s="4">
        <v>15</v>
      </c>
      <c r="AN2374" s="4">
        <v>0</v>
      </c>
      <c r="AO2374" s="4">
        <v>0</v>
      </c>
      <c r="AP2374" s="4">
        <v>5</v>
      </c>
      <c r="AQ2374" s="4">
        <v>8</v>
      </c>
      <c r="AR2374" s="3" t="s">
        <v>63</v>
      </c>
      <c r="AS2374" s="3" t="s">
        <v>63</v>
      </c>
      <c r="AT2374" s="3" t="s">
        <v>63</v>
      </c>
      <c r="AV2374" s="6" t="str">
        <f>HYPERLINK("http://mcgill.on.worldcat.org/oclc/7973179","Catalog Record")</f>
        <v>Catalog Record</v>
      </c>
      <c r="AW2374" s="6" t="str">
        <f>HYPERLINK("http://www.worldcat.org/oclc/7973179","WorldCat Record")</f>
        <v>WorldCat Record</v>
      </c>
      <c r="AX2374" s="3" t="s">
        <v>19868</v>
      </c>
      <c r="AY2374" s="3" t="s">
        <v>19869</v>
      </c>
      <c r="AZ2374" s="3" t="s">
        <v>19870</v>
      </c>
      <c r="BA2374" s="3" t="s">
        <v>19870</v>
      </c>
      <c r="BB2374" s="3" t="s">
        <v>19874</v>
      </c>
      <c r="BC2374" s="3" t="s">
        <v>82</v>
      </c>
      <c r="BD2374" s="3" t="s">
        <v>70</v>
      </c>
      <c r="BE2374" s="3" t="s">
        <v>19872</v>
      </c>
      <c r="BF2374" s="3" t="s">
        <v>19874</v>
      </c>
      <c r="BG2374" s="3" t="s">
        <v>19875</v>
      </c>
    </row>
    <row r="2375" spans="1:59" ht="60" x14ac:dyDescent="0.25">
      <c r="A2375" s="2" t="s">
        <v>59</v>
      </c>
      <c r="B2375" s="2" t="s">
        <v>60</v>
      </c>
      <c r="C2375" s="2" t="s">
        <v>19863</v>
      </c>
      <c r="D2375" s="2" t="s">
        <v>19864</v>
      </c>
      <c r="E2375" s="2" t="s">
        <v>19865</v>
      </c>
      <c r="F2375" s="3" t="s">
        <v>4184</v>
      </c>
      <c r="G2375" s="3" t="s">
        <v>62</v>
      </c>
      <c r="I2375" s="3" t="s">
        <v>63</v>
      </c>
      <c r="J2375" s="3" t="s">
        <v>63</v>
      </c>
      <c r="K2375" s="3" t="s">
        <v>64</v>
      </c>
      <c r="L2375" s="2" t="s">
        <v>19343</v>
      </c>
      <c r="M2375" s="2" t="s">
        <v>19866</v>
      </c>
      <c r="N2375" s="3" t="s">
        <v>2043</v>
      </c>
      <c r="P2375" s="3" t="s">
        <v>548</v>
      </c>
      <c r="Q2375" s="2" t="s">
        <v>19867</v>
      </c>
      <c r="R2375" s="3" t="s">
        <v>67</v>
      </c>
      <c r="S2375" s="4">
        <v>8</v>
      </c>
      <c r="T2375" s="4">
        <v>34</v>
      </c>
      <c r="U2375" s="5" t="s">
        <v>19876</v>
      </c>
      <c r="V2375" s="5" t="s">
        <v>2481</v>
      </c>
      <c r="W2375" s="5" t="s">
        <v>69</v>
      </c>
      <c r="X2375" s="5" t="s">
        <v>69</v>
      </c>
      <c r="Y2375" s="4">
        <v>55</v>
      </c>
      <c r="Z2375" s="4">
        <v>9</v>
      </c>
      <c r="AA2375" s="4">
        <v>16</v>
      </c>
      <c r="AB2375" s="4">
        <v>1</v>
      </c>
      <c r="AC2375" s="4">
        <v>8</v>
      </c>
      <c r="AD2375" s="4">
        <v>24</v>
      </c>
      <c r="AE2375" s="4">
        <v>28</v>
      </c>
      <c r="AF2375" s="4">
        <v>0</v>
      </c>
      <c r="AG2375" s="4">
        <v>4</v>
      </c>
      <c r="AH2375" s="4">
        <v>22</v>
      </c>
      <c r="AI2375" s="4">
        <v>23</v>
      </c>
      <c r="AJ2375" s="4">
        <v>4</v>
      </c>
      <c r="AK2375" s="4">
        <v>8</v>
      </c>
      <c r="AL2375" s="4">
        <v>15</v>
      </c>
      <c r="AM2375" s="4">
        <v>15</v>
      </c>
      <c r="AN2375" s="4">
        <v>0</v>
      </c>
      <c r="AO2375" s="4">
        <v>0</v>
      </c>
      <c r="AP2375" s="4">
        <v>5</v>
      </c>
      <c r="AQ2375" s="4">
        <v>8</v>
      </c>
      <c r="AR2375" s="3" t="s">
        <v>63</v>
      </c>
      <c r="AS2375" s="3" t="s">
        <v>63</v>
      </c>
      <c r="AT2375" s="3" t="s">
        <v>63</v>
      </c>
      <c r="AV2375" s="6" t="str">
        <f>HYPERLINK("http://mcgill.on.worldcat.org/oclc/7973179","Catalog Record")</f>
        <v>Catalog Record</v>
      </c>
      <c r="AW2375" s="6" t="str">
        <f>HYPERLINK("http://www.worldcat.org/oclc/7973179","WorldCat Record")</f>
        <v>WorldCat Record</v>
      </c>
      <c r="AX2375" s="3" t="s">
        <v>19868</v>
      </c>
      <c r="AY2375" s="3" t="s">
        <v>19869</v>
      </c>
      <c r="AZ2375" s="3" t="s">
        <v>19870</v>
      </c>
      <c r="BA2375" s="3" t="s">
        <v>19870</v>
      </c>
      <c r="BB2375" s="3" t="s">
        <v>19877</v>
      </c>
      <c r="BC2375" s="3" t="s">
        <v>82</v>
      </c>
      <c r="BD2375" s="3" t="s">
        <v>70</v>
      </c>
      <c r="BE2375" s="3" t="s">
        <v>19872</v>
      </c>
      <c r="BF2375" s="3" t="s">
        <v>19877</v>
      </c>
      <c r="BG2375" s="3" t="s">
        <v>19878</v>
      </c>
    </row>
    <row r="2376" spans="1:59" ht="75" x14ac:dyDescent="0.25">
      <c r="A2376" s="2" t="s">
        <v>59</v>
      </c>
      <c r="B2376" s="2" t="s">
        <v>60</v>
      </c>
      <c r="C2376" s="2" t="s">
        <v>19879</v>
      </c>
      <c r="D2376" s="2" t="s">
        <v>19880</v>
      </c>
      <c r="E2376" s="2" t="s">
        <v>19881</v>
      </c>
      <c r="G2376" s="3" t="s">
        <v>63</v>
      </c>
      <c r="I2376" s="3" t="s">
        <v>63</v>
      </c>
      <c r="J2376" s="3" t="s">
        <v>63</v>
      </c>
      <c r="K2376" s="3" t="s">
        <v>64</v>
      </c>
      <c r="L2376" s="2" t="s">
        <v>19882</v>
      </c>
      <c r="M2376" s="2" t="s">
        <v>14358</v>
      </c>
      <c r="N2376" s="3" t="s">
        <v>313</v>
      </c>
      <c r="O2376" s="2" t="s">
        <v>19883</v>
      </c>
      <c r="P2376" s="3" t="s">
        <v>90</v>
      </c>
      <c r="Q2376" s="2" t="s">
        <v>19884</v>
      </c>
      <c r="R2376" s="3" t="s">
        <v>67</v>
      </c>
      <c r="S2376" s="4">
        <v>0</v>
      </c>
      <c r="T2376" s="4">
        <v>0</v>
      </c>
      <c r="W2376" s="5" t="s">
        <v>69</v>
      </c>
      <c r="X2376" s="5" t="s">
        <v>69</v>
      </c>
      <c r="Y2376" s="4">
        <v>13</v>
      </c>
      <c r="Z2376" s="4">
        <v>2</v>
      </c>
      <c r="AA2376" s="4">
        <v>2</v>
      </c>
      <c r="AB2376" s="4">
        <v>1</v>
      </c>
      <c r="AC2376" s="4">
        <v>1</v>
      </c>
      <c r="AD2376" s="4">
        <v>3</v>
      </c>
      <c r="AE2376" s="4">
        <v>3</v>
      </c>
      <c r="AF2376" s="4">
        <v>0</v>
      </c>
      <c r="AG2376" s="4">
        <v>0</v>
      </c>
      <c r="AH2376" s="4">
        <v>3</v>
      </c>
      <c r="AI2376" s="4">
        <v>3</v>
      </c>
      <c r="AJ2376" s="4">
        <v>0</v>
      </c>
      <c r="AK2376" s="4">
        <v>0</v>
      </c>
      <c r="AL2376" s="4">
        <v>3</v>
      </c>
      <c r="AM2376" s="4">
        <v>3</v>
      </c>
      <c r="AN2376" s="4">
        <v>0</v>
      </c>
      <c r="AO2376" s="4">
        <v>0</v>
      </c>
      <c r="AP2376" s="4">
        <v>0</v>
      </c>
      <c r="AQ2376" s="4">
        <v>0</v>
      </c>
      <c r="AR2376" s="3" t="s">
        <v>63</v>
      </c>
      <c r="AS2376" s="3" t="s">
        <v>63</v>
      </c>
      <c r="AT2376" s="3" t="s">
        <v>63</v>
      </c>
      <c r="AV2376" s="6" t="str">
        <f>HYPERLINK("http://mcgill.on.worldcat.org/oclc/729686639","Catalog Record")</f>
        <v>Catalog Record</v>
      </c>
      <c r="AW2376" s="6" t="str">
        <f>HYPERLINK("http://www.worldcat.org/oclc/729686639","WorldCat Record")</f>
        <v>WorldCat Record</v>
      </c>
      <c r="AX2376" s="3" t="s">
        <v>19885</v>
      </c>
      <c r="AY2376" s="3" t="s">
        <v>19886</v>
      </c>
      <c r="AZ2376" s="3" t="s">
        <v>19887</v>
      </c>
      <c r="BA2376" s="3" t="s">
        <v>19887</v>
      </c>
      <c r="BB2376" s="3" t="s">
        <v>19888</v>
      </c>
      <c r="BC2376" s="3" t="s">
        <v>82</v>
      </c>
      <c r="BD2376" s="3" t="s">
        <v>70</v>
      </c>
      <c r="BE2376" s="3" t="s">
        <v>19889</v>
      </c>
      <c r="BF2376" s="3" t="s">
        <v>19888</v>
      </c>
      <c r="BG2376" s="3" t="s">
        <v>19890</v>
      </c>
    </row>
    <row r="2377" spans="1:59" ht="90" x14ac:dyDescent="0.25">
      <c r="A2377" s="2" t="s">
        <v>59</v>
      </c>
      <c r="B2377" s="2" t="s">
        <v>60</v>
      </c>
      <c r="C2377" s="2" t="s">
        <v>19891</v>
      </c>
      <c r="D2377" s="2" t="s">
        <v>19892</v>
      </c>
      <c r="E2377" s="2" t="s">
        <v>19893</v>
      </c>
      <c r="G2377" s="3" t="s">
        <v>63</v>
      </c>
      <c r="I2377" s="3" t="s">
        <v>63</v>
      </c>
      <c r="J2377" s="3" t="s">
        <v>62</v>
      </c>
      <c r="K2377" s="3" t="s">
        <v>64</v>
      </c>
      <c r="L2377" s="2" t="s">
        <v>19343</v>
      </c>
      <c r="M2377" s="2" t="s">
        <v>19894</v>
      </c>
      <c r="N2377" s="3" t="s">
        <v>1010</v>
      </c>
      <c r="O2377" s="2" t="s">
        <v>19895</v>
      </c>
      <c r="P2377" s="3" t="s">
        <v>66</v>
      </c>
      <c r="R2377" s="3" t="s">
        <v>67</v>
      </c>
      <c r="S2377" s="4">
        <v>5</v>
      </c>
      <c r="T2377" s="4">
        <v>5</v>
      </c>
      <c r="U2377" s="5" t="s">
        <v>19835</v>
      </c>
      <c r="V2377" s="5" t="s">
        <v>19835</v>
      </c>
      <c r="W2377" s="5" t="s">
        <v>69</v>
      </c>
      <c r="X2377" s="5" t="s">
        <v>69</v>
      </c>
      <c r="Y2377" s="4">
        <v>59</v>
      </c>
      <c r="Z2377" s="4">
        <v>3</v>
      </c>
      <c r="AA2377" s="4">
        <v>48</v>
      </c>
      <c r="AB2377" s="4">
        <v>1</v>
      </c>
      <c r="AC2377" s="4">
        <v>5</v>
      </c>
      <c r="AD2377" s="4">
        <v>23</v>
      </c>
      <c r="AE2377" s="4">
        <v>135</v>
      </c>
      <c r="AF2377" s="4">
        <v>0</v>
      </c>
      <c r="AG2377" s="4">
        <v>4</v>
      </c>
      <c r="AH2377" s="4">
        <v>20</v>
      </c>
      <c r="AI2377" s="4">
        <v>108</v>
      </c>
      <c r="AJ2377" s="4">
        <v>0</v>
      </c>
      <c r="AK2377" s="4">
        <v>22</v>
      </c>
      <c r="AL2377" s="4">
        <v>15</v>
      </c>
      <c r="AM2377" s="4">
        <v>60</v>
      </c>
      <c r="AN2377" s="4">
        <v>0</v>
      </c>
      <c r="AO2377" s="4">
        <v>0</v>
      </c>
      <c r="AP2377" s="4">
        <v>1</v>
      </c>
      <c r="AQ2377" s="4">
        <v>32</v>
      </c>
      <c r="AR2377" s="3" t="s">
        <v>63</v>
      </c>
      <c r="AS2377" s="3" t="s">
        <v>63</v>
      </c>
      <c r="AT2377" s="3" t="s">
        <v>63</v>
      </c>
      <c r="AV2377" s="6" t="str">
        <f>HYPERLINK("http://mcgill.on.worldcat.org/oclc/3296743","Catalog Record")</f>
        <v>Catalog Record</v>
      </c>
      <c r="AW2377" s="6" t="str">
        <f>HYPERLINK("http://www.worldcat.org/oclc/3296743","WorldCat Record")</f>
        <v>WorldCat Record</v>
      </c>
      <c r="AX2377" s="3" t="s">
        <v>19896</v>
      </c>
      <c r="AY2377" s="3" t="s">
        <v>19897</v>
      </c>
      <c r="AZ2377" s="3" t="s">
        <v>19898</v>
      </c>
      <c r="BA2377" s="3" t="s">
        <v>19898</v>
      </c>
      <c r="BB2377" s="3" t="s">
        <v>19899</v>
      </c>
      <c r="BC2377" s="3" t="s">
        <v>82</v>
      </c>
      <c r="BD2377" s="3" t="s">
        <v>70</v>
      </c>
      <c r="BF2377" s="3" t="s">
        <v>19899</v>
      </c>
      <c r="BG2377" s="3" t="s">
        <v>19900</v>
      </c>
    </row>
    <row r="2378" spans="1:59" ht="60" x14ac:dyDescent="0.25">
      <c r="A2378" s="2" t="s">
        <v>59</v>
      </c>
      <c r="B2378" s="2" t="s">
        <v>60</v>
      </c>
      <c r="C2378" s="2" t="s">
        <v>19901</v>
      </c>
      <c r="D2378" s="2" t="s">
        <v>19902</v>
      </c>
      <c r="E2378" s="2" t="s">
        <v>19903</v>
      </c>
      <c r="F2378" s="3" t="s">
        <v>1095</v>
      </c>
      <c r="G2378" s="3" t="s">
        <v>62</v>
      </c>
      <c r="I2378" s="3" t="s">
        <v>63</v>
      </c>
      <c r="J2378" s="3" t="s">
        <v>63</v>
      </c>
      <c r="K2378" s="3" t="s">
        <v>64</v>
      </c>
      <c r="L2378" s="2" t="s">
        <v>19343</v>
      </c>
      <c r="M2378" s="2" t="s">
        <v>19904</v>
      </c>
      <c r="N2378" s="3" t="s">
        <v>826</v>
      </c>
      <c r="P2378" s="3" t="s">
        <v>548</v>
      </c>
      <c r="Q2378" s="2" t="s">
        <v>19905</v>
      </c>
      <c r="R2378" s="3" t="s">
        <v>67</v>
      </c>
      <c r="S2378" s="4">
        <v>3</v>
      </c>
      <c r="T2378" s="4">
        <v>3</v>
      </c>
      <c r="U2378" s="5" t="s">
        <v>19906</v>
      </c>
      <c r="V2378" s="5" t="s">
        <v>19906</v>
      </c>
      <c r="W2378" s="5" t="s">
        <v>69</v>
      </c>
      <c r="X2378" s="5" t="s">
        <v>69</v>
      </c>
      <c r="Y2378" s="4">
        <v>6</v>
      </c>
      <c r="Z2378" s="4">
        <v>4</v>
      </c>
      <c r="AA2378" s="4">
        <v>11</v>
      </c>
      <c r="AB2378" s="4">
        <v>1</v>
      </c>
      <c r="AC2378" s="4">
        <v>2</v>
      </c>
      <c r="AD2378" s="4">
        <v>2</v>
      </c>
      <c r="AE2378" s="4">
        <v>42</v>
      </c>
      <c r="AF2378" s="4">
        <v>0</v>
      </c>
      <c r="AG2378" s="4">
        <v>1</v>
      </c>
      <c r="AH2378" s="4">
        <v>2</v>
      </c>
      <c r="AI2378" s="4">
        <v>39</v>
      </c>
      <c r="AJ2378" s="4">
        <v>2</v>
      </c>
      <c r="AK2378" s="4">
        <v>8</v>
      </c>
      <c r="AL2378" s="4">
        <v>1</v>
      </c>
      <c r="AM2378" s="4">
        <v>25</v>
      </c>
      <c r="AN2378" s="4">
        <v>0</v>
      </c>
      <c r="AO2378" s="4">
        <v>0</v>
      </c>
      <c r="AP2378" s="4">
        <v>2</v>
      </c>
      <c r="AQ2378" s="4">
        <v>8</v>
      </c>
      <c r="AR2378" s="3" t="s">
        <v>63</v>
      </c>
      <c r="AS2378" s="3" t="s">
        <v>63</v>
      </c>
      <c r="AT2378" s="3" t="s">
        <v>63</v>
      </c>
      <c r="AV2378" s="6" t="str">
        <f>HYPERLINK("http://mcgill.on.worldcat.org/oclc/150437730","Catalog Record")</f>
        <v>Catalog Record</v>
      </c>
      <c r="AW2378" s="6" t="str">
        <f>HYPERLINK("http://www.worldcat.org/oclc/150437730","WorldCat Record")</f>
        <v>WorldCat Record</v>
      </c>
      <c r="AX2378" s="3" t="s">
        <v>19907</v>
      </c>
      <c r="AY2378" s="3" t="s">
        <v>19908</v>
      </c>
      <c r="AZ2378" s="3" t="s">
        <v>19909</v>
      </c>
      <c r="BA2378" s="3" t="s">
        <v>19909</v>
      </c>
      <c r="BB2378" s="3" t="s">
        <v>19910</v>
      </c>
      <c r="BC2378" s="3" t="s">
        <v>82</v>
      </c>
      <c r="BD2378" s="3" t="s">
        <v>70</v>
      </c>
      <c r="BF2378" s="3" t="s">
        <v>19910</v>
      </c>
      <c r="BG2378" s="3" t="s">
        <v>19911</v>
      </c>
    </row>
    <row r="2379" spans="1:59" ht="60" x14ac:dyDescent="0.25">
      <c r="A2379" s="2" t="s">
        <v>59</v>
      </c>
      <c r="B2379" s="2" t="s">
        <v>60</v>
      </c>
      <c r="C2379" s="2" t="s">
        <v>19901</v>
      </c>
      <c r="D2379" s="2" t="s">
        <v>19902</v>
      </c>
      <c r="E2379" s="2" t="s">
        <v>19903</v>
      </c>
      <c r="F2379" s="3" t="s">
        <v>61</v>
      </c>
      <c r="G2379" s="3" t="s">
        <v>62</v>
      </c>
      <c r="I2379" s="3" t="s">
        <v>63</v>
      </c>
      <c r="J2379" s="3" t="s">
        <v>63</v>
      </c>
      <c r="K2379" s="3" t="s">
        <v>64</v>
      </c>
      <c r="L2379" s="2" t="s">
        <v>19343</v>
      </c>
      <c r="M2379" s="2" t="s">
        <v>19904</v>
      </c>
      <c r="N2379" s="3" t="s">
        <v>826</v>
      </c>
      <c r="P2379" s="3" t="s">
        <v>548</v>
      </c>
      <c r="Q2379" s="2" t="s">
        <v>19905</v>
      </c>
      <c r="R2379" s="3" t="s">
        <v>67</v>
      </c>
      <c r="S2379" s="4">
        <v>0</v>
      </c>
      <c r="T2379" s="4">
        <v>3</v>
      </c>
      <c r="V2379" s="5" t="s">
        <v>19906</v>
      </c>
      <c r="W2379" s="5" t="s">
        <v>69</v>
      </c>
      <c r="X2379" s="5" t="s">
        <v>69</v>
      </c>
      <c r="Y2379" s="4">
        <v>6</v>
      </c>
      <c r="Z2379" s="4">
        <v>4</v>
      </c>
      <c r="AA2379" s="4">
        <v>11</v>
      </c>
      <c r="AB2379" s="4">
        <v>1</v>
      </c>
      <c r="AC2379" s="4">
        <v>2</v>
      </c>
      <c r="AD2379" s="4">
        <v>2</v>
      </c>
      <c r="AE2379" s="4">
        <v>42</v>
      </c>
      <c r="AF2379" s="4">
        <v>0</v>
      </c>
      <c r="AG2379" s="4">
        <v>1</v>
      </c>
      <c r="AH2379" s="4">
        <v>2</v>
      </c>
      <c r="AI2379" s="4">
        <v>39</v>
      </c>
      <c r="AJ2379" s="4">
        <v>2</v>
      </c>
      <c r="AK2379" s="4">
        <v>8</v>
      </c>
      <c r="AL2379" s="4">
        <v>1</v>
      </c>
      <c r="AM2379" s="4">
        <v>25</v>
      </c>
      <c r="AN2379" s="4">
        <v>0</v>
      </c>
      <c r="AO2379" s="4">
        <v>0</v>
      </c>
      <c r="AP2379" s="4">
        <v>2</v>
      </c>
      <c r="AQ2379" s="4">
        <v>8</v>
      </c>
      <c r="AR2379" s="3" t="s">
        <v>63</v>
      </c>
      <c r="AS2379" s="3" t="s">
        <v>63</v>
      </c>
      <c r="AT2379" s="3" t="s">
        <v>63</v>
      </c>
      <c r="AV2379" s="6" t="str">
        <f>HYPERLINK("http://mcgill.on.worldcat.org/oclc/150437730","Catalog Record")</f>
        <v>Catalog Record</v>
      </c>
      <c r="AW2379" s="6" t="str">
        <f>HYPERLINK("http://www.worldcat.org/oclc/150437730","WorldCat Record")</f>
        <v>WorldCat Record</v>
      </c>
      <c r="AX2379" s="3" t="s">
        <v>19907</v>
      </c>
      <c r="AY2379" s="3" t="s">
        <v>19908</v>
      </c>
      <c r="AZ2379" s="3" t="s">
        <v>19909</v>
      </c>
      <c r="BA2379" s="3" t="s">
        <v>19909</v>
      </c>
      <c r="BB2379" s="3" t="s">
        <v>19912</v>
      </c>
      <c r="BC2379" s="3" t="s">
        <v>82</v>
      </c>
      <c r="BD2379" s="3" t="s">
        <v>70</v>
      </c>
      <c r="BF2379" s="3" t="s">
        <v>19912</v>
      </c>
      <c r="BG2379" s="3" t="s">
        <v>19913</v>
      </c>
    </row>
    <row r="2380" spans="1:59" ht="60" x14ac:dyDescent="0.25">
      <c r="A2380" s="2" t="s">
        <v>59</v>
      </c>
      <c r="B2380" s="2" t="s">
        <v>60</v>
      </c>
      <c r="C2380" s="2" t="s">
        <v>19914</v>
      </c>
      <c r="D2380" s="2" t="s">
        <v>19915</v>
      </c>
      <c r="E2380" s="2" t="s">
        <v>19916</v>
      </c>
      <c r="F2380" s="3" t="s">
        <v>61</v>
      </c>
      <c r="G2380" s="3" t="s">
        <v>62</v>
      </c>
      <c r="I2380" s="3" t="s">
        <v>63</v>
      </c>
      <c r="J2380" s="3" t="s">
        <v>63</v>
      </c>
      <c r="K2380" s="3" t="s">
        <v>64</v>
      </c>
      <c r="L2380" s="2" t="s">
        <v>19343</v>
      </c>
      <c r="M2380" s="2" t="s">
        <v>19581</v>
      </c>
      <c r="N2380" s="3" t="s">
        <v>3640</v>
      </c>
      <c r="P2380" s="3" t="s">
        <v>66</v>
      </c>
      <c r="R2380" s="3" t="s">
        <v>67</v>
      </c>
      <c r="S2380" s="4">
        <v>4</v>
      </c>
      <c r="T2380" s="4">
        <v>8</v>
      </c>
      <c r="U2380" s="5" t="s">
        <v>12201</v>
      </c>
      <c r="V2380" s="5" t="s">
        <v>12201</v>
      </c>
      <c r="W2380" s="5" t="s">
        <v>69</v>
      </c>
      <c r="X2380" s="5" t="s">
        <v>69</v>
      </c>
      <c r="Y2380" s="4">
        <v>350</v>
      </c>
      <c r="Z2380" s="4">
        <v>22</v>
      </c>
      <c r="AA2380" s="4">
        <v>23</v>
      </c>
      <c r="AB2380" s="4">
        <v>1</v>
      </c>
      <c r="AC2380" s="4">
        <v>1</v>
      </c>
      <c r="AD2380" s="4">
        <v>102</v>
      </c>
      <c r="AE2380" s="4">
        <v>104</v>
      </c>
      <c r="AF2380" s="4">
        <v>0</v>
      </c>
      <c r="AG2380" s="4">
        <v>0</v>
      </c>
      <c r="AH2380" s="4">
        <v>93</v>
      </c>
      <c r="AI2380" s="4">
        <v>94</v>
      </c>
      <c r="AJ2380" s="4">
        <v>15</v>
      </c>
      <c r="AK2380" s="4">
        <v>16</v>
      </c>
      <c r="AL2380" s="4">
        <v>49</v>
      </c>
      <c r="AM2380" s="4">
        <v>49</v>
      </c>
      <c r="AN2380" s="4">
        <v>0</v>
      </c>
      <c r="AO2380" s="4">
        <v>0</v>
      </c>
      <c r="AP2380" s="4">
        <v>16</v>
      </c>
      <c r="AQ2380" s="4">
        <v>17</v>
      </c>
      <c r="AR2380" s="3" t="s">
        <v>63</v>
      </c>
      <c r="AS2380" s="3" t="s">
        <v>63</v>
      </c>
      <c r="AT2380" s="3" t="s">
        <v>62</v>
      </c>
      <c r="AU2380" s="6" t="str">
        <f>HYPERLINK("http://catalog.hathitrust.org/Record/004508123","HathiTrust Record")</f>
        <v>HathiTrust Record</v>
      </c>
      <c r="AV2380" s="6" t="str">
        <f>HYPERLINK("http://mcgill.on.worldcat.org/oclc/8866305","Catalog Record")</f>
        <v>Catalog Record</v>
      </c>
      <c r="AW2380" s="6" t="str">
        <f>HYPERLINK("http://www.worldcat.org/oclc/8866305","WorldCat Record")</f>
        <v>WorldCat Record</v>
      </c>
      <c r="AX2380" s="3" t="s">
        <v>19917</v>
      </c>
      <c r="AY2380" s="3" t="s">
        <v>19918</v>
      </c>
      <c r="AZ2380" s="3" t="s">
        <v>19919</v>
      </c>
      <c r="BA2380" s="3" t="s">
        <v>19919</v>
      </c>
      <c r="BB2380" s="3" t="s">
        <v>19920</v>
      </c>
      <c r="BC2380" s="3" t="s">
        <v>82</v>
      </c>
      <c r="BD2380" s="3" t="s">
        <v>70</v>
      </c>
      <c r="BE2380" s="3" t="s">
        <v>19921</v>
      </c>
      <c r="BF2380" s="3" t="s">
        <v>19920</v>
      </c>
      <c r="BG2380" s="3" t="s">
        <v>19922</v>
      </c>
    </row>
    <row r="2381" spans="1:59" ht="60" x14ac:dyDescent="0.25">
      <c r="A2381" s="2" t="s">
        <v>59</v>
      </c>
      <c r="B2381" s="2" t="s">
        <v>60</v>
      </c>
      <c r="C2381" s="2" t="s">
        <v>19914</v>
      </c>
      <c r="D2381" s="2" t="s">
        <v>19915</v>
      </c>
      <c r="E2381" s="2" t="s">
        <v>19916</v>
      </c>
      <c r="F2381" s="3" t="s">
        <v>1095</v>
      </c>
      <c r="G2381" s="3" t="s">
        <v>62</v>
      </c>
      <c r="I2381" s="3" t="s">
        <v>63</v>
      </c>
      <c r="J2381" s="3" t="s">
        <v>63</v>
      </c>
      <c r="K2381" s="3" t="s">
        <v>64</v>
      </c>
      <c r="L2381" s="2" t="s">
        <v>19343</v>
      </c>
      <c r="M2381" s="2" t="s">
        <v>19581</v>
      </c>
      <c r="N2381" s="3" t="s">
        <v>3640</v>
      </c>
      <c r="P2381" s="3" t="s">
        <v>66</v>
      </c>
      <c r="R2381" s="3" t="s">
        <v>67</v>
      </c>
      <c r="S2381" s="4">
        <v>4</v>
      </c>
      <c r="T2381" s="4">
        <v>8</v>
      </c>
      <c r="U2381" s="5" t="s">
        <v>12201</v>
      </c>
      <c r="V2381" s="5" t="s">
        <v>12201</v>
      </c>
      <c r="W2381" s="5" t="s">
        <v>69</v>
      </c>
      <c r="X2381" s="5" t="s">
        <v>69</v>
      </c>
      <c r="Y2381" s="4">
        <v>350</v>
      </c>
      <c r="Z2381" s="4">
        <v>22</v>
      </c>
      <c r="AA2381" s="4">
        <v>23</v>
      </c>
      <c r="AB2381" s="4">
        <v>1</v>
      </c>
      <c r="AC2381" s="4">
        <v>1</v>
      </c>
      <c r="AD2381" s="4">
        <v>102</v>
      </c>
      <c r="AE2381" s="4">
        <v>104</v>
      </c>
      <c r="AF2381" s="4">
        <v>0</v>
      </c>
      <c r="AG2381" s="4">
        <v>0</v>
      </c>
      <c r="AH2381" s="4">
        <v>93</v>
      </c>
      <c r="AI2381" s="4">
        <v>94</v>
      </c>
      <c r="AJ2381" s="4">
        <v>15</v>
      </c>
      <c r="AK2381" s="4">
        <v>16</v>
      </c>
      <c r="AL2381" s="4">
        <v>49</v>
      </c>
      <c r="AM2381" s="4">
        <v>49</v>
      </c>
      <c r="AN2381" s="4">
        <v>0</v>
      </c>
      <c r="AO2381" s="4">
        <v>0</v>
      </c>
      <c r="AP2381" s="4">
        <v>16</v>
      </c>
      <c r="AQ2381" s="4">
        <v>17</v>
      </c>
      <c r="AR2381" s="3" t="s">
        <v>63</v>
      </c>
      <c r="AS2381" s="3" t="s">
        <v>63</v>
      </c>
      <c r="AT2381" s="3" t="s">
        <v>62</v>
      </c>
      <c r="AU2381" s="6" t="str">
        <f>HYPERLINK("http://catalog.hathitrust.org/Record/004508123","HathiTrust Record")</f>
        <v>HathiTrust Record</v>
      </c>
      <c r="AV2381" s="6" t="str">
        <f>HYPERLINK("http://mcgill.on.worldcat.org/oclc/8866305","Catalog Record")</f>
        <v>Catalog Record</v>
      </c>
      <c r="AW2381" s="6" t="str">
        <f>HYPERLINK("http://www.worldcat.org/oclc/8866305","WorldCat Record")</f>
        <v>WorldCat Record</v>
      </c>
      <c r="AX2381" s="3" t="s">
        <v>19917</v>
      </c>
      <c r="AY2381" s="3" t="s">
        <v>19918</v>
      </c>
      <c r="AZ2381" s="3" t="s">
        <v>19919</v>
      </c>
      <c r="BA2381" s="3" t="s">
        <v>19919</v>
      </c>
      <c r="BB2381" s="3" t="s">
        <v>19923</v>
      </c>
      <c r="BC2381" s="3" t="s">
        <v>82</v>
      </c>
      <c r="BD2381" s="3" t="s">
        <v>70</v>
      </c>
      <c r="BE2381" s="3" t="s">
        <v>19921</v>
      </c>
      <c r="BF2381" s="3" t="s">
        <v>19923</v>
      </c>
      <c r="BG2381" s="3" t="s">
        <v>19924</v>
      </c>
    </row>
    <row r="2382" spans="1:59" ht="60" x14ac:dyDescent="0.25">
      <c r="A2382" s="2" t="s">
        <v>59</v>
      </c>
      <c r="B2382" s="2" t="s">
        <v>60</v>
      </c>
      <c r="C2382" s="2" t="s">
        <v>19925</v>
      </c>
      <c r="D2382" s="2" t="s">
        <v>19926</v>
      </c>
      <c r="E2382" s="2" t="s">
        <v>19927</v>
      </c>
      <c r="G2382" s="3" t="s">
        <v>63</v>
      </c>
      <c r="I2382" s="3" t="s">
        <v>63</v>
      </c>
      <c r="J2382" s="3" t="s">
        <v>62</v>
      </c>
      <c r="K2382" s="3" t="s">
        <v>64</v>
      </c>
      <c r="L2382" s="2" t="s">
        <v>19928</v>
      </c>
      <c r="M2382" s="2" t="s">
        <v>19929</v>
      </c>
      <c r="N2382" s="3" t="s">
        <v>9103</v>
      </c>
      <c r="P2382" s="3" t="s">
        <v>66</v>
      </c>
      <c r="R2382" s="3" t="s">
        <v>67</v>
      </c>
      <c r="S2382" s="4">
        <v>9</v>
      </c>
      <c r="T2382" s="4">
        <v>9</v>
      </c>
      <c r="U2382" s="5" t="s">
        <v>12925</v>
      </c>
      <c r="V2382" s="5" t="s">
        <v>12925</v>
      </c>
      <c r="W2382" s="5" t="s">
        <v>69</v>
      </c>
      <c r="X2382" s="5" t="s">
        <v>69</v>
      </c>
      <c r="Y2382" s="4">
        <v>381</v>
      </c>
      <c r="Z2382" s="4">
        <v>25</v>
      </c>
      <c r="AA2382" s="4">
        <v>28</v>
      </c>
      <c r="AB2382" s="4">
        <v>2</v>
      </c>
      <c r="AC2382" s="4">
        <v>2</v>
      </c>
      <c r="AD2382" s="4">
        <v>85</v>
      </c>
      <c r="AE2382" s="4">
        <v>110</v>
      </c>
      <c r="AF2382" s="4">
        <v>1</v>
      </c>
      <c r="AG2382" s="4">
        <v>1</v>
      </c>
      <c r="AH2382" s="4">
        <v>72</v>
      </c>
      <c r="AI2382" s="4">
        <v>94</v>
      </c>
      <c r="AJ2382" s="4">
        <v>16</v>
      </c>
      <c r="AK2382" s="4">
        <v>18</v>
      </c>
      <c r="AL2382" s="4">
        <v>42</v>
      </c>
      <c r="AM2382" s="4">
        <v>54</v>
      </c>
      <c r="AN2382" s="4">
        <v>0</v>
      </c>
      <c r="AO2382" s="4">
        <v>0</v>
      </c>
      <c r="AP2382" s="4">
        <v>20</v>
      </c>
      <c r="AQ2382" s="4">
        <v>22</v>
      </c>
      <c r="AR2382" s="3" t="s">
        <v>63</v>
      </c>
      <c r="AS2382" s="3" t="s">
        <v>63</v>
      </c>
      <c r="AT2382" s="3" t="s">
        <v>62</v>
      </c>
      <c r="AU2382" s="6" t="str">
        <f>HYPERLINK("http://catalog.hathitrust.org/Record/001061268","HathiTrust Record")</f>
        <v>HathiTrust Record</v>
      </c>
      <c r="AV2382" s="6" t="str">
        <f>HYPERLINK("http://mcgill.on.worldcat.org/oclc/320969","Catalog Record")</f>
        <v>Catalog Record</v>
      </c>
      <c r="AW2382" s="6" t="str">
        <f>HYPERLINK("http://www.worldcat.org/oclc/320969","WorldCat Record")</f>
        <v>WorldCat Record</v>
      </c>
      <c r="AX2382" s="3" t="s">
        <v>19930</v>
      </c>
      <c r="AY2382" s="3" t="s">
        <v>19931</v>
      </c>
      <c r="AZ2382" s="3" t="s">
        <v>19932</v>
      </c>
      <c r="BA2382" s="3" t="s">
        <v>19932</v>
      </c>
      <c r="BB2382" s="3" t="s">
        <v>19933</v>
      </c>
      <c r="BC2382" s="3" t="s">
        <v>82</v>
      </c>
      <c r="BD2382" s="3" t="s">
        <v>70</v>
      </c>
      <c r="BF2382" s="3" t="s">
        <v>19933</v>
      </c>
      <c r="BG2382" s="3" t="s">
        <v>19934</v>
      </c>
    </row>
    <row r="2383" spans="1:59" ht="60" x14ac:dyDescent="0.25">
      <c r="A2383" s="2" t="s">
        <v>59</v>
      </c>
      <c r="B2383" s="2" t="s">
        <v>60</v>
      </c>
      <c r="C2383" s="2" t="s">
        <v>19935</v>
      </c>
      <c r="D2383" s="2" t="s">
        <v>19936</v>
      </c>
      <c r="E2383" s="2" t="s">
        <v>19937</v>
      </c>
      <c r="G2383" s="3" t="s">
        <v>63</v>
      </c>
      <c r="I2383" s="3" t="s">
        <v>62</v>
      </c>
      <c r="J2383" s="3" t="s">
        <v>63</v>
      </c>
      <c r="K2383" s="3" t="s">
        <v>64</v>
      </c>
      <c r="L2383" s="2" t="s">
        <v>19938</v>
      </c>
      <c r="M2383" s="2" t="s">
        <v>19939</v>
      </c>
      <c r="N2383" s="3" t="s">
        <v>814</v>
      </c>
      <c r="P2383" s="3" t="s">
        <v>66</v>
      </c>
      <c r="R2383" s="3" t="s">
        <v>67</v>
      </c>
      <c r="S2383" s="4">
        <v>13</v>
      </c>
      <c r="T2383" s="4">
        <v>26</v>
      </c>
      <c r="U2383" s="5" t="s">
        <v>19940</v>
      </c>
      <c r="V2383" s="5" t="s">
        <v>19940</v>
      </c>
      <c r="W2383" s="5" t="s">
        <v>69</v>
      </c>
      <c r="X2383" s="5" t="s">
        <v>69</v>
      </c>
      <c r="Y2383" s="4">
        <v>228</v>
      </c>
      <c r="Z2383" s="4">
        <v>26</v>
      </c>
      <c r="AA2383" s="4">
        <v>40</v>
      </c>
      <c r="AB2383" s="4">
        <v>2</v>
      </c>
      <c r="AC2383" s="4">
        <v>3</v>
      </c>
      <c r="AD2383" s="4">
        <v>45</v>
      </c>
      <c r="AE2383" s="4">
        <v>136</v>
      </c>
      <c r="AF2383" s="4">
        <v>1</v>
      </c>
      <c r="AG2383" s="4">
        <v>2</v>
      </c>
      <c r="AH2383" s="4">
        <v>35</v>
      </c>
      <c r="AI2383" s="4">
        <v>111</v>
      </c>
      <c r="AJ2383" s="4">
        <v>17</v>
      </c>
      <c r="AK2383" s="4">
        <v>22</v>
      </c>
      <c r="AL2383" s="4">
        <v>15</v>
      </c>
      <c r="AM2383" s="4">
        <v>60</v>
      </c>
      <c r="AN2383" s="4">
        <v>0</v>
      </c>
      <c r="AO2383" s="4">
        <v>0</v>
      </c>
      <c r="AP2383" s="4">
        <v>19</v>
      </c>
      <c r="AQ2383" s="4">
        <v>30</v>
      </c>
      <c r="AR2383" s="3" t="s">
        <v>63</v>
      </c>
      <c r="AS2383" s="3" t="s">
        <v>63</v>
      </c>
      <c r="AT2383" s="3" t="s">
        <v>63</v>
      </c>
      <c r="AV2383" s="6" t="str">
        <f>HYPERLINK("http://mcgill.on.worldcat.org/oclc/4773865","Catalog Record")</f>
        <v>Catalog Record</v>
      </c>
      <c r="AW2383" s="6" t="str">
        <f>HYPERLINK("http://www.worldcat.org/oclc/4773865","WorldCat Record")</f>
        <v>WorldCat Record</v>
      </c>
      <c r="AX2383" s="3" t="s">
        <v>19941</v>
      </c>
      <c r="AY2383" s="3" t="s">
        <v>19942</v>
      </c>
      <c r="AZ2383" s="3" t="s">
        <v>19943</v>
      </c>
      <c r="BA2383" s="3" t="s">
        <v>19943</v>
      </c>
      <c r="BB2383" s="3" t="s">
        <v>19944</v>
      </c>
      <c r="BC2383" s="3" t="s">
        <v>82</v>
      </c>
      <c r="BD2383" s="3" t="s">
        <v>70</v>
      </c>
      <c r="BE2383" s="3" t="s">
        <v>19945</v>
      </c>
      <c r="BF2383" s="3" t="s">
        <v>19944</v>
      </c>
      <c r="BG2383" s="3" t="s">
        <v>19946</v>
      </c>
    </row>
    <row r="2384" spans="1:59" ht="60" x14ac:dyDescent="0.25">
      <c r="A2384" s="2" t="s">
        <v>59</v>
      </c>
      <c r="B2384" s="2" t="s">
        <v>60</v>
      </c>
      <c r="C2384" s="2" t="s">
        <v>19935</v>
      </c>
      <c r="D2384" s="2" t="s">
        <v>19936</v>
      </c>
      <c r="E2384" s="2" t="s">
        <v>19937</v>
      </c>
      <c r="G2384" s="3" t="s">
        <v>63</v>
      </c>
      <c r="I2384" s="3" t="s">
        <v>62</v>
      </c>
      <c r="J2384" s="3" t="s">
        <v>63</v>
      </c>
      <c r="K2384" s="3" t="s">
        <v>64</v>
      </c>
      <c r="L2384" s="2" t="s">
        <v>19938</v>
      </c>
      <c r="M2384" s="2" t="s">
        <v>19939</v>
      </c>
      <c r="N2384" s="3" t="s">
        <v>814</v>
      </c>
      <c r="P2384" s="3" t="s">
        <v>66</v>
      </c>
      <c r="R2384" s="3" t="s">
        <v>67</v>
      </c>
      <c r="S2384" s="4">
        <v>13</v>
      </c>
      <c r="T2384" s="4">
        <v>26</v>
      </c>
      <c r="U2384" s="5" t="s">
        <v>19947</v>
      </c>
      <c r="V2384" s="5" t="s">
        <v>19940</v>
      </c>
      <c r="W2384" s="5" t="s">
        <v>69</v>
      </c>
      <c r="X2384" s="5" t="s">
        <v>69</v>
      </c>
      <c r="Y2384" s="4">
        <v>228</v>
      </c>
      <c r="Z2384" s="4">
        <v>26</v>
      </c>
      <c r="AA2384" s="4">
        <v>40</v>
      </c>
      <c r="AB2384" s="4">
        <v>2</v>
      </c>
      <c r="AC2384" s="4">
        <v>3</v>
      </c>
      <c r="AD2384" s="4">
        <v>45</v>
      </c>
      <c r="AE2384" s="4">
        <v>136</v>
      </c>
      <c r="AF2384" s="4">
        <v>1</v>
      </c>
      <c r="AG2384" s="4">
        <v>2</v>
      </c>
      <c r="AH2384" s="4">
        <v>35</v>
      </c>
      <c r="AI2384" s="4">
        <v>111</v>
      </c>
      <c r="AJ2384" s="4">
        <v>17</v>
      </c>
      <c r="AK2384" s="4">
        <v>22</v>
      </c>
      <c r="AL2384" s="4">
        <v>15</v>
      </c>
      <c r="AM2384" s="4">
        <v>60</v>
      </c>
      <c r="AN2384" s="4">
        <v>0</v>
      </c>
      <c r="AO2384" s="4">
        <v>0</v>
      </c>
      <c r="AP2384" s="4">
        <v>19</v>
      </c>
      <c r="AQ2384" s="4">
        <v>30</v>
      </c>
      <c r="AR2384" s="3" t="s">
        <v>63</v>
      </c>
      <c r="AS2384" s="3" t="s">
        <v>63</v>
      </c>
      <c r="AT2384" s="3" t="s">
        <v>63</v>
      </c>
      <c r="AV2384" s="6" t="str">
        <f>HYPERLINK("http://mcgill.on.worldcat.org/oclc/4773865","Catalog Record")</f>
        <v>Catalog Record</v>
      </c>
      <c r="AW2384" s="6" t="str">
        <f>HYPERLINK("http://www.worldcat.org/oclc/4773865","WorldCat Record")</f>
        <v>WorldCat Record</v>
      </c>
      <c r="AX2384" s="3" t="s">
        <v>19941</v>
      </c>
      <c r="AY2384" s="3" t="s">
        <v>19942</v>
      </c>
      <c r="AZ2384" s="3" t="s">
        <v>19943</v>
      </c>
      <c r="BA2384" s="3" t="s">
        <v>19943</v>
      </c>
      <c r="BB2384" s="3" t="s">
        <v>19948</v>
      </c>
      <c r="BC2384" s="3" t="s">
        <v>82</v>
      </c>
      <c r="BD2384" s="3" t="s">
        <v>70</v>
      </c>
      <c r="BE2384" s="3" t="s">
        <v>19945</v>
      </c>
      <c r="BF2384" s="3" t="s">
        <v>19948</v>
      </c>
      <c r="BG2384" s="3" t="s">
        <v>19949</v>
      </c>
    </row>
    <row r="2385" spans="1:59" ht="60" x14ac:dyDescent="0.25">
      <c r="A2385" s="2" t="s">
        <v>59</v>
      </c>
      <c r="B2385" s="2" t="s">
        <v>60</v>
      </c>
      <c r="C2385" s="2" t="s">
        <v>19950</v>
      </c>
      <c r="D2385" s="2" t="s">
        <v>19951</v>
      </c>
      <c r="E2385" s="2" t="s">
        <v>19952</v>
      </c>
      <c r="G2385" s="3" t="s">
        <v>63</v>
      </c>
      <c r="I2385" s="3" t="s">
        <v>63</v>
      </c>
      <c r="J2385" s="3" t="s">
        <v>63</v>
      </c>
      <c r="K2385" s="3" t="s">
        <v>64</v>
      </c>
      <c r="L2385" s="2" t="s">
        <v>19953</v>
      </c>
      <c r="M2385" s="2" t="s">
        <v>6872</v>
      </c>
      <c r="N2385" s="3" t="s">
        <v>531</v>
      </c>
      <c r="P2385" s="3" t="s">
        <v>66</v>
      </c>
      <c r="R2385" s="3" t="s">
        <v>67</v>
      </c>
      <c r="S2385" s="4">
        <v>18</v>
      </c>
      <c r="T2385" s="4">
        <v>18</v>
      </c>
      <c r="U2385" s="5" t="s">
        <v>4791</v>
      </c>
      <c r="V2385" s="5" t="s">
        <v>4791</v>
      </c>
      <c r="W2385" s="5" t="s">
        <v>69</v>
      </c>
      <c r="X2385" s="5" t="s">
        <v>69</v>
      </c>
      <c r="Y2385" s="4">
        <v>374</v>
      </c>
      <c r="Z2385" s="4">
        <v>23</v>
      </c>
      <c r="AA2385" s="4">
        <v>23</v>
      </c>
      <c r="AB2385" s="4">
        <v>1</v>
      </c>
      <c r="AC2385" s="4">
        <v>1</v>
      </c>
      <c r="AD2385" s="4">
        <v>108</v>
      </c>
      <c r="AE2385" s="4">
        <v>108</v>
      </c>
      <c r="AF2385" s="4">
        <v>0</v>
      </c>
      <c r="AG2385" s="4">
        <v>0</v>
      </c>
      <c r="AH2385" s="4">
        <v>97</v>
      </c>
      <c r="AI2385" s="4">
        <v>97</v>
      </c>
      <c r="AJ2385" s="4">
        <v>15</v>
      </c>
      <c r="AK2385" s="4">
        <v>15</v>
      </c>
      <c r="AL2385" s="4">
        <v>55</v>
      </c>
      <c r="AM2385" s="4">
        <v>55</v>
      </c>
      <c r="AN2385" s="4">
        <v>0</v>
      </c>
      <c r="AO2385" s="4">
        <v>0</v>
      </c>
      <c r="AP2385" s="4">
        <v>19</v>
      </c>
      <c r="AQ2385" s="4">
        <v>19</v>
      </c>
      <c r="AR2385" s="3" t="s">
        <v>63</v>
      </c>
      <c r="AS2385" s="3" t="s">
        <v>63</v>
      </c>
      <c r="AT2385" s="3" t="s">
        <v>62</v>
      </c>
      <c r="AU2385" s="6" t="str">
        <f>HYPERLINK("http://catalog.hathitrust.org/Record/002555907","HathiTrust Record")</f>
        <v>HathiTrust Record</v>
      </c>
      <c r="AV2385" s="6" t="str">
        <f>HYPERLINK("http://mcgill.on.worldcat.org/oclc/23868785","Catalog Record")</f>
        <v>Catalog Record</v>
      </c>
      <c r="AW2385" s="6" t="str">
        <f>HYPERLINK("http://www.worldcat.org/oclc/23868785","WorldCat Record")</f>
        <v>WorldCat Record</v>
      </c>
      <c r="AX2385" s="3" t="s">
        <v>19954</v>
      </c>
      <c r="AY2385" s="3" t="s">
        <v>19955</v>
      </c>
      <c r="AZ2385" s="3" t="s">
        <v>19956</v>
      </c>
      <c r="BA2385" s="3" t="s">
        <v>19956</v>
      </c>
      <c r="BB2385" s="3" t="s">
        <v>19957</v>
      </c>
      <c r="BC2385" s="3" t="s">
        <v>82</v>
      </c>
      <c r="BD2385" s="3" t="s">
        <v>538</v>
      </c>
      <c r="BE2385" s="3" t="s">
        <v>19958</v>
      </c>
      <c r="BF2385" s="3" t="s">
        <v>19957</v>
      </c>
      <c r="BG2385" s="3" t="s">
        <v>19959</v>
      </c>
    </row>
    <row r="2386" spans="1:59" ht="60" x14ac:dyDescent="0.25">
      <c r="A2386" s="2" t="s">
        <v>59</v>
      </c>
      <c r="B2386" s="2" t="s">
        <v>60</v>
      </c>
      <c r="C2386" s="2" t="s">
        <v>19960</v>
      </c>
      <c r="D2386" s="2" t="s">
        <v>19961</v>
      </c>
      <c r="E2386" s="2" t="s">
        <v>19962</v>
      </c>
      <c r="G2386" s="3" t="s">
        <v>63</v>
      </c>
      <c r="I2386" s="3" t="s">
        <v>63</v>
      </c>
      <c r="J2386" s="3" t="s">
        <v>63</v>
      </c>
      <c r="K2386" s="3" t="s">
        <v>64</v>
      </c>
      <c r="L2386" s="2" t="s">
        <v>6055</v>
      </c>
      <c r="M2386" s="2" t="s">
        <v>19963</v>
      </c>
      <c r="N2386" s="3" t="s">
        <v>668</v>
      </c>
      <c r="P2386" s="3" t="s">
        <v>66</v>
      </c>
      <c r="R2386" s="3" t="s">
        <v>67</v>
      </c>
      <c r="S2386" s="4">
        <v>20</v>
      </c>
      <c r="T2386" s="4">
        <v>20</v>
      </c>
      <c r="U2386" s="5" t="s">
        <v>6056</v>
      </c>
      <c r="V2386" s="5" t="s">
        <v>6056</v>
      </c>
      <c r="W2386" s="5" t="s">
        <v>69</v>
      </c>
      <c r="X2386" s="5" t="s">
        <v>69</v>
      </c>
      <c r="Y2386" s="4">
        <v>518</v>
      </c>
      <c r="Z2386" s="4">
        <v>24</v>
      </c>
      <c r="AA2386" s="4">
        <v>90</v>
      </c>
      <c r="AB2386" s="4">
        <v>1</v>
      </c>
      <c r="AC2386" s="4">
        <v>16</v>
      </c>
      <c r="AD2386" s="4">
        <v>117</v>
      </c>
      <c r="AE2386" s="4">
        <v>149</v>
      </c>
      <c r="AF2386" s="4">
        <v>0</v>
      </c>
      <c r="AG2386" s="4">
        <v>8</v>
      </c>
      <c r="AH2386" s="4">
        <v>101</v>
      </c>
      <c r="AI2386" s="4">
        <v>110</v>
      </c>
      <c r="AJ2386" s="4">
        <v>17</v>
      </c>
      <c r="AK2386" s="4">
        <v>26</v>
      </c>
      <c r="AL2386" s="4">
        <v>56</v>
      </c>
      <c r="AM2386" s="4">
        <v>58</v>
      </c>
      <c r="AN2386" s="4">
        <v>0</v>
      </c>
      <c r="AO2386" s="4">
        <v>0</v>
      </c>
      <c r="AP2386" s="4">
        <v>20</v>
      </c>
      <c r="AQ2386" s="4">
        <v>47</v>
      </c>
      <c r="AR2386" s="3" t="s">
        <v>63</v>
      </c>
      <c r="AS2386" s="3" t="s">
        <v>63</v>
      </c>
      <c r="AT2386" s="3" t="s">
        <v>63</v>
      </c>
      <c r="AV2386" s="6" t="str">
        <f>HYPERLINK("http://mcgill.on.worldcat.org/oclc/20171948","Catalog Record")</f>
        <v>Catalog Record</v>
      </c>
      <c r="AW2386" s="6" t="str">
        <f>HYPERLINK("http://www.worldcat.org/oclc/20171948","WorldCat Record")</f>
        <v>WorldCat Record</v>
      </c>
      <c r="AX2386" s="3" t="s">
        <v>19964</v>
      </c>
      <c r="AY2386" s="3" t="s">
        <v>19965</v>
      </c>
      <c r="AZ2386" s="3" t="s">
        <v>19966</v>
      </c>
      <c r="BA2386" s="3" t="s">
        <v>19966</v>
      </c>
      <c r="BB2386" s="3" t="s">
        <v>19967</v>
      </c>
      <c r="BC2386" s="3" t="s">
        <v>82</v>
      </c>
      <c r="BD2386" s="3" t="s">
        <v>70</v>
      </c>
      <c r="BE2386" s="3" t="s">
        <v>19968</v>
      </c>
      <c r="BF2386" s="3" t="s">
        <v>19967</v>
      </c>
      <c r="BG2386" s="3" t="s">
        <v>19969</v>
      </c>
    </row>
    <row r="2387" spans="1:59" ht="60" x14ac:dyDescent="0.25">
      <c r="A2387" s="2" t="s">
        <v>59</v>
      </c>
      <c r="B2387" s="2" t="s">
        <v>60</v>
      </c>
      <c r="C2387" s="2" t="s">
        <v>19970</v>
      </c>
      <c r="D2387" s="2" t="s">
        <v>19971</v>
      </c>
      <c r="E2387" s="2" t="s">
        <v>19972</v>
      </c>
      <c r="G2387" s="3" t="s">
        <v>63</v>
      </c>
      <c r="I2387" s="3" t="s">
        <v>62</v>
      </c>
      <c r="J2387" s="3" t="s">
        <v>63</v>
      </c>
      <c r="K2387" s="3" t="s">
        <v>64</v>
      </c>
      <c r="L2387" s="2" t="s">
        <v>4610</v>
      </c>
      <c r="M2387" s="2" t="s">
        <v>19973</v>
      </c>
      <c r="N2387" s="3" t="s">
        <v>758</v>
      </c>
      <c r="P2387" s="3" t="s">
        <v>66</v>
      </c>
      <c r="R2387" s="3" t="s">
        <v>67</v>
      </c>
      <c r="S2387" s="4">
        <v>17</v>
      </c>
      <c r="T2387" s="4">
        <v>47</v>
      </c>
      <c r="U2387" s="5" t="s">
        <v>19974</v>
      </c>
      <c r="V2387" s="5" t="s">
        <v>16424</v>
      </c>
      <c r="W2387" s="5" t="s">
        <v>69</v>
      </c>
      <c r="X2387" s="5" t="s">
        <v>69</v>
      </c>
      <c r="Y2387" s="4">
        <v>619</v>
      </c>
      <c r="Z2387" s="4">
        <v>23</v>
      </c>
      <c r="AA2387" s="4">
        <v>24</v>
      </c>
      <c r="AB2387" s="4">
        <v>2</v>
      </c>
      <c r="AC2387" s="4">
        <v>3</v>
      </c>
      <c r="AD2387" s="4">
        <v>104</v>
      </c>
      <c r="AE2387" s="4">
        <v>107</v>
      </c>
      <c r="AF2387" s="4">
        <v>1</v>
      </c>
      <c r="AG2387" s="4">
        <v>2</v>
      </c>
      <c r="AH2387" s="4">
        <v>91</v>
      </c>
      <c r="AI2387" s="4">
        <v>93</v>
      </c>
      <c r="AJ2387" s="4">
        <v>16</v>
      </c>
      <c r="AK2387" s="4">
        <v>17</v>
      </c>
      <c r="AL2387" s="4">
        <v>52</v>
      </c>
      <c r="AM2387" s="4">
        <v>52</v>
      </c>
      <c r="AN2387" s="4">
        <v>0</v>
      </c>
      <c r="AO2387" s="4">
        <v>0</v>
      </c>
      <c r="AP2387" s="4">
        <v>20</v>
      </c>
      <c r="AQ2387" s="4">
        <v>20</v>
      </c>
      <c r="AR2387" s="3" t="s">
        <v>63</v>
      </c>
      <c r="AS2387" s="3" t="s">
        <v>63</v>
      </c>
      <c r="AT2387" s="3" t="s">
        <v>62</v>
      </c>
      <c r="AU2387" s="6" t="str">
        <f>HYPERLINK("http://catalog.hathitrust.org/Record/001110433","HathiTrust Record")</f>
        <v>HathiTrust Record</v>
      </c>
      <c r="AV2387" s="6" t="str">
        <f>HYPERLINK("http://mcgill.on.worldcat.org/oclc/320968","Catalog Record")</f>
        <v>Catalog Record</v>
      </c>
      <c r="AW2387" s="6" t="str">
        <f>HYPERLINK("http://www.worldcat.org/oclc/320968","WorldCat Record")</f>
        <v>WorldCat Record</v>
      </c>
      <c r="AX2387" s="3" t="s">
        <v>19975</v>
      </c>
      <c r="AY2387" s="3" t="s">
        <v>19976</v>
      </c>
      <c r="AZ2387" s="3" t="s">
        <v>19977</v>
      </c>
      <c r="BA2387" s="3" t="s">
        <v>19977</v>
      </c>
      <c r="BB2387" s="3" t="s">
        <v>19978</v>
      </c>
      <c r="BC2387" s="3" t="s">
        <v>82</v>
      </c>
      <c r="BD2387" s="3" t="s">
        <v>70</v>
      </c>
      <c r="BF2387" s="3" t="s">
        <v>19978</v>
      </c>
      <c r="BG2387" s="3" t="s">
        <v>19979</v>
      </c>
    </row>
    <row r="2388" spans="1:59" ht="60" x14ac:dyDescent="0.25">
      <c r="A2388" s="2" t="s">
        <v>59</v>
      </c>
      <c r="B2388" s="2" t="s">
        <v>60</v>
      </c>
      <c r="C2388" s="2" t="s">
        <v>19970</v>
      </c>
      <c r="D2388" s="2" t="s">
        <v>19971</v>
      </c>
      <c r="E2388" s="2" t="s">
        <v>19972</v>
      </c>
      <c r="G2388" s="3" t="s">
        <v>63</v>
      </c>
      <c r="I2388" s="3" t="s">
        <v>62</v>
      </c>
      <c r="J2388" s="3" t="s">
        <v>63</v>
      </c>
      <c r="K2388" s="3" t="s">
        <v>64</v>
      </c>
      <c r="L2388" s="2" t="s">
        <v>4610</v>
      </c>
      <c r="M2388" s="2" t="s">
        <v>19973</v>
      </c>
      <c r="N2388" s="3" t="s">
        <v>758</v>
      </c>
      <c r="P2388" s="3" t="s">
        <v>66</v>
      </c>
      <c r="R2388" s="3" t="s">
        <v>67</v>
      </c>
      <c r="S2388" s="4">
        <v>28</v>
      </c>
      <c r="T2388" s="4">
        <v>47</v>
      </c>
      <c r="U2388" s="5" t="s">
        <v>16424</v>
      </c>
      <c r="V2388" s="5" t="s">
        <v>16424</v>
      </c>
      <c r="W2388" s="5" t="s">
        <v>69</v>
      </c>
      <c r="X2388" s="5" t="s">
        <v>69</v>
      </c>
      <c r="Y2388" s="4">
        <v>619</v>
      </c>
      <c r="Z2388" s="4">
        <v>23</v>
      </c>
      <c r="AA2388" s="4">
        <v>24</v>
      </c>
      <c r="AB2388" s="4">
        <v>2</v>
      </c>
      <c r="AC2388" s="4">
        <v>3</v>
      </c>
      <c r="AD2388" s="4">
        <v>104</v>
      </c>
      <c r="AE2388" s="4">
        <v>107</v>
      </c>
      <c r="AF2388" s="4">
        <v>1</v>
      </c>
      <c r="AG2388" s="4">
        <v>2</v>
      </c>
      <c r="AH2388" s="4">
        <v>91</v>
      </c>
      <c r="AI2388" s="4">
        <v>93</v>
      </c>
      <c r="AJ2388" s="4">
        <v>16</v>
      </c>
      <c r="AK2388" s="4">
        <v>17</v>
      </c>
      <c r="AL2388" s="4">
        <v>52</v>
      </c>
      <c r="AM2388" s="4">
        <v>52</v>
      </c>
      <c r="AN2388" s="4">
        <v>0</v>
      </c>
      <c r="AO2388" s="4">
        <v>0</v>
      </c>
      <c r="AP2388" s="4">
        <v>20</v>
      </c>
      <c r="AQ2388" s="4">
        <v>20</v>
      </c>
      <c r="AR2388" s="3" t="s">
        <v>63</v>
      </c>
      <c r="AS2388" s="3" t="s">
        <v>63</v>
      </c>
      <c r="AT2388" s="3" t="s">
        <v>62</v>
      </c>
      <c r="AU2388" s="6" t="str">
        <f>HYPERLINK("http://catalog.hathitrust.org/Record/001110433","HathiTrust Record")</f>
        <v>HathiTrust Record</v>
      </c>
      <c r="AV2388" s="6" t="str">
        <f>HYPERLINK("http://mcgill.on.worldcat.org/oclc/320968","Catalog Record")</f>
        <v>Catalog Record</v>
      </c>
      <c r="AW2388" s="6" t="str">
        <f>HYPERLINK("http://www.worldcat.org/oclc/320968","WorldCat Record")</f>
        <v>WorldCat Record</v>
      </c>
      <c r="AX2388" s="3" t="s">
        <v>19975</v>
      </c>
      <c r="AY2388" s="3" t="s">
        <v>19976</v>
      </c>
      <c r="AZ2388" s="3" t="s">
        <v>19977</v>
      </c>
      <c r="BA2388" s="3" t="s">
        <v>19977</v>
      </c>
      <c r="BB2388" s="3" t="s">
        <v>19980</v>
      </c>
      <c r="BC2388" s="3" t="s">
        <v>82</v>
      </c>
      <c r="BD2388" s="3" t="s">
        <v>70</v>
      </c>
      <c r="BF2388" s="3" t="s">
        <v>19980</v>
      </c>
      <c r="BG2388" s="3" t="s">
        <v>19981</v>
      </c>
    </row>
    <row r="2389" spans="1:59" ht="60" x14ac:dyDescent="0.25">
      <c r="A2389" s="2" t="s">
        <v>59</v>
      </c>
      <c r="B2389" s="2" t="s">
        <v>60</v>
      </c>
      <c r="C2389" s="2" t="s">
        <v>19970</v>
      </c>
      <c r="D2389" s="2" t="s">
        <v>19971</v>
      </c>
      <c r="E2389" s="2" t="s">
        <v>19972</v>
      </c>
      <c r="G2389" s="3" t="s">
        <v>63</v>
      </c>
      <c r="I2389" s="3" t="s">
        <v>62</v>
      </c>
      <c r="J2389" s="3" t="s">
        <v>63</v>
      </c>
      <c r="K2389" s="3" t="s">
        <v>64</v>
      </c>
      <c r="L2389" s="2" t="s">
        <v>4610</v>
      </c>
      <c r="M2389" s="2" t="s">
        <v>19973</v>
      </c>
      <c r="N2389" s="3" t="s">
        <v>758</v>
      </c>
      <c r="P2389" s="3" t="s">
        <v>66</v>
      </c>
      <c r="R2389" s="3" t="s">
        <v>67</v>
      </c>
      <c r="S2389" s="4">
        <v>2</v>
      </c>
      <c r="T2389" s="4">
        <v>47</v>
      </c>
      <c r="U2389" s="5" t="s">
        <v>19982</v>
      </c>
      <c r="V2389" s="5" t="s">
        <v>16424</v>
      </c>
      <c r="W2389" s="5" t="s">
        <v>69</v>
      </c>
      <c r="X2389" s="5" t="s">
        <v>69</v>
      </c>
      <c r="Y2389" s="4">
        <v>619</v>
      </c>
      <c r="Z2389" s="4">
        <v>23</v>
      </c>
      <c r="AA2389" s="4">
        <v>24</v>
      </c>
      <c r="AB2389" s="4">
        <v>2</v>
      </c>
      <c r="AC2389" s="4">
        <v>3</v>
      </c>
      <c r="AD2389" s="4">
        <v>104</v>
      </c>
      <c r="AE2389" s="4">
        <v>107</v>
      </c>
      <c r="AF2389" s="4">
        <v>1</v>
      </c>
      <c r="AG2389" s="4">
        <v>2</v>
      </c>
      <c r="AH2389" s="4">
        <v>91</v>
      </c>
      <c r="AI2389" s="4">
        <v>93</v>
      </c>
      <c r="AJ2389" s="4">
        <v>16</v>
      </c>
      <c r="AK2389" s="4">
        <v>17</v>
      </c>
      <c r="AL2389" s="4">
        <v>52</v>
      </c>
      <c r="AM2389" s="4">
        <v>52</v>
      </c>
      <c r="AN2389" s="4">
        <v>0</v>
      </c>
      <c r="AO2389" s="4">
        <v>0</v>
      </c>
      <c r="AP2389" s="4">
        <v>20</v>
      </c>
      <c r="AQ2389" s="4">
        <v>20</v>
      </c>
      <c r="AR2389" s="3" t="s">
        <v>63</v>
      </c>
      <c r="AS2389" s="3" t="s">
        <v>63</v>
      </c>
      <c r="AT2389" s="3" t="s">
        <v>62</v>
      </c>
      <c r="AU2389" s="6" t="str">
        <f>HYPERLINK("http://catalog.hathitrust.org/Record/001110433","HathiTrust Record")</f>
        <v>HathiTrust Record</v>
      </c>
      <c r="AV2389" s="6" t="str">
        <f>HYPERLINK("http://mcgill.on.worldcat.org/oclc/320968","Catalog Record")</f>
        <v>Catalog Record</v>
      </c>
      <c r="AW2389" s="6" t="str">
        <f>HYPERLINK("http://www.worldcat.org/oclc/320968","WorldCat Record")</f>
        <v>WorldCat Record</v>
      </c>
      <c r="AX2389" s="3" t="s">
        <v>19975</v>
      </c>
      <c r="AY2389" s="3" t="s">
        <v>19976</v>
      </c>
      <c r="AZ2389" s="3" t="s">
        <v>19977</v>
      </c>
      <c r="BA2389" s="3" t="s">
        <v>19977</v>
      </c>
      <c r="BB2389" s="3" t="s">
        <v>19983</v>
      </c>
      <c r="BC2389" s="3" t="s">
        <v>82</v>
      </c>
      <c r="BD2389" s="3" t="s">
        <v>70</v>
      </c>
      <c r="BF2389" s="3" t="s">
        <v>19983</v>
      </c>
      <c r="BG2389" s="3" t="s">
        <v>19984</v>
      </c>
    </row>
    <row r="2390" spans="1:59" ht="60" x14ac:dyDescent="0.25">
      <c r="A2390" s="2" t="s">
        <v>59</v>
      </c>
      <c r="B2390" s="2" t="s">
        <v>60</v>
      </c>
      <c r="C2390" s="2" t="s">
        <v>19985</v>
      </c>
      <c r="D2390" s="2" t="s">
        <v>19986</v>
      </c>
      <c r="E2390" s="2" t="s">
        <v>19987</v>
      </c>
      <c r="G2390" s="3" t="s">
        <v>63</v>
      </c>
      <c r="I2390" s="3" t="s">
        <v>63</v>
      </c>
      <c r="J2390" s="3" t="s">
        <v>63</v>
      </c>
      <c r="K2390" s="3" t="s">
        <v>64</v>
      </c>
      <c r="M2390" s="2" t="s">
        <v>19988</v>
      </c>
      <c r="N2390" s="3" t="s">
        <v>313</v>
      </c>
      <c r="P2390" s="3" t="s">
        <v>66</v>
      </c>
      <c r="Q2390" s="2" t="s">
        <v>19989</v>
      </c>
      <c r="R2390" s="3" t="s">
        <v>67</v>
      </c>
      <c r="S2390" s="4">
        <v>2</v>
      </c>
      <c r="T2390" s="4">
        <v>2</v>
      </c>
      <c r="U2390" s="5" t="s">
        <v>19990</v>
      </c>
      <c r="V2390" s="5" t="s">
        <v>19990</v>
      </c>
      <c r="W2390" s="5" t="s">
        <v>69</v>
      </c>
      <c r="X2390" s="5" t="s">
        <v>69</v>
      </c>
      <c r="Y2390" s="4">
        <v>90</v>
      </c>
      <c r="Z2390" s="4">
        <v>8</v>
      </c>
      <c r="AA2390" s="4">
        <v>94</v>
      </c>
      <c r="AB2390" s="4">
        <v>1</v>
      </c>
      <c r="AC2390" s="4">
        <v>17</v>
      </c>
      <c r="AD2390" s="4">
        <v>52</v>
      </c>
      <c r="AE2390" s="4">
        <v>107</v>
      </c>
      <c r="AF2390" s="4">
        <v>0</v>
      </c>
      <c r="AG2390" s="4">
        <v>8</v>
      </c>
      <c r="AH2390" s="4">
        <v>50</v>
      </c>
      <c r="AI2390" s="4">
        <v>73</v>
      </c>
      <c r="AJ2390" s="4">
        <v>5</v>
      </c>
      <c r="AK2390" s="4">
        <v>20</v>
      </c>
      <c r="AL2390" s="4">
        <v>34</v>
      </c>
      <c r="AM2390" s="4">
        <v>42</v>
      </c>
      <c r="AN2390" s="4">
        <v>0</v>
      </c>
      <c r="AO2390" s="4">
        <v>0</v>
      </c>
      <c r="AP2390" s="4">
        <v>5</v>
      </c>
      <c r="AQ2390" s="4">
        <v>41</v>
      </c>
      <c r="AR2390" s="3" t="s">
        <v>63</v>
      </c>
      <c r="AS2390" s="3" t="s">
        <v>63</v>
      </c>
      <c r="AT2390" s="3" t="s">
        <v>63</v>
      </c>
      <c r="AV2390" s="6" t="str">
        <f>HYPERLINK("http://mcgill.on.worldcat.org/oclc/676723593","Catalog Record")</f>
        <v>Catalog Record</v>
      </c>
      <c r="AW2390" s="6" t="str">
        <f>HYPERLINK("http://www.worldcat.org/oclc/676723593","WorldCat Record")</f>
        <v>WorldCat Record</v>
      </c>
      <c r="AX2390" s="3" t="s">
        <v>19991</v>
      </c>
      <c r="AY2390" s="3" t="s">
        <v>19992</v>
      </c>
      <c r="AZ2390" s="3" t="s">
        <v>19993</v>
      </c>
      <c r="BA2390" s="3" t="s">
        <v>19993</v>
      </c>
      <c r="BB2390" s="3" t="s">
        <v>19994</v>
      </c>
      <c r="BC2390" s="3" t="s">
        <v>82</v>
      </c>
      <c r="BD2390" s="3" t="s">
        <v>538</v>
      </c>
      <c r="BE2390" s="3" t="s">
        <v>19995</v>
      </c>
      <c r="BF2390" s="3" t="s">
        <v>19994</v>
      </c>
      <c r="BG2390" s="3" t="s">
        <v>19996</v>
      </c>
    </row>
    <row r="2391" spans="1:59" ht="60" x14ac:dyDescent="0.25">
      <c r="A2391" s="2" t="s">
        <v>59</v>
      </c>
      <c r="B2391" s="2" t="s">
        <v>60</v>
      </c>
      <c r="C2391" s="2" t="s">
        <v>19997</v>
      </c>
      <c r="D2391" s="2" t="s">
        <v>19998</v>
      </c>
      <c r="E2391" s="2" t="s">
        <v>19999</v>
      </c>
      <c r="G2391" s="3" t="s">
        <v>63</v>
      </c>
      <c r="I2391" s="3" t="s">
        <v>63</v>
      </c>
      <c r="J2391" s="3" t="s">
        <v>63</v>
      </c>
      <c r="K2391" s="3" t="s">
        <v>64</v>
      </c>
      <c r="L2391" s="2" t="s">
        <v>5787</v>
      </c>
      <c r="M2391" s="2" t="s">
        <v>20000</v>
      </c>
      <c r="N2391" s="3" t="s">
        <v>629</v>
      </c>
      <c r="P2391" s="3" t="s">
        <v>90</v>
      </c>
      <c r="R2391" s="3" t="s">
        <v>67</v>
      </c>
      <c r="S2391" s="4">
        <v>0</v>
      </c>
      <c r="T2391" s="4">
        <v>0</v>
      </c>
      <c r="W2391" s="5" t="s">
        <v>69</v>
      </c>
      <c r="X2391" s="5" t="s">
        <v>69</v>
      </c>
      <c r="Y2391" s="4">
        <v>44</v>
      </c>
      <c r="Z2391" s="4">
        <v>6</v>
      </c>
      <c r="AA2391" s="4">
        <v>6</v>
      </c>
      <c r="AB2391" s="4">
        <v>1</v>
      </c>
      <c r="AC2391" s="4">
        <v>1</v>
      </c>
      <c r="AD2391" s="4">
        <v>33</v>
      </c>
      <c r="AE2391" s="4">
        <v>33</v>
      </c>
      <c r="AF2391" s="4">
        <v>0</v>
      </c>
      <c r="AG2391" s="4">
        <v>0</v>
      </c>
      <c r="AH2391" s="4">
        <v>32</v>
      </c>
      <c r="AI2391" s="4">
        <v>32</v>
      </c>
      <c r="AJ2391" s="4">
        <v>4</v>
      </c>
      <c r="AK2391" s="4">
        <v>4</v>
      </c>
      <c r="AL2391" s="4">
        <v>24</v>
      </c>
      <c r="AM2391" s="4">
        <v>24</v>
      </c>
      <c r="AN2391" s="4">
        <v>0</v>
      </c>
      <c r="AO2391" s="4">
        <v>0</v>
      </c>
      <c r="AP2391" s="4">
        <v>4</v>
      </c>
      <c r="AQ2391" s="4">
        <v>4</v>
      </c>
      <c r="AR2391" s="3" t="s">
        <v>63</v>
      </c>
      <c r="AS2391" s="3" t="s">
        <v>63</v>
      </c>
      <c r="AT2391" s="3" t="s">
        <v>63</v>
      </c>
      <c r="AV2391" s="6" t="str">
        <f>HYPERLINK("http://mcgill.on.worldcat.org/oclc/729686278","Catalog Record")</f>
        <v>Catalog Record</v>
      </c>
      <c r="AW2391" s="6" t="str">
        <f>HYPERLINK("http://www.worldcat.org/oclc/729686278","WorldCat Record")</f>
        <v>WorldCat Record</v>
      </c>
      <c r="AX2391" s="3" t="s">
        <v>20001</v>
      </c>
      <c r="AY2391" s="3" t="s">
        <v>20002</v>
      </c>
      <c r="AZ2391" s="3" t="s">
        <v>20003</v>
      </c>
      <c r="BA2391" s="3" t="s">
        <v>20003</v>
      </c>
      <c r="BB2391" s="3" t="s">
        <v>20004</v>
      </c>
      <c r="BC2391" s="3" t="s">
        <v>82</v>
      </c>
      <c r="BD2391" s="3" t="s">
        <v>70</v>
      </c>
      <c r="BE2391" s="3" t="s">
        <v>20005</v>
      </c>
      <c r="BF2391" s="3" t="s">
        <v>20004</v>
      </c>
      <c r="BG2391" s="3" t="s">
        <v>20006</v>
      </c>
    </row>
    <row r="2392" spans="1:59" ht="60" x14ac:dyDescent="0.25">
      <c r="A2392" s="2" t="s">
        <v>59</v>
      </c>
      <c r="B2392" s="2" t="s">
        <v>60</v>
      </c>
      <c r="C2392" s="2" t="s">
        <v>20007</v>
      </c>
      <c r="D2392" s="2" t="s">
        <v>20008</v>
      </c>
      <c r="E2392" s="2" t="s">
        <v>20009</v>
      </c>
      <c r="G2392" s="3" t="s">
        <v>63</v>
      </c>
      <c r="I2392" s="3" t="s">
        <v>63</v>
      </c>
      <c r="J2392" s="3" t="s">
        <v>63</v>
      </c>
      <c r="K2392" s="3" t="s">
        <v>64</v>
      </c>
      <c r="L2392" s="2" t="s">
        <v>20010</v>
      </c>
      <c r="M2392" s="2" t="s">
        <v>20011</v>
      </c>
      <c r="N2392" s="3" t="s">
        <v>1916</v>
      </c>
      <c r="P2392" s="3" t="s">
        <v>90</v>
      </c>
      <c r="Q2392" s="2" t="s">
        <v>20012</v>
      </c>
      <c r="R2392" s="3" t="s">
        <v>67</v>
      </c>
      <c r="S2392" s="4">
        <v>1</v>
      </c>
      <c r="T2392" s="4">
        <v>1</v>
      </c>
      <c r="U2392" s="5" t="s">
        <v>20013</v>
      </c>
      <c r="V2392" s="5" t="s">
        <v>20013</v>
      </c>
      <c r="W2392" s="5" t="s">
        <v>69</v>
      </c>
      <c r="X2392" s="5" t="s">
        <v>69</v>
      </c>
      <c r="Y2392" s="4">
        <v>79</v>
      </c>
      <c r="Z2392" s="4">
        <v>7</v>
      </c>
      <c r="AA2392" s="4">
        <v>8</v>
      </c>
      <c r="AB2392" s="4">
        <v>1</v>
      </c>
      <c r="AC2392" s="4">
        <v>2</v>
      </c>
      <c r="AD2392" s="4">
        <v>43</v>
      </c>
      <c r="AE2392" s="4">
        <v>44</v>
      </c>
      <c r="AF2392" s="4">
        <v>0</v>
      </c>
      <c r="AG2392" s="4">
        <v>1</v>
      </c>
      <c r="AH2392" s="4">
        <v>41</v>
      </c>
      <c r="AI2392" s="4">
        <v>41</v>
      </c>
      <c r="AJ2392" s="4">
        <v>5</v>
      </c>
      <c r="AK2392" s="4">
        <v>6</v>
      </c>
      <c r="AL2392" s="4">
        <v>28</v>
      </c>
      <c r="AM2392" s="4">
        <v>28</v>
      </c>
      <c r="AN2392" s="4">
        <v>0</v>
      </c>
      <c r="AO2392" s="4">
        <v>0</v>
      </c>
      <c r="AP2392" s="4">
        <v>5</v>
      </c>
      <c r="AQ2392" s="4">
        <v>5</v>
      </c>
      <c r="AR2392" s="3" t="s">
        <v>63</v>
      </c>
      <c r="AS2392" s="3" t="s">
        <v>63</v>
      </c>
      <c r="AT2392" s="3" t="s">
        <v>62</v>
      </c>
      <c r="AU2392" s="6" t="str">
        <f>HYPERLINK("http://catalog.hathitrust.org/Record/000484193","HathiTrust Record")</f>
        <v>HathiTrust Record</v>
      </c>
      <c r="AV2392" s="6" t="str">
        <f>HYPERLINK("http://mcgill.on.worldcat.org/oclc/13867551","Catalog Record")</f>
        <v>Catalog Record</v>
      </c>
      <c r="AW2392" s="6" t="str">
        <f>HYPERLINK("http://www.worldcat.org/oclc/13867551","WorldCat Record")</f>
        <v>WorldCat Record</v>
      </c>
      <c r="AX2392" s="3" t="s">
        <v>20014</v>
      </c>
      <c r="AY2392" s="3" t="s">
        <v>20015</v>
      </c>
      <c r="AZ2392" s="3" t="s">
        <v>20016</v>
      </c>
      <c r="BA2392" s="3" t="s">
        <v>20016</v>
      </c>
      <c r="BB2392" s="3" t="s">
        <v>20017</v>
      </c>
      <c r="BC2392" s="3" t="s">
        <v>82</v>
      </c>
      <c r="BD2392" s="3" t="s">
        <v>70</v>
      </c>
      <c r="BF2392" s="3" t="s">
        <v>20017</v>
      </c>
      <c r="BG2392" s="3" t="s">
        <v>20018</v>
      </c>
    </row>
    <row r="2393" spans="1:59" ht="60" x14ac:dyDescent="0.25">
      <c r="A2393" s="2" t="s">
        <v>59</v>
      </c>
      <c r="B2393" s="2" t="s">
        <v>60</v>
      </c>
      <c r="C2393" s="2" t="s">
        <v>20019</v>
      </c>
      <c r="D2393" s="2" t="s">
        <v>20020</v>
      </c>
      <c r="E2393" s="2" t="s">
        <v>20021</v>
      </c>
      <c r="G2393" s="3" t="s">
        <v>63</v>
      </c>
      <c r="I2393" s="3" t="s">
        <v>63</v>
      </c>
      <c r="J2393" s="3" t="s">
        <v>63</v>
      </c>
      <c r="K2393" s="3" t="s">
        <v>64</v>
      </c>
      <c r="L2393" s="2" t="s">
        <v>20010</v>
      </c>
      <c r="M2393" s="2" t="s">
        <v>20022</v>
      </c>
      <c r="N2393" s="3" t="s">
        <v>176</v>
      </c>
      <c r="P2393" s="3" t="s">
        <v>66</v>
      </c>
      <c r="Q2393" s="2" t="s">
        <v>3902</v>
      </c>
      <c r="R2393" s="3" t="s">
        <v>67</v>
      </c>
      <c r="S2393" s="4">
        <v>7</v>
      </c>
      <c r="T2393" s="4">
        <v>7</v>
      </c>
      <c r="U2393" s="5" t="s">
        <v>20013</v>
      </c>
      <c r="V2393" s="5" t="s">
        <v>20013</v>
      </c>
      <c r="W2393" s="5" t="s">
        <v>69</v>
      </c>
      <c r="X2393" s="5" t="s">
        <v>69</v>
      </c>
      <c r="Y2393" s="4">
        <v>189</v>
      </c>
      <c r="Z2393" s="4">
        <v>10</v>
      </c>
      <c r="AA2393" s="4">
        <v>10</v>
      </c>
      <c r="AB2393" s="4">
        <v>1</v>
      </c>
      <c r="AC2393" s="4">
        <v>1</v>
      </c>
      <c r="AD2393" s="4">
        <v>83</v>
      </c>
      <c r="AE2393" s="4">
        <v>83</v>
      </c>
      <c r="AF2393" s="4">
        <v>0</v>
      </c>
      <c r="AG2393" s="4">
        <v>0</v>
      </c>
      <c r="AH2393" s="4">
        <v>80</v>
      </c>
      <c r="AI2393" s="4">
        <v>80</v>
      </c>
      <c r="AJ2393" s="4">
        <v>7</v>
      </c>
      <c r="AK2393" s="4">
        <v>7</v>
      </c>
      <c r="AL2393" s="4">
        <v>47</v>
      </c>
      <c r="AM2393" s="4">
        <v>47</v>
      </c>
      <c r="AN2393" s="4">
        <v>0</v>
      </c>
      <c r="AO2393" s="4">
        <v>0</v>
      </c>
      <c r="AP2393" s="4">
        <v>7</v>
      </c>
      <c r="AQ2393" s="4">
        <v>7</v>
      </c>
      <c r="AR2393" s="3" t="s">
        <v>63</v>
      </c>
      <c r="AS2393" s="3" t="s">
        <v>63</v>
      </c>
      <c r="AT2393" s="3" t="s">
        <v>62</v>
      </c>
      <c r="AU2393" s="6" t="str">
        <f>HYPERLINK("http://catalog.hathitrust.org/Record/003980186","HathiTrust Record")</f>
        <v>HathiTrust Record</v>
      </c>
      <c r="AV2393" s="6" t="str">
        <f>HYPERLINK("http://mcgill.on.worldcat.org/oclc/38270888","Catalog Record")</f>
        <v>Catalog Record</v>
      </c>
      <c r="AW2393" s="6" t="str">
        <f>HYPERLINK("http://www.worldcat.org/oclc/38270888","WorldCat Record")</f>
        <v>WorldCat Record</v>
      </c>
      <c r="AX2393" s="3" t="s">
        <v>20023</v>
      </c>
      <c r="AY2393" s="3" t="s">
        <v>20024</v>
      </c>
      <c r="AZ2393" s="3" t="s">
        <v>20025</v>
      </c>
      <c r="BA2393" s="3" t="s">
        <v>20025</v>
      </c>
      <c r="BB2393" s="3" t="s">
        <v>20026</v>
      </c>
      <c r="BC2393" s="3" t="s">
        <v>82</v>
      </c>
      <c r="BD2393" s="3" t="s">
        <v>70</v>
      </c>
      <c r="BE2393" s="3" t="s">
        <v>20027</v>
      </c>
      <c r="BF2393" s="3" t="s">
        <v>20026</v>
      </c>
      <c r="BG2393" s="3" t="s">
        <v>20028</v>
      </c>
    </row>
    <row r="2394" spans="1:59" ht="60" x14ac:dyDescent="0.25">
      <c r="A2394" s="2" t="s">
        <v>59</v>
      </c>
      <c r="B2394" s="2" t="s">
        <v>60</v>
      </c>
      <c r="C2394" s="2" t="s">
        <v>20029</v>
      </c>
      <c r="D2394" s="2" t="s">
        <v>20030</v>
      </c>
      <c r="E2394" s="2" t="s">
        <v>20031</v>
      </c>
      <c r="G2394" s="3" t="s">
        <v>63</v>
      </c>
      <c r="I2394" s="3" t="s">
        <v>63</v>
      </c>
      <c r="J2394" s="3" t="s">
        <v>63</v>
      </c>
      <c r="K2394" s="3" t="s">
        <v>64</v>
      </c>
      <c r="L2394" s="2" t="s">
        <v>20032</v>
      </c>
      <c r="M2394" s="2" t="s">
        <v>20033</v>
      </c>
      <c r="N2394" s="3" t="s">
        <v>130</v>
      </c>
      <c r="P2394" s="3" t="s">
        <v>90</v>
      </c>
      <c r="Q2394" s="2" t="s">
        <v>6366</v>
      </c>
      <c r="R2394" s="3" t="s">
        <v>67</v>
      </c>
      <c r="S2394" s="4">
        <v>0</v>
      </c>
      <c r="T2394" s="4">
        <v>0</v>
      </c>
      <c r="W2394" s="5" t="s">
        <v>69</v>
      </c>
      <c r="X2394" s="5" t="s">
        <v>69</v>
      </c>
      <c r="Y2394" s="4">
        <v>45</v>
      </c>
      <c r="Z2394" s="4">
        <v>6</v>
      </c>
      <c r="AA2394" s="4">
        <v>6</v>
      </c>
      <c r="AB2394" s="4">
        <v>1</v>
      </c>
      <c r="AC2394" s="4">
        <v>1</v>
      </c>
      <c r="AD2394" s="4">
        <v>35</v>
      </c>
      <c r="AE2394" s="4">
        <v>35</v>
      </c>
      <c r="AF2394" s="4">
        <v>0</v>
      </c>
      <c r="AG2394" s="4">
        <v>0</v>
      </c>
      <c r="AH2394" s="4">
        <v>34</v>
      </c>
      <c r="AI2394" s="4">
        <v>34</v>
      </c>
      <c r="AJ2394" s="4">
        <v>4</v>
      </c>
      <c r="AK2394" s="4">
        <v>4</v>
      </c>
      <c r="AL2394" s="4">
        <v>26</v>
      </c>
      <c r="AM2394" s="4">
        <v>26</v>
      </c>
      <c r="AN2394" s="4">
        <v>0</v>
      </c>
      <c r="AO2394" s="4">
        <v>0</v>
      </c>
      <c r="AP2394" s="4">
        <v>4</v>
      </c>
      <c r="AQ2394" s="4">
        <v>4</v>
      </c>
      <c r="AR2394" s="3" t="s">
        <v>63</v>
      </c>
      <c r="AS2394" s="3" t="s">
        <v>63</v>
      </c>
      <c r="AT2394" s="3" t="s">
        <v>63</v>
      </c>
      <c r="AV2394" s="6" t="str">
        <f>HYPERLINK("http://mcgill.on.worldcat.org/oclc/848020324","Catalog Record")</f>
        <v>Catalog Record</v>
      </c>
      <c r="AW2394" s="6" t="str">
        <f>HYPERLINK("http://www.worldcat.org/oclc/848020324","WorldCat Record")</f>
        <v>WorldCat Record</v>
      </c>
      <c r="AX2394" s="3" t="s">
        <v>20034</v>
      </c>
      <c r="AY2394" s="3" t="s">
        <v>20035</v>
      </c>
      <c r="AZ2394" s="3" t="s">
        <v>20036</v>
      </c>
      <c r="BA2394" s="3" t="s">
        <v>20036</v>
      </c>
      <c r="BB2394" s="3" t="s">
        <v>20037</v>
      </c>
      <c r="BC2394" s="3" t="s">
        <v>82</v>
      </c>
      <c r="BD2394" s="3" t="s">
        <v>70</v>
      </c>
      <c r="BE2394" s="3" t="s">
        <v>20038</v>
      </c>
      <c r="BF2394" s="3" t="s">
        <v>20037</v>
      </c>
      <c r="BG2394" s="3" t="s">
        <v>20039</v>
      </c>
    </row>
    <row r="2395" spans="1:59" ht="60" x14ac:dyDescent="0.25">
      <c r="A2395" s="2" t="s">
        <v>59</v>
      </c>
      <c r="B2395" s="2" t="s">
        <v>60</v>
      </c>
      <c r="C2395" s="2" t="s">
        <v>20040</v>
      </c>
      <c r="D2395" s="2" t="s">
        <v>20041</v>
      </c>
      <c r="E2395" s="2" t="s">
        <v>20042</v>
      </c>
      <c r="G2395" s="3" t="s">
        <v>63</v>
      </c>
      <c r="I2395" s="3" t="s">
        <v>63</v>
      </c>
      <c r="J2395" s="3" t="s">
        <v>63</v>
      </c>
      <c r="K2395" s="3" t="s">
        <v>64</v>
      </c>
      <c r="L2395" s="2" t="s">
        <v>20043</v>
      </c>
      <c r="M2395" s="2" t="s">
        <v>20044</v>
      </c>
      <c r="N2395" s="3" t="s">
        <v>106</v>
      </c>
      <c r="P2395" s="3" t="s">
        <v>90</v>
      </c>
      <c r="Q2395" s="2" t="s">
        <v>20045</v>
      </c>
      <c r="R2395" s="3" t="s">
        <v>67</v>
      </c>
      <c r="S2395" s="4">
        <v>0</v>
      </c>
      <c r="T2395" s="4">
        <v>0</v>
      </c>
      <c r="W2395" s="5" t="s">
        <v>69</v>
      </c>
      <c r="X2395" s="5" t="s">
        <v>69</v>
      </c>
      <c r="Y2395" s="4">
        <v>11</v>
      </c>
      <c r="Z2395" s="4">
        <v>1</v>
      </c>
      <c r="AA2395" s="4">
        <v>1</v>
      </c>
      <c r="AB2395" s="4">
        <v>1</v>
      </c>
      <c r="AC2395" s="4">
        <v>1</v>
      </c>
      <c r="AD2395" s="4">
        <v>9</v>
      </c>
      <c r="AE2395" s="4">
        <v>9</v>
      </c>
      <c r="AF2395" s="4">
        <v>0</v>
      </c>
      <c r="AG2395" s="4">
        <v>0</v>
      </c>
      <c r="AH2395" s="4">
        <v>9</v>
      </c>
      <c r="AI2395" s="4">
        <v>9</v>
      </c>
      <c r="AJ2395" s="4">
        <v>0</v>
      </c>
      <c r="AK2395" s="4">
        <v>0</v>
      </c>
      <c r="AL2395" s="4">
        <v>7</v>
      </c>
      <c r="AM2395" s="4">
        <v>7</v>
      </c>
      <c r="AN2395" s="4">
        <v>0</v>
      </c>
      <c r="AO2395" s="4">
        <v>0</v>
      </c>
      <c r="AP2395" s="4">
        <v>0</v>
      </c>
      <c r="AQ2395" s="4">
        <v>0</v>
      </c>
      <c r="AR2395" s="3" t="s">
        <v>63</v>
      </c>
      <c r="AS2395" s="3" t="s">
        <v>63</v>
      </c>
      <c r="AT2395" s="3" t="s">
        <v>63</v>
      </c>
      <c r="AV2395" s="6" t="str">
        <f>HYPERLINK("http://mcgill.on.worldcat.org/oclc/969349533","Catalog Record")</f>
        <v>Catalog Record</v>
      </c>
      <c r="AW2395" s="6" t="str">
        <f>HYPERLINK("http://www.worldcat.org/oclc/969349533","WorldCat Record")</f>
        <v>WorldCat Record</v>
      </c>
      <c r="AX2395" s="3" t="s">
        <v>20046</v>
      </c>
      <c r="AY2395" s="3" t="s">
        <v>20047</v>
      </c>
      <c r="AZ2395" s="3" t="s">
        <v>20048</v>
      </c>
      <c r="BA2395" s="3" t="s">
        <v>20048</v>
      </c>
      <c r="BB2395" s="3" t="s">
        <v>20049</v>
      </c>
      <c r="BC2395" s="3" t="s">
        <v>82</v>
      </c>
      <c r="BD2395" s="3" t="s">
        <v>70</v>
      </c>
      <c r="BE2395" s="3" t="s">
        <v>20050</v>
      </c>
      <c r="BF2395" s="3" t="s">
        <v>20049</v>
      </c>
      <c r="BG2395" s="3" t="s">
        <v>20051</v>
      </c>
    </row>
    <row r="2396" spans="1:59" ht="60" x14ac:dyDescent="0.25">
      <c r="A2396" s="2" t="s">
        <v>59</v>
      </c>
      <c r="B2396" s="2" t="s">
        <v>60</v>
      </c>
      <c r="C2396" s="2" t="s">
        <v>20052</v>
      </c>
      <c r="D2396" s="2" t="s">
        <v>20053</v>
      </c>
      <c r="E2396" s="2" t="s">
        <v>20054</v>
      </c>
      <c r="G2396" s="3" t="s">
        <v>63</v>
      </c>
      <c r="I2396" s="3" t="s">
        <v>63</v>
      </c>
      <c r="J2396" s="3" t="s">
        <v>63</v>
      </c>
      <c r="K2396" s="3" t="s">
        <v>64</v>
      </c>
      <c r="L2396" s="2" t="s">
        <v>20055</v>
      </c>
      <c r="M2396" s="2" t="s">
        <v>7361</v>
      </c>
      <c r="N2396" s="3" t="s">
        <v>2765</v>
      </c>
      <c r="P2396" s="3" t="s">
        <v>66</v>
      </c>
      <c r="Q2396" s="2" t="s">
        <v>7327</v>
      </c>
      <c r="R2396" s="3" t="s">
        <v>67</v>
      </c>
      <c r="S2396" s="4">
        <v>1</v>
      </c>
      <c r="T2396" s="4">
        <v>1</v>
      </c>
      <c r="U2396" s="5" t="s">
        <v>20056</v>
      </c>
      <c r="V2396" s="5" t="s">
        <v>20056</v>
      </c>
      <c r="W2396" s="5" t="s">
        <v>69</v>
      </c>
      <c r="X2396" s="5" t="s">
        <v>69</v>
      </c>
      <c r="Y2396" s="4">
        <v>131</v>
      </c>
      <c r="Z2396" s="4">
        <v>8</v>
      </c>
      <c r="AA2396" s="4">
        <v>18</v>
      </c>
      <c r="AB2396" s="4">
        <v>1</v>
      </c>
      <c r="AC2396" s="4">
        <v>9</v>
      </c>
      <c r="AD2396" s="4">
        <v>60</v>
      </c>
      <c r="AE2396" s="4">
        <v>72</v>
      </c>
      <c r="AF2396" s="4">
        <v>0</v>
      </c>
      <c r="AG2396" s="4">
        <v>4</v>
      </c>
      <c r="AH2396" s="4">
        <v>56</v>
      </c>
      <c r="AI2396" s="4">
        <v>62</v>
      </c>
      <c r="AJ2396" s="4">
        <v>6</v>
      </c>
      <c r="AK2396" s="4">
        <v>11</v>
      </c>
      <c r="AL2396" s="4">
        <v>39</v>
      </c>
      <c r="AM2396" s="4">
        <v>42</v>
      </c>
      <c r="AN2396" s="4">
        <v>0</v>
      </c>
      <c r="AO2396" s="4">
        <v>0</v>
      </c>
      <c r="AP2396" s="4">
        <v>6</v>
      </c>
      <c r="AQ2396" s="4">
        <v>11</v>
      </c>
      <c r="AR2396" s="3" t="s">
        <v>63</v>
      </c>
      <c r="AS2396" s="3" t="s">
        <v>63</v>
      </c>
      <c r="AT2396" s="3" t="s">
        <v>63</v>
      </c>
      <c r="AV2396" s="6" t="str">
        <f>HYPERLINK("http://mcgill.on.worldcat.org/oclc/898158929","Catalog Record")</f>
        <v>Catalog Record</v>
      </c>
      <c r="AW2396" s="6" t="str">
        <f>HYPERLINK("http://www.worldcat.org/oclc/898158929","WorldCat Record")</f>
        <v>WorldCat Record</v>
      </c>
      <c r="AX2396" s="3" t="s">
        <v>20057</v>
      </c>
      <c r="AY2396" s="3" t="s">
        <v>20058</v>
      </c>
      <c r="AZ2396" s="3" t="s">
        <v>20059</v>
      </c>
      <c r="BA2396" s="3" t="s">
        <v>20059</v>
      </c>
      <c r="BB2396" s="3" t="s">
        <v>20060</v>
      </c>
      <c r="BC2396" s="3" t="s">
        <v>82</v>
      </c>
      <c r="BD2396" s="3" t="s">
        <v>70</v>
      </c>
      <c r="BE2396" s="3" t="s">
        <v>20061</v>
      </c>
      <c r="BF2396" s="3" t="s">
        <v>20060</v>
      </c>
      <c r="BG2396" s="3" t="s">
        <v>20062</v>
      </c>
    </row>
    <row r="2397" spans="1:59" ht="60" x14ac:dyDescent="0.25">
      <c r="A2397" s="2" t="s">
        <v>59</v>
      </c>
      <c r="B2397" s="2" t="s">
        <v>60</v>
      </c>
      <c r="C2397" s="2" t="s">
        <v>20063</v>
      </c>
      <c r="D2397" s="2" t="s">
        <v>20064</v>
      </c>
      <c r="E2397" s="2" t="s">
        <v>20065</v>
      </c>
      <c r="G2397" s="3" t="s">
        <v>63</v>
      </c>
      <c r="I2397" s="3" t="s">
        <v>63</v>
      </c>
      <c r="J2397" s="3" t="s">
        <v>63</v>
      </c>
      <c r="K2397" s="3" t="s">
        <v>64</v>
      </c>
      <c r="L2397" s="2" t="s">
        <v>20066</v>
      </c>
      <c r="M2397" s="2" t="s">
        <v>20067</v>
      </c>
      <c r="N2397" s="3" t="s">
        <v>1418</v>
      </c>
      <c r="O2397" s="2" t="s">
        <v>590</v>
      </c>
      <c r="P2397" s="3" t="s">
        <v>66</v>
      </c>
      <c r="R2397" s="3" t="s">
        <v>67</v>
      </c>
      <c r="S2397" s="4">
        <v>8</v>
      </c>
      <c r="T2397" s="4">
        <v>8</v>
      </c>
      <c r="U2397" s="5" t="s">
        <v>11700</v>
      </c>
      <c r="V2397" s="5" t="s">
        <v>11700</v>
      </c>
      <c r="W2397" s="5" t="s">
        <v>69</v>
      </c>
      <c r="X2397" s="5" t="s">
        <v>69</v>
      </c>
      <c r="Y2397" s="4">
        <v>402</v>
      </c>
      <c r="Z2397" s="4">
        <v>20</v>
      </c>
      <c r="AA2397" s="4">
        <v>20</v>
      </c>
      <c r="AB2397" s="4">
        <v>2</v>
      </c>
      <c r="AC2397" s="4">
        <v>2</v>
      </c>
      <c r="AD2397" s="4">
        <v>92</v>
      </c>
      <c r="AE2397" s="4">
        <v>92</v>
      </c>
      <c r="AF2397" s="4">
        <v>0</v>
      </c>
      <c r="AG2397" s="4">
        <v>0</v>
      </c>
      <c r="AH2397" s="4">
        <v>83</v>
      </c>
      <c r="AI2397" s="4">
        <v>83</v>
      </c>
      <c r="AJ2397" s="4">
        <v>13</v>
      </c>
      <c r="AK2397" s="4">
        <v>13</v>
      </c>
      <c r="AL2397" s="4">
        <v>51</v>
      </c>
      <c r="AM2397" s="4">
        <v>51</v>
      </c>
      <c r="AN2397" s="4">
        <v>0</v>
      </c>
      <c r="AO2397" s="4">
        <v>0</v>
      </c>
      <c r="AP2397" s="4">
        <v>13</v>
      </c>
      <c r="AQ2397" s="4">
        <v>13</v>
      </c>
      <c r="AR2397" s="3" t="s">
        <v>63</v>
      </c>
      <c r="AS2397" s="3" t="s">
        <v>63</v>
      </c>
      <c r="AT2397" s="3" t="s">
        <v>62</v>
      </c>
      <c r="AU2397" s="6" t="str">
        <f>HYPERLINK("http://catalog.hathitrust.org/Record/002884027","HathiTrust Record")</f>
        <v>HathiTrust Record</v>
      </c>
      <c r="AV2397" s="6" t="str">
        <f>HYPERLINK("http://mcgill.on.worldcat.org/oclc/15592503","Catalog Record")</f>
        <v>Catalog Record</v>
      </c>
      <c r="AW2397" s="6" t="str">
        <f>HYPERLINK("http://www.worldcat.org/oclc/15592503","WorldCat Record")</f>
        <v>WorldCat Record</v>
      </c>
      <c r="AX2397" s="3" t="s">
        <v>20068</v>
      </c>
      <c r="AY2397" s="3" t="s">
        <v>20069</v>
      </c>
      <c r="AZ2397" s="3" t="s">
        <v>20070</v>
      </c>
      <c r="BA2397" s="3" t="s">
        <v>20070</v>
      </c>
      <c r="BB2397" s="3" t="s">
        <v>20071</v>
      </c>
      <c r="BC2397" s="3" t="s">
        <v>82</v>
      </c>
      <c r="BD2397" s="3" t="s">
        <v>70</v>
      </c>
      <c r="BE2397" s="3" t="s">
        <v>20072</v>
      </c>
      <c r="BF2397" s="3" t="s">
        <v>20071</v>
      </c>
      <c r="BG2397" s="3" t="s">
        <v>20073</v>
      </c>
    </row>
    <row r="2398" spans="1:59" ht="60" x14ac:dyDescent="0.25">
      <c r="A2398" s="2" t="s">
        <v>59</v>
      </c>
      <c r="B2398" s="2" t="s">
        <v>60</v>
      </c>
      <c r="C2398" s="2" t="s">
        <v>20074</v>
      </c>
      <c r="D2398" s="2" t="s">
        <v>20075</v>
      </c>
      <c r="E2398" s="2" t="s">
        <v>20076</v>
      </c>
      <c r="G2398" s="3" t="s">
        <v>63</v>
      </c>
      <c r="I2398" s="3" t="s">
        <v>63</v>
      </c>
      <c r="J2398" s="3" t="s">
        <v>63</v>
      </c>
      <c r="K2398" s="3" t="s">
        <v>64</v>
      </c>
      <c r="L2398" s="2" t="s">
        <v>20066</v>
      </c>
      <c r="M2398" s="2" t="s">
        <v>20077</v>
      </c>
      <c r="N2398" s="3" t="s">
        <v>313</v>
      </c>
      <c r="P2398" s="3" t="s">
        <v>66</v>
      </c>
      <c r="R2398" s="3" t="s">
        <v>67</v>
      </c>
      <c r="S2398" s="4">
        <v>1</v>
      </c>
      <c r="T2398" s="4">
        <v>1</v>
      </c>
      <c r="U2398" s="5" t="s">
        <v>20078</v>
      </c>
      <c r="V2398" s="5" t="s">
        <v>20078</v>
      </c>
      <c r="W2398" s="5" t="s">
        <v>69</v>
      </c>
      <c r="X2398" s="5" t="s">
        <v>69</v>
      </c>
      <c r="Y2398" s="4">
        <v>4</v>
      </c>
      <c r="Z2398" s="4">
        <v>1</v>
      </c>
      <c r="AA2398" s="4">
        <v>1</v>
      </c>
      <c r="AB2398" s="4">
        <v>1</v>
      </c>
      <c r="AC2398" s="4">
        <v>1</v>
      </c>
      <c r="AD2398" s="4">
        <v>1</v>
      </c>
      <c r="AE2398" s="4">
        <v>1</v>
      </c>
      <c r="AF2398" s="4">
        <v>0</v>
      </c>
      <c r="AG2398" s="4">
        <v>0</v>
      </c>
      <c r="AH2398" s="4">
        <v>1</v>
      </c>
      <c r="AI2398" s="4">
        <v>1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3" t="s">
        <v>63</v>
      </c>
      <c r="AS2398" s="3" t="s">
        <v>63</v>
      </c>
      <c r="AT2398" s="3" t="s">
        <v>63</v>
      </c>
      <c r="AV2398" s="6" t="str">
        <f>HYPERLINK("http://mcgill.on.worldcat.org/oclc/820329338","Catalog Record")</f>
        <v>Catalog Record</v>
      </c>
      <c r="AW2398" s="6" t="str">
        <f>HYPERLINK("http://www.worldcat.org/oclc/820329338","WorldCat Record")</f>
        <v>WorldCat Record</v>
      </c>
      <c r="AX2398" s="3" t="s">
        <v>20079</v>
      </c>
      <c r="AY2398" s="3" t="s">
        <v>20080</v>
      </c>
      <c r="AZ2398" s="3" t="s">
        <v>20081</v>
      </c>
      <c r="BA2398" s="3" t="s">
        <v>20081</v>
      </c>
      <c r="BB2398" s="3" t="s">
        <v>20082</v>
      </c>
      <c r="BC2398" s="3" t="s">
        <v>82</v>
      </c>
      <c r="BD2398" s="3" t="s">
        <v>70</v>
      </c>
      <c r="BE2398" s="3" t="s">
        <v>20083</v>
      </c>
      <c r="BF2398" s="3" t="s">
        <v>20082</v>
      </c>
      <c r="BG2398" s="3" t="s">
        <v>20084</v>
      </c>
    </row>
    <row r="2399" spans="1:59" ht="60" x14ac:dyDescent="0.25">
      <c r="A2399" s="2" t="s">
        <v>59</v>
      </c>
      <c r="B2399" s="2" t="s">
        <v>60</v>
      </c>
      <c r="C2399" s="2" t="s">
        <v>20085</v>
      </c>
      <c r="D2399" s="2" t="s">
        <v>20086</v>
      </c>
      <c r="E2399" s="2" t="s">
        <v>20087</v>
      </c>
      <c r="G2399" s="3" t="s">
        <v>63</v>
      </c>
      <c r="I2399" s="3" t="s">
        <v>62</v>
      </c>
      <c r="J2399" s="3" t="s">
        <v>63</v>
      </c>
      <c r="K2399" s="3" t="s">
        <v>64</v>
      </c>
      <c r="L2399" s="2" t="s">
        <v>20066</v>
      </c>
      <c r="M2399" s="2" t="s">
        <v>20088</v>
      </c>
      <c r="N2399" s="3" t="s">
        <v>11471</v>
      </c>
      <c r="P2399" s="3" t="s">
        <v>66</v>
      </c>
      <c r="R2399" s="3" t="s">
        <v>67</v>
      </c>
      <c r="S2399" s="4">
        <v>4</v>
      </c>
      <c r="T2399" s="4">
        <v>4</v>
      </c>
      <c r="U2399" s="5" t="s">
        <v>11700</v>
      </c>
      <c r="V2399" s="5" t="s">
        <v>11700</v>
      </c>
      <c r="W2399" s="5" t="s">
        <v>69</v>
      </c>
      <c r="X2399" s="5" t="s">
        <v>69</v>
      </c>
      <c r="Y2399" s="4">
        <v>67</v>
      </c>
      <c r="Z2399" s="4">
        <v>7</v>
      </c>
      <c r="AA2399" s="4">
        <v>18</v>
      </c>
      <c r="AB2399" s="4">
        <v>1</v>
      </c>
      <c r="AC2399" s="4">
        <v>1</v>
      </c>
      <c r="AD2399" s="4">
        <v>23</v>
      </c>
      <c r="AE2399" s="4">
        <v>96</v>
      </c>
      <c r="AF2399" s="4">
        <v>0</v>
      </c>
      <c r="AG2399" s="4">
        <v>0</v>
      </c>
      <c r="AH2399" s="4">
        <v>20</v>
      </c>
      <c r="AI2399" s="4">
        <v>86</v>
      </c>
      <c r="AJ2399" s="4">
        <v>4</v>
      </c>
      <c r="AK2399" s="4">
        <v>13</v>
      </c>
      <c r="AL2399" s="4">
        <v>15</v>
      </c>
      <c r="AM2399" s="4">
        <v>56</v>
      </c>
      <c r="AN2399" s="4">
        <v>0</v>
      </c>
      <c r="AO2399" s="4">
        <v>0</v>
      </c>
      <c r="AP2399" s="4">
        <v>4</v>
      </c>
      <c r="AQ2399" s="4">
        <v>15</v>
      </c>
      <c r="AR2399" s="3" t="s">
        <v>63</v>
      </c>
      <c r="AS2399" s="3" t="s">
        <v>62</v>
      </c>
      <c r="AT2399" s="3" t="s">
        <v>63</v>
      </c>
      <c r="AU2399" s="6" t="str">
        <f>HYPERLINK("http://catalog.hathitrust.org/Record/001846694","HathiTrust Record")</f>
        <v>HathiTrust Record</v>
      </c>
      <c r="AV2399" s="6" t="str">
        <f>HYPERLINK("http://mcgill.on.worldcat.org/oclc/10495564","Catalog Record")</f>
        <v>Catalog Record</v>
      </c>
      <c r="AW2399" s="6" t="str">
        <f>HYPERLINK("http://www.worldcat.org/oclc/10495564","WorldCat Record")</f>
        <v>WorldCat Record</v>
      </c>
      <c r="AX2399" s="3" t="s">
        <v>20089</v>
      </c>
      <c r="AY2399" s="3" t="s">
        <v>20090</v>
      </c>
      <c r="AZ2399" s="3" t="s">
        <v>20091</v>
      </c>
      <c r="BA2399" s="3" t="s">
        <v>20091</v>
      </c>
      <c r="BB2399" s="3" t="s">
        <v>20092</v>
      </c>
      <c r="BC2399" s="3" t="s">
        <v>82</v>
      </c>
      <c r="BD2399" s="3" t="s">
        <v>70</v>
      </c>
      <c r="BF2399" s="3" t="s">
        <v>20092</v>
      </c>
      <c r="BG2399" s="3" t="s">
        <v>20093</v>
      </c>
    </row>
    <row r="2400" spans="1:59" ht="60" x14ac:dyDescent="0.25">
      <c r="A2400" s="2" t="s">
        <v>59</v>
      </c>
      <c r="B2400" s="2" t="s">
        <v>60</v>
      </c>
      <c r="C2400" s="2" t="s">
        <v>20085</v>
      </c>
      <c r="D2400" s="2" t="s">
        <v>20086</v>
      </c>
      <c r="E2400" s="2" t="s">
        <v>20087</v>
      </c>
      <c r="G2400" s="3" t="s">
        <v>63</v>
      </c>
      <c r="I2400" s="3" t="s">
        <v>62</v>
      </c>
      <c r="J2400" s="3" t="s">
        <v>63</v>
      </c>
      <c r="K2400" s="3" t="s">
        <v>64</v>
      </c>
      <c r="L2400" s="2" t="s">
        <v>20066</v>
      </c>
      <c r="M2400" s="2" t="s">
        <v>20088</v>
      </c>
      <c r="N2400" s="3" t="s">
        <v>11471</v>
      </c>
      <c r="P2400" s="3" t="s">
        <v>66</v>
      </c>
      <c r="R2400" s="3" t="s">
        <v>67</v>
      </c>
      <c r="S2400" s="4">
        <v>0</v>
      </c>
      <c r="T2400" s="4">
        <v>4</v>
      </c>
      <c r="V2400" s="5" t="s">
        <v>11700</v>
      </c>
      <c r="W2400" s="5" t="s">
        <v>69</v>
      </c>
      <c r="X2400" s="5" t="s">
        <v>69</v>
      </c>
      <c r="Y2400" s="4">
        <v>67</v>
      </c>
      <c r="Z2400" s="4">
        <v>7</v>
      </c>
      <c r="AA2400" s="4">
        <v>18</v>
      </c>
      <c r="AB2400" s="4">
        <v>1</v>
      </c>
      <c r="AC2400" s="4">
        <v>1</v>
      </c>
      <c r="AD2400" s="4">
        <v>23</v>
      </c>
      <c r="AE2400" s="4">
        <v>96</v>
      </c>
      <c r="AF2400" s="4">
        <v>0</v>
      </c>
      <c r="AG2400" s="4">
        <v>0</v>
      </c>
      <c r="AH2400" s="4">
        <v>20</v>
      </c>
      <c r="AI2400" s="4">
        <v>86</v>
      </c>
      <c r="AJ2400" s="4">
        <v>4</v>
      </c>
      <c r="AK2400" s="4">
        <v>13</v>
      </c>
      <c r="AL2400" s="4">
        <v>15</v>
      </c>
      <c r="AM2400" s="4">
        <v>56</v>
      </c>
      <c r="AN2400" s="4">
        <v>0</v>
      </c>
      <c r="AO2400" s="4">
        <v>0</v>
      </c>
      <c r="AP2400" s="4">
        <v>4</v>
      </c>
      <c r="AQ2400" s="4">
        <v>15</v>
      </c>
      <c r="AR2400" s="3" t="s">
        <v>63</v>
      </c>
      <c r="AS2400" s="3" t="s">
        <v>62</v>
      </c>
      <c r="AT2400" s="3" t="s">
        <v>63</v>
      </c>
      <c r="AU2400" s="6" t="str">
        <f>HYPERLINK("http://catalog.hathitrust.org/Record/001846694","HathiTrust Record")</f>
        <v>HathiTrust Record</v>
      </c>
      <c r="AV2400" s="6" t="str">
        <f>HYPERLINK("http://mcgill.on.worldcat.org/oclc/10495564","Catalog Record")</f>
        <v>Catalog Record</v>
      </c>
      <c r="AW2400" s="6" t="str">
        <f>HYPERLINK("http://www.worldcat.org/oclc/10495564","WorldCat Record")</f>
        <v>WorldCat Record</v>
      </c>
      <c r="AX2400" s="3" t="s">
        <v>20089</v>
      </c>
      <c r="AY2400" s="3" t="s">
        <v>20090</v>
      </c>
      <c r="AZ2400" s="3" t="s">
        <v>20091</v>
      </c>
      <c r="BA2400" s="3" t="s">
        <v>20091</v>
      </c>
      <c r="BB2400" s="3" t="s">
        <v>20094</v>
      </c>
      <c r="BC2400" s="3" t="s">
        <v>82</v>
      </c>
      <c r="BD2400" s="3" t="s">
        <v>70</v>
      </c>
      <c r="BF2400" s="3" t="s">
        <v>20094</v>
      </c>
      <c r="BG2400" s="3" t="s">
        <v>20095</v>
      </c>
    </row>
    <row r="2401" spans="1:59" ht="90" x14ac:dyDescent="0.25">
      <c r="A2401" s="2" t="s">
        <v>59</v>
      </c>
      <c r="B2401" s="2" t="s">
        <v>60</v>
      </c>
      <c r="C2401" s="2" t="s">
        <v>20096</v>
      </c>
      <c r="D2401" s="2" t="s">
        <v>20097</v>
      </c>
      <c r="E2401" s="2" t="s">
        <v>20098</v>
      </c>
      <c r="G2401" s="3" t="s">
        <v>63</v>
      </c>
      <c r="I2401" s="3" t="s">
        <v>63</v>
      </c>
      <c r="J2401" s="3" t="s">
        <v>63</v>
      </c>
      <c r="K2401" s="3" t="s">
        <v>64</v>
      </c>
      <c r="L2401" s="2" t="s">
        <v>20066</v>
      </c>
      <c r="M2401" s="2" t="s">
        <v>20099</v>
      </c>
      <c r="N2401" s="3" t="s">
        <v>161</v>
      </c>
      <c r="P2401" s="3" t="s">
        <v>66</v>
      </c>
      <c r="R2401" s="3" t="s">
        <v>67</v>
      </c>
      <c r="S2401" s="4">
        <v>3</v>
      </c>
      <c r="T2401" s="4">
        <v>3</v>
      </c>
      <c r="U2401" s="5" t="s">
        <v>4058</v>
      </c>
      <c r="V2401" s="5" t="s">
        <v>4058</v>
      </c>
      <c r="W2401" s="5" t="s">
        <v>69</v>
      </c>
      <c r="X2401" s="5" t="s">
        <v>69</v>
      </c>
      <c r="Y2401" s="4">
        <v>290</v>
      </c>
      <c r="Z2401" s="4">
        <v>20</v>
      </c>
      <c r="AA2401" s="4">
        <v>21</v>
      </c>
      <c r="AB2401" s="4">
        <v>2</v>
      </c>
      <c r="AC2401" s="4">
        <v>2</v>
      </c>
      <c r="AD2401" s="4">
        <v>83</v>
      </c>
      <c r="AE2401" s="4">
        <v>87</v>
      </c>
      <c r="AF2401" s="4">
        <v>1</v>
      </c>
      <c r="AG2401" s="4">
        <v>1</v>
      </c>
      <c r="AH2401" s="4">
        <v>73</v>
      </c>
      <c r="AI2401" s="4">
        <v>76</v>
      </c>
      <c r="AJ2401" s="4">
        <v>11</v>
      </c>
      <c r="AK2401" s="4">
        <v>12</v>
      </c>
      <c r="AL2401" s="4">
        <v>45</v>
      </c>
      <c r="AM2401" s="4">
        <v>47</v>
      </c>
      <c r="AN2401" s="4">
        <v>0</v>
      </c>
      <c r="AO2401" s="4">
        <v>0</v>
      </c>
      <c r="AP2401" s="4">
        <v>15</v>
      </c>
      <c r="AQ2401" s="4">
        <v>16</v>
      </c>
      <c r="AR2401" s="3" t="s">
        <v>63</v>
      </c>
      <c r="AS2401" s="3" t="s">
        <v>63</v>
      </c>
      <c r="AT2401" s="3" t="s">
        <v>63</v>
      </c>
      <c r="AV2401" s="6" t="str">
        <f>HYPERLINK("http://mcgill.on.worldcat.org/oclc/19674642","Catalog Record")</f>
        <v>Catalog Record</v>
      </c>
      <c r="AW2401" s="6" t="str">
        <f>HYPERLINK("http://www.worldcat.org/oclc/19674642","WorldCat Record")</f>
        <v>WorldCat Record</v>
      </c>
      <c r="AX2401" s="3" t="s">
        <v>20100</v>
      </c>
      <c r="AY2401" s="3" t="s">
        <v>20101</v>
      </c>
      <c r="AZ2401" s="3" t="s">
        <v>20102</v>
      </c>
      <c r="BA2401" s="3" t="s">
        <v>20102</v>
      </c>
      <c r="BB2401" s="3" t="s">
        <v>20103</v>
      </c>
      <c r="BC2401" s="3" t="s">
        <v>82</v>
      </c>
      <c r="BD2401" s="3" t="s">
        <v>70</v>
      </c>
      <c r="BE2401" s="3" t="s">
        <v>20104</v>
      </c>
      <c r="BF2401" s="3" t="s">
        <v>20103</v>
      </c>
      <c r="BG2401" s="3" t="s">
        <v>20105</v>
      </c>
    </row>
    <row r="2402" spans="1:59" ht="60" x14ac:dyDescent="0.25">
      <c r="A2402" s="2" t="s">
        <v>59</v>
      </c>
      <c r="B2402" s="2" t="s">
        <v>60</v>
      </c>
      <c r="C2402" s="2" t="s">
        <v>20106</v>
      </c>
      <c r="D2402" s="2" t="s">
        <v>20107</v>
      </c>
      <c r="E2402" s="2" t="s">
        <v>20108</v>
      </c>
      <c r="G2402" s="3" t="s">
        <v>63</v>
      </c>
      <c r="I2402" s="3" t="s">
        <v>63</v>
      </c>
      <c r="J2402" s="3" t="s">
        <v>63</v>
      </c>
      <c r="K2402" s="3" t="s">
        <v>64</v>
      </c>
      <c r="M2402" s="2" t="s">
        <v>20109</v>
      </c>
      <c r="N2402" s="3" t="s">
        <v>629</v>
      </c>
      <c r="P2402" s="3" t="s">
        <v>90</v>
      </c>
      <c r="R2402" s="3" t="s">
        <v>67</v>
      </c>
      <c r="S2402" s="4">
        <v>0</v>
      </c>
      <c r="T2402" s="4">
        <v>0</v>
      </c>
      <c r="W2402" s="5" t="s">
        <v>69</v>
      </c>
      <c r="X2402" s="5" t="s">
        <v>69</v>
      </c>
      <c r="Y2402" s="4">
        <v>9</v>
      </c>
      <c r="Z2402" s="4">
        <v>3</v>
      </c>
      <c r="AA2402" s="4">
        <v>3</v>
      </c>
      <c r="AB2402" s="4">
        <v>1</v>
      </c>
      <c r="AC2402" s="4">
        <v>1</v>
      </c>
      <c r="AD2402" s="4">
        <v>7</v>
      </c>
      <c r="AE2402" s="4">
        <v>18</v>
      </c>
      <c r="AF2402" s="4">
        <v>0</v>
      </c>
      <c r="AG2402" s="4">
        <v>0</v>
      </c>
      <c r="AH2402" s="4">
        <v>7</v>
      </c>
      <c r="AI2402" s="4">
        <v>17</v>
      </c>
      <c r="AJ2402" s="4">
        <v>1</v>
      </c>
      <c r="AK2402" s="4">
        <v>1</v>
      </c>
      <c r="AL2402" s="4">
        <v>6</v>
      </c>
      <c r="AM2402" s="4">
        <v>16</v>
      </c>
      <c r="AN2402" s="4">
        <v>0</v>
      </c>
      <c r="AO2402" s="4">
        <v>0</v>
      </c>
      <c r="AP2402" s="4">
        <v>1</v>
      </c>
      <c r="AQ2402" s="4">
        <v>1</v>
      </c>
      <c r="AR2402" s="3" t="s">
        <v>63</v>
      </c>
      <c r="AS2402" s="3" t="s">
        <v>63</v>
      </c>
      <c r="AT2402" s="3" t="s">
        <v>63</v>
      </c>
      <c r="AV2402" s="6" t="str">
        <f>HYPERLINK("http://mcgill.on.worldcat.org/oclc/781939132","Catalog Record")</f>
        <v>Catalog Record</v>
      </c>
      <c r="AW2402" s="6" t="str">
        <f>HYPERLINK("http://www.worldcat.org/oclc/781939132","WorldCat Record")</f>
        <v>WorldCat Record</v>
      </c>
      <c r="AX2402" s="3" t="s">
        <v>20110</v>
      </c>
      <c r="AY2402" s="3" t="s">
        <v>20111</v>
      </c>
      <c r="AZ2402" s="3" t="s">
        <v>20112</v>
      </c>
      <c r="BA2402" s="3" t="s">
        <v>20112</v>
      </c>
      <c r="BB2402" s="3" t="s">
        <v>20113</v>
      </c>
      <c r="BC2402" s="3" t="s">
        <v>82</v>
      </c>
      <c r="BD2402" s="3" t="s">
        <v>70</v>
      </c>
      <c r="BE2402" s="3" t="s">
        <v>20114</v>
      </c>
      <c r="BF2402" s="3" t="s">
        <v>20113</v>
      </c>
      <c r="BG2402" s="3" t="s">
        <v>20115</v>
      </c>
    </row>
    <row r="2403" spans="1:59" ht="60" x14ac:dyDescent="0.25">
      <c r="A2403" s="2" t="s">
        <v>59</v>
      </c>
      <c r="B2403" s="2" t="s">
        <v>60</v>
      </c>
      <c r="C2403" s="2" t="s">
        <v>20116</v>
      </c>
      <c r="D2403" s="2" t="s">
        <v>20117</v>
      </c>
      <c r="E2403" s="2" t="s">
        <v>20118</v>
      </c>
      <c r="G2403" s="3" t="s">
        <v>63</v>
      </c>
      <c r="I2403" s="3" t="s">
        <v>63</v>
      </c>
      <c r="J2403" s="3" t="s">
        <v>63</v>
      </c>
      <c r="K2403" s="3" t="s">
        <v>64</v>
      </c>
      <c r="L2403" s="2" t="s">
        <v>20119</v>
      </c>
      <c r="M2403" s="2" t="s">
        <v>20120</v>
      </c>
      <c r="N2403" s="3" t="s">
        <v>20121</v>
      </c>
      <c r="P2403" s="3" t="s">
        <v>66</v>
      </c>
      <c r="R2403" s="3" t="s">
        <v>67</v>
      </c>
      <c r="S2403" s="4">
        <v>5</v>
      </c>
      <c r="T2403" s="4">
        <v>5</v>
      </c>
      <c r="U2403" s="5" t="s">
        <v>20122</v>
      </c>
      <c r="V2403" s="5" t="s">
        <v>20122</v>
      </c>
      <c r="W2403" s="5" t="s">
        <v>69</v>
      </c>
      <c r="X2403" s="5" t="s">
        <v>69</v>
      </c>
      <c r="Y2403" s="4">
        <v>211</v>
      </c>
      <c r="Z2403" s="4">
        <v>6</v>
      </c>
      <c r="AA2403" s="4">
        <v>30</v>
      </c>
      <c r="AB2403" s="4">
        <v>1</v>
      </c>
      <c r="AC2403" s="4">
        <v>4</v>
      </c>
      <c r="AD2403" s="4">
        <v>63</v>
      </c>
      <c r="AE2403" s="4">
        <v>119</v>
      </c>
      <c r="AF2403" s="4">
        <v>0</v>
      </c>
      <c r="AG2403" s="4">
        <v>2</v>
      </c>
      <c r="AH2403" s="4">
        <v>59</v>
      </c>
      <c r="AI2403" s="4">
        <v>103</v>
      </c>
      <c r="AJ2403" s="4">
        <v>4</v>
      </c>
      <c r="AK2403" s="4">
        <v>18</v>
      </c>
      <c r="AL2403" s="4">
        <v>37</v>
      </c>
      <c r="AM2403" s="4">
        <v>57</v>
      </c>
      <c r="AN2403" s="4">
        <v>0</v>
      </c>
      <c r="AO2403" s="4">
        <v>0</v>
      </c>
      <c r="AP2403" s="4">
        <v>5</v>
      </c>
      <c r="AQ2403" s="4">
        <v>23</v>
      </c>
      <c r="AR2403" s="3" t="s">
        <v>63</v>
      </c>
      <c r="AS2403" s="3" t="s">
        <v>63</v>
      </c>
      <c r="AT2403" s="3" t="s">
        <v>63</v>
      </c>
      <c r="AV2403" s="6" t="str">
        <f>HYPERLINK("http://mcgill.on.worldcat.org/oclc/1075055","Catalog Record")</f>
        <v>Catalog Record</v>
      </c>
      <c r="AW2403" s="6" t="str">
        <f>HYPERLINK("http://www.worldcat.org/oclc/1075055","WorldCat Record")</f>
        <v>WorldCat Record</v>
      </c>
      <c r="AX2403" s="3" t="s">
        <v>20123</v>
      </c>
      <c r="AY2403" s="3" t="s">
        <v>20124</v>
      </c>
      <c r="AZ2403" s="3" t="s">
        <v>20125</v>
      </c>
      <c r="BA2403" s="3" t="s">
        <v>20125</v>
      </c>
      <c r="BB2403" s="3" t="s">
        <v>20126</v>
      </c>
      <c r="BC2403" s="3" t="s">
        <v>82</v>
      </c>
      <c r="BD2403" s="3" t="s">
        <v>70</v>
      </c>
      <c r="BF2403" s="3" t="s">
        <v>20126</v>
      </c>
      <c r="BG2403" s="3" t="s">
        <v>20127</v>
      </c>
    </row>
    <row r="2404" spans="1:59" ht="60" x14ac:dyDescent="0.25">
      <c r="A2404" s="2" t="s">
        <v>59</v>
      </c>
      <c r="B2404" s="2" t="s">
        <v>60</v>
      </c>
      <c r="C2404" s="2" t="s">
        <v>20128</v>
      </c>
      <c r="D2404" s="2" t="s">
        <v>20129</v>
      </c>
      <c r="E2404" s="2" t="s">
        <v>20130</v>
      </c>
      <c r="G2404" s="3" t="s">
        <v>63</v>
      </c>
      <c r="I2404" s="3" t="s">
        <v>63</v>
      </c>
      <c r="J2404" s="3" t="s">
        <v>63</v>
      </c>
      <c r="K2404" s="3" t="s">
        <v>64</v>
      </c>
      <c r="L2404" s="2" t="s">
        <v>20131</v>
      </c>
      <c r="M2404" s="2" t="s">
        <v>20132</v>
      </c>
      <c r="N2404" s="3" t="s">
        <v>743</v>
      </c>
      <c r="P2404" s="3" t="s">
        <v>66</v>
      </c>
      <c r="Q2404" s="2" t="s">
        <v>20133</v>
      </c>
      <c r="R2404" s="3" t="s">
        <v>67</v>
      </c>
      <c r="S2404" s="4">
        <v>6</v>
      </c>
      <c r="T2404" s="4">
        <v>6</v>
      </c>
      <c r="U2404" s="5" t="s">
        <v>20078</v>
      </c>
      <c r="V2404" s="5" t="s">
        <v>20078</v>
      </c>
      <c r="W2404" s="5" t="s">
        <v>69</v>
      </c>
      <c r="X2404" s="5" t="s">
        <v>69</v>
      </c>
      <c r="Y2404" s="4">
        <v>130</v>
      </c>
      <c r="Z2404" s="4">
        <v>10</v>
      </c>
      <c r="AA2404" s="4">
        <v>33</v>
      </c>
      <c r="AB2404" s="4">
        <v>1</v>
      </c>
      <c r="AC2404" s="4">
        <v>5</v>
      </c>
      <c r="AD2404" s="4">
        <v>54</v>
      </c>
      <c r="AE2404" s="4">
        <v>117</v>
      </c>
      <c r="AF2404" s="4">
        <v>0</v>
      </c>
      <c r="AG2404" s="4">
        <v>3</v>
      </c>
      <c r="AH2404" s="4">
        <v>47</v>
      </c>
      <c r="AI2404" s="4">
        <v>97</v>
      </c>
      <c r="AJ2404" s="4">
        <v>9</v>
      </c>
      <c r="AK2404" s="4">
        <v>22</v>
      </c>
      <c r="AL2404" s="4">
        <v>29</v>
      </c>
      <c r="AM2404" s="4">
        <v>55</v>
      </c>
      <c r="AN2404" s="4">
        <v>0</v>
      </c>
      <c r="AO2404" s="4">
        <v>0</v>
      </c>
      <c r="AP2404" s="4">
        <v>9</v>
      </c>
      <c r="AQ2404" s="4">
        <v>24</v>
      </c>
      <c r="AR2404" s="3" t="s">
        <v>63</v>
      </c>
      <c r="AS2404" s="3" t="s">
        <v>63</v>
      </c>
      <c r="AT2404" s="3" t="s">
        <v>62</v>
      </c>
      <c r="AU2404" s="6" t="str">
        <f>HYPERLINK("http://catalog.hathitrust.org/Record/000008126","HathiTrust Record")</f>
        <v>HathiTrust Record</v>
      </c>
      <c r="AV2404" s="6" t="str">
        <f>HYPERLINK("http://mcgill.on.worldcat.org/oclc/596494","Catalog Record")</f>
        <v>Catalog Record</v>
      </c>
      <c r="AW2404" s="6" t="str">
        <f>HYPERLINK("http://www.worldcat.org/oclc/596494","WorldCat Record")</f>
        <v>WorldCat Record</v>
      </c>
      <c r="AX2404" s="3" t="s">
        <v>20134</v>
      </c>
      <c r="AY2404" s="3" t="s">
        <v>20135</v>
      </c>
      <c r="AZ2404" s="3" t="s">
        <v>20136</v>
      </c>
      <c r="BA2404" s="3" t="s">
        <v>20136</v>
      </c>
      <c r="BB2404" s="3" t="s">
        <v>20137</v>
      </c>
      <c r="BC2404" s="3" t="s">
        <v>82</v>
      </c>
      <c r="BD2404" s="3" t="s">
        <v>70</v>
      </c>
      <c r="BE2404" s="3" t="s">
        <v>20138</v>
      </c>
      <c r="BF2404" s="3" t="s">
        <v>20137</v>
      </c>
      <c r="BG2404" s="3" t="s">
        <v>20139</v>
      </c>
    </row>
    <row r="2405" spans="1:59" ht="60" x14ac:dyDescent="0.25">
      <c r="A2405" s="2" t="s">
        <v>59</v>
      </c>
      <c r="B2405" s="2" t="s">
        <v>60</v>
      </c>
      <c r="C2405" s="2" t="s">
        <v>20140</v>
      </c>
      <c r="D2405" s="2" t="s">
        <v>20141</v>
      </c>
      <c r="E2405" s="2" t="s">
        <v>20142</v>
      </c>
      <c r="G2405" s="3" t="s">
        <v>63</v>
      </c>
      <c r="I2405" s="3" t="s">
        <v>63</v>
      </c>
      <c r="J2405" s="3" t="s">
        <v>63</v>
      </c>
      <c r="K2405" s="3" t="s">
        <v>64</v>
      </c>
      <c r="L2405" s="2" t="s">
        <v>13881</v>
      </c>
      <c r="M2405" s="2" t="s">
        <v>20143</v>
      </c>
      <c r="N2405" s="3" t="s">
        <v>1296</v>
      </c>
      <c r="P2405" s="3" t="s">
        <v>66</v>
      </c>
      <c r="R2405" s="3" t="s">
        <v>67</v>
      </c>
      <c r="S2405" s="4">
        <v>11</v>
      </c>
      <c r="T2405" s="4">
        <v>11</v>
      </c>
      <c r="U2405" s="5" t="s">
        <v>20144</v>
      </c>
      <c r="V2405" s="5" t="s">
        <v>20144</v>
      </c>
      <c r="W2405" s="5" t="s">
        <v>69</v>
      </c>
      <c r="X2405" s="5" t="s">
        <v>69</v>
      </c>
      <c r="Y2405" s="4">
        <v>506</v>
      </c>
      <c r="Z2405" s="4">
        <v>29</v>
      </c>
      <c r="AA2405" s="4">
        <v>30</v>
      </c>
      <c r="AB2405" s="4">
        <v>2</v>
      </c>
      <c r="AC2405" s="4">
        <v>2</v>
      </c>
      <c r="AD2405" s="4">
        <v>114</v>
      </c>
      <c r="AE2405" s="4">
        <v>115</v>
      </c>
      <c r="AF2405" s="4">
        <v>1</v>
      </c>
      <c r="AG2405" s="4">
        <v>1</v>
      </c>
      <c r="AH2405" s="4">
        <v>97</v>
      </c>
      <c r="AI2405" s="4">
        <v>98</v>
      </c>
      <c r="AJ2405" s="4">
        <v>17</v>
      </c>
      <c r="AK2405" s="4">
        <v>18</v>
      </c>
      <c r="AL2405" s="4">
        <v>51</v>
      </c>
      <c r="AM2405" s="4">
        <v>51</v>
      </c>
      <c r="AN2405" s="4">
        <v>0</v>
      </c>
      <c r="AO2405" s="4">
        <v>0</v>
      </c>
      <c r="AP2405" s="4">
        <v>22</v>
      </c>
      <c r="AQ2405" s="4">
        <v>23</v>
      </c>
      <c r="AR2405" s="3" t="s">
        <v>63</v>
      </c>
      <c r="AS2405" s="3" t="s">
        <v>63</v>
      </c>
      <c r="AT2405" s="3" t="s">
        <v>62</v>
      </c>
      <c r="AU2405" s="6" t="str">
        <f>HYPERLINK("http://catalog.hathitrust.org/Record/001223848","HathiTrust Record")</f>
        <v>HathiTrust Record</v>
      </c>
      <c r="AV2405" s="6" t="str">
        <f>HYPERLINK("http://mcgill.on.worldcat.org/oclc/68021","Catalog Record")</f>
        <v>Catalog Record</v>
      </c>
      <c r="AW2405" s="6" t="str">
        <f>HYPERLINK("http://www.worldcat.org/oclc/68021","WorldCat Record")</f>
        <v>WorldCat Record</v>
      </c>
      <c r="AX2405" s="3" t="s">
        <v>20145</v>
      </c>
      <c r="AY2405" s="3" t="s">
        <v>20146</v>
      </c>
      <c r="AZ2405" s="3" t="s">
        <v>20147</v>
      </c>
      <c r="BA2405" s="3" t="s">
        <v>20147</v>
      </c>
      <c r="BB2405" s="3" t="s">
        <v>20148</v>
      </c>
      <c r="BC2405" s="3" t="s">
        <v>82</v>
      </c>
      <c r="BD2405" s="3" t="s">
        <v>70</v>
      </c>
      <c r="BE2405" s="3" t="s">
        <v>20149</v>
      </c>
      <c r="BF2405" s="3" t="s">
        <v>20148</v>
      </c>
      <c r="BG2405" s="3" t="s">
        <v>20150</v>
      </c>
    </row>
    <row r="2406" spans="1:59" ht="60" x14ac:dyDescent="0.25">
      <c r="A2406" s="2" t="s">
        <v>59</v>
      </c>
      <c r="B2406" s="2" t="s">
        <v>60</v>
      </c>
      <c r="C2406" s="2" t="s">
        <v>20151</v>
      </c>
      <c r="D2406" s="2" t="s">
        <v>20152</v>
      </c>
      <c r="E2406" s="2" t="s">
        <v>20153</v>
      </c>
      <c r="G2406" s="3" t="s">
        <v>63</v>
      </c>
      <c r="I2406" s="3" t="s">
        <v>63</v>
      </c>
      <c r="J2406" s="3" t="s">
        <v>63</v>
      </c>
      <c r="K2406" s="3" t="s">
        <v>64</v>
      </c>
      <c r="L2406" s="2" t="s">
        <v>4964</v>
      </c>
      <c r="M2406" s="2" t="s">
        <v>20154</v>
      </c>
      <c r="N2406" s="3" t="s">
        <v>668</v>
      </c>
      <c r="P2406" s="3" t="s">
        <v>66</v>
      </c>
      <c r="Q2406" s="2" t="s">
        <v>20155</v>
      </c>
      <c r="R2406" s="3" t="s">
        <v>67</v>
      </c>
      <c r="S2406" s="4">
        <v>5</v>
      </c>
      <c r="T2406" s="4">
        <v>5</v>
      </c>
      <c r="U2406" s="5" t="s">
        <v>20122</v>
      </c>
      <c r="V2406" s="5" t="s">
        <v>20122</v>
      </c>
      <c r="W2406" s="5" t="s">
        <v>69</v>
      </c>
      <c r="X2406" s="5" t="s">
        <v>69</v>
      </c>
      <c r="Y2406" s="4">
        <v>113</v>
      </c>
      <c r="Z2406" s="4">
        <v>12</v>
      </c>
      <c r="AA2406" s="4">
        <v>12</v>
      </c>
      <c r="AB2406" s="4">
        <v>1</v>
      </c>
      <c r="AC2406" s="4">
        <v>1</v>
      </c>
      <c r="AD2406" s="4">
        <v>62</v>
      </c>
      <c r="AE2406" s="4">
        <v>62</v>
      </c>
      <c r="AF2406" s="4">
        <v>0</v>
      </c>
      <c r="AG2406" s="4">
        <v>0</v>
      </c>
      <c r="AH2406" s="4">
        <v>59</v>
      </c>
      <c r="AI2406" s="4">
        <v>59</v>
      </c>
      <c r="AJ2406" s="4">
        <v>10</v>
      </c>
      <c r="AK2406" s="4">
        <v>10</v>
      </c>
      <c r="AL2406" s="4">
        <v>35</v>
      </c>
      <c r="AM2406" s="4">
        <v>35</v>
      </c>
      <c r="AN2406" s="4">
        <v>0</v>
      </c>
      <c r="AO2406" s="4">
        <v>0</v>
      </c>
      <c r="AP2406" s="4">
        <v>10</v>
      </c>
      <c r="AQ2406" s="4">
        <v>10</v>
      </c>
      <c r="AR2406" s="3" t="s">
        <v>63</v>
      </c>
      <c r="AS2406" s="3" t="s">
        <v>63</v>
      </c>
      <c r="AT2406" s="3" t="s">
        <v>62</v>
      </c>
      <c r="AU2406" s="6" t="str">
        <f>HYPERLINK("http://catalog.hathitrust.org/Record/002475732","HathiTrust Record")</f>
        <v>HathiTrust Record</v>
      </c>
      <c r="AV2406" s="6" t="str">
        <f>HYPERLINK("http://mcgill.on.worldcat.org/oclc/23924642","Catalog Record")</f>
        <v>Catalog Record</v>
      </c>
      <c r="AW2406" s="6" t="str">
        <f>HYPERLINK("http://www.worldcat.org/oclc/23924642","WorldCat Record")</f>
        <v>WorldCat Record</v>
      </c>
      <c r="AX2406" s="3" t="s">
        <v>20156</v>
      </c>
      <c r="AY2406" s="3" t="s">
        <v>20157</v>
      </c>
      <c r="AZ2406" s="3" t="s">
        <v>20158</v>
      </c>
      <c r="BA2406" s="3" t="s">
        <v>20158</v>
      </c>
      <c r="BB2406" s="3" t="s">
        <v>20159</v>
      </c>
      <c r="BC2406" s="3" t="s">
        <v>82</v>
      </c>
      <c r="BD2406" s="3" t="s">
        <v>70</v>
      </c>
      <c r="BE2406" s="3" t="s">
        <v>20160</v>
      </c>
      <c r="BF2406" s="3" t="s">
        <v>20159</v>
      </c>
      <c r="BG2406" s="3" t="s">
        <v>20161</v>
      </c>
    </row>
    <row r="2407" spans="1:59" ht="60" x14ac:dyDescent="0.25">
      <c r="A2407" s="2" t="s">
        <v>59</v>
      </c>
      <c r="B2407" s="2" t="s">
        <v>60</v>
      </c>
      <c r="C2407" s="2" t="s">
        <v>20162</v>
      </c>
      <c r="D2407" s="2" t="s">
        <v>20163</v>
      </c>
      <c r="E2407" s="2" t="s">
        <v>20164</v>
      </c>
      <c r="G2407" s="3" t="s">
        <v>63</v>
      </c>
      <c r="I2407" s="3" t="s">
        <v>63</v>
      </c>
      <c r="J2407" s="3" t="s">
        <v>63</v>
      </c>
      <c r="K2407" s="3" t="s">
        <v>64</v>
      </c>
      <c r="L2407" s="2" t="s">
        <v>20165</v>
      </c>
      <c r="M2407" s="2" t="s">
        <v>20166</v>
      </c>
      <c r="N2407" s="3" t="s">
        <v>313</v>
      </c>
      <c r="P2407" s="3" t="s">
        <v>90</v>
      </c>
      <c r="R2407" s="3" t="s">
        <v>67</v>
      </c>
      <c r="S2407" s="4">
        <v>0</v>
      </c>
      <c r="T2407" s="4">
        <v>0</v>
      </c>
      <c r="W2407" s="5" t="s">
        <v>69</v>
      </c>
      <c r="X2407" s="5" t="s">
        <v>69</v>
      </c>
      <c r="Y2407" s="4">
        <v>41</v>
      </c>
      <c r="Z2407" s="4">
        <v>5</v>
      </c>
      <c r="AA2407" s="4">
        <v>5</v>
      </c>
      <c r="AB2407" s="4">
        <v>1</v>
      </c>
      <c r="AC2407" s="4">
        <v>1</v>
      </c>
      <c r="AD2407" s="4">
        <v>29</v>
      </c>
      <c r="AE2407" s="4">
        <v>29</v>
      </c>
      <c r="AF2407" s="4">
        <v>0</v>
      </c>
      <c r="AG2407" s="4">
        <v>0</v>
      </c>
      <c r="AH2407" s="4">
        <v>28</v>
      </c>
      <c r="AI2407" s="4">
        <v>28</v>
      </c>
      <c r="AJ2407" s="4">
        <v>3</v>
      </c>
      <c r="AK2407" s="4">
        <v>3</v>
      </c>
      <c r="AL2407" s="4">
        <v>24</v>
      </c>
      <c r="AM2407" s="4">
        <v>24</v>
      </c>
      <c r="AN2407" s="4">
        <v>0</v>
      </c>
      <c r="AO2407" s="4">
        <v>0</v>
      </c>
      <c r="AP2407" s="4">
        <v>3</v>
      </c>
      <c r="AQ2407" s="4">
        <v>3</v>
      </c>
      <c r="AR2407" s="3" t="s">
        <v>63</v>
      </c>
      <c r="AS2407" s="3" t="s">
        <v>63</v>
      </c>
      <c r="AT2407" s="3" t="s">
        <v>63</v>
      </c>
      <c r="AV2407" s="6" t="str">
        <f>HYPERLINK("http://mcgill.on.worldcat.org/oclc/680644399","Catalog Record")</f>
        <v>Catalog Record</v>
      </c>
      <c r="AW2407" s="6" t="str">
        <f>HYPERLINK("http://www.worldcat.org/oclc/680644399","WorldCat Record")</f>
        <v>WorldCat Record</v>
      </c>
      <c r="AX2407" s="3" t="s">
        <v>20167</v>
      </c>
      <c r="AY2407" s="3" t="s">
        <v>20168</v>
      </c>
      <c r="AZ2407" s="3" t="s">
        <v>20169</v>
      </c>
      <c r="BA2407" s="3" t="s">
        <v>20169</v>
      </c>
      <c r="BB2407" s="3" t="s">
        <v>20170</v>
      </c>
      <c r="BC2407" s="3" t="s">
        <v>82</v>
      </c>
      <c r="BD2407" s="3" t="s">
        <v>70</v>
      </c>
      <c r="BE2407" s="3" t="s">
        <v>20171</v>
      </c>
      <c r="BF2407" s="3" t="s">
        <v>20170</v>
      </c>
      <c r="BG2407" s="3" t="s">
        <v>20172</v>
      </c>
    </row>
    <row r="2408" spans="1:59" ht="75" x14ac:dyDescent="0.25">
      <c r="A2408" s="2" t="s">
        <v>59</v>
      </c>
      <c r="B2408" s="2" t="s">
        <v>60</v>
      </c>
      <c r="C2408" s="2" t="s">
        <v>20173</v>
      </c>
      <c r="D2408" s="2" t="s">
        <v>20174</v>
      </c>
      <c r="E2408" s="2" t="s">
        <v>20175</v>
      </c>
      <c r="G2408" s="3" t="s">
        <v>63</v>
      </c>
      <c r="I2408" s="3" t="s">
        <v>63</v>
      </c>
      <c r="J2408" s="3" t="s">
        <v>63</v>
      </c>
      <c r="K2408" s="3" t="s">
        <v>64</v>
      </c>
      <c r="L2408" s="2" t="s">
        <v>20176</v>
      </c>
      <c r="M2408" s="2" t="s">
        <v>20177</v>
      </c>
      <c r="N2408" s="3" t="s">
        <v>362</v>
      </c>
      <c r="P2408" s="3" t="s">
        <v>66</v>
      </c>
      <c r="R2408" s="3" t="s">
        <v>67</v>
      </c>
      <c r="S2408" s="4">
        <v>7</v>
      </c>
      <c r="T2408" s="4">
        <v>7</v>
      </c>
      <c r="U2408" s="5" t="s">
        <v>20178</v>
      </c>
      <c r="V2408" s="5" t="s">
        <v>20178</v>
      </c>
      <c r="W2408" s="5" t="s">
        <v>69</v>
      </c>
      <c r="X2408" s="5" t="s">
        <v>69</v>
      </c>
      <c r="Y2408" s="4">
        <v>260</v>
      </c>
      <c r="Z2408" s="4">
        <v>11</v>
      </c>
      <c r="AA2408" s="4">
        <v>12</v>
      </c>
      <c r="AB2408" s="4">
        <v>1</v>
      </c>
      <c r="AC2408" s="4">
        <v>2</v>
      </c>
      <c r="AD2408" s="4">
        <v>91</v>
      </c>
      <c r="AE2408" s="4">
        <v>91</v>
      </c>
      <c r="AF2408" s="4">
        <v>0</v>
      </c>
      <c r="AG2408" s="4">
        <v>0</v>
      </c>
      <c r="AH2408" s="4">
        <v>85</v>
      </c>
      <c r="AI2408" s="4">
        <v>85</v>
      </c>
      <c r="AJ2408" s="4">
        <v>7</v>
      </c>
      <c r="AK2408" s="4">
        <v>7</v>
      </c>
      <c r="AL2408" s="4">
        <v>54</v>
      </c>
      <c r="AM2408" s="4">
        <v>54</v>
      </c>
      <c r="AN2408" s="4">
        <v>0</v>
      </c>
      <c r="AO2408" s="4">
        <v>0</v>
      </c>
      <c r="AP2408" s="4">
        <v>7</v>
      </c>
      <c r="AQ2408" s="4">
        <v>7</v>
      </c>
      <c r="AR2408" s="3" t="s">
        <v>63</v>
      </c>
      <c r="AS2408" s="3" t="s">
        <v>63</v>
      </c>
      <c r="AT2408" s="3" t="s">
        <v>62</v>
      </c>
      <c r="AU2408" s="6" t="str">
        <f>HYPERLINK("http://catalog.hathitrust.org/Record/004181204","HathiTrust Record")</f>
        <v>HathiTrust Record</v>
      </c>
      <c r="AV2408" s="6" t="str">
        <f>HYPERLINK("http://mcgill.on.worldcat.org/oclc/45023515","Catalog Record")</f>
        <v>Catalog Record</v>
      </c>
      <c r="AW2408" s="6" t="str">
        <f>HYPERLINK("http://www.worldcat.org/oclc/45023515","WorldCat Record")</f>
        <v>WorldCat Record</v>
      </c>
      <c r="AX2408" s="3" t="s">
        <v>20179</v>
      </c>
      <c r="AY2408" s="3" t="s">
        <v>20180</v>
      </c>
      <c r="AZ2408" s="3" t="s">
        <v>20181</v>
      </c>
      <c r="BA2408" s="3" t="s">
        <v>20181</v>
      </c>
      <c r="BB2408" s="3" t="s">
        <v>20182</v>
      </c>
      <c r="BC2408" s="3" t="s">
        <v>82</v>
      </c>
      <c r="BD2408" s="3" t="s">
        <v>70</v>
      </c>
      <c r="BE2408" s="3" t="s">
        <v>20183</v>
      </c>
      <c r="BF2408" s="3" t="s">
        <v>20182</v>
      </c>
      <c r="BG2408" s="3" t="s">
        <v>20184</v>
      </c>
    </row>
    <row r="2409" spans="1:59" ht="105" x14ac:dyDescent="0.25">
      <c r="A2409" s="2" t="s">
        <v>59</v>
      </c>
      <c r="B2409" s="2" t="s">
        <v>60</v>
      </c>
      <c r="C2409" s="2" t="s">
        <v>20185</v>
      </c>
      <c r="D2409" s="2" t="s">
        <v>20186</v>
      </c>
      <c r="E2409" s="2" t="s">
        <v>20187</v>
      </c>
      <c r="G2409" s="3" t="s">
        <v>63</v>
      </c>
      <c r="I2409" s="3" t="s">
        <v>63</v>
      </c>
      <c r="J2409" s="3" t="s">
        <v>63</v>
      </c>
      <c r="K2409" s="3" t="s">
        <v>64</v>
      </c>
      <c r="M2409" s="2" t="s">
        <v>20188</v>
      </c>
      <c r="N2409" s="3" t="s">
        <v>130</v>
      </c>
      <c r="P2409" s="3" t="s">
        <v>90</v>
      </c>
      <c r="Q2409" s="2" t="s">
        <v>20189</v>
      </c>
      <c r="R2409" s="3" t="s">
        <v>67</v>
      </c>
      <c r="S2409" s="4">
        <v>0</v>
      </c>
      <c r="T2409" s="4">
        <v>0</v>
      </c>
      <c r="W2409" s="5" t="s">
        <v>69</v>
      </c>
      <c r="X2409" s="5" t="s">
        <v>69</v>
      </c>
      <c r="Y2409" s="4">
        <v>32</v>
      </c>
      <c r="Z2409" s="4">
        <v>4</v>
      </c>
      <c r="AA2409" s="4">
        <v>4</v>
      </c>
      <c r="AB2409" s="4">
        <v>1</v>
      </c>
      <c r="AC2409" s="4">
        <v>1</v>
      </c>
      <c r="AD2409" s="4">
        <v>25</v>
      </c>
      <c r="AE2409" s="4">
        <v>25</v>
      </c>
      <c r="AF2409" s="4">
        <v>0</v>
      </c>
      <c r="AG2409" s="4">
        <v>0</v>
      </c>
      <c r="AH2409" s="4">
        <v>24</v>
      </c>
      <c r="AI2409" s="4">
        <v>24</v>
      </c>
      <c r="AJ2409" s="4">
        <v>2</v>
      </c>
      <c r="AK2409" s="4">
        <v>2</v>
      </c>
      <c r="AL2409" s="4">
        <v>20</v>
      </c>
      <c r="AM2409" s="4">
        <v>20</v>
      </c>
      <c r="AN2409" s="4">
        <v>0</v>
      </c>
      <c r="AO2409" s="4">
        <v>0</v>
      </c>
      <c r="AP2409" s="4">
        <v>2</v>
      </c>
      <c r="AQ2409" s="4">
        <v>2</v>
      </c>
      <c r="AR2409" s="3" t="s">
        <v>63</v>
      </c>
      <c r="AS2409" s="3" t="s">
        <v>63</v>
      </c>
      <c r="AT2409" s="3" t="s">
        <v>63</v>
      </c>
      <c r="AV2409" s="6" t="str">
        <f>HYPERLINK("http://mcgill.on.worldcat.org/oclc/872955505","Catalog Record")</f>
        <v>Catalog Record</v>
      </c>
      <c r="AW2409" s="6" t="str">
        <f>HYPERLINK("http://www.worldcat.org/oclc/872955505","WorldCat Record")</f>
        <v>WorldCat Record</v>
      </c>
      <c r="AX2409" s="3" t="s">
        <v>20190</v>
      </c>
      <c r="AY2409" s="3" t="s">
        <v>20191</v>
      </c>
      <c r="AZ2409" s="3" t="s">
        <v>20192</v>
      </c>
      <c r="BA2409" s="3" t="s">
        <v>20192</v>
      </c>
      <c r="BB2409" s="3" t="s">
        <v>20193</v>
      </c>
      <c r="BC2409" s="3" t="s">
        <v>82</v>
      </c>
      <c r="BD2409" s="3" t="s">
        <v>70</v>
      </c>
      <c r="BE2409" s="3" t="s">
        <v>20194</v>
      </c>
      <c r="BF2409" s="3" t="s">
        <v>20193</v>
      </c>
      <c r="BG2409" s="3" t="s">
        <v>20195</v>
      </c>
    </row>
    <row r="2410" spans="1:59" ht="60" x14ac:dyDescent="0.25">
      <c r="A2410" s="2" t="s">
        <v>59</v>
      </c>
      <c r="B2410" s="2" t="s">
        <v>60</v>
      </c>
      <c r="C2410" s="2" t="s">
        <v>20196</v>
      </c>
      <c r="D2410" s="2" t="s">
        <v>20197</v>
      </c>
      <c r="E2410" s="2" t="s">
        <v>20198</v>
      </c>
      <c r="G2410" s="3" t="s">
        <v>63</v>
      </c>
      <c r="I2410" s="3" t="s">
        <v>62</v>
      </c>
      <c r="J2410" s="3" t="s">
        <v>63</v>
      </c>
      <c r="K2410" s="3" t="s">
        <v>64</v>
      </c>
      <c r="L2410" s="2" t="s">
        <v>20199</v>
      </c>
      <c r="M2410" s="2" t="s">
        <v>20200</v>
      </c>
      <c r="N2410" s="3" t="s">
        <v>220</v>
      </c>
      <c r="P2410" s="3" t="s">
        <v>90</v>
      </c>
      <c r="R2410" s="3" t="s">
        <v>67</v>
      </c>
      <c r="S2410" s="4">
        <v>4</v>
      </c>
      <c r="T2410" s="4">
        <v>6</v>
      </c>
      <c r="U2410" s="5" t="s">
        <v>12520</v>
      </c>
      <c r="V2410" s="5" t="s">
        <v>12520</v>
      </c>
      <c r="W2410" s="5" t="s">
        <v>69</v>
      </c>
      <c r="X2410" s="5" t="s">
        <v>69</v>
      </c>
      <c r="Y2410" s="4">
        <v>73</v>
      </c>
      <c r="Z2410" s="4">
        <v>6</v>
      </c>
      <c r="AA2410" s="4">
        <v>6</v>
      </c>
      <c r="AB2410" s="4">
        <v>1</v>
      </c>
      <c r="AC2410" s="4">
        <v>1</v>
      </c>
      <c r="AD2410" s="4">
        <v>47</v>
      </c>
      <c r="AE2410" s="4">
        <v>47</v>
      </c>
      <c r="AF2410" s="4">
        <v>0</v>
      </c>
      <c r="AG2410" s="4">
        <v>0</v>
      </c>
      <c r="AH2410" s="4">
        <v>45</v>
      </c>
      <c r="AI2410" s="4">
        <v>45</v>
      </c>
      <c r="AJ2410" s="4">
        <v>4</v>
      </c>
      <c r="AK2410" s="4">
        <v>4</v>
      </c>
      <c r="AL2410" s="4">
        <v>35</v>
      </c>
      <c r="AM2410" s="4">
        <v>35</v>
      </c>
      <c r="AN2410" s="4">
        <v>0</v>
      </c>
      <c r="AO2410" s="4">
        <v>0</v>
      </c>
      <c r="AP2410" s="4">
        <v>4</v>
      </c>
      <c r="AQ2410" s="4">
        <v>4</v>
      </c>
      <c r="AR2410" s="3" t="s">
        <v>63</v>
      </c>
      <c r="AS2410" s="3" t="s">
        <v>63</v>
      </c>
      <c r="AT2410" s="3" t="s">
        <v>62</v>
      </c>
      <c r="AU2410" s="6" t="str">
        <f>HYPERLINK("http://catalog.hathitrust.org/Record/002916318","HathiTrust Record")</f>
        <v>HathiTrust Record</v>
      </c>
      <c r="AV2410" s="6" t="str">
        <f>HYPERLINK("http://mcgill.on.worldcat.org/oclc/30770208","Catalog Record")</f>
        <v>Catalog Record</v>
      </c>
      <c r="AW2410" s="6" t="str">
        <f>HYPERLINK("http://www.worldcat.org/oclc/30770208","WorldCat Record")</f>
        <v>WorldCat Record</v>
      </c>
      <c r="AX2410" s="3" t="s">
        <v>20201</v>
      </c>
      <c r="AY2410" s="3" t="s">
        <v>20202</v>
      </c>
      <c r="AZ2410" s="3" t="s">
        <v>20203</v>
      </c>
      <c r="BA2410" s="3" t="s">
        <v>20203</v>
      </c>
      <c r="BB2410" s="3" t="s">
        <v>20204</v>
      </c>
      <c r="BC2410" s="3" t="s">
        <v>82</v>
      </c>
      <c r="BD2410" s="3" t="s">
        <v>70</v>
      </c>
      <c r="BE2410" s="3" t="s">
        <v>20205</v>
      </c>
      <c r="BF2410" s="3" t="s">
        <v>20204</v>
      </c>
      <c r="BG2410" s="3" t="s">
        <v>20206</v>
      </c>
    </row>
    <row r="2411" spans="1:59" ht="60" x14ac:dyDescent="0.25">
      <c r="A2411" s="2" t="s">
        <v>59</v>
      </c>
      <c r="B2411" s="2" t="s">
        <v>60</v>
      </c>
      <c r="C2411" s="2" t="s">
        <v>20196</v>
      </c>
      <c r="D2411" s="2" t="s">
        <v>20197</v>
      </c>
      <c r="E2411" s="2" t="s">
        <v>20198</v>
      </c>
      <c r="G2411" s="3" t="s">
        <v>63</v>
      </c>
      <c r="I2411" s="3" t="s">
        <v>62</v>
      </c>
      <c r="J2411" s="3" t="s">
        <v>63</v>
      </c>
      <c r="K2411" s="3" t="s">
        <v>64</v>
      </c>
      <c r="L2411" s="2" t="s">
        <v>20199</v>
      </c>
      <c r="M2411" s="2" t="s">
        <v>20200</v>
      </c>
      <c r="N2411" s="3" t="s">
        <v>220</v>
      </c>
      <c r="P2411" s="3" t="s">
        <v>90</v>
      </c>
      <c r="R2411" s="3" t="s">
        <v>67</v>
      </c>
      <c r="S2411" s="4">
        <v>2</v>
      </c>
      <c r="T2411" s="4">
        <v>6</v>
      </c>
      <c r="U2411" s="5" t="s">
        <v>20207</v>
      </c>
      <c r="V2411" s="5" t="s">
        <v>12520</v>
      </c>
      <c r="W2411" s="5" t="s">
        <v>69</v>
      </c>
      <c r="X2411" s="5" t="s">
        <v>69</v>
      </c>
      <c r="Y2411" s="4">
        <v>73</v>
      </c>
      <c r="Z2411" s="4">
        <v>6</v>
      </c>
      <c r="AA2411" s="4">
        <v>6</v>
      </c>
      <c r="AB2411" s="4">
        <v>1</v>
      </c>
      <c r="AC2411" s="4">
        <v>1</v>
      </c>
      <c r="AD2411" s="4">
        <v>47</v>
      </c>
      <c r="AE2411" s="4">
        <v>47</v>
      </c>
      <c r="AF2411" s="4">
        <v>0</v>
      </c>
      <c r="AG2411" s="4">
        <v>0</v>
      </c>
      <c r="AH2411" s="4">
        <v>45</v>
      </c>
      <c r="AI2411" s="4">
        <v>45</v>
      </c>
      <c r="AJ2411" s="4">
        <v>4</v>
      </c>
      <c r="AK2411" s="4">
        <v>4</v>
      </c>
      <c r="AL2411" s="4">
        <v>35</v>
      </c>
      <c r="AM2411" s="4">
        <v>35</v>
      </c>
      <c r="AN2411" s="4">
        <v>0</v>
      </c>
      <c r="AO2411" s="4">
        <v>0</v>
      </c>
      <c r="AP2411" s="4">
        <v>4</v>
      </c>
      <c r="AQ2411" s="4">
        <v>4</v>
      </c>
      <c r="AR2411" s="3" t="s">
        <v>63</v>
      </c>
      <c r="AS2411" s="3" t="s">
        <v>63</v>
      </c>
      <c r="AT2411" s="3" t="s">
        <v>62</v>
      </c>
      <c r="AU2411" s="6" t="str">
        <f>HYPERLINK("http://catalog.hathitrust.org/Record/002916318","HathiTrust Record")</f>
        <v>HathiTrust Record</v>
      </c>
      <c r="AV2411" s="6" t="str">
        <f>HYPERLINK("http://mcgill.on.worldcat.org/oclc/30770208","Catalog Record")</f>
        <v>Catalog Record</v>
      </c>
      <c r="AW2411" s="6" t="str">
        <f>HYPERLINK("http://www.worldcat.org/oclc/30770208","WorldCat Record")</f>
        <v>WorldCat Record</v>
      </c>
      <c r="AX2411" s="3" t="s">
        <v>20201</v>
      </c>
      <c r="AY2411" s="3" t="s">
        <v>20202</v>
      </c>
      <c r="AZ2411" s="3" t="s">
        <v>20203</v>
      </c>
      <c r="BA2411" s="3" t="s">
        <v>20203</v>
      </c>
      <c r="BB2411" s="3" t="s">
        <v>20208</v>
      </c>
      <c r="BC2411" s="3" t="s">
        <v>82</v>
      </c>
      <c r="BD2411" s="3" t="s">
        <v>70</v>
      </c>
      <c r="BE2411" s="3" t="s">
        <v>20205</v>
      </c>
      <c r="BF2411" s="3" t="s">
        <v>20208</v>
      </c>
      <c r="BG2411" s="3" t="s">
        <v>20209</v>
      </c>
    </row>
    <row r="2412" spans="1:59" ht="60" x14ac:dyDescent="0.25">
      <c r="A2412" s="2" t="s">
        <v>59</v>
      </c>
      <c r="B2412" s="2" t="s">
        <v>60</v>
      </c>
      <c r="C2412" s="2" t="s">
        <v>20210</v>
      </c>
      <c r="D2412" s="2" t="s">
        <v>20211</v>
      </c>
      <c r="E2412" s="2" t="s">
        <v>20212</v>
      </c>
      <c r="G2412" s="3" t="s">
        <v>63</v>
      </c>
      <c r="I2412" s="3" t="s">
        <v>63</v>
      </c>
      <c r="J2412" s="3" t="s">
        <v>63</v>
      </c>
      <c r="K2412" s="3" t="s">
        <v>64</v>
      </c>
      <c r="L2412" s="2" t="s">
        <v>20213</v>
      </c>
      <c r="M2412" s="2" t="s">
        <v>20214</v>
      </c>
      <c r="N2412" s="3" t="s">
        <v>731</v>
      </c>
      <c r="P2412" s="3" t="s">
        <v>66</v>
      </c>
      <c r="R2412" s="3" t="s">
        <v>67</v>
      </c>
      <c r="S2412" s="4">
        <v>30</v>
      </c>
      <c r="T2412" s="4">
        <v>30</v>
      </c>
      <c r="U2412" s="5" t="s">
        <v>12520</v>
      </c>
      <c r="V2412" s="5" t="s">
        <v>12520</v>
      </c>
      <c r="W2412" s="5" t="s">
        <v>69</v>
      </c>
      <c r="X2412" s="5" t="s">
        <v>69</v>
      </c>
      <c r="Y2412" s="4">
        <v>377</v>
      </c>
      <c r="Z2412" s="4">
        <v>31</v>
      </c>
      <c r="AA2412" s="4">
        <v>31</v>
      </c>
      <c r="AB2412" s="4">
        <v>2</v>
      </c>
      <c r="AC2412" s="4">
        <v>2</v>
      </c>
      <c r="AD2412" s="4">
        <v>117</v>
      </c>
      <c r="AE2412" s="4">
        <v>117</v>
      </c>
      <c r="AF2412" s="4">
        <v>1</v>
      </c>
      <c r="AG2412" s="4">
        <v>1</v>
      </c>
      <c r="AH2412" s="4">
        <v>100</v>
      </c>
      <c r="AI2412" s="4">
        <v>100</v>
      </c>
      <c r="AJ2412" s="4">
        <v>23</v>
      </c>
      <c r="AK2412" s="4">
        <v>23</v>
      </c>
      <c r="AL2412" s="4">
        <v>56</v>
      </c>
      <c r="AM2412" s="4">
        <v>56</v>
      </c>
      <c r="AN2412" s="4">
        <v>0</v>
      </c>
      <c r="AO2412" s="4">
        <v>0</v>
      </c>
      <c r="AP2412" s="4">
        <v>23</v>
      </c>
      <c r="AQ2412" s="4">
        <v>23</v>
      </c>
      <c r="AR2412" s="3" t="s">
        <v>63</v>
      </c>
      <c r="AS2412" s="3" t="s">
        <v>63</v>
      </c>
      <c r="AT2412" s="3" t="s">
        <v>62</v>
      </c>
      <c r="AU2412" s="6" t="str">
        <f>HYPERLINK("http://catalog.hathitrust.org/Record/000713766","HathiTrust Record")</f>
        <v>HathiTrust Record</v>
      </c>
      <c r="AV2412" s="6" t="str">
        <f>HYPERLINK("http://mcgill.on.worldcat.org/oclc/2931942","Catalog Record")</f>
        <v>Catalog Record</v>
      </c>
      <c r="AW2412" s="6" t="str">
        <f>HYPERLINK("http://www.worldcat.org/oclc/2931942","WorldCat Record")</f>
        <v>WorldCat Record</v>
      </c>
      <c r="AX2412" s="3" t="s">
        <v>20215</v>
      </c>
      <c r="AY2412" s="3" t="s">
        <v>20216</v>
      </c>
      <c r="AZ2412" s="3" t="s">
        <v>20217</v>
      </c>
      <c r="BA2412" s="3" t="s">
        <v>20217</v>
      </c>
      <c r="BB2412" s="3" t="s">
        <v>20218</v>
      </c>
      <c r="BC2412" s="3" t="s">
        <v>82</v>
      </c>
      <c r="BD2412" s="3" t="s">
        <v>70</v>
      </c>
      <c r="BE2412" s="3" t="s">
        <v>20219</v>
      </c>
      <c r="BF2412" s="3" t="s">
        <v>20218</v>
      </c>
      <c r="BG2412" s="3" t="s">
        <v>20220</v>
      </c>
    </row>
    <row r="2413" spans="1:59" ht="90" x14ac:dyDescent="0.25">
      <c r="A2413" s="2" t="s">
        <v>59</v>
      </c>
      <c r="B2413" s="2" t="s">
        <v>60</v>
      </c>
      <c r="C2413" s="2" t="s">
        <v>20221</v>
      </c>
      <c r="D2413" s="2" t="s">
        <v>20222</v>
      </c>
      <c r="E2413" s="2" t="s">
        <v>20223</v>
      </c>
      <c r="G2413" s="3" t="s">
        <v>63</v>
      </c>
      <c r="I2413" s="3" t="s">
        <v>63</v>
      </c>
      <c r="J2413" s="3" t="s">
        <v>63</v>
      </c>
      <c r="K2413" s="3" t="s">
        <v>64</v>
      </c>
      <c r="M2413" s="2" t="s">
        <v>20224</v>
      </c>
      <c r="N2413" s="3" t="s">
        <v>629</v>
      </c>
      <c r="P2413" s="3" t="s">
        <v>90</v>
      </c>
      <c r="Q2413" s="2" t="s">
        <v>20225</v>
      </c>
      <c r="R2413" s="3" t="s">
        <v>67</v>
      </c>
      <c r="S2413" s="4">
        <v>1</v>
      </c>
      <c r="T2413" s="4">
        <v>1</v>
      </c>
      <c r="U2413" s="5" t="s">
        <v>20226</v>
      </c>
      <c r="V2413" s="5" t="s">
        <v>20226</v>
      </c>
      <c r="W2413" s="5" t="s">
        <v>69</v>
      </c>
      <c r="X2413" s="5" t="s">
        <v>69</v>
      </c>
      <c r="Y2413" s="4">
        <v>2</v>
      </c>
      <c r="Z2413" s="4">
        <v>1</v>
      </c>
      <c r="AA2413" s="4">
        <v>1</v>
      </c>
      <c r="AB2413" s="4">
        <v>1</v>
      </c>
      <c r="AC2413" s="4">
        <v>1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3" t="s">
        <v>63</v>
      </c>
      <c r="AS2413" s="3" t="s">
        <v>63</v>
      </c>
      <c r="AT2413" s="3" t="s">
        <v>62</v>
      </c>
      <c r="AU2413" s="6" t="str">
        <f>HYPERLINK("http://catalog.hathitrust.org/Record/005887011","HathiTrust Record")</f>
        <v>HathiTrust Record</v>
      </c>
      <c r="AV2413" s="6" t="str">
        <f>HYPERLINK("http://mcgill.on.worldcat.org/oclc/784553379","Catalog Record")</f>
        <v>Catalog Record</v>
      </c>
      <c r="AW2413" s="6" t="str">
        <f>HYPERLINK("http://www.worldcat.org/oclc/784553379","WorldCat Record")</f>
        <v>WorldCat Record</v>
      </c>
      <c r="AX2413" s="3" t="s">
        <v>20227</v>
      </c>
      <c r="AY2413" s="3" t="s">
        <v>20228</v>
      </c>
      <c r="AZ2413" s="3" t="s">
        <v>20229</v>
      </c>
      <c r="BA2413" s="3" t="s">
        <v>20229</v>
      </c>
      <c r="BB2413" s="3" t="s">
        <v>20230</v>
      </c>
      <c r="BC2413" s="3" t="s">
        <v>82</v>
      </c>
      <c r="BD2413" s="3" t="s">
        <v>70</v>
      </c>
      <c r="BE2413" s="3" t="s">
        <v>20231</v>
      </c>
      <c r="BF2413" s="3" t="s">
        <v>20230</v>
      </c>
      <c r="BG2413" s="3" t="s">
        <v>20232</v>
      </c>
    </row>
    <row r="2414" spans="1:59" ht="60" x14ac:dyDescent="0.25">
      <c r="A2414" s="2" t="s">
        <v>59</v>
      </c>
      <c r="B2414" s="2" t="s">
        <v>60</v>
      </c>
      <c r="C2414" s="2" t="s">
        <v>20233</v>
      </c>
      <c r="D2414" s="2" t="s">
        <v>20234</v>
      </c>
      <c r="E2414" s="2" t="s">
        <v>20235</v>
      </c>
      <c r="G2414" s="3" t="s">
        <v>63</v>
      </c>
      <c r="I2414" s="3" t="s">
        <v>63</v>
      </c>
      <c r="J2414" s="3" t="s">
        <v>63</v>
      </c>
      <c r="K2414" s="3" t="s">
        <v>64</v>
      </c>
      <c r="L2414" s="2" t="s">
        <v>20236</v>
      </c>
      <c r="M2414" s="2" t="s">
        <v>20237</v>
      </c>
      <c r="N2414" s="3" t="s">
        <v>2765</v>
      </c>
      <c r="P2414" s="3" t="s">
        <v>90</v>
      </c>
      <c r="Q2414" s="2" t="s">
        <v>20238</v>
      </c>
      <c r="R2414" s="3" t="s">
        <v>67</v>
      </c>
      <c r="S2414" s="4">
        <v>0</v>
      </c>
      <c r="T2414" s="4">
        <v>0</v>
      </c>
      <c r="W2414" s="5" t="s">
        <v>69</v>
      </c>
      <c r="X2414" s="5" t="s">
        <v>69</v>
      </c>
      <c r="Y2414" s="4">
        <v>19</v>
      </c>
      <c r="Z2414" s="4">
        <v>1</v>
      </c>
      <c r="AA2414" s="4">
        <v>1</v>
      </c>
      <c r="AB2414" s="4">
        <v>1</v>
      </c>
      <c r="AC2414" s="4">
        <v>1</v>
      </c>
      <c r="AD2414" s="4">
        <v>16</v>
      </c>
      <c r="AE2414" s="4">
        <v>16</v>
      </c>
      <c r="AF2414" s="4">
        <v>0</v>
      </c>
      <c r="AG2414" s="4">
        <v>0</v>
      </c>
      <c r="AH2414" s="4">
        <v>16</v>
      </c>
      <c r="AI2414" s="4">
        <v>16</v>
      </c>
      <c r="AJ2414" s="4">
        <v>0</v>
      </c>
      <c r="AK2414" s="4">
        <v>0</v>
      </c>
      <c r="AL2414" s="4">
        <v>11</v>
      </c>
      <c r="AM2414" s="4">
        <v>11</v>
      </c>
      <c r="AN2414" s="4">
        <v>0</v>
      </c>
      <c r="AO2414" s="4">
        <v>0</v>
      </c>
      <c r="AP2414" s="4">
        <v>0</v>
      </c>
      <c r="AQ2414" s="4">
        <v>0</v>
      </c>
      <c r="AR2414" s="3" t="s">
        <v>63</v>
      </c>
      <c r="AS2414" s="3" t="s">
        <v>63</v>
      </c>
      <c r="AT2414" s="3" t="s">
        <v>63</v>
      </c>
      <c r="AV2414" s="6" t="str">
        <f>HYPERLINK("http://mcgill.on.worldcat.org/oclc/927294626","Catalog Record")</f>
        <v>Catalog Record</v>
      </c>
      <c r="AW2414" s="6" t="str">
        <f>HYPERLINK("http://www.worldcat.org/oclc/927294626","WorldCat Record")</f>
        <v>WorldCat Record</v>
      </c>
      <c r="AX2414" s="3" t="s">
        <v>20239</v>
      </c>
      <c r="AY2414" s="3" t="s">
        <v>20240</v>
      </c>
      <c r="AZ2414" s="3" t="s">
        <v>20241</v>
      </c>
      <c r="BA2414" s="3" t="s">
        <v>20241</v>
      </c>
      <c r="BB2414" s="3" t="s">
        <v>20242</v>
      </c>
      <c r="BC2414" s="3" t="s">
        <v>82</v>
      </c>
      <c r="BD2414" s="3" t="s">
        <v>70</v>
      </c>
      <c r="BE2414" s="3" t="s">
        <v>20243</v>
      </c>
      <c r="BF2414" s="3" t="s">
        <v>20242</v>
      </c>
      <c r="BG2414" s="3" t="s">
        <v>20244</v>
      </c>
    </row>
    <row r="2415" spans="1:59" ht="60" x14ac:dyDescent="0.25">
      <c r="A2415" s="2" t="s">
        <v>59</v>
      </c>
      <c r="B2415" s="2" t="s">
        <v>60</v>
      </c>
      <c r="C2415" s="2" t="s">
        <v>20245</v>
      </c>
      <c r="D2415" s="2" t="s">
        <v>20246</v>
      </c>
      <c r="E2415" s="2" t="s">
        <v>20247</v>
      </c>
      <c r="G2415" s="3" t="s">
        <v>63</v>
      </c>
      <c r="I2415" s="3" t="s">
        <v>63</v>
      </c>
      <c r="J2415" s="3" t="s">
        <v>63</v>
      </c>
      <c r="K2415" s="3" t="s">
        <v>64</v>
      </c>
      <c r="L2415" s="2" t="s">
        <v>20248</v>
      </c>
      <c r="M2415" s="2" t="s">
        <v>20249</v>
      </c>
      <c r="N2415" s="3" t="s">
        <v>629</v>
      </c>
      <c r="P2415" s="3" t="s">
        <v>90</v>
      </c>
      <c r="R2415" s="3" t="s">
        <v>67</v>
      </c>
      <c r="S2415" s="4">
        <v>0</v>
      </c>
      <c r="T2415" s="4">
        <v>0</v>
      </c>
      <c r="W2415" s="5" t="s">
        <v>69</v>
      </c>
      <c r="X2415" s="5" t="s">
        <v>69</v>
      </c>
      <c r="Y2415" s="4">
        <v>30</v>
      </c>
      <c r="Z2415" s="4">
        <v>3</v>
      </c>
      <c r="AA2415" s="4">
        <v>3</v>
      </c>
      <c r="AB2415" s="4">
        <v>1</v>
      </c>
      <c r="AC2415" s="4">
        <v>1</v>
      </c>
      <c r="AD2415" s="4">
        <v>19</v>
      </c>
      <c r="AE2415" s="4">
        <v>19</v>
      </c>
      <c r="AF2415" s="4">
        <v>0</v>
      </c>
      <c r="AG2415" s="4">
        <v>0</v>
      </c>
      <c r="AH2415" s="4">
        <v>18</v>
      </c>
      <c r="AI2415" s="4">
        <v>18</v>
      </c>
      <c r="AJ2415" s="4">
        <v>1</v>
      </c>
      <c r="AK2415" s="4">
        <v>1</v>
      </c>
      <c r="AL2415" s="4">
        <v>16</v>
      </c>
      <c r="AM2415" s="4">
        <v>16</v>
      </c>
      <c r="AN2415" s="4">
        <v>0</v>
      </c>
      <c r="AO2415" s="4">
        <v>0</v>
      </c>
      <c r="AP2415" s="4">
        <v>1</v>
      </c>
      <c r="AQ2415" s="4">
        <v>1</v>
      </c>
      <c r="AR2415" s="3" t="s">
        <v>63</v>
      </c>
      <c r="AS2415" s="3" t="s">
        <v>63</v>
      </c>
      <c r="AT2415" s="3" t="s">
        <v>63</v>
      </c>
      <c r="AV2415" s="6" t="str">
        <f>HYPERLINK("http://mcgill.on.worldcat.org/oclc/703356935","Catalog Record")</f>
        <v>Catalog Record</v>
      </c>
      <c r="AW2415" s="6" t="str">
        <f>HYPERLINK("http://www.worldcat.org/oclc/703356935","WorldCat Record")</f>
        <v>WorldCat Record</v>
      </c>
      <c r="AX2415" s="3" t="s">
        <v>20250</v>
      </c>
      <c r="AY2415" s="3" t="s">
        <v>20251</v>
      </c>
      <c r="AZ2415" s="3" t="s">
        <v>20252</v>
      </c>
      <c r="BA2415" s="3" t="s">
        <v>20252</v>
      </c>
      <c r="BB2415" s="3" t="s">
        <v>20253</v>
      </c>
      <c r="BC2415" s="3" t="s">
        <v>82</v>
      </c>
      <c r="BD2415" s="3" t="s">
        <v>70</v>
      </c>
      <c r="BE2415" s="3" t="s">
        <v>20254</v>
      </c>
      <c r="BF2415" s="3" t="s">
        <v>20253</v>
      </c>
      <c r="BG2415" s="3" t="s">
        <v>20255</v>
      </c>
    </row>
    <row r="2416" spans="1:59" ht="60" x14ac:dyDescent="0.25">
      <c r="A2416" s="2" t="s">
        <v>59</v>
      </c>
      <c r="B2416" s="2" t="s">
        <v>60</v>
      </c>
      <c r="C2416" s="2" t="s">
        <v>20256</v>
      </c>
      <c r="D2416" s="2" t="s">
        <v>20257</v>
      </c>
      <c r="E2416" s="2" t="s">
        <v>20258</v>
      </c>
      <c r="G2416" s="3" t="s">
        <v>63</v>
      </c>
      <c r="I2416" s="3" t="s">
        <v>63</v>
      </c>
      <c r="J2416" s="3" t="s">
        <v>63</v>
      </c>
      <c r="K2416" s="3" t="s">
        <v>64</v>
      </c>
      <c r="L2416" s="2" t="s">
        <v>20259</v>
      </c>
      <c r="M2416" s="2" t="s">
        <v>20260</v>
      </c>
      <c r="N2416" s="3" t="s">
        <v>668</v>
      </c>
      <c r="P2416" s="3" t="s">
        <v>90</v>
      </c>
      <c r="R2416" s="3" t="s">
        <v>67</v>
      </c>
      <c r="S2416" s="4">
        <v>11</v>
      </c>
      <c r="T2416" s="4">
        <v>11</v>
      </c>
      <c r="U2416" s="5" t="s">
        <v>13658</v>
      </c>
      <c r="V2416" s="5" t="s">
        <v>13658</v>
      </c>
      <c r="W2416" s="5" t="s">
        <v>69</v>
      </c>
      <c r="X2416" s="5" t="s">
        <v>69</v>
      </c>
      <c r="Y2416" s="4">
        <v>77</v>
      </c>
      <c r="Z2416" s="4">
        <v>6</v>
      </c>
      <c r="AA2416" s="4">
        <v>6</v>
      </c>
      <c r="AB2416" s="4">
        <v>1</v>
      </c>
      <c r="AC2416" s="4">
        <v>1</v>
      </c>
      <c r="AD2416" s="4">
        <v>52</v>
      </c>
      <c r="AE2416" s="4">
        <v>52</v>
      </c>
      <c r="AF2416" s="4">
        <v>0</v>
      </c>
      <c r="AG2416" s="4">
        <v>0</v>
      </c>
      <c r="AH2416" s="4">
        <v>51</v>
      </c>
      <c r="AI2416" s="4">
        <v>51</v>
      </c>
      <c r="AJ2416" s="4">
        <v>4</v>
      </c>
      <c r="AK2416" s="4">
        <v>4</v>
      </c>
      <c r="AL2416" s="4">
        <v>39</v>
      </c>
      <c r="AM2416" s="4">
        <v>39</v>
      </c>
      <c r="AN2416" s="4">
        <v>0</v>
      </c>
      <c r="AO2416" s="4">
        <v>0</v>
      </c>
      <c r="AP2416" s="4">
        <v>4</v>
      </c>
      <c r="AQ2416" s="4">
        <v>4</v>
      </c>
      <c r="AR2416" s="3" t="s">
        <v>63</v>
      </c>
      <c r="AS2416" s="3" t="s">
        <v>63</v>
      </c>
      <c r="AT2416" s="3" t="s">
        <v>62</v>
      </c>
      <c r="AU2416" s="6" t="str">
        <f>HYPERLINK("http://catalog.hathitrust.org/Record/002424594","HathiTrust Record")</f>
        <v>HathiTrust Record</v>
      </c>
      <c r="AV2416" s="6" t="str">
        <f>HYPERLINK("http://mcgill.on.worldcat.org/oclc/24219027","Catalog Record")</f>
        <v>Catalog Record</v>
      </c>
      <c r="AW2416" s="6" t="str">
        <f>HYPERLINK("http://www.worldcat.org/oclc/24219027","WorldCat Record")</f>
        <v>WorldCat Record</v>
      </c>
      <c r="AX2416" s="3" t="s">
        <v>20261</v>
      </c>
      <c r="AY2416" s="3" t="s">
        <v>20262</v>
      </c>
      <c r="AZ2416" s="3" t="s">
        <v>20263</v>
      </c>
      <c r="BA2416" s="3" t="s">
        <v>20263</v>
      </c>
      <c r="BB2416" s="3" t="s">
        <v>20264</v>
      </c>
      <c r="BC2416" s="3" t="s">
        <v>82</v>
      </c>
      <c r="BD2416" s="3" t="s">
        <v>70</v>
      </c>
      <c r="BE2416" s="3" t="s">
        <v>20265</v>
      </c>
      <c r="BF2416" s="3" t="s">
        <v>20264</v>
      </c>
      <c r="BG2416" s="3" t="s">
        <v>20266</v>
      </c>
    </row>
    <row r="2417" spans="1:59" ht="75" x14ac:dyDescent="0.25">
      <c r="A2417" s="2" t="s">
        <v>59</v>
      </c>
      <c r="B2417" s="2" t="s">
        <v>60</v>
      </c>
      <c r="C2417" s="2" t="s">
        <v>20267</v>
      </c>
      <c r="D2417" s="2" t="s">
        <v>20268</v>
      </c>
      <c r="E2417" s="2" t="s">
        <v>20269</v>
      </c>
      <c r="G2417" s="3" t="s">
        <v>63</v>
      </c>
      <c r="I2417" s="3" t="s">
        <v>63</v>
      </c>
      <c r="J2417" s="3" t="s">
        <v>63</v>
      </c>
      <c r="K2417" s="3" t="s">
        <v>64</v>
      </c>
      <c r="L2417" s="2" t="s">
        <v>20270</v>
      </c>
      <c r="M2417" s="2" t="s">
        <v>20271</v>
      </c>
      <c r="N2417" s="3" t="s">
        <v>143</v>
      </c>
      <c r="P2417" s="3" t="s">
        <v>66</v>
      </c>
      <c r="R2417" s="3" t="s">
        <v>67</v>
      </c>
      <c r="S2417" s="4">
        <v>0</v>
      </c>
      <c r="T2417" s="4">
        <v>0</v>
      </c>
      <c r="W2417" s="5" t="s">
        <v>69</v>
      </c>
      <c r="X2417" s="5" t="s">
        <v>69</v>
      </c>
      <c r="Y2417" s="4">
        <v>191</v>
      </c>
      <c r="Z2417" s="4">
        <v>9</v>
      </c>
      <c r="AA2417" s="4">
        <v>11</v>
      </c>
      <c r="AB2417" s="4">
        <v>1</v>
      </c>
      <c r="AC2417" s="4">
        <v>3</v>
      </c>
      <c r="AD2417" s="4">
        <v>49</v>
      </c>
      <c r="AE2417" s="4">
        <v>51</v>
      </c>
      <c r="AF2417" s="4">
        <v>0</v>
      </c>
      <c r="AG2417" s="4">
        <v>0</v>
      </c>
      <c r="AH2417" s="4">
        <v>47</v>
      </c>
      <c r="AI2417" s="4">
        <v>49</v>
      </c>
      <c r="AJ2417" s="4">
        <v>5</v>
      </c>
      <c r="AK2417" s="4">
        <v>5</v>
      </c>
      <c r="AL2417" s="4">
        <v>29</v>
      </c>
      <c r="AM2417" s="4">
        <v>31</v>
      </c>
      <c r="AN2417" s="4">
        <v>0</v>
      </c>
      <c r="AO2417" s="4">
        <v>0</v>
      </c>
      <c r="AP2417" s="4">
        <v>5</v>
      </c>
      <c r="AQ2417" s="4">
        <v>5</v>
      </c>
      <c r="AR2417" s="3" t="s">
        <v>63</v>
      </c>
      <c r="AS2417" s="3" t="s">
        <v>63</v>
      </c>
      <c r="AT2417" s="3" t="s">
        <v>63</v>
      </c>
      <c r="AV2417" s="6" t="str">
        <f>HYPERLINK("http://mcgill.on.worldcat.org/oclc/876291674","Catalog Record")</f>
        <v>Catalog Record</v>
      </c>
      <c r="AW2417" s="6" t="str">
        <f>HYPERLINK("http://www.worldcat.org/oclc/876291674","WorldCat Record")</f>
        <v>WorldCat Record</v>
      </c>
      <c r="AX2417" s="3" t="s">
        <v>20272</v>
      </c>
      <c r="AY2417" s="3" t="s">
        <v>20273</v>
      </c>
      <c r="AZ2417" s="3" t="s">
        <v>20274</v>
      </c>
      <c r="BA2417" s="3" t="s">
        <v>20274</v>
      </c>
      <c r="BB2417" s="3" t="s">
        <v>20275</v>
      </c>
      <c r="BC2417" s="3" t="s">
        <v>82</v>
      </c>
      <c r="BD2417" s="3" t="s">
        <v>70</v>
      </c>
      <c r="BE2417" s="3" t="s">
        <v>20276</v>
      </c>
      <c r="BF2417" s="3" t="s">
        <v>20275</v>
      </c>
      <c r="BG2417" s="3" t="s">
        <v>20277</v>
      </c>
    </row>
    <row r="2418" spans="1:59" ht="90" x14ac:dyDescent="0.25">
      <c r="A2418" s="2" t="s">
        <v>59</v>
      </c>
      <c r="B2418" s="2" t="s">
        <v>60</v>
      </c>
      <c r="C2418" s="2" t="s">
        <v>20278</v>
      </c>
      <c r="D2418" s="2" t="s">
        <v>20279</v>
      </c>
      <c r="E2418" s="2" t="s">
        <v>20280</v>
      </c>
      <c r="G2418" s="3" t="s">
        <v>63</v>
      </c>
      <c r="I2418" s="3" t="s">
        <v>63</v>
      </c>
      <c r="J2418" s="3" t="s">
        <v>63</v>
      </c>
      <c r="K2418" s="3" t="s">
        <v>64</v>
      </c>
      <c r="L2418" s="2" t="s">
        <v>20270</v>
      </c>
      <c r="M2418" s="2" t="s">
        <v>20281</v>
      </c>
      <c r="N2418" s="3" t="s">
        <v>106</v>
      </c>
      <c r="P2418" s="3" t="s">
        <v>66</v>
      </c>
      <c r="R2418" s="3" t="s">
        <v>67</v>
      </c>
      <c r="S2418" s="4">
        <v>0</v>
      </c>
      <c r="T2418" s="4">
        <v>0</v>
      </c>
      <c r="W2418" s="5" t="s">
        <v>69</v>
      </c>
      <c r="X2418" s="5" t="s">
        <v>69</v>
      </c>
      <c r="Y2418" s="4">
        <v>38</v>
      </c>
      <c r="Z2418" s="4">
        <v>6</v>
      </c>
      <c r="AA2418" s="4">
        <v>7</v>
      </c>
      <c r="AB2418" s="4">
        <v>1</v>
      </c>
      <c r="AC2418" s="4">
        <v>2</v>
      </c>
      <c r="AD2418" s="4">
        <v>15</v>
      </c>
      <c r="AE2418" s="4">
        <v>15</v>
      </c>
      <c r="AF2418" s="4">
        <v>0</v>
      </c>
      <c r="AG2418" s="4">
        <v>0</v>
      </c>
      <c r="AH2418" s="4">
        <v>13</v>
      </c>
      <c r="AI2418" s="4">
        <v>13</v>
      </c>
      <c r="AJ2418" s="4">
        <v>3</v>
      </c>
      <c r="AK2418" s="4">
        <v>3</v>
      </c>
      <c r="AL2418" s="4">
        <v>9</v>
      </c>
      <c r="AM2418" s="4">
        <v>9</v>
      </c>
      <c r="AN2418" s="4">
        <v>0</v>
      </c>
      <c r="AO2418" s="4">
        <v>0</v>
      </c>
      <c r="AP2418" s="4">
        <v>3</v>
      </c>
      <c r="AQ2418" s="4">
        <v>3</v>
      </c>
      <c r="AR2418" s="3" t="s">
        <v>63</v>
      </c>
      <c r="AS2418" s="3" t="s">
        <v>63</v>
      </c>
      <c r="AT2418" s="3" t="s">
        <v>63</v>
      </c>
      <c r="AV2418" s="6" t="str">
        <f>HYPERLINK("http://mcgill.on.worldcat.org/oclc/928783185","Catalog Record")</f>
        <v>Catalog Record</v>
      </c>
      <c r="AW2418" s="6" t="str">
        <f>HYPERLINK("http://www.worldcat.org/oclc/928783185","WorldCat Record")</f>
        <v>WorldCat Record</v>
      </c>
      <c r="AX2418" s="3" t="s">
        <v>20282</v>
      </c>
      <c r="AY2418" s="3" t="s">
        <v>20283</v>
      </c>
      <c r="AZ2418" s="3" t="s">
        <v>20284</v>
      </c>
      <c r="BA2418" s="3" t="s">
        <v>20284</v>
      </c>
      <c r="BB2418" s="3" t="s">
        <v>20285</v>
      </c>
      <c r="BC2418" s="3" t="s">
        <v>82</v>
      </c>
      <c r="BD2418" s="3" t="s">
        <v>70</v>
      </c>
      <c r="BE2418" s="3" t="s">
        <v>20286</v>
      </c>
      <c r="BF2418" s="3" t="s">
        <v>20285</v>
      </c>
      <c r="BG2418" s="3" t="s">
        <v>20287</v>
      </c>
    </row>
    <row r="2419" spans="1:59" ht="90" x14ac:dyDescent="0.25">
      <c r="A2419" s="2" t="s">
        <v>59</v>
      </c>
      <c r="B2419" s="2" t="s">
        <v>60</v>
      </c>
      <c r="C2419" s="2" t="s">
        <v>20288</v>
      </c>
      <c r="D2419" s="2" t="s">
        <v>20289</v>
      </c>
      <c r="E2419" s="2" t="s">
        <v>20290</v>
      </c>
      <c r="G2419" s="3" t="s">
        <v>63</v>
      </c>
      <c r="I2419" s="3" t="s">
        <v>63</v>
      </c>
      <c r="J2419" s="3" t="s">
        <v>63</v>
      </c>
      <c r="K2419" s="3" t="s">
        <v>64</v>
      </c>
      <c r="L2419" s="2" t="s">
        <v>20270</v>
      </c>
      <c r="M2419" s="2" t="s">
        <v>20291</v>
      </c>
      <c r="N2419" s="3" t="s">
        <v>106</v>
      </c>
      <c r="P2419" s="3" t="s">
        <v>66</v>
      </c>
      <c r="Q2419" s="2" t="s">
        <v>20292</v>
      </c>
      <c r="R2419" s="3" t="s">
        <v>67</v>
      </c>
      <c r="S2419" s="4">
        <v>2</v>
      </c>
      <c r="T2419" s="4">
        <v>2</v>
      </c>
      <c r="U2419" s="5" t="s">
        <v>18291</v>
      </c>
      <c r="V2419" s="5" t="s">
        <v>18291</v>
      </c>
      <c r="W2419" s="5" t="s">
        <v>69</v>
      </c>
      <c r="X2419" s="5" t="s">
        <v>69</v>
      </c>
      <c r="Y2419" s="4">
        <v>298</v>
      </c>
      <c r="Z2419" s="4">
        <v>14</v>
      </c>
      <c r="AA2419" s="4">
        <v>19</v>
      </c>
      <c r="AB2419" s="4">
        <v>1</v>
      </c>
      <c r="AC2419" s="4">
        <v>4</v>
      </c>
      <c r="AD2419" s="4">
        <v>50</v>
      </c>
      <c r="AE2419" s="4">
        <v>57</v>
      </c>
      <c r="AF2419" s="4">
        <v>0</v>
      </c>
      <c r="AG2419" s="4">
        <v>0</v>
      </c>
      <c r="AH2419" s="4">
        <v>47</v>
      </c>
      <c r="AI2419" s="4">
        <v>53</v>
      </c>
      <c r="AJ2419" s="4">
        <v>5</v>
      </c>
      <c r="AK2419" s="4">
        <v>7</v>
      </c>
      <c r="AL2419" s="4">
        <v>32</v>
      </c>
      <c r="AM2419" s="4">
        <v>37</v>
      </c>
      <c r="AN2419" s="4">
        <v>0</v>
      </c>
      <c r="AO2419" s="4">
        <v>0</v>
      </c>
      <c r="AP2419" s="4">
        <v>5</v>
      </c>
      <c r="AQ2419" s="4">
        <v>7</v>
      </c>
      <c r="AR2419" s="3" t="s">
        <v>63</v>
      </c>
      <c r="AS2419" s="3" t="s">
        <v>63</v>
      </c>
      <c r="AT2419" s="3" t="s">
        <v>63</v>
      </c>
      <c r="AV2419" s="6" t="str">
        <f>HYPERLINK("http://mcgill.on.worldcat.org/oclc/910979688","Catalog Record")</f>
        <v>Catalog Record</v>
      </c>
      <c r="AW2419" s="6" t="str">
        <f>HYPERLINK("http://www.worldcat.org/oclc/910979688","WorldCat Record")</f>
        <v>WorldCat Record</v>
      </c>
      <c r="AX2419" s="3" t="s">
        <v>20293</v>
      </c>
      <c r="AY2419" s="3" t="s">
        <v>20294</v>
      </c>
      <c r="AZ2419" s="3" t="s">
        <v>20295</v>
      </c>
      <c r="BA2419" s="3" t="s">
        <v>20295</v>
      </c>
      <c r="BB2419" s="3" t="s">
        <v>20296</v>
      </c>
      <c r="BC2419" s="3" t="s">
        <v>82</v>
      </c>
      <c r="BD2419" s="3" t="s">
        <v>538</v>
      </c>
      <c r="BE2419" s="3" t="s">
        <v>20297</v>
      </c>
      <c r="BF2419" s="3" t="s">
        <v>20296</v>
      </c>
      <c r="BG2419" s="3" t="s">
        <v>20298</v>
      </c>
    </row>
    <row r="2420" spans="1:59" ht="60" x14ac:dyDescent="0.25">
      <c r="A2420" s="2" t="s">
        <v>59</v>
      </c>
      <c r="B2420" s="2" t="s">
        <v>60</v>
      </c>
      <c r="C2420" s="2" t="s">
        <v>20299</v>
      </c>
      <c r="D2420" s="2" t="s">
        <v>20300</v>
      </c>
      <c r="E2420" s="2" t="s">
        <v>20301</v>
      </c>
      <c r="G2420" s="3" t="s">
        <v>63</v>
      </c>
      <c r="I2420" s="3" t="s">
        <v>63</v>
      </c>
      <c r="J2420" s="3" t="s">
        <v>63</v>
      </c>
      <c r="K2420" s="3" t="s">
        <v>64</v>
      </c>
      <c r="L2420" s="2" t="s">
        <v>14278</v>
      </c>
      <c r="M2420" s="2" t="s">
        <v>20302</v>
      </c>
      <c r="N2420" s="3" t="s">
        <v>1916</v>
      </c>
      <c r="P2420" s="3" t="s">
        <v>66</v>
      </c>
      <c r="R2420" s="3" t="s">
        <v>67</v>
      </c>
      <c r="S2420" s="4">
        <v>28</v>
      </c>
      <c r="T2420" s="4">
        <v>28</v>
      </c>
      <c r="U2420" s="5" t="s">
        <v>15268</v>
      </c>
      <c r="V2420" s="5" t="s">
        <v>15268</v>
      </c>
      <c r="W2420" s="5" t="s">
        <v>69</v>
      </c>
      <c r="X2420" s="5" t="s">
        <v>69</v>
      </c>
      <c r="Y2420" s="4">
        <v>315</v>
      </c>
      <c r="Z2420" s="4">
        <v>21</v>
      </c>
      <c r="AA2420" s="4">
        <v>21</v>
      </c>
      <c r="AB2420" s="4">
        <v>1</v>
      </c>
      <c r="AC2420" s="4">
        <v>1</v>
      </c>
      <c r="AD2420" s="4">
        <v>110</v>
      </c>
      <c r="AE2420" s="4">
        <v>110</v>
      </c>
      <c r="AF2420" s="4">
        <v>0</v>
      </c>
      <c r="AG2420" s="4">
        <v>0</v>
      </c>
      <c r="AH2420" s="4">
        <v>100</v>
      </c>
      <c r="AI2420" s="4">
        <v>100</v>
      </c>
      <c r="AJ2420" s="4">
        <v>16</v>
      </c>
      <c r="AK2420" s="4">
        <v>16</v>
      </c>
      <c r="AL2420" s="4">
        <v>53</v>
      </c>
      <c r="AM2420" s="4">
        <v>53</v>
      </c>
      <c r="AN2420" s="4">
        <v>0</v>
      </c>
      <c r="AO2420" s="4">
        <v>0</v>
      </c>
      <c r="AP2420" s="4">
        <v>18</v>
      </c>
      <c r="AQ2420" s="4">
        <v>18</v>
      </c>
      <c r="AR2420" s="3" t="s">
        <v>63</v>
      </c>
      <c r="AS2420" s="3" t="s">
        <v>63</v>
      </c>
      <c r="AT2420" s="3" t="s">
        <v>63</v>
      </c>
      <c r="AV2420" s="6" t="str">
        <f>HYPERLINK("http://mcgill.on.worldcat.org/oclc/11316385","Catalog Record")</f>
        <v>Catalog Record</v>
      </c>
      <c r="AW2420" s="6" t="str">
        <f>HYPERLINK("http://www.worldcat.org/oclc/11316385","WorldCat Record")</f>
        <v>WorldCat Record</v>
      </c>
      <c r="AX2420" s="3" t="s">
        <v>20303</v>
      </c>
      <c r="AY2420" s="3" t="s">
        <v>20304</v>
      </c>
      <c r="AZ2420" s="3" t="s">
        <v>20305</v>
      </c>
      <c r="BA2420" s="3" t="s">
        <v>20305</v>
      </c>
      <c r="BB2420" s="3" t="s">
        <v>20306</v>
      </c>
      <c r="BC2420" s="3" t="s">
        <v>82</v>
      </c>
      <c r="BD2420" s="3" t="s">
        <v>70</v>
      </c>
      <c r="BE2420" s="3" t="s">
        <v>20307</v>
      </c>
      <c r="BF2420" s="3" t="s">
        <v>20306</v>
      </c>
      <c r="BG2420" s="3" t="s">
        <v>20308</v>
      </c>
    </row>
    <row r="2421" spans="1:59" ht="75" x14ac:dyDescent="0.25">
      <c r="A2421" s="2" t="s">
        <v>59</v>
      </c>
      <c r="B2421" s="2" t="s">
        <v>60</v>
      </c>
      <c r="C2421" s="2" t="s">
        <v>20309</v>
      </c>
      <c r="D2421" s="2" t="s">
        <v>20310</v>
      </c>
      <c r="E2421" s="2" t="s">
        <v>20311</v>
      </c>
      <c r="G2421" s="3" t="s">
        <v>63</v>
      </c>
      <c r="I2421" s="3" t="s">
        <v>63</v>
      </c>
      <c r="J2421" s="3" t="s">
        <v>62</v>
      </c>
      <c r="K2421" s="3" t="s">
        <v>64</v>
      </c>
      <c r="L2421" s="2" t="s">
        <v>14278</v>
      </c>
      <c r="M2421" s="2" t="s">
        <v>20312</v>
      </c>
      <c r="N2421" s="3" t="s">
        <v>401</v>
      </c>
      <c r="P2421" s="3" t="s">
        <v>90</v>
      </c>
      <c r="Q2421" s="2" t="s">
        <v>10296</v>
      </c>
      <c r="R2421" s="3" t="s">
        <v>67</v>
      </c>
      <c r="S2421" s="4">
        <v>8</v>
      </c>
      <c r="T2421" s="4">
        <v>8</v>
      </c>
      <c r="U2421" s="5" t="s">
        <v>20313</v>
      </c>
      <c r="V2421" s="5" t="s">
        <v>20313</v>
      </c>
      <c r="W2421" s="5" t="s">
        <v>69</v>
      </c>
      <c r="X2421" s="5" t="s">
        <v>69</v>
      </c>
      <c r="Y2421" s="4">
        <v>207</v>
      </c>
      <c r="Z2421" s="4">
        <v>13</v>
      </c>
      <c r="AA2421" s="4">
        <v>17</v>
      </c>
      <c r="AB2421" s="4">
        <v>2</v>
      </c>
      <c r="AC2421" s="4">
        <v>2</v>
      </c>
      <c r="AD2421" s="4">
        <v>90</v>
      </c>
      <c r="AE2421" s="4">
        <v>96</v>
      </c>
      <c r="AF2421" s="4">
        <v>1</v>
      </c>
      <c r="AG2421" s="4">
        <v>1</v>
      </c>
      <c r="AH2421" s="4">
        <v>82</v>
      </c>
      <c r="AI2421" s="4">
        <v>87</v>
      </c>
      <c r="AJ2421" s="4">
        <v>12</v>
      </c>
      <c r="AK2421" s="4">
        <v>14</v>
      </c>
      <c r="AL2421" s="4">
        <v>52</v>
      </c>
      <c r="AM2421" s="4">
        <v>57</v>
      </c>
      <c r="AN2421" s="4">
        <v>0</v>
      </c>
      <c r="AO2421" s="4">
        <v>0</v>
      </c>
      <c r="AP2421" s="4">
        <v>12</v>
      </c>
      <c r="AQ2421" s="4">
        <v>14</v>
      </c>
      <c r="AR2421" s="3" t="s">
        <v>63</v>
      </c>
      <c r="AS2421" s="3" t="s">
        <v>63</v>
      </c>
      <c r="AT2421" s="3" t="s">
        <v>62</v>
      </c>
      <c r="AU2421" s="6" t="str">
        <f>HYPERLINK("http://catalog.hathitrust.org/Record/001847235","HathiTrust Record")</f>
        <v>HathiTrust Record</v>
      </c>
      <c r="AV2421" s="6" t="str">
        <f>HYPERLINK("http://mcgill.on.worldcat.org/oclc/2997499","Catalog Record")</f>
        <v>Catalog Record</v>
      </c>
      <c r="AW2421" s="6" t="str">
        <f>HYPERLINK("http://www.worldcat.org/oclc/2997499","WorldCat Record")</f>
        <v>WorldCat Record</v>
      </c>
      <c r="AX2421" s="3" t="s">
        <v>20314</v>
      </c>
      <c r="AY2421" s="3" t="s">
        <v>20315</v>
      </c>
      <c r="AZ2421" s="3" t="s">
        <v>20316</v>
      </c>
      <c r="BA2421" s="3" t="s">
        <v>20316</v>
      </c>
      <c r="BB2421" s="3" t="s">
        <v>20317</v>
      </c>
      <c r="BC2421" s="3" t="s">
        <v>82</v>
      </c>
      <c r="BD2421" s="3" t="s">
        <v>70</v>
      </c>
      <c r="BF2421" s="3" t="s">
        <v>20317</v>
      </c>
      <c r="BG2421" s="3" t="s">
        <v>20318</v>
      </c>
    </row>
    <row r="2422" spans="1:59" ht="60" x14ac:dyDescent="0.25">
      <c r="A2422" s="2" t="s">
        <v>59</v>
      </c>
      <c r="B2422" s="2" t="s">
        <v>60</v>
      </c>
      <c r="C2422" s="2" t="s">
        <v>20319</v>
      </c>
      <c r="D2422" s="2" t="s">
        <v>20320</v>
      </c>
      <c r="E2422" s="2" t="s">
        <v>20321</v>
      </c>
      <c r="G2422" s="3" t="s">
        <v>63</v>
      </c>
      <c r="I2422" s="3" t="s">
        <v>62</v>
      </c>
      <c r="J2422" s="3" t="s">
        <v>63</v>
      </c>
      <c r="K2422" s="3" t="s">
        <v>64</v>
      </c>
      <c r="L2422" s="2" t="s">
        <v>14278</v>
      </c>
      <c r="M2422" s="2" t="s">
        <v>20322</v>
      </c>
      <c r="N2422" s="3" t="s">
        <v>65</v>
      </c>
      <c r="P2422" s="3" t="s">
        <v>66</v>
      </c>
      <c r="Q2422" s="2" t="s">
        <v>20323</v>
      </c>
      <c r="R2422" s="3" t="s">
        <v>67</v>
      </c>
      <c r="S2422" s="4">
        <v>15</v>
      </c>
      <c r="T2422" s="4">
        <v>53</v>
      </c>
      <c r="U2422" s="5" t="s">
        <v>9601</v>
      </c>
      <c r="V2422" s="5" t="s">
        <v>9601</v>
      </c>
      <c r="W2422" s="5" t="s">
        <v>69</v>
      </c>
      <c r="X2422" s="5" t="s">
        <v>69</v>
      </c>
      <c r="Y2422" s="4">
        <v>17</v>
      </c>
      <c r="Z2422" s="4">
        <v>5</v>
      </c>
      <c r="AA2422" s="4">
        <v>14</v>
      </c>
      <c r="AB2422" s="4">
        <v>1</v>
      </c>
      <c r="AC2422" s="4">
        <v>5</v>
      </c>
      <c r="AD2422" s="4">
        <v>8</v>
      </c>
      <c r="AE2422" s="4">
        <v>27</v>
      </c>
      <c r="AF2422" s="4">
        <v>0</v>
      </c>
      <c r="AG2422" s="4">
        <v>1</v>
      </c>
      <c r="AH2422" s="4">
        <v>6</v>
      </c>
      <c r="AI2422" s="4">
        <v>21</v>
      </c>
      <c r="AJ2422" s="4">
        <v>3</v>
      </c>
      <c r="AK2422" s="4">
        <v>4</v>
      </c>
      <c r="AL2422" s="4">
        <v>2</v>
      </c>
      <c r="AM2422" s="4">
        <v>11</v>
      </c>
      <c r="AN2422" s="4">
        <v>0</v>
      </c>
      <c r="AO2422" s="4">
        <v>0</v>
      </c>
      <c r="AP2422" s="4">
        <v>3</v>
      </c>
      <c r="AQ2422" s="4">
        <v>7</v>
      </c>
      <c r="AR2422" s="3" t="s">
        <v>63</v>
      </c>
      <c r="AS2422" s="3" t="s">
        <v>63</v>
      </c>
      <c r="AT2422" s="3" t="s">
        <v>62</v>
      </c>
      <c r="AU2422" s="6" t="str">
        <f>HYPERLINK("http://catalog.hathitrust.org/Record/007114442","HathiTrust Record")</f>
        <v>HathiTrust Record</v>
      </c>
      <c r="AV2422" s="6" t="str">
        <f>HYPERLINK("http://mcgill.on.worldcat.org/oclc/232990641","Catalog Record")</f>
        <v>Catalog Record</v>
      </c>
      <c r="AW2422" s="6" t="str">
        <f>HYPERLINK("http://www.worldcat.org/oclc/232990641","WorldCat Record")</f>
        <v>WorldCat Record</v>
      </c>
      <c r="AX2422" s="3" t="s">
        <v>20324</v>
      </c>
      <c r="AY2422" s="3" t="s">
        <v>20325</v>
      </c>
      <c r="AZ2422" s="3" t="s">
        <v>20326</v>
      </c>
      <c r="BA2422" s="3" t="s">
        <v>20326</v>
      </c>
      <c r="BB2422" s="3" t="s">
        <v>20327</v>
      </c>
      <c r="BC2422" s="3" t="s">
        <v>82</v>
      </c>
      <c r="BD2422" s="3" t="s">
        <v>70</v>
      </c>
      <c r="BE2422" s="3" t="s">
        <v>20328</v>
      </c>
      <c r="BF2422" s="3" t="s">
        <v>20327</v>
      </c>
      <c r="BG2422" s="3" t="s">
        <v>20329</v>
      </c>
    </row>
    <row r="2423" spans="1:59" ht="60" x14ac:dyDescent="0.25">
      <c r="A2423" s="2" t="s">
        <v>59</v>
      </c>
      <c r="B2423" s="2" t="s">
        <v>60</v>
      </c>
      <c r="C2423" s="2" t="s">
        <v>20319</v>
      </c>
      <c r="D2423" s="2" t="s">
        <v>20320</v>
      </c>
      <c r="E2423" s="2" t="s">
        <v>20321</v>
      </c>
      <c r="G2423" s="3" t="s">
        <v>63</v>
      </c>
      <c r="I2423" s="3" t="s">
        <v>62</v>
      </c>
      <c r="J2423" s="3" t="s">
        <v>63</v>
      </c>
      <c r="K2423" s="3" t="s">
        <v>64</v>
      </c>
      <c r="L2423" s="2" t="s">
        <v>14278</v>
      </c>
      <c r="M2423" s="2" t="s">
        <v>20322</v>
      </c>
      <c r="N2423" s="3" t="s">
        <v>65</v>
      </c>
      <c r="P2423" s="3" t="s">
        <v>66</v>
      </c>
      <c r="Q2423" s="2" t="s">
        <v>20323</v>
      </c>
      <c r="R2423" s="3" t="s">
        <v>67</v>
      </c>
      <c r="S2423" s="4">
        <v>38</v>
      </c>
      <c r="T2423" s="4">
        <v>53</v>
      </c>
      <c r="U2423" s="5" t="s">
        <v>20330</v>
      </c>
      <c r="V2423" s="5" t="s">
        <v>9601</v>
      </c>
      <c r="W2423" s="5" t="s">
        <v>69</v>
      </c>
      <c r="X2423" s="5" t="s">
        <v>69</v>
      </c>
      <c r="Y2423" s="4">
        <v>17</v>
      </c>
      <c r="Z2423" s="4">
        <v>5</v>
      </c>
      <c r="AA2423" s="4">
        <v>14</v>
      </c>
      <c r="AB2423" s="4">
        <v>1</v>
      </c>
      <c r="AC2423" s="4">
        <v>5</v>
      </c>
      <c r="AD2423" s="4">
        <v>8</v>
      </c>
      <c r="AE2423" s="4">
        <v>27</v>
      </c>
      <c r="AF2423" s="4">
        <v>0</v>
      </c>
      <c r="AG2423" s="4">
        <v>1</v>
      </c>
      <c r="AH2423" s="4">
        <v>6</v>
      </c>
      <c r="AI2423" s="4">
        <v>21</v>
      </c>
      <c r="AJ2423" s="4">
        <v>3</v>
      </c>
      <c r="AK2423" s="4">
        <v>4</v>
      </c>
      <c r="AL2423" s="4">
        <v>2</v>
      </c>
      <c r="AM2423" s="4">
        <v>11</v>
      </c>
      <c r="AN2423" s="4">
        <v>0</v>
      </c>
      <c r="AO2423" s="4">
        <v>0</v>
      </c>
      <c r="AP2423" s="4">
        <v>3</v>
      </c>
      <c r="AQ2423" s="4">
        <v>7</v>
      </c>
      <c r="AR2423" s="3" t="s">
        <v>63</v>
      </c>
      <c r="AS2423" s="3" t="s">
        <v>63</v>
      </c>
      <c r="AT2423" s="3" t="s">
        <v>62</v>
      </c>
      <c r="AU2423" s="6" t="str">
        <f>HYPERLINK("http://catalog.hathitrust.org/Record/007114442","HathiTrust Record")</f>
        <v>HathiTrust Record</v>
      </c>
      <c r="AV2423" s="6" t="str">
        <f>HYPERLINK("http://mcgill.on.worldcat.org/oclc/232990641","Catalog Record")</f>
        <v>Catalog Record</v>
      </c>
      <c r="AW2423" s="6" t="str">
        <f>HYPERLINK("http://www.worldcat.org/oclc/232990641","WorldCat Record")</f>
        <v>WorldCat Record</v>
      </c>
      <c r="AX2423" s="3" t="s">
        <v>20324</v>
      </c>
      <c r="AY2423" s="3" t="s">
        <v>20325</v>
      </c>
      <c r="AZ2423" s="3" t="s">
        <v>20326</v>
      </c>
      <c r="BA2423" s="3" t="s">
        <v>20326</v>
      </c>
      <c r="BB2423" s="3" t="s">
        <v>20331</v>
      </c>
      <c r="BC2423" s="3" t="s">
        <v>82</v>
      </c>
      <c r="BD2423" s="3" t="s">
        <v>70</v>
      </c>
      <c r="BE2423" s="3" t="s">
        <v>20328</v>
      </c>
      <c r="BF2423" s="3" t="s">
        <v>20331</v>
      </c>
      <c r="BG2423" s="3" t="s">
        <v>20332</v>
      </c>
    </row>
    <row r="2424" spans="1:59" ht="60" x14ac:dyDescent="0.25">
      <c r="A2424" s="2" t="s">
        <v>59</v>
      </c>
      <c r="B2424" s="2" t="s">
        <v>60</v>
      </c>
      <c r="C2424" s="2" t="s">
        <v>20333</v>
      </c>
      <c r="D2424" s="2" t="s">
        <v>20334</v>
      </c>
      <c r="E2424" s="2" t="s">
        <v>20335</v>
      </c>
      <c r="G2424" s="3" t="s">
        <v>63</v>
      </c>
      <c r="I2424" s="3" t="s">
        <v>63</v>
      </c>
      <c r="J2424" s="3" t="s">
        <v>62</v>
      </c>
      <c r="K2424" s="3" t="s">
        <v>64</v>
      </c>
      <c r="L2424" s="2" t="s">
        <v>14278</v>
      </c>
      <c r="M2424" s="2" t="s">
        <v>20336</v>
      </c>
      <c r="N2424" s="3" t="s">
        <v>814</v>
      </c>
      <c r="P2424" s="3" t="s">
        <v>90</v>
      </c>
      <c r="R2424" s="3" t="s">
        <v>67</v>
      </c>
      <c r="S2424" s="4">
        <v>3</v>
      </c>
      <c r="T2424" s="4">
        <v>3</v>
      </c>
      <c r="U2424" s="5" t="s">
        <v>4419</v>
      </c>
      <c r="V2424" s="5" t="s">
        <v>4419</v>
      </c>
      <c r="W2424" s="5" t="s">
        <v>69</v>
      </c>
      <c r="X2424" s="5" t="s">
        <v>69</v>
      </c>
      <c r="Y2424" s="4">
        <v>96</v>
      </c>
      <c r="Z2424" s="4">
        <v>7</v>
      </c>
      <c r="AA2424" s="4">
        <v>18</v>
      </c>
      <c r="AB2424" s="4">
        <v>2</v>
      </c>
      <c r="AC2424" s="4">
        <v>2</v>
      </c>
      <c r="AD2424" s="4">
        <v>48</v>
      </c>
      <c r="AE2424" s="4">
        <v>79</v>
      </c>
      <c r="AF2424" s="4">
        <v>1</v>
      </c>
      <c r="AG2424" s="4">
        <v>1</v>
      </c>
      <c r="AH2424" s="4">
        <v>45</v>
      </c>
      <c r="AI2424" s="4">
        <v>71</v>
      </c>
      <c r="AJ2424" s="4">
        <v>5</v>
      </c>
      <c r="AK2424" s="4">
        <v>10</v>
      </c>
      <c r="AL2424" s="4">
        <v>29</v>
      </c>
      <c r="AM2424" s="4">
        <v>50</v>
      </c>
      <c r="AN2424" s="4">
        <v>0</v>
      </c>
      <c r="AO2424" s="4">
        <v>0</v>
      </c>
      <c r="AP2424" s="4">
        <v>5</v>
      </c>
      <c r="AQ2424" s="4">
        <v>11</v>
      </c>
      <c r="AR2424" s="3" t="s">
        <v>63</v>
      </c>
      <c r="AS2424" s="3" t="s">
        <v>63</v>
      </c>
      <c r="AT2424" s="3" t="s">
        <v>63</v>
      </c>
      <c r="AV2424" s="6" t="str">
        <f>HYPERLINK("http://mcgill.on.worldcat.org/oclc/4693214","Catalog Record")</f>
        <v>Catalog Record</v>
      </c>
      <c r="AW2424" s="6" t="str">
        <f>HYPERLINK("http://www.worldcat.org/oclc/4693214","WorldCat Record")</f>
        <v>WorldCat Record</v>
      </c>
      <c r="AX2424" s="3" t="s">
        <v>20337</v>
      </c>
      <c r="AY2424" s="3" t="s">
        <v>20338</v>
      </c>
      <c r="AZ2424" s="3" t="s">
        <v>20339</v>
      </c>
      <c r="BA2424" s="3" t="s">
        <v>20339</v>
      </c>
      <c r="BB2424" s="3" t="s">
        <v>20340</v>
      </c>
      <c r="BC2424" s="3" t="s">
        <v>82</v>
      </c>
      <c r="BD2424" s="3" t="s">
        <v>70</v>
      </c>
      <c r="BF2424" s="3" t="s">
        <v>20340</v>
      </c>
      <c r="BG2424" s="3" t="s">
        <v>20341</v>
      </c>
    </row>
    <row r="2425" spans="1:59" ht="105" x14ac:dyDescent="0.25">
      <c r="A2425" s="2" t="s">
        <v>59</v>
      </c>
      <c r="B2425" s="2" t="s">
        <v>60</v>
      </c>
      <c r="C2425" s="2" t="s">
        <v>20342</v>
      </c>
      <c r="D2425" s="2" t="s">
        <v>20343</v>
      </c>
      <c r="E2425" s="2" t="s">
        <v>20344</v>
      </c>
      <c r="G2425" s="3" t="s">
        <v>63</v>
      </c>
      <c r="I2425" s="3" t="s">
        <v>62</v>
      </c>
      <c r="J2425" s="3" t="s">
        <v>63</v>
      </c>
      <c r="K2425" s="3" t="s">
        <v>64</v>
      </c>
      <c r="L2425" s="2" t="s">
        <v>14278</v>
      </c>
      <c r="M2425" s="2" t="s">
        <v>20345</v>
      </c>
      <c r="N2425" s="3" t="s">
        <v>668</v>
      </c>
      <c r="O2425" s="2" t="s">
        <v>20346</v>
      </c>
      <c r="P2425" s="3" t="s">
        <v>90</v>
      </c>
      <c r="R2425" s="3" t="s">
        <v>67</v>
      </c>
      <c r="S2425" s="4">
        <v>12</v>
      </c>
      <c r="T2425" s="4">
        <v>35</v>
      </c>
      <c r="U2425" s="5" t="s">
        <v>1203</v>
      </c>
      <c r="V2425" s="5" t="s">
        <v>1203</v>
      </c>
      <c r="W2425" s="5" t="s">
        <v>69</v>
      </c>
      <c r="X2425" s="5" t="s">
        <v>69</v>
      </c>
      <c r="Y2425" s="4">
        <v>32</v>
      </c>
      <c r="Z2425" s="4">
        <v>4</v>
      </c>
      <c r="AA2425" s="4">
        <v>4</v>
      </c>
      <c r="AB2425" s="4">
        <v>1</v>
      </c>
      <c r="AC2425" s="4">
        <v>1</v>
      </c>
      <c r="AD2425" s="4">
        <v>16</v>
      </c>
      <c r="AE2425" s="4">
        <v>16</v>
      </c>
      <c r="AF2425" s="4">
        <v>0</v>
      </c>
      <c r="AG2425" s="4">
        <v>0</v>
      </c>
      <c r="AH2425" s="4">
        <v>15</v>
      </c>
      <c r="AI2425" s="4">
        <v>15</v>
      </c>
      <c r="AJ2425" s="4">
        <v>2</v>
      </c>
      <c r="AK2425" s="4">
        <v>2</v>
      </c>
      <c r="AL2425" s="4">
        <v>13</v>
      </c>
      <c r="AM2425" s="4">
        <v>13</v>
      </c>
      <c r="AN2425" s="4">
        <v>0</v>
      </c>
      <c r="AO2425" s="4">
        <v>0</v>
      </c>
      <c r="AP2425" s="4">
        <v>2</v>
      </c>
      <c r="AQ2425" s="4">
        <v>2</v>
      </c>
      <c r="AR2425" s="3" t="s">
        <v>63</v>
      </c>
      <c r="AS2425" s="3" t="s">
        <v>63</v>
      </c>
      <c r="AT2425" s="3" t="s">
        <v>63</v>
      </c>
      <c r="AV2425" s="6" t="str">
        <f>HYPERLINK("http://mcgill.on.worldcat.org/oclc/23729359","Catalog Record")</f>
        <v>Catalog Record</v>
      </c>
      <c r="AW2425" s="6" t="str">
        <f>HYPERLINK("http://www.worldcat.org/oclc/23729359","WorldCat Record")</f>
        <v>WorldCat Record</v>
      </c>
      <c r="AX2425" s="3" t="s">
        <v>20347</v>
      </c>
      <c r="AY2425" s="3" t="s">
        <v>20348</v>
      </c>
      <c r="AZ2425" s="3" t="s">
        <v>20349</v>
      </c>
      <c r="BA2425" s="3" t="s">
        <v>20349</v>
      </c>
      <c r="BB2425" s="3" t="s">
        <v>20350</v>
      </c>
      <c r="BC2425" s="3" t="s">
        <v>82</v>
      </c>
      <c r="BD2425" s="3" t="s">
        <v>70</v>
      </c>
      <c r="BE2425" s="3" t="s">
        <v>20351</v>
      </c>
      <c r="BF2425" s="3" t="s">
        <v>20350</v>
      </c>
      <c r="BG2425" s="3" t="s">
        <v>20352</v>
      </c>
    </row>
    <row r="2426" spans="1:59" ht="105" x14ac:dyDescent="0.25">
      <c r="A2426" s="2" t="s">
        <v>59</v>
      </c>
      <c r="B2426" s="2" t="s">
        <v>60</v>
      </c>
      <c r="C2426" s="2" t="s">
        <v>20342</v>
      </c>
      <c r="D2426" s="2" t="s">
        <v>20343</v>
      </c>
      <c r="E2426" s="2" t="s">
        <v>20344</v>
      </c>
      <c r="G2426" s="3" t="s">
        <v>63</v>
      </c>
      <c r="I2426" s="3" t="s">
        <v>62</v>
      </c>
      <c r="J2426" s="3" t="s">
        <v>63</v>
      </c>
      <c r="K2426" s="3" t="s">
        <v>64</v>
      </c>
      <c r="L2426" s="2" t="s">
        <v>14278</v>
      </c>
      <c r="M2426" s="2" t="s">
        <v>20345</v>
      </c>
      <c r="N2426" s="3" t="s">
        <v>668</v>
      </c>
      <c r="O2426" s="2" t="s">
        <v>20346</v>
      </c>
      <c r="P2426" s="3" t="s">
        <v>90</v>
      </c>
      <c r="R2426" s="3" t="s">
        <v>67</v>
      </c>
      <c r="S2426" s="4">
        <v>23</v>
      </c>
      <c r="T2426" s="4">
        <v>35</v>
      </c>
      <c r="U2426" s="5" t="s">
        <v>20353</v>
      </c>
      <c r="V2426" s="5" t="s">
        <v>1203</v>
      </c>
      <c r="W2426" s="5" t="s">
        <v>69</v>
      </c>
      <c r="X2426" s="5" t="s">
        <v>69</v>
      </c>
      <c r="Y2426" s="4">
        <v>32</v>
      </c>
      <c r="Z2426" s="4">
        <v>4</v>
      </c>
      <c r="AA2426" s="4">
        <v>4</v>
      </c>
      <c r="AB2426" s="4">
        <v>1</v>
      </c>
      <c r="AC2426" s="4">
        <v>1</v>
      </c>
      <c r="AD2426" s="4">
        <v>16</v>
      </c>
      <c r="AE2426" s="4">
        <v>16</v>
      </c>
      <c r="AF2426" s="4">
        <v>0</v>
      </c>
      <c r="AG2426" s="4">
        <v>0</v>
      </c>
      <c r="AH2426" s="4">
        <v>15</v>
      </c>
      <c r="AI2426" s="4">
        <v>15</v>
      </c>
      <c r="AJ2426" s="4">
        <v>2</v>
      </c>
      <c r="AK2426" s="4">
        <v>2</v>
      </c>
      <c r="AL2426" s="4">
        <v>13</v>
      </c>
      <c r="AM2426" s="4">
        <v>13</v>
      </c>
      <c r="AN2426" s="4">
        <v>0</v>
      </c>
      <c r="AO2426" s="4">
        <v>0</v>
      </c>
      <c r="AP2426" s="4">
        <v>2</v>
      </c>
      <c r="AQ2426" s="4">
        <v>2</v>
      </c>
      <c r="AR2426" s="3" t="s">
        <v>63</v>
      </c>
      <c r="AS2426" s="3" t="s">
        <v>63</v>
      </c>
      <c r="AT2426" s="3" t="s">
        <v>63</v>
      </c>
      <c r="AV2426" s="6" t="str">
        <f>HYPERLINK("http://mcgill.on.worldcat.org/oclc/23729359","Catalog Record")</f>
        <v>Catalog Record</v>
      </c>
      <c r="AW2426" s="6" t="str">
        <f>HYPERLINK("http://www.worldcat.org/oclc/23729359","WorldCat Record")</f>
        <v>WorldCat Record</v>
      </c>
      <c r="AX2426" s="3" t="s">
        <v>20347</v>
      </c>
      <c r="AY2426" s="3" t="s">
        <v>20348</v>
      </c>
      <c r="AZ2426" s="3" t="s">
        <v>20349</v>
      </c>
      <c r="BA2426" s="3" t="s">
        <v>20349</v>
      </c>
      <c r="BB2426" s="3" t="s">
        <v>20354</v>
      </c>
      <c r="BC2426" s="3" t="s">
        <v>82</v>
      </c>
      <c r="BD2426" s="3" t="s">
        <v>70</v>
      </c>
      <c r="BE2426" s="3" t="s">
        <v>20351</v>
      </c>
      <c r="BF2426" s="3" t="s">
        <v>20354</v>
      </c>
      <c r="BG2426" s="3" t="s">
        <v>20355</v>
      </c>
    </row>
    <row r="2427" spans="1:59" ht="60" x14ac:dyDescent="0.25">
      <c r="A2427" s="2" t="s">
        <v>59</v>
      </c>
      <c r="B2427" s="2" t="s">
        <v>60</v>
      </c>
      <c r="C2427" s="2" t="s">
        <v>20356</v>
      </c>
      <c r="D2427" s="2" t="s">
        <v>20357</v>
      </c>
      <c r="E2427" s="2" t="s">
        <v>20358</v>
      </c>
      <c r="G2427" s="3" t="s">
        <v>63</v>
      </c>
      <c r="I2427" s="3" t="s">
        <v>63</v>
      </c>
      <c r="J2427" s="3" t="s">
        <v>62</v>
      </c>
      <c r="K2427" s="3" t="s">
        <v>64</v>
      </c>
      <c r="L2427" s="2" t="s">
        <v>14278</v>
      </c>
      <c r="M2427" s="2" t="s">
        <v>20359</v>
      </c>
      <c r="N2427" s="3" t="s">
        <v>8667</v>
      </c>
      <c r="P2427" s="3" t="s">
        <v>90</v>
      </c>
      <c r="R2427" s="3" t="s">
        <v>67</v>
      </c>
      <c r="S2427" s="4">
        <v>1</v>
      </c>
      <c r="T2427" s="4">
        <v>1</v>
      </c>
      <c r="U2427" s="5" t="s">
        <v>18149</v>
      </c>
      <c r="V2427" s="5" t="s">
        <v>18149</v>
      </c>
      <c r="W2427" s="5" t="s">
        <v>69</v>
      </c>
      <c r="X2427" s="5" t="s">
        <v>69</v>
      </c>
      <c r="Y2427" s="4">
        <v>9</v>
      </c>
      <c r="Z2427" s="4">
        <v>1</v>
      </c>
      <c r="AA2427" s="4">
        <v>18</v>
      </c>
      <c r="AB2427" s="4">
        <v>1</v>
      </c>
      <c r="AC2427" s="4">
        <v>2</v>
      </c>
      <c r="AD2427" s="4">
        <v>7</v>
      </c>
      <c r="AE2427" s="4">
        <v>79</v>
      </c>
      <c r="AF2427" s="4">
        <v>0</v>
      </c>
      <c r="AG2427" s="4">
        <v>1</v>
      </c>
      <c r="AH2427" s="4">
        <v>6</v>
      </c>
      <c r="AI2427" s="4">
        <v>71</v>
      </c>
      <c r="AJ2427" s="4">
        <v>0</v>
      </c>
      <c r="AK2427" s="4">
        <v>10</v>
      </c>
      <c r="AL2427" s="4">
        <v>7</v>
      </c>
      <c r="AM2427" s="4">
        <v>50</v>
      </c>
      <c r="AN2427" s="4">
        <v>0</v>
      </c>
      <c r="AO2427" s="4">
        <v>0</v>
      </c>
      <c r="AP2427" s="4">
        <v>0</v>
      </c>
      <c r="AQ2427" s="4">
        <v>11</v>
      </c>
      <c r="AR2427" s="3" t="s">
        <v>63</v>
      </c>
      <c r="AS2427" s="3" t="s">
        <v>63</v>
      </c>
      <c r="AT2427" s="3" t="s">
        <v>63</v>
      </c>
      <c r="AV2427" s="6" t="str">
        <f>HYPERLINK("http://mcgill.on.worldcat.org/oclc/814391461","Catalog Record")</f>
        <v>Catalog Record</v>
      </c>
      <c r="AW2427" s="6" t="str">
        <f>HYPERLINK("http://www.worldcat.org/oclc/814391461","WorldCat Record")</f>
        <v>WorldCat Record</v>
      </c>
      <c r="AX2427" s="3" t="s">
        <v>20337</v>
      </c>
      <c r="AY2427" s="3" t="s">
        <v>20360</v>
      </c>
      <c r="AZ2427" s="3" t="s">
        <v>20361</v>
      </c>
      <c r="BA2427" s="3" t="s">
        <v>20361</v>
      </c>
      <c r="BB2427" s="3" t="s">
        <v>20362</v>
      </c>
      <c r="BC2427" s="3" t="s">
        <v>82</v>
      </c>
      <c r="BD2427" s="3" t="s">
        <v>70</v>
      </c>
      <c r="BE2427" s="3" t="s">
        <v>20363</v>
      </c>
      <c r="BF2427" s="3" t="s">
        <v>20362</v>
      </c>
      <c r="BG2427" s="3" t="s">
        <v>20364</v>
      </c>
    </row>
    <row r="2428" spans="1:59" ht="60" x14ac:dyDescent="0.25">
      <c r="A2428" s="2" t="s">
        <v>59</v>
      </c>
      <c r="B2428" s="2" t="s">
        <v>60</v>
      </c>
      <c r="C2428" s="2" t="s">
        <v>20365</v>
      </c>
      <c r="D2428" s="2" t="s">
        <v>20366</v>
      </c>
      <c r="E2428" s="2" t="s">
        <v>20367</v>
      </c>
      <c r="G2428" s="3" t="s">
        <v>63</v>
      </c>
      <c r="I2428" s="3" t="s">
        <v>63</v>
      </c>
      <c r="J2428" s="3" t="s">
        <v>63</v>
      </c>
      <c r="K2428" s="3" t="s">
        <v>64</v>
      </c>
      <c r="L2428" s="2" t="s">
        <v>14278</v>
      </c>
      <c r="M2428" s="2" t="s">
        <v>20368</v>
      </c>
      <c r="N2428" s="3" t="s">
        <v>374</v>
      </c>
      <c r="P2428" s="3" t="s">
        <v>66</v>
      </c>
      <c r="Q2428" s="2" t="s">
        <v>20369</v>
      </c>
      <c r="R2428" s="3" t="s">
        <v>67</v>
      </c>
      <c r="S2428" s="4">
        <v>37</v>
      </c>
      <c r="T2428" s="4">
        <v>37</v>
      </c>
      <c r="U2428" s="5" t="s">
        <v>3102</v>
      </c>
      <c r="V2428" s="5" t="s">
        <v>3102</v>
      </c>
      <c r="W2428" s="5" t="s">
        <v>69</v>
      </c>
      <c r="X2428" s="5" t="s">
        <v>69</v>
      </c>
      <c r="Y2428" s="4">
        <v>103</v>
      </c>
      <c r="Z2428" s="4">
        <v>7</v>
      </c>
      <c r="AA2428" s="4">
        <v>10</v>
      </c>
      <c r="AB2428" s="4">
        <v>1</v>
      </c>
      <c r="AC2428" s="4">
        <v>1</v>
      </c>
      <c r="AD2428" s="4">
        <v>32</v>
      </c>
      <c r="AE2428" s="4">
        <v>42</v>
      </c>
      <c r="AF2428" s="4">
        <v>0</v>
      </c>
      <c r="AG2428" s="4">
        <v>0</v>
      </c>
      <c r="AH2428" s="4">
        <v>31</v>
      </c>
      <c r="AI2428" s="4">
        <v>41</v>
      </c>
      <c r="AJ2428" s="4">
        <v>4</v>
      </c>
      <c r="AK2428" s="4">
        <v>6</v>
      </c>
      <c r="AL2428" s="4">
        <v>15</v>
      </c>
      <c r="AM2428" s="4">
        <v>23</v>
      </c>
      <c r="AN2428" s="4">
        <v>0</v>
      </c>
      <c r="AO2428" s="4">
        <v>0</v>
      </c>
      <c r="AP2428" s="4">
        <v>4</v>
      </c>
      <c r="AQ2428" s="4">
        <v>6</v>
      </c>
      <c r="AR2428" s="3" t="s">
        <v>63</v>
      </c>
      <c r="AS2428" s="3" t="s">
        <v>63</v>
      </c>
      <c r="AT2428" s="3" t="s">
        <v>63</v>
      </c>
      <c r="AV2428" s="6" t="str">
        <f>HYPERLINK("http://mcgill.on.worldcat.org/oclc/34919943","Catalog Record")</f>
        <v>Catalog Record</v>
      </c>
      <c r="AW2428" s="6" t="str">
        <f>HYPERLINK("http://www.worldcat.org/oclc/34919943","WorldCat Record")</f>
        <v>WorldCat Record</v>
      </c>
      <c r="AX2428" s="3" t="s">
        <v>20370</v>
      </c>
      <c r="AY2428" s="3" t="s">
        <v>20371</v>
      </c>
      <c r="AZ2428" s="3" t="s">
        <v>20372</v>
      </c>
      <c r="BA2428" s="3" t="s">
        <v>20372</v>
      </c>
      <c r="BB2428" s="3" t="s">
        <v>20373</v>
      </c>
      <c r="BC2428" s="3" t="s">
        <v>82</v>
      </c>
      <c r="BD2428" s="3" t="s">
        <v>70</v>
      </c>
      <c r="BE2428" s="3" t="s">
        <v>20374</v>
      </c>
      <c r="BF2428" s="3" t="s">
        <v>20373</v>
      </c>
      <c r="BG2428" s="3" t="s">
        <v>20375</v>
      </c>
    </row>
    <row r="2429" spans="1:59" ht="60" x14ac:dyDescent="0.25">
      <c r="A2429" s="2" t="s">
        <v>59</v>
      </c>
      <c r="B2429" s="2" t="s">
        <v>60</v>
      </c>
      <c r="C2429" s="2" t="s">
        <v>20376</v>
      </c>
      <c r="D2429" s="2" t="s">
        <v>20377</v>
      </c>
      <c r="E2429" s="2" t="s">
        <v>20378</v>
      </c>
      <c r="G2429" s="3" t="s">
        <v>63</v>
      </c>
      <c r="I2429" s="3" t="s">
        <v>63</v>
      </c>
      <c r="J2429" s="3" t="s">
        <v>63</v>
      </c>
      <c r="K2429" s="3" t="s">
        <v>64</v>
      </c>
      <c r="L2429" s="2" t="s">
        <v>14278</v>
      </c>
      <c r="M2429" s="2" t="s">
        <v>20379</v>
      </c>
      <c r="N2429" s="3" t="s">
        <v>326</v>
      </c>
      <c r="P2429" s="3" t="s">
        <v>66</v>
      </c>
      <c r="R2429" s="3" t="s">
        <v>67</v>
      </c>
      <c r="S2429" s="4">
        <v>8</v>
      </c>
      <c r="T2429" s="4">
        <v>8</v>
      </c>
      <c r="U2429" s="5" t="s">
        <v>20380</v>
      </c>
      <c r="V2429" s="5" t="s">
        <v>20380</v>
      </c>
      <c r="W2429" s="5" t="s">
        <v>69</v>
      </c>
      <c r="X2429" s="5" t="s">
        <v>69</v>
      </c>
      <c r="Y2429" s="4">
        <v>49</v>
      </c>
      <c r="Z2429" s="4">
        <v>8</v>
      </c>
      <c r="AA2429" s="4">
        <v>40</v>
      </c>
      <c r="AB2429" s="4">
        <v>2</v>
      </c>
      <c r="AC2429" s="4">
        <v>4</v>
      </c>
      <c r="AD2429" s="4">
        <v>21</v>
      </c>
      <c r="AE2429" s="4">
        <v>126</v>
      </c>
      <c r="AF2429" s="4">
        <v>0</v>
      </c>
      <c r="AG2429" s="4">
        <v>0</v>
      </c>
      <c r="AH2429" s="4">
        <v>18</v>
      </c>
      <c r="AI2429" s="4">
        <v>108</v>
      </c>
      <c r="AJ2429" s="4">
        <v>4</v>
      </c>
      <c r="AK2429" s="4">
        <v>19</v>
      </c>
      <c r="AL2429" s="4">
        <v>17</v>
      </c>
      <c r="AM2429" s="4">
        <v>58</v>
      </c>
      <c r="AN2429" s="4">
        <v>0</v>
      </c>
      <c r="AO2429" s="4">
        <v>0</v>
      </c>
      <c r="AP2429" s="4">
        <v>4</v>
      </c>
      <c r="AQ2429" s="4">
        <v>25</v>
      </c>
      <c r="AR2429" s="3" t="s">
        <v>63</v>
      </c>
      <c r="AS2429" s="3" t="s">
        <v>63</v>
      </c>
      <c r="AT2429" s="3" t="s">
        <v>63</v>
      </c>
      <c r="AV2429" s="6" t="str">
        <f>HYPERLINK("http://mcgill.on.worldcat.org/oclc/276816390","Catalog Record")</f>
        <v>Catalog Record</v>
      </c>
      <c r="AW2429" s="6" t="str">
        <f>HYPERLINK("http://www.worldcat.org/oclc/276816390","WorldCat Record")</f>
        <v>WorldCat Record</v>
      </c>
      <c r="AX2429" s="3" t="s">
        <v>20381</v>
      </c>
      <c r="AY2429" s="3" t="s">
        <v>20382</v>
      </c>
      <c r="AZ2429" s="3" t="s">
        <v>20383</v>
      </c>
      <c r="BA2429" s="3" t="s">
        <v>20383</v>
      </c>
      <c r="BB2429" s="3" t="s">
        <v>20384</v>
      </c>
      <c r="BC2429" s="3" t="s">
        <v>82</v>
      </c>
      <c r="BD2429" s="3" t="s">
        <v>70</v>
      </c>
      <c r="BE2429" s="3" t="s">
        <v>20385</v>
      </c>
      <c r="BF2429" s="3" t="s">
        <v>20384</v>
      </c>
      <c r="BG2429" s="3" t="s">
        <v>20386</v>
      </c>
    </row>
    <row r="2430" spans="1:59" ht="60" x14ac:dyDescent="0.25">
      <c r="A2430" s="2" t="s">
        <v>59</v>
      </c>
      <c r="B2430" s="2" t="s">
        <v>60</v>
      </c>
      <c r="C2430" s="2" t="s">
        <v>20387</v>
      </c>
      <c r="D2430" s="2" t="s">
        <v>20388</v>
      </c>
      <c r="E2430" s="2" t="s">
        <v>20389</v>
      </c>
      <c r="G2430" s="3" t="s">
        <v>63</v>
      </c>
      <c r="I2430" s="3" t="s">
        <v>63</v>
      </c>
      <c r="J2430" s="3" t="s">
        <v>63</v>
      </c>
      <c r="K2430" s="3" t="s">
        <v>64</v>
      </c>
      <c r="L2430" s="2" t="s">
        <v>20390</v>
      </c>
      <c r="M2430" s="2" t="s">
        <v>20391</v>
      </c>
      <c r="N2430" s="3" t="s">
        <v>76</v>
      </c>
      <c r="P2430" s="3" t="s">
        <v>66</v>
      </c>
      <c r="Q2430" s="2" t="s">
        <v>20392</v>
      </c>
      <c r="R2430" s="3" t="s">
        <v>67</v>
      </c>
      <c r="S2430" s="4">
        <v>5</v>
      </c>
      <c r="T2430" s="4">
        <v>5</v>
      </c>
      <c r="U2430" s="5" t="s">
        <v>20393</v>
      </c>
      <c r="V2430" s="5" t="s">
        <v>20393</v>
      </c>
      <c r="W2430" s="5" t="s">
        <v>69</v>
      </c>
      <c r="X2430" s="5" t="s">
        <v>69</v>
      </c>
      <c r="Y2430" s="4">
        <v>47</v>
      </c>
      <c r="Z2430" s="4">
        <v>6</v>
      </c>
      <c r="AA2430" s="4">
        <v>6</v>
      </c>
      <c r="AB2430" s="4">
        <v>1</v>
      </c>
      <c r="AC2430" s="4">
        <v>1</v>
      </c>
      <c r="AD2430" s="4">
        <v>29</v>
      </c>
      <c r="AE2430" s="4">
        <v>30</v>
      </c>
      <c r="AF2430" s="4">
        <v>0</v>
      </c>
      <c r="AG2430" s="4">
        <v>0</v>
      </c>
      <c r="AH2430" s="4">
        <v>28</v>
      </c>
      <c r="AI2430" s="4">
        <v>29</v>
      </c>
      <c r="AJ2430" s="4">
        <v>3</v>
      </c>
      <c r="AK2430" s="4">
        <v>3</v>
      </c>
      <c r="AL2430" s="4">
        <v>24</v>
      </c>
      <c r="AM2430" s="4">
        <v>25</v>
      </c>
      <c r="AN2430" s="4">
        <v>0</v>
      </c>
      <c r="AO2430" s="4">
        <v>0</v>
      </c>
      <c r="AP2430" s="4">
        <v>3</v>
      </c>
      <c r="AQ2430" s="4">
        <v>3</v>
      </c>
      <c r="AR2430" s="3" t="s">
        <v>63</v>
      </c>
      <c r="AS2430" s="3" t="s">
        <v>63</v>
      </c>
      <c r="AT2430" s="3" t="s">
        <v>63</v>
      </c>
      <c r="AV2430" s="6" t="str">
        <f>HYPERLINK("http://mcgill.on.worldcat.org/oclc/793497119","Catalog Record")</f>
        <v>Catalog Record</v>
      </c>
      <c r="AW2430" s="6" t="str">
        <f>HYPERLINK("http://www.worldcat.org/oclc/793497119","WorldCat Record")</f>
        <v>WorldCat Record</v>
      </c>
      <c r="AX2430" s="3" t="s">
        <v>20394</v>
      </c>
      <c r="AY2430" s="3" t="s">
        <v>20395</v>
      </c>
      <c r="AZ2430" s="3" t="s">
        <v>20396</v>
      </c>
      <c r="BA2430" s="3" t="s">
        <v>20396</v>
      </c>
      <c r="BB2430" s="3" t="s">
        <v>20397</v>
      </c>
      <c r="BC2430" s="3" t="s">
        <v>82</v>
      </c>
      <c r="BD2430" s="3" t="s">
        <v>538</v>
      </c>
      <c r="BE2430" s="3" t="s">
        <v>20398</v>
      </c>
      <c r="BF2430" s="3" t="s">
        <v>20397</v>
      </c>
      <c r="BG2430" s="3" t="s">
        <v>20399</v>
      </c>
    </row>
    <row r="2431" spans="1:59" ht="120" x14ac:dyDescent="0.25">
      <c r="A2431" s="2" t="s">
        <v>59</v>
      </c>
      <c r="B2431" s="2" t="s">
        <v>60</v>
      </c>
      <c r="C2431" s="2" t="s">
        <v>20400</v>
      </c>
      <c r="D2431" s="2" t="s">
        <v>20401</v>
      </c>
      <c r="E2431" s="2" t="s">
        <v>20402</v>
      </c>
      <c r="G2431" s="3" t="s">
        <v>63</v>
      </c>
      <c r="I2431" s="3" t="s">
        <v>63</v>
      </c>
      <c r="J2431" s="3" t="s">
        <v>63</v>
      </c>
      <c r="K2431" s="3" t="s">
        <v>64</v>
      </c>
      <c r="L2431" s="2" t="s">
        <v>20403</v>
      </c>
      <c r="M2431" s="2" t="s">
        <v>20404</v>
      </c>
      <c r="N2431" s="3" t="s">
        <v>247</v>
      </c>
      <c r="P2431" s="3" t="s">
        <v>66</v>
      </c>
      <c r="Q2431" s="2" t="s">
        <v>20405</v>
      </c>
      <c r="R2431" s="3" t="s">
        <v>67</v>
      </c>
      <c r="S2431" s="4">
        <v>15</v>
      </c>
      <c r="T2431" s="4">
        <v>15</v>
      </c>
      <c r="U2431" s="5" t="s">
        <v>10934</v>
      </c>
      <c r="V2431" s="5" t="s">
        <v>10934</v>
      </c>
      <c r="W2431" s="5" t="s">
        <v>69</v>
      </c>
      <c r="X2431" s="5" t="s">
        <v>69</v>
      </c>
      <c r="Y2431" s="4">
        <v>81</v>
      </c>
      <c r="Z2431" s="4">
        <v>12</v>
      </c>
      <c r="AA2431" s="4">
        <v>12</v>
      </c>
      <c r="AB2431" s="4">
        <v>1</v>
      </c>
      <c r="AC2431" s="4">
        <v>1</v>
      </c>
      <c r="AD2431" s="4">
        <v>52</v>
      </c>
      <c r="AE2431" s="4">
        <v>66</v>
      </c>
      <c r="AF2431" s="4">
        <v>0</v>
      </c>
      <c r="AG2431" s="4">
        <v>0</v>
      </c>
      <c r="AH2431" s="4">
        <v>46</v>
      </c>
      <c r="AI2431" s="4">
        <v>60</v>
      </c>
      <c r="AJ2431" s="4">
        <v>10</v>
      </c>
      <c r="AK2431" s="4">
        <v>10</v>
      </c>
      <c r="AL2431" s="4">
        <v>31</v>
      </c>
      <c r="AM2431" s="4">
        <v>41</v>
      </c>
      <c r="AN2431" s="4">
        <v>0</v>
      </c>
      <c r="AO2431" s="4">
        <v>0</v>
      </c>
      <c r="AP2431" s="4">
        <v>10</v>
      </c>
      <c r="AQ2431" s="4">
        <v>10</v>
      </c>
      <c r="AR2431" s="3" t="s">
        <v>63</v>
      </c>
      <c r="AS2431" s="3" t="s">
        <v>63</v>
      </c>
      <c r="AT2431" s="3" t="s">
        <v>63</v>
      </c>
      <c r="AV2431" s="6" t="str">
        <f>HYPERLINK("http://mcgill.on.worldcat.org/oclc/8880701","Catalog Record")</f>
        <v>Catalog Record</v>
      </c>
      <c r="AW2431" s="6" t="str">
        <f>HYPERLINK("http://www.worldcat.org/oclc/8880701","WorldCat Record")</f>
        <v>WorldCat Record</v>
      </c>
      <c r="AX2431" s="3" t="s">
        <v>20406</v>
      </c>
      <c r="AY2431" s="3" t="s">
        <v>20407</v>
      </c>
      <c r="AZ2431" s="3" t="s">
        <v>20408</v>
      </c>
      <c r="BA2431" s="3" t="s">
        <v>20408</v>
      </c>
      <c r="BB2431" s="3" t="s">
        <v>20409</v>
      </c>
      <c r="BC2431" s="3" t="s">
        <v>82</v>
      </c>
      <c r="BD2431" s="3" t="s">
        <v>70</v>
      </c>
      <c r="BE2431" s="3" t="s">
        <v>20410</v>
      </c>
      <c r="BF2431" s="3" t="s">
        <v>20409</v>
      </c>
      <c r="BG2431" s="3" t="s">
        <v>20411</v>
      </c>
    </row>
    <row r="2432" spans="1:59" ht="60" x14ac:dyDescent="0.25">
      <c r="A2432" s="2" t="s">
        <v>59</v>
      </c>
      <c r="B2432" s="2" t="s">
        <v>60</v>
      </c>
      <c r="C2432" s="2" t="s">
        <v>20412</v>
      </c>
      <c r="D2432" s="2" t="s">
        <v>20413</v>
      </c>
      <c r="E2432" s="2" t="s">
        <v>20414</v>
      </c>
      <c r="G2432" s="3" t="s">
        <v>63</v>
      </c>
      <c r="I2432" s="3" t="s">
        <v>63</v>
      </c>
      <c r="J2432" s="3" t="s">
        <v>62</v>
      </c>
      <c r="K2432" s="3" t="s">
        <v>64</v>
      </c>
      <c r="L2432" s="2" t="s">
        <v>14278</v>
      </c>
      <c r="M2432" s="2" t="s">
        <v>14724</v>
      </c>
      <c r="N2432" s="3" t="s">
        <v>1343</v>
      </c>
      <c r="P2432" s="3" t="s">
        <v>66</v>
      </c>
      <c r="Q2432" s="2" t="s">
        <v>20415</v>
      </c>
      <c r="R2432" s="3" t="s">
        <v>67</v>
      </c>
      <c r="S2432" s="4">
        <v>4</v>
      </c>
      <c r="T2432" s="4">
        <v>4</v>
      </c>
      <c r="U2432" s="5" t="s">
        <v>20416</v>
      </c>
      <c r="V2432" s="5" t="s">
        <v>20416</v>
      </c>
      <c r="W2432" s="5" t="s">
        <v>69</v>
      </c>
      <c r="X2432" s="5" t="s">
        <v>69</v>
      </c>
      <c r="Y2432" s="4">
        <v>135</v>
      </c>
      <c r="Z2432" s="4">
        <v>5</v>
      </c>
      <c r="AA2432" s="4">
        <v>28</v>
      </c>
      <c r="AB2432" s="4">
        <v>1</v>
      </c>
      <c r="AC2432" s="4">
        <v>1</v>
      </c>
      <c r="AD2432" s="4">
        <v>71</v>
      </c>
      <c r="AE2432" s="4">
        <v>123</v>
      </c>
      <c r="AF2432" s="4">
        <v>0</v>
      </c>
      <c r="AG2432" s="4">
        <v>0</v>
      </c>
      <c r="AH2432" s="4">
        <v>68</v>
      </c>
      <c r="AI2432" s="4">
        <v>108</v>
      </c>
      <c r="AJ2432" s="4">
        <v>2</v>
      </c>
      <c r="AK2432" s="4">
        <v>18</v>
      </c>
      <c r="AL2432" s="4">
        <v>37</v>
      </c>
      <c r="AM2432" s="4">
        <v>59</v>
      </c>
      <c r="AN2432" s="4">
        <v>0</v>
      </c>
      <c r="AO2432" s="4">
        <v>0</v>
      </c>
      <c r="AP2432" s="4">
        <v>2</v>
      </c>
      <c r="AQ2432" s="4">
        <v>20</v>
      </c>
      <c r="AR2432" s="3" t="s">
        <v>63</v>
      </c>
      <c r="AS2432" s="3" t="s">
        <v>63</v>
      </c>
      <c r="AT2432" s="3" t="s">
        <v>63</v>
      </c>
      <c r="AV2432" s="6" t="str">
        <f>HYPERLINK("http://mcgill.on.worldcat.org/oclc/45114016","Catalog Record")</f>
        <v>Catalog Record</v>
      </c>
      <c r="AW2432" s="6" t="str">
        <f>HYPERLINK("http://www.worldcat.org/oclc/45114016","WorldCat Record")</f>
        <v>WorldCat Record</v>
      </c>
      <c r="AX2432" s="3" t="s">
        <v>20417</v>
      </c>
      <c r="AY2432" s="3" t="s">
        <v>20418</v>
      </c>
      <c r="AZ2432" s="3" t="s">
        <v>20419</v>
      </c>
      <c r="BA2432" s="3" t="s">
        <v>20419</v>
      </c>
      <c r="BB2432" s="3" t="s">
        <v>20420</v>
      </c>
      <c r="BC2432" s="3" t="s">
        <v>82</v>
      </c>
      <c r="BD2432" s="3" t="s">
        <v>70</v>
      </c>
      <c r="BE2432" s="3" t="s">
        <v>20421</v>
      </c>
      <c r="BF2432" s="3" t="s">
        <v>20420</v>
      </c>
      <c r="BG2432" s="3" t="s">
        <v>20422</v>
      </c>
    </row>
    <row r="2433" spans="1:59" ht="120" x14ac:dyDescent="0.25">
      <c r="A2433" s="2" t="s">
        <v>59</v>
      </c>
      <c r="B2433" s="2" t="s">
        <v>60</v>
      </c>
      <c r="C2433" s="2" t="s">
        <v>20423</v>
      </c>
      <c r="D2433" s="2" t="s">
        <v>20424</v>
      </c>
      <c r="E2433" s="2" t="s">
        <v>20425</v>
      </c>
      <c r="G2433" s="3" t="s">
        <v>63</v>
      </c>
      <c r="I2433" s="3" t="s">
        <v>63</v>
      </c>
      <c r="J2433" s="3" t="s">
        <v>63</v>
      </c>
      <c r="K2433" s="3" t="s">
        <v>64</v>
      </c>
      <c r="L2433" s="2" t="s">
        <v>20426</v>
      </c>
      <c r="M2433" s="2" t="s">
        <v>20427</v>
      </c>
      <c r="N2433" s="3" t="s">
        <v>287</v>
      </c>
      <c r="P2433" s="3" t="s">
        <v>90</v>
      </c>
      <c r="Q2433" s="2" t="s">
        <v>20428</v>
      </c>
      <c r="R2433" s="3" t="s">
        <v>67</v>
      </c>
      <c r="S2433" s="4">
        <v>0</v>
      </c>
      <c r="T2433" s="4">
        <v>0</v>
      </c>
      <c r="W2433" s="5" t="s">
        <v>20429</v>
      </c>
      <c r="X2433" s="5" t="s">
        <v>20429</v>
      </c>
      <c r="Y2433" s="4">
        <v>25</v>
      </c>
      <c r="Z2433" s="4">
        <v>1</v>
      </c>
      <c r="AA2433" s="4">
        <v>1</v>
      </c>
      <c r="AB2433" s="4">
        <v>1</v>
      </c>
      <c r="AC2433" s="4">
        <v>1</v>
      </c>
      <c r="AD2433" s="4">
        <v>17</v>
      </c>
      <c r="AE2433" s="4">
        <v>17</v>
      </c>
      <c r="AF2433" s="4">
        <v>0</v>
      </c>
      <c r="AG2433" s="4">
        <v>0</v>
      </c>
      <c r="AH2433" s="4">
        <v>16</v>
      </c>
      <c r="AI2433" s="4">
        <v>16</v>
      </c>
      <c r="AJ2433" s="4">
        <v>0</v>
      </c>
      <c r="AK2433" s="4">
        <v>0</v>
      </c>
      <c r="AL2433" s="4">
        <v>15</v>
      </c>
      <c r="AM2433" s="4">
        <v>15</v>
      </c>
      <c r="AN2433" s="4">
        <v>0</v>
      </c>
      <c r="AO2433" s="4">
        <v>0</v>
      </c>
      <c r="AP2433" s="4">
        <v>0</v>
      </c>
      <c r="AQ2433" s="4">
        <v>0</v>
      </c>
      <c r="AR2433" s="3" t="s">
        <v>63</v>
      </c>
      <c r="AS2433" s="3" t="s">
        <v>63</v>
      </c>
      <c r="AT2433" s="3" t="s">
        <v>63</v>
      </c>
      <c r="AV2433" s="6" t="str">
        <f>HYPERLINK("http://mcgill.on.worldcat.org/oclc/1097556766","Catalog Record")</f>
        <v>Catalog Record</v>
      </c>
      <c r="AW2433" s="6" t="str">
        <f>HYPERLINK("http://www.worldcat.org/oclc/1097556766","WorldCat Record")</f>
        <v>WorldCat Record</v>
      </c>
      <c r="AX2433" s="3" t="s">
        <v>20430</v>
      </c>
      <c r="AY2433" s="3" t="s">
        <v>20431</v>
      </c>
      <c r="AZ2433" s="3" t="s">
        <v>20432</v>
      </c>
      <c r="BA2433" s="3" t="s">
        <v>20432</v>
      </c>
      <c r="BB2433" s="3" t="s">
        <v>20433</v>
      </c>
      <c r="BC2433" s="3" t="s">
        <v>82</v>
      </c>
      <c r="BD2433" s="3" t="s">
        <v>70</v>
      </c>
      <c r="BE2433" s="3" t="s">
        <v>20434</v>
      </c>
      <c r="BF2433" s="3" t="s">
        <v>20433</v>
      </c>
      <c r="BG2433" s="3" t="s">
        <v>20435</v>
      </c>
    </row>
    <row r="2434" spans="1:59" ht="60" x14ac:dyDescent="0.25">
      <c r="A2434" s="2" t="s">
        <v>59</v>
      </c>
      <c r="B2434" s="2" t="s">
        <v>60</v>
      </c>
      <c r="C2434" s="2" t="s">
        <v>20436</v>
      </c>
      <c r="D2434" s="2" t="s">
        <v>20437</v>
      </c>
      <c r="E2434" s="2" t="s">
        <v>20438</v>
      </c>
      <c r="G2434" s="3" t="s">
        <v>63</v>
      </c>
      <c r="I2434" s="3" t="s">
        <v>63</v>
      </c>
      <c r="J2434" s="3" t="s">
        <v>63</v>
      </c>
      <c r="K2434" s="3" t="s">
        <v>64</v>
      </c>
      <c r="L2434" s="2" t="s">
        <v>17017</v>
      </c>
      <c r="M2434" s="2" t="s">
        <v>20439</v>
      </c>
      <c r="N2434" s="3" t="s">
        <v>1916</v>
      </c>
      <c r="P2434" s="3" t="s">
        <v>66</v>
      </c>
      <c r="Q2434" s="2" t="s">
        <v>20440</v>
      </c>
      <c r="R2434" s="3" t="s">
        <v>67</v>
      </c>
      <c r="S2434" s="4">
        <v>26</v>
      </c>
      <c r="T2434" s="4">
        <v>26</v>
      </c>
      <c r="U2434" s="5" t="s">
        <v>15268</v>
      </c>
      <c r="V2434" s="5" t="s">
        <v>15268</v>
      </c>
      <c r="W2434" s="5" t="s">
        <v>69</v>
      </c>
      <c r="X2434" s="5" t="s">
        <v>69</v>
      </c>
      <c r="Y2434" s="4">
        <v>445</v>
      </c>
      <c r="Z2434" s="4">
        <v>26</v>
      </c>
      <c r="AA2434" s="4">
        <v>26</v>
      </c>
      <c r="AB2434" s="4">
        <v>1</v>
      </c>
      <c r="AC2434" s="4">
        <v>1</v>
      </c>
      <c r="AD2434" s="4">
        <v>121</v>
      </c>
      <c r="AE2434" s="4">
        <v>121</v>
      </c>
      <c r="AF2434" s="4">
        <v>0</v>
      </c>
      <c r="AG2434" s="4">
        <v>0</v>
      </c>
      <c r="AH2434" s="4">
        <v>110</v>
      </c>
      <c r="AI2434" s="4">
        <v>110</v>
      </c>
      <c r="AJ2434" s="4">
        <v>19</v>
      </c>
      <c r="AK2434" s="4">
        <v>19</v>
      </c>
      <c r="AL2434" s="4">
        <v>57</v>
      </c>
      <c r="AM2434" s="4">
        <v>57</v>
      </c>
      <c r="AN2434" s="4">
        <v>0</v>
      </c>
      <c r="AO2434" s="4">
        <v>0</v>
      </c>
      <c r="AP2434" s="4">
        <v>20</v>
      </c>
      <c r="AQ2434" s="4">
        <v>20</v>
      </c>
      <c r="AR2434" s="3" t="s">
        <v>63</v>
      </c>
      <c r="AS2434" s="3" t="s">
        <v>63</v>
      </c>
      <c r="AT2434" s="3" t="s">
        <v>62</v>
      </c>
      <c r="AU2434" s="6" t="str">
        <f>HYPERLINK("http://catalog.hathitrust.org/Record/000415711","HathiTrust Record")</f>
        <v>HathiTrust Record</v>
      </c>
      <c r="AV2434" s="6" t="str">
        <f>HYPERLINK("http://mcgill.on.worldcat.org/oclc/11158622","Catalog Record")</f>
        <v>Catalog Record</v>
      </c>
      <c r="AW2434" s="6" t="str">
        <f>HYPERLINK("http://www.worldcat.org/oclc/11158622","WorldCat Record")</f>
        <v>WorldCat Record</v>
      </c>
      <c r="AX2434" s="3" t="s">
        <v>20441</v>
      </c>
      <c r="AY2434" s="3" t="s">
        <v>20442</v>
      </c>
      <c r="AZ2434" s="3" t="s">
        <v>20443</v>
      </c>
      <c r="BA2434" s="3" t="s">
        <v>20443</v>
      </c>
      <c r="BB2434" s="3" t="s">
        <v>20444</v>
      </c>
      <c r="BC2434" s="3" t="s">
        <v>82</v>
      </c>
      <c r="BD2434" s="3" t="s">
        <v>70</v>
      </c>
      <c r="BE2434" s="3" t="s">
        <v>20445</v>
      </c>
      <c r="BF2434" s="3" t="s">
        <v>20444</v>
      </c>
      <c r="BG2434" s="3" t="s">
        <v>20446</v>
      </c>
    </row>
    <row r="2435" spans="1:59" ht="60" x14ac:dyDescent="0.25">
      <c r="A2435" s="2" t="s">
        <v>59</v>
      </c>
      <c r="B2435" s="2" t="s">
        <v>60</v>
      </c>
      <c r="C2435" s="2" t="s">
        <v>20447</v>
      </c>
      <c r="D2435" s="2" t="s">
        <v>20448</v>
      </c>
      <c r="E2435" s="2" t="s">
        <v>20449</v>
      </c>
      <c r="G2435" s="3" t="s">
        <v>63</v>
      </c>
      <c r="I2435" s="3" t="s">
        <v>63</v>
      </c>
      <c r="J2435" s="3" t="s">
        <v>63</v>
      </c>
      <c r="K2435" s="3" t="s">
        <v>64</v>
      </c>
      <c r="M2435" s="2" t="s">
        <v>12115</v>
      </c>
      <c r="N2435" s="3" t="s">
        <v>1418</v>
      </c>
      <c r="P2435" s="3" t="s">
        <v>66</v>
      </c>
      <c r="Q2435" s="2" t="s">
        <v>5152</v>
      </c>
      <c r="R2435" s="3" t="s">
        <v>67</v>
      </c>
      <c r="S2435" s="4">
        <v>42</v>
      </c>
      <c r="T2435" s="4">
        <v>42</v>
      </c>
      <c r="U2435" s="5" t="s">
        <v>14033</v>
      </c>
      <c r="V2435" s="5" t="s">
        <v>14033</v>
      </c>
      <c r="W2435" s="5" t="s">
        <v>69</v>
      </c>
      <c r="X2435" s="5" t="s">
        <v>69</v>
      </c>
      <c r="Y2435" s="4">
        <v>376</v>
      </c>
      <c r="Z2435" s="4">
        <v>20</v>
      </c>
      <c r="AA2435" s="4">
        <v>24</v>
      </c>
      <c r="AB2435" s="4">
        <v>2</v>
      </c>
      <c r="AC2435" s="4">
        <v>4</v>
      </c>
      <c r="AD2435" s="4">
        <v>107</v>
      </c>
      <c r="AE2435" s="4">
        <v>109</v>
      </c>
      <c r="AF2435" s="4">
        <v>0</v>
      </c>
      <c r="AG2435" s="4">
        <v>0</v>
      </c>
      <c r="AH2435" s="4">
        <v>100</v>
      </c>
      <c r="AI2435" s="4">
        <v>101</v>
      </c>
      <c r="AJ2435" s="4">
        <v>13</v>
      </c>
      <c r="AK2435" s="4">
        <v>13</v>
      </c>
      <c r="AL2435" s="4">
        <v>56</v>
      </c>
      <c r="AM2435" s="4">
        <v>56</v>
      </c>
      <c r="AN2435" s="4">
        <v>0</v>
      </c>
      <c r="AO2435" s="4">
        <v>0</v>
      </c>
      <c r="AP2435" s="4">
        <v>14</v>
      </c>
      <c r="AQ2435" s="4">
        <v>15</v>
      </c>
      <c r="AR2435" s="3" t="s">
        <v>63</v>
      </c>
      <c r="AS2435" s="3" t="s">
        <v>63</v>
      </c>
      <c r="AT2435" s="3" t="s">
        <v>62</v>
      </c>
      <c r="AU2435" s="6" t="str">
        <f>HYPERLINK("http://catalog.hathitrust.org/Record/000848882","HathiTrust Record")</f>
        <v>HathiTrust Record</v>
      </c>
      <c r="AV2435" s="6" t="str">
        <f>HYPERLINK("http://mcgill.on.worldcat.org/oclc/14718485","Catalog Record")</f>
        <v>Catalog Record</v>
      </c>
      <c r="AW2435" s="6" t="str">
        <f>HYPERLINK("http://www.worldcat.org/oclc/14718485","WorldCat Record")</f>
        <v>WorldCat Record</v>
      </c>
      <c r="AX2435" s="3" t="s">
        <v>20450</v>
      </c>
      <c r="AY2435" s="3" t="s">
        <v>20451</v>
      </c>
      <c r="AZ2435" s="3" t="s">
        <v>20452</v>
      </c>
      <c r="BA2435" s="3" t="s">
        <v>20452</v>
      </c>
      <c r="BB2435" s="3" t="s">
        <v>20453</v>
      </c>
      <c r="BC2435" s="3" t="s">
        <v>82</v>
      </c>
      <c r="BD2435" s="3" t="s">
        <v>70</v>
      </c>
      <c r="BE2435" s="3" t="s">
        <v>20454</v>
      </c>
      <c r="BF2435" s="3" t="s">
        <v>20453</v>
      </c>
      <c r="BG2435" s="3" t="s">
        <v>20455</v>
      </c>
    </row>
    <row r="2436" spans="1:59" ht="60" x14ac:dyDescent="0.25">
      <c r="A2436" s="2" t="s">
        <v>59</v>
      </c>
      <c r="B2436" s="2" t="s">
        <v>60</v>
      </c>
      <c r="C2436" s="2" t="s">
        <v>20456</v>
      </c>
      <c r="D2436" s="2" t="s">
        <v>20457</v>
      </c>
      <c r="E2436" s="2" t="s">
        <v>20458</v>
      </c>
      <c r="G2436" s="3" t="s">
        <v>63</v>
      </c>
      <c r="I2436" s="3" t="s">
        <v>63</v>
      </c>
      <c r="J2436" s="3" t="s">
        <v>63</v>
      </c>
      <c r="K2436" s="3" t="s">
        <v>64</v>
      </c>
      <c r="M2436" s="2" t="s">
        <v>20459</v>
      </c>
      <c r="N2436" s="3" t="s">
        <v>427</v>
      </c>
      <c r="P2436" s="3" t="s">
        <v>90</v>
      </c>
      <c r="R2436" s="3" t="s">
        <v>67</v>
      </c>
      <c r="S2436" s="4">
        <v>6</v>
      </c>
      <c r="T2436" s="4">
        <v>6</v>
      </c>
      <c r="U2436" s="5" t="s">
        <v>18362</v>
      </c>
      <c r="V2436" s="5" t="s">
        <v>18362</v>
      </c>
      <c r="W2436" s="5" t="s">
        <v>69</v>
      </c>
      <c r="X2436" s="5" t="s">
        <v>69</v>
      </c>
      <c r="Y2436" s="4">
        <v>117</v>
      </c>
      <c r="Z2436" s="4">
        <v>12</v>
      </c>
      <c r="AA2436" s="4">
        <v>12</v>
      </c>
      <c r="AB2436" s="4">
        <v>1</v>
      </c>
      <c r="AC2436" s="4">
        <v>1</v>
      </c>
      <c r="AD2436" s="4">
        <v>65</v>
      </c>
      <c r="AE2436" s="4">
        <v>65</v>
      </c>
      <c r="AF2436" s="4">
        <v>0</v>
      </c>
      <c r="AG2436" s="4">
        <v>0</v>
      </c>
      <c r="AH2436" s="4">
        <v>61</v>
      </c>
      <c r="AI2436" s="4">
        <v>61</v>
      </c>
      <c r="AJ2436" s="4">
        <v>10</v>
      </c>
      <c r="AK2436" s="4">
        <v>10</v>
      </c>
      <c r="AL2436" s="4">
        <v>42</v>
      </c>
      <c r="AM2436" s="4">
        <v>42</v>
      </c>
      <c r="AN2436" s="4">
        <v>0</v>
      </c>
      <c r="AO2436" s="4">
        <v>0</v>
      </c>
      <c r="AP2436" s="4">
        <v>10</v>
      </c>
      <c r="AQ2436" s="4">
        <v>10</v>
      </c>
      <c r="AR2436" s="3" t="s">
        <v>63</v>
      </c>
      <c r="AS2436" s="3" t="s">
        <v>63</v>
      </c>
      <c r="AT2436" s="3" t="s">
        <v>62</v>
      </c>
      <c r="AU2436" s="6" t="str">
        <f>HYPERLINK("http://catalog.hathitrust.org/Record/002168609","HathiTrust Record")</f>
        <v>HathiTrust Record</v>
      </c>
      <c r="AV2436" s="6" t="str">
        <f>HYPERLINK("http://mcgill.on.worldcat.org/oclc/20340904","Catalog Record")</f>
        <v>Catalog Record</v>
      </c>
      <c r="AW2436" s="6" t="str">
        <f>HYPERLINK("http://www.worldcat.org/oclc/20340904","WorldCat Record")</f>
        <v>WorldCat Record</v>
      </c>
      <c r="AX2436" s="3" t="s">
        <v>20460</v>
      </c>
      <c r="AY2436" s="3" t="s">
        <v>20461</v>
      </c>
      <c r="AZ2436" s="3" t="s">
        <v>20462</v>
      </c>
      <c r="BA2436" s="3" t="s">
        <v>20462</v>
      </c>
      <c r="BB2436" s="3" t="s">
        <v>20463</v>
      </c>
      <c r="BC2436" s="3" t="s">
        <v>82</v>
      </c>
      <c r="BD2436" s="3" t="s">
        <v>70</v>
      </c>
      <c r="BE2436" s="3" t="s">
        <v>20464</v>
      </c>
      <c r="BF2436" s="3" t="s">
        <v>20463</v>
      </c>
      <c r="BG2436" s="3" t="s">
        <v>20465</v>
      </c>
    </row>
    <row r="2437" spans="1:59" ht="60" x14ac:dyDescent="0.25">
      <c r="A2437" s="2" t="s">
        <v>59</v>
      </c>
      <c r="B2437" s="2" t="s">
        <v>60</v>
      </c>
      <c r="C2437" s="2" t="s">
        <v>20466</v>
      </c>
      <c r="D2437" s="2" t="s">
        <v>20467</v>
      </c>
      <c r="E2437" s="2" t="s">
        <v>20468</v>
      </c>
      <c r="G2437" s="3" t="s">
        <v>63</v>
      </c>
      <c r="I2437" s="3" t="s">
        <v>63</v>
      </c>
      <c r="J2437" s="3" t="s">
        <v>63</v>
      </c>
      <c r="K2437" s="3" t="s">
        <v>64</v>
      </c>
      <c r="L2437" s="2" t="s">
        <v>20469</v>
      </c>
      <c r="M2437" s="2" t="s">
        <v>20470</v>
      </c>
      <c r="N2437" s="3" t="s">
        <v>2535</v>
      </c>
      <c r="P2437" s="3" t="s">
        <v>66</v>
      </c>
      <c r="Q2437" s="2" t="s">
        <v>20471</v>
      </c>
      <c r="R2437" s="3" t="s">
        <v>67</v>
      </c>
      <c r="S2437" s="4">
        <v>23</v>
      </c>
      <c r="T2437" s="4">
        <v>23</v>
      </c>
      <c r="U2437" s="5" t="s">
        <v>4419</v>
      </c>
      <c r="V2437" s="5" t="s">
        <v>4419</v>
      </c>
      <c r="W2437" s="5" t="s">
        <v>69</v>
      </c>
      <c r="X2437" s="5" t="s">
        <v>69</v>
      </c>
      <c r="Y2437" s="4">
        <v>224</v>
      </c>
      <c r="Z2437" s="4">
        <v>22</v>
      </c>
      <c r="AA2437" s="4">
        <v>86</v>
      </c>
      <c r="AB2437" s="4">
        <v>1</v>
      </c>
      <c r="AC2437" s="4">
        <v>14</v>
      </c>
      <c r="AD2437" s="4">
        <v>96</v>
      </c>
      <c r="AE2437" s="4">
        <v>136</v>
      </c>
      <c r="AF2437" s="4">
        <v>0</v>
      </c>
      <c r="AG2437" s="4">
        <v>8</v>
      </c>
      <c r="AH2437" s="4">
        <v>88</v>
      </c>
      <c r="AI2437" s="4">
        <v>101</v>
      </c>
      <c r="AJ2437" s="4">
        <v>16</v>
      </c>
      <c r="AK2437" s="4">
        <v>24</v>
      </c>
      <c r="AL2437" s="4">
        <v>50</v>
      </c>
      <c r="AM2437" s="4">
        <v>53</v>
      </c>
      <c r="AN2437" s="4">
        <v>0</v>
      </c>
      <c r="AO2437" s="4">
        <v>0</v>
      </c>
      <c r="AP2437" s="4">
        <v>16</v>
      </c>
      <c r="AQ2437" s="4">
        <v>44</v>
      </c>
      <c r="AR2437" s="3" t="s">
        <v>63</v>
      </c>
      <c r="AS2437" s="3" t="s">
        <v>63</v>
      </c>
      <c r="AT2437" s="3" t="s">
        <v>62</v>
      </c>
      <c r="AU2437" s="6" t="str">
        <f>HYPERLINK("http://catalog.hathitrust.org/Record/001224123","HathiTrust Record")</f>
        <v>HathiTrust Record</v>
      </c>
      <c r="AV2437" s="6" t="str">
        <f>HYPERLINK("http://mcgill.on.worldcat.org/oclc/900685","Catalog Record")</f>
        <v>Catalog Record</v>
      </c>
      <c r="AW2437" s="6" t="str">
        <f>HYPERLINK("http://www.worldcat.org/oclc/900685","WorldCat Record")</f>
        <v>WorldCat Record</v>
      </c>
      <c r="AX2437" s="3" t="s">
        <v>20472</v>
      </c>
      <c r="AY2437" s="3" t="s">
        <v>20473</v>
      </c>
      <c r="AZ2437" s="3" t="s">
        <v>20474</v>
      </c>
      <c r="BA2437" s="3" t="s">
        <v>20474</v>
      </c>
      <c r="BB2437" s="3" t="s">
        <v>20475</v>
      </c>
      <c r="BC2437" s="3" t="s">
        <v>82</v>
      </c>
      <c r="BD2437" s="3" t="s">
        <v>70</v>
      </c>
      <c r="BE2437" s="3" t="s">
        <v>20476</v>
      </c>
      <c r="BF2437" s="3" t="s">
        <v>20475</v>
      </c>
      <c r="BG2437" s="3" t="s">
        <v>20477</v>
      </c>
    </row>
    <row r="2438" spans="1:59" ht="75" x14ac:dyDescent="0.25">
      <c r="A2438" s="2" t="s">
        <v>59</v>
      </c>
      <c r="B2438" s="2" t="s">
        <v>60</v>
      </c>
      <c r="C2438" s="2" t="s">
        <v>20478</v>
      </c>
      <c r="D2438" s="2" t="s">
        <v>20479</v>
      </c>
      <c r="E2438" s="2" t="s">
        <v>20480</v>
      </c>
      <c r="G2438" s="3" t="s">
        <v>63</v>
      </c>
      <c r="I2438" s="3" t="s">
        <v>63</v>
      </c>
      <c r="J2438" s="3" t="s">
        <v>63</v>
      </c>
      <c r="K2438" s="3" t="s">
        <v>64</v>
      </c>
      <c r="L2438" s="2" t="s">
        <v>20481</v>
      </c>
      <c r="M2438" s="2" t="s">
        <v>20482</v>
      </c>
      <c r="N2438" s="3" t="s">
        <v>247</v>
      </c>
      <c r="P2438" s="3" t="s">
        <v>442</v>
      </c>
      <c r="Q2438" s="2" t="s">
        <v>20483</v>
      </c>
      <c r="R2438" s="3" t="s">
        <v>67</v>
      </c>
      <c r="S2438" s="4">
        <v>1</v>
      </c>
      <c r="T2438" s="4">
        <v>1</v>
      </c>
      <c r="U2438" s="5" t="s">
        <v>14033</v>
      </c>
      <c r="V2438" s="5" t="s">
        <v>14033</v>
      </c>
      <c r="W2438" s="5" t="s">
        <v>69</v>
      </c>
      <c r="X2438" s="5" t="s">
        <v>69</v>
      </c>
      <c r="Y2438" s="4">
        <v>94</v>
      </c>
      <c r="Z2438" s="4">
        <v>8</v>
      </c>
      <c r="AA2438" s="4">
        <v>11</v>
      </c>
      <c r="AB2438" s="4">
        <v>1</v>
      </c>
      <c r="AC2438" s="4">
        <v>2</v>
      </c>
      <c r="AD2438" s="4">
        <v>48</v>
      </c>
      <c r="AE2438" s="4">
        <v>51</v>
      </c>
      <c r="AF2438" s="4">
        <v>0</v>
      </c>
      <c r="AG2438" s="4">
        <v>1</v>
      </c>
      <c r="AH2438" s="4">
        <v>45</v>
      </c>
      <c r="AI2438" s="4">
        <v>47</v>
      </c>
      <c r="AJ2438" s="4">
        <v>6</v>
      </c>
      <c r="AK2438" s="4">
        <v>8</v>
      </c>
      <c r="AL2438" s="4">
        <v>35</v>
      </c>
      <c r="AM2438" s="4">
        <v>35</v>
      </c>
      <c r="AN2438" s="4">
        <v>0</v>
      </c>
      <c r="AO2438" s="4">
        <v>0</v>
      </c>
      <c r="AP2438" s="4">
        <v>6</v>
      </c>
      <c r="AQ2438" s="4">
        <v>8</v>
      </c>
      <c r="AR2438" s="3" t="s">
        <v>63</v>
      </c>
      <c r="AS2438" s="3" t="s">
        <v>63</v>
      </c>
      <c r="AT2438" s="3" t="s">
        <v>63</v>
      </c>
      <c r="AV2438" s="6" t="str">
        <f>HYPERLINK("http://mcgill.on.worldcat.org/oclc/8663596","Catalog Record")</f>
        <v>Catalog Record</v>
      </c>
      <c r="AW2438" s="6" t="str">
        <f>HYPERLINK("http://www.worldcat.org/oclc/8663596","WorldCat Record")</f>
        <v>WorldCat Record</v>
      </c>
      <c r="AX2438" s="3" t="s">
        <v>20484</v>
      </c>
      <c r="AY2438" s="3" t="s">
        <v>20485</v>
      </c>
      <c r="AZ2438" s="3" t="s">
        <v>20486</v>
      </c>
      <c r="BA2438" s="3" t="s">
        <v>20486</v>
      </c>
      <c r="BB2438" s="3" t="s">
        <v>20487</v>
      </c>
      <c r="BC2438" s="3" t="s">
        <v>82</v>
      </c>
      <c r="BD2438" s="3" t="s">
        <v>70</v>
      </c>
      <c r="BE2438" s="3" t="s">
        <v>20488</v>
      </c>
      <c r="BF2438" s="3" t="s">
        <v>20487</v>
      </c>
      <c r="BG2438" s="3" t="s">
        <v>20489</v>
      </c>
    </row>
    <row r="2439" spans="1:59" ht="60" x14ac:dyDescent="0.25">
      <c r="A2439" s="2" t="s">
        <v>59</v>
      </c>
      <c r="B2439" s="2" t="s">
        <v>60</v>
      </c>
      <c r="C2439" s="2" t="s">
        <v>20490</v>
      </c>
      <c r="D2439" s="2" t="s">
        <v>20491</v>
      </c>
      <c r="E2439" s="2" t="s">
        <v>20492</v>
      </c>
      <c r="G2439" s="3" t="s">
        <v>63</v>
      </c>
      <c r="I2439" s="3" t="s">
        <v>63</v>
      </c>
      <c r="J2439" s="3" t="s">
        <v>63</v>
      </c>
      <c r="K2439" s="3" t="s">
        <v>64</v>
      </c>
      <c r="L2439" s="2" t="s">
        <v>20493</v>
      </c>
      <c r="M2439" s="2" t="s">
        <v>20494</v>
      </c>
      <c r="N2439" s="3" t="s">
        <v>3640</v>
      </c>
      <c r="P2439" s="3" t="s">
        <v>66</v>
      </c>
      <c r="Q2439" s="2" t="s">
        <v>5294</v>
      </c>
      <c r="R2439" s="3" t="s">
        <v>67</v>
      </c>
      <c r="S2439" s="4">
        <v>22</v>
      </c>
      <c r="T2439" s="4">
        <v>22</v>
      </c>
      <c r="U2439" s="5" t="s">
        <v>20393</v>
      </c>
      <c r="V2439" s="5" t="s">
        <v>20393</v>
      </c>
      <c r="W2439" s="5" t="s">
        <v>69</v>
      </c>
      <c r="X2439" s="5" t="s">
        <v>69</v>
      </c>
      <c r="Y2439" s="4">
        <v>427</v>
      </c>
      <c r="Z2439" s="4">
        <v>26</v>
      </c>
      <c r="AA2439" s="4">
        <v>28</v>
      </c>
      <c r="AB2439" s="4">
        <v>2</v>
      </c>
      <c r="AC2439" s="4">
        <v>3</v>
      </c>
      <c r="AD2439" s="4">
        <v>114</v>
      </c>
      <c r="AE2439" s="4">
        <v>116</v>
      </c>
      <c r="AF2439" s="4">
        <v>1</v>
      </c>
      <c r="AG2439" s="4">
        <v>2</v>
      </c>
      <c r="AH2439" s="4">
        <v>101</v>
      </c>
      <c r="AI2439" s="4">
        <v>103</v>
      </c>
      <c r="AJ2439" s="4">
        <v>18</v>
      </c>
      <c r="AK2439" s="4">
        <v>20</v>
      </c>
      <c r="AL2439" s="4">
        <v>54</v>
      </c>
      <c r="AM2439" s="4">
        <v>54</v>
      </c>
      <c r="AN2439" s="4">
        <v>0</v>
      </c>
      <c r="AO2439" s="4">
        <v>0</v>
      </c>
      <c r="AP2439" s="4">
        <v>19</v>
      </c>
      <c r="AQ2439" s="4">
        <v>21</v>
      </c>
      <c r="AR2439" s="3" t="s">
        <v>63</v>
      </c>
      <c r="AS2439" s="3" t="s">
        <v>63</v>
      </c>
      <c r="AT2439" s="3" t="s">
        <v>62</v>
      </c>
      <c r="AU2439" s="6" t="str">
        <f>HYPERLINK("http://catalog.hathitrust.org/Record/000316246","HathiTrust Record")</f>
        <v>HathiTrust Record</v>
      </c>
      <c r="AV2439" s="6" t="str">
        <f>HYPERLINK("http://mcgill.on.worldcat.org/oclc/9197168","Catalog Record")</f>
        <v>Catalog Record</v>
      </c>
      <c r="AW2439" s="6" t="str">
        <f>HYPERLINK("http://www.worldcat.org/oclc/9197168","WorldCat Record")</f>
        <v>WorldCat Record</v>
      </c>
      <c r="AX2439" s="3" t="s">
        <v>20495</v>
      </c>
      <c r="AY2439" s="3" t="s">
        <v>20496</v>
      </c>
      <c r="AZ2439" s="3" t="s">
        <v>20497</v>
      </c>
      <c r="BA2439" s="3" t="s">
        <v>20497</v>
      </c>
      <c r="BB2439" s="3" t="s">
        <v>20498</v>
      </c>
      <c r="BC2439" s="3" t="s">
        <v>82</v>
      </c>
      <c r="BD2439" s="3" t="s">
        <v>70</v>
      </c>
      <c r="BE2439" s="3" t="s">
        <v>20499</v>
      </c>
      <c r="BF2439" s="3" t="s">
        <v>20498</v>
      </c>
      <c r="BG2439" s="3" t="s">
        <v>20500</v>
      </c>
    </row>
    <row r="2440" spans="1:59" ht="60" x14ac:dyDescent="0.25">
      <c r="A2440" s="2" t="s">
        <v>59</v>
      </c>
      <c r="B2440" s="2" t="s">
        <v>60</v>
      </c>
      <c r="C2440" s="2" t="s">
        <v>20501</v>
      </c>
      <c r="D2440" s="2" t="s">
        <v>20502</v>
      </c>
      <c r="E2440" s="2" t="s">
        <v>20503</v>
      </c>
      <c r="G2440" s="3" t="s">
        <v>63</v>
      </c>
      <c r="I2440" s="3" t="s">
        <v>63</v>
      </c>
      <c r="J2440" s="3" t="s">
        <v>63</v>
      </c>
      <c r="K2440" s="3" t="s">
        <v>64</v>
      </c>
      <c r="L2440" s="2" t="s">
        <v>20504</v>
      </c>
      <c r="M2440" s="2" t="s">
        <v>20505</v>
      </c>
      <c r="N2440" s="3" t="s">
        <v>313</v>
      </c>
      <c r="P2440" s="3" t="s">
        <v>90</v>
      </c>
      <c r="R2440" s="3" t="s">
        <v>67</v>
      </c>
      <c r="S2440" s="4">
        <v>0</v>
      </c>
      <c r="T2440" s="4">
        <v>0</v>
      </c>
      <c r="W2440" s="5" t="s">
        <v>69</v>
      </c>
      <c r="X2440" s="5" t="s">
        <v>69</v>
      </c>
      <c r="Y2440" s="4">
        <v>40</v>
      </c>
      <c r="Z2440" s="4">
        <v>5</v>
      </c>
      <c r="AA2440" s="4">
        <v>5</v>
      </c>
      <c r="AB2440" s="4">
        <v>1</v>
      </c>
      <c r="AC2440" s="4">
        <v>1</v>
      </c>
      <c r="AD2440" s="4">
        <v>33</v>
      </c>
      <c r="AE2440" s="4">
        <v>33</v>
      </c>
      <c r="AF2440" s="4">
        <v>0</v>
      </c>
      <c r="AG2440" s="4">
        <v>0</v>
      </c>
      <c r="AH2440" s="4">
        <v>32</v>
      </c>
      <c r="AI2440" s="4">
        <v>32</v>
      </c>
      <c r="AJ2440" s="4">
        <v>3</v>
      </c>
      <c r="AK2440" s="4">
        <v>3</v>
      </c>
      <c r="AL2440" s="4">
        <v>26</v>
      </c>
      <c r="AM2440" s="4">
        <v>26</v>
      </c>
      <c r="AN2440" s="4">
        <v>0</v>
      </c>
      <c r="AO2440" s="4">
        <v>0</v>
      </c>
      <c r="AP2440" s="4">
        <v>3</v>
      </c>
      <c r="AQ2440" s="4">
        <v>3</v>
      </c>
      <c r="AR2440" s="3" t="s">
        <v>63</v>
      </c>
      <c r="AS2440" s="3" t="s">
        <v>63</v>
      </c>
      <c r="AT2440" s="3" t="s">
        <v>63</v>
      </c>
      <c r="AV2440" s="6" t="str">
        <f>HYPERLINK("http://mcgill.on.worldcat.org/oclc/670281087","Catalog Record")</f>
        <v>Catalog Record</v>
      </c>
      <c r="AW2440" s="6" t="str">
        <f>HYPERLINK("http://www.worldcat.org/oclc/670281087","WorldCat Record")</f>
        <v>WorldCat Record</v>
      </c>
      <c r="AX2440" s="3" t="s">
        <v>20506</v>
      </c>
      <c r="AY2440" s="3" t="s">
        <v>20507</v>
      </c>
      <c r="AZ2440" s="3" t="s">
        <v>20508</v>
      </c>
      <c r="BA2440" s="3" t="s">
        <v>20508</v>
      </c>
      <c r="BB2440" s="3" t="s">
        <v>20509</v>
      </c>
      <c r="BC2440" s="3" t="s">
        <v>82</v>
      </c>
      <c r="BD2440" s="3" t="s">
        <v>70</v>
      </c>
      <c r="BE2440" s="3" t="s">
        <v>20510</v>
      </c>
      <c r="BF2440" s="3" t="s">
        <v>20509</v>
      </c>
      <c r="BG2440" s="3" t="s">
        <v>20511</v>
      </c>
    </row>
    <row r="2441" spans="1:59" ht="60" x14ac:dyDescent="0.25">
      <c r="A2441" s="2" t="s">
        <v>59</v>
      </c>
      <c r="B2441" s="2" t="s">
        <v>60</v>
      </c>
      <c r="C2441" s="2" t="s">
        <v>20512</v>
      </c>
      <c r="D2441" s="2" t="s">
        <v>20513</v>
      </c>
      <c r="E2441" s="2" t="s">
        <v>20514</v>
      </c>
      <c r="G2441" s="3" t="s">
        <v>63</v>
      </c>
      <c r="I2441" s="3" t="s">
        <v>63</v>
      </c>
      <c r="J2441" s="3" t="s">
        <v>63</v>
      </c>
      <c r="K2441" s="3" t="s">
        <v>64</v>
      </c>
      <c r="L2441" s="2" t="s">
        <v>20515</v>
      </c>
      <c r="M2441" s="2" t="s">
        <v>20516</v>
      </c>
      <c r="N2441" s="3" t="s">
        <v>814</v>
      </c>
      <c r="P2441" s="3" t="s">
        <v>66</v>
      </c>
      <c r="R2441" s="3" t="s">
        <v>67</v>
      </c>
      <c r="S2441" s="4">
        <v>22</v>
      </c>
      <c r="T2441" s="4">
        <v>22</v>
      </c>
      <c r="U2441" s="5" t="s">
        <v>15268</v>
      </c>
      <c r="V2441" s="5" t="s">
        <v>15268</v>
      </c>
      <c r="W2441" s="5" t="s">
        <v>69</v>
      </c>
      <c r="X2441" s="5" t="s">
        <v>69</v>
      </c>
      <c r="Y2441" s="4">
        <v>483</v>
      </c>
      <c r="Z2441" s="4">
        <v>23</v>
      </c>
      <c r="AA2441" s="4">
        <v>90</v>
      </c>
      <c r="AB2441" s="4">
        <v>2</v>
      </c>
      <c r="AC2441" s="4">
        <v>15</v>
      </c>
      <c r="AD2441" s="4">
        <v>117</v>
      </c>
      <c r="AE2441" s="4">
        <v>148</v>
      </c>
      <c r="AF2441" s="4">
        <v>1</v>
      </c>
      <c r="AG2441" s="4">
        <v>8</v>
      </c>
      <c r="AH2441" s="4">
        <v>106</v>
      </c>
      <c r="AI2441" s="4">
        <v>111</v>
      </c>
      <c r="AJ2441" s="4">
        <v>17</v>
      </c>
      <c r="AK2441" s="4">
        <v>27</v>
      </c>
      <c r="AL2441" s="4">
        <v>56</v>
      </c>
      <c r="AM2441" s="4">
        <v>57</v>
      </c>
      <c r="AN2441" s="4">
        <v>0</v>
      </c>
      <c r="AO2441" s="4">
        <v>0</v>
      </c>
      <c r="AP2441" s="4">
        <v>18</v>
      </c>
      <c r="AQ2441" s="4">
        <v>47</v>
      </c>
      <c r="AR2441" s="3" t="s">
        <v>63</v>
      </c>
      <c r="AS2441" s="3" t="s">
        <v>63</v>
      </c>
      <c r="AT2441" s="3" t="s">
        <v>62</v>
      </c>
      <c r="AU2441" s="6" t="str">
        <f>HYPERLINK("http://catalog.hathitrust.org/Record/000257628","HathiTrust Record")</f>
        <v>HathiTrust Record</v>
      </c>
      <c r="AV2441" s="6" t="str">
        <f>HYPERLINK("http://mcgill.on.worldcat.org/oclc/4516118","Catalog Record")</f>
        <v>Catalog Record</v>
      </c>
      <c r="AW2441" s="6" t="str">
        <f>HYPERLINK("http://www.worldcat.org/oclc/4516118","WorldCat Record")</f>
        <v>WorldCat Record</v>
      </c>
      <c r="AX2441" s="3" t="s">
        <v>20517</v>
      </c>
      <c r="AY2441" s="3" t="s">
        <v>20518</v>
      </c>
      <c r="AZ2441" s="3" t="s">
        <v>20519</v>
      </c>
      <c r="BA2441" s="3" t="s">
        <v>20519</v>
      </c>
      <c r="BB2441" s="3" t="s">
        <v>20520</v>
      </c>
      <c r="BC2441" s="3" t="s">
        <v>82</v>
      </c>
      <c r="BD2441" s="3" t="s">
        <v>70</v>
      </c>
      <c r="BE2441" s="3" t="s">
        <v>20521</v>
      </c>
      <c r="BF2441" s="3" t="s">
        <v>20520</v>
      </c>
      <c r="BG2441" s="3" t="s">
        <v>20522</v>
      </c>
    </row>
    <row r="2442" spans="1:59" ht="60" x14ac:dyDescent="0.25">
      <c r="A2442" s="2" t="s">
        <v>59</v>
      </c>
      <c r="B2442" s="2" t="s">
        <v>60</v>
      </c>
      <c r="C2442" s="2" t="s">
        <v>20523</v>
      </c>
      <c r="D2442" s="2" t="s">
        <v>20524</v>
      </c>
      <c r="E2442" s="2" t="s">
        <v>20525</v>
      </c>
      <c r="G2442" s="3" t="s">
        <v>63</v>
      </c>
      <c r="I2442" s="3" t="s">
        <v>63</v>
      </c>
      <c r="J2442" s="3" t="s">
        <v>63</v>
      </c>
      <c r="K2442" s="3" t="s">
        <v>64</v>
      </c>
      <c r="L2442" s="2" t="s">
        <v>20526</v>
      </c>
      <c r="M2442" s="2" t="s">
        <v>20527</v>
      </c>
      <c r="N2442" s="3" t="s">
        <v>204</v>
      </c>
      <c r="P2442" s="3" t="s">
        <v>66</v>
      </c>
      <c r="R2442" s="3" t="s">
        <v>67</v>
      </c>
      <c r="S2442" s="4">
        <v>19</v>
      </c>
      <c r="T2442" s="4">
        <v>19</v>
      </c>
      <c r="U2442" s="5" t="s">
        <v>20393</v>
      </c>
      <c r="V2442" s="5" t="s">
        <v>20393</v>
      </c>
      <c r="W2442" s="5" t="s">
        <v>69</v>
      </c>
      <c r="X2442" s="5" t="s">
        <v>69</v>
      </c>
      <c r="Y2442" s="4">
        <v>236</v>
      </c>
      <c r="Z2442" s="4">
        <v>15</v>
      </c>
      <c r="AA2442" s="4">
        <v>18</v>
      </c>
      <c r="AB2442" s="4">
        <v>1</v>
      </c>
      <c r="AC2442" s="4">
        <v>2</v>
      </c>
      <c r="AD2442" s="4">
        <v>99</v>
      </c>
      <c r="AE2442" s="4">
        <v>102</v>
      </c>
      <c r="AF2442" s="4">
        <v>0</v>
      </c>
      <c r="AG2442" s="4">
        <v>0</v>
      </c>
      <c r="AH2442" s="4">
        <v>91</v>
      </c>
      <c r="AI2442" s="4">
        <v>92</v>
      </c>
      <c r="AJ2442" s="4">
        <v>12</v>
      </c>
      <c r="AK2442" s="4">
        <v>12</v>
      </c>
      <c r="AL2442" s="4">
        <v>55</v>
      </c>
      <c r="AM2442" s="4">
        <v>55</v>
      </c>
      <c r="AN2442" s="4">
        <v>0</v>
      </c>
      <c r="AO2442" s="4">
        <v>0</v>
      </c>
      <c r="AP2442" s="4">
        <v>13</v>
      </c>
      <c r="AQ2442" s="4">
        <v>15</v>
      </c>
      <c r="AR2442" s="3" t="s">
        <v>63</v>
      </c>
      <c r="AS2442" s="3" t="s">
        <v>63</v>
      </c>
      <c r="AT2442" s="3" t="s">
        <v>62</v>
      </c>
      <c r="AU2442" s="6" t="str">
        <f>HYPERLINK("http://catalog.hathitrust.org/Record/003085562","HathiTrust Record")</f>
        <v>HathiTrust Record</v>
      </c>
      <c r="AV2442" s="6" t="str">
        <f>HYPERLINK("http://mcgill.on.worldcat.org/oclc/33333359","Catalog Record")</f>
        <v>Catalog Record</v>
      </c>
      <c r="AW2442" s="6" t="str">
        <f>HYPERLINK("http://www.worldcat.org/oclc/33333359","WorldCat Record")</f>
        <v>WorldCat Record</v>
      </c>
      <c r="AX2442" s="3" t="s">
        <v>20528</v>
      </c>
      <c r="AY2442" s="3" t="s">
        <v>20529</v>
      </c>
      <c r="AZ2442" s="3" t="s">
        <v>20530</v>
      </c>
      <c r="BA2442" s="3" t="s">
        <v>20530</v>
      </c>
      <c r="BB2442" s="3" t="s">
        <v>20531</v>
      </c>
      <c r="BC2442" s="3" t="s">
        <v>82</v>
      </c>
      <c r="BD2442" s="3" t="s">
        <v>70</v>
      </c>
      <c r="BE2442" s="3" t="s">
        <v>20532</v>
      </c>
      <c r="BF2442" s="3" t="s">
        <v>20531</v>
      </c>
      <c r="BG2442" s="3" t="s">
        <v>20533</v>
      </c>
    </row>
    <row r="2443" spans="1:59" ht="60" x14ac:dyDescent="0.25">
      <c r="A2443" s="2" t="s">
        <v>59</v>
      </c>
      <c r="B2443" s="2" t="s">
        <v>60</v>
      </c>
      <c r="C2443" s="2" t="s">
        <v>20534</v>
      </c>
      <c r="D2443" s="2" t="s">
        <v>20535</v>
      </c>
      <c r="E2443" s="2" t="s">
        <v>20536</v>
      </c>
      <c r="F2443" s="3" t="s">
        <v>3653</v>
      </c>
      <c r="G2443" s="3" t="s">
        <v>62</v>
      </c>
      <c r="I2443" s="3" t="s">
        <v>63</v>
      </c>
      <c r="J2443" s="3" t="s">
        <v>63</v>
      </c>
      <c r="K2443" s="3" t="s">
        <v>64</v>
      </c>
      <c r="L2443" s="2" t="s">
        <v>20537</v>
      </c>
      <c r="M2443" s="2" t="s">
        <v>20538</v>
      </c>
      <c r="N2443" s="3" t="s">
        <v>2043</v>
      </c>
      <c r="P2443" s="3" t="s">
        <v>548</v>
      </c>
      <c r="R2443" s="3" t="s">
        <v>67</v>
      </c>
      <c r="S2443" s="4">
        <v>0</v>
      </c>
      <c r="T2443" s="4">
        <v>2</v>
      </c>
      <c r="V2443" s="5" t="s">
        <v>11152</v>
      </c>
      <c r="W2443" s="5" t="s">
        <v>69</v>
      </c>
      <c r="X2443" s="5" t="s">
        <v>69</v>
      </c>
      <c r="Y2443" s="4">
        <v>50</v>
      </c>
      <c r="Z2443" s="4">
        <v>9</v>
      </c>
      <c r="AA2443" s="4">
        <v>9</v>
      </c>
      <c r="AB2443" s="4">
        <v>1</v>
      </c>
      <c r="AC2443" s="4">
        <v>1</v>
      </c>
      <c r="AD2443" s="4">
        <v>36</v>
      </c>
      <c r="AE2443" s="4">
        <v>36</v>
      </c>
      <c r="AF2443" s="4">
        <v>0</v>
      </c>
      <c r="AG2443" s="4">
        <v>0</v>
      </c>
      <c r="AH2443" s="4">
        <v>33</v>
      </c>
      <c r="AI2443" s="4">
        <v>33</v>
      </c>
      <c r="AJ2443" s="4">
        <v>8</v>
      </c>
      <c r="AK2443" s="4">
        <v>8</v>
      </c>
      <c r="AL2443" s="4">
        <v>23</v>
      </c>
      <c r="AM2443" s="4">
        <v>23</v>
      </c>
      <c r="AN2443" s="4">
        <v>0</v>
      </c>
      <c r="AO2443" s="4">
        <v>0</v>
      </c>
      <c r="AP2443" s="4">
        <v>8</v>
      </c>
      <c r="AQ2443" s="4">
        <v>8</v>
      </c>
      <c r="AR2443" s="3" t="s">
        <v>63</v>
      </c>
      <c r="AS2443" s="3" t="s">
        <v>63</v>
      </c>
      <c r="AT2443" s="3" t="s">
        <v>62</v>
      </c>
      <c r="AU2443" s="6" t="str">
        <f>HYPERLINK("http://catalog.hathitrust.org/Record/000561567","HathiTrust Record")</f>
        <v>HathiTrust Record</v>
      </c>
      <c r="AV2443" s="6" t="str">
        <f>HYPERLINK("http://mcgill.on.worldcat.org/oclc/8045431","Catalog Record")</f>
        <v>Catalog Record</v>
      </c>
      <c r="AW2443" s="6" t="str">
        <f>HYPERLINK("http://www.worldcat.org/oclc/8045431","WorldCat Record")</f>
        <v>WorldCat Record</v>
      </c>
      <c r="AX2443" s="3" t="s">
        <v>20539</v>
      </c>
      <c r="AY2443" s="3" t="s">
        <v>20540</v>
      </c>
      <c r="AZ2443" s="3" t="s">
        <v>20541</v>
      </c>
      <c r="BA2443" s="3" t="s">
        <v>20541</v>
      </c>
      <c r="BB2443" s="3" t="s">
        <v>20542</v>
      </c>
      <c r="BC2443" s="3" t="s">
        <v>82</v>
      </c>
      <c r="BD2443" s="3" t="s">
        <v>70</v>
      </c>
      <c r="BE2443" s="3" t="s">
        <v>20543</v>
      </c>
      <c r="BF2443" s="3" t="s">
        <v>20542</v>
      </c>
      <c r="BG2443" s="3" t="s">
        <v>20544</v>
      </c>
    </row>
    <row r="2444" spans="1:59" ht="60" x14ac:dyDescent="0.25">
      <c r="A2444" s="2" t="s">
        <v>59</v>
      </c>
      <c r="B2444" s="2" t="s">
        <v>60</v>
      </c>
      <c r="C2444" s="2" t="s">
        <v>20534</v>
      </c>
      <c r="D2444" s="2" t="s">
        <v>20535</v>
      </c>
      <c r="E2444" s="2" t="s">
        <v>20536</v>
      </c>
      <c r="F2444" s="3" t="s">
        <v>3647</v>
      </c>
      <c r="G2444" s="3" t="s">
        <v>62</v>
      </c>
      <c r="I2444" s="3" t="s">
        <v>63</v>
      </c>
      <c r="J2444" s="3" t="s">
        <v>63</v>
      </c>
      <c r="K2444" s="3" t="s">
        <v>64</v>
      </c>
      <c r="L2444" s="2" t="s">
        <v>20537</v>
      </c>
      <c r="M2444" s="2" t="s">
        <v>20538</v>
      </c>
      <c r="N2444" s="3" t="s">
        <v>2043</v>
      </c>
      <c r="P2444" s="3" t="s">
        <v>548</v>
      </c>
      <c r="R2444" s="3" t="s">
        <v>67</v>
      </c>
      <c r="S2444" s="4">
        <v>2</v>
      </c>
      <c r="T2444" s="4">
        <v>2</v>
      </c>
      <c r="U2444" s="5" t="s">
        <v>11152</v>
      </c>
      <c r="V2444" s="5" t="s">
        <v>11152</v>
      </c>
      <c r="W2444" s="5" t="s">
        <v>69</v>
      </c>
      <c r="X2444" s="5" t="s">
        <v>69</v>
      </c>
      <c r="Y2444" s="4">
        <v>50</v>
      </c>
      <c r="Z2444" s="4">
        <v>9</v>
      </c>
      <c r="AA2444" s="4">
        <v>9</v>
      </c>
      <c r="AB2444" s="4">
        <v>1</v>
      </c>
      <c r="AC2444" s="4">
        <v>1</v>
      </c>
      <c r="AD2444" s="4">
        <v>36</v>
      </c>
      <c r="AE2444" s="4">
        <v>36</v>
      </c>
      <c r="AF2444" s="4">
        <v>0</v>
      </c>
      <c r="AG2444" s="4">
        <v>0</v>
      </c>
      <c r="AH2444" s="4">
        <v>33</v>
      </c>
      <c r="AI2444" s="4">
        <v>33</v>
      </c>
      <c r="AJ2444" s="4">
        <v>8</v>
      </c>
      <c r="AK2444" s="4">
        <v>8</v>
      </c>
      <c r="AL2444" s="4">
        <v>23</v>
      </c>
      <c r="AM2444" s="4">
        <v>23</v>
      </c>
      <c r="AN2444" s="4">
        <v>0</v>
      </c>
      <c r="AO2444" s="4">
        <v>0</v>
      </c>
      <c r="AP2444" s="4">
        <v>8</v>
      </c>
      <c r="AQ2444" s="4">
        <v>8</v>
      </c>
      <c r="AR2444" s="3" t="s">
        <v>63</v>
      </c>
      <c r="AS2444" s="3" t="s">
        <v>63</v>
      </c>
      <c r="AT2444" s="3" t="s">
        <v>62</v>
      </c>
      <c r="AU2444" s="6" t="str">
        <f>HYPERLINK("http://catalog.hathitrust.org/Record/000561567","HathiTrust Record")</f>
        <v>HathiTrust Record</v>
      </c>
      <c r="AV2444" s="6" t="str">
        <f>HYPERLINK("http://mcgill.on.worldcat.org/oclc/8045431","Catalog Record")</f>
        <v>Catalog Record</v>
      </c>
      <c r="AW2444" s="6" t="str">
        <f>HYPERLINK("http://www.worldcat.org/oclc/8045431","WorldCat Record")</f>
        <v>WorldCat Record</v>
      </c>
      <c r="AX2444" s="3" t="s">
        <v>20539</v>
      </c>
      <c r="AY2444" s="3" t="s">
        <v>20540</v>
      </c>
      <c r="AZ2444" s="3" t="s">
        <v>20541</v>
      </c>
      <c r="BA2444" s="3" t="s">
        <v>20541</v>
      </c>
      <c r="BB2444" s="3" t="s">
        <v>20545</v>
      </c>
      <c r="BC2444" s="3" t="s">
        <v>82</v>
      </c>
      <c r="BD2444" s="3" t="s">
        <v>70</v>
      </c>
      <c r="BE2444" s="3" t="s">
        <v>20543</v>
      </c>
      <c r="BF2444" s="3" t="s">
        <v>20545</v>
      </c>
      <c r="BG2444" s="3" t="s">
        <v>20546</v>
      </c>
    </row>
    <row r="2445" spans="1:59" ht="60" x14ac:dyDescent="0.25">
      <c r="A2445" s="2" t="s">
        <v>59</v>
      </c>
      <c r="B2445" s="2" t="s">
        <v>60</v>
      </c>
      <c r="C2445" s="2" t="s">
        <v>20534</v>
      </c>
      <c r="D2445" s="2" t="s">
        <v>20535</v>
      </c>
      <c r="E2445" s="2" t="s">
        <v>20536</v>
      </c>
      <c r="F2445" s="3" t="s">
        <v>3650</v>
      </c>
      <c r="G2445" s="3" t="s">
        <v>62</v>
      </c>
      <c r="I2445" s="3" t="s">
        <v>63</v>
      </c>
      <c r="J2445" s="3" t="s">
        <v>63</v>
      </c>
      <c r="K2445" s="3" t="s">
        <v>64</v>
      </c>
      <c r="L2445" s="2" t="s">
        <v>20537</v>
      </c>
      <c r="M2445" s="2" t="s">
        <v>20538</v>
      </c>
      <c r="N2445" s="3" t="s">
        <v>2043</v>
      </c>
      <c r="P2445" s="3" t="s">
        <v>548</v>
      </c>
      <c r="R2445" s="3" t="s">
        <v>67</v>
      </c>
      <c r="S2445" s="4">
        <v>0</v>
      </c>
      <c r="T2445" s="4">
        <v>2</v>
      </c>
      <c r="V2445" s="5" t="s">
        <v>11152</v>
      </c>
      <c r="W2445" s="5" t="s">
        <v>69</v>
      </c>
      <c r="X2445" s="5" t="s">
        <v>69</v>
      </c>
      <c r="Y2445" s="4">
        <v>50</v>
      </c>
      <c r="Z2445" s="4">
        <v>9</v>
      </c>
      <c r="AA2445" s="4">
        <v>9</v>
      </c>
      <c r="AB2445" s="4">
        <v>1</v>
      </c>
      <c r="AC2445" s="4">
        <v>1</v>
      </c>
      <c r="AD2445" s="4">
        <v>36</v>
      </c>
      <c r="AE2445" s="4">
        <v>36</v>
      </c>
      <c r="AF2445" s="4">
        <v>0</v>
      </c>
      <c r="AG2445" s="4">
        <v>0</v>
      </c>
      <c r="AH2445" s="4">
        <v>33</v>
      </c>
      <c r="AI2445" s="4">
        <v>33</v>
      </c>
      <c r="AJ2445" s="4">
        <v>8</v>
      </c>
      <c r="AK2445" s="4">
        <v>8</v>
      </c>
      <c r="AL2445" s="4">
        <v>23</v>
      </c>
      <c r="AM2445" s="4">
        <v>23</v>
      </c>
      <c r="AN2445" s="4">
        <v>0</v>
      </c>
      <c r="AO2445" s="4">
        <v>0</v>
      </c>
      <c r="AP2445" s="4">
        <v>8</v>
      </c>
      <c r="AQ2445" s="4">
        <v>8</v>
      </c>
      <c r="AR2445" s="3" t="s">
        <v>63</v>
      </c>
      <c r="AS2445" s="3" t="s">
        <v>63</v>
      </c>
      <c r="AT2445" s="3" t="s">
        <v>62</v>
      </c>
      <c r="AU2445" s="6" t="str">
        <f>HYPERLINK("http://catalog.hathitrust.org/Record/000561567","HathiTrust Record")</f>
        <v>HathiTrust Record</v>
      </c>
      <c r="AV2445" s="6" t="str">
        <f>HYPERLINK("http://mcgill.on.worldcat.org/oclc/8045431","Catalog Record")</f>
        <v>Catalog Record</v>
      </c>
      <c r="AW2445" s="6" t="str">
        <f>HYPERLINK("http://www.worldcat.org/oclc/8045431","WorldCat Record")</f>
        <v>WorldCat Record</v>
      </c>
      <c r="AX2445" s="3" t="s">
        <v>20539</v>
      </c>
      <c r="AY2445" s="3" t="s">
        <v>20540</v>
      </c>
      <c r="AZ2445" s="3" t="s">
        <v>20541</v>
      </c>
      <c r="BA2445" s="3" t="s">
        <v>20541</v>
      </c>
      <c r="BB2445" s="3" t="s">
        <v>20547</v>
      </c>
      <c r="BC2445" s="3" t="s">
        <v>82</v>
      </c>
      <c r="BD2445" s="3" t="s">
        <v>70</v>
      </c>
      <c r="BE2445" s="3" t="s">
        <v>20543</v>
      </c>
      <c r="BF2445" s="3" t="s">
        <v>20547</v>
      </c>
      <c r="BG2445" s="3" t="s">
        <v>20548</v>
      </c>
    </row>
    <row r="2446" spans="1:59" ht="60" x14ac:dyDescent="0.25">
      <c r="A2446" s="2" t="s">
        <v>59</v>
      </c>
      <c r="B2446" s="2" t="s">
        <v>60</v>
      </c>
      <c r="C2446" s="2" t="s">
        <v>20549</v>
      </c>
      <c r="D2446" s="2" t="s">
        <v>20550</v>
      </c>
      <c r="E2446" s="2" t="s">
        <v>20551</v>
      </c>
      <c r="G2446" s="3" t="s">
        <v>63</v>
      </c>
      <c r="I2446" s="3" t="s">
        <v>63</v>
      </c>
      <c r="J2446" s="3" t="s">
        <v>63</v>
      </c>
      <c r="K2446" s="3" t="s">
        <v>64</v>
      </c>
      <c r="L2446" s="2" t="s">
        <v>20552</v>
      </c>
      <c r="M2446" s="2" t="s">
        <v>8081</v>
      </c>
      <c r="N2446" s="3" t="s">
        <v>247</v>
      </c>
      <c r="P2446" s="3" t="s">
        <v>66</v>
      </c>
      <c r="Q2446" s="2" t="s">
        <v>5294</v>
      </c>
      <c r="R2446" s="3" t="s">
        <v>67</v>
      </c>
      <c r="S2446" s="4">
        <v>15</v>
      </c>
      <c r="T2446" s="4">
        <v>15</v>
      </c>
      <c r="U2446" s="5" t="s">
        <v>6950</v>
      </c>
      <c r="V2446" s="5" t="s">
        <v>6950</v>
      </c>
      <c r="W2446" s="5" t="s">
        <v>69</v>
      </c>
      <c r="X2446" s="5" t="s">
        <v>69</v>
      </c>
      <c r="Y2446" s="4">
        <v>266</v>
      </c>
      <c r="Z2446" s="4">
        <v>23</v>
      </c>
      <c r="AA2446" s="4">
        <v>24</v>
      </c>
      <c r="AB2446" s="4">
        <v>1</v>
      </c>
      <c r="AC2446" s="4">
        <v>1</v>
      </c>
      <c r="AD2446" s="4">
        <v>107</v>
      </c>
      <c r="AE2446" s="4">
        <v>109</v>
      </c>
      <c r="AF2446" s="4">
        <v>0</v>
      </c>
      <c r="AG2446" s="4">
        <v>0</v>
      </c>
      <c r="AH2446" s="4">
        <v>96</v>
      </c>
      <c r="AI2446" s="4">
        <v>98</v>
      </c>
      <c r="AJ2446" s="4">
        <v>18</v>
      </c>
      <c r="AK2446" s="4">
        <v>19</v>
      </c>
      <c r="AL2446" s="4">
        <v>52</v>
      </c>
      <c r="AM2446" s="4">
        <v>52</v>
      </c>
      <c r="AN2446" s="4">
        <v>0</v>
      </c>
      <c r="AO2446" s="4">
        <v>0</v>
      </c>
      <c r="AP2446" s="4">
        <v>18</v>
      </c>
      <c r="AQ2446" s="4">
        <v>19</v>
      </c>
      <c r="AR2446" s="3" t="s">
        <v>63</v>
      </c>
      <c r="AS2446" s="3" t="s">
        <v>63</v>
      </c>
      <c r="AT2446" s="3" t="s">
        <v>63</v>
      </c>
      <c r="AV2446" s="6" t="str">
        <f>HYPERLINK("http://mcgill.on.worldcat.org/oclc/8112866","Catalog Record")</f>
        <v>Catalog Record</v>
      </c>
      <c r="AW2446" s="6" t="str">
        <f>HYPERLINK("http://www.worldcat.org/oclc/8112866","WorldCat Record")</f>
        <v>WorldCat Record</v>
      </c>
      <c r="AX2446" s="3" t="s">
        <v>20553</v>
      </c>
      <c r="AY2446" s="3" t="s">
        <v>20554</v>
      </c>
      <c r="AZ2446" s="3" t="s">
        <v>20555</v>
      </c>
      <c r="BA2446" s="3" t="s">
        <v>20555</v>
      </c>
      <c r="BB2446" s="3" t="s">
        <v>20556</v>
      </c>
      <c r="BC2446" s="3" t="s">
        <v>82</v>
      </c>
      <c r="BD2446" s="3" t="s">
        <v>70</v>
      </c>
      <c r="BE2446" s="3" t="s">
        <v>20557</v>
      </c>
      <c r="BF2446" s="3" t="s">
        <v>20556</v>
      </c>
      <c r="BG2446" s="3" t="s">
        <v>20558</v>
      </c>
    </row>
    <row r="2447" spans="1:59" ht="60" x14ac:dyDescent="0.25">
      <c r="A2447" s="2" t="s">
        <v>59</v>
      </c>
      <c r="B2447" s="2" t="s">
        <v>60</v>
      </c>
      <c r="C2447" s="2" t="s">
        <v>20559</v>
      </c>
      <c r="D2447" s="2" t="s">
        <v>20560</v>
      </c>
      <c r="E2447" s="2" t="s">
        <v>20561</v>
      </c>
      <c r="G2447" s="3" t="s">
        <v>63</v>
      </c>
      <c r="I2447" s="3" t="s">
        <v>63</v>
      </c>
      <c r="J2447" s="3" t="s">
        <v>63</v>
      </c>
      <c r="K2447" s="3" t="s">
        <v>64</v>
      </c>
      <c r="L2447" s="2" t="s">
        <v>20562</v>
      </c>
      <c r="M2447" s="2" t="s">
        <v>20563</v>
      </c>
      <c r="N2447" s="3" t="s">
        <v>3640</v>
      </c>
      <c r="P2447" s="3" t="s">
        <v>66</v>
      </c>
      <c r="R2447" s="3" t="s">
        <v>67</v>
      </c>
      <c r="S2447" s="4">
        <v>22</v>
      </c>
      <c r="T2447" s="4">
        <v>22</v>
      </c>
      <c r="U2447" s="5" t="s">
        <v>17904</v>
      </c>
      <c r="V2447" s="5" t="s">
        <v>17904</v>
      </c>
      <c r="W2447" s="5" t="s">
        <v>69</v>
      </c>
      <c r="X2447" s="5" t="s">
        <v>69</v>
      </c>
      <c r="Y2447" s="4">
        <v>240</v>
      </c>
      <c r="Z2447" s="4">
        <v>16</v>
      </c>
      <c r="AA2447" s="4">
        <v>16</v>
      </c>
      <c r="AB2447" s="4">
        <v>1</v>
      </c>
      <c r="AC2447" s="4">
        <v>1</v>
      </c>
      <c r="AD2447" s="4">
        <v>92</v>
      </c>
      <c r="AE2447" s="4">
        <v>92</v>
      </c>
      <c r="AF2447" s="4">
        <v>0</v>
      </c>
      <c r="AG2447" s="4">
        <v>0</v>
      </c>
      <c r="AH2447" s="4">
        <v>85</v>
      </c>
      <c r="AI2447" s="4">
        <v>85</v>
      </c>
      <c r="AJ2447" s="4">
        <v>12</v>
      </c>
      <c r="AK2447" s="4">
        <v>12</v>
      </c>
      <c r="AL2447" s="4">
        <v>50</v>
      </c>
      <c r="AM2447" s="4">
        <v>50</v>
      </c>
      <c r="AN2447" s="4">
        <v>0</v>
      </c>
      <c r="AO2447" s="4">
        <v>0</v>
      </c>
      <c r="AP2447" s="4">
        <v>12</v>
      </c>
      <c r="AQ2447" s="4">
        <v>12</v>
      </c>
      <c r="AR2447" s="3" t="s">
        <v>63</v>
      </c>
      <c r="AS2447" s="3" t="s">
        <v>63</v>
      </c>
      <c r="AT2447" s="3" t="s">
        <v>62</v>
      </c>
      <c r="AU2447" s="6" t="str">
        <f>HYPERLINK("http://catalog.hathitrust.org/Record/000312529","HathiTrust Record")</f>
        <v>HathiTrust Record</v>
      </c>
      <c r="AV2447" s="6" t="str">
        <f>HYPERLINK("http://mcgill.on.worldcat.org/oclc/8975769","Catalog Record")</f>
        <v>Catalog Record</v>
      </c>
      <c r="AW2447" s="6" t="str">
        <f>HYPERLINK("http://www.worldcat.org/oclc/8975769","WorldCat Record")</f>
        <v>WorldCat Record</v>
      </c>
      <c r="AX2447" s="3" t="s">
        <v>20564</v>
      </c>
      <c r="AY2447" s="3" t="s">
        <v>20565</v>
      </c>
      <c r="AZ2447" s="3" t="s">
        <v>20566</v>
      </c>
      <c r="BA2447" s="3" t="s">
        <v>20566</v>
      </c>
      <c r="BB2447" s="3" t="s">
        <v>20567</v>
      </c>
      <c r="BC2447" s="3" t="s">
        <v>82</v>
      </c>
      <c r="BD2447" s="3" t="s">
        <v>70</v>
      </c>
      <c r="BE2447" s="3" t="s">
        <v>20568</v>
      </c>
      <c r="BF2447" s="3" t="s">
        <v>20567</v>
      </c>
      <c r="BG2447" s="3" t="s">
        <v>20569</v>
      </c>
    </row>
    <row r="2448" spans="1:59" ht="60" x14ac:dyDescent="0.25">
      <c r="A2448" s="2" t="s">
        <v>59</v>
      </c>
      <c r="B2448" s="2" t="s">
        <v>60</v>
      </c>
      <c r="C2448" s="2" t="s">
        <v>20570</v>
      </c>
      <c r="D2448" s="2" t="s">
        <v>20571</v>
      </c>
      <c r="E2448" s="2" t="s">
        <v>20572</v>
      </c>
      <c r="G2448" s="3" t="s">
        <v>63</v>
      </c>
      <c r="I2448" s="3" t="s">
        <v>63</v>
      </c>
      <c r="J2448" s="3" t="s">
        <v>63</v>
      </c>
      <c r="K2448" s="3" t="s">
        <v>64</v>
      </c>
      <c r="L2448" s="2" t="s">
        <v>20562</v>
      </c>
      <c r="M2448" s="2" t="s">
        <v>20573</v>
      </c>
      <c r="N2448" s="3" t="s">
        <v>11471</v>
      </c>
      <c r="P2448" s="3" t="s">
        <v>66</v>
      </c>
      <c r="R2448" s="3" t="s">
        <v>67</v>
      </c>
      <c r="S2448" s="4">
        <v>16</v>
      </c>
      <c r="T2448" s="4">
        <v>16</v>
      </c>
      <c r="U2448" s="5" t="s">
        <v>20574</v>
      </c>
      <c r="V2448" s="5" t="s">
        <v>20574</v>
      </c>
      <c r="W2448" s="5" t="s">
        <v>69</v>
      </c>
      <c r="X2448" s="5" t="s">
        <v>69</v>
      </c>
      <c r="Y2448" s="4">
        <v>181</v>
      </c>
      <c r="Z2448" s="4">
        <v>10</v>
      </c>
      <c r="AA2448" s="4">
        <v>13</v>
      </c>
      <c r="AB2448" s="4">
        <v>3</v>
      </c>
      <c r="AC2448" s="4">
        <v>3</v>
      </c>
      <c r="AD2448" s="4">
        <v>69</v>
      </c>
      <c r="AE2448" s="4">
        <v>74</v>
      </c>
      <c r="AF2448" s="4">
        <v>2</v>
      </c>
      <c r="AG2448" s="4">
        <v>2</v>
      </c>
      <c r="AH2448" s="4">
        <v>63</v>
      </c>
      <c r="AI2448" s="4">
        <v>67</v>
      </c>
      <c r="AJ2448" s="4">
        <v>6</v>
      </c>
      <c r="AK2448" s="4">
        <v>9</v>
      </c>
      <c r="AL2448" s="4">
        <v>39</v>
      </c>
      <c r="AM2448" s="4">
        <v>40</v>
      </c>
      <c r="AN2448" s="4">
        <v>0</v>
      </c>
      <c r="AO2448" s="4">
        <v>0</v>
      </c>
      <c r="AP2448" s="4">
        <v>6</v>
      </c>
      <c r="AQ2448" s="4">
        <v>9</v>
      </c>
      <c r="AR2448" s="3" t="s">
        <v>63</v>
      </c>
      <c r="AS2448" s="3" t="s">
        <v>62</v>
      </c>
      <c r="AT2448" s="3" t="s">
        <v>63</v>
      </c>
      <c r="AU2448" s="6" t="str">
        <f>HYPERLINK("http://catalog.hathitrust.org/Record/001353536","HathiTrust Record")</f>
        <v>HathiTrust Record</v>
      </c>
      <c r="AV2448" s="6" t="str">
        <f>HYPERLINK("http://mcgill.on.worldcat.org/oclc/895748","Catalog Record")</f>
        <v>Catalog Record</v>
      </c>
      <c r="AW2448" s="6" t="str">
        <f>HYPERLINK("http://www.worldcat.org/oclc/895748","WorldCat Record")</f>
        <v>WorldCat Record</v>
      </c>
      <c r="AX2448" s="3" t="s">
        <v>20575</v>
      </c>
      <c r="AY2448" s="3" t="s">
        <v>20576</v>
      </c>
      <c r="AZ2448" s="3" t="s">
        <v>20577</v>
      </c>
      <c r="BA2448" s="3" t="s">
        <v>20577</v>
      </c>
      <c r="BB2448" s="3" t="s">
        <v>20578</v>
      </c>
      <c r="BC2448" s="3" t="s">
        <v>82</v>
      </c>
      <c r="BD2448" s="3" t="s">
        <v>70</v>
      </c>
      <c r="BF2448" s="3" t="s">
        <v>20578</v>
      </c>
      <c r="BG2448" s="3" t="s">
        <v>20579</v>
      </c>
    </row>
    <row r="2449" spans="1:59" ht="60" x14ac:dyDescent="0.25">
      <c r="A2449" s="2" t="s">
        <v>59</v>
      </c>
      <c r="B2449" s="2" t="s">
        <v>60</v>
      </c>
      <c r="C2449" s="2" t="s">
        <v>20580</v>
      </c>
      <c r="D2449" s="2" t="s">
        <v>20581</v>
      </c>
      <c r="E2449" s="2" t="s">
        <v>20582</v>
      </c>
      <c r="G2449" s="3" t="s">
        <v>63</v>
      </c>
      <c r="I2449" s="3" t="s">
        <v>63</v>
      </c>
      <c r="J2449" s="3" t="s">
        <v>63</v>
      </c>
      <c r="K2449" s="3" t="s">
        <v>64</v>
      </c>
      <c r="L2449" s="2" t="s">
        <v>20562</v>
      </c>
      <c r="M2449" s="2" t="s">
        <v>20583</v>
      </c>
      <c r="N2449" s="3" t="s">
        <v>10455</v>
      </c>
      <c r="P2449" s="3" t="s">
        <v>90</v>
      </c>
      <c r="R2449" s="3" t="s">
        <v>67</v>
      </c>
      <c r="S2449" s="4">
        <v>2</v>
      </c>
      <c r="T2449" s="4">
        <v>2</v>
      </c>
      <c r="U2449" s="5" t="s">
        <v>10214</v>
      </c>
      <c r="V2449" s="5" t="s">
        <v>10214</v>
      </c>
      <c r="W2449" s="5" t="s">
        <v>69</v>
      </c>
      <c r="X2449" s="5" t="s">
        <v>69</v>
      </c>
      <c r="Y2449" s="4">
        <v>57</v>
      </c>
      <c r="Z2449" s="4">
        <v>2</v>
      </c>
      <c r="AA2449" s="4">
        <v>5</v>
      </c>
      <c r="AB2449" s="4">
        <v>1</v>
      </c>
      <c r="AC2449" s="4">
        <v>1</v>
      </c>
      <c r="AD2449" s="4">
        <v>32</v>
      </c>
      <c r="AE2449" s="4">
        <v>38</v>
      </c>
      <c r="AF2449" s="4">
        <v>0</v>
      </c>
      <c r="AG2449" s="4">
        <v>0</v>
      </c>
      <c r="AH2449" s="4">
        <v>32</v>
      </c>
      <c r="AI2449" s="4">
        <v>38</v>
      </c>
      <c r="AJ2449" s="4">
        <v>0</v>
      </c>
      <c r="AK2449" s="4">
        <v>1</v>
      </c>
      <c r="AL2449" s="4">
        <v>22</v>
      </c>
      <c r="AM2449" s="4">
        <v>26</v>
      </c>
      <c r="AN2449" s="4">
        <v>0</v>
      </c>
      <c r="AO2449" s="4">
        <v>0</v>
      </c>
      <c r="AP2449" s="4">
        <v>0</v>
      </c>
      <c r="AQ2449" s="4">
        <v>1</v>
      </c>
      <c r="AR2449" s="3" t="s">
        <v>63</v>
      </c>
      <c r="AS2449" s="3" t="s">
        <v>63</v>
      </c>
      <c r="AT2449" s="3" t="s">
        <v>62</v>
      </c>
      <c r="AU2449" s="6" t="str">
        <f>HYPERLINK("http://catalog.hathitrust.org/Record/011811449","HathiTrust Record")</f>
        <v>HathiTrust Record</v>
      </c>
      <c r="AV2449" s="6" t="str">
        <f>HYPERLINK("http://mcgill.on.worldcat.org/oclc/4044383","Catalog Record")</f>
        <v>Catalog Record</v>
      </c>
      <c r="AW2449" s="6" t="str">
        <f>HYPERLINK("http://www.worldcat.org/oclc/4044383","WorldCat Record")</f>
        <v>WorldCat Record</v>
      </c>
      <c r="AX2449" s="3" t="s">
        <v>20584</v>
      </c>
      <c r="AY2449" s="3" t="s">
        <v>20585</v>
      </c>
      <c r="AZ2449" s="3" t="s">
        <v>20586</v>
      </c>
      <c r="BA2449" s="3" t="s">
        <v>20586</v>
      </c>
      <c r="BB2449" s="3" t="s">
        <v>20587</v>
      </c>
      <c r="BC2449" s="3" t="s">
        <v>82</v>
      </c>
      <c r="BD2449" s="3" t="s">
        <v>70</v>
      </c>
      <c r="BF2449" s="3" t="s">
        <v>20587</v>
      </c>
      <c r="BG2449" s="3" t="s">
        <v>20588</v>
      </c>
    </row>
    <row r="2450" spans="1:59" ht="60" x14ac:dyDescent="0.25">
      <c r="A2450" s="2" t="s">
        <v>59</v>
      </c>
      <c r="B2450" s="2" t="s">
        <v>60</v>
      </c>
      <c r="C2450" s="2" t="s">
        <v>20589</v>
      </c>
      <c r="D2450" s="2" t="s">
        <v>20590</v>
      </c>
      <c r="E2450" s="2" t="s">
        <v>20591</v>
      </c>
      <c r="G2450" s="3" t="s">
        <v>63</v>
      </c>
      <c r="I2450" s="3" t="s">
        <v>62</v>
      </c>
      <c r="J2450" s="3" t="s">
        <v>62</v>
      </c>
      <c r="K2450" s="3" t="s">
        <v>64</v>
      </c>
      <c r="L2450" s="2" t="s">
        <v>20562</v>
      </c>
      <c r="M2450" s="2" t="s">
        <v>20592</v>
      </c>
      <c r="N2450" s="3" t="s">
        <v>468</v>
      </c>
      <c r="P2450" s="3" t="s">
        <v>90</v>
      </c>
      <c r="Q2450" s="2" t="s">
        <v>20593</v>
      </c>
      <c r="R2450" s="3" t="s">
        <v>67</v>
      </c>
      <c r="S2450" s="4">
        <v>2</v>
      </c>
      <c r="T2450" s="4">
        <v>2</v>
      </c>
      <c r="U2450" s="5" t="s">
        <v>907</v>
      </c>
      <c r="V2450" s="5" t="s">
        <v>907</v>
      </c>
      <c r="W2450" s="5" t="s">
        <v>69</v>
      </c>
      <c r="X2450" s="5" t="s">
        <v>69</v>
      </c>
      <c r="Y2450" s="4">
        <v>14</v>
      </c>
      <c r="Z2450" s="4">
        <v>1</v>
      </c>
      <c r="AA2450" s="4">
        <v>8</v>
      </c>
      <c r="AB2450" s="4">
        <v>1</v>
      </c>
      <c r="AC2450" s="4">
        <v>2</v>
      </c>
      <c r="AD2450" s="4">
        <v>5</v>
      </c>
      <c r="AE2450" s="4">
        <v>64</v>
      </c>
      <c r="AF2450" s="4">
        <v>0</v>
      </c>
      <c r="AG2450" s="4">
        <v>1</v>
      </c>
      <c r="AH2450" s="4">
        <v>5</v>
      </c>
      <c r="AI2450" s="4">
        <v>60</v>
      </c>
      <c r="AJ2450" s="4">
        <v>0</v>
      </c>
      <c r="AK2450" s="4">
        <v>6</v>
      </c>
      <c r="AL2450" s="4">
        <v>2</v>
      </c>
      <c r="AM2450" s="4">
        <v>40</v>
      </c>
      <c r="AN2450" s="4">
        <v>0</v>
      </c>
      <c r="AO2450" s="4">
        <v>0</v>
      </c>
      <c r="AP2450" s="4">
        <v>0</v>
      </c>
      <c r="AQ2450" s="4">
        <v>6</v>
      </c>
      <c r="AR2450" s="3" t="s">
        <v>63</v>
      </c>
      <c r="AS2450" s="3" t="s">
        <v>63</v>
      </c>
      <c r="AT2450" s="3" t="s">
        <v>63</v>
      </c>
      <c r="AV2450" s="6" t="str">
        <f>HYPERLINK("http://mcgill.on.worldcat.org/oclc/6843265","Catalog Record")</f>
        <v>Catalog Record</v>
      </c>
      <c r="AW2450" s="6" t="str">
        <f>HYPERLINK("http://www.worldcat.org/oclc/6843265","WorldCat Record")</f>
        <v>WorldCat Record</v>
      </c>
      <c r="AX2450" s="3" t="s">
        <v>20594</v>
      </c>
      <c r="AY2450" s="3" t="s">
        <v>20595</v>
      </c>
      <c r="AZ2450" s="3" t="s">
        <v>20596</v>
      </c>
      <c r="BA2450" s="3" t="s">
        <v>20596</v>
      </c>
      <c r="BB2450" s="3" t="s">
        <v>20597</v>
      </c>
      <c r="BC2450" s="3" t="s">
        <v>82</v>
      </c>
      <c r="BD2450" s="3" t="s">
        <v>70</v>
      </c>
      <c r="BF2450" s="3" t="s">
        <v>20597</v>
      </c>
      <c r="BG2450" s="3" t="s">
        <v>20598</v>
      </c>
    </row>
    <row r="2451" spans="1:59" ht="75" x14ac:dyDescent="0.25">
      <c r="A2451" s="2" t="s">
        <v>59</v>
      </c>
      <c r="B2451" s="2" t="s">
        <v>60</v>
      </c>
      <c r="C2451" s="2" t="s">
        <v>20603</v>
      </c>
      <c r="D2451" s="2" t="s">
        <v>20604</v>
      </c>
      <c r="E2451" s="2" t="s">
        <v>20605</v>
      </c>
      <c r="F2451" s="3" t="s">
        <v>582</v>
      </c>
      <c r="G2451" s="3" t="s">
        <v>62</v>
      </c>
      <c r="I2451" s="3" t="s">
        <v>63</v>
      </c>
      <c r="J2451" s="3" t="s">
        <v>63</v>
      </c>
      <c r="K2451" s="3" t="s">
        <v>64</v>
      </c>
      <c r="L2451" s="2" t="s">
        <v>20562</v>
      </c>
      <c r="M2451" s="2" t="s">
        <v>20606</v>
      </c>
      <c r="N2451" s="3" t="s">
        <v>220</v>
      </c>
      <c r="P2451" s="3" t="s">
        <v>90</v>
      </c>
      <c r="R2451" s="3" t="s">
        <v>67</v>
      </c>
      <c r="S2451" s="4">
        <v>0</v>
      </c>
      <c r="T2451" s="4">
        <v>3</v>
      </c>
      <c r="V2451" s="5" t="s">
        <v>20607</v>
      </c>
      <c r="W2451" s="5" t="s">
        <v>69</v>
      </c>
      <c r="X2451" s="5" t="s">
        <v>69</v>
      </c>
      <c r="Y2451" s="4">
        <v>28</v>
      </c>
      <c r="Z2451" s="4">
        <v>1</v>
      </c>
      <c r="AA2451" s="4">
        <v>1</v>
      </c>
      <c r="AB2451" s="4">
        <v>1</v>
      </c>
      <c r="AC2451" s="4">
        <v>1</v>
      </c>
      <c r="AD2451" s="4">
        <v>21</v>
      </c>
      <c r="AE2451" s="4">
        <v>21</v>
      </c>
      <c r="AF2451" s="4">
        <v>0</v>
      </c>
      <c r="AG2451" s="4">
        <v>0</v>
      </c>
      <c r="AH2451" s="4">
        <v>20</v>
      </c>
      <c r="AI2451" s="4">
        <v>20</v>
      </c>
      <c r="AJ2451" s="4">
        <v>0</v>
      </c>
      <c r="AK2451" s="4">
        <v>0</v>
      </c>
      <c r="AL2451" s="4">
        <v>18</v>
      </c>
      <c r="AM2451" s="4">
        <v>18</v>
      </c>
      <c r="AN2451" s="4">
        <v>0</v>
      </c>
      <c r="AO2451" s="4">
        <v>0</v>
      </c>
      <c r="AP2451" s="4">
        <v>0</v>
      </c>
      <c r="AQ2451" s="4">
        <v>0</v>
      </c>
      <c r="AR2451" s="3" t="s">
        <v>63</v>
      </c>
      <c r="AS2451" s="3" t="s">
        <v>63</v>
      </c>
      <c r="AT2451" s="3" t="s">
        <v>62</v>
      </c>
      <c r="AU2451" s="6" t="str">
        <f>HYPERLINK("http://catalog.hathitrust.org/Record/004129041","HathiTrust Record")</f>
        <v>HathiTrust Record</v>
      </c>
      <c r="AV2451" s="6" t="str">
        <f>HYPERLINK("http://mcgill.on.worldcat.org/oclc/30967027","Catalog Record")</f>
        <v>Catalog Record</v>
      </c>
      <c r="AW2451" s="6" t="str">
        <f>HYPERLINK("http://www.worldcat.org/oclc/30967027","WorldCat Record")</f>
        <v>WorldCat Record</v>
      </c>
      <c r="AX2451" s="3" t="s">
        <v>20608</v>
      </c>
      <c r="AY2451" s="3" t="s">
        <v>20609</v>
      </c>
      <c r="AZ2451" s="3" t="s">
        <v>20610</v>
      </c>
      <c r="BA2451" s="3" t="s">
        <v>20610</v>
      </c>
      <c r="BB2451" s="3" t="s">
        <v>20611</v>
      </c>
      <c r="BC2451" s="3" t="s">
        <v>82</v>
      </c>
      <c r="BD2451" s="3" t="s">
        <v>70</v>
      </c>
      <c r="BE2451" s="3" t="s">
        <v>20612</v>
      </c>
      <c r="BF2451" s="3" t="s">
        <v>20611</v>
      </c>
      <c r="BG2451" s="3" t="s">
        <v>20613</v>
      </c>
    </row>
    <row r="2452" spans="1:59" ht="75" x14ac:dyDescent="0.25">
      <c r="A2452" s="2" t="s">
        <v>59</v>
      </c>
      <c r="B2452" s="2" t="s">
        <v>60</v>
      </c>
      <c r="C2452" s="2" t="s">
        <v>20603</v>
      </c>
      <c r="D2452" s="2" t="s">
        <v>20604</v>
      </c>
      <c r="E2452" s="2" t="s">
        <v>20605</v>
      </c>
      <c r="F2452" s="3" t="s">
        <v>4439</v>
      </c>
      <c r="G2452" s="3" t="s">
        <v>62</v>
      </c>
      <c r="I2452" s="3" t="s">
        <v>63</v>
      </c>
      <c r="J2452" s="3" t="s">
        <v>63</v>
      </c>
      <c r="K2452" s="3" t="s">
        <v>64</v>
      </c>
      <c r="L2452" s="2" t="s">
        <v>20562</v>
      </c>
      <c r="M2452" s="2" t="s">
        <v>20606</v>
      </c>
      <c r="N2452" s="3" t="s">
        <v>220</v>
      </c>
      <c r="P2452" s="3" t="s">
        <v>90</v>
      </c>
      <c r="R2452" s="3" t="s">
        <v>67</v>
      </c>
      <c r="S2452" s="4">
        <v>0</v>
      </c>
      <c r="T2452" s="4">
        <v>3</v>
      </c>
      <c r="V2452" s="5" t="s">
        <v>20607</v>
      </c>
      <c r="W2452" s="5" t="s">
        <v>69</v>
      </c>
      <c r="X2452" s="5" t="s">
        <v>69</v>
      </c>
      <c r="Y2452" s="4">
        <v>28</v>
      </c>
      <c r="Z2452" s="4">
        <v>1</v>
      </c>
      <c r="AA2452" s="4">
        <v>1</v>
      </c>
      <c r="AB2452" s="4">
        <v>1</v>
      </c>
      <c r="AC2452" s="4">
        <v>1</v>
      </c>
      <c r="AD2452" s="4">
        <v>21</v>
      </c>
      <c r="AE2452" s="4">
        <v>21</v>
      </c>
      <c r="AF2452" s="4">
        <v>0</v>
      </c>
      <c r="AG2452" s="4">
        <v>0</v>
      </c>
      <c r="AH2452" s="4">
        <v>20</v>
      </c>
      <c r="AI2452" s="4">
        <v>20</v>
      </c>
      <c r="AJ2452" s="4">
        <v>0</v>
      </c>
      <c r="AK2452" s="4">
        <v>0</v>
      </c>
      <c r="AL2452" s="4">
        <v>18</v>
      </c>
      <c r="AM2452" s="4">
        <v>18</v>
      </c>
      <c r="AN2452" s="4">
        <v>0</v>
      </c>
      <c r="AO2452" s="4">
        <v>0</v>
      </c>
      <c r="AP2452" s="4">
        <v>0</v>
      </c>
      <c r="AQ2452" s="4">
        <v>0</v>
      </c>
      <c r="AR2452" s="3" t="s">
        <v>63</v>
      </c>
      <c r="AS2452" s="3" t="s">
        <v>63</v>
      </c>
      <c r="AT2452" s="3" t="s">
        <v>62</v>
      </c>
      <c r="AU2452" s="6" t="str">
        <f>HYPERLINK("http://catalog.hathitrust.org/Record/004129041","HathiTrust Record")</f>
        <v>HathiTrust Record</v>
      </c>
      <c r="AV2452" s="6" t="str">
        <f>HYPERLINK("http://mcgill.on.worldcat.org/oclc/30967027","Catalog Record")</f>
        <v>Catalog Record</v>
      </c>
      <c r="AW2452" s="6" t="str">
        <f>HYPERLINK("http://www.worldcat.org/oclc/30967027","WorldCat Record")</f>
        <v>WorldCat Record</v>
      </c>
      <c r="AX2452" s="3" t="s">
        <v>20608</v>
      </c>
      <c r="AY2452" s="3" t="s">
        <v>20609</v>
      </c>
      <c r="AZ2452" s="3" t="s">
        <v>20610</v>
      </c>
      <c r="BA2452" s="3" t="s">
        <v>20610</v>
      </c>
      <c r="BB2452" s="3" t="s">
        <v>20614</v>
      </c>
      <c r="BC2452" s="3" t="s">
        <v>82</v>
      </c>
      <c r="BD2452" s="3" t="s">
        <v>70</v>
      </c>
      <c r="BE2452" s="3" t="s">
        <v>20612</v>
      </c>
      <c r="BF2452" s="3" t="s">
        <v>20614</v>
      </c>
      <c r="BG2452" s="3" t="s">
        <v>20615</v>
      </c>
    </row>
    <row r="2453" spans="1:59" ht="75" x14ac:dyDescent="0.25">
      <c r="A2453" s="2" t="s">
        <v>59</v>
      </c>
      <c r="B2453" s="2" t="s">
        <v>60</v>
      </c>
      <c r="C2453" s="2" t="s">
        <v>20603</v>
      </c>
      <c r="D2453" s="2" t="s">
        <v>20604</v>
      </c>
      <c r="E2453" s="2" t="s">
        <v>20605</v>
      </c>
      <c r="F2453" s="3" t="s">
        <v>4432</v>
      </c>
      <c r="G2453" s="3" t="s">
        <v>62</v>
      </c>
      <c r="I2453" s="3" t="s">
        <v>63</v>
      </c>
      <c r="J2453" s="3" t="s">
        <v>63</v>
      </c>
      <c r="K2453" s="3" t="s">
        <v>64</v>
      </c>
      <c r="L2453" s="2" t="s">
        <v>20562</v>
      </c>
      <c r="M2453" s="2" t="s">
        <v>20606</v>
      </c>
      <c r="N2453" s="3" t="s">
        <v>220</v>
      </c>
      <c r="P2453" s="3" t="s">
        <v>90</v>
      </c>
      <c r="R2453" s="3" t="s">
        <v>67</v>
      </c>
      <c r="S2453" s="4">
        <v>1</v>
      </c>
      <c r="T2453" s="4">
        <v>3</v>
      </c>
      <c r="U2453" s="5" t="s">
        <v>3884</v>
      </c>
      <c r="V2453" s="5" t="s">
        <v>20607</v>
      </c>
      <c r="W2453" s="5" t="s">
        <v>69</v>
      </c>
      <c r="X2453" s="5" t="s">
        <v>69</v>
      </c>
      <c r="Y2453" s="4">
        <v>28</v>
      </c>
      <c r="Z2453" s="4">
        <v>1</v>
      </c>
      <c r="AA2453" s="4">
        <v>1</v>
      </c>
      <c r="AB2453" s="4">
        <v>1</v>
      </c>
      <c r="AC2453" s="4">
        <v>1</v>
      </c>
      <c r="AD2453" s="4">
        <v>21</v>
      </c>
      <c r="AE2453" s="4">
        <v>21</v>
      </c>
      <c r="AF2453" s="4">
        <v>0</v>
      </c>
      <c r="AG2453" s="4">
        <v>0</v>
      </c>
      <c r="AH2453" s="4">
        <v>20</v>
      </c>
      <c r="AI2453" s="4">
        <v>20</v>
      </c>
      <c r="AJ2453" s="4">
        <v>0</v>
      </c>
      <c r="AK2453" s="4">
        <v>0</v>
      </c>
      <c r="AL2453" s="4">
        <v>18</v>
      </c>
      <c r="AM2453" s="4">
        <v>18</v>
      </c>
      <c r="AN2453" s="4">
        <v>0</v>
      </c>
      <c r="AO2453" s="4">
        <v>0</v>
      </c>
      <c r="AP2453" s="4">
        <v>0</v>
      </c>
      <c r="AQ2453" s="4">
        <v>0</v>
      </c>
      <c r="AR2453" s="3" t="s">
        <v>63</v>
      </c>
      <c r="AS2453" s="3" t="s">
        <v>63</v>
      </c>
      <c r="AT2453" s="3" t="s">
        <v>62</v>
      </c>
      <c r="AU2453" s="6" t="str">
        <f>HYPERLINK("http://catalog.hathitrust.org/Record/004129041","HathiTrust Record")</f>
        <v>HathiTrust Record</v>
      </c>
      <c r="AV2453" s="6" t="str">
        <f>HYPERLINK("http://mcgill.on.worldcat.org/oclc/30967027","Catalog Record")</f>
        <v>Catalog Record</v>
      </c>
      <c r="AW2453" s="6" t="str">
        <f>HYPERLINK("http://www.worldcat.org/oclc/30967027","WorldCat Record")</f>
        <v>WorldCat Record</v>
      </c>
      <c r="AX2453" s="3" t="s">
        <v>20608</v>
      </c>
      <c r="AY2453" s="3" t="s">
        <v>20609</v>
      </c>
      <c r="AZ2453" s="3" t="s">
        <v>20610</v>
      </c>
      <c r="BA2453" s="3" t="s">
        <v>20610</v>
      </c>
      <c r="BB2453" s="3" t="s">
        <v>20616</v>
      </c>
      <c r="BC2453" s="3" t="s">
        <v>82</v>
      </c>
      <c r="BD2453" s="3" t="s">
        <v>70</v>
      </c>
      <c r="BE2453" s="3" t="s">
        <v>20612</v>
      </c>
      <c r="BF2453" s="3" t="s">
        <v>20616</v>
      </c>
      <c r="BG2453" s="3" t="s">
        <v>20617</v>
      </c>
    </row>
    <row r="2454" spans="1:59" ht="75" x14ac:dyDescent="0.25">
      <c r="A2454" s="2" t="s">
        <v>59</v>
      </c>
      <c r="B2454" s="2" t="s">
        <v>60</v>
      </c>
      <c r="C2454" s="2" t="s">
        <v>20603</v>
      </c>
      <c r="D2454" s="2" t="s">
        <v>20604</v>
      </c>
      <c r="E2454" s="2" t="s">
        <v>20605</v>
      </c>
      <c r="F2454" s="3" t="s">
        <v>4437</v>
      </c>
      <c r="G2454" s="3" t="s">
        <v>62</v>
      </c>
      <c r="I2454" s="3" t="s">
        <v>63</v>
      </c>
      <c r="J2454" s="3" t="s">
        <v>63</v>
      </c>
      <c r="K2454" s="3" t="s">
        <v>64</v>
      </c>
      <c r="L2454" s="2" t="s">
        <v>20562</v>
      </c>
      <c r="M2454" s="2" t="s">
        <v>20606</v>
      </c>
      <c r="N2454" s="3" t="s">
        <v>220</v>
      </c>
      <c r="P2454" s="3" t="s">
        <v>90</v>
      </c>
      <c r="R2454" s="3" t="s">
        <v>67</v>
      </c>
      <c r="S2454" s="4">
        <v>0</v>
      </c>
      <c r="T2454" s="4">
        <v>3</v>
      </c>
      <c r="V2454" s="5" t="s">
        <v>20607</v>
      </c>
      <c r="W2454" s="5" t="s">
        <v>69</v>
      </c>
      <c r="X2454" s="5" t="s">
        <v>69</v>
      </c>
      <c r="Y2454" s="4">
        <v>28</v>
      </c>
      <c r="Z2454" s="4">
        <v>1</v>
      </c>
      <c r="AA2454" s="4">
        <v>1</v>
      </c>
      <c r="AB2454" s="4">
        <v>1</v>
      </c>
      <c r="AC2454" s="4">
        <v>1</v>
      </c>
      <c r="AD2454" s="4">
        <v>21</v>
      </c>
      <c r="AE2454" s="4">
        <v>21</v>
      </c>
      <c r="AF2454" s="4">
        <v>0</v>
      </c>
      <c r="AG2454" s="4">
        <v>0</v>
      </c>
      <c r="AH2454" s="4">
        <v>20</v>
      </c>
      <c r="AI2454" s="4">
        <v>20</v>
      </c>
      <c r="AJ2454" s="4">
        <v>0</v>
      </c>
      <c r="AK2454" s="4">
        <v>0</v>
      </c>
      <c r="AL2454" s="4">
        <v>18</v>
      </c>
      <c r="AM2454" s="4">
        <v>18</v>
      </c>
      <c r="AN2454" s="4">
        <v>0</v>
      </c>
      <c r="AO2454" s="4">
        <v>0</v>
      </c>
      <c r="AP2454" s="4">
        <v>0</v>
      </c>
      <c r="AQ2454" s="4">
        <v>0</v>
      </c>
      <c r="AR2454" s="3" t="s">
        <v>63</v>
      </c>
      <c r="AS2454" s="3" t="s">
        <v>63</v>
      </c>
      <c r="AT2454" s="3" t="s">
        <v>62</v>
      </c>
      <c r="AU2454" s="6" t="str">
        <f>HYPERLINK("http://catalog.hathitrust.org/Record/004129041","HathiTrust Record")</f>
        <v>HathiTrust Record</v>
      </c>
      <c r="AV2454" s="6" t="str">
        <f>HYPERLINK("http://mcgill.on.worldcat.org/oclc/30967027","Catalog Record")</f>
        <v>Catalog Record</v>
      </c>
      <c r="AW2454" s="6" t="str">
        <f>HYPERLINK("http://www.worldcat.org/oclc/30967027","WorldCat Record")</f>
        <v>WorldCat Record</v>
      </c>
      <c r="AX2454" s="3" t="s">
        <v>20608</v>
      </c>
      <c r="AY2454" s="3" t="s">
        <v>20609</v>
      </c>
      <c r="AZ2454" s="3" t="s">
        <v>20610</v>
      </c>
      <c r="BA2454" s="3" t="s">
        <v>20610</v>
      </c>
      <c r="BB2454" s="3" t="s">
        <v>20618</v>
      </c>
      <c r="BC2454" s="3" t="s">
        <v>82</v>
      </c>
      <c r="BD2454" s="3" t="s">
        <v>70</v>
      </c>
      <c r="BE2454" s="3" t="s">
        <v>20612</v>
      </c>
      <c r="BF2454" s="3" t="s">
        <v>20618</v>
      </c>
      <c r="BG2454" s="3" t="s">
        <v>20619</v>
      </c>
    </row>
    <row r="2455" spans="1:59" ht="75" x14ac:dyDescent="0.25">
      <c r="A2455" s="2" t="s">
        <v>59</v>
      </c>
      <c r="B2455" s="2" t="s">
        <v>60</v>
      </c>
      <c r="C2455" s="2" t="s">
        <v>20603</v>
      </c>
      <c r="D2455" s="2" t="s">
        <v>20604</v>
      </c>
      <c r="E2455" s="2" t="s">
        <v>20605</v>
      </c>
      <c r="F2455" s="3" t="s">
        <v>571</v>
      </c>
      <c r="G2455" s="3" t="s">
        <v>62</v>
      </c>
      <c r="I2455" s="3" t="s">
        <v>63</v>
      </c>
      <c r="J2455" s="3" t="s">
        <v>63</v>
      </c>
      <c r="K2455" s="3" t="s">
        <v>64</v>
      </c>
      <c r="L2455" s="2" t="s">
        <v>20562</v>
      </c>
      <c r="M2455" s="2" t="s">
        <v>20606</v>
      </c>
      <c r="N2455" s="3" t="s">
        <v>220</v>
      </c>
      <c r="P2455" s="3" t="s">
        <v>90</v>
      </c>
      <c r="R2455" s="3" t="s">
        <v>67</v>
      </c>
      <c r="S2455" s="4">
        <v>0</v>
      </c>
      <c r="T2455" s="4">
        <v>3</v>
      </c>
      <c r="V2455" s="5" t="s">
        <v>20607</v>
      </c>
      <c r="W2455" s="5" t="s">
        <v>69</v>
      </c>
      <c r="X2455" s="5" t="s">
        <v>69</v>
      </c>
      <c r="Y2455" s="4">
        <v>28</v>
      </c>
      <c r="Z2455" s="4">
        <v>1</v>
      </c>
      <c r="AA2455" s="4">
        <v>1</v>
      </c>
      <c r="AB2455" s="4">
        <v>1</v>
      </c>
      <c r="AC2455" s="4">
        <v>1</v>
      </c>
      <c r="AD2455" s="4">
        <v>21</v>
      </c>
      <c r="AE2455" s="4">
        <v>21</v>
      </c>
      <c r="AF2455" s="4">
        <v>0</v>
      </c>
      <c r="AG2455" s="4">
        <v>0</v>
      </c>
      <c r="AH2455" s="4">
        <v>20</v>
      </c>
      <c r="AI2455" s="4">
        <v>20</v>
      </c>
      <c r="AJ2455" s="4">
        <v>0</v>
      </c>
      <c r="AK2455" s="4">
        <v>0</v>
      </c>
      <c r="AL2455" s="4">
        <v>18</v>
      </c>
      <c r="AM2455" s="4">
        <v>18</v>
      </c>
      <c r="AN2455" s="4">
        <v>0</v>
      </c>
      <c r="AO2455" s="4">
        <v>0</v>
      </c>
      <c r="AP2455" s="4">
        <v>0</v>
      </c>
      <c r="AQ2455" s="4">
        <v>0</v>
      </c>
      <c r="AR2455" s="3" t="s">
        <v>63</v>
      </c>
      <c r="AS2455" s="3" t="s">
        <v>63</v>
      </c>
      <c r="AT2455" s="3" t="s">
        <v>62</v>
      </c>
      <c r="AU2455" s="6" t="str">
        <f>HYPERLINK("http://catalog.hathitrust.org/Record/004129041","HathiTrust Record")</f>
        <v>HathiTrust Record</v>
      </c>
      <c r="AV2455" s="6" t="str">
        <f>HYPERLINK("http://mcgill.on.worldcat.org/oclc/30967027","Catalog Record")</f>
        <v>Catalog Record</v>
      </c>
      <c r="AW2455" s="6" t="str">
        <f>HYPERLINK("http://www.worldcat.org/oclc/30967027","WorldCat Record")</f>
        <v>WorldCat Record</v>
      </c>
      <c r="AX2455" s="3" t="s">
        <v>20608</v>
      </c>
      <c r="AY2455" s="3" t="s">
        <v>20609</v>
      </c>
      <c r="AZ2455" s="3" t="s">
        <v>20610</v>
      </c>
      <c r="BA2455" s="3" t="s">
        <v>20610</v>
      </c>
      <c r="BB2455" s="3" t="s">
        <v>20620</v>
      </c>
      <c r="BC2455" s="3" t="s">
        <v>82</v>
      </c>
      <c r="BD2455" s="3" t="s">
        <v>70</v>
      </c>
      <c r="BE2455" s="3" t="s">
        <v>20612</v>
      </c>
      <c r="BF2455" s="3" t="s">
        <v>20620</v>
      </c>
      <c r="BG2455" s="3" t="s">
        <v>20621</v>
      </c>
    </row>
    <row r="2456" spans="1:59" ht="75" x14ac:dyDescent="0.25">
      <c r="A2456" s="2" t="s">
        <v>59</v>
      </c>
      <c r="B2456" s="2" t="s">
        <v>60</v>
      </c>
      <c r="C2456" s="2" t="s">
        <v>20603</v>
      </c>
      <c r="D2456" s="2" t="s">
        <v>20604</v>
      </c>
      <c r="E2456" s="2" t="s">
        <v>20605</v>
      </c>
      <c r="F2456" s="3" t="s">
        <v>4032</v>
      </c>
      <c r="G2456" s="3" t="s">
        <v>62</v>
      </c>
      <c r="I2456" s="3" t="s">
        <v>63</v>
      </c>
      <c r="J2456" s="3" t="s">
        <v>63</v>
      </c>
      <c r="K2456" s="3" t="s">
        <v>64</v>
      </c>
      <c r="L2456" s="2" t="s">
        <v>20562</v>
      </c>
      <c r="M2456" s="2" t="s">
        <v>20606</v>
      </c>
      <c r="N2456" s="3" t="s">
        <v>220</v>
      </c>
      <c r="P2456" s="3" t="s">
        <v>90</v>
      </c>
      <c r="R2456" s="3" t="s">
        <v>67</v>
      </c>
      <c r="S2456" s="4">
        <v>1</v>
      </c>
      <c r="T2456" s="4">
        <v>3</v>
      </c>
      <c r="U2456" s="5" t="s">
        <v>20607</v>
      </c>
      <c r="V2456" s="5" t="s">
        <v>20607</v>
      </c>
      <c r="W2456" s="5" t="s">
        <v>69</v>
      </c>
      <c r="X2456" s="5" t="s">
        <v>69</v>
      </c>
      <c r="Y2456" s="4">
        <v>28</v>
      </c>
      <c r="Z2456" s="4">
        <v>1</v>
      </c>
      <c r="AA2456" s="4">
        <v>1</v>
      </c>
      <c r="AB2456" s="4">
        <v>1</v>
      </c>
      <c r="AC2456" s="4">
        <v>1</v>
      </c>
      <c r="AD2456" s="4">
        <v>21</v>
      </c>
      <c r="AE2456" s="4">
        <v>21</v>
      </c>
      <c r="AF2456" s="4">
        <v>0</v>
      </c>
      <c r="AG2456" s="4">
        <v>0</v>
      </c>
      <c r="AH2456" s="4">
        <v>20</v>
      </c>
      <c r="AI2456" s="4">
        <v>20</v>
      </c>
      <c r="AJ2456" s="4">
        <v>0</v>
      </c>
      <c r="AK2456" s="4">
        <v>0</v>
      </c>
      <c r="AL2456" s="4">
        <v>18</v>
      </c>
      <c r="AM2456" s="4">
        <v>18</v>
      </c>
      <c r="AN2456" s="4">
        <v>0</v>
      </c>
      <c r="AO2456" s="4">
        <v>0</v>
      </c>
      <c r="AP2456" s="4">
        <v>0</v>
      </c>
      <c r="AQ2456" s="4">
        <v>0</v>
      </c>
      <c r="AR2456" s="3" t="s">
        <v>63</v>
      </c>
      <c r="AS2456" s="3" t="s">
        <v>63</v>
      </c>
      <c r="AT2456" s="3" t="s">
        <v>62</v>
      </c>
      <c r="AU2456" s="6" t="str">
        <f>HYPERLINK("http://catalog.hathitrust.org/Record/004129041","HathiTrust Record")</f>
        <v>HathiTrust Record</v>
      </c>
      <c r="AV2456" s="6" t="str">
        <f>HYPERLINK("http://mcgill.on.worldcat.org/oclc/30967027","Catalog Record")</f>
        <v>Catalog Record</v>
      </c>
      <c r="AW2456" s="6" t="str">
        <f>HYPERLINK("http://www.worldcat.org/oclc/30967027","WorldCat Record")</f>
        <v>WorldCat Record</v>
      </c>
      <c r="AX2456" s="3" t="s">
        <v>20608</v>
      </c>
      <c r="AY2456" s="3" t="s">
        <v>20609</v>
      </c>
      <c r="AZ2456" s="3" t="s">
        <v>20610</v>
      </c>
      <c r="BA2456" s="3" t="s">
        <v>20610</v>
      </c>
      <c r="BB2456" s="3" t="s">
        <v>20622</v>
      </c>
      <c r="BC2456" s="3" t="s">
        <v>82</v>
      </c>
      <c r="BD2456" s="3" t="s">
        <v>70</v>
      </c>
      <c r="BE2456" s="3" t="s">
        <v>20612</v>
      </c>
      <c r="BF2456" s="3" t="s">
        <v>20622</v>
      </c>
      <c r="BG2456" s="3" t="s">
        <v>20623</v>
      </c>
    </row>
    <row r="2457" spans="1:59" ht="75" x14ac:dyDescent="0.25">
      <c r="A2457" s="2" t="s">
        <v>59</v>
      </c>
      <c r="B2457" s="2" t="s">
        <v>60</v>
      </c>
      <c r="C2457" s="2" t="s">
        <v>20603</v>
      </c>
      <c r="D2457" s="2" t="s">
        <v>20604</v>
      </c>
      <c r="E2457" s="2" t="s">
        <v>20605</v>
      </c>
      <c r="F2457" s="3" t="s">
        <v>4434</v>
      </c>
      <c r="G2457" s="3" t="s">
        <v>62</v>
      </c>
      <c r="I2457" s="3" t="s">
        <v>63</v>
      </c>
      <c r="J2457" s="3" t="s">
        <v>63</v>
      </c>
      <c r="K2457" s="3" t="s">
        <v>64</v>
      </c>
      <c r="L2457" s="2" t="s">
        <v>20562</v>
      </c>
      <c r="M2457" s="2" t="s">
        <v>20606</v>
      </c>
      <c r="N2457" s="3" t="s">
        <v>220</v>
      </c>
      <c r="P2457" s="3" t="s">
        <v>90</v>
      </c>
      <c r="R2457" s="3" t="s">
        <v>67</v>
      </c>
      <c r="S2457" s="4">
        <v>1</v>
      </c>
      <c r="T2457" s="4">
        <v>3</v>
      </c>
      <c r="U2457" s="5" t="s">
        <v>20624</v>
      </c>
      <c r="V2457" s="5" t="s">
        <v>20607</v>
      </c>
      <c r="W2457" s="5" t="s">
        <v>69</v>
      </c>
      <c r="X2457" s="5" t="s">
        <v>69</v>
      </c>
      <c r="Y2457" s="4">
        <v>28</v>
      </c>
      <c r="Z2457" s="4">
        <v>1</v>
      </c>
      <c r="AA2457" s="4">
        <v>1</v>
      </c>
      <c r="AB2457" s="4">
        <v>1</v>
      </c>
      <c r="AC2457" s="4">
        <v>1</v>
      </c>
      <c r="AD2457" s="4">
        <v>21</v>
      </c>
      <c r="AE2457" s="4">
        <v>21</v>
      </c>
      <c r="AF2457" s="4">
        <v>0</v>
      </c>
      <c r="AG2457" s="4">
        <v>0</v>
      </c>
      <c r="AH2457" s="4">
        <v>20</v>
      </c>
      <c r="AI2457" s="4">
        <v>20</v>
      </c>
      <c r="AJ2457" s="4">
        <v>0</v>
      </c>
      <c r="AK2457" s="4">
        <v>0</v>
      </c>
      <c r="AL2457" s="4">
        <v>18</v>
      </c>
      <c r="AM2457" s="4">
        <v>18</v>
      </c>
      <c r="AN2457" s="4">
        <v>0</v>
      </c>
      <c r="AO2457" s="4">
        <v>0</v>
      </c>
      <c r="AP2457" s="4">
        <v>0</v>
      </c>
      <c r="AQ2457" s="4">
        <v>0</v>
      </c>
      <c r="AR2457" s="3" t="s">
        <v>63</v>
      </c>
      <c r="AS2457" s="3" t="s">
        <v>63</v>
      </c>
      <c r="AT2457" s="3" t="s">
        <v>62</v>
      </c>
      <c r="AU2457" s="6" t="str">
        <f>HYPERLINK("http://catalog.hathitrust.org/Record/004129041","HathiTrust Record")</f>
        <v>HathiTrust Record</v>
      </c>
      <c r="AV2457" s="6" t="str">
        <f>HYPERLINK("http://mcgill.on.worldcat.org/oclc/30967027","Catalog Record")</f>
        <v>Catalog Record</v>
      </c>
      <c r="AW2457" s="6" t="str">
        <f>HYPERLINK("http://www.worldcat.org/oclc/30967027","WorldCat Record")</f>
        <v>WorldCat Record</v>
      </c>
      <c r="AX2457" s="3" t="s">
        <v>20608</v>
      </c>
      <c r="AY2457" s="3" t="s">
        <v>20609</v>
      </c>
      <c r="AZ2457" s="3" t="s">
        <v>20610</v>
      </c>
      <c r="BA2457" s="3" t="s">
        <v>20610</v>
      </c>
      <c r="BB2457" s="3" t="s">
        <v>20625</v>
      </c>
      <c r="BC2457" s="3" t="s">
        <v>82</v>
      </c>
      <c r="BD2457" s="3" t="s">
        <v>70</v>
      </c>
      <c r="BE2457" s="3" t="s">
        <v>20612</v>
      </c>
      <c r="BF2457" s="3" t="s">
        <v>20625</v>
      </c>
      <c r="BG2457" s="3" t="s">
        <v>20626</v>
      </c>
    </row>
    <row r="2458" spans="1:59" ht="60" x14ac:dyDescent="0.25">
      <c r="A2458" s="2" t="s">
        <v>59</v>
      </c>
      <c r="B2458" s="2" t="s">
        <v>60</v>
      </c>
      <c r="C2458" s="2" t="s">
        <v>20627</v>
      </c>
      <c r="D2458" s="2" t="s">
        <v>20628</v>
      </c>
      <c r="E2458" s="2" t="s">
        <v>20629</v>
      </c>
      <c r="G2458" s="3" t="s">
        <v>63</v>
      </c>
      <c r="I2458" s="3" t="s">
        <v>63</v>
      </c>
      <c r="J2458" s="3" t="s">
        <v>63</v>
      </c>
      <c r="K2458" s="3" t="s">
        <v>64</v>
      </c>
      <c r="L2458" s="2" t="s">
        <v>20562</v>
      </c>
      <c r="M2458" s="2" t="s">
        <v>20630</v>
      </c>
      <c r="N2458" s="3" t="s">
        <v>161</v>
      </c>
      <c r="P2458" s="3" t="s">
        <v>66</v>
      </c>
      <c r="R2458" s="3" t="s">
        <v>67</v>
      </c>
      <c r="S2458" s="4">
        <v>20</v>
      </c>
      <c r="T2458" s="4">
        <v>20</v>
      </c>
      <c r="U2458" s="5" t="s">
        <v>20631</v>
      </c>
      <c r="V2458" s="5" t="s">
        <v>20631</v>
      </c>
      <c r="W2458" s="5" t="s">
        <v>69</v>
      </c>
      <c r="X2458" s="5" t="s">
        <v>69</v>
      </c>
      <c r="Y2458" s="4">
        <v>148</v>
      </c>
      <c r="Z2458" s="4">
        <v>6</v>
      </c>
      <c r="AA2458" s="4">
        <v>6</v>
      </c>
      <c r="AB2458" s="4">
        <v>1</v>
      </c>
      <c r="AC2458" s="4">
        <v>1</v>
      </c>
      <c r="AD2458" s="4">
        <v>60</v>
      </c>
      <c r="AE2458" s="4">
        <v>60</v>
      </c>
      <c r="AF2458" s="4">
        <v>0</v>
      </c>
      <c r="AG2458" s="4">
        <v>0</v>
      </c>
      <c r="AH2458" s="4">
        <v>57</v>
      </c>
      <c r="AI2458" s="4">
        <v>57</v>
      </c>
      <c r="AJ2458" s="4">
        <v>4</v>
      </c>
      <c r="AK2458" s="4">
        <v>4</v>
      </c>
      <c r="AL2458" s="4">
        <v>36</v>
      </c>
      <c r="AM2458" s="4">
        <v>36</v>
      </c>
      <c r="AN2458" s="4">
        <v>0</v>
      </c>
      <c r="AO2458" s="4">
        <v>0</v>
      </c>
      <c r="AP2458" s="4">
        <v>4</v>
      </c>
      <c r="AQ2458" s="4">
        <v>4</v>
      </c>
      <c r="AR2458" s="3" t="s">
        <v>63</v>
      </c>
      <c r="AS2458" s="3" t="s">
        <v>63</v>
      </c>
      <c r="AT2458" s="3" t="s">
        <v>62</v>
      </c>
      <c r="AU2458" s="6" t="str">
        <f>HYPERLINK("http://catalog.hathitrust.org/Record/002057167","HathiTrust Record")</f>
        <v>HathiTrust Record</v>
      </c>
      <c r="AV2458" s="6" t="str">
        <f>HYPERLINK("http://mcgill.on.worldcat.org/oclc/19814428","Catalog Record")</f>
        <v>Catalog Record</v>
      </c>
      <c r="AW2458" s="6" t="str">
        <f>HYPERLINK("http://www.worldcat.org/oclc/19814428","WorldCat Record")</f>
        <v>WorldCat Record</v>
      </c>
      <c r="AX2458" s="3" t="s">
        <v>20632</v>
      </c>
      <c r="AY2458" s="3" t="s">
        <v>20633</v>
      </c>
      <c r="AZ2458" s="3" t="s">
        <v>20634</v>
      </c>
      <c r="BA2458" s="3" t="s">
        <v>20634</v>
      </c>
      <c r="BB2458" s="3" t="s">
        <v>20635</v>
      </c>
      <c r="BC2458" s="3" t="s">
        <v>82</v>
      </c>
      <c r="BD2458" s="3" t="s">
        <v>70</v>
      </c>
      <c r="BE2458" s="3" t="s">
        <v>20636</v>
      </c>
      <c r="BF2458" s="3" t="s">
        <v>20635</v>
      </c>
      <c r="BG2458" s="3" t="s">
        <v>20637</v>
      </c>
    </row>
    <row r="2459" spans="1:59" ht="60" x14ac:dyDescent="0.25">
      <c r="A2459" s="2" t="s">
        <v>59</v>
      </c>
      <c r="B2459" s="2" t="s">
        <v>60</v>
      </c>
      <c r="C2459" s="2" t="s">
        <v>20638</v>
      </c>
      <c r="D2459" s="2" t="s">
        <v>20639</v>
      </c>
      <c r="E2459" s="2" t="s">
        <v>20640</v>
      </c>
      <c r="G2459" s="3" t="s">
        <v>63</v>
      </c>
      <c r="I2459" s="3" t="s">
        <v>62</v>
      </c>
      <c r="J2459" s="3" t="s">
        <v>63</v>
      </c>
      <c r="K2459" s="3" t="s">
        <v>64</v>
      </c>
      <c r="L2459" s="2" t="s">
        <v>20562</v>
      </c>
      <c r="M2459" s="2" t="s">
        <v>20573</v>
      </c>
      <c r="N2459" s="3" t="s">
        <v>11471</v>
      </c>
      <c r="P2459" s="3" t="s">
        <v>66</v>
      </c>
      <c r="R2459" s="3" t="s">
        <v>67</v>
      </c>
      <c r="S2459" s="4">
        <v>4</v>
      </c>
      <c r="T2459" s="4">
        <v>9</v>
      </c>
      <c r="U2459" s="5" t="s">
        <v>20641</v>
      </c>
      <c r="V2459" s="5" t="s">
        <v>20574</v>
      </c>
      <c r="W2459" s="5" t="s">
        <v>69</v>
      </c>
      <c r="X2459" s="5" t="s">
        <v>69</v>
      </c>
      <c r="Y2459" s="4">
        <v>185</v>
      </c>
      <c r="Z2459" s="4">
        <v>9</v>
      </c>
      <c r="AA2459" s="4">
        <v>35</v>
      </c>
      <c r="AB2459" s="4">
        <v>2</v>
      </c>
      <c r="AC2459" s="4">
        <v>4</v>
      </c>
      <c r="AD2459" s="4">
        <v>65</v>
      </c>
      <c r="AE2459" s="4">
        <v>113</v>
      </c>
      <c r="AF2459" s="4">
        <v>1</v>
      </c>
      <c r="AG2459" s="4">
        <v>1</v>
      </c>
      <c r="AH2459" s="4">
        <v>60</v>
      </c>
      <c r="AI2459" s="4">
        <v>96</v>
      </c>
      <c r="AJ2459" s="4">
        <v>7</v>
      </c>
      <c r="AK2459" s="4">
        <v>17</v>
      </c>
      <c r="AL2459" s="4">
        <v>37</v>
      </c>
      <c r="AM2459" s="4">
        <v>56</v>
      </c>
      <c r="AN2459" s="4">
        <v>0</v>
      </c>
      <c r="AO2459" s="4">
        <v>1</v>
      </c>
      <c r="AP2459" s="4">
        <v>7</v>
      </c>
      <c r="AQ2459" s="4">
        <v>21</v>
      </c>
      <c r="AR2459" s="3" t="s">
        <v>63</v>
      </c>
      <c r="AS2459" s="3" t="s">
        <v>62</v>
      </c>
      <c r="AT2459" s="3" t="s">
        <v>63</v>
      </c>
      <c r="AU2459" s="6" t="str">
        <f>HYPERLINK("http://catalog.hathitrust.org/Record/000980862","HathiTrust Record")</f>
        <v>HathiTrust Record</v>
      </c>
      <c r="AV2459" s="6" t="str">
        <f>HYPERLINK("http://mcgill.on.worldcat.org/oclc/2088856","Catalog Record")</f>
        <v>Catalog Record</v>
      </c>
      <c r="AW2459" s="6" t="str">
        <f>HYPERLINK("http://www.worldcat.org/oclc/2088856","WorldCat Record")</f>
        <v>WorldCat Record</v>
      </c>
      <c r="AX2459" s="3" t="s">
        <v>20642</v>
      </c>
      <c r="AY2459" s="3" t="s">
        <v>20643</v>
      </c>
      <c r="AZ2459" s="3" t="s">
        <v>20644</v>
      </c>
      <c r="BA2459" s="3" t="s">
        <v>20644</v>
      </c>
      <c r="BB2459" s="3" t="s">
        <v>20645</v>
      </c>
      <c r="BC2459" s="3" t="s">
        <v>82</v>
      </c>
      <c r="BD2459" s="3" t="s">
        <v>70</v>
      </c>
      <c r="BF2459" s="3" t="s">
        <v>20645</v>
      </c>
      <c r="BG2459" s="3" t="s">
        <v>20646</v>
      </c>
    </row>
    <row r="2460" spans="1:59" ht="60" x14ac:dyDescent="0.25">
      <c r="A2460" s="2" t="s">
        <v>59</v>
      </c>
      <c r="B2460" s="2" t="s">
        <v>60</v>
      </c>
      <c r="C2460" s="2" t="s">
        <v>20638</v>
      </c>
      <c r="D2460" s="2" t="s">
        <v>20639</v>
      </c>
      <c r="E2460" s="2" t="s">
        <v>20640</v>
      </c>
      <c r="G2460" s="3" t="s">
        <v>63</v>
      </c>
      <c r="I2460" s="3" t="s">
        <v>62</v>
      </c>
      <c r="J2460" s="3" t="s">
        <v>63</v>
      </c>
      <c r="K2460" s="3" t="s">
        <v>64</v>
      </c>
      <c r="L2460" s="2" t="s">
        <v>20562</v>
      </c>
      <c r="M2460" s="2" t="s">
        <v>20573</v>
      </c>
      <c r="N2460" s="3" t="s">
        <v>11471</v>
      </c>
      <c r="P2460" s="3" t="s">
        <v>66</v>
      </c>
      <c r="R2460" s="3" t="s">
        <v>67</v>
      </c>
      <c r="S2460" s="4">
        <v>5</v>
      </c>
      <c r="T2460" s="4">
        <v>9</v>
      </c>
      <c r="U2460" s="5" t="s">
        <v>20574</v>
      </c>
      <c r="V2460" s="5" t="s">
        <v>20574</v>
      </c>
      <c r="W2460" s="5" t="s">
        <v>69</v>
      </c>
      <c r="X2460" s="5" t="s">
        <v>69</v>
      </c>
      <c r="Y2460" s="4">
        <v>185</v>
      </c>
      <c r="Z2460" s="4">
        <v>9</v>
      </c>
      <c r="AA2460" s="4">
        <v>35</v>
      </c>
      <c r="AB2460" s="4">
        <v>2</v>
      </c>
      <c r="AC2460" s="4">
        <v>4</v>
      </c>
      <c r="AD2460" s="4">
        <v>65</v>
      </c>
      <c r="AE2460" s="4">
        <v>113</v>
      </c>
      <c r="AF2460" s="4">
        <v>1</v>
      </c>
      <c r="AG2460" s="4">
        <v>1</v>
      </c>
      <c r="AH2460" s="4">
        <v>60</v>
      </c>
      <c r="AI2460" s="4">
        <v>96</v>
      </c>
      <c r="AJ2460" s="4">
        <v>7</v>
      </c>
      <c r="AK2460" s="4">
        <v>17</v>
      </c>
      <c r="AL2460" s="4">
        <v>37</v>
      </c>
      <c r="AM2460" s="4">
        <v>56</v>
      </c>
      <c r="AN2460" s="4">
        <v>0</v>
      </c>
      <c r="AO2460" s="4">
        <v>1</v>
      </c>
      <c r="AP2460" s="4">
        <v>7</v>
      </c>
      <c r="AQ2460" s="4">
        <v>21</v>
      </c>
      <c r="AR2460" s="3" t="s">
        <v>63</v>
      </c>
      <c r="AS2460" s="3" t="s">
        <v>62</v>
      </c>
      <c r="AT2460" s="3" t="s">
        <v>63</v>
      </c>
      <c r="AU2460" s="6" t="str">
        <f>HYPERLINK("http://catalog.hathitrust.org/Record/000980862","HathiTrust Record")</f>
        <v>HathiTrust Record</v>
      </c>
      <c r="AV2460" s="6" t="str">
        <f>HYPERLINK("http://mcgill.on.worldcat.org/oclc/2088856","Catalog Record")</f>
        <v>Catalog Record</v>
      </c>
      <c r="AW2460" s="6" t="str">
        <f>HYPERLINK("http://www.worldcat.org/oclc/2088856","WorldCat Record")</f>
        <v>WorldCat Record</v>
      </c>
      <c r="AX2460" s="3" t="s">
        <v>20642</v>
      </c>
      <c r="AY2460" s="3" t="s">
        <v>20643</v>
      </c>
      <c r="AZ2460" s="3" t="s">
        <v>20644</v>
      </c>
      <c r="BA2460" s="3" t="s">
        <v>20644</v>
      </c>
      <c r="BB2460" s="3" t="s">
        <v>20647</v>
      </c>
      <c r="BC2460" s="3" t="s">
        <v>82</v>
      </c>
      <c r="BD2460" s="3" t="s">
        <v>70</v>
      </c>
      <c r="BF2460" s="3" t="s">
        <v>20647</v>
      </c>
      <c r="BG2460" s="3" t="s">
        <v>20648</v>
      </c>
    </row>
    <row r="2461" spans="1:59" ht="60" x14ac:dyDescent="0.25">
      <c r="A2461" s="2" t="s">
        <v>59</v>
      </c>
      <c r="B2461" s="2" t="s">
        <v>60</v>
      </c>
      <c r="C2461" s="2" t="s">
        <v>20649</v>
      </c>
      <c r="D2461" s="2" t="s">
        <v>20650</v>
      </c>
      <c r="E2461" s="2" t="s">
        <v>20651</v>
      </c>
      <c r="G2461" s="3" t="s">
        <v>63</v>
      </c>
      <c r="I2461" s="3" t="s">
        <v>63</v>
      </c>
      <c r="J2461" s="3" t="s">
        <v>63</v>
      </c>
      <c r="K2461" s="3" t="s">
        <v>64</v>
      </c>
      <c r="L2461" s="2" t="s">
        <v>20562</v>
      </c>
      <c r="M2461" s="2" t="s">
        <v>20652</v>
      </c>
      <c r="N2461" s="3" t="s">
        <v>11471</v>
      </c>
      <c r="P2461" s="3" t="s">
        <v>66</v>
      </c>
      <c r="R2461" s="3" t="s">
        <v>67</v>
      </c>
      <c r="S2461" s="4">
        <v>13</v>
      </c>
      <c r="T2461" s="4">
        <v>13</v>
      </c>
      <c r="U2461" s="5" t="s">
        <v>20574</v>
      </c>
      <c r="V2461" s="5" t="s">
        <v>20574</v>
      </c>
      <c r="W2461" s="5" t="s">
        <v>69</v>
      </c>
      <c r="X2461" s="5" t="s">
        <v>69</v>
      </c>
      <c r="Y2461" s="4">
        <v>156</v>
      </c>
      <c r="Z2461" s="4">
        <v>9</v>
      </c>
      <c r="AA2461" s="4">
        <v>32</v>
      </c>
      <c r="AB2461" s="4">
        <v>2</v>
      </c>
      <c r="AC2461" s="4">
        <v>5</v>
      </c>
      <c r="AD2461" s="4">
        <v>57</v>
      </c>
      <c r="AE2461" s="4">
        <v>111</v>
      </c>
      <c r="AF2461" s="4">
        <v>1</v>
      </c>
      <c r="AG2461" s="4">
        <v>1</v>
      </c>
      <c r="AH2461" s="4">
        <v>52</v>
      </c>
      <c r="AI2461" s="4">
        <v>96</v>
      </c>
      <c r="AJ2461" s="4">
        <v>6</v>
      </c>
      <c r="AK2461" s="4">
        <v>17</v>
      </c>
      <c r="AL2461" s="4">
        <v>32</v>
      </c>
      <c r="AM2461" s="4">
        <v>51</v>
      </c>
      <c r="AN2461" s="4">
        <v>3</v>
      </c>
      <c r="AO2461" s="4">
        <v>3</v>
      </c>
      <c r="AP2461" s="4">
        <v>6</v>
      </c>
      <c r="AQ2461" s="4">
        <v>21</v>
      </c>
      <c r="AR2461" s="3" t="s">
        <v>63</v>
      </c>
      <c r="AS2461" s="3" t="s">
        <v>62</v>
      </c>
      <c r="AT2461" s="3" t="s">
        <v>63</v>
      </c>
      <c r="AU2461" s="6" t="str">
        <f>HYPERLINK("http://catalog.hathitrust.org/Record/000980861","HathiTrust Record")</f>
        <v>HathiTrust Record</v>
      </c>
      <c r="AV2461" s="6" t="str">
        <f>HYPERLINK("http://mcgill.on.worldcat.org/oclc/1132844","Catalog Record")</f>
        <v>Catalog Record</v>
      </c>
      <c r="AW2461" s="6" t="str">
        <f>HYPERLINK("http://www.worldcat.org/oclc/1132844","WorldCat Record")</f>
        <v>WorldCat Record</v>
      </c>
      <c r="AX2461" s="3" t="s">
        <v>20653</v>
      </c>
      <c r="AY2461" s="3" t="s">
        <v>20654</v>
      </c>
      <c r="AZ2461" s="3" t="s">
        <v>20655</v>
      </c>
      <c r="BA2461" s="3" t="s">
        <v>20655</v>
      </c>
      <c r="BB2461" s="3" t="s">
        <v>20656</v>
      </c>
      <c r="BC2461" s="3" t="s">
        <v>82</v>
      </c>
      <c r="BD2461" s="3" t="s">
        <v>70</v>
      </c>
      <c r="BF2461" s="3" t="s">
        <v>20656</v>
      </c>
      <c r="BG2461" s="3" t="s">
        <v>20657</v>
      </c>
    </row>
    <row r="2462" spans="1:59" ht="60" x14ac:dyDescent="0.25">
      <c r="A2462" s="2" t="s">
        <v>59</v>
      </c>
      <c r="B2462" s="2" t="s">
        <v>60</v>
      </c>
      <c r="C2462" s="2" t="s">
        <v>20658</v>
      </c>
      <c r="D2462" s="2" t="s">
        <v>20659</v>
      </c>
      <c r="E2462" s="2" t="s">
        <v>20660</v>
      </c>
      <c r="G2462" s="3" t="s">
        <v>63</v>
      </c>
      <c r="I2462" s="3" t="s">
        <v>63</v>
      </c>
      <c r="J2462" s="3" t="s">
        <v>63</v>
      </c>
      <c r="K2462" s="3" t="s">
        <v>64</v>
      </c>
      <c r="L2462" s="2" t="s">
        <v>20562</v>
      </c>
      <c r="M2462" s="2" t="s">
        <v>16556</v>
      </c>
      <c r="N2462" s="3" t="s">
        <v>65</v>
      </c>
      <c r="P2462" s="3" t="s">
        <v>66</v>
      </c>
      <c r="Q2462" s="2" t="s">
        <v>20661</v>
      </c>
      <c r="R2462" s="3" t="s">
        <v>67</v>
      </c>
      <c r="S2462" s="4">
        <v>15</v>
      </c>
      <c r="T2462" s="4">
        <v>15</v>
      </c>
      <c r="U2462" s="5" t="s">
        <v>20574</v>
      </c>
      <c r="V2462" s="5" t="s">
        <v>20574</v>
      </c>
      <c r="W2462" s="5" t="s">
        <v>69</v>
      </c>
      <c r="X2462" s="5" t="s">
        <v>69</v>
      </c>
      <c r="Y2462" s="4">
        <v>215</v>
      </c>
      <c r="Z2462" s="4">
        <v>9</v>
      </c>
      <c r="AA2462" s="4">
        <v>31</v>
      </c>
      <c r="AB2462" s="4">
        <v>1</v>
      </c>
      <c r="AC2462" s="4">
        <v>4</v>
      </c>
      <c r="AD2462" s="4">
        <v>60</v>
      </c>
      <c r="AE2462" s="4">
        <v>120</v>
      </c>
      <c r="AF2462" s="4">
        <v>0</v>
      </c>
      <c r="AG2462" s="4">
        <v>2</v>
      </c>
      <c r="AH2462" s="4">
        <v>56</v>
      </c>
      <c r="AI2462" s="4">
        <v>105</v>
      </c>
      <c r="AJ2462" s="4">
        <v>6</v>
      </c>
      <c r="AK2462" s="4">
        <v>20</v>
      </c>
      <c r="AL2462" s="4">
        <v>30</v>
      </c>
      <c r="AM2462" s="4">
        <v>60</v>
      </c>
      <c r="AN2462" s="4">
        <v>0</v>
      </c>
      <c r="AO2462" s="4">
        <v>1</v>
      </c>
      <c r="AP2462" s="4">
        <v>6</v>
      </c>
      <c r="AQ2462" s="4">
        <v>22</v>
      </c>
      <c r="AR2462" s="3" t="s">
        <v>63</v>
      </c>
      <c r="AS2462" s="3" t="s">
        <v>63</v>
      </c>
      <c r="AT2462" s="3" t="s">
        <v>62</v>
      </c>
      <c r="AU2462" s="6" t="str">
        <f>HYPERLINK("http://catalog.hathitrust.org/Record/007022266","HathiTrust Record")</f>
        <v>HathiTrust Record</v>
      </c>
      <c r="AV2462" s="6" t="str">
        <f>HYPERLINK("http://mcgill.on.worldcat.org/oclc/2597932","Catalog Record")</f>
        <v>Catalog Record</v>
      </c>
      <c r="AW2462" s="6" t="str">
        <f>HYPERLINK("http://www.worldcat.org/oclc/2597932","WorldCat Record")</f>
        <v>WorldCat Record</v>
      </c>
      <c r="AX2462" s="3" t="s">
        <v>20662</v>
      </c>
      <c r="AY2462" s="3" t="s">
        <v>20663</v>
      </c>
      <c r="AZ2462" s="3" t="s">
        <v>20664</v>
      </c>
      <c r="BA2462" s="3" t="s">
        <v>20664</v>
      </c>
      <c r="BB2462" s="3" t="s">
        <v>20665</v>
      </c>
      <c r="BC2462" s="3" t="s">
        <v>82</v>
      </c>
      <c r="BD2462" s="3" t="s">
        <v>70</v>
      </c>
      <c r="BE2462" s="3" t="s">
        <v>20666</v>
      </c>
      <c r="BF2462" s="3" t="s">
        <v>20665</v>
      </c>
      <c r="BG2462" s="3" t="s">
        <v>20667</v>
      </c>
    </row>
    <row r="2463" spans="1:59" ht="105" x14ac:dyDescent="0.25">
      <c r="A2463" s="2" t="s">
        <v>59</v>
      </c>
      <c r="B2463" s="2" t="s">
        <v>60</v>
      </c>
      <c r="C2463" s="2" t="s">
        <v>20668</v>
      </c>
      <c r="D2463" s="2" t="s">
        <v>20669</v>
      </c>
      <c r="E2463" s="2" t="s">
        <v>20670</v>
      </c>
      <c r="G2463" s="3" t="s">
        <v>63</v>
      </c>
      <c r="I2463" s="3" t="s">
        <v>63</v>
      </c>
      <c r="J2463" s="3" t="s">
        <v>63</v>
      </c>
      <c r="K2463" s="3" t="s">
        <v>64</v>
      </c>
      <c r="L2463" s="2" t="s">
        <v>20562</v>
      </c>
      <c r="M2463" s="2" t="s">
        <v>4873</v>
      </c>
      <c r="N2463" s="3" t="s">
        <v>1023</v>
      </c>
      <c r="P2463" s="3" t="s">
        <v>66</v>
      </c>
      <c r="Q2463" s="2" t="s">
        <v>3902</v>
      </c>
      <c r="R2463" s="3" t="s">
        <v>67</v>
      </c>
      <c r="S2463" s="4">
        <v>5</v>
      </c>
      <c r="T2463" s="4">
        <v>5</v>
      </c>
      <c r="U2463" s="5" t="s">
        <v>20574</v>
      </c>
      <c r="V2463" s="5" t="s">
        <v>20574</v>
      </c>
      <c r="W2463" s="5" t="s">
        <v>69</v>
      </c>
      <c r="X2463" s="5" t="s">
        <v>69</v>
      </c>
      <c r="Y2463" s="4">
        <v>234</v>
      </c>
      <c r="Z2463" s="4">
        <v>18</v>
      </c>
      <c r="AA2463" s="4">
        <v>18</v>
      </c>
      <c r="AB2463" s="4">
        <v>1</v>
      </c>
      <c r="AC2463" s="4">
        <v>1</v>
      </c>
      <c r="AD2463" s="4">
        <v>93</v>
      </c>
      <c r="AE2463" s="4">
        <v>93</v>
      </c>
      <c r="AF2463" s="4">
        <v>0</v>
      </c>
      <c r="AG2463" s="4">
        <v>0</v>
      </c>
      <c r="AH2463" s="4">
        <v>89</v>
      </c>
      <c r="AI2463" s="4">
        <v>89</v>
      </c>
      <c r="AJ2463" s="4">
        <v>10</v>
      </c>
      <c r="AK2463" s="4">
        <v>10</v>
      </c>
      <c r="AL2463" s="4">
        <v>48</v>
      </c>
      <c r="AM2463" s="4">
        <v>48</v>
      </c>
      <c r="AN2463" s="4">
        <v>0</v>
      </c>
      <c r="AO2463" s="4">
        <v>0</v>
      </c>
      <c r="AP2463" s="4">
        <v>12</v>
      </c>
      <c r="AQ2463" s="4">
        <v>12</v>
      </c>
      <c r="AR2463" s="3" t="s">
        <v>63</v>
      </c>
      <c r="AS2463" s="3" t="s">
        <v>63</v>
      </c>
      <c r="AT2463" s="3" t="s">
        <v>63</v>
      </c>
      <c r="AV2463" s="6" t="str">
        <f>HYPERLINK("http://mcgill.on.worldcat.org/oclc/30624218","Catalog Record")</f>
        <v>Catalog Record</v>
      </c>
      <c r="AW2463" s="6" t="str">
        <f>HYPERLINK("http://www.worldcat.org/oclc/30624218","WorldCat Record")</f>
        <v>WorldCat Record</v>
      </c>
      <c r="AX2463" s="3" t="s">
        <v>20671</v>
      </c>
      <c r="AY2463" s="3" t="s">
        <v>20672</v>
      </c>
      <c r="AZ2463" s="3" t="s">
        <v>20673</v>
      </c>
      <c r="BA2463" s="3" t="s">
        <v>20673</v>
      </c>
      <c r="BB2463" s="3" t="s">
        <v>20674</v>
      </c>
      <c r="BC2463" s="3" t="s">
        <v>82</v>
      </c>
      <c r="BD2463" s="3" t="s">
        <v>70</v>
      </c>
      <c r="BE2463" s="3" t="s">
        <v>20675</v>
      </c>
      <c r="BF2463" s="3" t="s">
        <v>20674</v>
      </c>
      <c r="BG2463" s="3" t="s">
        <v>20676</v>
      </c>
    </row>
    <row r="2464" spans="1:59" ht="60" x14ac:dyDescent="0.25">
      <c r="A2464" s="2" t="s">
        <v>59</v>
      </c>
      <c r="B2464" s="2" t="s">
        <v>60</v>
      </c>
      <c r="C2464" s="2" t="s">
        <v>20677</v>
      </c>
      <c r="D2464" s="2" t="s">
        <v>20678</v>
      </c>
      <c r="E2464" s="2" t="s">
        <v>20679</v>
      </c>
      <c r="G2464" s="3" t="s">
        <v>63</v>
      </c>
      <c r="I2464" s="3" t="s">
        <v>63</v>
      </c>
      <c r="J2464" s="3" t="s">
        <v>63</v>
      </c>
      <c r="K2464" s="3" t="s">
        <v>64</v>
      </c>
      <c r="L2464" s="2" t="s">
        <v>20680</v>
      </c>
      <c r="M2464" s="2" t="s">
        <v>20681</v>
      </c>
      <c r="N2464" s="3" t="s">
        <v>1113</v>
      </c>
      <c r="P2464" s="3" t="s">
        <v>66</v>
      </c>
      <c r="Q2464" s="2" t="s">
        <v>20682</v>
      </c>
      <c r="R2464" s="3" t="s">
        <v>67</v>
      </c>
      <c r="S2464" s="4">
        <v>5</v>
      </c>
      <c r="T2464" s="4">
        <v>5</v>
      </c>
      <c r="U2464" s="5" t="s">
        <v>20683</v>
      </c>
      <c r="V2464" s="5" t="s">
        <v>20683</v>
      </c>
      <c r="W2464" s="5" t="s">
        <v>69</v>
      </c>
      <c r="X2464" s="5" t="s">
        <v>69</v>
      </c>
      <c r="Y2464" s="4">
        <v>139</v>
      </c>
      <c r="Z2464" s="4">
        <v>13</v>
      </c>
      <c r="AA2464" s="4">
        <v>13</v>
      </c>
      <c r="AB2464" s="4">
        <v>1</v>
      </c>
      <c r="AC2464" s="4">
        <v>1</v>
      </c>
      <c r="AD2464" s="4">
        <v>71</v>
      </c>
      <c r="AE2464" s="4">
        <v>71</v>
      </c>
      <c r="AF2464" s="4">
        <v>0</v>
      </c>
      <c r="AG2464" s="4">
        <v>0</v>
      </c>
      <c r="AH2464" s="4">
        <v>67</v>
      </c>
      <c r="AI2464" s="4">
        <v>67</v>
      </c>
      <c r="AJ2464" s="4">
        <v>11</v>
      </c>
      <c r="AK2464" s="4">
        <v>11</v>
      </c>
      <c r="AL2464" s="4">
        <v>36</v>
      </c>
      <c r="AM2464" s="4">
        <v>36</v>
      </c>
      <c r="AN2464" s="4">
        <v>0</v>
      </c>
      <c r="AO2464" s="4">
        <v>0</v>
      </c>
      <c r="AP2464" s="4">
        <v>10</v>
      </c>
      <c r="AQ2464" s="4">
        <v>10</v>
      </c>
      <c r="AR2464" s="3" t="s">
        <v>63</v>
      </c>
      <c r="AS2464" s="3" t="s">
        <v>63</v>
      </c>
      <c r="AT2464" s="3" t="s">
        <v>63</v>
      </c>
      <c r="AV2464" s="6" t="str">
        <f>HYPERLINK("http://mcgill.on.worldcat.org/oclc/34618134","Catalog Record")</f>
        <v>Catalog Record</v>
      </c>
      <c r="AW2464" s="6" t="str">
        <f>HYPERLINK("http://www.worldcat.org/oclc/34618134","WorldCat Record")</f>
        <v>WorldCat Record</v>
      </c>
      <c r="AX2464" s="3" t="s">
        <v>20684</v>
      </c>
      <c r="AY2464" s="3" t="s">
        <v>20685</v>
      </c>
      <c r="AZ2464" s="3" t="s">
        <v>20686</v>
      </c>
      <c r="BA2464" s="3" t="s">
        <v>20686</v>
      </c>
      <c r="BB2464" s="3" t="s">
        <v>20687</v>
      </c>
      <c r="BC2464" s="3" t="s">
        <v>82</v>
      </c>
      <c r="BD2464" s="3" t="s">
        <v>70</v>
      </c>
      <c r="BE2464" s="3" t="s">
        <v>20688</v>
      </c>
      <c r="BF2464" s="3" t="s">
        <v>20687</v>
      </c>
      <c r="BG2464" s="3" t="s">
        <v>20689</v>
      </c>
    </row>
    <row r="2465" spans="1:59" ht="60" x14ac:dyDescent="0.25">
      <c r="A2465" s="2" t="s">
        <v>59</v>
      </c>
      <c r="B2465" s="2" t="s">
        <v>60</v>
      </c>
      <c r="C2465" s="2" t="s">
        <v>20690</v>
      </c>
      <c r="D2465" s="2" t="s">
        <v>20691</v>
      </c>
      <c r="E2465" s="2" t="s">
        <v>20692</v>
      </c>
      <c r="G2465" s="3" t="s">
        <v>63</v>
      </c>
      <c r="I2465" s="3" t="s">
        <v>63</v>
      </c>
      <c r="J2465" s="3" t="s">
        <v>63</v>
      </c>
      <c r="K2465" s="3" t="s">
        <v>64</v>
      </c>
      <c r="L2465" s="2" t="s">
        <v>20693</v>
      </c>
      <c r="M2465" s="2" t="s">
        <v>20694</v>
      </c>
      <c r="N2465" s="3" t="s">
        <v>76</v>
      </c>
      <c r="P2465" s="3" t="s">
        <v>90</v>
      </c>
      <c r="R2465" s="3" t="s">
        <v>67</v>
      </c>
      <c r="S2465" s="4">
        <v>0</v>
      </c>
      <c r="T2465" s="4">
        <v>0</v>
      </c>
      <c r="W2465" s="5" t="s">
        <v>69</v>
      </c>
      <c r="X2465" s="5" t="s">
        <v>69</v>
      </c>
      <c r="Y2465" s="4">
        <v>37</v>
      </c>
      <c r="Z2465" s="4">
        <v>3</v>
      </c>
      <c r="AA2465" s="4">
        <v>3</v>
      </c>
      <c r="AB2465" s="4">
        <v>1</v>
      </c>
      <c r="AC2465" s="4">
        <v>1</v>
      </c>
      <c r="AD2465" s="4">
        <v>26</v>
      </c>
      <c r="AE2465" s="4">
        <v>26</v>
      </c>
      <c r="AF2465" s="4">
        <v>0</v>
      </c>
      <c r="AG2465" s="4">
        <v>0</v>
      </c>
      <c r="AH2465" s="4">
        <v>25</v>
      </c>
      <c r="AI2465" s="4">
        <v>25</v>
      </c>
      <c r="AJ2465" s="4">
        <v>1</v>
      </c>
      <c r="AK2465" s="4">
        <v>1</v>
      </c>
      <c r="AL2465" s="4">
        <v>21</v>
      </c>
      <c r="AM2465" s="4">
        <v>21</v>
      </c>
      <c r="AN2465" s="4">
        <v>0</v>
      </c>
      <c r="AO2465" s="4">
        <v>0</v>
      </c>
      <c r="AP2465" s="4">
        <v>1</v>
      </c>
      <c r="AQ2465" s="4">
        <v>1</v>
      </c>
      <c r="AR2465" s="3" t="s">
        <v>63</v>
      </c>
      <c r="AS2465" s="3" t="s">
        <v>63</v>
      </c>
      <c r="AT2465" s="3" t="s">
        <v>63</v>
      </c>
      <c r="AV2465" s="6" t="str">
        <f>HYPERLINK("http://mcgill.on.worldcat.org/oclc/846816025","Catalog Record")</f>
        <v>Catalog Record</v>
      </c>
      <c r="AW2465" s="6" t="str">
        <f>HYPERLINK("http://www.worldcat.org/oclc/846816025","WorldCat Record")</f>
        <v>WorldCat Record</v>
      </c>
      <c r="AX2465" s="3" t="s">
        <v>20695</v>
      </c>
      <c r="AY2465" s="3" t="s">
        <v>20696</v>
      </c>
      <c r="AZ2465" s="3" t="s">
        <v>20697</v>
      </c>
      <c r="BA2465" s="3" t="s">
        <v>20697</v>
      </c>
      <c r="BB2465" s="3" t="s">
        <v>20698</v>
      </c>
      <c r="BC2465" s="3" t="s">
        <v>82</v>
      </c>
      <c r="BD2465" s="3" t="s">
        <v>70</v>
      </c>
      <c r="BE2465" s="3" t="s">
        <v>20699</v>
      </c>
      <c r="BF2465" s="3" t="s">
        <v>20698</v>
      </c>
      <c r="BG2465" s="3" t="s">
        <v>20700</v>
      </c>
    </row>
    <row r="2466" spans="1:59" ht="75" x14ac:dyDescent="0.25">
      <c r="A2466" s="2" t="s">
        <v>59</v>
      </c>
      <c r="B2466" s="2" t="s">
        <v>60</v>
      </c>
      <c r="C2466" s="2" t="s">
        <v>20701</v>
      </c>
      <c r="D2466" s="2" t="s">
        <v>20702</v>
      </c>
      <c r="E2466" s="2" t="s">
        <v>20703</v>
      </c>
      <c r="G2466" s="3" t="s">
        <v>63</v>
      </c>
      <c r="I2466" s="3" t="s">
        <v>63</v>
      </c>
      <c r="J2466" s="3" t="s">
        <v>63</v>
      </c>
      <c r="K2466" s="3" t="s">
        <v>64</v>
      </c>
      <c r="M2466" s="2" t="s">
        <v>20704</v>
      </c>
      <c r="N2466" s="3" t="s">
        <v>374</v>
      </c>
      <c r="P2466" s="3" t="s">
        <v>66</v>
      </c>
      <c r="R2466" s="3" t="s">
        <v>67</v>
      </c>
      <c r="S2466" s="4">
        <v>7</v>
      </c>
      <c r="T2466" s="4">
        <v>7</v>
      </c>
      <c r="U2466" s="5" t="s">
        <v>20705</v>
      </c>
      <c r="V2466" s="5" t="s">
        <v>20705</v>
      </c>
      <c r="W2466" s="5" t="s">
        <v>69</v>
      </c>
      <c r="X2466" s="5" t="s">
        <v>69</v>
      </c>
      <c r="Y2466" s="4">
        <v>318</v>
      </c>
      <c r="Z2466" s="4">
        <v>21</v>
      </c>
      <c r="AA2466" s="4">
        <v>21</v>
      </c>
      <c r="AB2466" s="4">
        <v>1</v>
      </c>
      <c r="AC2466" s="4">
        <v>1</v>
      </c>
      <c r="AD2466" s="4">
        <v>102</v>
      </c>
      <c r="AE2466" s="4">
        <v>102</v>
      </c>
      <c r="AF2466" s="4">
        <v>0</v>
      </c>
      <c r="AG2466" s="4">
        <v>0</v>
      </c>
      <c r="AH2466" s="4">
        <v>95</v>
      </c>
      <c r="AI2466" s="4">
        <v>95</v>
      </c>
      <c r="AJ2466" s="4">
        <v>15</v>
      </c>
      <c r="AK2466" s="4">
        <v>15</v>
      </c>
      <c r="AL2466" s="4">
        <v>51</v>
      </c>
      <c r="AM2466" s="4">
        <v>51</v>
      </c>
      <c r="AN2466" s="4">
        <v>0</v>
      </c>
      <c r="AO2466" s="4">
        <v>0</v>
      </c>
      <c r="AP2466" s="4">
        <v>16</v>
      </c>
      <c r="AQ2466" s="4">
        <v>16</v>
      </c>
      <c r="AR2466" s="3" t="s">
        <v>63</v>
      </c>
      <c r="AS2466" s="3" t="s">
        <v>63</v>
      </c>
      <c r="AT2466" s="3" t="s">
        <v>62</v>
      </c>
      <c r="AU2466" s="6" t="str">
        <f>HYPERLINK("http://catalog.hathitrust.org/Record/002985678","HathiTrust Record")</f>
        <v>HathiTrust Record</v>
      </c>
      <c r="AV2466" s="6" t="str">
        <f>HYPERLINK("http://mcgill.on.worldcat.org/oclc/31754955","Catalog Record")</f>
        <v>Catalog Record</v>
      </c>
      <c r="AW2466" s="6" t="str">
        <f>HYPERLINK("http://www.worldcat.org/oclc/31754955","WorldCat Record")</f>
        <v>WorldCat Record</v>
      </c>
      <c r="AX2466" s="3" t="s">
        <v>20706</v>
      </c>
      <c r="AY2466" s="3" t="s">
        <v>20707</v>
      </c>
      <c r="AZ2466" s="3" t="s">
        <v>20708</v>
      </c>
      <c r="BA2466" s="3" t="s">
        <v>20708</v>
      </c>
      <c r="BB2466" s="3" t="s">
        <v>20709</v>
      </c>
      <c r="BC2466" s="3" t="s">
        <v>82</v>
      </c>
      <c r="BD2466" s="3" t="s">
        <v>70</v>
      </c>
      <c r="BE2466" s="3" t="s">
        <v>20710</v>
      </c>
      <c r="BF2466" s="3" t="s">
        <v>20709</v>
      </c>
      <c r="BG2466" s="3" t="s">
        <v>20711</v>
      </c>
    </row>
    <row r="2467" spans="1:59" ht="60" x14ac:dyDescent="0.25">
      <c r="A2467" s="2" t="s">
        <v>59</v>
      </c>
      <c r="B2467" s="2" t="s">
        <v>60</v>
      </c>
      <c r="C2467" s="2" t="s">
        <v>20599</v>
      </c>
      <c r="D2467" s="2" t="s">
        <v>20600</v>
      </c>
      <c r="E2467" s="2" t="s">
        <v>20591</v>
      </c>
      <c r="G2467" s="3" t="s">
        <v>63</v>
      </c>
      <c r="I2467" s="3" t="s">
        <v>62</v>
      </c>
      <c r="J2467" s="3" t="s">
        <v>62</v>
      </c>
      <c r="K2467" s="3" t="s">
        <v>64</v>
      </c>
      <c r="L2467" s="2" t="s">
        <v>20562</v>
      </c>
      <c r="M2467" s="2" t="s">
        <v>20592</v>
      </c>
      <c r="N2467" s="3" t="s">
        <v>468</v>
      </c>
      <c r="P2467" s="3" t="s">
        <v>90</v>
      </c>
      <c r="Q2467" s="2" t="s">
        <v>20593</v>
      </c>
      <c r="R2467" s="3" t="s">
        <v>67</v>
      </c>
      <c r="S2467" s="4">
        <v>0</v>
      </c>
      <c r="T2467" s="4">
        <v>2</v>
      </c>
      <c r="V2467" s="5" t="s">
        <v>907</v>
      </c>
      <c r="W2467" s="5" t="s">
        <v>69</v>
      </c>
      <c r="X2467" s="5" t="s">
        <v>69</v>
      </c>
      <c r="Y2467" s="4">
        <v>14</v>
      </c>
      <c r="Z2467" s="4">
        <v>1</v>
      </c>
      <c r="AA2467" s="4">
        <v>8</v>
      </c>
      <c r="AB2467" s="4">
        <v>1</v>
      </c>
      <c r="AC2467" s="4">
        <v>2</v>
      </c>
      <c r="AD2467" s="4">
        <v>5</v>
      </c>
      <c r="AE2467" s="4">
        <v>64</v>
      </c>
      <c r="AF2467" s="4">
        <v>0</v>
      </c>
      <c r="AG2467" s="4">
        <v>1</v>
      </c>
      <c r="AH2467" s="4">
        <v>5</v>
      </c>
      <c r="AI2467" s="4">
        <v>60</v>
      </c>
      <c r="AJ2467" s="4">
        <v>0</v>
      </c>
      <c r="AK2467" s="4">
        <v>6</v>
      </c>
      <c r="AL2467" s="4">
        <v>2</v>
      </c>
      <c r="AM2467" s="4">
        <v>40</v>
      </c>
      <c r="AN2467" s="4">
        <v>0</v>
      </c>
      <c r="AO2467" s="4">
        <v>0</v>
      </c>
      <c r="AP2467" s="4">
        <v>0</v>
      </c>
      <c r="AQ2467" s="4">
        <v>6</v>
      </c>
      <c r="AR2467" s="3" t="s">
        <v>63</v>
      </c>
      <c r="AS2467" s="3" t="s">
        <v>63</v>
      </c>
      <c r="AT2467" s="3" t="s">
        <v>63</v>
      </c>
      <c r="AV2467" s="6" t="str">
        <f>HYPERLINK("http://mcgill.on.worldcat.org/oclc/6843265","Catalog Record")</f>
        <v>Catalog Record</v>
      </c>
      <c r="AW2467" s="6" t="str">
        <f>HYPERLINK("http://www.worldcat.org/oclc/6843265","WorldCat Record")</f>
        <v>WorldCat Record</v>
      </c>
      <c r="AX2467" s="3" t="s">
        <v>20594</v>
      </c>
      <c r="AY2467" s="3" t="s">
        <v>20595</v>
      </c>
      <c r="AZ2467" s="3" t="s">
        <v>20596</v>
      </c>
      <c r="BA2467" s="3" t="s">
        <v>20596</v>
      </c>
      <c r="BB2467" s="3" t="s">
        <v>20601</v>
      </c>
      <c r="BC2467" s="3" t="s">
        <v>82</v>
      </c>
      <c r="BD2467" s="3" t="s">
        <v>70</v>
      </c>
      <c r="BF2467" s="3" t="s">
        <v>20601</v>
      </c>
      <c r="BG2467" s="3" t="s">
        <v>20602</v>
      </c>
    </row>
    <row r="2468" spans="1:59" ht="60" x14ac:dyDescent="0.25">
      <c r="A2468" s="2" t="s">
        <v>59</v>
      </c>
      <c r="B2468" s="2" t="s">
        <v>60</v>
      </c>
      <c r="C2468" s="2" t="s">
        <v>20712</v>
      </c>
      <c r="D2468" s="2" t="s">
        <v>20713</v>
      </c>
      <c r="E2468" s="2" t="s">
        <v>20714</v>
      </c>
      <c r="F2468" s="3" t="s">
        <v>4032</v>
      </c>
      <c r="G2468" s="3" t="s">
        <v>62</v>
      </c>
      <c r="I2468" s="3" t="s">
        <v>63</v>
      </c>
      <c r="J2468" s="3" t="s">
        <v>63</v>
      </c>
      <c r="K2468" s="3" t="s">
        <v>64</v>
      </c>
      <c r="L2468" s="2" t="s">
        <v>20715</v>
      </c>
      <c r="M2468" s="2" t="s">
        <v>20716</v>
      </c>
      <c r="N2468" s="3" t="s">
        <v>274</v>
      </c>
      <c r="P2468" s="3" t="s">
        <v>90</v>
      </c>
      <c r="R2468" s="3" t="s">
        <v>67</v>
      </c>
      <c r="S2468" s="4">
        <v>6</v>
      </c>
      <c r="T2468" s="4">
        <v>78</v>
      </c>
      <c r="U2468" s="5" t="s">
        <v>20717</v>
      </c>
      <c r="V2468" s="5" t="s">
        <v>12637</v>
      </c>
      <c r="W2468" s="5" t="s">
        <v>69</v>
      </c>
      <c r="X2468" s="5" t="s">
        <v>69</v>
      </c>
      <c r="Y2468" s="4">
        <v>13</v>
      </c>
      <c r="Z2468" s="4">
        <v>2</v>
      </c>
      <c r="AA2468" s="4">
        <v>3</v>
      </c>
      <c r="AB2468" s="4">
        <v>1</v>
      </c>
      <c r="AC2468" s="4">
        <v>1</v>
      </c>
      <c r="AD2468" s="4">
        <v>6</v>
      </c>
      <c r="AE2468" s="4">
        <v>11</v>
      </c>
      <c r="AF2468" s="4">
        <v>0</v>
      </c>
      <c r="AG2468" s="4">
        <v>0</v>
      </c>
      <c r="AH2468" s="4">
        <v>6</v>
      </c>
      <c r="AI2468" s="4">
        <v>11</v>
      </c>
      <c r="AJ2468" s="4">
        <v>1</v>
      </c>
      <c r="AK2468" s="4">
        <v>1</v>
      </c>
      <c r="AL2468" s="4">
        <v>3</v>
      </c>
      <c r="AM2468" s="4">
        <v>7</v>
      </c>
      <c r="AN2468" s="4">
        <v>0</v>
      </c>
      <c r="AO2468" s="4">
        <v>0</v>
      </c>
      <c r="AP2468" s="4">
        <v>1</v>
      </c>
      <c r="AQ2468" s="4">
        <v>1</v>
      </c>
      <c r="AR2468" s="3" t="s">
        <v>63</v>
      </c>
      <c r="AS2468" s="3" t="s">
        <v>63</v>
      </c>
      <c r="AT2468" s="3" t="s">
        <v>62</v>
      </c>
      <c r="AU2468" s="6" t="str">
        <f>HYPERLINK("http://catalog.hathitrust.org/Record/011247386","HathiTrust Record")</f>
        <v>HathiTrust Record</v>
      </c>
      <c r="AV2468" s="6" t="str">
        <f>HYPERLINK("http://mcgill.on.worldcat.org/oclc/42673955","Catalog Record")</f>
        <v>Catalog Record</v>
      </c>
      <c r="AW2468" s="6" t="str">
        <f>HYPERLINK("http://www.worldcat.org/oclc/42673955","WorldCat Record")</f>
        <v>WorldCat Record</v>
      </c>
      <c r="AX2468" s="3" t="s">
        <v>20718</v>
      </c>
      <c r="AY2468" s="3" t="s">
        <v>20719</v>
      </c>
      <c r="AZ2468" s="3" t="s">
        <v>20720</v>
      </c>
      <c r="BA2468" s="3" t="s">
        <v>20720</v>
      </c>
      <c r="BB2468" s="3" t="s">
        <v>20721</v>
      </c>
      <c r="BC2468" s="3" t="s">
        <v>82</v>
      </c>
      <c r="BD2468" s="3" t="s">
        <v>70</v>
      </c>
      <c r="BE2468" s="3" t="s">
        <v>20722</v>
      </c>
      <c r="BF2468" s="3" t="s">
        <v>20721</v>
      </c>
      <c r="BG2468" s="3" t="s">
        <v>20723</v>
      </c>
    </row>
    <row r="2469" spans="1:59" ht="60" x14ac:dyDescent="0.25">
      <c r="A2469" s="2" t="s">
        <v>59</v>
      </c>
      <c r="B2469" s="2" t="s">
        <v>60</v>
      </c>
      <c r="C2469" s="2" t="s">
        <v>20712</v>
      </c>
      <c r="D2469" s="2" t="s">
        <v>20713</v>
      </c>
      <c r="E2469" s="2" t="s">
        <v>20714</v>
      </c>
      <c r="F2469" s="3" t="s">
        <v>20724</v>
      </c>
      <c r="G2469" s="3" t="s">
        <v>62</v>
      </c>
      <c r="I2469" s="3" t="s">
        <v>63</v>
      </c>
      <c r="J2469" s="3" t="s">
        <v>63</v>
      </c>
      <c r="K2469" s="3" t="s">
        <v>64</v>
      </c>
      <c r="L2469" s="2" t="s">
        <v>20715</v>
      </c>
      <c r="M2469" s="2" t="s">
        <v>20716</v>
      </c>
      <c r="N2469" s="3" t="s">
        <v>274</v>
      </c>
      <c r="P2469" s="3" t="s">
        <v>90</v>
      </c>
      <c r="R2469" s="3" t="s">
        <v>67</v>
      </c>
      <c r="S2469" s="4">
        <v>0</v>
      </c>
      <c r="T2469" s="4">
        <v>78</v>
      </c>
      <c r="V2469" s="5" t="s">
        <v>12637</v>
      </c>
      <c r="W2469" s="5" t="s">
        <v>69</v>
      </c>
      <c r="X2469" s="5" t="s">
        <v>69</v>
      </c>
      <c r="Y2469" s="4">
        <v>13</v>
      </c>
      <c r="Z2469" s="4">
        <v>2</v>
      </c>
      <c r="AA2469" s="4">
        <v>3</v>
      </c>
      <c r="AB2469" s="4">
        <v>1</v>
      </c>
      <c r="AC2469" s="4">
        <v>1</v>
      </c>
      <c r="AD2469" s="4">
        <v>6</v>
      </c>
      <c r="AE2469" s="4">
        <v>11</v>
      </c>
      <c r="AF2469" s="4">
        <v>0</v>
      </c>
      <c r="AG2469" s="4">
        <v>0</v>
      </c>
      <c r="AH2469" s="4">
        <v>6</v>
      </c>
      <c r="AI2469" s="4">
        <v>11</v>
      </c>
      <c r="AJ2469" s="4">
        <v>1</v>
      </c>
      <c r="AK2469" s="4">
        <v>1</v>
      </c>
      <c r="AL2469" s="4">
        <v>3</v>
      </c>
      <c r="AM2469" s="4">
        <v>7</v>
      </c>
      <c r="AN2469" s="4">
        <v>0</v>
      </c>
      <c r="AO2469" s="4">
        <v>0</v>
      </c>
      <c r="AP2469" s="4">
        <v>1</v>
      </c>
      <c r="AQ2469" s="4">
        <v>1</v>
      </c>
      <c r="AR2469" s="3" t="s">
        <v>63</v>
      </c>
      <c r="AS2469" s="3" t="s">
        <v>63</v>
      </c>
      <c r="AT2469" s="3" t="s">
        <v>62</v>
      </c>
      <c r="AU2469" s="6" t="str">
        <f>HYPERLINK("http://catalog.hathitrust.org/Record/011247386","HathiTrust Record")</f>
        <v>HathiTrust Record</v>
      </c>
      <c r="AV2469" s="6" t="str">
        <f>HYPERLINK("http://mcgill.on.worldcat.org/oclc/42673955","Catalog Record")</f>
        <v>Catalog Record</v>
      </c>
      <c r="AW2469" s="6" t="str">
        <f>HYPERLINK("http://www.worldcat.org/oclc/42673955","WorldCat Record")</f>
        <v>WorldCat Record</v>
      </c>
      <c r="AX2469" s="3" t="s">
        <v>20718</v>
      </c>
      <c r="AY2469" s="3" t="s">
        <v>20719</v>
      </c>
      <c r="AZ2469" s="3" t="s">
        <v>20720</v>
      </c>
      <c r="BA2469" s="3" t="s">
        <v>20720</v>
      </c>
      <c r="BB2469" s="3" t="s">
        <v>20725</v>
      </c>
      <c r="BC2469" s="3" t="s">
        <v>82</v>
      </c>
      <c r="BD2469" s="3" t="s">
        <v>70</v>
      </c>
      <c r="BE2469" s="3" t="s">
        <v>20722</v>
      </c>
      <c r="BF2469" s="3" t="s">
        <v>20725</v>
      </c>
      <c r="BG2469" s="3" t="s">
        <v>20726</v>
      </c>
    </row>
    <row r="2470" spans="1:59" ht="60" x14ac:dyDescent="0.25">
      <c r="A2470" s="2" t="s">
        <v>59</v>
      </c>
      <c r="B2470" s="2" t="s">
        <v>60</v>
      </c>
      <c r="C2470" s="2" t="s">
        <v>20712</v>
      </c>
      <c r="D2470" s="2" t="s">
        <v>20713</v>
      </c>
      <c r="E2470" s="2" t="s">
        <v>20714</v>
      </c>
      <c r="F2470" s="3" t="s">
        <v>4431</v>
      </c>
      <c r="G2470" s="3" t="s">
        <v>62</v>
      </c>
      <c r="I2470" s="3" t="s">
        <v>63</v>
      </c>
      <c r="J2470" s="3" t="s">
        <v>63</v>
      </c>
      <c r="K2470" s="3" t="s">
        <v>64</v>
      </c>
      <c r="L2470" s="2" t="s">
        <v>20715</v>
      </c>
      <c r="M2470" s="2" t="s">
        <v>20716</v>
      </c>
      <c r="N2470" s="3" t="s">
        <v>274</v>
      </c>
      <c r="P2470" s="3" t="s">
        <v>90</v>
      </c>
      <c r="R2470" s="3" t="s">
        <v>67</v>
      </c>
      <c r="S2470" s="4">
        <v>2</v>
      </c>
      <c r="T2470" s="4">
        <v>78</v>
      </c>
      <c r="U2470" s="5" t="s">
        <v>20727</v>
      </c>
      <c r="V2470" s="5" t="s">
        <v>12637</v>
      </c>
      <c r="W2470" s="5" t="s">
        <v>69</v>
      </c>
      <c r="X2470" s="5" t="s">
        <v>69</v>
      </c>
      <c r="Y2470" s="4">
        <v>13</v>
      </c>
      <c r="Z2470" s="4">
        <v>2</v>
      </c>
      <c r="AA2470" s="4">
        <v>3</v>
      </c>
      <c r="AB2470" s="4">
        <v>1</v>
      </c>
      <c r="AC2470" s="4">
        <v>1</v>
      </c>
      <c r="AD2470" s="4">
        <v>6</v>
      </c>
      <c r="AE2470" s="4">
        <v>11</v>
      </c>
      <c r="AF2470" s="4">
        <v>0</v>
      </c>
      <c r="AG2470" s="4">
        <v>0</v>
      </c>
      <c r="AH2470" s="4">
        <v>6</v>
      </c>
      <c r="AI2470" s="4">
        <v>11</v>
      </c>
      <c r="AJ2470" s="4">
        <v>1</v>
      </c>
      <c r="AK2470" s="4">
        <v>1</v>
      </c>
      <c r="AL2470" s="4">
        <v>3</v>
      </c>
      <c r="AM2470" s="4">
        <v>7</v>
      </c>
      <c r="AN2470" s="4">
        <v>0</v>
      </c>
      <c r="AO2470" s="4">
        <v>0</v>
      </c>
      <c r="AP2470" s="4">
        <v>1</v>
      </c>
      <c r="AQ2470" s="4">
        <v>1</v>
      </c>
      <c r="AR2470" s="3" t="s">
        <v>63</v>
      </c>
      <c r="AS2470" s="3" t="s">
        <v>63</v>
      </c>
      <c r="AT2470" s="3" t="s">
        <v>62</v>
      </c>
      <c r="AU2470" s="6" t="str">
        <f>HYPERLINK("http://catalog.hathitrust.org/Record/011247386","HathiTrust Record")</f>
        <v>HathiTrust Record</v>
      </c>
      <c r="AV2470" s="6" t="str">
        <f>HYPERLINK("http://mcgill.on.worldcat.org/oclc/42673955","Catalog Record")</f>
        <v>Catalog Record</v>
      </c>
      <c r="AW2470" s="6" t="str">
        <f>HYPERLINK("http://www.worldcat.org/oclc/42673955","WorldCat Record")</f>
        <v>WorldCat Record</v>
      </c>
      <c r="AX2470" s="3" t="s">
        <v>20718</v>
      </c>
      <c r="AY2470" s="3" t="s">
        <v>20719</v>
      </c>
      <c r="AZ2470" s="3" t="s">
        <v>20720</v>
      </c>
      <c r="BA2470" s="3" t="s">
        <v>20720</v>
      </c>
      <c r="BB2470" s="3" t="s">
        <v>20728</v>
      </c>
      <c r="BC2470" s="3" t="s">
        <v>82</v>
      </c>
      <c r="BD2470" s="3" t="s">
        <v>70</v>
      </c>
      <c r="BE2470" s="3" t="s">
        <v>20722</v>
      </c>
      <c r="BF2470" s="3" t="s">
        <v>20728</v>
      </c>
      <c r="BG2470" s="3" t="s">
        <v>20729</v>
      </c>
    </row>
    <row r="2471" spans="1:59" ht="60" x14ac:dyDescent="0.25">
      <c r="A2471" s="2" t="s">
        <v>59</v>
      </c>
      <c r="B2471" s="2" t="s">
        <v>60</v>
      </c>
      <c r="C2471" s="2" t="s">
        <v>20712</v>
      </c>
      <c r="D2471" s="2" t="s">
        <v>20713</v>
      </c>
      <c r="E2471" s="2" t="s">
        <v>20714</v>
      </c>
      <c r="F2471" s="3" t="s">
        <v>4434</v>
      </c>
      <c r="G2471" s="3" t="s">
        <v>62</v>
      </c>
      <c r="I2471" s="3" t="s">
        <v>63</v>
      </c>
      <c r="J2471" s="3" t="s">
        <v>63</v>
      </c>
      <c r="K2471" s="3" t="s">
        <v>64</v>
      </c>
      <c r="L2471" s="2" t="s">
        <v>20715</v>
      </c>
      <c r="M2471" s="2" t="s">
        <v>20716</v>
      </c>
      <c r="N2471" s="3" t="s">
        <v>274</v>
      </c>
      <c r="P2471" s="3" t="s">
        <v>90</v>
      </c>
      <c r="R2471" s="3" t="s">
        <v>67</v>
      </c>
      <c r="S2471" s="4">
        <v>4</v>
      </c>
      <c r="T2471" s="4">
        <v>78</v>
      </c>
      <c r="U2471" s="5" t="s">
        <v>20730</v>
      </c>
      <c r="V2471" s="5" t="s">
        <v>12637</v>
      </c>
      <c r="W2471" s="5" t="s">
        <v>69</v>
      </c>
      <c r="X2471" s="5" t="s">
        <v>69</v>
      </c>
      <c r="Y2471" s="4">
        <v>13</v>
      </c>
      <c r="Z2471" s="4">
        <v>2</v>
      </c>
      <c r="AA2471" s="4">
        <v>3</v>
      </c>
      <c r="AB2471" s="4">
        <v>1</v>
      </c>
      <c r="AC2471" s="4">
        <v>1</v>
      </c>
      <c r="AD2471" s="4">
        <v>6</v>
      </c>
      <c r="AE2471" s="4">
        <v>11</v>
      </c>
      <c r="AF2471" s="4">
        <v>0</v>
      </c>
      <c r="AG2471" s="4">
        <v>0</v>
      </c>
      <c r="AH2471" s="4">
        <v>6</v>
      </c>
      <c r="AI2471" s="4">
        <v>11</v>
      </c>
      <c r="AJ2471" s="4">
        <v>1</v>
      </c>
      <c r="AK2471" s="4">
        <v>1</v>
      </c>
      <c r="AL2471" s="4">
        <v>3</v>
      </c>
      <c r="AM2471" s="4">
        <v>7</v>
      </c>
      <c r="AN2471" s="4">
        <v>0</v>
      </c>
      <c r="AO2471" s="4">
        <v>0</v>
      </c>
      <c r="AP2471" s="4">
        <v>1</v>
      </c>
      <c r="AQ2471" s="4">
        <v>1</v>
      </c>
      <c r="AR2471" s="3" t="s">
        <v>63</v>
      </c>
      <c r="AS2471" s="3" t="s">
        <v>63</v>
      </c>
      <c r="AT2471" s="3" t="s">
        <v>62</v>
      </c>
      <c r="AU2471" s="6" t="str">
        <f>HYPERLINK("http://catalog.hathitrust.org/Record/011247386","HathiTrust Record")</f>
        <v>HathiTrust Record</v>
      </c>
      <c r="AV2471" s="6" t="str">
        <f>HYPERLINK("http://mcgill.on.worldcat.org/oclc/42673955","Catalog Record")</f>
        <v>Catalog Record</v>
      </c>
      <c r="AW2471" s="6" t="str">
        <f>HYPERLINK("http://www.worldcat.org/oclc/42673955","WorldCat Record")</f>
        <v>WorldCat Record</v>
      </c>
      <c r="AX2471" s="3" t="s">
        <v>20718</v>
      </c>
      <c r="AY2471" s="3" t="s">
        <v>20719</v>
      </c>
      <c r="AZ2471" s="3" t="s">
        <v>20720</v>
      </c>
      <c r="BA2471" s="3" t="s">
        <v>20720</v>
      </c>
      <c r="BB2471" s="3" t="s">
        <v>20731</v>
      </c>
      <c r="BC2471" s="3" t="s">
        <v>82</v>
      </c>
      <c r="BD2471" s="3" t="s">
        <v>70</v>
      </c>
      <c r="BE2471" s="3" t="s">
        <v>20722</v>
      </c>
      <c r="BF2471" s="3" t="s">
        <v>20731</v>
      </c>
      <c r="BG2471" s="3" t="s">
        <v>20732</v>
      </c>
    </row>
    <row r="2472" spans="1:59" ht="60" x14ac:dyDescent="0.25">
      <c r="A2472" s="2" t="s">
        <v>59</v>
      </c>
      <c r="B2472" s="2" t="s">
        <v>60</v>
      </c>
      <c r="C2472" s="2" t="s">
        <v>20712</v>
      </c>
      <c r="D2472" s="2" t="s">
        <v>20713</v>
      </c>
      <c r="E2472" s="2" t="s">
        <v>20714</v>
      </c>
      <c r="F2472" s="3" t="s">
        <v>9069</v>
      </c>
      <c r="G2472" s="3" t="s">
        <v>62</v>
      </c>
      <c r="I2472" s="3" t="s">
        <v>63</v>
      </c>
      <c r="J2472" s="3" t="s">
        <v>63</v>
      </c>
      <c r="K2472" s="3" t="s">
        <v>64</v>
      </c>
      <c r="L2472" s="2" t="s">
        <v>20715</v>
      </c>
      <c r="M2472" s="2" t="s">
        <v>20716</v>
      </c>
      <c r="N2472" s="3" t="s">
        <v>274</v>
      </c>
      <c r="P2472" s="3" t="s">
        <v>90</v>
      </c>
      <c r="R2472" s="3" t="s">
        <v>67</v>
      </c>
      <c r="S2472" s="4">
        <v>7</v>
      </c>
      <c r="T2472" s="4">
        <v>78</v>
      </c>
      <c r="U2472" s="5" t="s">
        <v>20733</v>
      </c>
      <c r="V2472" s="5" t="s">
        <v>12637</v>
      </c>
      <c r="W2472" s="5" t="s">
        <v>69</v>
      </c>
      <c r="X2472" s="5" t="s">
        <v>69</v>
      </c>
      <c r="Y2472" s="4">
        <v>13</v>
      </c>
      <c r="Z2472" s="4">
        <v>2</v>
      </c>
      <c r="AA2472" s="4">
        <v>3</v>
      </c>
      <c r="AB2472" s="4">
        <v>1</v>
      </c>
      <c r="AC2472" s="4">
        <v>1</v>
      </c>
      <c r="AD2472" s="4">
        <v>6</v>
      </c>
      <c r="AE2472" s="4">
        <v>11</v>
      </c>
      <c r="AF2472" s="4">
        <v>0</v>
      </c>
      <c r="AG2472" s="4">
        <v>0</v>
      </c>
      <c r="AH2472" s="4">
        <v>6</v>
      </c>
      <c r="AI2472" s="4">
        <v>11</v>
      </c>
      <c r="AJ2472" s="4">
        <v>1</v>
      </c>
      <c r="AK2472" s="4">
        <v>1</v>
      </c>
      <c r="AL2472" s="4">
        <v>3</v>
      </c>
      <c r="AM2472" s="4">
        <v>7</v>
      </c>
      <c r="AN2472" s="4">
        <v>0</v>
      </c>
      <c r="AO2472" s="4">
        <v>0</v>
      </c>
      <c r="AP2472" s="4">
        <v>1</v>
      </c>
      <c r="AQ2472" s="4">
        <v>1</v>
      </c>
      <c r="AR2472" s="3" t="s">
        <v>63</v>
      </c>
      <c r="AS2472" s="3" t="s">
        <v>63</v>
      </c>
      <c r="AT2472" s="3" t="s">
        <v>62</v>
      </c>
      <c r="AU2472" s="6" t="str">
        <f>HYPERLINK("http://catalog.hathitrust.org/Record/011247386","HathiTrust Record")</f>
        <v>HathiTrust Record</v>
      </c>
      <c r="AV2472" s="6" t="str">
        <f>HYPERLINK("http://mcgill.on.worldcat.org/oclc/42673955","Catalog Record")</f>
        <v>Catalog Record</v>
      </c>
      <c r="AW2472" s="6" t="str">
        <f>HYPERLINK("http://www.worldcat.org/oclc/42673955","WorldCat Record")</f>
        <v>WorldCat Record</v>
      </c>
      <c r="AX2472" s="3" t="s">
        <v>20718</v>
      </c>
      <c r="AY2472" s="3" t="s">
        <v>20719</v>
      </c>
      <c r="AZ2472" s="3" t="s">
        <v>20720</v>
      </c>
      <c r="BA2472" s="3" t="s">
        <v>20720</v>
      </c>
      <c r="BB2472" s="3" t="s">
        <v>20734</v>
      </c>
      <c r="BC2472" s="3" t="s">
        <v>82</v>
      </c>
      <c r="BD2472" s="3" t="s">
        <v>70</v>
      </c>
      <c r="BE2472" s="3" t="s">
        <v>20722</v>
      </c>
      <c r="BF2472" s="3" t="s">
        <v>20734</v>
      </c>
      <c r="BG2472" s="3" t="s">
        <v>20735</v>
      </c>
    </row>
    <row r="2473" spans="1:59" ht="60" x14ac:dyDescent="0.25">
      <c r="A2473" s="2" t="s">
        <v>59</v>
      </c>
      <c r="B2473" s="2" t="s">
        <v>60</v>
      </c>
      <c r="C2473" s="2" t="s">
        <v>20712</v>
      </c>
      <c r="D2473" s="2" t="s">
        <v>20713</v>
      </c>
      <c r="E2473" s="2" t="s">
        <v>20714</v>
      </c>
      <c r="F2473" s="3" t="s">
        <v>4437</v>
      </c>
      <c r="G2473" s="3" t="s">
        <v>62</v>
      </c>
      <c r="I2473" s="3" t="s">
        <v>63</v>
      </c>
      <c r="J2473" s="3" t="s">
        <v>63</v>
      </c>
      <c r="K2473" s="3" t="s">
        <v>64</v>
      </c>
      <c r="L2473" s="2" t="s">
        <v>20715</v>
      </c>
      <c r="M2473" s="2" t="s">
        <v>20716</v>
      </c>
      <c r="N2473" s="3" t="s">
        <v>274</v>
      </c>
      <c r="P2473" s="3" t="s">
        <v>90</v>
      </c>
      <c r="R2473" s="3" t="s">
        <v>67</v>
      </c>
      <c r="S2473" s="4">
        <v>1</v>
      </c>
      <c r="T2473" s="4">
        <v>78</v>
      </c>
      <c r="U2473" s="5" t="s">
        <v>20736</v>
      </c>
      <c r="V2473" s="5" t="s">
        <v>12637</v>
      </c>
      <c r="W2473" s="5" t="s">
        <v>69</v>
      </c>
      <c r="X2473" s="5" t="s">
        <v>69</v>
      </c>
      <c r="Y2473" s="4">
        <v>13</v>
      </c>
      <c r="Z2473" s="4">
        <v>2</v>
      </c>
      <c r="AA2473" s="4">
        <v>3</v>
      </c>
      <c r="AB2473" s="4">
        <v>1</v>
      </c>
      <c r="AC2473" s="4">
        <v>1</v>
      </c>
      <c r="AD2473" s="4">
        <v>6</v>
      </c>
      <c r="AE2473" s="4">
        <v>11</v>
      </c>
      <c r="AF2473" s="4">
        <v>0</v>
      </c>
      <c r="AG2473" s="4">
        <v>0</v>
      </c>
      <c r="AH2473" s="4">
        <v>6</v>
      </c>
      <c r="AI2473" s="4">
        <v>11</v>
      </c>
      <c r="AJ2473" s="4">
        <v>1</v>
      </c>
      <c r="AK2473" s="4">
        <v>1</v>
      </c>
      <c r="AL2473" s="4">
        <v>3</v>
      </c>
      <c r="AM2473" s="4">
        <v>7</v>
      </c>
      <c r="AN2473" s="4">
        <v>0</v>
      </c>
      <c r="AO2473" s="4">
        <v>0</v>
      </c>
      <c r="AP2473" s="4">
        <v>1</v>
      </c>
      <c r="AQ2473" s="4">
        <v>1</v>
      </c>
      <c r="AR2473" s="3" t="s">
        <v>63</v>
      </c>
      <c r="AS2473" s="3" t="s">
        <v>63</v>
      </c>
      <c r="AT2473" s="3" t="s">
        <v>62</v>
      </c>
      <c r="AU2473" s="6" t="str">
        <f>HYPERLINK("http://catalog.hathitrust.org/Record/011247386","HathiTrust Record")</f>
        <v>HathiTrust Record</v>
      </c>
      <c r="AV2473" s="6" t="str">
        <f>HYPERLINK("http://mcgill.on.worldcat.org/oclc/42673955","Catalog Record")</f>
        <v>Catalog Record</v>
      </c>
      <c r="AW2473" s="6" t="str">
        <f>HYPERLINK("http://www.worldcat.org/oclc/42673955","WorldCat Record")</f>
        <v>WorldCat Record</v>
      </c>
      <c r="AX2473" s="3" t="s">
        <v>20718</v>
      </c>
      <c r="AY2473" s="3" t="s">
        <v>20719</v>
      </c>
      <c r="AZ2473" s="3" t="s">
        <v>20720</v>
      </c>
      <c r="BA2473" s="3" t="s">
        <v>20720</v>
      </c>
      <c r="BB2473" s="3" t="s">
        <v>20737</v>
      </c>
      <c r="BC2473" s="3" t="s">
        <v>82</v>
      </c>
      <c r="BD2473" s="3" t="s">
        <v>70</v>
      </c>
      <c r="BE2473" s="3" t="s">
        <v>20722</v>
      </c>
      <c r="BF2473" s="3" t="s">
        <v>20737</v>
      </c>
      <c r="BG2473" s="3" t="s">
        <v>20738</v>
      </c>
    </row>
    <row r="2474" spans="1:59" ht="60" x14ac:dyDescent="0.25">
      <c r="A2474" s="2" t="s">
        <v>59</v>
      </c>
      <c r="B2474" s="2" t="s">
        <v>60</v>
      </c>
      <c r="C2474" s="2" t="s">
        <v>20712</v>
      </c>
      <c r="D2474" s="2" t="s">
        <v>20713</v>
      </c>
      <c r="E2474" s="2" t="s">
        <v>20714</v>
      </c>
      <c r="F2474" s="3" t="s">
        <v>571</v>
      </c>
      <c r="G2474" s="3" t="s">
        <v>62</v>
      </c>
      <c r="I2474" s="3" t="s">
        <v>63</v>
      </c>
      <c r="J2474" s="3" t="s">
        <v>63</v>
      </c>
      <c r="K2474" s="3" t="s">
        <v>64</v>
      </c>
      <c r="L2474" s="2" t="s">
        <v>20715</v>
      </c>
      <c r="M2474" s="2" t="s">
        <v>20716</v>
      </c>
      <c r="N2474" s="3" t="s">
        <v>274</v>
      </c>
      <c r="P2474" s="3" t="s">
        <v>90</v>
      </c>
      <c r="R2474" s="3" t="s">
        <v>67</v>
      </c>
      <c r="S2474" s="4">
        <v>6</v>
      </c>
      <c r="T2474" s="4">
        <v>78</v>
      </c>
      <c r="U2474" s="5" t="s">
        <v>20207</v>
      </c>
      <c r="V2474" s="5" t="s">
        <v>12637</v>
      </c>
      <c r="W2474" s="5" t="s">
        <v>69</v>
      </c>
      <c r="X2474" s="5" t="s">
        <v>69</v>
      </c>
      <c r="Y2474" s="4">
        <v>13</v>
      </c>
      <c r="Z2474" s="4">
        <v>2</v>
      </c>
      <c r="AA2474" s="4">
        <v>3</v>
      </c>
      <c r="AB2474" s="4">
        <v>1</v>
      </c>
      <c r="AC2474" s="4">
        <v>1</v>
      </c>
      <c r="AD2474" s="4">
        <v>6</v>
      </c>
      <c r="AE2474" s="4">
        <v>11</v>
      </c>
      <c r="AF2474" s="4">
        <v>0</v>
      </c>
      <c r="AG2474" s="4">
        <v>0</v>
      </c>
      <c r="AH2474" s="4">
        <v>6</v>
      </c>
      <c r="AI2474" s="4">
        <v>11</v>
      </c>
      <c r="AJ2474" s="4">
        <v>1</v>
      </c>
      <c r="AK2474" s="4">
        <v>1</v>
      </c>
      <c r="AL2474" s="4">
        <v>3</v>
      </c>
      <c r="AM2474" s="4">
        <v>7</v>
      </c>
      <c r="AN2474" s="4">
        <v>0</v>
      </c>
      <c r="AO2474" s="4">
        <v>0</v>
      </c>
      <c r="AP2474" s="4">
        <v>1</v>
      </c>
      <c r="AQ2474" s="4">
        <v>1</v>
      </c>
      <c r="AR2474" s="3" t="s">
        <v>63</v>
      </c>
      <c r="AS2474" s="3" t="s">
        <v>63</v>
      </c>
      <c r="AT2474" s="3" t="s">
        <v>62</v>
      </c>
      <c r="AU2474" s="6" t="str">
        <f>HYPERLINK("http://catalog.hathitrust.org/Record/011247386","HathiTrust Record")</f>
        <v>HathiTrust Record</v>
      </c>
      <c r="AV2474" s="6" t="str">
        <f>HYPERLINK("http://mcgill.on.worldcat.org/oclc/42673955","Catalog Record")</f>
        <v>Catalog Record</v>
      </c>
      <c r="AW2474" s="6" t="str">
        <f>HYPERLINK("http://www.worldcat.org/oclc/42673955","WorldCat Record")</f>
        <v>WorldCat Record</v>
      </c>
      <c r="AX2474" s="3" t="s">
        <v>20718</v>
      </c>
      <c r="AY2474" s="3" t="s">
        <v>20719</v>
      </c>
      <c r="AZ2474" s="3" t="s">
        <v>20720</v>
      </c>
      <c r="BA2474" s="3" t="s">
        <v>20720</v>
      </c>
      <c r="BB2474" s="3" t="s">
        <v>20739</v>
      </c>
      <c r="BC2474" s="3" t="s">
        <v>82</v>
      </c>
      <c r="BD2474" s="3" t="s">
        <v>70</v>
      </c>
      <c r="BE2474" s="3" t="s">
        <v>20722</v>
      </c>
      <c r="BF2474" s="3" t="s">
        <v>20739</v>
      </c>
      <c r="BG2474" s="3" t="s">
        <v>20740</v>
      </c>
    </row>
    <row r="2475" spans="1:59" ht="60" x14ac:dyDescent="0.25">
      <c r="A2475" s="2" t="s">
        <v>59</v>
      </c>
      <c r="B2475" s="2" t="s">
        <v>60</v>
      </c>
      <c r="C2475" s="2" t="s">
        <v>20712</v>
      </c>
      <c r="D2475" s="2" t="s">
        <v>20713</v>
      </c>
      <c r="E2475" s="2" t="s">
        <v>20714</v>
      </c>
      <c r="F2475" s="3" t="s">
        <v>4433</v>
      </c>
      <c r="G2475" s="3" t="s">
        <v>62</v>
      </c>
      <c r="I2475" s="3" t="s">
        <v>63</v>
      </c>
      <c r="J2475" s="3" t="s">
        <v>63</v>
      </c>
      <c r="K2475" s="3" t="s">
        <v>64</v>
      </c>
      <c r="L2475" s="2" t="s">
        <v>20715</v>
      </c>
      <c r="M2475" s="2" t="s">
        <v>20716</v>
      </c>
      <c r="N2475" s="3" t="s">
        <v>274</v>
      </c>
      <c r="P2475" s="3" t="s">
        <v>90</v>
      </c>
      <c r="R2475" s="3" t="s">
        <v>67</v>
      </c>
      <c r="S2475" s="4">
        <v>2</v>
      </c>
      <c r="T2475" s="4">
        <v>78</v>
      </c>
      <c r="U2475" s="5" t="s">
        <v>20727</v>
      </c>
      <c r="V2475" s="5" t="s">
        <v>12637</v>
      </c>
      <c r="W2475" s="5" t="s">
        <v>69</v>
      </c>
      <c r="X2475" s="5" t="s">
        <v>69</v>
      </c>
      <c r="Y2475" s="4">
        <v>13</v>
      </c>
      <c r="Z2475" s="4">
        <v>2</v>
      </c>
      <c r="AA2475" s="4">
        <v>3</v>
      </c>
      <c r="AB2475" s="4">
        <v>1</v>
      </c>
      <c r="AC2475" s="4">
        <v>1</v>
      </c>
      <c r="AD2475" s="4">
        <v>6</v>
      </c>
      <c r="AE2475" s="4">
        <v>11</v>
      </c>
      <c r="AF2475" s="4">
        <v>0</v>
      </c>
      <c r="AG2475" s="4">
        <v>0</v>
      </c>
      <c r="AH2475" s="4">
        <v>6</v>
      </c>
      <c r="AI2475" s="4">
        <v>11</v>
      </c>
      <c r="AJ2475" s="4">
        <v>1</v>
      </c>
      <c r="AK2475" s="4">
        <v>1</v>
      </c>
      <c r="AL2475" s="4">
        <v>3</v>
      </c>
      <c r="AM2475" s="4">
        <v>7</v>
      </c>
      <c r="AN2475" s="4">
        <v>0</v>
      </c>
      <c r="AO2475" s="4">
        <v>0</v>
      </c>
      <c r="AP2475" s="4">
        <v>1</v>
      </c>
      <c r="AQ2475" s="4">
        <v>1</v>
      </c>
      <c r="AR2475" s="3" t="s">
        <v>63</v>
      </c>
      <c r="AS2475" s="3" t="s">
        <v>63</v>
      </c>
      <c r="AT2475" s="3" t="s">
        <v>62</v>
      </c>
      <c r="AU2475" s="6" t="str">
        <f>HYPERLINK("http://catalog.hathitrust.org/Record/011247386","HathiTrust Record")</f>
        <v>HathiTrust Record</v>
      </c>
      <c r="AV2475" s="6" t="str">
        <f>HYPERLINK("http://mcgill.on.worldcat.org/oclc/42673955","Catalog Record")</f>
        <v>Catalog Record</v>
      </c>
      <c r="AW2475" s="6" t="str">
        <f>HYPERLINK("http://www.worldcat.org/oclc/42673955","WorldCat Record")</f>
        <v>WorldCat Record</v>
      </c>
      <c r="AX2475" s="3" t="s">
        <v>20718</v>
      </c>
      <c r="AY2475" s="3" t="s">
        <v>20719</v>
      </c>
      <c r="AZ2475" s="3" t="s">
        <v>20720</v>
      </c>
      <c r="BA2475" s="3" t="s">
        <v>20720</v>
      </c>
      <c r="BB2475" s="3" t="s">
        <v>20741</v>
      </c>
      <c r="BC2475" s="3" t="s">
        <v>82</v>
      </c>
      <c r="BD2475" s="3" t="s">
        <v>70</v>
      </c>
      <c r="BE2475" s="3" t="s">
        <v>20722</v>
      </c>
      <c r="BF2475" s="3" t="s">
        <v>20741</v>
      </c>
      <c r="BG2475" s="3" t="s">
        <v>20742</v>
      </c>
    </row>
    <row r="2476" spans="1:59" ht="60" x14ac:dyDescent="0.25">
      <c r="A2476" s="2" t="s">
        <v>59</v>
      </c>
      <c r="B2476" s="2" t="s">
        <v>60</v>
      </c>
      <c r="C2476" s="2" t="s">
        <v>20712</v>
      </c>
      <c r="D2476" s="2" t="s">
        <v>20713</v>
      </c>
      <c r="E2476" s="2" t="s">
        <v>20714</v>
      </c>
      <c r="F2476" s="3" t="s">
        <v>9085</v>
      </c>
      <c r="G2476" s="3" t="s">
        <v>62</v>
      </c>
      <c r="I2476" s="3" t="s">
        <v>63</v>
      </c>
      <c r="J2476" s="3" t="s">
        <v>63</v>
      </c>
      <c r="K2476" s="3" t="s">
        <v>64</v>
      </c>
      <c r="L2476" s="2" t="s">
        <v>20715</v>
      </c>
      <c r="M2476" s="2" t="s">
        <v>20716</v>
      </c>
      <c r="N2476" s="3" t="s">
        <v>274</v>
      </c>
      <c r="P2476" s="3" t="s">
        <v>90</v>
      </c>
      <c r="R2476" s="3" t="s">
        <v>67</v>
      </c>
      <c r="S2476" s="4">
        <v>9</v>
      </c>
      <c r="T2476" s="4">
        <v>78</v>
      </c>
      <c r="U2476" s="5" t="s">
        <v>20743</v>
      </c>
      <c r="V2476" s="5" t="s">
        <v>12637</v>
      </c>
      <c r="W2476" s="5" t="s">
        <v>69</v>
      </c>
      <c r="X2476" s="5" t="s">
        <v>69</v>
      </c>
      <c r="Y2476" s="4">
        <v>13</v>
      </c>
      <c r="Z2476" s="4">
        <v>2</v>
      </c>
      <c r="AA2476" s="4">
        <v>3</v>
      </c>
      <c r="AB2476" s="4">
        <v>1</v>
      </c>
      <c r="AC2476" s="4">
        <v>1</v>
      </c>
      <c r="AD2476" s="4">
        <v>6</v>
      </c>
      <c r="AE2476" s="4">
        <v>11</v>
      </c>
      <c r="AF2476" s="4">
        <v>0</v>
      </c>
      <c r="AG2476" s="4">
        <v>0</v>
      </c>
      <c r="AH2476" s="4">
        <v>6</v>
      </c>
      <c r="AI2476" s="4">
        <v>11</v>
      </c>
      <c r="AJ2476" s="4">
        <v>1</v>
      </c>
      <c r="AK2476" s="4">
        <v>1</v>
      </c>
      <c r="AL2476" s="4">
        <v>3</v>
      </c>
      <c r="AM2476" s="4">
        <v>7</v>
      </c>
      <c r="AN2476" s="4">
        <v>0</v>
      </c>
      <c r="AO2476" s="4">
        <v>0</v>
      </c>
      <c r="AP2476" s="4">
        <v>1</v>
      </c>
      <c r="AQ2476" s="4">
        <v>1</v>
      </c>
      <c r="AR2476" s="3" t="s">
        <v>63</v>
      </c>
      <c r="AS2476" s="3" t="s">
        <v>63</v>
      </c>
      <c r="AT2476" s="3" t="s">
        <v>62</v>
      </c>
      <c r="AU2476" s="6" t="str">
        <f>HYPERLINK("http://catalog.hathitrust.org/Record/011247386","HathiTrust Record")</f>
        <v>HathiTrust Record</v>
      </c>
      <c r="AV2476" s="6" t="str">
        <f>HYPERLINK("http://mcgill.on.worldcat.org/oclc/42673955","Catalog Record")</f>
        <v>Catalog Record</v>
      </c>
      <c r="AW2476" s="6" t="str">
        <f>HYPERLINK("http://www.worldcat.org/oclc/42673955","WorldCat Record")</f>
        <v>WorldCat Record</v>
      </c>
      <c r="AX2476" s="3" t="s">
        <v>20718</v>
      </c>
      <c r="AY2476" s="3" t="s">
        <v>20719</v>
      </c>
      <c r="AZ2476" s="3" t="s">
        <v>20720</v>
      </c>
      <c r="BA2476" s="3" t="s">
        <v>20720</v>
      </c>
      <c r="BB2476" s="3" t="s">
        <v>20744</v>
      </c>
      <c r="BC2476" s="3" t="s">
        <v>82</v>
      </c>
      <c r="BD2476" s="3" t="s">
        <v>70</v>
      </c>
      <c r="BE2476" s="3" t="s">
        <v>20722</v>
      </c>
      <c r="BF2476" s="3" t="s">
        <v>20744</v>
      </c>
      <c r="BG2476" s="3" t="s">
        <v>20745</v>
      </c>
    </row>
    <row r="2477" spans="1:59" ht="60" x14ac:dyDescent="0.25">
      <c r="A2477" s="2" t="s">
        <v>59</v>
      </c>
      <c r="B2477" s="2" t="s">
        <v>60</v>
      </c>
      <c r="C2477" s="2" t="s">
        <v>20712</v>
      </c>
      <c r="D2477" s="2" t="s">
        <v>20713</v>
      </c>
      <c r="E2477" s="2" t="s">
        <v>20714</v>
      </c>
      <c r="F2477" s="3" t="s">
        <v>582</v>
      </c>
      <c r="G2477" s="3" t="s">
        <v>62</v>
      </c>
      <c r="I2477" s="3" t="s">
        <v>63</v>
      </c>
      <c r="J2477" s="3" t="s">
        <v>63</v>
      </c>
      <c r="K2477" s="3" t="s">
        <v>64</v>
      </c>
      <c r="L2477" s="2" t="s">
        <v>20715</v>
      </c>
      <c r="M2477" s="2" t="s">
        <v>20716</v>
      </c>
      <c r="N2477" s="3" t="s">
        <v>274</v>
      </c>
      <c r="P2477" s="3" t="s">
        <v>90</v>
      </c>
      <c r="R2477" s="3" t="s">
        <v>67</v>
      </c>
      <c r="S2477" s="4">
        <v>4</v>
      </c>
      <c r="T2477" s="4">
        <v>78</v>
      </c>
      <c r="U2477" s="5" t="s">
        <v>12637</v>
      </c>
      <c r="V2477" s="5" t="s">
        <v>12637</v>
      </c>
      <c r="W2477" s="5" t="s">
        <v>69</v>
      </c>
      <c r="X2477" s="5" t="s">
        <v>69</v>
      </c>
      <c r="Y2477" s="4">
        <v>13</v>
      </c>
      <c r="Z2477" s="4">
        <v>2</v>
      </c>
      <c r="AA2477" s="4">
        <v>3</v>
      </c>
      <c r="AB2477" s="4">
        <v>1</v>
      </c>
      <c r="AC2477" s="4">
        <v>1</v>
      </c>
      <c r="AD2477" s="4">
        <v>6</v>
      </c>
      <c r="AE2477" s="4">
        <v>11</v>
      </c>
      <c r="AF2477" s="4">
        <v>0</v>
      </c>
      <c r="AG2477" s="4">
        <v>0</v>
      </c>
      <c r="AH2477" s="4">
        <v>6</v>
      </c>
      <c r="AI2477" s="4">
        <v>11</v>
      </c>
      <c r="AJ2477" s="4">
        <v>1</v>
      </c>
      <c r="AK2477" s="4">
        <v>1</v>
      </c>
      <c r="AL2477" s="4">
        <v>3</v>
      </c>
      <c r="AM2477" s="4">
        <v>7</v>
      </c>
      <c r="AN2477" s="4">
        <v>0</v>
      </c>
      <c r="AO2477" s="4">
        <v>0</v>
      </c>
      <c r="AP2477" s="4">
        <v>1</v>
      </c>
      <c r="AQ2477" s="4">
        <v>1</v>
      </c>
      <c r="AR2477" s="3" t="s">
        <v>63</v>
      </c>
      <c r="AS2477" s="3" t="s">
        <v>63</v>
      </c>
      <c r="AT2477" s="3" t="s">
        <v>62</v>
      </c>
      <c r="AU2477" s="6" t="str">
        <f>HYPERLINK("http://catalog.hathitrust.org/Record/011247386","HathiTrust Record")</f>
        <v>HathiTrust Record</v>
      </c>
      <c r="AV2477" s="6" t="str">
        <f>HYPERLINK("http://mcgill.on.worldcat.org/oclc/42673955","Catalog Record")</f>
        <v>Catalog Record</v>
      </c>
      <c r="AW2477" s="6" t="str">
        <f>HYPERLINK("http://www.worldcat.org/oclc/42673955","WorldCat Record")</f>
        <v>WorldCat Record</v>
      </c>
      <c r="AX2477" s="3" t="s">
        <v>20718</v>
      </c>
      <c r="AY2477" s="3" t="s">
        <v>20719</v>
      </c>
      <c r="AZ2477" s="3" t="s">
        <v>20720</v>
      </c>
      <c r="BA2477" s="3" t="s">
        <v>20720</v>
      </c>
      <c r="BB2477" s="3" t="s">
        <v>20746</v>
      </c>
      <c r="BC2477" s="3" t="s">
        <v>82</v>
      </c>
      <c r="BD2477" s="3" t="s">
        <v>70</v>
      </c>
      <c r="BE2477" s="3" t="s">
        <v>20722</v>
      </c>
      <c r="BF2477" s="3" t="s">
        <v>20746</v>
      </c>
      <c r="BG2477" s="3" t="s">
        <v>20747</v>
      </c>
    </row>
    <row r="2478" spans="1:59" ht="60" x14ac:dyDescent="0.25">
      <c r="A2478" s="2" t="s">
        <v>59</v>
      </c>
      <c r="B2478" s="2" t="s">
        <v>60</v>
      </c>
      <c r="C2478" s="2" t="s">
        <v>20712</v>
      </c>
      <c r="D2478" s="2" t="s">
        <v>20713</v>
      </c>
      <c r="E2478" s="2" t="s">
        <v>20714</v>
      </c>
      <c r="F2478" s="3" t="s">
        <v>4432</v>
      </c>
      <c r="G2478" s="3" t="s">
        <v>62</v>
      </c>
      <c r="I2478" s="3" t="s">
        <v>63</v>
      </c>
      <c r="J2478" s="3" t="s">
        <v>63</v>
      </c>
      <c r="K2478" s="3" t="s">
        <v>64</v>
      </c>
      <c r="L2478" s="2" t="s">
        <v>20715</v>
      </c>
      <c r="M2478" s="2" t="s">
        <v>20716</v>
      </c>
      <c r="N2478" s="3" t="s">
        <v>274</v>
      </c>
      <c r="P2478" s="3" t="s">
        <v>90</v>
      </c>
      <c r="R2478" s="3" t="s">
        <v>67</v>
      </c>
      <c r="S2478" s="4">
        <v>5</v>
      </c>
      <c r="T2478" s="4">
        <v>78</v>
      </c>
      <c r="U2478" s="5" t="s">
        <v>20730</v>
      </c>
      <c r="V2478" s="5" t="s">
        <v>12637</v>
      </c>
      <c r="W2478" s="5" t="s">
        <v>69</v>
      </c>
      <c r="X2478" s="5" t="s">
        <v>69</v>
      </c>
      <c r="Y2478" s="4">
        <v>13</v>
      </c>
      <c r="Z2478" s="4">
        <v>2</v>
      </c>
      <c r="AA2478" s="4">
        <v>3</v>
      </c>
      <c r="AB2478" s="4">
        <v>1</v>
      </c>
      <c r="AC2478" s="4">
        <v>1</v>
      </c>
      <c r="AD2478" s="4">
        <v>6</v>
      </c>
      <c r="AE2478" s="4">
        <v>11</v>
      </c>
      <c r="AF2478" s="4">
        <v>0</v>
      </c>
      <c r="AG2478" s="4">
        <v>0</v>
      </c>
      <c r="AH2478" s="4">
        <v>6</v>
      </c>
      <c r="AI2478" s="4">
        <v>11</v>
      </c>
      <c r="AJ2478" s="4">
        <v>1</v>
      </c>
      <c r="AK2478" s="4">
        <v>1</v>
      </c>
      <c r="AL2478" s="4">
        <v>3</v>
      </c>
      <c r="AM2478" s="4">
        <v>7</v>
      </c>
      <c r="AN2478" s="4">
        <v>0</v>
      </c>
      <c r="AO2478" s="4">
        <v>0</v>
      </c>
      <c r="AP2478" s="4">
        <v>1</v>
      </c>
      <c r="AQ2478" s="4">
        <v>1</v>
      </c>
      <c r="AR2478" s="3" t="s">
        <v>63</v>
      </c>
      <c r="AS2478" s="3" t="s">
        <v>63</v>
      </c>
      <c r="AT2478" s="3" t="s">
        <v>62</v>
      </c>
      <c r="AU2478" s="6" t="str">
        <f>HYPERLINK("http://catalog.hathitrust.org/Record/011247386","HathiTrust Record")</f>
        <v>HathiTrust Record</v>
      </c>
      <c r="AV2478" s="6" t="str">
        <f>HYPERLINK("http://mcgill.on.worldcat.org/oclc/42673955","Catalog Record")</f>
        <v>Catalog Record</v>
      </c>
      <c r="AW2478" s="6" t="str">
        <f>HYPERLINK("http://www.worldcat.org/oclc/42673955","WorldCat Record")</f>
        <v>WorldCat Record</v>
      </c>
      <c r="AX2478" s="3" t="s">
        <v>20718</v>
      </c>
      <c r="AY2478" s="3" t="s">
        <v>20719</v>
      </c>
      <c r="AZ2478" s="3" t="s">
        <v>20720</v>
      </c>
      <c r="BA2478" s="3" t="s">
        <v>20720</v>
      </c>
      <c r="BB2478" s="3" t="s">
        <v>20748</v>
      </c>
      <c r="BC2478" s="3" t="s">
        <v>82</v>
      </c>
      <c r="BD2478" s="3" t="s">
        <v>70</v>
      </c>
      <c r="BE2478" s="3" t="s">
        <v>20722</v>
      </c>
      <c r="BF2478" s="3" t="s">
        <v>20748</v>
      </c>
      <c r="BG2478" s="3" t="s">
        <v>20749</v>
      </c>
    </row>
    <row r="2479" spans="1:59" ht="60" x14ac:dyDescent="0.25">
      <c r="A2479" s="2" t="s">
        <v>59</v>
      </c>
      <c r="B2479" s="2" t="s">
        <v>60</v>
      </c>
      <c r="C2479" s="2" t="s">
        <v>20712</v>
      </c>
      <c r="D2479" s="2" t="s">
        <v>20713</v>
      </c>
      <c r="E2479" s="2" t="s">
        <v>20714</v>
      </c>
      <c r="F2479" s="3" t="s">
        <v>4436</v>
      </c>
      <c r="G2479" s="3" t="s">
        <v>62</v>
      </c>
      <c r="I2479" s="3" t="s">
        <v>63</v>
      </c>
      <c r="J2479" s="3" t="s">
        <v>63</v>
      </c>
      <c r="K2479" s="3" t="s">
        <v>64</v>
      </c>
      <c r="L2479" s="2" t="s">
        <v>20715</v>
      </c>
      <c r="M2479" s="2" t="s">
        <v>20716</v>
      </c>
      <c r="N2479" s="3" t="s">
        <v>274</v>
      </c>
      <c r="P2479" s="3" t="s">
        <v>90</v>
      </c>
      <c r="R2479" s="3" t="s">
        <v>67</v>
      </c>
      <c r="S2479" s="4">
        <v>3</v>
      </c>
      <c r="T2479" s="4">
        <v>78</v>
      </c>
      <c r="U2479" s="5" t="s">
        <v>20750</v>
      </c>
      <c r="V2479" s="5" t="s">
        <v>12637</v>
      </c>
      <c r="W2479" s="5" t="s">
        <v>69</v>
      </c>
      <c r="X2479" s="5" t="s">
        <v>69</v>
      </c>
      <c r="Y2479" s="4">
        <v>13</v>
      </c>
      <c r="Z2479" s="4">
        <v>2</v>
      </c>
      <c r="AA2479" s="4">
        <v>3</v>
      </c>
      <c r="AB2479" s="4">
        <v>1</v>
      </c>
      <c r="AC2479" s="4">
        <v>1</v>
      </c>
      <c r="AD2479" s="4">
        <v>6</v>
      </c>
      <c r="AE2479" s="4">
        <v>11</v>
      </c>
      <c r="AF2479" s="4">
        <v>0</v>
      </c>
      <c r="AG2479" s="4">
        <v>0</v>
      </c>
      <c r="AH2479" s="4">
        <v>6</v>
      </c>
      <c r="AI2479" s="4">
        <v>11</v>
      </c>
      <c r="AJ2479" s="4">
        <v>1</v>
      </c>
      <c r="AK2479" s="4">
        <v>1</v>
      </c>
      <c r="AL2479" s="4">
        <v>3</v>
      </c>
      <c r="AM2479" s="4">
        <v>7</v>
      </c>
      <c r="AN2479" s="4">
        <v>0</v>
      </c>
      <c r="AO2479" s="4">
        <v>0</v>
      </c>
      <c r="AP2479" s="4">
        <v>1</v>
      </c>
      <c r="AQ2479" s="4">
        <v>1</v>
      </c>
      <c r="AR2479" s="3" t="s">
        <v>63</v>
      </c>
      <c r="AS2479" s="3" t="s">
        <v>63</v>
      </c>
      <c r="AT2479" s="3" t="s">
        <v>62</v>
      </c>
      <c r="AU2479" s="6" t="str">
        <f>HYPERLINK("http://catalog.hathitrust.org/Record/011247386","HathiTrust Record")</f>
        <v>HathiTrust Record</v>
      </c>
      <c r="AV2479" s="6" t="str">
        <f>HYPERLINK("http://mcgill.on.worldcat.org/oclc/42673955","Catalog Record")</f>
        <v>Catalog Record</v>
      </c>
      <c r="AW2479" s="6" t="str">
        <f>HYPERLINK("http://www.worldcat.org/oclc/42673955","WorldCat Record")</f>
        <v>WorldCat Record</v>
      </c>
      <c r="AX2479" s="3" t="s">
        <v>20718</v>
      </c>
      <c r="AY2479" s="3" t="s">
        <v>20719</v>
      </c>
      <c r="AZ2479" s="3" t="s">
        <v>20720</v>
      </c>
      <c r="BA2479" s="3" t="s">
        <v>20720</v>
      </c>
      <c r="BB2479" s="3" t="s">
        <v>20751</v>
      </c>
      <c r="BC2479" s="3" t="s">
        <v>82</v>
      </c>
      <c r="BD2479" s="3" t="s">
        <v>70</v>
      </c>
      <c r="BE2479" s="3" t="s">
        <v>20722</v>
      </c>
      <c r="BF2479" s="3" t="s">
        <v>20751</v>
      </c>
      <c r="BG2479" s="3" t="s">
        <v>20752</v>
      </c>
    </row>
    <row r="2480" spans="1:59" ht="60" x14ac:dyDescent="0.25">
      <c r="A2480" s="2" t="s">
        <v>59</v>
      </c>
      <c r="B2480" s="2" t="s">
        <v>60</v>
      </c>
      <c r="C2480" s="2" t="s">
        <v>20712</v>
      </c>
      <c r="D2480" s="2" t="s">
        <v>20713</v>
      </c>
      <c r="E2480" s="2" t="s">
        <v>20714</v>
      </c>
      <c r="F2480" s="3" t="s">
        <v>4435</v>
      </c>
      <c r="G2480" s="3" t="s">
        <v>62</v>
      </c>
      <c r="I2480" s="3" t="s">
        <v>63</v>
      </c>
      <c r="J2480" s="3" t="s">
        <v>63</v>
      </c>
      <c r="K2480" s="3" t="s">
        <v>64</v>
      </c>
      <c r="L2480" s="2" t="s">
        <v>20715</v>
      </c>
      <c r="M2480" s="2" t="s">
        <v>20716</v>
      </c>
      <c r="N2480" s="3" t="s">
        <v>274</v>
      </c>
      <c r="P2480" s="3" t="s">
        <v>90</v>
      </c>
      <c r="R2480" s="3" t="s">
        <v>67</v>
      </c>
      <c r="S2480" s="4">
        <v>3</v>
      </c>
      <c r="T2480" s="4">
        <v>78</v>
      </c>
      <c r="U2480" s="5" t="s">
        <v>20753</v>
      </c>
      <c r="V2480" s="5" t="s">
        <v>12637</v>
      </c>
      <c r="W2480" s="5" t="s">
        <v>69</v>
      </c>
      <c r="X2480" s="5" t="s">
        <v>69</v>
      </c>
      <c r="Y2480" s="4">
        <v>13</v>
      </c>
      <c r="Z2480" s="4">
        <v>2</v>
      </c>
      <c r="AA2480" s="4">
        <v>3</v>
      </c>
      <c r="AB2480" s="4">
        <v>1</v>
      </c>
      <c r="AC2480" s="4">
        <v>1</v>
      </c>
      <c r="AD2480" s="4">
        <v>6</v>
      </c>
      <c r="AE2480" s="4">
        <v>11</v>
      </c>
      <c r="AF2480" s="4">
        <v>0</v>
      </c>
      <c r="AG2480" s="4">
        <v>0</v>
      </c>
      <c r="AH2480" s="4">
        <v>6</v>
      </c>
      <c r="AI2480" s="4">
        <v>11</v>
      </c>
      <c r="AJ2480" s="4">
        <v>1</v>
      </c>
      <c r="AK2480" s="4">
        <v>1</v>
      </c>
      <c r="AL2480" s="4">
        <v>3</v>
      </c>
      <c r="AM2480" s="4">
        <v>7</v>
      </c>
      <c r="AN2480" s="4">
        <v>0</v>
      </c>
      <c r="AO2480" s="4">
        <v>0</v>
      </c>
      <c r="AP2480" s="4">
        <v>1</v>
      </c>
      <c r="AQ2480" s="4">
        <v>1</v>
      </c>
      <c r="AR2480" s="3" t="s">
        <v>63</v>
      </c>
      <c r="AS2480" s="3" t="s">
        <v>63</v>
      </c>
      <c r="AT2480" s="3" t="s">
        <v>62</v>
      </c>
      <c r="AU2480" s="6" t="str">
        <f>HYPERLINK("http://catalog.hathitrust.org/Record/011247386","HathiTrust Record")</f>
        <v>HathiTrust Record</v>
      </c>
      <c r="AV2480" s="6" t="str">
        <f>HYPERLINK("http://mcgill.on.worldcat.org/oclc/42673955","Catalog Record")</f>
        <v>Catalog Record</v>
      </c>
      <c r="AW2480" s="6" t="str">
        <f>HYPERLINK("http://www.worldcat.org/oclc/42673955","WorldCat Record")</f>
        <v>WorldCat Record</v>
      </c>
      <c r="AX2480" s="3" t="s">
        <v>20718</v>
      </c>
      <c r="AY2480" s="3" t="s">
        <v>20719</v>
      </c>
      <c r="AZ2480" s="3" t="s">
        <v>20720</v>
      </c>
      <c r="BA2480" s="3" t="s">
        <v>20720</v>
      </c>
      <c r="BB2480" s="3" t="s">
        <v>20754</v>
      </c>
      <c r="BC2480" s="3" t="s">
        <v>82</v>
      </c>
      <c r="BD2480" s="3" t="s">
        <v>70</v>
      </c>
      <c r="BE2480" s="3" t="s">
        <v>20722</v>
      </c>
      <c r="BF2480" s="3" t="s">
        <v>20754</v>
      </c>
      <c r="BG2480" s="3" t="s">
        <v>20755</v>
      </c>
    </row>
    <row r="2481" spans="1:59" ht="60" x14ac:dyDescent="0.25">
      <c r="A2481" s="2" t="s">
        <v>59</v>
      </c>
      <c r="B2481" s="2" t="s">
        <v>60</v>
      </c>
      <c r="C2481" s="2" t="s">
        <v>20712</v>
      </c>
      <c r="D2481" s="2" t="s">
        <v>20713</v>
      </c>
      <c r="E2481" s="2" t="s">
        <v>20714</v>
      </c>
      <c r="F2481" s="3" t="s">
        <v>4428</v>
      </c>
      <c r="G2481" s="3" t="s">
        <v>62</v>
      </c>
      <c r="I2481" s="3" t="s">
        <v>63</v>
      </c>
      <c r="J2481" s="3" t="s">
        <v>63</v>
      </c>
      <c r="K2481" s="3" t="s">
        <v>64</v>
      </c>
      <c r="L2481" s="2" t="s">
        <v>20715</v>
      </c>
      <c r="M2481" s="2" t="s">
        <v>20716</v>
      </c>
      <c r="N2481" s="3" t="s">
        <v>274</v>
      </c>
      <c r="P2481" s="3" t="s">
        <v>90</v>
      </c>
      <c r="R2481" s="3" t="s">
        <v>67</v>
      </c>
      <c r="S2481" s="4">
        <v>7</v>
      </c>
      <c r="T2481" s="4">
        <v>78</v>
      </c>
      <c r="U2481" s="5" t="s">
        <v>20756</v>
      </c>
      <c r="V2481" s="5" t="s">
        <v>12637</v>
      </c>
      <c r="W2481" s="5" t="s">
        <v>69</v>
      </c>
      <c r="X2481" s="5" t="s">
        <v>69</v>
      </c>
      <c r="Y2481" s="4">
        <v>13</v>
      </c>
      <c r="Z2481" s="4">
        <v>2</v>
      </c>
      <c r="AA2481" s="4">
        <v>3</v>
      </c>
      <c r="AB2481" s="4">
        <v>1</v>
      </c>
      <c r="AC2481" s="4">
        <v>1</v>
      </c>
      <c r="AD2481" s="4">
        <v>6</v>
      </c>
      <c r="AE2481" s="4">
        <v>11</v>
      </c>
      <c r="AF2481" s="4">
        <v>0</v>
      </c>
      <c r="AG2481" s="4">
        <v>0</v>
      </c>
      <c r="AH2481" s="4">
        <v>6</v>
      </c>
      <c r="AI2481" s="4">
        <v>11</v>
      </c>
      <c r="AJ2481" s="4">
        <v>1</v>
      </c>
      <c r="AK2481" s="4">
        <v>1</v>
      </c>
      <c r="AL2481" s="4">
        <v>3</v>
      </c>
      <c r="AM2481" s="4">
        <v>7</v>
      </c>
      <c r="AN2481" s="4">
        <v>0</v>
      </c>
      <c r="AO2481" s="4">
        <v>0</v>
      </c>
      <c r="AP2481" s="4">
        <v>1</v>
      </c>
      <c r="AQ2481" s="4">
        <v>1</v>
      </c>
      <c r="AR2481" s="3" t="s">
        <v>63</v>
      </c>
      <c r="AS2481" s="3" t="s">
        <v>63</v>
      </c>
      <c r="AT2481" s="3" t="s">
        <v>62</v>
      </c>
      <c r="AU2481" s="6" t="str">
        <f>HYPERLINK("http://catalog.hathitrust.org/Record/011247386","HathiTrust Record")</f>
        <v>HathiTrust Record</v>
      </c>
      <c r="AV2481" s="6" t="str">
        <f>HYPERLINK("http://mcgill.on.worldcat.org/oclc/42673955","Catalog Record")</f>
        <v>Catalog Record</v>
      </c>
      <c r="AW2481" s="6" t="str">
        <f>HYPERLINK("http://www.worldcat.org/oclc/42673955","WorldCat Record")</f>
        <v>WorldCat Record</v>
      </c>
      <c r="AX2481" s="3" t="s">
        <v>20718</v>
      </c>
      <c r="AY2481" s="3" t="s">
        <v>20719</v>
      </c>
      <c r="AZ2481" s="3" t="s">
        <v>20720</v>
      </c>
      <c r="BA2481" s="3" t="s">
        <v>20720</v>
      </c>
      <c r="BB2481" s="3" t="s">
        <v>20757</v>
      </c>
      <c r="BC2481" s="3" t="s">
        <v>82</v>
      </c>
      <c r="BD2481" s="3" t="s">
        <v>70</v>
      </c>
      <c r="BE2481" s="3" t="s">
        <v>20722</v>
      </c>
      <c r="BF2481" s="3" t="s">
        <v>20757</v>
      </c>
      <c r="BG2481" s="3" t="s">
        <v>20758</v>
      </c>
    </row>
    <row r="2482" spans="1:59" ht="60" x14ac:dyDescent="0.25">
      <c r="A2482" s="2" t="s">
        <v>59</v>
      </c>
      <c r="B2482" s="2" t="s">
        <v>60</v>
      </c>
      <c r="C2482" s="2" t="s">
        <v>20712</v>
      </c>
      <c r="D2482" s="2" t="s">
        <v>20713</v>
      </c>
      <c r="E2482" s="2" t="s">
        <v>20714</v>
      </c>
      <c r="F2482" s="3" t="s">
        <v>4427</v>
      </c>
      <c r="G2482" s="3" t="s">
        <v>62</v>
      </c>
      <c r="I2482" s="3" t="s">
        <v>63</v>
      </c>
      <c r="J2482" s="3" t="s">
        <v>63</v>
      </c>
      <c r="K2482" s="3" t="s">
        <v>64</v>
      </c>
      <c r="L2482" s="2" t="s">
        <v>20715</v>
      </c>
      <c r="M2482" s="2" t="s">
        <v>20716</v>
      </c>
      <c r="N2482" s="3" t="s">
        <v>274</v>
      </c>
      <c r="P2482" s="3" t="s">
        <v>90</v>
      </c>
      <c r="R2482" s="3" t="s">
        <v>67</v>
      </c>
      <c r="S2482" s="4">
        <v>16</v>
      </c>
      <c r="T2482" s="4">
        <v>78</v>
      </c>
      <c r="U2482" s="5" t="s">
        <v>20759</v>
      </c>
      <c r="V2482" s="5" t="s">
        <v>12637</v>
      </c>
      <c r="W2482" s="5" t="s">
        <v>69</v>
      </c>
      <c r="X2482" s="5" t="s">
        <v>69</v>
      </c>
      <c r="Y2482" s="4">
        <v>13</v>
      </c>
      <c r="Z2482" s="4">
        <v>2</v>
      </c>
      <c r="AA2482" s="4">
        <v>3</v>
      </c>
      <c r="AB2482" s="4">
        <v>1</v>
      </c>
      <c r="AC2482" s="4">
        <v>1</v>
      </c>
      <c r="AD2482" s="4">
        <v>6</v>
      </c>
      <c r="AE2482" s="4">
        <v>11</v>
      </c>
      <c r="AF2482" s="4">
        <v>0</v>
      </c>
      <c r="AG2482" s="4">
        <v>0</v>
      </c>
      <c r="AH2482" s="4">
        <v>6</v>
      </c>
      <c r="AI2482" s="4">
        <v>11</v>
      </c>
      <c r="AJ2482" s="4">
        <v>1</v>
      </c>
      <c r="AK2482" s="4">
        <v>1</v>
      </c>
      <c r="AL2482" s="4">
        <v>3</v>
      </c>
      <c r="AM2482" s="4">
        <v>7</v>
      </c>
      <c r="AN2482" s="4">
        <v>0</v>
      </c>
      <c r="AO2482" s="4">
        <v>0</v>
      </c>
      <c r="AP2482" s="4">
        <v>1</v>
      </c>
      <c r="AQ2482" s="4">
        <v>1</v>
      </c>
      <c r="AR2482" s="3" t="s">
        <v>63</v>
      </c>
      <c r="AS2482" s="3" t="s">
        <v>63</v>
      </c>
      <c r="AT2482" s="3" t="s">
        <v>62</v>
      </c>
      <c r="AU2482" s="6" t="str">
        <f>HYPERLINK("http://catalog.hathitrust.org/Record/011247386","HathiTrust Record")</f>
        <v>HathiTrust Record</v>
      </c>
      <c r="AV2482" s="6" t="str">
        <f>HYPERLINK("http://mcgill.on.worldcat.org/oclc/42673955","Catalog Record")</f>
        <v>Catalog Record</v>
      </c>
      <c r="AW2482" s="6" t="str">
        <f>HYPERLINK("http://www.worldcat.org/oclc/42673955","WorldCat Record")</f>
        <v>WorldCat Record</v>
      </c>
      <c r="AX2482" s="3" t="s">
        <v>20718</v>
      </c>
      <c r="AY2482" s="3" t="s">
        <v>20719</v>
      </c>
      <c r="AZ2482" s="3" t="s">
        <v>20720</v>
      </c>
      <c r="BA2482" s="3" t="s">
        <v>20720</v>
      </c>
      <c r="BB2482" s="3" t="s">
        <v>20760</v>
      </c>
      <c r="BC2482" s="3" t="s">
        <v>82</v>
      </c>
      <c r="BD2482" s="3" t="s">
        <v>70</v>
      </c>
      <c r="BE2482" s="3" t="s">
        <v>20722</v>
      </c>
      <c r="BF2482" s="3" t="s">
        <v>20760</v>
      </c>
      <c r="BG2482" s="3" t="s">
        <v>20761</v>
      </c>
    </row>
    <row r="2483" spans="1:59" ht="60" x14ac:dyDescent="0.25">
      <c r="A2483" s="2" t="s">
        <v>59</v>
      </c>
      <c r="B2483" s="2" t="s">
        <v>60</v>
      </c>
      <c r="C2483" s="2" t="s">
        <v>20712</v>
      </c>
      <c r="D2483" s="2" t="s">
        <v>20713</v>
      </c>
      <c r="E2483" s="2" t="s">
        <v>20714</v>
      </c>
      <c r="F2483" s="3" t="s">
        <v>4439</v>
      </c>
      <c r="G2483" s="3" t="s">
        <v>62</v>
      </c>
      <c r="I2483" s="3" t="s">
        <v>63</v>
      </c>
      <c r="J2483" s="3" t="s">
        <v>63</v>
      </c>
      <c r="K2483" s="3" t="s">
        <v>64</v>
      </c>
      <c r="L2483" s="2" t="s">
        <v>20715</v>
      </c>
      <c r="M2483" s="2" t="s">
        <v>20716</v>
      </c>
      <c r="N2483" s="3" t="s">
        <v>274</v>
      </c>
      <c r="P2483" s="3" t="s">
        <v>90</v>
      </c>
      <c r="R2483" s="3" t="s">
        <v>67</v>
      </c>
      <c r="S2483" s="4">
        <v>3</v>
      </c>
      <c r="T2483" s="4">
        <v>78</v>
      </c>
      <c r="U2483" s="5" t="s">
        <v>8828</v>
      </c>
      <c r="V2483" s="5" t="s">
        <v>12637</v>
      </c>
      <c r="W2483" s="5" t="s">
        <v>69</v>
      </c>
      <c r="X2483" s="5" t="s">
        <v>69</v>
      </c>
      <c r="Y2483" s="4">
        <v>13</v>
      </c>
      <c r="Z2483" s="4">
        <v>2</v>
      </c>
      <c r="AA2483" s="4">
        <v>3</v>
      </c>
      <c r="AB2483" s="4">
        <v>1</v>
      </c>
      <c r="AC2483" s="4">
        <v>1</v>
      </c>
      <c r="AD2483" s="4">
        <v>6</v>
      </c>
      <c r="AE2483" s="4">
        <v>11</v>
      </c>
      <c r="AF2483" s="4">
        <v>0</v>
      </c>
      <c r="AG2483" s="4">
        <v>0</v>
      </c>
      <c r="AH2483" s="4">
        <v>6</v>
      </c>
      <c r="AI2483" s="4">
        <v>11</v>
      </c>
      <c r="AJ2483" s="4">
        <v>1</v>
      </c>
      <c r="AK2483" s="4">
        <v>1</v>
      </c>
      <c r="AL2483" s="4">
        <v>3</v>
      </c>
      <c r="AM2483" s="4">
        <v>7</v>
      </c>
      <c r="AN2483" s="4">
        <v>0</v>
      </c>
      <c r="AO2483" s="4">
        <v>0</v>
      </c>
      <c r="AP2483" s="4">
        <v>1</v>
      </c>
      <c r="AQ2483" s="4">
        <v>1</v>
      </c>
      <c r="AR2483" s="3" t="s">
        <v>63</v>
      </c>
      <c r="AS2483" s="3" t="s">
        <v>63</v>
      </c>
      <c r="AT2483" s="3" t="s">
        <v>62</v>
      </c>
      <c r="AU2483" s="6" t="str">
        <f>HYPERLINK("http://catalog.hathitrust.org/Record/011247386","HathiTrust Record")</f>
        <v>HathiTrust Record</v>
      </c>
      <c r="AV2483" s="6" t="str">
        <f>HYPERLINK("http://mcgill.on.worldcat.org/oclc/42673955","Catalog Record")</f>
        <v>Catalog Record</v>
      </c>
      <c r="AW2483" s="6" t="str">
        <f>HYPERLINK("http://www.worldcat.org/oclc/42673955","WorldCat Record")</f>
        <v>WorldCat Record</v>
      </c>
      <c r="AX2483" s="3" t="s">
        <v>20718</v>
      </c>
      <c r="AY2483" s="3" t="s">
        <v>20719</v>
      </c>
      <c r="AZ2483" s="3" t="s">
        <v>20720</v>
      </c>
      <c r="BA2483" s="3" t="s">
        <v>20720</v>
      </c>
      <c r="BB2483" s="3" t="s">
        <v>20762</v>
      </c>
      <c r="BC2483" s="3" t="s">
        <v>82</v>
      </c>
      <c r="BD2483" s="3" t="s">
        <v>70</v>
      </c>
      <c r="BE2483" s="3" t="s">
        <v>20722</v>
      </c>
      <c r="BF2483" s="3" t="s">
        <v>20762</v>
      </c>
      <c r="BG2483" s="3" t="s">
        <v>20763</v>
      </c>
    </row>
    <row r="2484" spans="1:59" ht="60" x14ac:dyDescent="0.25">
      <c r="A2484" s="2" t="s">
        <v>59</v>
      </c>
      <c r="B2484" s="2" t="s">
        <v>60</v>
      </c>
      <c r="C2484" s="2" t="s">
        <v>20764</v>
      </c>
      <c r="D2484" s="2" t="s">
        <v>20765</v>
      </c>
      <c r="E2484" s="2" t="s">
        <v>20766</v>
      </c>
      <c r="F2484" s="3" t="s">
        <v>582</v>
      </c>
      <c r="G2484" s="3" t="s">
        <v>62</v>
      </c>
      <c r="I2484" s="3" t="s">
        <v>63</v>
      </c>
      <c r="J2484" s="3" t="s">
        <v>63</v>
      </c>
      <c r="K2484" s="3" t="s">
        <v>64</v>
      </c>
      <c r="L2484" s="2" t="s">
        <v>20715</v>
      </c>
      <c r="M2484" s="2" t="s">
        <v>20767</v>
      </c>
      <c r="N2484" s="3" t="s">
        <v>326</v>
      </c>
      <c r="P2484" s="3" t="s">
        <v>90</v>
      </c>
      <c r="R2484" s="3" t="s">
        <v>67</v>
      </c>
      <c r="S2484" s="4">
        <v>4</v>
      </c>
      <c r="T2484" s="4">
        <v>9</v>
      </c>
      <c r="U2484" s="5" t="s">
        <v>415</v>
      </c>
      <c r="V2484" s="5" t="s">
        <v>415</v>
      </c>
      <c r="W2484" s="5" t="s">
        <v>69</v>
      </c>
      <c r="X2484" s="5" t="s">
        <v>69</v>
      </c>
      <c r="Y2484" s="4">
        <v>4</v>
      </c>
      <c r="Z2484" s="4">
        <v>2</v>
      </c>
      <c r="AA2484" s="4">
        <v>2</v>
      </c>
      <c r="AB2484" s="4">
        <v>2</v>
      </c>
      <c r="AC2484" s="4">
        <v>2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3" t="s">
        <v>63</v>
      </c>
      <c r="AS2484" s="3" t="s">
        <v>63</v>
      </c>
      <c r="AT2484" s="3" t="s">
        <v>63</v>
      </c>
      <c r="AV2484" s="6" t="str">
        <f>HYPERLINK("http://mcgill.on.worldcat.org/oclc/503011743","Catalog Record")</f>
        <v>Catalog Record</v>
      </c>
      <c r="AW2484" s="6" t="str">
        <f>HYPERLINK("http://www.worldcat.org/oclc/503011743","WorldCat Record")</f>
        <v>WorldCat Record</v>
      </c>
      <c r="AX2484" s="3" t="s">
        <v>20768</v>
      </c>
      <c r="AY2484" s="3" t="s">
        <v>20769</v>
      </c>
      <c r="AZ2484" s="3" t="s">
        <v>20770</v>
      </c>
      <c r="BA2484" s="3" t="s">
        <v>20770</v>
      </c>
      <c r="BB2484" s="3" t="s">
        <v>20771</v>
      </c>
      <c r="BC2484" s="3" t="s">
        <v>82</v>
      </c>
      <c r="BD2484" s="3" t="s">
        <v>70</v>
      </c>
      <c r="BE2484" s="3" t="s">
        <v>20772</v>
      </c>
      <c r="BF2484" s="3" t="s">
        <v>20771</v>
      </c>
      <c r="BG2484" s="3" t="s">
        <v>20773</v>
      </c>
    </row>
    <row r="2485" spans="1:59" ht="60" x14ac:dyDescent="0.25">
      <c r="A2485" s="2" t="s">
        <v>59</v>
      </c>
      <c r="B2485" s="2" t="s">
        <v>60</v>
      </c>
      <c r="C2485" s="2" t="s">
        <v>20764</v>
      </c>
      <c r="D2485" s="2" t="s">
        <v>20765</v>
      </c>
      <c r="E2485" s="2" t="s">
        <v>20766</v>
      </c>
      <c r="F2485" s="3" t="s">
        <v>571</v>
      </c>
      <c r="G2485" s="3" t="s">
        <v>62</v>
      </c>
      <c r="I2485" s="3" t="s">
        <v>63</v>
      </c>
      <c r="J2485" s="3" t="s">
        <v>63</v>
      </c>
      <c r="K2485" s="3" t="s">
        <v>64</v>
      </c>
      <c r="L2485" s="2" t="s">
        <v>20715</v>
      </c>
      <c r="M2485" s="2" t="s">
        <v>20767</v>
      </c>
      <c r="N2485" s="3" t="s">
        <v>326</v>
      </c>
      <c r="P2485" s="3" t="s">
        <v>90</v>
      </c>
      <c r="R2485" s="3" t="s">
        <v>67</v>
      </c>
      <c r="S2485" s="4">
        <v>5</v>
      </c>
      <c r="T2485" s="4">
        <v>9</v>
      </c>
      <c r="U2485" s="5" t="s">
        <v>415</v>
      </c>
      <c r="V2485" s="5" t="s">
        <v>415</v>
      </c>
      <c r="W2485" s="5" t="s">
        <v>69</v>
      </c>
      <c r="X2485" s="5" t="s">
        <v>69</v>
      </c>
      <c r="Y2485" s="4">
        <v>4</v>
      </c>
      <c r="Z2485" s="4">
        <v>2</v>
      </c>
      <c r="AA2485" s="4">
        <v>2</v>
      </c>
      <c r="AB2485" s="4">
        <v>2</v>
      </c>
      <c r="AC2485" s="4">
        <v>2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3" t="s">
        <v>63</v>
      </c>
      <c r="AS2485" s="3" t="s">
        <v>63</v>
      </c>
      <c r="AT2485" s="3" t="s">
        <v>63</v>
      </c>
      <c r="AV2485" s="6" t="str">
        <f>HYPERLINK("http://mcgill.on.worldcat.org/oclc/503011743","Catalog Record")</f>
        <v>Catalog Record</v>
      </c>
      <c r="AW2485" s="6" t="str">
        <f>HYPERLINK("http://www.worldcat.org/oclc/503011743","WorldCat Record")</f>
        <v>WorldCat Record</v>
      </c>
      <c r="AX2485" s="3" t="s">
        <v>20768</v>
      </c>
      <c r="AY2485" s="3" t="s">
        <v>20769</v>
      </c>
      <c r="AZ2485" s="3" t="s">
        <v>20770</v>
      </c>
      <c r="BA2485" s="3" t="s">
        <v>20770</v>
      </c>
      <c r="BB2485" s="3" t="s">
        <v>20774</v>
      </c>
      <c r="BC2485" s="3" t="s">
        <v>82</v>
      </c>
      <c r="BD2485" s="3" t="s">
        <v>70</v>
      </c>
      <c r="BE2485" s="3" t="s">
        <v>20772</v>
      </c>
      <c r="BF2485" s="3" t="s">
        <v>20774</v>
      </c>
      <c r="BG2485" s="3" t="s">
        <v>20775</v>
      </c>
    </row>
    <row r="2486" spans="1:59" ht="60" x14ac:dyDescent="0.25">
      <c r="A2486" s="2" t="s">
        <v>59</v>
      </c>
      <c r="B2486" s="2" t="s">
        <v>60</v>
      </c>
      <c r="C2486" s="2" t="s">
        <v>20776</v>
      </c>
      <c r="D2486" s="2" t="s">
        <v>20777</v>
      </c>
      <c r="E2486" s="2" t="s">
        <v>20778</v>
      </c>
      <c r="F2486" s="3" t="s">
        <v>1379</v>
      </c>
      <c r="G2486" s="3" t="s">
        <v>62</v>
      </c>
      <c r="I2486" s="3" t="s">
        <v>62</v>
      </c>
      <c r="J2486" s="3" t="s">
        <v>63</v>
      </c>
      <c r="K2486" s="3" t="s">
        <v>64</v>
      </c>
      <c r="L2486" s="2" t="s">
        <v>20779</v>
      </c>
      <c r="M2486" s="2" t="s">
        <v>20780</v>
      </c>
      <c r="N2486" s="3" t="s">
        <v>1046</v>
      </c>
      <c r="P2486" s="3" t="s">
        <v>90</v>
      </c>
      <c r="R2486" s="3" t="s">
        <v>67</v>
      </c>
      <c r="S2486" s="4">
        <v>18</v>
      </c>
      <c r="T2486" s="4">
        <v>44</v>
      </c>
      <c r="U2486" s="5" t="s">
        <v>20781</v>
      </c>
      <c r="V2486" s="5" t="s">
        <v>3390</v>
      </c>
      <c r="W2486" s="5" t="s">
        <v>69</v>
      </c>
      <c r="X2486" s="5" t="s">
        <v>20782</v>
      </c>
      <c r="Y2486" s="4">
        <v>52</v>
      </c>
      <c r="Z2486" s="4">
        <v>3</v>
      </c>
      <c r="AA2486" s="4">
        <v>3</v>
      </c>
      <c r="AB2486" s="4">
        <v>1</v>
      </c>
      <c r="AC2486" s="4">
        <v>1</v>
      </c>
      <c r="AD2486" s="4">
        <v>17</v>
      </c>
      <c r="AE2486" s="4">
        <v>17</v>
      </c>
      <c r="AF2486" s="4">
        <v>0</v>
      </c>
      <c r="AG2486" s="4">
        <v>0</v>
      </c>
      <c r="AH2486" s="4">
        <v>14</v>
      </c>
      <c r="AI2486" s="4">
        <v>14</v>
      </c>
      <c r="AJ2486" s="4">
        <v>1</v>
      </c>
      <c r="AK2486" s="4">
        <v>1</v>
      </c>
      <c r="AL2486" s="4">
        <v>10</v>
      </c>
      <c r="AM2486" s="4">
        <v>10</v>
      </c>
      <c r="AN2486" s="4">
        <v>0</v>
      </c>
      <c r="AO2486" s="4">
        <v>0</v>
      </c>
      <c r="AP2486" s="4">
        <v>2</v>
      </c>
      <c r="AQ2486" s="4">
        <v>2</v>
      </c>
      <c r="AR2486" s="3" t="s">
        <v>63</v>
      </c>
      <c r="AS2486" s="3" t="s">
        <v>63</v>
      </c>
      <c r="AT2486" s="3" t="s">
        <v>63</v>
      </c>
      <c r="AV2486" s="6" t="str">
        <f>HYPERLINK("http://mcgill.on.worldcat.org/oclc/9340293","Catalog Record")</f>
        <v>Catalog Record</v>
      </c>
      <c r="AW2486" s="6" t="str">
        <f>HYPERLINK("http://www.worldcat.org/oclc/9340293","WorldCat Record")</f>
        <v>WorldCat Record</v>
      </c>
      <c r="AX2486" s="3" t="s">
        <v>20783</v>
      </c>
      <c r="AY2486" s="3" t="s">
        <v>20784</v>
      </c>
      <c r="AZ2486" s="3" t="s">
        <v>20785</v>
      </c>
      <c r="BA2486" s="3" t="s">
        <v>20785</v>
      </c>
      <c r="BB2486" s="3" t="s">
        <v>20786</v>
      </c>
      <c r="BC2486" s="3" t="s">
        <v>82</v>
      </c>
      <c r="BD2486" s="3" t="s">
        <v>70</v>
      </c>
      <c r="BF2486" s="3" t="s">
        <v>20786</v>
      </c>
      <c r="BG2486" s="3" t="s">
        <v>20787</v>
      </c>
    </row>
    <row r="2487" spans="1:59" ht="60" x14ac:dyDescent="0.25">
      <c r="A2487" s="2" t="s">
        <v>59</v>
      </c>
      <c r="B2487" s="2" t="s">
        <v>60</v>
      </c>
      <c r="C2487" s="2" t="s">
        <v>20776</v>
      </c>
      <c r="D2487" s="2" t="s">
        <v>20777</v>
      </c>
      <c r="E2487" s="2" t="s">
        <v>20778</v>
      </c>
      <c r="F2487" s="3" t="s">
        <v>61</v>
      </c>
      <c r="G2487" s="3" t="s">
        <v>62</v>
      </c>
      <c r="I2487" s="3" t="s">
        <v>62</v>
      </c>
      <c r="J2487" s="3" t="s">
        <v>63</v>
      </c>
      <c r="K2487" s="3" t="s">
        <v>64</v>
      </c>
      <c r="L2487" s="2" t="s">
        <v>20779</v>
      </c>
      <c r="M2487" s="2" t="s">
        <v>20780</v>
      </c>
      <c r="N2487" s="3" t="s">
        <v>1046</v>
      </c>
      <c r="P2487" s="3" t="s">
        <v>90</v>
      </c>
      <c r="R2487" s="3" t="s">
        <v>67</v>
      </c>
      <c r="S2487" s="4">
        <v>14</v>
      </c>
      <c r="T2487" s="4">
        <v>44</v>
      </c>
      <c r="U2487" s="5" t="s">
        <v>3390</v>
      </c>
      <c r="V2487" s="5" t="s">
        <v>3390</v>
      </c>
      <c r="W2487" s="5" t="s">
        <v>69</v>
      </c>
      <c r="X2487" s="5" t="s">
        <v>20782</v>
      </c>
      <c r="Y2487" s="4">
        <v>52</v>
      </c>
      <c r="Z2487" s="4">
        <v>3</v>
      </c>
      <c r="AA2487" s="4">
        <v>3</v>
      </c>
      <c r="AB2487" s="4">
        <v>1</v>
      </c>
      <c r="AC2487" s="4">
        <v>1</v>
      </c>
      <c r="AD2487" s="4">
        <v>17</v>
      </c>
      <c r="AE2487" s="4">
        <v>17</v>
      </c>
      <c r="AF2487" s="4">
        <v>0</v>
      </c>
      <c r="AG2487" s="4">
        <v>0</v>
      </c>
      <c r="AH2487" s="4">
        <v>14</v>
      </c>
      <c r="AI2487" s="4">
        <v>14</v>
      </c>
      <c r="AJ2487" s="4">
        <v>1</v>
      </c>
      <c r="AK2487" s="4">
        <v>1</v>
      </c>
      <c r="AL2487" s="4">
        <v>10</v>
      </c>
      <c r="AM2487" s="4">
        <v>10</v>
      </c>
      <c r="AN2487" s="4">
        <v>0</v>
      </c>
      <c r="AO2487" s="4">
        <v>0</v>
      </c>
      <c r="AP2487" s="4">
        <v>2</v>
      </c>
      <c r="AQ2487" s="4">
        <v>2</v>
      </c>
      <c r="AR2487" s="3" t="s">
        <v>63</v>
      </c>
      <c r="AS2487" s="3" t="s">
        <v>63</v>
      </c>
      <c r="AT2487" s="3" t="s">
        <v>63</v>
      </c>
      <c r="AV2487" s="6" t="str">
        <f>HYPERLINK("http://mcgill.on.worldcat.org/oclc/9340293","Catalog Record")</f>
        <v>Catalog Record</v>
      </c>
      <c r="AW2487" s="6" t="str">
        <f>HYPERLINK("http://www.worldcat.org/oclc/9340293","WorldCat Record")</f>
        <v>WorldCat Record</v>
      </c>
      <c r="AX2487" s="3" t="s">
        <v>20783</v>
      </c>
      <c r="AY2487" s="3" t="s">
        <v>20784</v>
      </c>
      <c r="AZ2487" s="3" t="s">
        <v>20785</v>
      </c>
      <c r="BA2487" s="3" t="s">
        <v>20785</v>
      </c>
      <c r="BB2487" s="3" t="s">
        <v>20788</v>
      </c>
      <c r="BC2487" s="3" t="s">
        <v>82</v>
      </c>
      <c r="BD2487" s="3" t="s">
        <v>538</v>
      </c>
      <c r="BF2487" s="3" t="s">
        <v>20788</v>
      </c>
      <c r="BG2487" s="3" t="s">
        <v>20789</v>
      </c>
    </row>
    <row r="2488" spans="1:59" ht="60" x14ac:dyDescent="0.25">
      <c r="A2488" s="2" t="s">
        <v>59</v>
      </c>
      <c r="B2488" s="2" t="s">
        <v>60</v>
      </c>
      <c r="C2488" s="2" t="s">
        <v>20776</v>
      </c>
      <c r="D2488" s="2" t="s">
        <v>20777</v>
      </c>
      <c r="E2488" s="2" t="s">
        <v>20778</v>
      </c>
      <c r="F2488" s="3" t="s">
        <v>1095</v>
      </c>
      <c r="G2488" s="3" t="s">
        <v>62</v>
      </c>
      <c r="I2488" s="3" t="s">
        <v>62</v>
      </c>
      <c r="J2488" s="3" t="s">
        <v>63</v>
      </c>
      <c r="K2488" s="3" t="s">
        <v>64</v>
      </c>
      <c r="L2488" s="2" t="s">
        <v>20779</v>
      </c>
      <c r="M2488" s="2" t="s">
        <v>20780</v>
      </c>
      <c r="N2488" s="3" t="s">
        <v>1046</v>
      </c>
      <c r="P2488" s="3" t="s">
        <v>90</v>
      </c>
      <c r="R2488" s="3" t="s">
        <v>67</v>
      </c>
      <c r="S2488" s="4">
        <v>12</v>
      </c>
      <c r="T2488" s="4">
        <v>44</v>
      </c>
      <c r="U2488" s="5" t="s">
        <v>12693</v>
      </c>
      <c r="V2488" s="5" t="s">
        <v>3390</v>
      </c>
      <c r="W2488" s="5" t="s">
        <v>69</v>
      </c>
      <c r="X2488" s="5" t="s">
        <v>20782</v>
      </c>
      <c r="Y2488" s="4">
        <v>52</v>
      </c>
      <c r="Z2488" s="4">
        <v>3</v>
      </c>
      <c r="AA2488" s="4">
        <v>3</v>
      </c>
      <c r="AB2488" s="4">
        <v>1</v>
      </c>
      <c r="AC2488" s="4">
        <v>1</v>
      </c>
      <c r="AD2488" s="4">
        <v>17</v>
      </c>
      <c r="AE2488" s="4">
        <v>17</v>
      </c>
      <c r="AF2488" s="4">
        <v>0</v>
      </c>
      <c r="AG2488" s="4">
        <v>0</v>
      </c>
      <c r="AH2488" s="4">
        <v>14</v>
      </c>
      <c r="AI2488" s="4">
        <v>14</v>
      </c>
      <c r="AJ2488" s="4">
        <v>1</v>
      </c>
      <c r="AK2488" s="4">
        <v>1</v>
      </c>
      <c r="AL2488" s="4">
        <v>10</v>
      </c>
      <c r="AM2488" s="4">
        <v>10</v>
      </c>
      <c r="AN2488" s="4">
        <v>0</v>
      </c>
      <c r="AO2488" s="4">
        <v>0</v>
      </c>
      <c r="AP2488" s="4">
        <v>2</v>
      </c>
      <c r="AQ2488" s="4">
        <v>2</v>
      </c>
      <c r="AR2488" s="3" t="s">
        <v>63</v>
      </c>
      <c r="AS2488" s="3" t="s">
        <v>63</v>
      </c>
      <c r="AT2488" s="3" t="s">
        <v>63</v>
      </c>
      <c r="AV2488" s="6" t="str">
        <f>HYPERLINK("http://mcgill.on.worldcat.org/oclc/9340293","Catalog Record")</f>
        <v>Catalog Record</v>
      </c>
      <c r="AW2488" s="6" t="str">
        <f>HYPERLINK("http://www.worldcat.org/oclc/9340293","WorldCat Record")</f>
        <v>WorldCat Record</v>
      </c>
      <c r="AX2488" s="3" t="s">
        <v>20783</v>
      </c>
      <c r="AY2488" s="3" t="s">
        <v>20784</v>
      </c>
      <c r="AZ2488" s="3" t="s">
        <v>20785</v>
      </c>
      <c r="BA2488" s="3" t="s">
        <v>20785</v>
      </c>
      <c r="BB2488" s="3" t="s">
        <v>20790</v>
      </c>
      <c r="BC2488" s="3" t="s">
        <v>82</v>
      </c>
      <c r="BD2488" s="3" t="s">
        <v>70</v>
      </c>
      <c r="BF2488" s="3" t="s">
        <v>20790</v>
      </c>
      <c r="BG2488" s="3" t="s">
        <v>20791</v>
      </c>
    </row>
    <row r="2489" spans="1:59" ht="75" x14ac:dyDescent="0.25">
      <c r="A2489" s="2" t="s">
        <v>59</v>
      </c>
      <c r="B2489" s="2" t="s">
        <v>60</v>
      </c>
      <c r="C2489" s="2" t="s">
        <v>20792</v>
      </c>
      <c r="D2489" s="2" t="s">
        <v>20793</v>
      </c>
      <c r="E2489" s="2" t="s">
        <v>20794</v>
      </c>
      <c r="G2489" s="3" t="s">
        <v>63</v>
      </c>
      <c r="I2489" s="3" t="s">
        <v>63</v>
      </c>
      <c r="J2489" s="3" t="s">
        <v>63</v>
      </c>
      <c r="K2489" s="3" t="s">
        <v>64</v>
      </c>
      <c r="L2489" s="2" t="s">
        <v>20715</v>
      </c>
      <c r="M2489" s="2" t="s">
        <v>20795</v>
      </c>
      <c r="N2489" s="3" t="s">
        <v>1296</v>
      </c>
      <c r="P2489" s="3" t="s">
        <v>90</v>
      </c>
      <c r="Q2489" s="2" t="s">
        <v>15492</v>
      </c>
      <c r="R2489" s="3" t="s">
        <v>67</v>
      </c>
      <c r="S2489" s="4">
        <v>9</v>
      </c>
      <c r="T2489" s="4">
        <v>9</v>
      </c>
      <c r="U2489" s="5" t="s">
        <v>1099</v>
      </c>
      <c r="V2489" s="5" t="s">
        <v>1099</v>
      </c>
      <c r="W2489" s="5" t="s">
        <v>69</v>
      </c>
      <c r="X2489" s="5" t="s">
        <v>69</v>
      </c>
      <c r="Y2489" s="4">
        <v>63</v>
      </c>
      <c r="Z2489" s="4">
        <v>4</v>
      </c>
      <c r="AA2489" s="4">
        <v>6</v>
      </c>
      <c r="AB2489" s="4">
        <v>1</v>
      </c>
      <c r="AC2489" s="4">
        <v>1</v>
      </c>
      <c r="AD2489" s="4">
        <v>29</v>
      </c>
      <c r="AE2489" s="4">
        <v>31</v>
      </c>
      <c r="AF2489" s="4">
        <v>0</v>
      </c>
      <c r="AG2489" s="4">
        <v>0</v>
      </c>
      <c r="AH2489" s="4">
        <v>28</v>
      </c>
      <c r="AI2489" s="4">
        <v>30</v>
      </c>
      <c r="AJ2489" s="4">
        <v>3</v>
      </c>
      <c r="AK2489" s="4">
        <v>4</v>
      </c>
      <c r="AL2489" s="4">
        <v>18</v>
      </c>
      <c r="AM2489" s="4">
        <v>18</v>
      </c>
      <c r="AN2489" s="4">
        <v>0</v>
      </c>
      <c r="AO2489" s="4">
        <v>0</v>
      </c>
      <c r="AP2489" s="4">
        <v>3</v>
      </c>
      <c r="AQ2489" s="4">
        <v>4</v>
      </c>
      <c r="AR2489" s="3" t="s">
        <v>63</v>
      </c>
      <c r="AS2489" s="3" t="s">
        <v>63</v>
      </c>
      <c r="AT2489" s="3" t="s">
        <v>63</v>
      </c>
      <c r="AV2489" s="6" t="str">
        <f>HYPERLINK("http://mcgill.on.worldcat.org/oclc/95519","Catalog Record")</f>
        <v>Catalog Record</v>
      </c>
      <c r="AW2489" s="6" t="str">
        <f>HYPERLINK("http://www.worldcat.org/oclc/95519","WorldCat Record")</f>
        <v>WorldCat Record</v>
      </c>
      <c r="AX2489" s="3" t="s">
        <v>20796</v>
      </c>
      <c r="AY2489" s="3" t="s">
        <v>20797</v>
      </c>
      <c r="AZ2489" s="3" t="s">
        <v>20798</v>
      </c>
      <c r="BA2489" s="3" t="s">
        <v>20798</v>
      </c>
      <c r="BB2489" s="3" t="s">
        <v>20799</v>
      </c>
      <c r="BC2489" s="3" t="s">
        <v>82</v>
      </c>
      <c r="BD2489" s="3" t="s">
        <v>70</v>
      </c>
      <c r="BE2489" s="3" t="s">
        <v>20800</v>
      </c>
      <c r="BF2489" s="3" t="s">
        <v>20799</v>
      </c>
      <c r="BG2489" s="3" t="s">
        <v>20801</v>
      </c>
    </row>
    <row r="2490" spans="1:59" ht="60" x14ac:dyDescent="0.25">
      <c r="A2490" s="2" t="s">
        <v>59</v>
      </c>
      <c r="B2490" s="2" t="s">
        <v>60</v>
      </c>
      <c r="C2490" s="2" t="s">
        <v>20802</v>
      </c>
      <c r="D2490" s="2" t="s">
        <v>20803</v>
      </c>
      <c r="E2490" s="2" t="s">
        <v>20804</v>
      </c>
      <c r="G2490" s="3" t="s">
        <v>63</v>
      </c>
      <c r="I2490" s="3" t="s">
        <v>63</v>
      </c>
      <c r="J2490" s="3" t="s">
        <v>63</v>
      </c>
      <c r="K2490" s="3" t="s">
        <v>64</v>
      </c>
      <c r="L2490" s="2" t="s">
        <v>20715</v>
      </c>
      <c r="M2490" s="2" t="s">
        <v>20805</v>
      </c>
      <c r="N2490" s="3" t="s">
        <v>743</v>
      </c>
      <c r="P2490" s="3" t="s">
        <v>90</v>
      </c>
      <c r="Q2490" s="2" t="s">
        <v>15568</v>
      </c>
      <c r="R2490" s="3" t="s">
        <v>67</v>
      </c>
      <c r="S2490" s="4">
        <v>20</v>
      </c>
      <c r="T2490" s="4">
        <v>20</v>
      </c>
      <c r="U2490" s="5" t="s">
        <v>19559</v>
      </c>
      <c r="V2490" s="5" t="s">
        <v>19559</v>
      </c>
      <c r="W2490" s="5" t="s">
        <v>69</v>
      </c>
      <c r="X2490" s="5" t="s">
        <v>69</v>
      </c>
      <c r="Y2490" s="4">
        <v>1</v>
      </c>
      <c r="Z2490" s="4">
        <v>1</v>
      </c>
      <c r="AA2490" s="4">
        <v>1</v>
      </c>
      <c r="AB2490" s="4">
        <v>1</v>
      </c>
      <c r="AC2490" s="4">
        <v>1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3" t="s">
        <v>63</v>
      </c>
      <c r="AS2490" s="3" t="s">
        <v>63</v>
      </c>
      <c r="AT2490" s="3" t="s">
        <v>63</v>
      </c>
      <c r="AV2490" s="6" t="str">
        <f>HYPERLINK("http://mcgill.on.worldcat.org/oclc/427511258","Catalog Record")</f>
        <v>Catalog Record</v>
      </c>
      <c r="AW2490" s="6" t="str">
        <f>HYPERLINK("http://www.worldcat.org/oclc/427511258","WorldCat Record")</f>
        <v>WorldCat Record</v>
      </c>
      <c r="AX2490" s="3" t="s">
        <v>20806</v>
      </c>
      <c r="AY2490" s="3" t="s">
        <v>20807</v>
      </c>
      <c r="AZ2490" s="3" t="s">
        <v>20808</v>
      </c>
      <c r="BA2490" s="3" t="s">
        <v>20808</v>
      </c>
      <c r="BB2490" s="3" t="s">
        <v>20809</v>
      </c>
      <c r="BC2490" s="3" t="s">
        <v>82</v>
      </c>
      <c r="BD2490" s="3" t="s">
        <v>70</v>
      </c>
      <c r="BF2490" s="3" t="s">
        <v>20809</v>
      </c>
      <c r="BG2490" s="3" t="s">
        <v>20810</v>
      </c>
    </row>
    <row r="2491" spans="1:59" ht="60" x14ac:dyDescent="0.25">
      <c r="A2491" s="2" t="s">
        <v>59</v>
      </c>
      <c r="B2491" s="2" t="s">
        <v>60</v>
      </c>
      <c r="C2491" s="2" t="s">
        <v>20811</v>
      </c>
      <c r="D2491" s="2" t="s">
        <v>20812</v>
      </c>
      <c r="E2491" s="2" t="s">
        <v>20813</v>
      </c>
      <c r="F2491" s="3" t="s">
        <v>4427</v>
      </c>
      <c r="G2491" s="3" t="s">
        <v>62</v>
      </c>
      <c r="I2491" s="3" t="s">
        <v>63</v>
      </c>
      <c r="J2491" s="3" t="s">
        <v>63</v>
      </c>
      <c r="K2491" s="3" t="s">
        <v>64</v>
      </c>
      <c r="L2491" s="2" t="s">
        <v>20715</v>
      </c>
      <c r="M2491" s="2" t="s">
        <v>20814</v>
      </c>
      <c r="N2491" s="3" t="s">
        <v>546</v>
      </c>
      <c r="P2491" s="3" t="s">
        <v>90</v>
      </c>
      <c r="Q2491" s="2" t="s">
        <v>20815</v>
      </c>
      <c r="R2491" s="3" t="s">
        <v>67</v>
      </c>
      <c r="S2491" s="4">
        <v>0</v>
      </c>
      <c r="T2491" s="4">
        <v>2</v>
      </c>
      <c r="V2491" s="5" t="s">
        <v>16073</v>
      </c>
      <c r="W2491" s="5" t="s">
        <v>69</v>
      </c>
      <c r="X2491" s="5" t="s">
        <v>69</v>
      </c>
      <c r="Y2491" s="4">
        <v>42</v>
      </c>
      <c r="Z2491" s="4">
        <v>5</v>
      </c>
      <c r="AA2491" s="4">
        <v>18</v>
      </c>
      <c r="AB2491" s="4">
        <v>1</v>
      </c>
      <c r="AC2491" s="4">
        <v>2</v>
      </c>
      <c r="AD2491" s="4">
        <v>16</v>
      </c>
      <c r="AE2491" s="4">
        <v>87</v>
      </c>
      <c r="AF2491" s="4">
        <v>0</v>
      </c>
      <c r="AG2491" s="4">
        <v>1</v>
      </c>
      <c r="AH2491" s="4">
        <v>15</v>
      </c>
      <c r="AI2491" s="4">
        <v>79</v>
      </c>
      <c r="AJ2491" s="4">
        <v>2</v>
      </c>
      <c r="AK2491" s="4">
        <v>13</v>
      </c>
      <c r="AL2491" s="4">
        <v>11</v>
      </c>
      <c r="AM2491" s="4">
        <v>45</v>
      </c>
      <c r="AN2491" s="4">
        <v>0</v>
      </c>
      <c r="AO2491" s="4">
        <v>0</v>
      </c>
      <c r="AP2491" s="4">
        <v>2</v>
      </c>
      <c r="AQ2491" s="4">
        <v>14</v>
      </c>
      <c r="AR2491" s="3" t="s">
        <v>63</v>
      </c>
      <c r="AS2491" s="3" t="s">
        <v>63</v>
      </c>
      <c r="AT2491" s="3" t="s">
        <v>62</v>
      </c>
      <c r="AU2491" s="6" t="str">
        <f>HYPERLINK("http://catalog.hathitrust.org/Record/001847321","HathiTrust Record")</f>
        <v>HathiTrust Record</v>
      </c>
      <c r="AV2491" s="6" t="str">
        <f>HYPERLINK("http://mcgill.on.worldcat.org/oclc/4836959","Catalog Record")</f>
        <v>Catalog Record</v>
      </c>
      <c r="AW2491" s="6" t="str">
        <f>HYPERLINK("http://www.worldcat.org/oclc/4836959","WorldCat Record")</f>
        <v>WorldCat Record</v>
      </c>
      <c r="AX2491" s="3" t="s">
        <v>20816</v>
      </c>
      <c r="AY2491" s="3" t="s">
        <v>20817</v>
      </c>
      <c r="AZ2491" s="3" t="s">
        <v>20818</v>
      </c>
      <c r="BA2491" s="3" t="s">
        <v>20818</v>
      </c>
      <c r="BB2491" s="3" t="s">
        <v>20819</v>
      </c>
      <c r="BC2491" s="3" t="s">
        <v>82</v>
      </c>
      <c r="BD2491" s="3" t="s">
        <v>70</v>
      </c>
      <c r="BF2491" s="3" t="s">
        <v>20819</v>
      </c>
      <c r="BG2491" s="3" t="s">
        <v>20820</v>
      </c>
    </row>
    <row r="2492" spans="1:59" ht="60" x14ac:dyDescent="0.25">
      <c r="A2492" s="2" t="s">
        <v>59</v>
      </c>
      <c r="B2492" s="2" t="s">
        <v>60</v>
      </c>
      <c r="C2492" s="2" t="s">
        <v>20811</v>
      </c>
      <c r="D2492" s="2" t="s">
        <v>20812</v>
      </c>
      <c r="E2492" s="2" t="s">
        <v>20813</v>
      </c>
      <c r="F2492" s="3" t="s">
        <v>9069</v>
      </c>
      <c r="G2492" s="3" t="s">
        <v>62</v>
      </c>
      <c r="I2492" s="3" t="s">
        <v>63</v>
      </c>
      <c r="J2492" s="3" t="s">
        <v>63</v>
      </c>
      <c r="K2492" s="3" t="s">
        <v>64</v>
      </c>
      <c r="L2492" s="2" t="s">
        <v>20715</v>
      </c>
      <c r="M2492" s="2" t="s">
        <v>20814</v>
      </c>
      <c r="N2492" s="3" t="s">
        <v>546</v>
      </c>
      <c r="P2492" s="3" t="s">
        <v>90</v>
      </c>
      <c r="Q2492" s="2" t="s">
        <v>20815</v>
      </c>
      <c r="R2492" s="3" t="s">
        <v>67</v>
      </c>
      <c r="S2492" s="4">
        <v>0</v>
      </c>
      <c r="T2492" s="4">
        <v>2</v>
      </c>
      <c r="V2492" s="5" t="s">
        <v>16073</v>
      </c>
      <c r="W2492" s="5" t="s">
        <v>69</v>
      </c>
      <c r="X2492" s="5" t="s">
        <v>69</v>
      </c>
      <c r="Y2492" s="4">
        <v>42</v>
      </c>
      <c r="Z2492" s="4">
        <v>5</v>
      </c>
      <c r="AA2492" s="4">
        <v>18</v>
      </c>
      <c r="AB2492" s="4">
        <v>1</v>
      </c>
      <c r="AC2492" s="4">
        <v>2</v>
      </c>
      <c r="AD2492" s="4">
        <v>16</v>
      </c>
      <c r="AE2492" s="4">
        <v>87</v>
      </c>
      <c r="AF2492" s="4">
        <v>0</v>
      </c>
      <c r="AG2492" s="4">
        <v>1</v>
      </c>
      <c r="AH2492" s="4">
        <v>15</v>
      </c>
      <c r="AI2492" s="4">
        <v>79</v>
      </c>
      <c r="AJ2492" s="4">
        <v>2</v>
      </c>
      <c r="AK2492" s="4">
        <v>13</v>
      </c>
      <c r="AL2492" s="4">
        <v>11</v>
      </c>
      <c r="AM2492" s="4">
        <v>45</v>
      </c>
      <c r="AN2492" s="4">
        <v>0</v>
      </c>
      <c r="AO2492" s="4">
        <v>0</v>
      </c>
      <c r="AP2492" s="4">
        <v>2</v>
      </c>
      <c r="AQ2492" s="4">
        <v>14</v>
      </c>
      <c r="AR2492" s="3" t="s">
        <v>63</v>
      </c>
      <c r="AS2492" s="3" t="s">
        <v>63</v>
      </c>
      <c r="AT2492" s="3" t="s">
        <v>62</v>
      </c>
      <c r="AU2492" s="6" t="str">
        <f>HYPERLINK("http://catalog.hathitrust.org/Record/001847321","HathiTrust Record")</f>
        <v>HathiTrust Record</v>
      </c>
      <c r="AV2492" s="6" t="str">
        <f>HYPERLINK("http://mcgill.on.worldcat.org/oclc/4836959","Catalog Record")</f>
        <v>Catalog Record</v>
      </c>
      <c r="AW2492" s="6" t="str">
        <f>HYPERLINK("http://www.worldcat.org/oclc/4836959","WorldCat Record")</f>
        <v>WorldCat Record</v>
      </c>
      <c r="AX2492" s="3" t="s">
        <v>20816</v>
      </c>
      <c r="AY2492" s="3" t="s">
        <v>20817</v>
      </c>
      <c r="AZ2492" s="3" t="s">
        <v>20818</v>
      </c>
      <c r="BA2492" s="3" t="s">
        <v>20818</v>
      </c>
      <c r="BB2492" s="3" t="s">
        <v>20821</v>
      </c>
      <c r="BC2492" s="3" t="s">
        <v>82</v>
      </c>
      <c r="BD2492" s="3" t="s">
        <v>70</v>
      </c>
      <c r="BF2492" s="3" t="s">
        <v>20821</v>
      </c>
      <c r="BG2492" s="3" t="s">
        <v>20822</v>
      </c>
    </row>
    <row r="2493" spans="1:59" ht="60" x14ac:dyDescent="0.25">
      <c r="A2493" s="2" t="s">
        <v>59</v>
      </c>
      <c r="B2493" s="2" t="s">
        <v>60</v>
      </c>
      <c r="C2493" s="2" t="s">
        <v>20811</v>
      </c>
      <c r="D2493" s="2" t="s">
        <v>20812</v>
      </c>
      <c r="E2493" s="2" t="s">
        <v>20813</v>
      </c>
      <c r="F2493" s="3" t="s">
        <v>571</v>
      </c>
      <c r="G2493" s="3" t="s">
        <v>62</v>
      </c>
      <c r="I2493" s="3" t="s">
        <v>63</v>
      </c>
      <c r="J2493" s="3" t="s">
        <v>63</v>
      </c>
      <c r="K2493" s="3" t="s">
        <v>64</v>
      </c>
      <c r="L2493" s="2" t="s">
        <v>20715</v>
      </c>
      <c r="M2493" s="2" t="s">
        <v>20814</v>
      </c>
      <c r="N2493" s="3" t="s">
        <v>546</v>
      </c>
      <c r="P2493" s="3" t="s">
        <v>90</v>
      </c>
      <c r="Q2493" s="2" t="s">
        <v>20815</v>
      </c>
      <c r="R2493" s="3" t="s">
        <v>67</v>
      </c>
      <c r="S2493" s="4">
        <v>0</v>
      </c>
      <c r="T2493" s="4">
        <v>2</v>
      </c>
      <c r="V2493" s="5" t="s">
        <v>16073</v>
      </c>
      <c r="W2493" s="5" t="s">
        <v>69</v>
      </c>
      <c r="X2493" s="5" t="s">
        <v>69</v>
      </c>
      <c r="Y2493" s="4">
        <v>42</v>
      </c>
      <c r="Z2493" s="4">
        <v>5</v>
      </c>
      <c r="AA2493" s="4">
        <v>18</v>
      </c>
      <c r="AB2493" s="4">
        <v>1</v>
      </c>
      <c r="AC2493" s="4">
        <v>2</v>
      </c>
      <c r="AD2493" s="4">
        <v>16</v>
      </c>
      <c r="AE2493" s="4">
        <v>87</v>
      </c>
      <c r="AF2493" s="4">
        <v>0</v>
      </c>
      <c r="AG2493" s="4">
        <v>1</v>
      </c>
      <c r="AH2493" s="4">
        <v>15</v>
      </c>
      <c r="AI2493" s="4">
        <v>79</v>
      </c>
      <c r="AJ2493" s="4">
        <v>2</v>
      </c>
      <c r="AK2493" s="4">
        <v>13</v>
      </c>
      <c r="AL2493" s="4">
        <v>11</v>
      </c>
      <c r="AM2493" s="4">
        <v>45</v>
      </c>
      <c r="AN2493" s="4">
        <v>0</v>
      </c>
      <c r="AO2493" s="4">
        <v>0</v>
      </c>
      <c r="AP2493" s="4">
        <v>2</v>
      </c>
      <c r="AQ2493" s="4">
        <v>14</v>
      </c>
      <c r="AR2493" s="3" t="s">
        <v>63</v>
      </c>
      <c r="AS2493" s="3" t="s">
        <v>63</v>
      </c>
      <c r="AT2493" s="3" t="s">
        <v>62</v>
      </c>
      <c r="AU2493" s="6" t="str">
        <f>HYPERLINK("http://catalog.hathitrust.org/Record/001847321","HathiTrust Record")</f>
        <v>HathiTrust Record</v>
      </c>
      <c r="AV2493" s="6" t="str">
        <f>HYPERLINK("http://mcgill.on.worldcat.org/oclc/4836959","Catalog Record")</f>
        <v>Catalog Record</v>
      </c>
      <c r="AW2493" s="6" t="str">
        <f>HYPERLINK("http://www.worldcat.org/oclc/4836959","WorldCat Record")</f>
        <v>WorldCat Record</v>
      </c>
      <c r="AX2493" s="3" t="s">
        <v>20816</v>
      </c>
      <c r="AY2493" s="3" t="s">
        <v>20817</v>
      </c>
      <c r="AZ2493" s="3" t="s">
        <v>20818</v>
      </c>
      <c r="BA2493" s="3" t="s">
        <v>20818</v>
      </c>
      <c r="BB2493" s="3" t="s">
        <v>20823</v>
      </c>
      <c r="BC2493" s="3" t="s">
        <v>82</v>
      </c>
      <c r="BD2493" s="3" t="s">
        <v>70</v>
      </c>
      <c r="BF2493" s="3" t="s">
        <v>20823</v>
      </c>
      <c r="BG2493" s="3" t="s">
        <v>20824</v>
      </c>
    </row>
    <row r="2494" spans="1:59" ht="60" x14ac:dyDescent="0.25">
      <c r="A2494" s="2" t="s">
        <v>59</v>
      </c>
      <c r="B2494" s="2" t="s">
        <v>60</v>
      </c>
      <c r="C2494" s="2" t="s">
        <v>20811</v>
      </c>
      <c r="D2494" s="2" t="s">
        <v>20812</v>
      </c>
      <c r="E2494" s="2" t="s">
        <v>20813</v>
      </c>
      <c r="F2494" s="3" t="s">
        <v>4432</v>
      </c>
      <c r="G2494" s="3" t="s">
        <v>62</v>
      </c>
      <c r="I2494" s="3" t="s">
        <v>63</v>
      </c>
      <c r="J2494" s="3" t="s">
        <v>63</v>
      </c>
      <c r="K2494" s="3" t="s">
        <v>64</v>
      </c>
      <c r="L2494" s="2" t="s">
        <v>20715</v>
      </c>
      <c r="M2494" s="2" t="s">
        <v>20814</v>
      </c>
      <c r="N2494" s="3" t="s">
        <v>546</v>
      </c>
      <c r="P2494" s="3" t="s">
        <v>90</v>
      </c>
      <c r="Q2494" s="2" t="s">
        <v>20815</v>
      </c>
      <c r="R2494" s="3" t="s">
        <v>67</v>
      </c>
      <c r="S2494" s="4">
        <v>0</v>
      </c>
      <c r="T2494" s="4">
        <v>2</v>
      </c>
      <c r="V2494" s="5" t="s">
        <v>16073</v>
      </c>
      <c r="W2494" s="5" t="s">
        <v>69</v>
      </c>
      <c r="X2494" s="5" t="s">
        <v>69</v>
      </c>
      <c r="Y2494" s="4">
        <v>42</v>
      </c>
      <c r="Z2494" s="4">
        <v>5</v>
      </c>
      <c r="AA2494" s="4">
        <v>18</v>
      </c>
      <c r="AB2494" s="4">
        <v>1</v>
      </c>
      <c r="AC2494" s="4">
        <v>2</v>
      </c>
      <c r="AD2494" s="4">
        <v>16</v>
      </c>
      <c r="AE2494" s="4">
        <v>87</v>
      </c>
      <c r="AF2494" s="4">
        <v>0</v>
      </c>
      <c r="AG2494" s="4">
        <v>1</v>
      </c>
      <c r="AH2494" s="4">
        <v>15</v>
      </c>
      <c r="AI2494" s="4">
        <v>79</v>
      </c>
      <c r="AJ2494" s="4">
        <v>2</v>
      </c>
      <c r="AK2494" s="4">
        <v>13</v>
      </c>
      <c r="AL2494" s="4">
        <v>11</v>
      </c>
      <c r="AM2494" s="4">
        <v>45</v>
      </c>
      <c r="AN2494" s="4">
        <v>0</v>
      </c>
      <c r="AO2494" s="4">
        <v>0</v>
      </c>
      <c r="AP2494" s="4">
        <v>2</v>
      </c>
      <c r="AQ2494" s="4">
        <v>14</v>
      </c>
      <c r="AR2494" s="3" t="s">
        <v>63</v>
      </c>
      <c r="AS2494" s="3" t="s">
        <v>63</v>
      </c>
      <c r="AT2494" s="3" t="s">
        <v>62</v>
      </c>
      <c r="AU2494" s="6" t="str">
        <f>HYPERLINK("http://catalog.hathitrust.org/Record/001847321","HathiTrust Record")</f>
        <v>HathiTrust Record</v>
      </c>
      <c r="AV2494" s="6" t="str">
        <f>HYPERLINK("http://mcgill.on.worldcat.org/oclc/4836959","Catalog Record")</f>
        <v>Catalog Record</v>
      </c>
      <c r="AW2494" s="6" t="str">
        <f>HYPERLINK("http://www.worldcat.org/oclc/4836959","WorldCat Record")</f>
        <v>WorldCat Record</v>
      </c>
      <c r="AX2494" s="3" t="s">
        <v>20816</v>
      </c>
      <c r="AY2494" s="3" t="s">
        <v>20817</v>
      </c>
      <c r="AZ2494" s="3" t="s">
        <v>20818</v>
      </c>
      <c r="BA2494" s="3" t="s">
        <v>20818</v>
      </c>
      <c r="BB2494" s="3" t="s">
        <v>20825</v>
      </c>
      <c r="BC2494" s="3" t="s">
        <v>82</v>
      </c>
      <c r="BD2494" s="3" t="s">
        <v>70</v>
      </c>
      <c r="BF2494" s="3" t="s">
        <v>20825</v>
      </c>
      <c r="BG2494" s="3" t="s">
        <v>20826</v>
      </c>
    </row>
    <row r="2495" spans="1:59" ht="60" x14ac:dyDescent="0.25">
      <c r="A2495" s="2" t="s">
        <v>59</v>
      </c>
      <c r="B2495" s="2" t="s">
        <v>60</v>
      </c>
      <c r="C2495" s="2" t="s">
        <v>20811</v>
      </c>
      <c r="D2495" s="2" t="s">
        <v>20812</v>
      </c>
      <c r="E2495" s="2" t="s">
        <v>20813</v>
      </c>
      <c r="F2495" s="3" t="s">
        <v>582</v>
      </c>
      <c r="G2495" s="3" t="s">
        <v>62</v>
      </c>
      <c r="I2495" s="3" t="s">
        <v>63</v>
      </c>
      <c r="J2495" s="3" t="s">
        <v>63</v>
      </c>
      <c r="K2495" s="3" t="s">
        <v>64</v>
      </c>
      <c r="L2495" s="2" t="s">
        <v>20715</v>
      </c>
      <c r="M2495" s="2" t="s">
        <v>20814</v>
      </c>
      <c r="N2495" s="3" t="s">
        <v>546</v>
      </c>
      <c r="P2495" s="3" t="s">
        <v>90</v>
      </c>
      <c r="Q2495" s="2" t="s">
        <v>20815</v>
      </c>
      <c r="R2495" s="3" t="s">
        <v>67</v>
      </c>
      <c r="S2495" s="4">
        <v>0</v>
      </c>
      <c r="T2495" s="4">
        <v>2</v>
      </c>
      <c r="V2495" s="5" t="s">
        <v>16073</v>
      </c>
      <c r="W2495" s="5" t="s">
        <v>69</v>
      </c>
      <c r="X2495" s="5" t="s">
        <v>69</v>
      </c>
      <c r="Y2495" s="4">
        <v>42</v>
      </c>
      <c r="Z2495" s="4">
        <v>5</v>
      </c>
      <c r="AA2495" s="4">
        <v>18</v>
      </c>
      <c r="AB2495" s="4">
        <v>1</v>
      </c>
      <c r="AC2495" s="4">
        <v>2</v>
      </c>
      <c r="AD2495" s="4">
        <v>16</v>
      </c>
      <c r="AE2495" s="4">
        <v>87</v>
      </c>
      <c r="AF2495" s="4">
        <v>0</v>
      </c>
      <c r="AG2495" s="4">
        <v>1</v>
      </c>
      <c r="AH2495" s="4">
        <v>15</v>
      </c>
      <c r="AI2495" s="4">
        <v>79</v>
      </c>
      <c r="AJ2495" s="4">
        <v>2</v>
      </c>
      <c r="AK2495" s="4">
        <v>13</v>
      </c>
      <c r="AL2495" s="4">
        <v>11</v>
      </c>
      <c r="AM2495" s="4">
        <v>45</v>
      </c>
      <c r="AN2495" s="4">
        <v>0</v>
      </c>
      <c r="AO2495" s="4">
        <v>0</v>
      </c>
      <c r="AP2495" s="4">
        <v>2</v>
      </c>
      <c r="AQ2495" s="4">
        <v>14</v>
      </c>
      <c r="AR2495" s="3" t="s">
        <v>63</v>
      </c>
      <c r="AS2495" s="3" t="s">
        <v>63</v>
      </c>
      <c r="AT2495" s="3" t="s">
        <v>62</v>
      </c>
      <c r="AU2495" s="6" t="str">
        <f>HYPERLINK("http://catalog.hathitrust.org/Record/001847321","HathiTrust Record")</f>
        <v>HathiTrust Record</v>
      </c>
      <c r="AV2495" s="6" t="str">
        <f>HYPERLINK("http://mcgill.on.worldcat.org/oclc/4836959","Catalog Record")</f>
        <v>Catalog Record</v>
      </c>
      <c r="AW2495" s="6" t="str">
        <f>HYPERLINK("http://www.worldcat.org/oclc/4836959","WorldCat Record")</f>
        <v>WorldCat Record</v>
      </c>
      <c r="AX2495" s="3" t="s">
        <v>20816</v>
      </c>
      <c r="AY2495" s="3" t="s">
        <v>20817</v>
      </c>
      <c r="AZ2495" s="3" t="s">
        <v>20818</v>
      </c>
      <c r="BA2495" s="3" t="s">
        <v>20818</v>
      </c>
      <c r="BB2495" s="3" t="s">
        <v>20827</v>
      </c>
      <c r="BC2495" s="3" t="s">
        <v>82</v>
      </c>
      <c r="BD2495" s="3" t="s">
        <v>70</v>
      </c>
      <c r="BF2495" s="3" t="s">
        <v>20827</v>
      </c>
      <c r="BG2495" s="3" t="s">
        <v>20828</v>
      </c>
    </row>
    <row r="2496" spans="1:59" ht="60" x14ac:dyDescent="0.25">
      <c r="A2496" s="2" t="s">
        <v>59</v>
      </c>
      <c r="B2496" s="2" t="s">
        <v>60</v>
      </c>
      <c r="C2496" s="2" t="s">
        <v>20811</v>
      </c>
      <c r="D2496" s="2" t="s">
        <v>20812</v>
      </c>
      <c r="E2496" s="2" t="s">
        <v>20813</v>
      </c>
      <c r="F2496" s="3" t="s">
        <v>4437</v>
      </c>
      <c r="G2496" s="3" t="s">
        <v>62</v>
      </c>
      <c r="I2496" s="3" t="s">
        <v>63</v>
      </c>
      <c r="J2496" s="3" t="s">
        <v>63</v>
      </c>
      <c r="K2496" s="3" t="s">
        <v>64</v>
      </c>
      <c r="L2496" s="2" t="s">
        <v>20715</v>
      </c>
      <c r="M2496" s="2" t="s">
        <v>20814</v>
      </c>
      <c r="N2496" s="3" t="s">
        <v>546</v>
      </c>
      <c r="P2496" s="3" t="s">
        <v>90</v>
      </c>
      <c r="Q2496" s="2" t="s">
        <v>20815</v>
      </c>
      <c r="R2496" s="3" t="s">
        <v>67</v>
      </c>
      <c r="S2496" s="4">
        <v>2</v>
      </c>
      <c r="T2496" s="4">
        <v>2</v>
      </c>
      <c r="U2496" s="5" t="s">
        <v>16073</v>
      </c>
      <c r="V2496" s="5" t="s">
        <v>16073</v>
      </c>
      <c r="W2496" s="5" t="s">
        <v>69</v>
      </c>
      <c r="X2496" s="5" t="s">
        <v>69</v>
      </c>
      <c r="Y2496" s="4">
        <v>42</v>
      </c>
      <c r="Z2496" s="4">
        <v>5</v>
      </c>
      <c r="AA2496" s="4">
        <v>18</v>
      </c>
      <c r="AB2496" s="4">
        <v>1</v>
      </c>
      <c r="AC2496" s="4">
        <v>2</v>
      </c>
      <c r="AD2496" s="4">
        <v>16</v>
      </c>
      <c r="AE2496" s="4">
        <v>87</v>
      </c>
      <c r="AF2496" s="4">
        <v>0</v>
      </c>
      <c r="AG2496" s="4">
        <v>1</v>
      </c>
      <c r="AH2496" s="4">
        <v>15</v>
      </c>
      <c r="AI2496" s="4">
        <v>79</v>
      </c>
      <c r="AJ2496" s="4">
        <v>2</v>
      </c>
      <c r="AK2496" s="4">
        <v>13</v>
      </c>
      <c r="AL2496" s="4">
        <v>11</v>
      </c>
      <c r="AM2496" s="4">
        <v>45</v>
      </c>
      <c r="AN2496" s="4">
        <v>0</v>
      </c>
      <c r="AO2496" s="4">
        <v>0</v>
      </c>
      <c r="AP2496" s="4">
        <v>2</v>
      </c>
      <c r="AQ2496" s="4">
        <v>14</v>
      </c>
      <c r="AR2496" s="3" t="s">
        <v>63</v>
      </c>
      <c r="AS2496" s="3" t="s">
        <v>63</v>
      </c>
      <c r="AT2496" s="3" t="s">
        <v>62</v>
      </c>
      <c r="AU2496" s="6" t="str">
        <f>HYPERLINK("http://catalog.hathitrust.org/Record/001847321","HathiTrust Record")</f>
        <v>HathiTrust Record</v>
      </c>
      <c r="AV2496" s="6" t="str">
        <f>HYPERLINK("http://mcgill.on.worldcat.org/oclc/4836959","Catalog Record")</f>
        <v>Catalog Record</v>
      </c>
      <c r="AW2496" s="6" t="str">
        <f>HYPERLINK("http://www.worldcat.org/oclc/4836959","WorldCat Record")</f>
        <v>WorldCat Record</v>
      </c>
      <c r="AX2496" s="3" t="s">
        <v>20816</v>
      </c>
      <c r="AY2496" s="3" t="s">
        <v>20817</v>
      </c>
      <c r="AZ2496" s="3" t="s">
        <v>20818</v>
      </c>
      <c r="BA2496" s="3" t="s">
        <v>20818</v>
      </c>
      <c r="BB2496" s="3" t="s">
        <v>20829</v>
      </c>
      <c r="BC2496" s="3" t="s">
        <v>82</v>
      </c>
      <c r="BD2496" s="3" t="s">
        <v>70</v>
      </c>
      <c r="BF2496" s="3" t="s">
        <v>20829</v>
      </c>
      <c r="BG2496" s="3" t="s">
        <v>20830</v>
      </c>
    </row>
    <row r="2497" spans="1:59" ht="60" x14ac:dyDescent="0.25">
      <c r="A2497" s="2" t="s">
        <v>59</v>
      </c>
      <c r="B2497" s="2" t="s">
        <v>60</v>
      </c>
      <c r="C2497" s="2" t="s">
        <v>20811</v>
      </c>
      <c r="D2497" s="2" t="s">
        <v>20812</v>
      </c>
      <c r="E2497" s="2" t="s">
        <v>20813</v>
      </c>
      <c r="F2497" s="3" t="s">
        <v>4032</v>
      </c>
      <c r="G2497" s="3" t="s">
        <v>62</v>
      </c>
      <c r="I2497" s="3" t="s">
        <v>63</v>
      </c>
      <c r="J2497" s="3" t="s">
        <v>63</v>
      </c>
      <c r="K2497" s="3" t="s">
        <v>64</v>
      </c>
      <c r="L2497" s="2" t="s">
        <v>20715</v>
      </c>
      <c r="M2497" s="2" t="s">
        <v>20814</v>
      </c>
      <c r="N2497" s="3" t="s">
        <v>546</v>
      </c>
      <c r="P2497" s="3" t="s">
        <v>90</v>
      </c>
      <c r="Q2497" s="2" t="s">
        <v>20815</v>
      </c>
      <c r="R2497" s="3" t="s">
        <v>67</v>
      </c>
      <c r="S2497" s="4">
        <v>0</v>
      </c>
      <c r="T2497" s="4">
        <v>2</v>
      </c>
      <c r="V2497" s="5" t="s">
        <v>16073</v>
      </c>
      <c r="W2497" s="5" t="s">
        <v>69</v>
      </c>
      <c r="X2497" s="5" t="s">
        <v>69</v>
      </c>
      <c r="Y2497" s="4">
        <v>42</v>
      </c>
      <c r="Z2497" s="4">
        <v>5</v>
      </c>
      <c r="AA2497" s="4">
        <v>18</v>
      </c>
      <c r="AB2497" s="4">
        <v>1</v>
      </c>
      <c r="AC2497" s="4">
        <v>2</v>
      </c>
      <c r="AD2497" s="4">
        <v>16</v>
      </c>
      <c r="AE2497" s="4">
        <v>87</v>
      </c>
      <c r="AF2497" s="4">
        <v>0</v>
      </c>
      <c r="AG2497" s="4">
        <v>1</v>
      </c>
      <c r="AH2497" s="4">
        <v>15</v>
      </c>
      <c r="AI2497" s="4">
        <v>79</v>
      </c>
      <c r="AJ2497" s="4">
        <v>2</v>
      </c>
      <c r="AK2497" s="4">
        <v>13</v>
      </c>
      <c r="AL2497" s="4">
        <v>11</v>
      </c>
      <c r="AM2497" s="4">
        <v>45</v>
      </c>
      <c r="AN2497" s="4">
        <v>0</v>
      </c>
      <c r="AO2497" s="4">
        <v>0</v>
      </c>
      <c r="AP2497" s="4">
        <v>2</v>
      </c>
      <c r="AQ2497" s="4">
        <v>14</v>
      </c>
      <c r="AR2497" s="3" t="s">
        <v>63</v>
      </c>
      <c r="AS2497" s="3" t="s">
        <v>63</v>
      </c>
      <c r="AT2497" s="3" t="s">
        <v>62</v>
      </c>
      <c r="AU2497" s="6" t="str">
        <f>HYPERLINK("http://catalog.hathitrust.org/Record/001847321","HathiTrust Record")</f>
        <v>HathiTrust Record</v>
      </c>
      <c r="AV2497" s="6" t="str">
        <f>HYPERLINK("http://mcgill.on.worldcat.org/oclc/4836959","Catalog Record")</f>
        <v>Catalog Record</v>
      </c>
      <c r="AW2497" s="6" t="str">
        <f>HYPERLINK("http://www.worldcat.org/oclc/4836959","WorldCat Record")</f>
        <v>WorldCat Record</v>
      </c>
      <c r="AX2497" s="3" t="s">
        <v>20816</v>
      </c>
      <c r="AY2497" s="3" t="s">
        <v>20817</v>
      </c>
      <c r="AZ2497" s="3" t="s">
        <v>20818</v>
      </c>
      <c r="BA2497" s="3" t="s">
        <v>20818</v>
      </c>
      <c r="BB2497" s="3" t="s">
        <v>20831</v>
      </c>
      <c r="BC2497" s="3" t="s">
        <v>82</v>
      </c>
      <c r="BD2497" s="3" t="s">
        <v>70</v>
      </c>
      <c r="BF2497" s="3" t="s">
        <v>20831</v>
      </c>
      <c r="BG2497" s="3" t="s">
        <v>20832</v>
      </c>
    </row>
    <row r="2498" spans="1:59" ht="60" x14ac:dyDescent="0.25">
      <c r="A2498" s="2" t="s">
        <v>59</v>
      </c>
      <c r="B2498" s="2" t="s">
        <v>60</v>
      </c>
      <c r="C2498" s="2" t="s">
        <v>20811</v>
      </c>
      <c r="D2498" s="2" t="s">
        <v>20812</v>
      </c>
      <c r="E2498" s="2" t="s">
        <v>20813</v>
      </c>
      <c r="F2498" s="3" t="s">
        <v>9085</v>
      </c>
      <c r="G2498" s="3" t="s">
        <v>62</v>
      </c>
      <c r="I2498" s="3" t="s">
        <v>63</v>
      </c>
      <c r="J2498" s="3" t="s">
        <v>63</v>
      </c>
      <c r="K2498" s="3" t="s">
        <v>64</v>
      </c>
      <c r="L2498" s="2" t="s">
        <v>20715</v>
      </c>
      <c r="M2498" s="2" t="s">
        <v>20814</v>
      </c>
      <c r="N2498" s="3" t="s">
        <v>546</v>
      </c>
      <c r="P2498" s="3" t="s">
        <v>90</v>
      </c>
      <c r="Q2498" s="2" t="s">
        <v>20815</v>
      </c>
      <c r="R2498" s="3" t="s">
        <v>67</v>
      </c>
      <c r="S2498" s="4">
        <v>0</v>
      </c>
      <c r="T2498" s="4">
        <v>2</v>
      </c>
      <c r="V2498" s="5" t="s">
        <v>16073</v>
      </c>
      <c r="W2498" s="5" t="s">
        <v>69</v>
      </c>
      <c r="X2498" s="5" t="s">
        <v>69</v>
      </c>
      <c r="Y2498" s="4">
        <v>42</v>
      </c>
      <c r="Z2498" s="4">
        <v>5</v>
      </c>
      <c r="AA2498" s="4">
        <v>18</v>
      </c>
      <c r="AB2498" s="4">
        <v>1</v>
      </c>
      <c r="AC2498" s="4">
        <v>2</v>
      </c>
      <c r="AD2498" s="4">
        <v>16</v>
      </c>
      <c r="AE2498" s="4">
        <v>87</v>
      </c>
      <c r="AF2498" s="4">
        <v>0</v>
      </c>
      <c r="AG2498" s="4">
        <v>1</v>
      </c>
      <c r="AH2498" s="4">
        <v>15</v>
      </c>
      <c r="AI2498" s="4">
        <v>79</v>
      </c>
      <c r="AJ2498" s="4">
        <v>2</v>
      </c>
      <c r="AK2498" s="4">
        <v>13</v>
      </c>
      <c r="AL2498" s="4">
        <v>11</v>
      </c>
      <c r="AM2498" s="4">
        <v>45</v>
      </c>
      <c r="AN2498" s="4">
        <v>0</v>
      </c>
      <c r="AO2498" s="4">
        <v>0</v>
      </c>
      <c r="AP2498" s="4">
        <v>2</v>
      </c>
      <c r="AQ2498" s="4">
        <v>14</v>
      </c>
      <c r="AR2498" s="3" t="s">
        <v>63</v>
      </c>
      <c r="AS2498" s="3" t="s">
        <v>63</v>
      </c>
      <c r="AT2498" s="3" t="s">
        <v>62</v>
      </c>
      <c r="AU2498" s="6" t="str">
        <f>HYPERLINK("http://catalog.hathitrust.org/Record/001847321","HathiTrust Record")</f>
        <v>HathiTrust Record</v>
      </c>
      <c r="AV2498" s="6" t="str">
        <f>HYPERLINK("http://mcgill.on.worldcat.org/oclc/4836959","Catalog Record")</f>
        <v>Catalog Record</v>
      </c>
      <c r="AW2498" s="6" t="str">
        <f>HYPERLINK("http://www.worldcat.org/oclc/4836959","WorldCat Record")</f>
        <v>WorldCat Record</v>
      </c>
      <c r="AX2498" s="3" t="s">
        <v>20816</v>
      </c>
      <c r="AY2498" s="3" t="s">
        <v>20817</v>
      </c>
      <c r="AZ2498" s="3" t="s">
        <v>20818</v>
      </c>
      <c r="BA2498" s="3" t="s">
        <v>20818</v>
      </c>
      <c r="BB2498" s="3" t="s">
        <v>20833</v>
      </c>
      <c r="BC2498" s="3" t="s">
        <v>82</v>
      </c>
      <c r="BD2498" s="3" t="s">
        <v>70</v>
      </c>
      <c r="BF2498" s="3" t="s">
        <v>20833</v>
      </c>
      <c r="BG2498" s="3" t="s">
        <v>20834</v>
      </c>
    </row>
    <row r="2499" spans="1:59" ht="60" x14ac:dyDescent="0.25">
      <c r="A2499" s="2" t="s">
        <v>59</v>
      </c>
      <c r="B2499" s="2" t="s">
        <v>60</v>
      </c>
      <c r="C2499" s="2" t="s">
        <v>20811</v>
      </c>
      <c r="D2499" s="2" t="s">
        <v>20812</v>
      </c>
      <c r="E2499" s="2" t="s">
        <v>20813</v>
      </c>
      <c r="F2499" s="3" t="s">
        <v>4434</v>
      </c>
      <c r="G2499" s="3" t="s">
        <v>62</v>
      </c>
      <c r="I2499" s="3" t="s">
        <v>63</v>
      </c>
      <c r="J2499" s="3" t="s">
        <v>63</v>
      </c>
      <c r="K2499" s="3" t="s">
        <v>64</v>
      </c>
      <c r="L2499" s="2" t="s">
        <v>20715</v>
      </c>
      <c r="M2499" s="2" t="s">
        <v>20814</v>
      </c>
      <c r="N2499" s="3" t="s">
        <v>546</v>
      </c>
      <c r="P2499" s="3" t="s">
        <v>90</v>
      </c>
      <c r="Q2499" s="2" t="s">
        <v>20815</v>
      </c>
      <c r="R2499" s="3" t="s">
        <v>67</v>
      </c>
      <c r="S2499" s="4">
        <v>0</v>
      </c>
      <c r="T2499" s="4">
        <v>2</v>
      </c>
      <c r="V2499" s="5" t="s">
        <v>16073</v>
      </c>
      <c r="W2499" s="5" t="s">
        <v>69</v>
      </c>
      <c r="X2499" s="5" t="s">
        <v>69</v>
      </c>
      <c r="Y2499" s="4">
        <v>42</v>
      </c>
      <c r="Z2499" s="4">
        <v>5</v>
      </c>
      <c r="AA2499" s="4">
        <v>18</v>
      </c>
      <c r="AB2499" s="4">
        <v>1</v>
      </c>
      <c r="AC2499" s="4">
        <v>2</v>
      </c>
      <c r="AD2499" s="4">
        <v>16</v>
      </c>
      <c r="AE2499" s="4">
        <v>87</v>
      </c>
      <c r="AF2499" s="4">
        <v>0</v>
      </c>
      <c r="AG2499" s="4">
        <v>1</v>
      </c>
      <c r="AH2499" s="4">
        <v>15</v>
      </c>
      <c r="AI2499" s="4">
        <v>79</v>
      </c>
      <c r="AJ2499" s="4">
        <v>2</v>
      </c>
      <c r="AK2499" s="4">
        <v>13</v>
      </c>
      <c r="AL2499" s="4">
        <v>11</v>
      </c>
      <c r="AM2499" s="4">
        <v>45</v>
      </c>
      <c r="AN2499" s="4">
        <v>0</v>
      </c>
      <c r="AO2499" s="4">
        <v>0</v>
      </c>
      <c r="AP2499" s="4">
        <v>2</v>
      </c>
      <c r="AQ2499" s="4">
        <v>14</v>
      </c>
      <c r="AR2499" s="3" t="s">
        <v>63</v>
      </c>
      <c r="AS2499" s="3" t="s">
        <v>63</v>
      </c>
      <c r="AT2499" s="3" t="s">
        <v>62</v>
      </c>
      <c r="AU2499" s="6" t="str">
        <f>HYPERLINK("http://catalog.hathitrust.org/Record/001847321","HathiTrust Record")</f>
        <v>HathiTrust Record</v>
      </c>
      <c r="AV2499" s="6" t="str">
        <f>HYPERLINK("http://mcgill.on.worldcat.org/oclc/4836959","Catalog Record")</f>
        <v>Catalog Record</v>
      </c>
      <c r="AW2499" s="6" t="str">
        <f>HYPERLINK("http://www.worldcat.org/oclc/4836959","WorldCat Record")</f>
        <v>WorldCat Record</v>
      </c>
      <c r="AX2499" s="3" t="s">
        <v>20816</v>
      </c>
      <c r="AY2499" s="3" t="s">
        <v>20817</v>
      </c>
      <c r="AZ2499" s="3" t="s">
        <v>20818</v>
      </c>
      <c r="BA2499" s="3" t="s">
        <v>20818</v>
      </c>
      <c r="BB2499" s="3" t="s">
        <v>20835</v>
      </c>
      <c r="BC2499" s="3" t="s">
        <v>82</v>
      </c>
      <c r="BD2499" s="3" t="s">
        <v>70</v>
      </c>
      <c r="BF2499" s="3" t="s">
        <v>20835</v>
      </c>
      <c r="BG2499" s="3" t="s">
        <v>20836</v>
      </c>
    </row>
    <row r="2500" spans="1:59" ht="60" x14ac:dyDescent="0.25">
      <c r="A2500" s="2" t="s">
        <v>59</v>
      </c>
      <c r="B2500" s="2" t="s">
        <v>60</v>
      </c>
      <c r="C2500" s="2" t="s">
        <v>20811</v>
      </c>
      <c r="D2500" s="2" t="s">
        <v>20812</v>
      </c>
      <c r="E2500" s="2" t="s">
        <v>20813</v>
      </c>
      <c r="F2500" s="3" t="s">
        <v>4435</v>
      </c>
      <c r="G2500" s="3" t="s">
        <v>62</v>
      </c>
      <c r="I2500" s="3" t="s">
        <v>63</v>
      </c>
      <c r="J2500" s="3" t="s">
        <v>63</v>
      </c>
      <c r="K2500" s="3" t="s">
        <v>64</v>
      </c>
      <c r="L2500" s="2" t="s">
        <v>20715</v>
      </c>
      <c r="M2500" s="2" t="s">
        <v>20814</v>
      </c>
      <c r="N2500" s="3" t="s">
        <v>546</v>
      </c>
      <c r="P2500" s="3" t="s">
        <v>90</v>
      </c>
      <c r="Q2500" s="2" t="s">
        <v>20815</v>
      </c>
      <c r="R2500" s="3" t="s">
        <v>67</v>
      </c>
      <c r="S2500" s="4">
        <v>0</v>
      </c>
      <c r="T2500" s="4">
        <v>2</v>
      </c>
      <c r="V2500" s="5" t="s">
        <v>16073</v>
      </c>
      <c r="W2500" s="5" t="s">
        <v>69</v>
      </c>
      <c r="X2500" s="5" t="s">
        <v>69</v>
      </c>
      <c r="Y2500" s="4">
        <v>42</v>
      </c>
      <c r="Z2500" s="4">
        <v>5</v>
      </c>
      <c r="AA2500" s="4">
        <v>18</v>
      </c>
      <c r="AB2500" s="4">
        <v>1</v>
      </c>
      <c r="AC2500" s="4">
        <v>2</v>
      </c>
      <c r="AD2500" s="4">
        <v>16</v>
      </c>
      <c r="AE2500" s="4">
        <v>87</v>
      </c>
      <c r="AF2500" s="4">
        <v>0</v>
      </c>
      <c r="AG2500" s="4">
        <v>1</v>
      </c>
      <c r="AH2500" s="4">
        <v>15</v>
      </c>
      <c r="AI2500" s="4">
        <v>79</v>
      </c>
      <c r="AJ2500" s="4">
        <v>2</v>
      </c>
      <c r="AK2500" s="4">
        <v>13</v>
      </c>
      <c r="AL2500" s="4">
        <v>11</v>
      </c>
      <c r="AM2500" s="4">
        <v>45</v>
      </c>
      <c r="AN2500" s="4">
        <v>0</v>
      </c>
      <c r="AO2500" s="4">
        <v>0</v>
      </c>
      <c r="AP2500" s="4">
        <v>2</v>
      </c>
      <c r="AQ2500" s="4">
        <v>14</v>
      </c>
      <c r="AR2500" s="3" t="s">
        <v>63</v>
      </c>
      <c r="AS2500" s="3" t="s">
        <v>63</v>
      </c>
      <c r="AT2500" s="3" t="s">
        <v>62</v>
      </c>
      <c r="AU2500" s="6" t="str">
        <f>HYPERLINK("http://catalog.hathitrust.org/Record/001847321","HathiTrust Record")</f>
        <v>HathiTrust Record</v>
      </c>
      <c r="AV2500" s="6" t="str">
        <f>HYPERLINK("http://mcgill.on.worldcat.org/oclc/4836959","Catalog Record")</f>
        <v>Catalog Record</v>
      </c>
      <c r="AW2500" s="6" t="str">
        <f>HYPERLINK("http://www.worldcat.org/oclc/4836959","WorldCat Record")</f>
        <v>WorldCat Record</v>
      </c>
      <c r="AX2500" s="3" t="s">
        <v>20816</v>
      </c>
      <c r="AY2500" s="3" t="s">
        <v>20817</v>
      </c>
      <c r="AZ2500" s="3" t="s">
        <v>20818</v>
      </c>
      <c r="BA2500" s="3" t="s">
        <v>20818</v>
      </c>
      <c r="BB2500" s="3" t="s">
        <v>20837</v>
      </c>
      <c r="BC2500" s="3" t="s">
        <v>82</v>
      </c>
      <c r="BD2500" s="3" t="s">
        <v>70</v>
      </c>
      <c r="BF2500" s="3" t="s">
        <v>20837</v>
      </c>
      <c r="BG2500" s="3" t="s">
        <v>20838</v>
      </c>
    </row>
    <row r="2501" spans="1:59" ht="60" x14ac:dyDescent="0.25">
      <c r="A2501" s="2" t="s">
        <v>59</v>
      </c>
      <c r="B2501" s="2" t="s">
        <v>60</v>
      </c>
      <c r="C2501" s="2" t="s">
        <v>20811</v>
      </c>
      <c r="D2501" s="2" t="s">
        <v>20812</v>
      </c>
      <c r="E2501" s="2" t="s">
        <v>20813</v>
      </c>
      <c r="F2501" s="3" t="s">
        <v>4439</v>
      </c>
      <c r="G2501" s="3" t="s">
        <v>62</v>
      </c>
      <c r="I2501" s="3" t="s">
        <v>63</v>
      </c>
      <c r="J2501" s="3" t="s">
        <v>63</v>
      </c>
      <c r="K2501" s="3" t="s">
        <v>64</v>
      </c>
      <c r="L2501" s="2" t="s">
        <v>20715</v>
      </c>
      <c r="M2501" s="2" t="s">
        <v>20814</v>
      </c>
      <c r="N2501" s="3" t="s">
        <v>546</v>
      </c>
      <c r="P2501" s="3" t="s">
        <v>90</v>
      </c>
      <c r="Q2501" s="2" t="s">
        <v>20815</v>
      </c>
      <c r="R2501" s="3" t="s">
        <v>67</v>
      </c>
      <c r="S2501" s="4">
        <v>0</v>
      </c>
      <c r="T2501" s="4">
        <v>2</v>
      </c>
      <c r="V2501" s="5" t="s">
        <v>16073</v>
      </c>
      <c r="W2501" s="5" t="s">
        <v>69</v>
      </c>
      <c r="X2501" s="5" t="s">
        <v>69</v>
      </c>
      <c r="Y2501" s="4">
        <v>42</v>
      </c>
      <c r="Z2501" s="4">
        <v>5</v>
      </c>
      <c r="AA2501" s="4">
        <v>18</v>
      </c>
      <c r="AB2501" s="4">
        <v>1</v>
      </c>
      <c r="AC2501" s="4">
        <v>2</v>
      </c>
      <c r="AD2501" s="4">
        <v>16</v>
      </c>
      <c r="AE2501" s="4">
        <v>87</v>
      </c>
      <c r="AF2501" s="4">
        <v>0</v>
      </c>
      <c r="AG2501" s="4">
        <v>1</v>
      </c>
      <c r="AH2501" s="4">
        <v>15</v>
      </c>
      <c r="AI2501" s="4">
        <v>79</v>
      </c>
      <c r="AJ2501" s="4">
        <v>2</v>
      </c>
      <c r="AK2501" s="4">
        <v>13</v>
      </c>
      <c r="AL2501" s="4">
        <v>11</v>
      </c>
      <c r="AM2501" s="4">
        <v>45</v>
      </c>
      <c r="AN2501" s="4">
        <v>0</v>
      </c>
      <c r="AO2501" s="4">
        <v>0</v>
      </c>
      <c r="AP2501" s="4">
        <v>2</v>
      </c>
      <c r="AQ2501" s="4">
        <v>14</v>
      </c>
      <c r="AR2501" s="3" t="s">
        <v>63</v>
      </c>
      <c r="AS2501" s="3" t="s">
        <v>63</v>
      </c>
      <c r="AT2501" s="3" t="s">
        <v>62</v>
      </c>
      <c r="AU2501" s="6" t="str">
        <f>HYPERLINK("http://catalog.hathitrust.org/Record/001847321","HathiTrust Record")</f>
        <v>HathiTrust Record</v>
      </c>
      <c r="AV2501" s="6" t="str">
        <f>HYPERLINK("http://mcgill.on.worldcat.org/oclc/4836959","Catalog Record")</f>
        <v>Catalog Record</v>
      </c>
      <c r="AW2501" s="6" t="str">
        <f>HYPERLINK("http://www.worldcat.org/oclc/4836959","WorldCat Record")</f>
        <v>WorldCat Record</v>
      </c>
      <c r="AX2501" s="3" t="s">
        <v>20816</v>
      </c>
      <c r="AY2501" s="3" t="s">
        <v>20817</v>
      </c>
      <c r="AZ2501" s="3" t="s">
        <v>20818</v>
      </c>
      <c r="BA2501" s="3" t="s">
        <v>20818</v>
      </c>
      <c r="BB2501" s="3" t="s">
        <v>20839</v>
      </c>
      <c r="BC2501" s="3" t="s">
        <v>82</v>
      </c>
      <c r="BD2501" s="3" t="s">
        <v>70</v>
      </c>
      <c r="BF2501" s="3" t="s">
        <v>20839</v>
      </c>
      <c r="BG2501" s="3" t="s">
        <v>20840</v>
      </c>
    </row>
    <row r="2502" spans="1:59" ht="60" x14ac:dyDescent="0.25">
      <c r="A2502" s="2" t="s">
        <v>59</v>
      </c>
      <c r="B2502" s="2" t="s">
        <v>60</v>
      </c>
      <c r="C2502" s="2" t="s">
        <v>20811</v>
      </c>
      <c r="D2502" s="2" t="s">
        <v>20812</v>
      </c>
      <c r="E2502" s="2" t="s">
        <v>20813</v>
      </c>
      <c r="F2502" s="3" t="s">
        <v>4428</v>
      </c>
      <c r="G2502" s="3" t="s">
        <v>62</v>
      </c>
      <c r="I2502" s="3" t="s">
        <v>63</v>
      </c>
      <c r="J2502" s="3" t="s">
        <v>63</v>
      </c>
      <c r="K2502" s="3" t="s">
        <v>64</v>
      </c>
      <c r="L2502" s="2" t="s">
        <v>20715</v>
      </c>
      <c r="M2502" s="2" t="s">
        <v>20814</v>
      </c>
      <c r="N2502" s="3" t="s">
        <v>546</v>
      </c>
      <c r="P2502" s="3" t="s">
        <v>90</v>
      </c>
      <c r="Q2502" s="2" t="s">
        <v>20815</v>
      </c>
      <c r="R2502" s="3" t="s">
        <v>67</v>
      </c>
      <c r="S2502" s="4">
        <v>0</v>
      </c>
      <c r="T2502" s="4">
        <v>2</v>
      </c>
      <c r="V2502" s="5" t="s">
        <v>16073</v>
      </c>
      <c r="W2502" s="5" t="s">
        <v>69</v>
      </c>
      <c r="X2502" s="5" t="s">
        <v>69</v>
      </c>
      <c r="Y2502" s="4">
        <v>42</v>
      </c>
      <c r="Z2502" s="4">
        <v>5</v>
      </c>
      <c r="AA2502" s="4">
        <v>18</v>
      </c>
      <c r="AB2502" s="4">
        <v>1</v>
      </c>
      <c r="AC2502" s="4">
        <v>2</v>
      </c>
      <c r="AD2502" s="4">
        <v>16</v>
      </c>
      <c r="AE2502" s="4">
        <v>87</v>
      </c>
      <c r="AF2502" s="4">
        <v>0</v>
      </c>
      <c r="AG2502" s="4">
        <v>1</v>
      </c>
      <c r="AH2502" s="4">
        <v>15</v>
      </c>
      <c r="AI2502" s="4">
        <v>79</v>
      </c>
      <c r="AJ2502" s="4">
        <v>2</v>
      </c>
      <c r="AK2502" s="4">
        <v>13</v>
      </c>
      <c r="AL2502" s="4">
        <v>11</v>
      </c>
      <c r="AM2502" s="4">
        <v>45</v>
      </c>
      <c r="AN2502" s="4">
        <v>0</v>
      </c>
      <c r="AO2502" s="4">
        <v>0</v>
      </c>
      <c r="AP2502" s="4">
        <v>2</v>
      </c>
      <c r="AQ2502" s="4">
        <v>14</v>
      </c>
      <c r="AR2502" s="3" t="s">
        <v>63</v>
      </c>
      <c r="AS2502" s="3" t="s">
        <v>63</v>
      </c>
      <c r="AT2502" s="3" t="s">
        <v>62</v>
      </c>
      <c r="AU2502" s="6" t="str">
        <f>HYPERLINK("http://catalog.hathitrust.org/Record/001847321","HathiTrust Record")</f>
        <v>HathiTrust Record</v>
      </c>
      <c r="AV2502" s="6" t="str">
        <f>HYPERLINK("http://mcgill.on.worldcat.org/oclc/4836959","Catalog Record")</f>
        <v>Catalog Record</v>
      </c>
      <c r="AW2502" s="6" t="str">
        <f>HYPERLINK("http://www.worldcat.org/oclc/4836959","WorldCat Record")</f>
        <v>WorldCat Record</v>
      </c>
      <c r="AX2502" s="3" t="s">
        <v>20816</v>
      </c>
      <c r="AY2502" s="3" t="s">
        <v>20817</v>
      </c>
      <c r="AZ2502" s="3" t="s">
        <v>20818</v>
      </c>
      <c r="BA2502" s="3" t="s">
        <v>20818</v>
      </c>
      <c r="BB2502" s="3" t="s">
        <v>20841</v>
      </c>
      <c r="BC2502" s="3" t="s">
        <v>82</v>
      </c>
      <c r="BD2502" s="3" t="s">
        <v>70</v>
      </c>
      <c r="BF2502" s="3" t="s">
        <v>20841</v>
      </c>
      <c r="BG2502" s="3" t="s">
        <v>20842</v>
      </c>
    </row>
    <row r="2503" spans="1:59" ht="60" x14ac:dyDescent="0.25">
      <c r="A2503" s="2" t="s">
        <v>59</v>
      </c>
      <c r="B2503" s="2" t="s">
        <v>60</v>
      </c>
      <c r="C2503" s="2" t="s">
        <v>20843</v>
      </c>
      <c r="D2503" s="2" t="s">
        <v>20844</v>
      </c>
      <c r="E2503" s="2" t="s">
        <v>20845</v>
      </c>
      <c r="G2503" s="3" t="s">
        <v>63</v>
      </c>
      <c r="I2503" s="3" t="s">
        <v>63</v>
      </c>
      <c r="J2503" s="3" t="s">
        <v>62</v>
      </c>
      <c r="K2503" s="3" t="s">
        <v>64</v>
      </c>
      <c r="L2503" s="2" t="s">
        <v>20715</v>
      </c>
      <c r="M2503" s="2" t="s">
        <v>20846</v>
      </c>
      <c r="N2503" s="3" t="s">
        <v>468</v>
      </c>
      <c r="P2503" s="3" t="s">
        <v>90</v>
      </c>
      <c r="Q2503" s="2" t="s">
        <v>15492</v>
      </c>
      <c r="R2503" s="3" t="s">
        <v>67</v>
      </c>
      <c r="S2503" s="4">
        <v>2</v>
      </c>
      <c r="T2503" s="4">
        <v>2</v>
      </c>
      <c r="U2503" s="5" t="s">
        <v>7544</v>
      </c>
      <c r="V2503" s="5" t="s">
        <v>7544</v>
      </c>
      <c r="W2503" s="5" t="s">
        <v>69</v>
      </c>
      <c r="X2503" s="5" t="s">
        <v>69</v>
      </c>
      <c r="Y2503" s="4">
        <v>39</v>
      </c>
      <c r="Z2503" s="4">
        <v>5</v>
      </c>
      <c r="AA2503" s="4">
        <v>23</v>
      </c>
      <c r="AB2503" s="4">
        <v>2</v>
      </c>
      <c r="AC2503" s="4">
        <v>4</v>
      </c>
      <c r="AD2503" s="4">
        <v>20</v>
      </c>
      <c r="AE2503" s="4">
        <v>77</v>
      </c>
      <c r="AF2503" s="4">
        <v>0</v>
      </c>
      <c r="AG2503" s="4">
        <v>2</v>
      </c>
      <c r="AH2503" s="4">
        <v>18</v>
      </c>
      <c r="AI2503" s="4">
        <v>67</v>
      </c>
      <c r="AJ2503" s="4">
        <v>3</v>
      </c>
      <c r="AK2503" s="4">
        <v>14</v>
      </c>
      <c r="AL2503" s="4">
        <v>9</v>
      </c>
      <c r="AM2503" s="4">
        <v>41</v>
      </c>
      <c r="AN2503" s="4">
        <v>0</v>
      </c>
      <c r="AO2503" s="4">
        <v>4</v>
      </c>
      <c r="AP2503" s="4">
        <v>3</v>
      </c>
      <c r="AQ2503" s="4">
        <v>15</v>
      </c>
      <c r="AR2503" s="3" t="s">
        <v>63</v>
      </c>
      <c r="AS2503" s="3" t="s">
        <v>63</v>
      </c>
      <c r="AT2503" s="3" t="s">
        <v>62</v>
      </c>
      <c r="AU2503" s="6" t="str">
        <f>HYPERLINK("http://catalog.hathitrust.org/Record/007022292","HathiTrust Record")</f>
        <v>HathiTrust Record</v>
      </c>
      <c r="AV2503" s="6" t="str">
        <f>HYPERLINK("http://mcgill.on.worldcat.org/oclc/3745801","Catalog Record")</f>
        <v>Catalog Record</v>
      </c>
      <c r="AW2503" s="6" t="str">
        <f>HYPERLINK("http://www.worldcat.org/oclc/3745801","WorldCat Record")</f>
        <v>WorldCat Record</v>
      </c>
      <c r="AX2503" s="3" t="s">
        <v>20847</v>
      </c>
      <c r="AY2503" s="3" t="s">
        <v>20848</v>
      </c>
      <c r="AZ2503" s="3" t="s">
        <v>20849</v>
      </c>
      <c r="BA2503" s="3" t="s">
        <v>20849</v>
      </c>
      <c r="BB2503" s="3" t="s">
        <v>20850</v>
      </c>
      <c r="BC2503" s="3" t="s">
        <v>82</v>
      </c>
      <c r="BD2503" s="3" t="s">
        <v>70</v>
      </c>
      <c r="BF2503" s="3" t="s">
        <v>20850</v>
      </c>
      <c r="BG2503" s="3" t="s">
        <v>20851</v>
      </c>
    </row>
    <row r="2504" spans="1:59" ht="75" x14ac:dyDescent="0.25">
      <c r="A2504" s="2" t="s">
        <v>59</v>
      </c>
      <c r="B2504" s="2" t="s">
        <v>60</v>
      </c>
      <c r="C2504" s="2" t="s">
        <v>20864</v>
      </c>
      <c r="D2504" s="2" t="s">
        <v>20865</v>
      </c>
      <c r="E2504" s="2" t="s">
        <v>20866</v>
      </c>
      <c r="G2504" s="3" t="s">
        <v>63</v>
      </c>
      <c r="I2504" s="3" t="s">
        <v>63</v>
      </c>
      <c r="J2504" s="3" t="s">
        <v>63</v>
      </c>
      <c r="K2504" s="3" t="s">
        <v>64</v>
      </c>
      <c r="L2504" s="2" t="s">
        <v>20715</v>
      </c>
      <c r="M2504" s="2" t="s">
        <v>20867</v>
      </c>
      <c r="N2504" s="3" t="s">
        <v>1046</v>
      </c>
      <c r="P2504" s="3" t="s">
        <v>90</v>
      </c>
      <c r="Q2504" s="2" t="s">
        <v>15492</v>
      </c>
      <c r="R2504" s="3" t="s">
        <v>67</v>
      </c>
      <c r="S2504" s="4">
        <v>27</v>
      </c>
      <c r="T2504" s="4">
        <v>27</v>
      </c>
      <c r="U2504" s="5" t="s">
        <v>7544</v>
      </c>
      <c r="V2504" s="5" t="s">
        <v>7544</v>
      </c>
      <c r="W2504" s="5" t="s">
        <v>69</v>
      </c>
      <c r="X2504" s="5" t="s">
        <v>69</v>
      </c>
      <c r="Y2504" s="4">
        <v>97</v>
      </c>
      <c r="Z2504" s="4">
        <v>6</v>
      </c>
      <c r="AA2504" s="4">
        <v>19</v>
      </c>
      <c r="AB2504" s="4">
        <v>1</v>
      </c>
      <c r="AC2504" s="4">
        <v>2</v>
      </c>
      <c r="AD2504" s="4">
        <v>30</v>
      </c>
      <c r="AE2504" s="4">
        <v>71</v>
      </c>
      <c r="AF2504" s="4">
        <v>0</v>
      </c>
      <c r="AG2504" s="4">
        <v>1</v>
      </c>
      <c r="AH2504" s="4">
        <v>28</v>
      </c>
      <c r="AI2504" s="4">
        <v>62</v>
      </c>
      <c r="AJ2504" s="4">
        <v>3</v>
      </c>
      <c r="AK2504" s="4">
        <v>12</v>
      </c>
      <c r="AL2504" s="4">
        <v>15</v>
      </c>
      <c r="AM2504" s="4">
        <v>34</v>
      </c>
      <c r="AN2504" s="4">
        <v>0</v>
      </c>
      <c r="AO2504" s="4">
        <v>5</v>
      </c>
      <c r="AP2504" s="4">
        <v>5</v>
      </c>
      <c r="AQ2504" s="4">
        <v>16</v>
      </c>
      <c r="AR2504" s="3" t="s">
        <v>63</v>
      </c>
      <c r="AS2504" s="3" t="s">
        <v>63</v>
      </c>
      <c r="AT2504" s="3" t="s">
        <v>63</v>
      </c>
      <c r="AV2504" s="6" t="str">
        <f>HYPERLINK("http://mcgill.on.worldcat.org/oclc/7029072","Catalog Record")</f>
        <v>Catalog Record</v>
      </c>
      <c r="AW2504" s="6" t="str">
        <f>HYPERLINK("http://www.worldcat.org/oclc/7029072","WorldCat Record")</f>
        <v>WorldCat Record</v>
      </c>
      <c r="AX2504" s="3" t="s">
        <v>20868</v>
      </c>
      <c r="AY2504" s="3" t="s">
        <v>20869</v>
      </c>
      <c r="AZ2504" s="3" t="s">
        <v>20870</v>
      </c>
      <c r="BA2504" s="3" t="s">
        <v>20870</v>
      </c>
      <c r="BB2504" s="3" t="s">
        <v>20871</v>
      </c>
      <c r="BC2504" s="3" t="s">
        <v>82</v>
      </c>
      <c r="BD2504" s="3" t="s">
        <v>70</v>
      </c>
      <c r="BF2504" s="3" t="s">
        <v>20871</v>
      </c>
      <c r="BG2504" s="3" t="s">
        <v>20872</v>
      </c>
    </row>
    <row r="2505" spans="1:59" ht="60" x14ac:dyDescent="0.25">
      <c r="A2505" s="2" t="s">
        <v>59</v>
      </c>
      <c r="B2505" s="2" t="s">
        <v>60</v>
      </c>
      <c r="C2505" s="2" t="s">
        <v>20852</v>
      </c>
      <c r="D2505" s="2" t="s">
        <v>20853</v>
      </c>
      <c r="E2505" s="2" t="s">
        <v>20854</v>
      </c>
      <c r="G2505" s="3" t="s">
        <v>63</v>
      </c>
      <c r="I2505" s="3" t="s">
        <v>63</v>
      </c>
      <c r="J2505" s="3" t="s">
        <v>63</v>
      </c>
      <c r="K2505" s="3" t="s">
        <v>64</v>
      </c>
      <c r="L2505" s="2" t="s">
        <v>20855</v>
      </c>
      <c r="M2505" s="2" t="s">
        <v>20856</v>
      </c>
      <c r="N2505" s="3" t="s">
        <v>374</v>
      </c>
      <c r="P2505" s="3" t="s">
        <v>66</v>
      </c>
      <c r="Q2505" s="2" t="s">
        <v>17204</v>
      </c>
      <c r="R2505" s="3" t="s">
        <v>67</v>
      </c>
      <c r="S2505" s="4">
        <v>21</v>
      </c>
      <c r="T2505" s="4">
        <v>21</v>
      </c>
      <c r="U2505" s="5" t="s">
        <v>20857</v>
      </c>
      <c r="V2505" s="5" t="s">
        <v>20857</v>
      </c>
      <c r="W2505" s="5" t="s">
        <v>69</v>
      </c>
      <c r="X2505" s="5" t="s">
        <v>69</v>
      </c>
      <c r="Y2505" s="4">
        <v>134</v>
      </c>
      <c r="Z2505" s="4">
        <v>14</v>
      </c>
      <c r="AA2505" s="4">
        <v>14</v>
      </c>
      <c r="AB2505" s="4">
        <v>2</v>
      </c>
      <c r="AC2505" s="4">
        <v>2</v>
      </c>
      <c r="AD2505" s="4">
        <v>59</v>
      </c>
      <c r="AE2505" s="4">
        <v>59</v>
      </c>
      <c r="AF2505" s="4">
        <v>1</v>
      </c>
      <c r="AG2505" s="4">
        <v>1</v>
      </c>
      <c r="AH2505" s="4">
        <v>52</v>
      </c>
      <c r="AI2505" s="4">
        <v>52</v>
      </c>
      <c r="AJ2505" s="4">
        <v>11</v>
      </c>
      <c r="AK2505" s="4">
        <v>11</v>
      </c>
      <c r="AL2505" s="4">
        <v>31</v>
      </c>
      <c r="AM2505" s="4">
        <v>31</v>
      </c>
      <c r="AN2505" s="4">
        <v>0</v>
      </c>
      <c r="AO2505" s="4">
        <v>0</v>
      </c>
      <c r="AP2505" s="4">
        <v>13</v>
      </c>
      <c r="AQ2505" s="4">
        <v>13</v>
      </c>
      <c r="AR2505" s="3" t="s">
        <v>63</v>
      </c>
      <c r="AS2505" s="3" t="s">
        <v>63</v>
      </c>
      <c r="AT2505" s="3" t="s">
        <v>62</v>
      </c>
      <c r="AU2505" s="6" t="str">
        <f>HYPERLINK("http://catalog.hathitrust.org/Record/002986078","HathiTrust Record")</f>
        <v>HathiTrust Record</v>
      </c>
      <c r="AV2505" s="6" t="str">
        <f>HYPERLINK("http://mcgill.on.worldcat.org/oclc/32567066","Catalog Record")</f>
        <v>Catalog Record</v>
      </c>
      <c r="AW2505" s="6" t="str">
        <f>HYPERLINK("http://www.worldcat.org/oclc/32567066","WorldCat Record")</f>
        <v>WorldCat Record</v>
      </c>
      <c r="AX2505" s="3" t="s">
        <v>20858</v>
      </c>
      <c r="AY2505" s="3" t="s">
        <v>20859</v>
      </c>
      <c r="AZ2505" s="3" t="s">
        <v>20860</v>
      </c>
      <c r="BA2505" s="3" t="s">
        <v>20860</v>
      </c>
      <c r="BB2505" s="3" t="s">
        <v>20861</v>
      </c>
      <c r="BC2505" s="3" t="s">
        <v>82</v>
      </c>
      <c r="BD2505" s="3" t="s">
        <v>70</v>
      </c>
      <c r="BE2505" s="3" t="s">
        <v>20862</v>
      </c>
      <c r="BF2505" s="3" t="s">
        <v>20861</v>
      </c>
      <c r="BG2505" s="3" t="s">
        <v>20863</v>
      </c>
    </row>
    <row r="2506" spans="1:59" ht="60" x14ac:dyDescent="0.25">
      <c r="A2506" s="2" t="s">
        <v>59</v>
      </c>
      <c r="B2506" s="2" t="s">
        <v>60</v>
      </c>
      <c r="C2506" s="2" t="s">
        <v>20873</v>
      </c>
      <c r="D2506" s="2" t="s">
        <v>20874</v>
      </c>
      <c r="E2506" s="2" t="s">
        <v>20875</v>
      </c>
      <c r="G2506" s="3" t="s">
        <v>63</v>
      </c>
      <c r="I2506" s="3" t="s">
        <v>63</v>
      </c>
      <c r="J2506" s="3" t="s">
        <v>63</v>
      </c>
      <c r="K2506" s="3" t="s">
        <v>64</v>
      </c>
      <c r="L2506" s="2" t="s">
        <v>20715</v>
      </c>
      <c r="M2506" s="2" t="s">
        <v>20876</v>
      </c>
      <c r="N2506" s="3" t="s">
        <v>1046</v>
      </c>
      <c r="P2506" s="3" t="s">
        <v>90</v>
      </c>
      <c r="Q2506" s="2" t="s">
        <v>15492</v>
      </c>
      <c r="R2506" s="3" t="s">
        <v>67</v>
      </c>
      <c r="S2506" s="4">
        <v>7</v>
      </c>
      <c r="T2506" s="4">
        <v>7</v>
      </c>
      <c r="U2506" s="5" t="s">
        <v>7544</v>
      </c>
      <c r="V2506" s="5" t="s">
        <v>7544</v>
      </c>
      <c r="W2506" s="5" t="s">
        <v>69</v>
      </c>
      <c r="X2506" s="5" t="s">
        <v>69</v>
      </c>
      <c r="Y2506" s="4">
        <v>105</v>
      </c>
      <c r="Z2506" s="4">
        <v>6</v>
      </c>
      <c r="AA2506" s="4">
        <v>6</v>
      </c>
      <c r="AB2506" s="4">
        <v>1</v>
      </c>
      <c r="AC2506" s="4">
        <v>1</v>
      </c>
      <c r="AD2506" s="4">
        <v>31</v>
      </c>
      <c r="AE2506" s="4">
        <v>31</v>
      </c>
      <c r="AF2506" s="4">
        <v>0</v>
      </c>
      <c r="AG2506" s="4">
        <v>0</v>
      </c>
      <c r="AH2506" s="4">
        <v>28</v>
      </c>
      <c r="AI2506" s="4">
        <v>28</v>
      </c>
      <c r="AJ2506" s="4">
        <v>3</v>
      </c>
      <c r="AK2506" s="4">
        <v>3</v>
      </c>
      <c r="AL2506" s="4">
        <v>16</v>
      </c>
      <c r="AM2506" s="4">
        <v>16</v>
      </c>
      <c r="AN2506" s="4">
        <v>0</v>
      </c>
      <c r="AO2506" s="4">
        <v>0</v>
      </c>
      <c r="AP2506" s="4">
        <v>4</v>
      </c>
      <c r="AQ2506" s="4">
        <v>4</v>
      </c>
      <c r="AR2506" s="3" t="s">
        <v>63</v>
      </c>
      <c r="AS2506" s="3" t="s">
        <v>63</v>
      </c>
      <c r="AT2506" s="3" t="s">
        <v>63</v>
      </c>
      <c r="AV2506" s="6" t="str">
        <f>HYPERLINK("http://mcgill.on.worldcat.org/oclc/1128607","Catalog Record")</f>
        <v>Catalog Record</v>
      </c>
      <c r="AW2506" s="6" t="str">
        <f>HYPERLINK("http://www.worldcat.org/oclc/1128607","WorldCat Record")</f>
        <v>WorldCat Record</v>
      </c>
      <c r="AX2506" s="3" t="s">
        <v>20877</v>
      </c>
      <c r="AY2506" s="3" t="s">
        <v>20878</v>
      </c>
      <c r="AZ2506" s="3" t="s">
        <v>20879</v>
      </c>
      <c r="BA2506" s="3" t="s">
        <v>20879</v>
      </c>
      <c r="BB2506" s="3" t="s">
        <v>20880</v>
      </c>
      <c r="BC2506" s="3" t="s">
        <v>82</v>
      </c>
      <c r="BD2506" s="3" t="s">
        <v>70</v>
      </c>
      <c r="BF2506" s="3" t="s">
        <v>20880</v>
      </c>
      <c r="BG2506" s="3" t="s">
        <v>20881</v>
      </c>
    </row>
    <row r="2507" spans="1:59" ht="60" x14ac:dyDescent="0.25">
      <c r="A2507" s="2" t="s">
        <v>59</v>
      </c>
      <c r="B2507" s="2" t="s">
        <v>60</v>
      </c>
      <c r="C2507" s="2" t="s">
        <v>20882</v>
      </c>
      <c r="D2507" s="2" t="s">
        <v>20883</v>
      </c>
      <c r="E2507" s="2" t="s">
        <v>20884</v>
      </c>
      <c r="G2507" s="3" t="s">
        <v>63</v>
      </c>
      <c r="I2507" s="3" t="s">
        <v>62</v>
      </c>
      <c r="J2507" s="3" t="s">
        <v>63</v>
      </c>
      <c r="K2507" s="3" t="s">
        <v>64</v>
      </c>
      <c r="L2507" s="2" t="s">
        <v>20885</v>
      </c>
      <c r="M2507" s="2" t="s">
        <v>20886</v>
      </c>
      <c r="N2507" s="3" t="s">
        <v>2225</v>
      </c>
      <c r="P2507" s="3" t="s">
        <v>66</v>
      </c>
      <c r="Q2507" s="2" t="s">
        <v>20887</v>
      </c>
      <c r="R2507" s="3" t="s">
        <v>67</v>
      </c>
      <c r="S2507" s="4">
        <v>52</v>
      </c>
      <c r="T2507" s="4">
        <v>52</v>
      </c>
      <c r="U2507" s="5" t="s">
        <v>3628</v>
      </c>
      <c r="V2507" s="5" t="s">
        <v>3628</v>
      </c>
      <c r="W2507" s="5" t="s">
        <v>69</v>
      </c>
      <c r="X2507" s="5" t="s">
        <v>69</v>
      </c>
      <c r="Y2507" s="4">
        <v>269</v>
      </c>
      <c r="Z2507" s="4">
        <v>11</v>
      </c>
      <c r="AA2507" s="4">
        <v>13</v>
      </c>
      <c r="AB2507" s="4">
        <v>2</v>
      </c>
      <c r="AC2507" s="4">
        <v>3</v>
      </c>
      <c r="AD2507" s="4">
        <v>50</v>
      </c>
      <c r="AE2507" s="4">
        <v>52</v>
      </c>
      <c r="AF2507" s="4">
        <v>1</v>
      </c>
      <c r="AG2507" s="4">
        <v>2</v>
      </c>
      <c r="AH2507" s="4">
        <v>41</v>
      </c>
      <c r="AI2507" s="4">
        <v>42</v>
      </c>
      <c r="AJ2507" s="4">
        <v>8</v>
      </c>
      <c r="AK2507" s="4">
        <v>10</v>
      </c>
      <c r="AL2507" s="4">
        <v>22</v>
      </c>
      <c r="AM2507" s="4">
        <v>22</v>
      </c>
      <c r="AN2507" s="4">
        <v>0</v>
      </c>
      <c r="AO2507" s="4">
        <v>0</v>
      </c>
      <c r="AP2507" s="4">
        <v>10</v>
      </c>
      <c r="AQ2507" s="4">
        <v>12</v>
      </c>
      <c r="AR2507" s="3" t="s">
        <v>63</v>
      </c>
      <c r="AS2507" s="3" t="s">
        <v>63</v>
      </c>
      <c r="AT2507" s="3" t="s">
        <v>63</v>
      </c>
      <c r="AV2507" s="6" t="str">
        <f>HYPERLINK("http://mcgill.on.worldcat.org/oclc/1873666","Catalog Record")</f>
        <v>Catalog Record</v>
      </c>
      <c r="AW2507" s="6" t="str">
        <f>HYPERLINK("http://www.worldcat.org/oclc/1873666","WorldCat Record")</f>
        <v>WorldCat Record</v>
      </c>
      <c r="AX2507" s="3" t="s">
        <v>20888</v>
      </c>
      <c r="AY2507" s="3" t="s">
        <v>20889</v>
      </c>
      <c r="AZ2507" s="3" t="s">
        <v>20890</v>
      </c>
      <c r="BA2507" s="3" t="s">
        <v>20890</v>
      </c>
      <c r="BB2507" s="3" t="s">
        <v>20891</v>
      </c>
      <c r="BC2507" s="3" t="s">
        <v>82</v>
      </c>
      <c r="BD2507" s="3" t="s">
        <v>70</v>
      </c>
      <c r="BF2507" s="3" t="s">
        <v>20891</v>
      </c>
      <c r="BG2507" s="3" t="s">
        <v>20892</v>
      </c>
    </row>
    <row r="2508" spans="1:59" ht="60" x14ac:dyDescent="0.25">
      <c r="A2508" s="2" t="s">
        <v>59</v>
      </c>
      <c r="B2508" s="2" t="s">
        <v>60</v>
      </c>
      <c r="C2508" s="2" t="s">
        <v>20893</v>
      </c>
      <c r="D2508" s="2" t="s">
        <v>20894</v>
      </c>
      <c r="E2508" s="2" t="s">
        <v>20895</v>
      </c>
      <c r="G2508" s="3" t="s">
        <v>63</v>
      </c>
      <c r="I2508" s="3" t="s">
        <v>63</v>
      </c>
      <c r="J2508" s="3" t="s">
        <v>63</v>
      </c>
      <c r="K2508" s="3" t="s">
        <v>64</v>
      </c>
      <c r="L2508" s="2" t="s">
        <v>20896</v>
      </c>
      <c r="M2508" s="2" t="s">
        <v>20897</v>
      </c>
      <c r="N2508" s="3" t="s">
        <v>1023</v>
      </c>
      <c r="P2508" s="3" t="s">
        <v>66</v>
      </c>
      <c r="Q2508" s="2" t="s">
        <v>20898</v>
      </c>
      <c r="R2508" s="3" t="s">
        <v>67</v>
      </c>
      <c r="S2508" s="4">
        <v>48</v>
      </c>
      <c r="T2508" s="4">
        <v>48</v>
      </c>
      <c r="U2508" s="5" t="s">
        <v>3628</v>
      </c>
      <c r="V2508" s="5" t="s">
        <v>3628</v>
      </c>
      <c r="W2508" s="5" t="s">
        <v>69</v>
      </c>
      <c r="X2508" s="5" t="s">
        <v>69</v>
      </c>
      <c r="Y2508" s="4">
        <v>710</v>
      </c>
      <c r="Z2508" s="4">
        <v>32</v>
      </c>
      <c r="AA2508" s="4">
        <v>34</v>
      </c>
      <c r="AB2508" s="4">
        <v>2</v>
      </c>
      <c r="AC2508" s="4">
        <v>3</v>
      </c>
      <c r="AD2508" s="4">
        <v>102</v>
      </c>
      <c r="AE2508" s="4">
        <v>107</v>
      </c>
      <c r="AF2508" s="4">
        <v>1</v>
      </c>
      <c r="AG2508" s="4">
        <v>1</v>
      </c>
      <c r="AH2508" s="4">
        <v>90</v>
      </c>
      <c r="AI2508" s="4">
        <v>94</v>
      </c>
      <c r="AJ2508" s="4">
        <v>18</v>
      </c>
      <c r="AK2508" s="4">
        <v>18</v>
      </c>
      <c r="AL2508" s="4">
        <v>47</v>
      </c>
      <c r="AM2508" s="4">
        <v>50</v>
      </c>
      <c r="AN2508" s="4">
        <v>0</v>
      </c>
      <c r="AO2508" s="4">
        <v>0</v>
      </c>
      <c r="AP2508" s="4">
        <v>21</v>
      </c>
      <c r="AQ2508" s="4">
        <v>22</v>
      </c>
      <c r="AR2508" s="3" t="s">
        <v>63</v>
      </c>
      <c r="AS2508" s="3" t="s">
        <v>63</v>
      </c>
      <c r="AT2508" s="3" t="s">
        <v>62</v>
      </c>
      <c r="AU2508" s="6" t="str">
        <f>HYPERLINK("http://catalog.hathitrust.org/Record/007111719","HathiTrust Record")</f>
        <v>HathiTrust Record</v>
      </c>
      <c r="AV2508" s="6" t="str">
        <f>HYPERLINK("http://mcgill.on.worldcat.org/oclc/28584298","Catalog Record")</f>
        <v>Catalog Record</v>
      </c>
      <c r="AW2508" s="6" t="str">
        <f>HYPERLINK("http://www.worldcat.org/oclc/28584298","WorldCat Record")</f>
        <v>WorldCat Record</v>
      </c>
      <c r="AX2508" s="3" t="s">
        <v>20899</v>
      </c>
      <c r="AY2508" s="3" t="s">
        <v>20900</v>
      </c>
      <c r="AZ2508" s="3" t="s">
        <v>20901</v>
      </c>
      <c r="BA2508" s="3" t="s">
        <v>20901</v>
      </c>
      <c r="BB2508" s="3" t="s">
        <v>20902</v>
      </c>
      <c r="BC2508" s="3" t="s">
        <v>82</v>
      </c>
      <c r="BD2508" s="3" t="s">
        <v>70</v>
      </c>
      <c r="BE2508" s="3" t="s">
        <v>20903</v>
      </c>
      <c r="BF2508" s="3" t="s">
        <v>20902</v>
      </c>
      <c r="BG2508" s="3" t="s">
        <v>20904</v>
      </c>
    </row>
    <row r="2509" spans="1:59" ht="60" x14ac:dyDescent="0.25">
      <c r="A2509" s="2" t="s">
        <v>59</v>
      </c>
      <c r="B2509" s="2" t="s">
        <v>60</v>
      </c>
      <c r="C2509" s="2" t="s">
        <v>20905</v>
      </c>
      <c r="D2509" s="2" t="s">
        <v>20906</v>
      </c>
      <c r="E2509" s="2" t="s">
        <v>20907</v>
      </c>
      <c r="G2509" s="3" t="s">
        <v>63</v>
      </c>
      <c r="I2509" s="3" t="s">
        <v>63</v>
      </c>
      <c r="J2509" s="3" t="s">
        <v>63</v>
      </c>
      <c r="K2509" s="3" t="s">
        <v>64</v>
      </c>
      <c r="L2509" s="2" t="s">
        <v>20908</v>
      </c>
      <c r="M2509" s="2" t="s">
        <v>20909</v>
      </c>
      <c r="N2509" s="3" t="s">
        <v>76</v>
      </c>
      <c r="P2509" s="3" t="s">
        <v>90</v>
      </c>
      <c r="Q2509" s="2" t="s">
        <v>13837</v>
      </c>
      <c r="R2509" s="3" t="s">
        <v>67</v>
      </c>
      <c r="S2509" s="4">
        <v>1</v>
      </c>
      <c r="T2509" s="4">
        <v>1</v>
      </c>
      <c r="U2509" s="5" t="s">
        <v>20910</v>
      </c>
      <c r="V2509" s="5" t="s">
        <v>20910</v>
      </c>
      <c r="W2509" s="5" t="s">
        <v>69</v>
      </c>
      <c r="X2509" s="5" t="s">
        <v>69</v>
      </c>
      <c r="Y2509" s="4">
        <v>26</v>
      </c>
      <c r="Z2509" s="4">
        <v>2</v>
      </c>
      <c r="AA2509" s="4">
        <v>2</v>
      </c>
      <c r="AB2509" s="4">
        <v>1</v>
      </c>
      <c r="AC2509" s="4">
        <v>1</v>
      </c>
      <c r="AD2509" s="4">
        <v>21</v>
      </c>
      <c r="AE2509" s="4">
        <v>21</v>
      </c>
      <c r="AF2509" s="4">
        <v>0</v>
      </c>
      <c r="AG2509" s="4">
        <v>0</v>
      </c>
      <c r="AH2509" s="4">
        <v>20</v>
      </c>
      <c r="AI2509" s="4">
        <v>20</v>
      </c>
      <c r="AJ2509" s="4">
        <v>1</v>
      </c>
      <c r="AK2509" s="4">
        <v>1</v>
      </c>
      <c r="AL2509" s="4">
        <v>16</v>
      </c>
      <c r="AM2509" s="4">
        <v>16</v>
      </c>
      <c r="AN2509" s="4">
        <v>0</v>
      </c>
      <c r="AO2509" s="4">
        <v>0</v>
      </c>
      <c r="AP2509" s="4">
        <v>1</v>
      </c>
      <c r="AQ2509" s="4">
        <v>1</v>
      </c>
      <c r="AR2509" s="3" t="s">
        <v>63</v>
      </c>
      <c r="AS2509" s="3" t="s">
        <v>63</v>
      </c>
      <c r="AT2509" s="3" t="s">
        <v>63</v>
      </c>
      <c r="AV2509" s="6" t="str">
        <f>HYPERLINK("http://mcgill.on.worldcat.org/oclc/818843931","Catalog Record")</f>
        <v>Catalog Record</v>
      </c>
      <c r="AW2509" s="6" t="str">
        <f>HYPERLINK("http://www.worldcat.org/oclc/818843931","WorldCat Record")</f>
        <v>WorldCat Record</v>
      </c>
      <c r="AX2509" s="3" t="s">
        <v>20911</v>
      </c>
      <c r="AY2509" s="3" t="s">
        <v>20912</v>
      </c>
      <c r="AZ2509" s="3" t="s">
        <v>20913</v>
      </c>
      <c r="BA2509" s="3" t="s">
        <v>20913</v>
      </c>
      <c r="BB2509" s="3" t="s">
        <v>20914</v>
      </c>
      <c r="BC2509" s="3" t="s">
        <v>82</v>
      </c>
      <c r="BD2509" s="3" t="s">
        <v>70</v>
      </c>
      <c r="BE2509" s="3" t="s">
        <v>20915</v>
      </c>
      <c r="BF2509" s="3" t="s">
        <v>20914</v>
      </c>
      <c r="BG2509" s="3" t="s">
        <v>20916</v>
      </c>
    </row>
    <row r="2510" spans="1:59" ht="60" x14ac:dyDescent="0.25">
      <c r="A2510" s="2" t="s">
        <v>59</v>
      </c>
      <c r="B2510" s="2" t="s">
        <v>60</v>
      </c>
      <c r="C2510" s="2" t="s">
        <v>20917</v>
      </c>
      <c r="D2510" s="2" t="s">
        <v>20918</v>
      </c>
      <c r="E2510" s="2" t="s">
        <v>20919</v>
      </c>
      <c r="F2510" s="3" t="s">
        <v>2601</v>
      </c>
      <c r="G2510" s="3" t="s">
        <v>62</v>
      </c>
      <c r="I2510" s="3" t="s">
        <v>62</v>
      </c>
      <c r="J2510" s="3" t="s">
        <v>63</v>
      </c>
      <c r="K2510" s="3" t="s">
        <v>64</v>
      </c>
      <c r="L2510" s="2" t="s">
        <v>20779</v>
      </c>
      <c r="M2510" s="2" t="s">
        <v>20920</v>
      </c>
      <c r="N2510" s="3" t="s">
        <v>300</v>
      </c>
      <c r="P2510" s="3" t="s">
        <v>66</v>
      </c>
      <c r="R2510" s="3" t="s">
        <v>67</v>
      </c>
      <c r="S2510" s="4">
        <v>0</v>
      </c>
      <c r="T2510" s="4">
        <v>106</v>
      </c>
      <c r="V2510" s="5" t="s">
        <v>2195</v>
      </c>
      <c r="W2510" s="5" t="s">
        <v>69</v>
      </c>
      <c r="X2510" s="5" t="s">
        <v>69</v>
      </c>
      <c r="Y2510" s="4">
        <v>1062</v>
      </c>
      <c r="Z2510" s="4">
        <v>31</v>
      </c>
      <c r="AA2510" s="4">
        <v>58</v>
      </c>
      <c r="AB2510" s="4">
        <v>2</v>
      </c>
      <c r="AC2510" s="4">
        <v>4</v>
      </c>
      <c r="AD2510" s="4">
        <v>110</v>
      </c>
      <c r="AE2510" s="4">
        <v>135</v>
      </c>
      <c r="AF2510" s="4">
        <v>0</v>
      </c>
      <c r="AG2510" s="4">
        <v>2</v>
      </c>
      <c r="AH2510" s="4">
        <v>95</v>
      </c>
      <c r="AI2510" s="4">
        <v>104</v>
      </c>
      <c r="AJ2510" s="4">
        <v>11</v>
      </c>
      <c r="AK2510" s="4">
        <v>22</v>
      </c>
      <c r="AL2510" s="4">
        <v>54</v>
      </c>
      <c r="AM2510" s="4">
        <v>57</v>
      </c>
      <c r="AN2510" s="4">
        <v>0</v>
      </c>
      <c r="AO2510" s="4">
        <v>0</v>
      </c>
      <c r="AP2510" s="4">
        <v>16</v>
      </c>
      <c r="AQ2510" s="4">
        <v>35</v>
      </c>
      <c r="AR2510" s="3" t="s">
        <v>63</v>
      </c>
      <c r="AS2510" s="3" t="s">
        <v>63</v>
      </c>
      <c r="AT2510" s="3" t="s">
        <v>62</v>
      </c>
      <c r="AU2510" s="6" t="str">
        <f>HYPERLINK("http://catalog.hathitrust.org/Record/000238798","HathiTrust Record")</f>
        <v>HathiTrust Record</v>
      </c>
      <c r="AV2510" s="6" t="str">
        <f>HYPERLINK("http://mcgill.on.worldcat.org/oclc/185344","Catalog Record")</f>
        <v>Catalog Record</v>
      </c>
      <c r="AW2510" s="6" t="str">
        <f>HYPERLINK("http://www.worldcat.org/oclc/185344","WorldCat Record")</f>
        <v>WorldCat Record</v>
      </c>
      <c r="AX2510" s="3" t="s">
        <v>20921</v>
      </c>
      <c r="AY2510" s="3" t="s">
        <v>20922</v>
      </c>
      <c r="AZ2510" s="3" t="s">
        <v>20923</v>
      </c>
      <c r="BA2510" s="3" t="s">
        <v>20923</v>
      </c>
      <c r="BB2510" s="3" t="s">
        <v>20924</v>
      </c>
      <c r="BC2510" s="3" t="s">
        <v>82</v>
      </c>
      <c r="BD2510" s="3" t="s">
        <v>70</v>
      </c>
      <c r="BE2510" s="3" t="s">
        <v>20925</v>
      </c>
      <c r="BF2510" s="3" t="s">
        <v>20924</v>
      </c>
      <c r="BG2510" s="3" t="s">
        <v>20926</v>
      </c>
    </row>
    <row r="2511" spans="1:59" ht="60" x14ac:dyDescent="0.25">
      <c r="A2511" s="2" t="s">
        <v>59</v>
      </c>
      <c r="B2511" s="2" t="s">
        <v>60</v>
      </c>
      <c r="C2511" s="2" t="s">
        <v>20917</v>
      </c>
      <c r="D2511" s="2" t="s">
        <v>20918</v>
      </c>
      <c r="E2511" s="2" t="s">
        <v>20919</v>
      </c>
      <c r="F2511" s="3" t="s">
        <v>10528</v>
      </c>
      <c r="G2511" s="3" t="s">
        <v>62</v>
      </c>
      <c r="I2511" s="3" t="s">
        <v>62</v>
      </c>
      <c r="J2511" s="3" t="s">
        <v>63</v>
      </c>
      <c r="K2511" s="3" t="s">
        <v>64</v>
      </c>
      <c r="L2511" s="2" t="s">
        <v>20779</v>
      </c>
      <c r="M2511" s="2" t="s">
        <v>20920</v>
      </c>
      <c r="N2511" s="3" t="s">
        <v>300</v>
      </c>
      <c r="P2511" s="3" t="s">
        <v>66</v>
      </c>
      <c r="R2511" s="3" t="s">
        <v>67</v>
      </c>
      <c r="S2511" s="4">
        <v>8</v>
      </c>
      <c r="T2511" s="4">
        <v>106</v>
      </c>
      <c r="U2511" s="5" t="s">
        <v>20927</v>
      </c>
      <c r="V2511" s="5" t="s">
        <v>2195</v>
      </c>
      <c r="W2511" s="5" t="s">
        <v>69</v>
      </c>
      <c r="X2511" s="5" t="s">
        <v>69</v>
      </c>
      <c r="Y2511" s="4">
        <v>1062</v>
      </c>
      <c r="Z2511" s="4">
        <v>31</v>
      </c>
      <c r="AA2511" s="4">
        <v>58</v>
      </c>
      <c r="AB2511" s="4">
        <v>2</v>
      </c>
      <c r="AC2511" s="4">
        <v>4</v>
      </c>
      <c r="AD2511" s="4">
        <v>110</v>
      </c>
      <c r="AE2511" s="4">
        <v>135</v>
      </c>
      <c r="AF2511" s="4">
        <v>0</v>
      </c>
      <c r="AG2511" s="4">
        <v>2</v>
      </c>
      <c r="AH2511" s="4">
        <v>95</v>
      </c>
      <c r="AI2511" s="4">
        <v>104</v>
      </c>
      <c r="AJ2511" s="4">
        <v>11</v>
      </c>
      <c r="AK2511" s="4">
        <v>22</v>
      </c>
      <c r="AL2511" s="4">
        <v>54</v>
      </c>
      <c r="AM2511" s="4">
        <v>57</v>
      </c>
      <c r="AN2511" s="4">
        <v>0</v>
      </c>
      <c r="AO2511" s="4">
        <v>0</v>
      </c>
      <c r="AP2511" s="4">
        <v>16</v>
      </c>
      <c r="AQ2511" s="4">
        <v>35</v>
      </c>
      <c r="AR2511" s="3" t="s">
        <v>63</v>
      </c>
      <c r="AS2511" s="3" t="s">
        <v>63</v>
      </c>
      <c r="AT2511" s="3" t="s">
        <v>62</v>
      </c>
      <c r="AU2511" s="6" t="str">
        <f>HYPERLINK("http://catalog.hathitrust.org/Record/000238798","HathiTrust Record")</f>
        <v>HathiTrust Record</v>
      </c>
      <c r="AV2511" s="6" t="str">
        <f>HYPERLINK("http://mcgill.on.worldcat.org/oclc/185344","Catalog Record")</f>
        <v>Catalog Record</v>
      </c>
      <c r="AW2511" s="6" t="str">
        <f>HYPERLINK("http://www.worldcat.org/oclc/185344","WorldCat Record")</f>
        <v>WorldCat Record</v>
      </c>
      <c r="AX2511" s="3" t="s">
        <v>20921</v>
      </c>
      <c r="AY2511" s="3" t="s">
        <v>20922</v>
      </c>
      <c r="AZ2511" s="3" t="s">
        <v>20923</v>
      </c>
      <c r="BA2511" s="3" t="s">
        <v>20923</v>
      </c>
      <c r="BB2511" s="3" t="s">
        <v>20928</v>
      </c>
      <c r="BC2511" s="3" t="s">
        <v>82</v>
      </c>
      <c r="BD2511" s="3" t="s">
        <v>70</v>
      </c>
      <c r="BE2511" s="3" t="s">
        <v>20925</v>
      </c>
      <c r="BF2511" s="3" t="s">
        <v>20928</v>
      </c>
      <c r="BG2511" s="3" t="s">
        <v>20929</v>
      </c>
    </row>
    <row r="2512" spans="1:59" ht="60" x14ac:dyDescent="0.25">
      <c r="A2512" s="2" t="s">
        <v>59</v>
      </c>
      <c r="B2512" s="2" t="s">
        <v>60</v>
      </c>
      <c r="C2512" s="2" t="s">
        <v>20917</v>
      </c>
      <c r="D2512" s="2" t="s">
        <v>20918</v>
      </c>
      <c r="E2512" s="2" t="s">
        <v>20919</v>
      </c>
      <c r="F2512" s="3" t="s">
        <v>1395</v>
      </c>
      <c r="G2512" s="3" t="s">
        <v>62</v>
      </c>
      <c r="I2512" s="3" t="s">
        <v>62</v>
      </c>
      <c r="J2512" s="3" t="s">
        <v>63</v>
      </c>
      <c r="K2512" s="3" t="s">
        <v>64</v>
      </c>
      <c r="L2512" s="2" t="s">
        <v>20779</v>
      </c>
      <c r="M2512" s="2" t="s">
        <v>20920</v>
      </c>
      <c r="N2512" s="3" t="s">
        <v>300</v>
      </c>
      <c r="P2512" s="3" t="s">
        <v>66</v>
      </c>
      <c r="R2512" s="3" t="s">
        <v>67</v>
      </c>
      <c r="S2512" s="4">
        <v>6</v>
      </c>
      <c r="T2512" s="4">
        <v>106</v>
      </c>
      <c r="U2512" s="5" t="s">
        <v>20930</v>
      </c>
      <c r="V2512" s="5" t="s">
        <v>2195</v>
      </c>
      <c r="W2512" s="5" t="s">
        <v>69</v>
      </c>
      <c r="X2512" s="5" t="s">
        <v>69</v>
      </c>
      <c r="Y2512" s="4">
        <v>1062</v>
      </c>
      <c r="Z2512" s="4">
        <v>31</v>
      </c>
      <c r="AA2512" s="4">
        <v>58</v>
      </c>
      <c r="AB2512" s="4">
        <v>2</v>
      </c>
      <c r="AC2512" s="4">
        <v>4</v>
      </c>
      <c r="AD2512" s="4">
        <v>110</v>
      </c>
      <c r="AE2512" s="4">
        <v>135</v>
      </c>
      <c r="AF2512" s="4">
        <v>0</v>
      </c>
      <c r="AG2512" s="4">
        <v>2</v>
      </c>
      <c r="AH2512" s="4">
        <v>95</v>
      </c>
      <c r="AI2512" s="4">
        <v>104</v>
      </c>
      <c r="AJ2512" s="4">
        <v>11</v>
      </c>
      <c r="AK2512" s="4">
        <v>22</v>
      </c>
      <c r="AL2512" s="4">
        <v>54</v>
      </c>
      <c r="AM2512" s="4">
        <v>57</v>
      </c>
      <c r="AN2512" s="4">
        <v>0</v>
      </c>
      <c r="AO2512" s="4">
        <v>0</v>
      </c>
      <c r="AP2512" s="4">
        <v>16</v>
      </c>
      <c r="AQ2512" s="4">
        <v>35</v>
      </c>
      <c r="AR2512" s="3" t="s">
        <v>63</v>
      </c>
      <c r="AS2512" s="3" t="s">
        <v>63</v>
      </c>
      <c r="AT2512" s="3" t="s">
        <v>62</v>
      </c>
      <c r="AU2512" s="6" t="str">
        <f>HYPERLINK("http://catalog.hathitrust.org/Record/000238798","HathiTrust Record")</f>
        <v>HathiTrust Record</v>
      </c>
      <c r="AV2512" s="6" t="str">
        <f>HYPERLINK("http://mcgill.on.worldcat.org/oclc/185344","Catalog Record")</f>
        <v>Catalog Record</v>
      </c>
      <c r="AW2512" s="6" t="str">
        <f>HYPERLINK("http://www.worldcat.org/oclc/185344","WorldCat Record")</f>
        <v>WorldCat Record</v>
      </c>
      <c r="AX2512" s="3" t="s">
        <v>20921</v>
      </c>
      <c r="AY2512" s="3" t="s">
        <v>20922</v>
      </c>
      <c r="AZ2512" s="3" t="s">
        <v>20923</v>
      </c>
      <c r="BA2512" s="3" t="s">
        <v>20923</v>
      </c>
      <c r="BB2512" s="3" t="s">
        <v>20931</v>
      </c>
      <c r="BC2512" s="3" t="s">
        <v>82</v>
      </c>
      <c r="BD2512" s="3" t="s">
        <v>70</v>
      </c>
      <c r="BE2512" s="3" t="s">
        <v>20925</v>
      </c>
      <c r="BF2512" s="3" t="s">
        <v>20931</v>
      </c>
      <c r="BG2512" s="3" t="s">
        <v>20932</v>
      </c>
    </row>
    <row r="2513" spans="1:59" ht="60" x14ac:dyDescent="0.25">
      <c r="A2513" s="2" t="s">
        <v>59</v>
      </c>
      <c r="B2513" s="2" t="s">
        <v>60</v>
      </c>
      <c r="C2513" s="2" t="s">
        <v>20917</v>
      </c>
      <c r="D2513" s="2" t="s">
        <v>20918</v>
      </c>
      <c r="E2513" s="2" t="s">
        <v>20919</v>
      </c>
      <c r="F2513" s="3" t="s">
        <v>10507</v>
      </c>
      <c r="G2513" s="3" t="s">
        <v>62</v>
      </c>
      <c r="I2513" s="3" t="s">
        <v>62</v>
      </c>
      <c r="J2513" s="3" t="s">
        <v>63</v>
      </c>
      <c r="K2513" s="3" t="s">
        <v>64</v>
      </c>
      <c r="L2513" s="2" t="s">
        <v>20779</v>
      </c>
      <c r="M2513" s="2" t="s">
        <v>20920</v>
      </c>
      <c r="N2513" s="3" t="s">
        <v>300</v>
      </c>
      <c r="P2513" s="3" t="s">
        <v>66</v>
      </c>
      <c r="R2513" s="3" t="s">
        <v>67</v>
      </c>
      <c r="S2513" s="4">
        <v>6</v>
      </c>
      <c r="T2513" s="4">
        <v>106</v>
      </c>
      <c r="U2513" s="5" t="s">
        <v>20933</v>
      </c>
      <c r="V2513" s="5" t="s">
        <v>2195</v>
      </c>
      <c r="W2513" s="5" t="s">
        <v>69</v>
      </c>
      <c r="X2513" s="5" t="s">
        <v>69</v>
      </c>
      <c r="Y2513" s="4">
        <v>1062</v>
      </c>
      <c r="Z2513" s="4">
        <v>31</v>
      </c>
      <c r="AA2513" s="4">
        <v>58</v>
      </c>
      <c r="AB2513" s="4">
        <v>2</v>
      </c>
      <c r="AC2513" s="4">
        <v>4</v>
      </c>
      <c r="AD2513" s="4">
        <v>110</v>
      </c>
      <c r="AE2513" s="4">
        <v>135</v>
      </c>
      <c r="AF2513" s="4">
        <v>0</v>
      </c>
      <c r="AG2513" s="4">
        <v>2</v>
      </c>
      <c r="AH2513" s="4">
        <v>95</v>
      </c>
      <c r="AI2513" s="4">
        <v>104</v>
      </c>
      <c r="AJ2513" s="4">
        <v>11</v>
      </c>
      <c r="AK2513" s="4">
        <v>22</v>
      </c>
      <c r="AL2513" s="4">
        <v>54</v>
      </c>
      <c r="AM2513" s="4">
        <v>57</v>
      </c>
      <c r="AN2513" s="4">
        <v>0</v>
      </c>
      <c r="AO2513" s="4">
        <v>0</v>
      </c>
      <c r="AP2513" s="4">
        <v>16</v>
      </c>
      <c r="AQ2513" s="4">
        <v>35</v>
      </c>
      <c r="AR2513" s="3" t="s">
        <v>63</v>
      </c>
      <c r="AS2513" s="3" t="s">
        <v>63</v>
      </c>
      <c r="AT2513" s="3" t="s">
        <v>62</v>
      </c>
      <c r="AU2513" s="6" t="str">
        <f>HYPERLINK("http://catalog.hathitrust.org/Record/000238798","HathiTrust Record")</f>
        <v>HathiTrust Record</v>
      </c>
      <c r="AV2513" s="6" t="str">
        <f>HYPERLINK("http://mcgill.on.worldcat.org/oclc/185344","Catalog Record")</f>
        <v>Catalog Record</v>
      </c>
      <c r="AW2513" s="6" t="str">
        <f>HYPERLINK("http://www.worldcat.org/oclc/185344","WorldCat Record")</f>
        <v>WorldCat Record</v>
      </c>
      <c r="AX2513" s="3" t="s">
        <v>20921</v>
      </c>
      <c r="AY2513" s="3" t="s">
        <v>20922</v>
      </c>
      <c r="AZ2513" s="3" t="s">
        <v>20923</v>
      </c>
      <c r="BA2513" s="3" t="s">
        <v>20923</v>
      </c>
      <c r="BB2513" s="3" t="s">
        <v>20934</v>
      </c>
      <c r="BC2513" s="3" t="s">
        <v>82</v>
      </c>
      <c r="BD2513" s="3" t="s">
        <v>70</v>
      </c>
      <c r="BE2513" s="3" t="s">
        <v>20925</v>
      </c>
      <c r="BF2513" s="3" t="s">
        <v>20934</v>
      </c>
      <c r="BG2513" s="3" t="s">
        <v>20935</v>
      </c>
    </row>
    <row r="2514" spans="1:59" ht="60" x14ac:dyDescent="0.25">
      <c r="A2514" s="2" t="s">
        <v>59</v>
      </c>
      <c r="B2514" s="2" t="s">
        <v>60</v>
      </c>
      <c r="C2514" s="2" t="s">
        <v>20917</v>
      </c>
      <c r="D2514" s="2" t="s">
        <v>20918</v>
      </c>
      <c r="E2514" s="2" t="s">
        <v>20919</v>
      </c>
      <c r="F2514" s="3" t="s">
        <v>10528</v>
      </c>
      <c r="G2514" s="3" t="s">
        <v>62</v>
      </c>
      <c r="I2514" s="3" t="s">
        <v>62</v>
      </c>
      <c r="J2514" s="3" t="s">
        <v>63</v>
      </c>
      <c r="K2514" s="3" t="s">
        <v>64</v>
      </c>
      <c r="L2514" s="2" t="s">
        <v>20779</v>
      </c>
      <c r="M2514" s="2" t="s">
        <v>20920</v>
      </c>
      <c r="N2514" s="3" t="s">
        <v>300</v>
      </c>
      <c r="P2514" s="3" t="s">
        <v>66</v>
      </c>
      <c r="R2514" s="3" t="s">
        <v>67</v>
      </c>
      <c r="S2514" s="4">
        <v>2</v>
      </c>
      <c r="T2514" s="4">
        <v>106</v>
      </c>
      <c r="U2514" s="5" t="s">
        <v>20933</v>
      </c>
      <c r="V2514" s="5" t="s">
        <v>2195</v>
      </c>
      <c r="W2514" s="5" t="s">
        <v>69</v>
      </c>
      <c r="X2514" s="5" t="s">
        <v>69</v>
      </c>
      <c r="Y2514" s="4">
        <v>1062</v>
      </c>
      <c r="Z2514" s="4">
        <v>31</v>
      </c>
      <c r="AA2514" s="4">
        <v>58</v>
      </c>
      <c r="AB2514" s="4">
        <v>2</v>
      </c>
      <c r="AC2514" s="4">
        <v>4</v>
      </c>
      <c r="AD2514" s="4">
        <v>110</v>
      </c>
      <c r="AE2514" s="4">
        <v>135</v>
      </c>
      <c r="AF2514" s="4">
        <v>0</v>
      </c>
      <c r="AG2514" s="4">
        <v>2</v>
      </c>
      <c r="AH2514" s="4">
        <v>95</v>
      </c>
      <c r="AI2514" s="4">
        <v>104</v>
      </c>
      <c r="AJ2514" s="4">
        <v>11</v>
      </c>
      <c r="AK2514" s="4">
        <v>22</v>
      </c>
      <c r="AL2514" s="4">
        <v>54</v>
      </c>
      <c r="AM2514" s="4">
        <v>57</v>
      </c>
      <c r="AN2514" s="4">
        <v>0</v>
      </c>
      <c r="AO2514" s="4">
        <v>0</v>
      </c>
      <c r="AP2514" s="4">
        <v>16</v>
      </c>
      <c r="AQ2514" s="4">
        <v>35</v>
      </c>
      <c r="AR2514" s="3" t="s">
        <v>63</v>
      </c>
      <c r="AS2514" s="3" t="s">
        <v>63</v>
      </c>
      <c r="AT2514" s="3" t="s">
        <v>62</v>
      </c>
      <c r="AU2514" s="6" t="str">
        <f>HYPERLINK("http://catalog.hathitrust.org/Record/000238798","HathiTrust Record")</f>
        <v>HathiTrust Record</v>
      </c>
      <c r="AV2514" s="6" t="str">
        <f>HYPERLINK("http://mcgill.on.worldcat.org/oclc/185344","Catalog Record")</f>
        <v>Catalog Record</v>
      </c>
      <c r="AW2514" s="6" t="str">
        <f>HYPERLINK("http://www.worldcat.org/oclc/185344","WorldCat Record")</f>
        <v>WorldCat Record</v>
      </c>
      <c r="AX2514" s="3" t="s">
        <v>20921</v>
      </c>
      <c r="AY2514" s="3" t="s">
        <v>20922</v>
      </c>
      <c r="AZ2514" s="3" t="s">
        <v>20923</v>
      </c>
      <c r="BA2514" s="3" t="s">
        <v>20923</v>
      </c>
      <c r="BB2514" s="3" t="s">
        <v>20936</v>
      </c>
      <c r="BC2514" s="3" t="s">
        <v>82</v>
      </c>
      <c r="BD2514" s="3" t="s">
        <v>70</v>
      </c>
      <c r="BE2514" s="3" t="s">
        <v>20925</v>
      </c>
      <c r="BF2514" s="3" t="s">
        <v>20936</v>
      </c>
      <c r="BG2514" s="3" t="s">
        <v>20937</v>
      </c>
    </row>
    <row r="2515" spans="1:59" ht="60" x14ac:dyDescent="0.25">
      <c r="A2515" s="2" t="s">
        <v>59</v>
      </c>
      <c r="B2515" s="2" t="s">
        <v>60</v>
      </c>
      <c r="C2515" s="2" t="s">
        <v>20917</v>
      </c>
      <c r="D2515" s="2" t="s">
        <v>20918</v>
      </c>
      <c r="E2515" s="2" t="s">
        <v>20919</v>
      </c>
      <c r="F2515" s="3" t="s">
        <v>10477</v>
      </c>
      <c r="G2515" s="3" t="s">
        <v>62</v>
      </c>
      <c r="I2515" s="3" t="s">
        <v>62</v>
      </c>
      <c r="J2515" s="3" t="s">
        <v>63</v>
      </c>
      <c r="K2515" s="3" t="s">
        <v>64</v>
      </c>
      <c r="L2515" s="2" t="s">
        <v>20779</v>
      </c>
      <c r="M2515" s="2" t="s">
        <v>20920</v>
      </c>
      <c r="N2515" s="3" t="s">
        <v>300</v>
      </c>
      <c r="P2515" s="3" t="s">
        <v>66</v>
      </c>
      <c r="R2515" s="3" t="s">
        <v>67</v>
      </c>
      <c r="S2515" s="4">
        <v>10</v>
      </c>
      <c r="T2515" s="4">
        <v>106</v>
      </c>
      <c r="U2515" s="5" t="s">
        <v>2195</v>
      </c>
      <c r="V2515" s="5" t="s">
        <v>2195</v>
      </c>
      <c r="W2515" s="5" t="s">
        <v>69</v>
      </c>
      <c r="X2515" s="5" t="s">
        <v>69</v>
      </c>
      <c r="Y2515" s="4">
        <v>1062</v>
      </c>
      <c r="Z2515" s="4">
        <v>31</v>
      </c>
      <c r="AA2515" s="4">
        <v>58</v>
      </c>
      <c r="AB2515" s="4">
        <v>2</v>
      </c>
      <c r="AC2515" s="4">
        <v>4</v>
      </c>
      <c r="AD2515" s="4">
        <v>110</v>
      </c>
      <c r="AE2515" s="4">
        <v>135</v>
      </c>
      <c r="AF2515" s="4">
        <v>0</v>
      </c>
      <c r="AG2515" s="4">
        <v>2</v>
      </c>
      <c r="AH2515" s="4">
        <v>95</v>
      </c>
      <c r="AI2515" s="4">
        <v>104</v>
      </c>
      <c r="AJ2515" s="4">
        <v>11</v>
      </c>
      <c r="AK2515" s="4">
        <v>22</v>
      </c>
      <c r="AL2515" s="4">
        <v>54</v>
      </c>
      <c r="AM2515" s="4">
        <v>57</v>
      </c>
      <c r="AN2515" s="4">
        <v>0</v>
      </c>
      <c r="AO2515" s="4">
        <v>0</v>
      </c>
      <c r="AP2515" s="4">
        <v>16</v>
      </c>
      <c r="AQ2515" s="4">
        <v>35</v>
      </c>
      <c r="AR2515" s="3" t="s">
        <v>63</v>
      </c>
      <c r="AS2515" s="3" t="s">
        <v>63</v>
      </c>
      <c r="AT2515" s="3" t="s">
        <v>62</v>
      </c>
      <c r="AU2515" s="6" t="str">
        <f>HYPERLINK("http://catalog.hathitrust.org/Record/000238798","HathiTrust Record")</f>
        <v>HathiTrust Record</v>
      </c>
      <c r="AV2515" s="6" t="str">
        <f>HYPERLINK("http://mcgill.on.worldcat.org/oclc/185344","Catalog Record")</f>
        <v>Catalog Record</v>
      </c>
      <c r="AW2515" s="6" t="str">
        <f>HYPERLINK("http://www.worldcat.org/oclc/185344","WorldCat Record")</f>
        <v>WorldCat Record</v>
      </c>
      <c r="AX2515" s="3" t="s">
        <v>20921</v>
      </c>
      <c r="AY2515" s="3" t="s">
        <v>20922</v>
      </c>
      <c r="AZ2515" s="3" t="s">
        <v>20923</v>
      </c>
      <c r="BA2515" s="3" t="s">
        <v>20923</v>
      </c>
      <c r="BB2515" s="3" t="s">
        <v>20938</v>
      </c>
      <c r="BC2515" s="3" t="s">
        <v>82</v>
      </c>
      <c r="BD2515" s="3" t="s">
        <v>70</v>
      </c>
      <c r="BE2515" s="3" t="s">
        <v>20925</v>
      </c>
      <c r="BF2515" s="3" t="s">
        <v>20938</v>
      </c>
      <c r="BG2515" s="3" t="s">
        <v>20939</v>
      </c>
    </row>
    <row r="2516" spans="1:59" ht="60" x14ac:dyDescent="0.25">
      <c r="A2516" s="2" t="s">
        <v>59</v>
      </c>
      <c r="B2516" s="2" t="s">
        <v>60</v>
      </c>
      <c r="C2516" s="2" t="s">
        <v>20917</v>
      </c>
      <c r="D2516" s="2" t="s">
        <v>20918</v>
      </c>
      <c r="E2516" s="2" t="s">
        <v>20919</v>
      </c>
      <c r="F2516" s="3" t="s">
        <v>10507</v>
      </c>
      <c r="G2516" s="3" t="s">
        <v>62</v>
      </c>
      <c r="I2516" s="3" t="s">
        <v>62</v>
      </c>
      <c r="J2516" s="3" t="s">
        <v>63</v>
      </c>
      <c r="K2516" s="3" t="s">
        <v>64</v>
      </c>
      <c r="L2516" s="2" t="s">
        <v>20779</v>
      </c>
      <c r="M2516" s="2" t="s">
        <v>20920</v>
      </c>
      <c r="N2516" s="3" t="s">
        <v>300</v>
      </c>
      <c r="P2516" s="3" t="s">
        <v>66</v>
      </c>
      <c r="R2516" s="3" t="s">
        <v>67</v>
      </c>
      <c r="S2516" s="4">
        <v>0</v>
      </c>
      <c r="T2516" s="4">
        <v>106</v>
      </c>
      <c r="V2516" s="5" t="s">
        <v>2195</v>
      </c>
      <c r="W2516" s="5" t="s">
        <v>69</v>
      </c>
      <c r="X2516" s="5" t="s">
        <v>69</v>
      </c>
      <c r="Y2516" s="4">
        <v>1062</v>
      </c>
      <c r="Z2516" s="4">
        <v>31</v>
      </c>
      <c r="AA2516" s="4">
        <v>58</v>
      </c>
      <c r="AB2516" s="4">
        <v>2</v>
      </c>
      <c r="AC2516" s="4">
        <v>4</v>
      </c>
      <c r="AD2516" s="4">
        <v>110</v>
      </c>
      <c r="AE2516" s="4">
        <v>135</v>
      </c>
      <c r="AF2516" s="4">
        <v>0</v>
      </c>
      <c r="AG2516" s="4">
        <v>2</v>
      </c>
      <c r="AH2516" s="4">
        <v>95</v>
      </c>
      <c r="AI2516" s="4">
        <v>104</v>
      </c>
      <c r="AJ2516" s="4">
        <v>11</v>
      </c>
      <c r="AK2516" s="4">
        <v>22</v>
      </c>
      <c r="AL2516" s="4">
        <v>54</v>
      </c>
      <c r="AM2516" s="4">
        <v>57</v>
      </c>
      <c r="AN2516" s="4">
        <v>0</v>
      </c>
      <c r="AO2516" s="4">
        <v>0</v>
      </c>
      <c r="AP2516" s="4">
        <v>16</v>
      </c>
      <c r="AQ2516" s="4">
        <v>35</v>
      </c>
      <c r="AR2516" s="3" t="s">
        <v>63</v>
      </c>
      <c r="AS2516" s="3" t="s">
        <v>63</v>
      </c>
      <c r="AT2516" s="3" t="s">
        <v>62</v>
      </c>
      <c r="AU2516" s="6" t="str">
        <f>HYPERLINK("http://catalog.hathitrust.org/Record/000238798","HathiTrust Record")</f>
        <v>HathiTrust Record</v>
      </c>
      <c r="AV2516" s="6" t="str">
        <f>HYPERLINK("http://mcgill.on.worldcat.org/oclc/185344","Catalog Record")</f>
        <v>Catalog Record</v>
      </c>
      <c r="AW2516" s="6" t="str">
        <f>HYPERLINK("http://www.worldcat.org/oclc/185344","WorldCat Record")</f>
        <v>WorldCat Record</v>
      </c>
      <c r="AX2516" s="3" t="s">
        <v>20921</v>
      </c>
      <c r="AY2516" s="3" t="s">
        <v>20922</v>
      </c>
      <c r="AZ2516" s="3" t="s">
        <v>20923</v>
      </c>
      <c r="BA2516" s="3" t="s">
        <v>20923</v>
      </c>
      <c r="BB2516" s="3" t="s">
        <v>20940</v>
      </c>
      <c r="BC2516" s="3" t="s">
        <v>82</v>
      </c>
      <c r="BD2516" s="3" t="s">
        <v>70</v>
      </c>
      <c r="BE2516" s="3" t="s">
        <v>20925</v>
      </c>
      <c r="BF2516" s="3" t="s">
        <v>20940</v>
      </c>
      <c r="BG2516" s="3" t="s">
        <v>20941</v>
      </c>
    </row>
    <row r="2517" spans="1:59" ht="60" x14ac:dyDescent="0.25">
      <c r="A2517" s="2" t="s">
        <v>59</v>
      </c>
      <c r="B2517" s="2" t="s">
        <v>60</v>
      </c>
      <c r="C2517" s="2" t="s">
        <v>20917</v>
      </c>
      <c r="D2517" s="2" t="s">
        <v>20918</v>
      </c>
      <c r="E2517" s="2" t="s">
        <v>20919</v>
      </c>
      <c r="F2517" s="3" t="s">
        <v>10473</v>
      </c>
      <c r="G2517" s="3" t="s">
        <v>62</v>
      </c>
      <c r="I2517" s="3" t="s">
        <v>62</v>
      </c>
      <c r="J2517" s="3" t="s">
        <v>63</v>
      </c>
      <c r="K2517" s="3" t="s">
        <v>64</v>
      </c>
      <c r="L2517" s="2" t="s">
        <v>20779</v>
      </c>
      <c r="M2517" s="2" t="s">
        <v>20920</v>
      </c>
      <c r="N2517" s="3" t="s">
        <v>300</v>
      </c>
      <c r="P2517" s="3" t="s">
        <v>66</v>
      </c>
      <c r="R2517" s="3" t="s">
        <v>67</v>
      </c>
      <c r="S2517" s="4">
        <v>11</v>
      </c>
      <c r="T2517" s="4">
        <v>106</v>
      </c>
      <c r="U2517" s="5" t="s">
        <v>2195</v>
      </c>
      <c r="V2517" s="5" t="s">
        <v>2195</v>
      </c>
      <c r="W2517" s="5" t="s">
        <v>69</v>
      </c>
      <c r="X2517" s="5" t="s">
        <v>69</v>
      </c>
      <c r="Y2517" s="4">
        <v>1062</v>
      </c>
      <c r="Z2517" s="4">
        <v>31</v>
      </c>
      <c r="AA2517" s="4">
        <v>58</v>
      </c>
      <c r="AB2517" s="4">
        <v>2</v>
      </c>
      <c r="AC2517" s="4">
        <v>4</v>
      </c>
      <c r="AD2517" s="4">
        <v>110</v>
      </c>
      <c r="AE2517" s="4">
        <v>135</v>
      </c>
      <c r="AF2517" s="4">
        <v>0</v>
      </c>
      <c r="AG2517" s="4">
        <v>2</v>
      </c>
      <c r="AH2517" s="4">
        <v>95</v>
      </c>
      <c r="AI2517" s="4">
        <v>104</v>
      </c>
      <c r="AJ2517" s="4">
        <v>11</v>
      </c>
      <c r="AK2517" s="4">
        <v>22</v>
      </c>
      <c r="AL2517" s="4">
        <v>54</v>
      </c>
      <c r="AM2517" s="4">
        <v>57</v>
      </c>
      <c r="AN2517" s="4">
        <v>0</v>
      </c>
      <c r="AO2517" s="4">
        <v>0</v>
      </c>
      <c r="AP2517" s="4">
        <v>16</v>
      </c>
      <c r="AQ2517" s="4">
        <v>35</v>
      </c>
      <c r="AR2517" s="3" t="s">
        <v>63</v>
      </c>
      <c r="AS2517" s="3" t="s">
        <v>63</v>
      </c>
      <c r="AT2517" s="3" t="s">
        <v>62</v>
      </c>
      <c r="AU2517" s="6" t="str">
        <f>HYPERLINK("http://catalog.hathitrust.org/Record/000238798","HathiTrust Record")</f>
        <v>HathiTrust Record</v>
      </c>
      <c r="AV2517" s="6" t="str">
        <f>HYPERLINK("http://mcgill.on.worldcat.org/oclc/185344","Catalog Record")</f>
        <v>Catalog Record</v>
      </c>
      <c r="AW2517" s="6" t="str">
        <f>HYPERLINK("http://www.worldcat.org/oclc/185344","WorldCat Record")</f>
        <v>WorldCat Record</v>
      </c>
      <c r="AX2517" s="3" t="s">
        <v>20921</v>
      </c>
      <c r="AY2517" s="3" t="s">
        <v>20922</v>
      </c>
      <c r="AZ2517" s="3" t="s">
        <v>20923</v>
      </c>
      <c r="BA2517" s="3" t="s">
        <v>20923</v>
      </c>
      <c r="BB2517" s="3" t="s">
        <v>20942</v>
      </c>
      <c r="BC2517" s="3" t="s">
        <v>82</v>
      </c>
      <c r="BD2517" s="3" t="s">
        <v>70</v>
      </c>
      <c r="BE2517" s="3" t="s">
        <v>20925</v>
      </c>
      <c r="BF2517" s="3" t="s">
        <v>20942</v>
      </c>
      <c r="BG2517" s="3" t="s">
        <v>20943</v>
      </c>
    </row>
    <row r="2518" spans="1:59" ht="60" x14ac:dyDescent="0.25">
      <c r="A2518" s="2" t="s">
        <v>59</v>
      </c>
      <c r="B2518" s="2" t="s">
        <v>60</v>
      </c>
      <c r="C2518" s="2" t="s">
        <v>20917</v>
      </c>
      <c r="D2518" s="2" t="s">
        <v>20918</v>
      </c>
      <c r="E2518" s="2" t="s">
        <v>20919</v>
      </c>
      <c r="F2518" s="3" t="s">
        <v>4184</v>
      </c>
      <c r="G2518" s="3" t="s">
        <v>62</v>
      </c>
      <c r="I2518" s="3" t="s">
        <v>62</v>
      </c>
      <c r="J2518" s="3" t="s">
        <v>63</v>
      </c>
      <c r="K2518" s="3" t="s">
        <v>64</v>
      </c>
      <c r="L2518" s="2" t="s">
        <v>20779</v>
      </c>
      <c r="M2518" s="2" t="s">
        <v>20920</v>
      </c>
      <c r="N2518" s="3" t="s">
        <v>300</v>
      </c>
      <c r="P2518" s="3" t="s">
        <v>66</v>
      </c>
      <c r="R2518" s="3" t="s">
        <v>67</v>
      </c>
      <c r="S2518" s="4">
        <v>5</v>
      </c>
      <c r="T2518" s="4">
        <v>106</v>
      </c>
      <c r="U2518" s="5" t="s">
        <v>20944</v>
      </c>
      <c r="V2518" s="5" t="s">
        <v>2195</v>
      </c>
      <c r="W2518" s="5" t="s">
        <v>69</v>
      </c>
      <c r="X2518" s="5" t="s">
        <v>69</v>
      </c>
      <c r="Y2518" s="4">
        <v>1062</v>
      </c>
      <c r="Z2518" s="4">
        <v>31</v>
      </c>
      <c r="AA2518" s="4">
        <v>58</v>
      </c>
      <c r="AB2518" s="4">
        <v>2</v>
      </c>
      <c r="AC2518" s="4">
        <v>4</v>
      </c>
      <c r="AD2518" s="4">
        <v>110</v>
      </c>
      <c r="AE2518" s="4">
        <v>135</v>
      </c>
      <c r="AF2518" s="4">
        <v>0</v>
      </c>
      <c r="AG2518" s="4">
        <v>2</v>
      </c>
      <c r="AH2518" s="4">
        <v>95</v>
      </c>
      <c r="AI2518" s="4">
        <v>104</v>
      </c>
      <c r="AJ2518" s="4">
        <v>11</v>
      </c>
      <c r="AK2518" s="4">
        <v>22</v>
      </c>
      <c r="AL2518" s="4">
        <v>54</v>
      </c>
      <c r="AM2518" s="4">
        <v>57</v>
      </c>
      <c r="AN2518" s="4">
        <v>0</v>
      </c>
      <c r="AO2518" s="4">
        <v>0</v>
      </c>
      <c r="AP2518" s="4">
        <v>16</v>
      </c>
      <c r="AQ2518" s="4">
        <v>35</v>
      </c>
      <c r="AR2518" s="3" t="s">
        <v>63</v>
      </c>
      <c r="AS2518" s="3" t="s">
        <v>63</v>
      </c>
      <c r="AT2518" s="3" t="s">
        <v>62</v>
      </c>
      <c r="AU2518" s="6" t="str">
        <f>HYPERLINK("http://catalog.hathitrust.org/Record/000238798","HathiTrust Record")</f>
        <v>HathiTrust Record</v>
      </c>
      <c r="AV2518" s="6" t="str">
        <f>HYPERLINK("http://mcgill.on.worldcat.org/oclc/185344","Catalog Record")</f>
        <v>Catalog Record</v>
      </c>
      <c r="AW2518" s="6" t="str">
        <f>HYPERLINK("http://www.worldcat.org/oclc/185344","WorldCat Record")</f>
        <v>WorldCat Record</v>
      </c>
      <c r="AX2518" s="3" t="s">
        <v>20921</v>
      </c>
      <c r="AY2518" s="3" t="s">
        <v>20922</v>
      </c>
      <c r="AZ2518" s="3" t="s">
        <v>20923</v>
      </c>
      <c r="BA2518" s="3" t="s">
        <v>20923</v>
      </c>
      <c r="BB2518" s="3" t="s">
        <v>20945</v>
      </c>
      <c r="BC2518" s="3" t="s">
        <v>82</v>
      </c>
      <c r="BD2518" s="3" t="s">
        <v>70</v>
      </c>
      <c r="BE2518" s="3" t="s">
        <v>20925</v>
      </c>
      <c r="BF2518" s="3" t="s">
        <v>20945</v>
      </c>
      <c r="BG2518" s="3" t="s">
        <v>20946</v>
      </c>
    </row>
    <row r="2519" spans="1:59" ht="60" x14ac:dyDescent="0.25">
      <c r="A2519" s="2" t="s">
        <v>59</v>
      </c>
      <c r="B2519" s="2" t="s">
        <v>60</v>
      </c>
      <c r="C2519" s="2" t="s">
        <v>20917</v>
      </c>
      <c r="D2519" s="2" t="s">
        <v>20918</v>
      </c>
      <c r="E2519" s="2" t="s">
        <v>20919</v>
      </c>
      <c r="F2519" s="3" t="s">
        <v>4168</v>
      </c>
      <c r="G2519" s="3" t="s">
        <v>62</v>
      </c>
      <c r="I2519" s="3" t="s">
        <v>62</v>
      </c>
      <c r="J2519" s="3" t="s">
        <v>63</v>
      </c>
      <c r="K2519" s="3" t="s">
        <v>64</v>
      </c>
      <c r="L2519" s="2" t="s">
        <v>20779</v>
      </c>
      <c r="M2519" s="2" t="s">
        <v>20920</v>
      </c>
      <c r="N2519" s="3" t="s">
        <v>300</v>
      </c>
      <c r="P2519" s="3" t="s">
        <v>66</v>
      </c>
      <c r="R2519" s="3" t="s">
        <v>67</v>
      </c>
      <c r="S2519" s="4">
        <v>10</v>
      </c>
      <c r="T2519" s="4">
        <v>106</v>
      </c>
      <c r="U2519" s="5" t="s">
        <v>20947</v>
      </c>
      <c r="V2519" s="5" t="s">
        <v>2195</v>
      </c>
      <c r="W2519" s="5" t="s">
        <v>69</v>
      </c>
      <c r="X2519" s="5" t="s">
        <v>69</v>
      </c>
      <c r="Y2519" s="4">
        <v>1062</v>
      </c>
      <c r="Z2519" s="4">
        <v>31</v>
      </c>
      <c r="AA2519" s="4">
        <v>58</v>
      </c>
      <c r="AB2519" s="4">
        <v>2</v>
      </c>
      <c r="AC2519" s="4">
        <v>4</v>
      </c>
      <c r="AD2519" s="4">
        <v>110</v>
      </c>
      <c r="AE2519" s="4">
        <v>135</v>
      </c>
      <c r="AF2519" s="4">
        <v>0</v>
      </c>
      <c r="AG2519" s="4">
        <v>2</v>
      </c>
      <c r="AH2519" s="4">
        <v>95</v>
      </c>
      <c r="AI2519" s="4">
        <v>104</v>
      </c>
      <c r="AJ2519" s="4">
        <v>11</v>
      </c>
      <c r="AK2519" s="4">
        <v>22</v>
      </c>
      <c r="AL2519" s="4">
        <v>54</v>
      </c>
      <c r="AM2519" s="4">
        <v>57</v>
      </c>
      <c r="AN2519" s="4">
        <v>0</v>
      </c>
      <c r="AO2519" s="4">
        <v>0</v>
      </c>
      <c r="AP2519" s="4">
        <v>16</v>
      </c>
      <c r="AQ2519" s="4">
        <v>35</v>
      </c>
      <c r="AR2519" s="3" t="s">
        <v>63</v>
      </c>
      <c r="AS2519" s="3" t="s">
        <v>63</v>
      </c>
      <c r="AT2519" s="3" t="s">
        <v>62</v>
      </c>
      <c r="AU2519" s="6" t="str">
        <f>HYPERLINK("http://catalog.hathitrust.org/Record/000238798","HathiTrust Record")</f>
        <v>HathiTrust Record</v>
      </c>
      <c r="AV2519" s="6" t="str">
        <f>HYPERLINK("http://mcgill.on.worldcat.org/oclc/185344","Catalog Record")</f>
        <v>Catalog Record</v>
      </c>
      <c r="AW2519" s="6" t="str">
        <f>HYPERLINK("http://www.worldcat.org/oclc/185344","WorldCat Record")</f>
        <v>WorldCat Record</v>
      </c>
      <c r="AX2519" s="3" t="s">
        <v>20921</v>
      </c>
      <c r="AY2519" s="3" t="s">
        <v>20922</v>
      </c>
      <c r="AZ2519" s="3" t="s">
        <v>20923</v>
      </c>
      <c r="BA2519" s="3" t="s">
        <v>20923</v>
      </c>
      <c r="BB2519" s="3" t="s">
        <v>20948</v>
      </c>
      <c r="BC2519" s="3" t="s">
        <v>82</v>
      </c>
      <c r="BD2519" s="3" t="s">
        <v>70</v>
      </c>
      <c r="BE2519" s="3" t="s">
        <v>20925</v>
      </c>
      <c r="BF2519" s="3" t="s">
        <v>20948</v>
      </c>
      <c r="BG2519" s="3" t="s">
        <v>20949</v>
      </c>
    </row>
    <row r="2520" spans="1:59" ht="60" x14ac:dyDescent="0.25">
      <c r="A2520" s="2" t="s">
        <v>59</v>
      </c>
      <c r="B2520" s="2" t="s">
        <v>60</v>
      </c>
      <c r="C2520" s="2" t="s">
        <v>20917</v>
      </c>
      <c r="D2520" s="2" t="s">
        <v>20918</v>
      </c>
      <c r="E2520" s="2" t="s">
        <v>20919</v>
      </c>
      <c r="F2520" s="3" t="s">
        <v>10521</v>
      </c>
      <c r="G2520" s="3" t="s">
        <v>62</v>
      </c>
      <c r="I2520" s="3" t="s">
        <v>62</v>
      </c>
      <c r="J2520" s="3" t="s">
        <v>63</v>
      </c>
      <c r="K2520" s="3" t="s">
        <v>64</v>
      </c>
      <c r="L2520" s="2" t="s">
        <v>20779</v>
      </c>
      <c r="M2520" s="2" t="s">
        <v>20920</v>
      </c>
      <c r="N2520" s="3" t="s">
        <v>300</v>
      </c>
      <c r="P2520" s="3" t="s">
        <v>66</v>
      </c>
      <c r="R2520" s="3" t="s">
        <v>67</v>
      </c>
      <c r="S2520" s="4">
        <v>13</v>
      </c>
      <c r="T2520" s="4">
        <v>106</v>
      </c>
      <c r="U2520" s="5" t="s">
        <v>2195</v>
      </c>
      <c r="V2520" s="5" t="s">
        <v>2195</v>
      </c>
      <c r="W2520" s="5" t="s">
        <v>69</v>
      </c>
      <c r="X2520" s="5" t="s">
        <v>69</v>
      </c>
      <c r="Y2520" s="4">
        <v>1062</v>
      </c>
      <c r="Z2520" s="4">
        <v>31</v>
      </c>
      <c r="AA2520" s="4">
        <v>58</v>
      </c>
      <c r="AB2520" s="4">
        <v>2</v>
      </c>
      <c r="AC2520" s="4">
        <v>4</v>
      </c>
      <c r="AD2520" s="4">
        <v>110</v>
      </c>
      <c r="AE2520" s="4">
        <v>135</v>
      </c>
      <c r="AF2520" s="4">
        <v>0</v>
      </c>
      <c r="AG2520" s="4">
        <v>2</v>
      </c>
      <c r="AH2520" s="4">
        <v>95</v>
      </c>
      <c r="AI2520" s="4">
        <v>104</v>
      </c>
      <c r="AJ2520" s="4">
        <v>11</v>
      </c>
      <c r="AK2520" s="4">
        <v>22</v>
      </c>
      <c r="AL2520" s="4">
        <v>54</v>
      </c>
      <c r="AM2520" s="4">
        <v>57</v>
      </c>
      <c r="AN2520" s="4">
        <v>0</v>
      </c>
      <c r="AO2520" s="4">
        <v>0</v>
      </c>
      <c r="AP2520" s="4">
        <v>16</v>
      </c>
      <c r="AQ2520" s="4">
        <v>35</v>
      </c>
      <c r="AR2520" s="3" t="s">
        <v>63</v>
      </c>
      <c r="AS2520" s="3" t="s">
        <v>63</v>
      </c>
      <c r="AT2520" s="3" t="s">
        <v>62</v>
      </c>
      <c r="AU2520" s="6" t="str">
        <f>HYPERLINK("http://catalog.hathitrust.org/Record/000238798","HathiTrust Record")</f>
        <v>HathiTrust Record</v>
      </c>
      <c r="AV2520" s="6" t="str">
        <f>HYPERLINK("http://mcgill.on.worldcat.org/oclc/185344","Catalog Record")</f>
        <v>Catalog Record</v>
      </c>
      <c r="AW2520" s="6" t="str">
        <f>HYPERLINK("http://www.worldcat.org/oclc/185344","WorldCat Record")</f>
        <v>WorldCat Record</v>
      </c>
      <c r="AX2520" s="3" t="s">
        <v>20921</v>
      </c>
      <c r="AY2520" s="3" t="s">
        <v>20922</v>
      </c>
      <c r="AZ2520" s="3" t="s">
        <v>20923</v>
      </c>
      <c r="BA2520" s="3" t="s">
        <v>20923</v>
      </c>
      <c r="BB2520" s="3" t="s">
        <v>20950</v>
      </c>
      <c r="BC2520" s="3" t="s">
        <v>82</v>
      </c>
      <c r="BD2520" s="3" t="s">
        <v>70</v>
      </c>
      <c r="BE2520" s="3" t="s">
        <v>20925</v>
      </c>
      <c r="BF2520" s="3" t="s">
        <v>20950</v>
      </c>
      <c r="BG2520" s="3" t="s">
        <v>20951</v>
      </c>
    </row>
    <row r="2521" spans="1:59" ht="60" x14ac:dyDescent="0.25">
      <c r="A2521" s="2" t="s">
        <v>59</v>
      </c>
      <c r="B2521" s="2" t="s">
        <v>60</v>
      </c>
      <c r="C2521" s="2" t="s">
        <v>20917</v>
      </c>
      <c r="D2521" s="2" t="s">
        <v>20918</v>
      </c>
      <c r="E2521" s="2" t="s">
        <v>20919</v>
      </c>
      <c r="F2521" s="3" t="s">
        <v>4181</v>
      </c>
      <c r="G2521" s="3" t="s">
        <v>62</v>
      </c>
      <c r="I2521" s="3" t="s">
        <v>62</v>
      </c>
      <c r="J2521" s="3" t="s">
        <v>63</v>
      </c>
      <c r="K2521" s="3" t="s">
        <v>64</v>
      </c>
      <c r="L2521" s="2" t="s">
        <v>20779</v>
      </c>
      <c r="M2521" s="2" t="s">
        <v>20920</v>
      </c>
      <c r="N2521" s="3" t="s">
        <v>300</v>
      </c>
      <c r="P2521" s="3" t="s">
        <v>66</v>
      </c>
      <c r="R2521" s="3" t="s">
        <v>67</v>
      </c>
      <c r="S2521" s="4">
        <v>0</v>
      </c>
      <c r="T2521" s="4">
        <v>106</v>
      </c>
      <c r="V2521" s="5" t="s">
        <v>2195</v>
      </c>
      <c r="W2521" s="5" t="s">
        <v>69</v>
      </c>
      <c r="X2521" s="5" t="s">
        <v>69</v>
      </c>
      <c r="Y2521" s="4">
        <v>1062</v>
      </c>
      <c r="Z2521" s="4">
        <v>31</v>
      </c>
      <c r="AA2521" s="4">
        <v>58</v>
      </c>
      <c r="AB2521" s="4">
        <v>2</v>
      </c>
      <c r="AC2521" s="4">
        <v>4</v>
      </c>
      <c r="AD2521" s="4">
        <v>110</v>
      </c>
      <c r="AE2521" s="4">
        <v>135</v>
      </c>
      <c r="AF2521" s="4">
        <v>0</v>
      </c>
      <c r="AG2521" s="4">
        <v>2</v>
      </c>
      <c r="AH2521" s="4">
        <v>95</v>
      </c>
      <c r="AI2521" s="4">
        <v>104</v>
      </c>
      <c r="AJ2521" s="4">
        <v>11</v>
      </c>
      <c r="AK2521" s="4">
        <v>22</v>
      </c>
      <c r="AL2521" s="4">
        <v>54</v>
      </c>
      <c r="AM2521" s="4">
        <v>57</v>
      </c>
      <c r="AN2521" s="4">
        <v>0</v>
      </c>
      <c r="AO2521" s="4">
        <v>0</v>
      </c>
      <c r="AP2521" s="4">
        <v>16</v>
      </c>
      <c r="AQ2521" s="4">
        <v>35</v>
      </c>
      <c r="AR2521" s="3" t="s">
        <v>63</v>
      </c>
      <c r="AS2521" s="3" t="s">
        <v>63</v>
      </c>
      <c r="AT2521" s="3" t="s">
        <v>62</v>
      </c>
      <c r="AU2521" s="6" t="str">
        <f>HYPERLINK("http://catalog.hathitrust.org/Record/000238798","HathiTrust Record")</f>
        <v>HathiTrust Record</v>
      </c>
      <c r="AV2521" s="6" t="str">
        <f>HYPERLINK("http://mcgill.on.worldcat.org/oclc/185344","Catalog Record")</f>
        <v>Catalog Record</v>
      </c>
      <c r="AW2521" s="6" t="str">
        <f>HYPERLINK("http://www.worldcat.org/oclc/185344","WorldCat Record")</f>
        <v>WorldCat Record</v>
      </c>
      <c r="AX2521" s="3" t="s">
        <v>20921</v>
      </c>
      <c r="AY2521" s="3" t="s">
        <v>20922</v>
      </c>
      <c r="AZ2521" s="3" t="s">
        <v>20923</v>
      </c>
      <c r="BA2521" s="3" t="s">
        <v>20923</v>
      </c>
      <c r="BB2521" s="3" t="s">
        <v>20952</v>
      </c>
      <c r="BC2521" s="3" t="s">
        <v>82</v>
      </c>
      <c r="BD2521" s="3" t="s">
        <v>70</v>
      </c>
      <c r="BE2521" s="3" t="s">
        <v>20925</v>
      </c>
      <c r="BF2521" s="3" t="s">
        <v>20952</v>
      </c>
      <c r="BG2521" s="3" t="s">
        <v>20953</v>
      </c>
    </row>
    <row r="2522" spans="1:59" ht="60" x14ac:dyDescent="0.25">
      <c r="A2522" s="2" t="s">
        <v>59</v>
      </c>
      <c r="B2522" s="2" t="s">
        <v>60</v>
      </c>
      <c r="C2522" s="2" t="s">
        <v>20917</v>
      </c>
      <c r="D2522" s="2" t="s">
        <v>20918</v>
      </c>
      <c r="E2522" s="2" t="s">
        <v>20919</v>
      </c>
      <c r="F2522" s="3" t="s">
        <v>4181</v>
      </c>
      <c r="G2522" s="3" t="s">
        <v>62</v>
      </c>
      <c r="I2522" s="3" t="s">
        <v>62</v>
      </c>
      <c r="J2522" s="3" t="s">
        <v>63</v>
      </c>
      <c r="K2522" s="3" t="s">
        <v>64</v>
      </c>
      <c r="L2522" s="2" t="s">
        <v>20779</v>
      </c>
      <c r="M2522" s="2" t="s">
        <v>20920</v>
      </c>
      <c r="N2522" s="3" t="s">
        <v>300</v>
      </c>
      <c r="P2522" s="3" t="s">
        <v>66</v>
      </c>
      <c r="R2522" s="3" t="s">
        <v>67</v>
      </c>
      <c r="S2522" s="4">
        <v>0</v>
      </c>
      <c r="T2522" s="4">
        <v>106</v>
      </c>
      <c r="V2522" s="5" t="s">
        <v>2195</v>
      </c>
      <c r="W2522" s="5" t="s">
        <v>69</v>
      </c>
      <c r="X2522" s="5" t="s">
        <v>69</v>
      </c>
      <c r="Y2522" s="4">
        <v>1062</v>
      </c>
      <c r="Z2522" s="4">
        <v>31</v>
      </c>
      <c r="AA2522" s="4">
        <v>58</v>
      </c>
      <c r="AB2522" s="4">
        <v>2</v>
      </c>
      <c r="AC2522" s="4">
        <v>4</v>
      </c>
      <c r="AD2522" s="4">
        <v>110</v>
      </c>
      <c r="AE2522" s="4">
        <v>135</v>
      </c>
      <c r="AF2522" s="4">
        <v>0</v>
      </c>
      <c r="AG2522" s="4">
        <v>2</v>
      </c>
      <c r="AH2522" s="4">
        <v>95</v>
      </c>
      <c r="AI2522" s="4">
        <v>104</v>
      </c>
      <c r="AJ2522" s="4">
        <v>11</v>
      </c>
      <c r="AK2522" s="4">
        <v>22</v>
      </c>
      <c r="AL2522" s="4">
        <v>54</v>
      </c>
      <c r="AM2522" s="4">
        <v>57</v>
      </c>
      <c r="AN2522" s="4">
        <v>0</v>
      </c>
      <c r="AO2522" s="4">
        <v>0</v>
      </c>
      <c r="AP2522" s="4">
        <v>16</v>
      </c>
      <c r="AQ2522" s="4">
        <v>35</v>
      </c>
      <c r="AR2522" s="3" t="s">
        <v>63</v>
      </c>
      <c r="AS2522" s="3" t="s">
        <v>63</v>
      </c>
      <c r="AT2522" s="3" t="s">
        <v>62</v>
      </c>
      <c r="AU2522" s="6" t="str">
        <f>HYPERLINK("http://catalog.hathitrust.org/Record/000238798","HathiTrust Record")</f>
        <v>HathiTrust Record</v>
      </c>
      <c r="AV2522" s="6" t="str">
        <f>HYPERLINK("http://mcgill.on.worldcat.org/oclc/185344","Catalog Record")</f>
        <v>Catalog Record</v>
      </c>
      <c r="AW2522" s="6" t="str">
        <f>HYPERLINK("http://www.worldcat.org/oclc/185344","WorldCat Record")</f>
        <v>WorldCat Record</v>
      </c>
      <c r="AX2522" s="3" t="s">
        <v>20921</v>
      </c>
      <c r="AY2522" s="3" t="s">
        <v>20922</v>
      </c>
      <c r="AZ2522" s="3" t="s">
        <v>20923</v>
      </c>
      <c r="BA2522" s="3" t="s">
        <v>20923</v>
      </c>
      <c r="BB2522" s="3" t="s">
        <v>20954</v>
      </c>
      <c r="BC2522" s="3" t="s">
        <v>82</v>
      </c>
      <c r="BD2522" s="3" t="s">
        <v>70</v>
      </c>
      <c r="BE2522" s="3" t="s">
        <v>20925</v>
      </c>
      <c r="BF2522" s="3" t="s">
        <v>20954</v>
      </c>
      <c r="BG2522" s="3" t="s">
        <v>20955</v>
      </c>
    </row>
    <row r="2523" spans="1:59" ht="60" x14ac:dyDescent="0.25">
      <c r="A2523" s="2" t="s">
        <v>59</v>
      </c>
      <c r="B2523" s="2" t="s">
        <v>60</v>
      </c>
      <c r="C2523" s="2" t="s">
        <v>20917</v>
      </c>
      <c r="D2523" s="2" t="s">
        <v>20918</v>
      </c>
      <c r="E2523" s="2" t="s">
        <v>20919</v>
      </c>
      <c r="F2523" s="3" t="s">
        <v>4181</v>
      </c>
      <c r="G2523" s="3" t="s">
        <v>62</v>
      </c>
      <c r="I2523" s="3" t="s">
        <v>62</v>
      </c>
      <c r="J2523" s="3" t="s">
        <v>63</v>
      </c>
      <c r="K2523" s="3" t="s">
        <v>64</v>
      </c>
      <c r="L2523" s="2" t="s">
        <v>20779</v>
      </c>
      <c r="M2523" s="2" t="s">
        <v>20920</v>
      </c>
      <c r="N2523" s="3" t="s">
        <v>300</v>
      </c>
      <c r="P2523" s="3" t="s">
        <v>66</v>
      </c>
      <c r="R2523" s="3" t="s">
        <v>67</v>
      </c>
      <c r="S2523" s="4">
        <v>0</v>
      </c>
      <c r="T2523" s="4">
        <v>106</v>
      </c>
      <c r="V2523" s="5" t="s">
        <v>2195</v>
      </c>
      <c r="W2523" s="5" t="s">
        <v>69</v>
      </c>
      <c r="X2523" s="5" t="s">
        <v>69</v>
      </c>
      <c r="Y2523" s="4">
        <v>1062</v>
      </c>
      <c r="Z2523" s="4">
        <v>31</v>
      </c>
      <c r="AA2523" s="4">
        <v>58</v>
      </c>
      <c r="AB2523" s="4">
        <v>2</v>
      </c>
      <c r="AC2523" s="4">
        <v>4</v>
      </c>
      <c r="AD2523" s="4">
        <v>110</v>
      </c>
      <c r="AE2523" s="4">
        <v>135</v>
      </c>
      <c r="AF2523" s="4">
        <v>0</v>
      </c>
      <c r="AG2523" s="4">
        <v>2</v>
      </c>
      <c r="AH2523" s="4">
        <v>95</v>
      </c>
      <c r="AI2523" s="4">
        <v>104</v>
      </c>
      <c r="AJ2523" s="4">
        <v>11</v>
      </c>
      <c r="AK2523" s="4">
        <v>22</v>
      </c>
      <c r="AL2523" s="4">
        <v>54</v>
      </c>
      <c r="AM2523" s="4">
        <v>57</v>
      </c>
      <c r="AN2523" s="4">
        <v>0</v>
      </c>
      <c r="AO2523" s="4">
        <v>0</v>
      </c>
      <c r="AP2523" s="4">
        <v>16</v>
      </c>
      <c r="AQ2523" s="4">
        <v>35</v>
      </c>
      <c r="AR2523" s="3" t="s">
        <v>63</v>
      </c>
      <c r="AS2523" s="3" t="s">
        <v>63</v>
      </c>
      <c r="AT2523" s="3" t="s">
        <v>62</v>
      </c>
      <c r="AU2523" s="6" t="str">
        <f>HYPERLINK("http://catalog.hathitrust.org/Record/000238798","HathiTrust Record")</f>
        <v>HathiTrust Record</v>
      </c>
      <c r="AV2523" s="6" t="str">
        <f>HYPERLINK("http://mcgill.on.worldcat.org/oclc/185344","Catalog Record")</f>
        <v>Catalog Record</v>
      </c>
      <c r="AW2523" s="6" t="str">
        <f>HYPERLINK("http://www.worldcat.org/oclc/185344","WorldCat Record")</f>
        <v>WorldCat Record</v>
      </c>
      <c r="AX2523" s="3" t="s">
        <v>20921</v>
      </c>
      <c r="AY2523" s="3" t="s">
        <v>20922</v>
      </c>
      <c r="AZ2523" s="3" t="s">
        <v>20923</v>
      </c>
      <c r="BA2523" s="3" t="s">
        <v>20923</v>
      </c>
      <c r="BB2523" s="3" t="s">
        <v>20956</v>
      </c>
      <c r="BC2523" s="3" t="s">
        <v>82</v>
      </c>
      <c r="BD2523" s="3" t="s">
        <v>70</v>
      </c>
      <c r="BE2523" s="3" t="s">
        <v>20925</v>
      </c>
      <c r="BF2523" s="3" t="s">
        <v>20956</v>
      </c>
      <c r="BG2523" s="3" t="s">
        <v>20957</v>
      </c>
    </row>
    <row r="2524" spans="1:59" ht="60" x14ac:dyDescent="0.25">
      <c r="A2524" s="2" t="s">
        <v>59</v>
      </c>
      <c r="B2524" s="2" t="s">
        <v>60</v>
      </c>
      <c r="C2524" s="2" t="s">
        <v>20917</v>
      </c>
      <c r="D2524" s="2" t="s">
        <v>20918</v>
      </c>
      <c r="E2524" s="2" t="s">
        <v>20919</v>
      </c>
      <c r="F2524" s="3" t="s">
        <v>1387</v>
      </c>
      <c r="G2524" s="3" t="s">
        <v>62</v>
      </c>
      <c r="I2524" s="3" t="s">
        <v>62</v>
      </c>
      <c r="J2524" s="3" t="s">
        <v>63</v>
      </c>
      <c r="K2524" s="3" t="s">
        <v>64</v>
      </c>
      <c r="L2524" s="2" t="s">
        <v>20779</v>
      </c>
      <c r="M2524" s="2" t="s">
        <v>20920</v>
      </c>
      <c r="N2524" s="3" t="s">
        <v>300</v>
      </c>
      <c r="P2524" s="3" t="s">
        <v>66</v>
      </c>
      <c r="R2524" s="3" t="s">
        <v>67</v>
      </c>
      <c r="S2524" s="4">
        <v>12</v>
      </c>
      <c r="T2524" s="4">
        <v>106</v>
      </c>
      <c r="U2524" s="5" t="s">
        <v>20958</v>
      </c>
      <c r="V2524" s="5" t="s">
        <v>2195</v>
      </c>
      <c r="W2524" s="5" t="s">
        <v>69</v>
      </c>
      <c r="X2524" s="5" t="s">
        <v>69</v>
      </c>
      <c r="Y2524" s="4">
        <v>1062</v>
      </c>
      <c r="Z2524" s="4">
        <v>31</v>
      </c>
      <c r="AA2524" s="4">
        <v>58</v>
      </c>
      <c r="AB2524" s="4">
        <v>2</v>
      </c>
      <c r="AC2524" s="4">
        <v>4</v>
      </c>
      <c r="AD2524" s="4">
        <v>110</v>
      </c>
      <c r="AE2524" s="4">
        <v>135</v>
      </c>
      <c r="AF2524" s="4">
        <v>0</v>
      </c>
      <c r="AG2524" s="4">
        <v>2</v>
      </c>
      <c r="AH2524" s="4">
        <v>95</v>
      </c>
      <c r="AI2524" s="4">
        <v>104</v>
      </c>
      <c r="AJ2524" s="4">
        <v>11</v>
      </c>
      <c r="AK2524" s="4">
        <v>22</v>
      </c>
      <c r="AL2524" s="4">
        <v>54</v>
      </c>
      <c r="AM2524" s="4">
        <v>57</v>
      </c>
      <c r="AN2524" s="4">
        <v>0</v>
      </c>
      <c r="AO2524" s="4">
        <v>0</v>
      </c>
      <c r="AP2524" s="4">
        <v>16</v>
      </c>
      <c r="AQ2524" s="4">
        <v>35</v>
      </c>
      <c r="AR2524" s="3" t="s">
        <v>63</v>
      </c>
      <c r="AS2524" s="3" t="s">
        <v>63</v>
      </c>
      <c r="AT2524" s="3" t="s">
        <v>62</v>
      </c>
      <c r="AU2524" s="6" t="str">
        <f>HYPERLINK("http://catalog.hathitrust.org/Record/000238798","HathiTrust Record")</f>
        <v>HathiTrust Record</v>
      </c>
      <c r="AV2524" s="6" t="str">
        <f>HYPERLINK("http://mcgill.on.worldcat.org/oclc/185344","Catalog Record")</f>
        <v>Catalog Record</v>
      </c>
      <c r="AW2524" s="6" t="str">
        <f>HYPERLINK("http://www.worldcat.org/oclc/185344","WorldCat Record")</f>
        <v>WorldCat Record</v>
      </c>
      <c r="AX2524" s="3" t="s">
        <v>20921</v>
      </c>
      <c r="AY2524" s="3" t="s">
        <v>20922</v>
      </c>
      <c r="AZ2524" s="3" t="s">
        <v>20923</v>
      </c>
      <c r="BA2524" s="3" t="s">
        <v>20923</v>
      </c>
      <c r="BB2524" s="3" t="s">
        <v>20959</v>
      </c>
      <c r="BC2524" s="3" t="s">
        <v>82</v>
      </c>
      <c r="BD2524" s="3" t="s">
        <v>70</v>
      </c>
      <c r="BE2524" s="3" t="s">
        <v>20925</v>
      </c>
      <c r="BF2524" s="3" t="s">
        <v>20959</v>
      </c>
      <c r="BG2524" s="3" t="s">
        <v>20960</v>
      </c>
    </row>
    <row r="2525" spans="1:59" ht="60" x14ac:dyDescent="0.25">
      <c r="A2525" s="2" t="s">
        <v>59</v>
      </c>
      <c r="B2525" s="2" t="s">
        <v>60</v>
      </c>
      <c r="C2525" s="2" t="s">
        <v>20917</v>
      </c>
      <c r="D2525" s="2" t="s">
        <v>20918</v>
      </c>
      <c r="E2525" s="2" t="s">
        <v>20919</v>
      </c>
      <c r="F2525" s="3" t="s">
        <v>4181</v>
      </c>
      <c r="G2525" s="3" t="s">
        <v>62</v>
      </c>
      <c r="I2525" s="3" t="s">
        <v>62</v>
      </c>
      <c r="J2525" s="3" t="s">
        <v>63</v>
      </c>
      <c r="K2525" s="3" t="s">
        <v>64</v>
      </c>
      <c r="L2525" s="2" t="s">
        <v>20779</v>
      </c>
      <c r="M2525" s="2" t="s">
        <v>20920</v>
      </c>
      <c r="N2525" s="3" t="s">
        <v>300</v>
      </c>
      <c r="P2525" s="3" t="s">
        <v>66</v>
      </c>
      <c r="R2525" s="3" t="s">
        <v>67</v>
      </c>
      <c r="S2525" s="4">
        <v>0</v>
      </c>
      <c r="T2525" s="4">
        <v>106</v>
      </c>
      <c r="V2525" s="5" t="s">
        <v>2195</v>
      </c>
      <c r="W2525" s="5" t="s">
        <v>69</v>
      </c>
      <c r="X2525" s="5" t="s">
        <v>69</v>
      </c>
      <c r="Y2525" s="4">
        <v>1062</v>
      </c>
      <c r="Z2525" s="4">
        <v>31</v>
      </c>
      <c r="AA2525" s="4">
        <v>58</v>
      </c>
      <c r="AB2525" s="4">
        <v>2</v>
      </c>
      <c r="AC2525" s="4">
        <v>4</v>
      </c>
      <c r="AD2525" s="4">
        <v>110</v>
      </c>
      <c r="AE2525" s="4">
        <v>135</v>
      </c>
      <c r="AF2525" s="4">
        <v>0</v>
      </c>
      <c r="AG2525" s="4">
        <v>2</v>
      </c>
      <c r="AH2525" s="4">
        <v>95</v>
      </c>
      <c r="AI2525" s="4">
        <v>104</v>
      </c>
      <c r="AJ2525" s="4">
        <v>11</v>
      </c>
      <c r="AK2525" s="4">
        <v>22</v>
      </c>
      <c r="AL2525" s="4">
        <v>54</v>
      </c>
      <c r="AM2525" s="4">
        <v>57</v>
      </c>
      <c r="AN2525" s="4">
        <v>0</v>
      </c>
      <c r="AO2525" s="4">
        <v>0</v>
      </c>
      <c r="AP2525" s="4">
        <v>16</v>
      </c>
      <c r="AQ2525" s="4">
        <v>35</v>
      </c>
      <c r="AR2525" s="3" t="s">
        <v>63</v>
      </c>
      <c r="AS2525" s="3" t="s">
        <v>63</v>
      </c>
      <c r="AT2525" s="3" t="s">
        <v>62</v>
      </c>
      <c r="AU2525" s="6" t="str">
        <f>HYPERLINK("http://catalog.hathitrust.org/Record/000238798","HathiTrust Record")</f>
        <v>HathiTrust Record</v>
      </c>
      <c r="AV2525" s="6" t="str">
        <f>HYPERLINK("http://mcgill.on.worldcat.org/oclc/185344","Catalog Record")</f>
        <v>Catalog Record</v>
      </c>
      <c r="AW2525" s="6" t="str">
        <f>HYPERLINK("http://www.worldcat.org/oclc/185344","WorldCat Record")</f>
        <v>WorldCat Record</v>
      </c>
      <c r="AX2525" s="3" t="s">
        <v>20921</v>
      </c>
      <c r="AY2525" s="3" t="s">
        <v>20922</v>
      </c>
      <c r="AZ2525" s="3" t="s">
        <v>20923</v>
      </c>
      <c r="BA2525" s="3" t="s">
        <v>20923</v>
      </c>
      <c r="BB2525" s="3" t="s">
        <v>20961</v>
      </c>
      <c r="BC2525" s="3" t="s">
        <v>82</v>
      </c>
      <c r="BD2525" s="3" t="s">
        <v>70</v>
      </c>
      <c r="BE2525" s="3" t="s">
        <v>20925</v>
      </c>
      <c r="BF2525" s="3" t="s">
        <v>20961</v>
      </c>
      <c r="BG2525" s="3" t="s">
        <v>20962</v>
      </c>
    </row>
    <row r="2526" spans="1:59" ht="60" x14ac:dyDescent="0.25">
      <c r="A2526" s="2" t="s">
        <v>59</v>
      </c>
      <c r="B2526" s="2" t="s">
        <v>60</v>
      </c>
      <c r="C2526" s="2" t="s">
        <v>20917</v>
      </c>
      <c r="D2526" s="2" t="s">
        <v>20918</v>
      </c>
      <c r="E2526" s="2" t="s">
        <v>20919</v>
      </c>
      <c r="F2526" s="3" t="s">
        <v>4184</v>
      </c>
      <c r="G2526" s="3" t="s">
        <v>62</v>
      </c>
      <c r="I2526" s="3" t="s">
        <v>62</v>
      </c>
      <c r="J2526" s="3" t="s">
        <v>63</v>
      </c>
      <c r="K2526" s="3" t="s">
        <v>64</v>
      </c>
      <c r="L2526" s="2" t="s">
        <v>20779</v>
      </c>
      <c r="M2526" s="2" t="s">
        <v>20920</v>
      </c>
      <c r="N2526" s="3" t="s">
        <v>300</v>
      </c>
      <c r="P2526" s="3" t="s">
        <v>66</v>
      </c>
      <c r="R2526" s="3" t="s">
        <v>67</v>
      </c>
      <c r="S2526" s="4">
        <v>13</v>
      </c>
      <c r="T2526" s="4">
        <v>106</v>
      </c>
      <c r="U2526" s="5" t="s">
        <v>9040</v>
      </c>
      <c r="V2526" s="5" t="s">
        <v>2195</v>
      </c>
      <c r="W2526" s="5" t="s">
        <v>69</v>
      </c>
      <c r="X2526" s="5" t="s">
        <v>69</v>
      </c>
      <c r="Y2526" s="4">
        <v>1062</v>
      </c>
      <c r="Z2526" s="4">
        <v>31</v>
      </c>
      <c r="AA2526" s="4">
        <v>58</v>
      </c>
      <c r="AB2526" s="4">
        <v>2</v>
      </c>
      <c r="AC2526" s="4">
        <v>4</v>
      </c>
      <c r="AD2526" s="4">
        <v>110</v>
      </c>
      <c r="AE2526" s="4">
        <v>135</v>
      </c>
      <c r="AF2526" s="4">
        <v>0</v>
      </c>
      <c r="AG2526" s="4">
        <v>2</v>
      </c>
      <c r="AH2526" s="4">
        <v>95</v>
      </c>
      <c r="AI2526" s="4">
        <v>104</v>
      </c>
      <c r="AJ2526" s="4">
        <v>11</v>
      </c>
      <c r="AK2526" s="4">
        <v>22</v>
      </c>
      <c r="AL2526" s="4">
        <v>54</v>
      </c>
      <c r="AM2526" s="4">
        <v>57</v>
      </c>
      <c r="AN2526" s="4">
        <v>0</v>
      </c>
      <c r="AO2526" s="4">
        <v>0</v>
      </c>
      <c r="AP2526" s="4">
        <v>16</v>
      </c>
      <c r="AQ2526" s="4">
        <v>35</v>
      </c>
      <c r="AR2526" s="3" t="s">
        <v>63</v>
      </c>
      <c r="AS2526" s="3" t="s">
        <v>63</v>
      </c>
      <c r="AT2526" s="3" t="s">
        <v>62</v>
      </c>
      <c r="AU2526" s="6" t="str">
        <f>HYPERLINK("http://catalog.hathitrust.org/Record/000238798","HathiTrust Record")</f>
        <v>HathiTrust Record</v>
      </c>
      <c r="AV2526" s="6" t="str">
        <f>HYPERLINK("http://mcgill.on.worldcat.org/oclc/185344","Catalog Record")</f>
        <v>Catalog Record</v>
      </c>
      <c r="AW2526" s="6" t="str">
        <f>HYPERLINK("http://www.worldcat.org/oclc/185344","WorldCat Record")</f>
        <v>WorldCat Record</v>
      </c>
      <c r="AX2526" s="3" t="s">
        <v>20921</v>
      </c>
      <c r="AY2526" s="3" t="s">
        <v>20922</v>
      </c>
      <c r="AZ2526" s="3" t="s">
        <v>20923</v>
      </c>
      <c r="BA2526" s="3" t="s">
        <v>20923</v>
      </c>
      <c r="BB2526" s="3" t="s">
        <v>20963</v>
      </c>
      <c r="BC2526" s="3" t="s">
        <v>82</v>
      </c>
      <c r="BD2526" s="3" t="s">
        <v>70</v>
      </c>
      <c r="BE2526" s="3" t="s">
        <v>20925</v>
      </c>
      <c r="BF2526" s="3" t="s">
        <v>20963</v>
      </c>
      <c r="BG2526" s="3" t="s">
        <v>20964</v>
      </c>
    </row>
    <row r="2527" spans="1:59" ht="60" x14ac:dyDescent="0.25">
      <c r="A2527" s="2" t="s">
        <v>59</v>
      </c>
      <c r="B2527" s="2" t="s">
        <v>60</v>
      </c>
      <c r="C2527" s="2" t="s">
        <v>20917</v>
      </c>
      <c r="D2527" s="2" t="s">
        <v>20918</v>
      </c>
      <c r="E2527" s="2" t="s">
        <v>20919</v>
      </c>
      <c r="F2527" s="3" t="s">
        <v>1095</v>
      </c>
      <c r="G2527" s="3" t="s">
        <v>62</v>
      </c>
      <c r="I2527" s="3" t="s">
        <v>62</v>
      </c>
      <c r="J2527" s="3" t="s">
        <v>63</v>
      </c>
      <c r="K2527" s="3" t="s">
        <v>64</v>
      </c>
      <c r="L2527" s="2" t="s">
        <v>20779</v>
      </c>
      <c r="M2527" s="2" t="s">
        <v>20920</v>
      </c>
      <c r="N2527" s="3" t="s">
        <v>300</v>
      </c>
      <c r="P2527" s="3" t="s">
        <v>66</v>
      </c>
      <c r="R2527" s="3" t="s">
        <v>67</v>
      </c>
      <c r="S2527" s="4">
        <v>10</v>
      </c>
      <c r="T2527" s="4">
        <v>106</v>
      </c>
      <c r="U2527" s="5" t="s">
        <v>20965</v>
      </c>
      <c r="V2527" s="5" t="s">
        <v>2195</v>
      </c>
      <c r="W2527" s="5" t="s">
        <v>69</v>
      </c>
      <c r="X2527" s="5" t="s">
        <v>69</v>
      </c>
      <c r="Y2527" s="4">
        <v>1062</v>
      </c>
      <c r="Z2527" s="4">
        <v>31</v>
      </c>
      <c r="AA2527" s="4">
        <v>58</v>
      </c>
      <c r="AB2527" s="4">
        <v>2</v>
      </c>
      <c r="AC2527" s="4">
        <v>4</v>
      </c>
      <c r="AD2527" s="4">
        <v>110</v>
      </c>
      <c r="AE2527" s="4">
        <v>135</v>
      </c>
      <c r="AF2527" s="4">
        <v>0</v>
      </c>
      <c r="AG2527" s="4">
        <v>2</v>
      </c>
      <c r="AH2527" s="4">
        <v>95</v>
      </c>
      <c r="AI2527" s="4">
        <v>104</v>
      </c>
      <c r="AJ2527" s="4">
        <v>11</v>
      </c>
      <c r="AK2527" s="4">
        <v>22</v>
      </c>
      <c r="AL2527" s="4">
        <v>54</v>
      </c>
      <c r="AM2527" s="4">
        <v>57</v>
      </c>
      <c r="AN2527" s="4">
        <v>0</v>
      </c>
      <c r="AO2527" s="4">
        <v>0</v>
      </c>
      <c r="AP2527" s="4">
        <v>16</v>
      </c>
      <c r="AQ2527" s="4">
        <v>35</v>
      </c>
      <c r="AR2527" s="3" t="s">
        <v>63</v>
      </c>
      <c r="AS2527" s="3" t="s">
        <v>63</v>
      </c>
      <c r="AT2527" s="3" t="s">
        <v>62</v>
      </c>
      <c r="AU2527" s="6" t="str">
        <f>HYPERLINK("http://catalog.hathitrust.org/Record/000238798","HathiTrust Record")</f>
        <v>HathiTrust Record</v>
      </c>
      <c r="AV2527" s="6" t="str">
        <f>HYPERLINK("http://mcgill.on.worldcat.org/oclc/185344","Catalog Record")</f>
        <v>Catalog Record</v>
      </c>
      <c r="AW2527" s="6" t="str">
        <f>HYPERLINK("http://www.worldcat.org/oclc/185344","WorldCat Record")</f>
        <v>WorldCat Record</v>
      </c>
      <c r="AX2527" s="3" t="s">
        <v>20921</v>
      </c>
      <c r="AY2527" s="3" t="s">
        <v>20922</v>
      </c>
      <c r="AZ2527" s="3" t="s">
        <v>20923</v>
      </c>
      <c r="BA2527" s="3" t="s">
        <v>20923</v>
      </c>
      <c r="BB2527" s="3" t="s">
        <v>20966</v>
      </c>
      <c r="BC2527" s="3" t="s">
        <v>82</v>
      </c>
      <c r="BD2527" s="3" t="s">
        <v>70</v>
      </c>
      <c r="BE2527" s="3" t="s">
        <v>20925</v>
      </c>
      <c r="BF2527" s="3" t="s">
        <v>20966</v>
      </c>
      <c r="BG2527" s="3" t="s">
        <v>20967</v>
      </c>
    </row>
    <row r="2528" spans="1:59" ht="60" x14ac:dyDescent="0.25">
      <c r="A2528" s="2" t="s">
        <v>59</v>
      </c>
      <c r="B2528" s="2" t="s">
        <v>60</v>
      </c>
      <c r="C2528" s="2" t="s">
        <v>20968</v>
      </c>
      <c r="D2528" s="2" t="s">
        <v>20969</v>
      </c>
      <c r="E2528" s="2" t="s">
        <v>20970</v>
      </c>
      <c r="G2528" s="3" t="s">
        <v>63</v>
      </c>
      <c r="I2528" s="3" t="s">
        <v>63</v>
      </c>
      <c r="J2528" s="3" t="s">
        <v>62</v>
      </c>
      <c r="K2528" s="3" t="s">
        <v>20971</v>
      </c>
      <c r="L2528" s="2" t="s">
        <v>20715</v>
      </c>
      <c r="M2528" s="2" t="s">
        <v>20972</v>
      </c>
      <c r="N2528" s="3" t="s">
        <v>693</v>
      </c>
      <c r="P2528" s="3" t="s">
        <v>66</v>
      </c>
      <c r="Q2528" s="2" t="s">
        <v>327</v>
      </c>
      <c r="R2528" s="3" t="s">
        <v>67</v>
      </c>
      <c r="S2528" s="4">
        <v>27</v>
      </c>
      <c r="T2528" s="4">
        <v>27</v>
      </c>
      <c r="U2528" s="5" t="s">
        <v>15018</v>
      </c>
      <c r="V2528" s="5" t="s">
        <v>15018</v>
      </c>
      <c r="W2528" s="5" t="s">
        <v>69</v>
      </c>
      <c r="X2528" s="5" t="s">
        <v>69</v>
      </c>
      <c r="Y2528" s="4">
        <v>259</v>
      </c>
      <c r="Z2528" s="4">
        <v>10</v>
      </c>
      <c r="AA2528" s="4">
        <v>203</v>
      </c>
      <c r="AB2528" s="4">
        <v>1</v>
      </c>
      <c r="AC2528" s="4">
        <v>26</v>
      </c>
      <c r="AD2528" s="4">
        <v>73</v>
      </c>
      <c r="AE2528" s="4">
        <v>174</v>
      </c>
      <c r="AF2528" s="4">
        <v>0</v>
      </c>
      <c r="AG2528" s="4">
        <v>8</v>
      </c>
      <c r="AH2528" s="4">
        <v>69</v>
      </c>
      <c r="AI2528" s="4">
        <v>116</v>
      </c>
      <c r="AJ2528" s="4">
        <v>7</v>
      </c>
      <c r="AK2528" s="4">
        <v>28</v>
      </c>
      <c r="AL2528" s="4">
        <v>43</v>
      </c>
      <c r="AM2528" s="4">
        <v>66</v>
      </c>
      <c r="AN2528" s="4">
        <v>0</v>
      </c>
      <c r="AO2528" s="4">
        <v>31</v>
      </c>
      <c r="AP2528" s="4">
        <v>8</v>
      </c>
      <c r="AQ2528" s="4">
        <v>61</v>
      </c>
      <c r="AR2528" s="3" t="s">
        <v>63</v>
      </c>
      <c r="AS2528" s="3" t="s">
        <v>63</v>
      </c>
      <c r="AT2528" s="3" t="s">
        <v>63</v>
      </c>
      <c r="AV2528" s="6" t="str">
        <f>HYPERLINK("http://mcgill.on.worldcat.org/oclc/54111400","Catalog Record")</f>
        <v>Catalog Record</v>
      </c>
      <c r="AW2528" s="6" t="str">
        <f>HYPERLINK("http://www.worldcat.org/oclc/54111400","WorldCat Record")</f>
        <v>WorldCat Record</v>
      </c>
      <c r="AX2528" s="3" t="s">
        <v>20973</v>
      </c>
      <c r="AY2528" s="3" t="s">
        <v>20974</v>
      </c>
      <c r="AZ2528" s="3" t="s">
        <v>20975</v>
      </c>
      <c r="BA2528" s="3" t="s">
        <v>20975</v>
      </c>
      <c r="BB2528" s="3" t="s">
        <v>20976</v>
      </c>
      <c r="BC2528" s="3" t="s">
        <v>82</v>
      </c>
      <c r="BD2528" s="3" t="s">
        <v>70</v>
      </c>
      <c r="BE2528" s="3" t="s">
        <v>20977</v>
      </c>
      <c r="BF2528" s="3" t="s">
        <v>20976</v>
      </c>
      <c r="BG2528" s="3" t="s">
        <v>20978</v>
      </c>
    </row>
    <row r="2529" spans="1:59" ht="60" x14ac:dyDescent="0.25">
      <c r="A2529" s="2" t="s">
        <v>59</v>
      </c>
      <c r="B2529" s="2" t="s">
        <v>60</v>
      </c>
      <c r="C2529" s="2" t="s">
        <v>20979</v>
      </c>
      <c r="D2529" s="2" t="s">
        <v>20980</v>
      </c>
      <c r="E2529" s="2" t="s">
        <v>20981</v>
      </c>
      <c r="G2529" s="3" t="s">
        <v>63</v>
      </c>
      <c r="I2529" s="3" t="s">
        <v>63</v>
      </c>
      <c r="J2529" s="3" t="s">
        <v>63</v>
      </c>
      <c r="K2529" s="3" t="s">
        <v>64</v>
      </c>
      <c r="L2529" s="2" t="s">
        <v>20715</v>
      </c>
      <c r="M2529" s="2" t="s">
        <v>20982</v>
      </c>
      <c r="N2529" s="3" t="s">
        <v>2459</v>
      </c>
      <c r="P2529" s="3" t="s">
        <v>66</v>
      </c>
      <c r="Q2529" s="2" t="s">
        <v>11759</v>
      </c>
      <c r="R2529" s="3" t="s">
        <v>67</v>
      </c>
      <c r="S2529" s="4">
        <v>1</v>
      </c>
      <c r="T2529" s="4">
        <v>1</v>
      </c>
      <c r="U2529" s="5" t="s">
        <v>20930</v>
      </c>
      <c r="V2529" s="5" t="s">
        <v>20930</v>
      </c>
      <c r="W2529" s="5" t="s">
        <v>69</v>
      </c>
      <c r="X2529" s="5" t="s">
        <v>69</v>
      </c>
      <c r="Y2529" s="4">
        <v>134</v>
      </c>
      <c r="Z2529" s="4">
        <v>11</v>
      </c>
      <c r="AA2529" s="4">
        <v>11</v>
      </c>
      <c r="AB2529" s="4">
        <v>1</v>
      </c>
      <c r="AC2529" s="4">
        <v>1</v>
      </c>
      <c r="AD2529" s="4">
        <v>49</v>
      </c>
      <c r="AE2529" s="4">
        <v>49</v>
      </c>
      <c r="AF2529" s="4">
        <v>0</v>
      </c>
      <c r="AG2529" s="4">
        <v>0</v>
      </c>
      <c r="AH2529" s="4">
        <v>45</v>
      </c>
      <c r="AI2529" s="4">
        <v>45</v>
      </c>
      <c r="AJ2529" s="4">
        <v>7</v>
      </c>
      <c r="AK2529" s="4">
        <v>7</v>
      </c>
      <c r="AL2529" s="4">
        <v>35</v>
      </c>
      <c r="AM2529" s="4">
        <v>35</v>
      </c>
      <c r="AN2529" s="4">
        <v>0</v>
      </c>
      <c r="AO2529" s="4">
        <v>0</v>
      </c>
      <c r="AP2529" s="4">
        <v>7</v>
      </c>
      <c r="AQ2529" s="4">
        <v>7</v>
      </c>
      <c r="AR2529" s="3" t="s">
        <v>63</v>
      </c>
      <c r="AS2529" s="3" t="s">
        <v>63</v>
      </c>
      <c r="AT2529" s="3" t="s">
        <v>63</v>
      </c>
      <c r="AV2529" s="6" t="str">
        <f>HYPERLINK("http://mcgill.on.worldcat.org/oclc/182731251","Catalog Record")</f>
        <v>Catalog Record</v>
      </c>
      <c r="AW2529" s="6" t="str">
        <f>HYPERLINK("http://www.worldcat.org/oclc/182731251","WorldCat Record")</f>
        <v>WorldCat Record</v>
      </c>
      <c r="AX2529" s="3" t="s">
        <v>20983</v>
      </c>
      <c r="AY2529" s="3" t="s">
        <v>20984</v>
      </c>
      <c r="AZ2529" s="3" t="s">
        <v>20985</v>
      </c>
      <c r="BA2529" s="3" t="s">
        <v>20985</v>
      </c>
      <c r="BB2529" s="3" t="s">
        <v>20986</v>
      </c>
      <c r="BC2529" s="3" t="s">
        <v>82</v>
      </c>
      <c r="BD2529" s="3" t="s">
        <v>70</v>
      </c>
      <c r="BE2529" s="3" t="s">
        <v>20987</v>
      </c>
      <c r="BF2529" s="3" t="s">
        <v>20986</v>
      </c>
      <c r="BG2529" s="3" t="s">
        <v>20988</v>
      </c>
    </row>
    <row r="2530" spans="1:59" ht="75" x14ac:dyDescent="0.25">
      <c r="A2530" s="2" t="s">
        <v>59</v>
      </c>
      <c r="B2530" s="2" t="s">
        <v>60</v>
      </c>
      <c r="C2530" s="2" t="s">
        <v>20989</v>
      </c>
      <c r="D2530" s="2" t="s">
        <v>20990</v>
      </c>
      <c r="E2530" s="2" t="s">
        <v>20991</v>
      </c>
      <c r="G2530" s="3" t="s">
        <v>63</v>
      </c>
      <c r="I2530" s="3" t="s">
        <v>63</v>
      </c>
      <c r="J2530" s="3" t="s">
        <v>62</v>
      </c>
      <c r="K2530" s="3" t="s">
        <v>20971</v>
      </c>
      <c r="L2530" s="2" t="s">
        <v>20779</v>
      </c>
      <c r="M2530" s="2" t="s">
        <v>20992</v>
      </c>
      <c r="N2530" s="3" t="s">
        <v>2765</v>
      </c>
      <c r="P2530" s="3" t="s">
        <v>66</v>
      </c>
      <c r="Q2530" s="2" t="s">
        <v>20292</v>
      </c>
      <c r="R2530" s="3" t="s">
        <v>67</v>
      </c>
      <c r="S2530" s="4">
        <v>2</v>
      </c>
      <c r="T2530" s="4">
        <v>2</v>
      </c>
      <c r="U2530" s="5" t="s">
        <v>12742</v>
      </c>
      <c r="V2530" s="5" t="s">
        <v>12742</v>
      </c>
      <c r="W2530" s="5" t="s">
        <v>69</v>
      </c>
      <c r="X2530" s="5" t="s">
        <v>69</v>
      </c>
      <c r="Y2530" s="4">
        <v>288</v>
      </c>
      <c r="Z2530" s="4">
        <v>16</v>
      </c>
      <c r="AA2530" s="4">
        <v>203</v>
      </c>
      <c r="AB2530" s="4">
        <v>2</v>
      </c>
      <c r="AC2530" s="4">
        <v>26</v>
      </c>
      <c r="AD2530" s="4">
        <v>52</v>
      </c>
      <c r="AE2530" s="4">
        <v>174</v>
      </c>
      <c r="AF2530" s="4">
        <v>0</v>
      </c>
      <c r="AG2530" s="4">
        <v>8</v>
      </c>
      <c r="AH2530" s="4">
        <v>48</v>
      </c>
      <c r="AI2530" s="4">
        <v>116</v>
      </c>
      <c r="AJ2530" s="4">
        <v>7</v>
      </c>
      <c r="AK2530" s="4">
        <v>28</v>
      </c>
      <c r="AL2530" s="4">
        <v>33</v>
      </c>
      <c r="AM2530" s="4">
        <v>66</v>
      </c>
      <c r="AN2530" s="4">
        <v>0</v>
      </c>
      <c r="AO2530" s="4">
        <v>31</v>
      </c>
      <c r="AP2530" s="4">
        <v>8</v>
      </c>
      <c r="AQ2530" s="4">
        <v>61</v>
      </c>
      <c r="AR2530" s="3" t="s">
        <v>63</v>
      </c>
      <c r="AS2530" s="3" t="s">
        <v>63</v>
      </c>
      <c r="AT2530" s="3" t="s">
        <v>63</v>
      </c>
      <c r="AV2530" s="6" t="str">
        <f>HYPERLINK("http://mcgill.on.worldcat.org/oclc/881436908","Catalog Record")</f>
        <v>Catalog Record</v>
      </c>
      <c r="AW2530" s="6" t="str">
        <f>HYPERLINK("http://www.worldcat.org/oclc/881436908","WorldCat Record")</f>
        <v>WorldCat Record</v>
      </c>
      <c r="AX2530" s="3" t="s">
        <v>20973</v>
      </c>
      <c r="AY2530" s="3" t="s">
        <v>20993</v>
      </c>
      <c r="AZ2530" s="3" t="s">
        <v>20994</v>
      </c>
      <c r="BA2530" s="3" t="s">
        <v>20994</v>
      </c>
      <c r="BB2530" s="3" t="s">
        <v>20995</v>
      </c>
      <c r="BC2530" s="3" t="s">
        <v>82</v>
      </c>
      <c r="BD2530" s="3" t="s">
        <v>70</v>
      </c>
      <c r="BE2530" s="3" t="s">
        <v>20996</v>
      </c>
      <c r="BF2530" s="3" t="s">
        <v>20995</v>
      </c>
      <c r="BG2530" s="3" t="s">
        <v>20997</v>
      </c>
    </row>
    <row r="2531" spans="1:59" ht="90" x14ac:dyDescent="0.25">
      <c r="A2531" s="2" t="s">
        <v>59</v>
      </c>
      <c r="B2531" s="2" t="s">
        <v>60</v>
      </c>
      <c r="C2531" s="2" t="s">
        <v>20998</v>
      </c>
      <c r="D2531" s="2" t="s">
        <v>20999</v>
      </c>
      <c r="E2531" s="2" t="s">
        <v>21000</v>
      </c>
      <c r="G2531" s="3" t="s">
        <v>63</v>
      </c>
      <c r="I2531" s="3" t="s">
        <v>63</v>
      </c>
      <c r="J2531" s="3" t="s">
        <v>63</v>
      </c>
      <c r="K2531" s="3" t="s">
        <v>64</v>
      </c>
      <c r="L2531" s="2" t="s">
        <v>20715</v>
      </c>
      <c r="M2531" s="2" t="s">
        <v>21001</v>
      </c>
      <c r="N2531" s="3" t="s">
        <v>2459</v>
      </c>
      <c r="O2531" s="2" t="s">
        <v>21002</v>
      </c>
      <c r="P2531" s="3" t="s">
        <v>66</v>
      </c>
      <c r="R2531" s="3" t="s">
        <v>67</v>
      </c>
      <c r="S2531" s="4">
        <v>8</v>
      </c>
      <c r="T2531" s="4">
        <v>8</v>
      </c>
      <c r="U2531" s="5" t="s">
        <v>9925</v>
      </c>
      <c r="V2531" s="5" t="s">
        <v>9925</v>
      </c>
      <c r="W2531" s="5" t="s">
        <v>69</v>
      </c>
      <c r="X2531" s="5" t="s">
        <v>69</v>
      </c>
      <c r="Y2531" s="4">
        <v>177</v>
      </c>
      <c r="Z2531" s="4">
        <v>16</v>
      </c>
      <c r="AA2531" s="4">
        <v>56</v>
      </c>
      <c r="AB2531" s="4">
        <v>1</v>
      </c>
      <c r="AC2531" s="4">
        <v>5</v>
      </c>
      <c r="AD2531" s="4">
        <v>61</v>
      </c>
      <c r="AE2531" s="4">
        <v>88</v>
      </c>
      <c r="AF2531" s="4">
        <v>0</v>
      </c>
      <c r="AG2531" s="4">
        <v>0</v>
      </c>
      <c r="AH2531" s="4">
        <v>56</v>
      </c>
      <c r="AI2531" s="4">
        <v>75</v>
      </c>
      <c r="AJ2531" s="4">
        <v>7</v>
      </c>
      <c r="AK2531" s="4">
        <v>9</v>
      </c>
      <c r="AL2531" s="4">
        <v>40</v>
      </c>
      <c r="AM2531" s="4">
        <v>47</v>
      </c>
      <c r="AN2531" s="4">
        <v>0</v>
      </c>
      <c r="AO2531" s="4">
        <v>0</v>
      </c>
      <c r="AP2531" s="4">
        <v>9</v>
      </c>
      <c r="AQ2531" s="4">
        <v>17</v>
      </c>
      <c r="AR2531" s="3" t="s">
        <v>63</v>
      </c>
      <c r="AS2531" s="3" t="s">
        <v>63</v>
      </c>
      <c r="AT2531" s="3" t="s">
        <v>63</v>
      </c>
      <c r="AV2531" s="6" t="str">
        <f>HYPERLINK("http://mcgill.on.worldcat.org/oclc/144525645","Catalog Record")</f>
        <v>Catalog Record</v>
      </c>
      <c r="AW2531" s="6" t="str">
        <f>HYPERLINK("http://www.worldcat.org/oclc/144525645","WorldCat Record")</f>
        <v>WorldCat Record</v>
      </c>
      <c r="AX2531" s="3" t="s">
        <v>21003</v>
      </c>
      <c r="AY2531" s="3" t="s">
        <v>21004</v>
      </c>
      <c r="AZ2531" s="3" t="s">
        <v>21005</v>
      </c>
      <c r="BA2531" s="3" t="s">
        <v>21005</v>
      </c>
      <c r="BB2531" s="3" t="s">
        <v>21006</v>
      </c>
      <c r="BC2531" s="3" t="s">
        <v>82</v>
      </c>
      <c r="BD2531" s="3" t="s">
        <v>70</v>
      </c>
      <c r="BE2531" s="3" t="s">
        <v>21007</v>
      </c>
      <c r="BF2531" s="3" t="s">
        <v>21006</v>
      </c>
      <c r="BG2531" s="3" t="s">
        <v>21008</v>
      </c>
    </row>
    <row r="2532" spans="1:59" ht="60" x14ac:dyDescent="0.25">
      <c r="A2532" s="2" t="s">
        <v>59</v>
      </c>
      <c r="B2532" s="2" t="s">
        <v>60</v>
      </c>
      <c r="C2532" s="2" t="s">
        <v>21009</v>
      </c>
      <c r="D2532" s="2" t="s">
        <v>21010</v>
      </c>
      <c r="E2532" s="2" t="s">
        <v>21011</v>
      </c>
      <c r="G2532" s="3" t="s">
        <v>63</v>
      </c>
      <c r="I2532" s="3" t="s">
        <v>63</v>
      </c>
      <c r="J2532" s="3" t="s">
        <v>63</v>
      </c>
      <c r="K2532" s="3" t="s">
        <v>64</v>
      </c>
      <c r="L2532" s="2" t="s">
        <v>20715</v>
      </c>
      <c r="M2532" s="2" t="s">
        <v>21012</v>
      </c>
      <c r="N2532" s="3" t="s">
        <v>190</v>
      </c>
      <c r="P2532" s="3" t="s">
        <v>66</v>
      </c>
      <c r="R2532" s="3" t="s">
        <v>67</v>
      </c>
      <c r="S2532" s="4">
        <v>15</v>
      </c>
      <c r="T2532" s="4">
        <v>15</v>
      </c>
      <c r="U2532" s="5" t="s">
        <v>20947</v>
      </c>
      <c r="V2532" s="5" t="s">
        <v>20947</v>
      </c>
      <c r="W2532" s="5" t="s">
        <v>69</v>
      </c>
      <c r="X2532" s="5" t="s">
        <v>69</v>
      </c>
      <c r="Y2532" s="4">
        <v>510</v>
      </c>
      <c r="Z2532" s="4">
        <v>18</v>
      </c>
      <c r="AA2532" s="4">
        <v>18</v>
      </c>
      <c r="AB2532" s="4">
        <v>3</v>
      </c>
      <c r="AC2532" s="4">
        <v>3</v>
      </c>
      <c r="AD2532" s="4">
        <v>75</v>
      </c>
      <c r="AE2532" s="4">
        <v>75</v>
      </c>
      <c r="AF2532" s="4">
        <v>2</v>
      </c>
      <c r="AG2532" s="4">
        <v>2</v>
      </c>
      <c r="AH2532" s="4">
        <v>72</v>
      </c>
      <c r="AI2532" s="4">
        <v>72</v>
      </c>
      <c r="AJ2532" s="4">
        <v>6</v>
      </c>
      <c r="AK2532" s="4">
        <v>6</v>
      </c>
      <c r="AL2532" s="4">
        <v>41</v>
      </c>
      <c r="AM2532" s="4">
        <v>41</v>
      </c>
      <c r="AN2532" s="4">
        <v>0</v>
      </c>
      <c r="AO2532" s="4">
        <v>0</v>
      </c>
      <c r="AP2532" s="4">
        <v>7</v>
      </c>
      <c r="AQ2532" s="4">
        <v>7</v>
      </c>
      <c r="AR2532" s="3" t="s">
        <v>63</v>
      </c>
      <c r="AS2532" s="3" t="s">
        <v>63</v>
      </c>
      <c r="AT2532" s="3" t="s">
        <v>62</v>
      </c>
      <c r="AU2532" s="6" t="str">
        <f>HYPERLINK("http://catalog.hathitrust.org/Record/004966337","HathiTrust Record")</f>
        <v>HathiTrust Record</v>
      </c>
      <c r="AV2532" s="6" t="str">
        <f>HYPERLINK("http://mcgill.on.worldcat.org/oclc/55600586","Catalog Record")</f>
        <v>Catalog Record</v>
      </c>
      <c r="AW2532" s="6" t="str">
        <f>HYPERLINK("http://www.worldcat.org/oclc/55600586","WorldCat Record")</f>
        <v>WorldCat Record</v>
      </c>
      <c r="AX2532" s="3" t="s">
        <v>21013</v>
      </c>
      <c r="AY2532" s="3" t="s">
        <v>21014</v>
      </c>
      <c r="AZ2532" s="3" t="s">
        <v>21015</v>
      </c>
      <c r="BA2532" s="3" t="s">
        <v>21015</v>
      </c>
      <c r="BB2532" s="3" t="s">
        <v>21016</v>
      </c>
      <c r="BC2532" s="3" t="s">
        <v>82</v>
      </c>
      <c r="BD2532" s="3" t="s">
        <v>70</v>
      </c>
      <c r="BE2532" s="3" t="s">
        <v>21017</v>
      </c>
      <c r="BF2532" s="3" t="s">
        <v>21016</v>
      </c>
      <c r="BG2532" s="3" t="s">
        <v>21018</v>
      </c>
    </row>
    <row r="2533" spans="1:59" ht="75" x14ac:dyDescent="0.25">
      <c r="A2533" s="2" t="s">
        <v>59</v>
      </c>
      <c r="B2533" s="2" t="s">
        <v>60</v>
      </c>
      <c r="C2533" s="2" t="s">
        <v>21019</v>
      </c>
      <c r="D2533" s="2" t="s">
        <v>21020</v>
      </c>
      <c r="E2533" s="2" t="s">
        <v>21021</v>
      </c>
      <c r="G2533" s="3" t="s">
        <v>63</v>
      </c>
      <c r="I2533" s="3" t="s">
        <v>63</v>
      </c>
      <c r="J2533" s="3" t="s">
        <v>62</v>
      </c>
      <c r="K2533" s="3" t="s">
        <v>20971</v>
      </c>
      <c r="L2533" s="2" t="s">
        <v>20779</v>
      </c>
      <c r="M2533" s="2" t="s">
        <v>21022</v>
      </c>
      <c r="N2533" s="3" t="s">
        <v>106</v>
      </c>
      <c r="O2533" s="2" t="s">
        <v>21023</v>
      </c>
      <c r="P2533" s="3" t="s">
        <v>66</v>
      </c>
      <c r="R2533" s="3" t="s">
        <v>67</v>
      </c>
      <c r="S2533" s="4">
        <v>0</v>
      </c>
      <c r="T2533" s="4">
        <v>0</v>
      </c>
      <c r="W2533" s="5" t="s">
        <v>69</v>
      </c>
      <c r="X2533" s="5" t="s">
        <v>69</v>
      </c>
      <c r="Y2533" s="4">
        <v>105</v>
      </c>
      <c r="Z2533" s="4">
        <v>12</v>
      </c>
      <c r="AA2533" s="4">
        <v>203</v>
      </c>
      <c r="AB2533" s="4">
        <v>1</v>
      </c>
      <c r="AC2533" s="4">
        <v>26</v>
      </c>
      <c r="AD2533" s="4">
        <v>44</v>
      </c>
      <c r="AE2533" s="4">
        <v>174</v>
      </c>
      <c r="AF2533" s="4">
        <v>0</v>
      </c>
      <c r="AG2533" s="4">
        <v>8</v>
      </c>
      <c r="AH2533" s="4">
        <v>42</v>
      </c>
      <c r="AI2533" s="4">
        <v>116</v>
      </c>
      <c r="AJ2533" s="4">
        <v>7</v>
      </c>
      <c r="AK2533" s="4">
        <v>28</v>
      </c>
      <c r="AL2533" s="4">
        <v>28</v>
      </c>
      <c r="AM2533" s="4">
        <v>66</v>
      </c>
      <c r="AN2533" s="4">
        <v>0</v>
      </c>
      <c r="AO2533" s="4">
        <v>0</v>
      </c>
      <c r="AP2533" s="4">
        <v>7</v>
      </c>
      <c r="AQ2533" s="4">
        <v>61</v>
      </c>
      <c r="AR2533" s="3" t="s">
        <v>63</v>
      </c>
      <c r="AS2533" s="3" t="s">
        <v>63</v>
      </c>
      <c r="AT2533" s="3" t="s">
        <v>63</v>
      </c>
      <c r="AV2533" s="6" t="str">
        <f>HYPERLINK("http://mcgill.on.worldcat.org/oclc/908517447","Catalog Record")</f>
        <v>Catalog Record</v>
      </c>
      <c r="AW2533" s="6" t="str">
        <f>HYPERLINK("http://www.worldcat.org/oclc/908517447","WorldCat Record")</f>
        <v>WorldCat Record</v>
      </c>
      <c r="AX2533" s="3" t="s">
        <v>20973</v>
      </c>
      <c r="AY2533" s="3" t="s">
        <v>21024</v>
      </c>
      <c r="AZ2533" s="3" t="s">
        <v>21025</v>
      </c>
      <c r="BA2533" s="3" t="s">
        <v>21025</v>
      </c>
      <c r="BB2533" s="3" t="s">
        <v>21026</v>
      </c>
      <c r="BC2533" s="3" t="s">
        <v>82</v>
      </c>
      <c r="BD2533" s="3" t="s">
        <v>70</v>
      </c>
      <c r="BE2533" s="3" t="s">
        <v>21027</v>
      </c>
      <c r="BF2533" s="3" t="s">
        <v>21026</v>
      </c>
      <c r="BG2533" s="3" t="s">
        <v>21028</v>
      </c>
    </row>
    <row r="2534" spans="1:59" ht="60" x14ac:dyDescent="0.25">
      <c r="A2534" s="2" t="s">
        <v>59</v>
      </c>
      <c r="B2534" s="2" t="s">
        <v>60</v>
      </c>
      <c r="C2534" s="2" t="s">
        <v>21029</v>
      </c>
      <c r="D2534" s="2" t="s">
        <v>21030</v>
      </c>
      <c r="E2534" s="2" t="s">
        <v>21031</v>
      </c>
      <c r="G2534" s="3" t="s">
        <v>63</v>
      </c>
      <c r="I2534" s="3" t="s">
        <v>63</v>
      </c>
      <c r="J2534" s="3" t="s">
        <v>62</v>
      </c>
      <c r="K2534" s="3" t="s">
        <v>20971</v>
      </c>
      <c r="L2534" s="2" t="s">
        <v>20715</v>
      </c>
      <c r="M2534" s="2" t="s">
        <v>21032</v>
      </c>
      <c r="N2534" s="3" t="s">
        <v>1226</v>
      </c>
      <c r="P2534" s="3" t="s">
        <v>66</v>
      </c>
      <c r="Q2534" s="2" t="s">
        <v>21033</v>
      </c>
      <c r="R2534" s="3" t="s">
        <v>67</v>
      </c>
      <c r="S2534" s="4">
        <v>20</v>
      </c>
      <c r="T2534" s="4">
        <v>20</v>
      </c>
      <c r="U2534" s="5" t="s">
        <v>21034</v>
      </c>
      <c r="V2534" s="5" t="s">
        <v>21034</v>
      </c>
      <c r="W2534" s="5" t="s">
        <v>69</v>
      </c>
      <c r="X2534" s="5" t="s">
        <v>69</v>
      </c>
      <c r="Y2534" s="4">
        <v>218</v>
      </c>
      <c r="Z2534" s="4">
        <v>12</v>
      </c>
      <c r="AA2534" s="4">
        <v>203</v>
      </c>
      <c r="AB2534" s="4">
        <v>1</v>
      </c>
      <c r="AC2534" s="4">
        <v>26</v>
      </c>
      <c r="AD2534" s="4">
        <v>80</v>
      </c>
      <c r="AE2534" s="4">
        <v>174</v>
      </c>
      <c r="AF2534" s="4">
        <v>0</v>
      </c>
      <c r="AG2534" s="4">
        <v>8</v>
      </c>
      <c r="AH2534" s="4">
        <v>75</v>
      </c>
      <c r="AI2534" s="4">
        <v>116</v>
      </c>
      <c r="AJ2534" s="4">
        <v>6</v>
      </c>
      <c r="AK2534" s="4">
        <v>28</v>
      </c>
      <c r="AL2534" s="4">
        <v>47</v>
      </c>
      <c r="AM2534" s="4">
        <v>66</v>
      </c>
      <c r="AN2534" s="4">
        <v>0</v>
      </c>
      <c r="AO2534" s="4">
        <v>31</v>
      </c>
      <c r="AP2534" s="4">
        <v>6</v>
      </c>
      <c r="AQ2534" s="4">
        <v>61</v>
      </c>
      <c r="AR2534" s="3" t="s">
        <v>63</v>
      </c>
      <c r="AS2534" s="3" t="s">
        <v>63</v>
      </c>
      <c r="AT2534" s="3" t="s">
        <v>62</v>
      </c>
      <c r="AU2534" s="6" t="str">
        <f>HYPERLINK("http://catalog.hathitrust.org/Record/004347930","HathiTrust Record")</f>
        <v>HathiTrust Record</v>
      </c>
      <c r="AV2534" s="6" t="str">
        <f>HYPERLINK("http://mcgill.on.worldcat.org/oclc/52388002","Catalog Record")</f>
        <v>Catalog Record</v>
      </c>
      <c r="AW2534" s="6" t="str">
        <f>HYPERLINK("http://www.worldcat.org/oclc/52388002","WorldCat Record")</f>
        <v>WorldCat Record</v>
      </c>
      <c r="AX2534" s="3" t="s">
        <v>20973</v>
      </c>
      <c r="AY2534" s="3" t="s">
        <v>21035</v>
      </c>
      <c r="AZ2534" s="3" t="s">
        <v>21036</v>
      </c>
      <c r="BA2534" s="3" t="s">
        <v>21036</v>
      </c>
      <c r="BB2534" s="3" t="s">
        <v>21037</v>
      </c>
      <c r="BC2534" s="3" t="s">
        <v>82</v>
      </c>
      <c r="BD2534" s="3" t="s">
        <v>538</v>
      </c>
      <c r="BE2534" s="3" t="s">
        <v>21038</v>
      </c>
      <c r="BF2534" s="3" t="s">
        <v>21037</v>
      </c>
      <c r="BG2534" s="3" t="s">
        <v>21039</v>
      </c>
    </row>
    <row r="2535" spans="1:59" ht="60" x14ac:dyDescent="0.25">
      <c r="A2535" s="2" t="s">
        <v>59</v>
      </c>
      <c r="B2535" s="2" t="s">
        <v>60</v>
      </c>
      <c r="C2535" s="2" t="s">
        <v>21040</v>
      </c>
      <c r="D2535" s="2" t="s">
        <v>21041</v>
      </c>
      <c r="E2535" s="2" t="s">
        <v>21042</v>
      </c>
      <c r="G2535" s="3" t="s">
        <v>63</v>
      </c>
      <c r="I2535" s="3" t="s">
        <v>63</v>
      </c>
      <c r="J2535" s="3" t="s">
        <v>62</v>
      </c>
      <c r="K2535" s="3" t="s">
        <v>20971</v>
      </c>
      <c r="L2535" s="2" t="s">
        <v>20715</v>
      </c>
      <c r="M2535" s="2" t="s">
        <v>21043</v>
      </c>
      <c r="N2535" s="3" t="s">
        <v>2225</v>
      </c>
      <c r="P2535" s="3" t="s">
        <v>66</v>
      </c>
      <c r="Q2535" s="2" t="s">
        <v>21044</v>
      </c>
      <c r="R2535" s="3" t="s">
        <v>67</v>
      </c>
      <c r="S2535" s="4">
        <v>8</v>
      </c>
      <c r="T2535" s="4">
        <v>8</v>
      </c>
      <c r="U2535" s="5" t="s">
        <v>20930</v>
      </c>
      <c r="V2535" s="5" t="s">
        <v>20930</v>
      </c>
      <c r="W2535" s="5" t="s">
        <v>69</v>
      </c>
      <c r="X2535" s="5" t="s">
        <v>69</v>
      </c>
      <c r="Y2535" s="4">
        <v>302</v>
      </c>
      <c r="Z2535" s="4">
        <v>16</v>
      </c>
      <c r="AA2535" s="4">
        <v>203</v>
      </c>
      <c r="AB2535" s="4">
        <v>1</v>
      </c>
      <c r="AC2535" s="4">
        <v>26</v>
      </c>
      <c r="AD2535" s="4">
        <v>59</v>
      </c>
      <c r="AE2535" s="4">
        <v>174</v>
      </c>
      <c r="AF2535" s="4">
        <v>0</v>
      </c>
      <c r="AG2535" s="4">
        <v>8</v>
      </c>
      <c r="AH2535" s="4">
        <v>52</v>
      </c>
      <c r="AI2535" s="4">
        <v>116</v>
      </c>
      <c r="AJ2535" s="4">
        <v>10</v>
      </c>
      <c r="AK2535" s="4">
        <v>28</v>
      </c>
      <c r="AL2535" s="4">
        <v>25</v>
      </c>
      <c r="AM2535" s="4">
        <v>66</v>
      </c>
      <c r="AN2535" s="4">
        <v>0</v>
      </c>
      <c r="AO2535" s="4">
        <v>31</v>
      </c>
      <c r="AP2535" s="4">
        <v>12</v>
      </c>
      <c r="AQ2535" s="4">
        <v>61</v>
      </c>
      <c r="AR2535" s="3" t="s">
        <v>63</v>
      </c>
      <c r="AS2535" s="3" t="s">
        <v>63</v>
      </c>
      <c r="AT2535" s="3" t="s">
        <v>63</v>
      </c>
      <c r="AV2535" s="6" t="str">
        <f>HYPERLINK("http://mcgill.on.worldcat.org/oclc/1005623","Catalog Record")</f>
        <v>Catalog Record</v>
      </c>
      <c r="AW2535" s="6" t="str">
        <f>HYPERLINK("http://www.worldcat.org/oclc/1005623","WorldCat Record")</f>
        <v>WorldCat Record</v>
      </c>
      <c r="AX2535" s="3" t="s">
        <v>20973</v>
      </c>
      <c r="AY2535" s="3" t="s">
        <v>21045</v>
      </c>
      <c r="AZ2535" s="3" t="s">
        <v>21046</v>
      </c>
      <c r="BA2535" s="3" t="s">
        <v>21046</v>
      </c>
      <c r="BB2535" s="3" t="s">
        <v>21047</v>
      </c>
      <c r="BC2535" s="3" t="s">
        <v>82</v>
      </c>
      <c r="BD2535" s="3" t="s">
        <v>70</v>
      </c>
      <c r="BF2535" s="3" t="s">
        <v>21047</v>
      </c>
      <c r="BG2535" s="3" t="s">
        <v>21048</v>
      </c>
    </row>
    <row r="2536" spans="1:59" ht="60" x14ac:dyDescent="0.25">
      <c r="A2536" s="2" t="s">
        <v>59</v>
      </c>
      <c r="B2536" s="2" t="s">
        <v>60</v>
      </c>
      <c r="C2536" s="2" t="s">
        <v>21049</v>
      </c>
      <c r="D2536" s="2" t="s">
        <v>21050</v>
      </c>
      <c r="E2536" s="2" t="s">
        <v>21051</v>
      </c>
      <c r="G2536" s="3" t="s">
        <v>63</v>
      </c>
      <c r="I2536" s="3" t="s">
        <v>62</v>
      </c>
      <c r="J2536" s="3" t="s">
        <v>63</v>
      </c>
      <c r="K2536" s="3" t="s">
        <v>64</v>
      </c>
      <c r="L2536" s="2" t="s">
        <v>20715</v>
      </c>
      <c r="M2536" s="2" t="s">
        <v>2937</v>
      </c>
      <c r="N2536" s="3" t="s">
        <v>2459</v>
      </c>
      <c r="P2536" s="3" t="s">
        <v>66</v>
      </c>
      <c r="Q2536" s="2" t="s">
        <v>327</v>
      </c>
      <c r="R2536" s="3" t="s">
        <v>67</v>
      </c>
      <c r="S2536" s="4">
        <v>4</v>
      </c>
      <c r="T2536" s="4">
        <v>18</v>
      </c>
      <c r="U2536" s="5" t="s">
        <v>21052</v>
      </c>
      <c r="V2536" s="5" t="s">
        <v>1929</v>
      </c>
      <c r="W2536" s="5" t="s">
        <v>69</v>
      </c>
      <c r="X2536" s="5" t="s">
        <v>69</v>
      </c>
      <c r="Y2536" s="4">
        <v>18</v>
      </c>
      <c r="Z2536" s="4">
        <v>1</v>
      </c>
      <c r="AA2536" s="4">
        <v>124</v>
      </c>
      <c r="AB2536" s="4">
        <v>1</v>
      </c>
      <c r="AC2536" s="4">
        <v>19</v>
      </c>
      <c r="AD2536" s="4">
        <v>1</v>
      </c>
      <c r="AE2536" s="4">
        <v>138</v>
      </c>
      <c r="AF2536" s="4">
        <v>0</v>
      </c>
      <c r="AG2536" s="4">
        <v>8</v>
      </c>
      <c r="AH2536" s="4">
        <v>1</v>
      </c>
      <c r="AI2536" s="4">
        <v>99</v>
      </c>
      <c r="AJ2536" s="4">
        <v>0</v>
      </c>
      <c r="AK2536" s="4">
        <v>25</v>
      </c>
      <c r="AL2536" s="4">
        <v>1</v>
      </c>
      <c r="AM2536" s="4">
        <v>54</v>
      </c>
      <c r="AN2536" s="4">
        <v>0</v>
      </c>
      <c r="AO2536" s="4">
        <v>5</v>
      </c>
      <c r="AP2536" s="4">
        <v>0</v>
      </c>
      <c r="AQ2536" s="4">
        <v>48</v>
      </c>
      <c r="AR2536" s="3" t="s">
        <v>63</v>
      </c>
      <c r="AS2536" s="3" t="s">
        <v>63</v>
      </c>
      <c r="AT2536" s="3" t="s">
        <v>63</v>
      </c>
      <c r="AV2536" s="6" t="str">
        <f>HYPERLINK("http://mcgill.on.worldcat.org/oclc/226280275","Catalog Record")</f>
        <v>Catalog Record</v>
      </c>
      <c r="AW2536" s="6" t="str">
        <f>HYPERLINK("http://www.worldcat.org/oclc/226280275","WorldCat Record")</f>
        <v>WorldCat Record</v>
      </c>
      <c r="AX2536" s="3" t="s">
        <v>21053</v>
      </c>
      <c r="AY2536" s="3" t="s">
        <v>21054</v>
      </c>
      <c r="AZ2536" s="3" t="s">
        <v>21055</v>
      </c>
      <c r="BA2536" s="3" t="s">
        <v>21055</v>
      </c>
      <c r="BB2536" s="3" t="s">
        <v>21056</v>
      </c>
      <c r="BC2536" s="3" t="s">
        <v>82</v>
      </c>
      <c r="BD2536" s="3" t="s">
        <v>70</v>
      </c>
      <c r="BE2536" s="3" t="s">
        <v>21057</v>
      </c>
      <c r="BF2536" s="3" t="s">
        <v>21056</v>
      </c>
      <c r="BG2536" s="3" t="s">
        <v>21058</v>
      </c>
    </row>
    <row r="2537" spans="1:59" ht="60" x14ac:dyDescent="0.25">
      <c r="A2537" s="2" t="s">
        <v>59</v>
      </c>
      <c r="B2537" s="2" t="s">
        <v>60</v>
      </c>
      <c r="C2537" s="2" t="s">
        <v>21049</v>
      </c>
      <c r="D2537" s="2" t="s">
        <v>21050</v>
      </c>
      <c r="E2537" s="2" t="s">
        <v>21051</v>
      </c>
      <c r="G2537" s="3" t="s">
        <v>63</v>
      </c>
      <c r="I2537" s="3" t="s">
        <v>62</v>
      </c>
      <c r="J2537" s="3" t="s">
        <v>63</v>
      </c>
      <c r="K2537" s="3" t="s">
        <v>64</v>
      </c>
      <c r="L2537" s="2" t="s">
        <v>20715</v>
      </c>
      <c r="M2537" s="2" t="s">
        <v>2937</v>
      </c>
      <c r="N2537" s="3" t="s">
        <v>2459</v>
      </c>
      <c r="P2537" s="3" t="s">
        <v>66</v>
      </c>
      <c r="Q2537" s="2" t="s">
        <v>327</v>
      </c>
      <c r="R2537" s="3" t="s">
        <v>67</v>
      </c>
      <c r="S2537" s="4">
        <v>14</v>
      </c>
      <c r="T2537" s="4">
        <v>18</v>
      </c>
      <c r="U2537" s="5" t="s">
        <v>1929</v>
      </c>
      <c r="V2537" s="5" t="s">
        <v>1929</v>
      </c>
      <c r="W2537" s="5" t="s">
        <v>69</v>
      </c>
      <c r="X2537" s="5" t="s">
        <v>69</v>
      </c>
      <c r="Y2537" s="4">
        <v>18</v>
      </c>
      <c r="Z2537" s="4">
        <v>1</v>
      </c>
      <c r="AA2537" s="4">
        <v>124</v>
      </c>
      <c r="AB2537" s="4">
        <v>1</v>
      </c>
      <c r="AC2537" s="4">
        <v>19</v>
      </c>
      <c r="AD2537" s="4">
        <v>1</v>
      </c>
      <c r="AE2537" s="4">
        <v>138</v>
      </c>
      <c r="AF2537" s="4">
        <v>0</v>
      </c>
      <c r="AG2537" s="4">
        <v>8</v>
      </c>
      <c r="AH2537" s="4">
        <v>1</v>
      </c>
      <c r="AI2537" s="4">
        <v>99</v>
      </c>
      <c r="AJ2537" s="4">
        <v>0</v>
      </c>
      <c r="AK2537" s="4">
        <v>25</v>
      </c>
      <c r="AL2537" s="4">
        <v>1</v>
      </c>
      <c r="AM2537" s="4">
        <v>54</v>
      </c>
      <c r="AN2537" s="4">
        <v>0</v>
      </c>
      <c r="AO2537" s="4">
        <v>5</v>
      </c>
      <c r="AP2537" s="4">
        <v>0</v>
      </c>
      <c r="AQ2537" s="4">
        <v>48</v>
      </c>
      <c r="AR2537" s="3" t="s">
        <v>63</v>
      </c>
      <c r="AS2537" s="3" t="s">
        <v>63</v>
      </c>
      <c r="AT2537" s="3" t="s">
        <v>63</v>
      </c>
      <c r="AV2537" s="6" t="str">
        <f>HYPERLINK("http://mcgill.on.worldcat.org/oclc/226280275","Catalog Record")</f>
        <v>Catalog Record</v>
      </c>
      <c r="AW2537" s="6" t="str">
        <f>HYPERLINK("http://www.worldcat.org/oclc/226280275","WorldCat Record")</f>
        <v>WorldCat Record</v>
      </c>
      <c r="AX2537" s="3" t="s">
        <v>21053</v>
      </c>
      <c r="AY2537" s="3" t="s">
        <v>21054</v>
      </c>
      <c r="AZ2537" s="3" t="s">
        <v>21055</v>
      </c>
      <c r="BA2537" s="3" t="s">
        <v>21055</v>
      </c>
      <c r="BB2537" s="3" t="s">
        <v>21059</v>
      </c>
      <c r="BC2537" s="3" t="s">
        <v>82</v>
      </c>
      <c r="BD2537" s="3" t="s">
        <v>70</v>
      </c>
      <c r="BE2537" s="3" t="s">
        <v>21057</v>
      </c>
      <c r="BF2537" s="3" t="s">
        <v>21059</v>
      </c>
      <c r="BG2537" s="3" t="s">
        <v>21060</v>
      </c>
    </row>
    <row r="2538" spans="1:59" ht="60" x14ac:dyDescent="0.25">
      <c r="A2538" s="2" t="s">
        <v>59</v>
      </c>
      <c r="B2538" s="2" t="s">
        <v>60</v>
      </c>
      <c r="C2538" s="2" t="s">
        <v>21061</v>
      </c>
      <c r="D2538" s="2" t="s">
        <v>21062</v>
      </c>
      <c r="E2538" s="2" t="s">
        <v>21063</v>
      </c>
      <c r="G2538" s="3" t="s">
        <v>63</v>
      </c>
      <c r="I2538" s="3" t="s">
        <v>63</v>
      </c>
      <c r="J2538" s="3" t="s">
        <v>63</v>
      </c>
      <c r="K2538" s="3" t="s">
        <v>64</v>
      </c>
      <c r="L2538" s="2" t="s">
        <v>20779</v>
      </c>
      <c r="M2538" s="2" t="s">
        <v>21064</v>
      </c>
      <c r="N2538" s="3" t="s">
        <v>849</v>
      </c>
      <c r="P2538" s="3" t="s">
        <v>66</v>
      </c>
      <c r="Q2538" s="2" t="s">
        <v>11108</v>
      </c>
      <c r="R2538" s="3" t="s">
        <v>67</v>
      </c>
      <c r="S2538" s="4">
        <v>69</v>
      </c>
      <c r="T2538" s="4">
        <v>69</v>
      </c>
      <c r="U2538" s="5" t="s">
        <v>15471</v>
      </c>
      <c r="V2538" s="5" t="s">
        <v>15471</v>
      </c>
      <c r="W2538" s="5" t="s">
        <v>69</v>
      </c>
      <c r="X2538" s="5" t="s">
        <v>69</v>
      </c>
      <c r="Y2538" s="4">
        <v>1173</v>
      </c>
      <c r="Z2538" s="4">
        <v>41</v>
      </c>
      <c r="AA2538" s="4">
        <v>44</v>
      </c>
      <c r="AB2538" s="4">
        <v>1</v>
      </c>
      <c r="AC2538" s="4">
        <v>2</v>
      </c>
      <c r="AD2538" s="4">
        <v>114</v>
      </c>
      <c r="AE2538" s="4">
        <v>115</v>
      </c>
      <c r="AF2538" s="4">
        <v>0</v>
      </c>
      <c r="AG2538" s="4">
        <v>1</v>
      </c>
      <c r="AH2538" s="4">
        <v>100</v>
      </c>
      <c r="AI2538" s="4">
        <v>100</v>
      </c>
      <c r="AJ2538" s="4">
        <v>16</v>
      </c>
      <c r="AK2538" s="4">
        <v>17</v>
      </c>
      <c r="AL2538" s="4">
        <v>57</v>
      </c>
      <c r="AM2538" s="4">
        <v>57</v>
      </c>
      <c r="AN2538" s="4">
        <v>0</v>
      </c>
      <c r="AO2538" s="4">
        <v>0</v>
      </c>
      <c r="AP2538" s="4">
        <v>22</v>
      </c>
      <c r="AQ2538" s="4">
        <v>23</v>
      </c>
      <c r="AR2538" s="3" t="s">
        <v>63</v>
      </c>
      <c r="AS2538" s="3" t="s">
        <v>63</v>
      </c>
      <c r="AT2538" s="3" t="s">
        <v>63</v>
      </c>
      <c r="AV2538" s="6" t="str">
        <f>HYPERLINK("http://mcgill.on.worldcat.org/oclc/4036487","Catalog Record")</f>
        <v>Catalog Record</v>
      </c>
      <c r="AW2538" s="6" t="str">
        <f>HYPERLINK("http://www.worldcat.org/oclc/4036487","WorldCat Record")</f>
        <v>WorldCat Record</v>
      </c>
      <c r="AX2538" s="3" t="s">
        <v>21065</v>
      </c>
      <c r="AY2538" s="3" t="s">
        <v>21066</v>
      </c>
      <c r="AZ2538" s="3" t="s">
        <v>21067</v>
      </c>
      <c r="BA2538" s="3" t="s">
        <v>21067</v>
      </c>
      <c r="BB2538" s="3" t="s">
        <v>21068</v>
      </c>
      <c r="BC2538" s="3" t="s">
        <v>82</v>
      </c>
      <c r="BD2538" s="3" t="s">
        <v>1611</v>
      </c>
      <c r="BE2538" s="3" t="s">
        <v>21069</v>
      </c>
      <c r="BF2538" s="3" t="s">
        <v>21068</v>
      </c>
      <c r="BG2538" s="3" t="s">
        <v>21070</v>
      </c>
    </row>
    <row r="2539" spans="1:59" ht="75" x14ac:dyDescent="0.25">
      <c r="A2539" s="2" t="s">
        <v>59</v>
      </c>
      <c r="B2539" s="2" t="s">
        <v>60</v>
      </c>
      <c r="C2539" s="2" t="s">
        <v>21071</v>
      </c>
      <c r="D2539" s="2" t="s">
        <v>21072</v>
      </c>
      <c r="E2539" s="2" t="s">
        <v>21073</v>
      </c>
      <c r="G2539" s="3" t="s">
        <v>63</v>
      </c>
      <c r="I2539" s="3" t="s">
        <v>63</v>
      </c>
      <c r="J2539" s="3" t="s">
        <v>63</v>
      </c>
      <c r="K2539" s="3" t="s">
        <v>64</v>
      </c>
      <c r="L2539" s="2" t="s">
        <v>20715</v>
      </c>
      <c r="M2539" s="2" t="s">
        <v>21074</v>
      </c>
      <c r="N2539" s="3" t="s">
        <v>143</v>
      </c>
      <c r="P2539" s="3" t="s">
        <v>66</v>
      </c>
      <c r="R2539" s="3" t="s">
        <v>67</v>
      </c>
      <c r="S2539" s="4">
        <v>1</v>
      </c>
      <c r="T2539" s="4">
        <v>1</v>
      </c>
      <c r="U2539" s="5" t="s">
        <v>20947</v>
      </c>
      <c r="V2539" s="5" t="s">
        <v>20947</v>
      </c>
      <c r="W2539" s="5" t="s">
        <v>69</v>
      </c>
      <c r="X2539" s="5" t="s">
        <v>69</v>
      </c>
      <c r="Y2539" s="4">
        <v>110</v>
      </c>
      <c r="Z2539" s="4">
        <v>9</v>
      </c>
      <c r="AA2539" s="4">
        <v>12</v>
      </c>
      <c r="AB2539" s="4">
        <v>1</v>
      </c>
      <c r="AC2539" s="4">
        <v>3</v>
      </c>
      <c r="AD2539" s="4">
        <v>44</v>
      </c>
      <c r="AE2539" s="4">
        <v>46</v>
      </c>
      <c r="AF2539" s="4">
        <v>0</v>
      </c>
      <c r="AG2539" s="4">
        <v>0</v>
      </c>
      <c r="AH2539" s="4">
        <v>42</v>
      </c>
      <c r="AI2539" s="4">
        <v>44</v>
      </c>
      <c r="AJ2539" s="4">
        <v>6</v>
      </c>
      <c r="AK2539" s="4">
        <v>7</v>
      </c>
      <c r="AL2539" s="4">
        <v>28</v>
      </c>
      <c r="AM2539" s="4">
        <v>29</v>
      </c>
      <c r="AN2539" s="4">
        <v>0</v>
      </c>
      <c r="AO2539" s="4">
        <v>0</v>
      </c>
      <c r="AP2539" s="4">
        <v>6</v>
      </c>
      <c r="AQ2539" s="4">
        <v>7</v>
      </c>
      <c r="AR2539" s="3" t="s">
        <v>63</v>
      </c>
      <c r="AS2539" s="3" t="s">
        <v>63</v>
      </c>
      <c r="AT2539" s="3" t="s">
        <v>63</v>
      </c>
      <c r="AV2539" s="6" t="str">
        <f>HYPERLINK("http://mcgill.on.worldcat.org/oclc/869343228","Catalog Record")</f>
        <v>Catalog Record</v>
      </c>
      <c r="AW2539" s="6" t="str">
        <f>HYPERLINK("http://www.worldcat.org/oclc/869343228","WorldCat Record")</f>
        <v>WorldCat Record</v>
      </c>
      <c r="AX2539" s="3" t="s">
        <v>21075</v>
      </c>
      <c r="AY2539" s="3" t="s">
        <v>21076</v>
      </c>
      <c r="AZ2539" s="3" t="s">
        <v>21077</v>
      </c>
      <c r="BA2539" s="3" t="s">
        <v>21077</v>
      </c>
      <c r="BB2539" s="3" t="s">
        <v>21078</v>
      </c>
      <c r="BC2539" s="3" t="s">
        <v>82</v>
      </c>
      <c r="BD2539" s="3" t="s">
        <v>70</v>
      </c>
      <c r="BE2539" s="3" t="s">
        <v>21079</v>
      </c>
      <c r="BF2539" s="3" t="s">
        <v>21078</v>
      </c>
      <c r="BG2539" s="3" t="s">
        <v>21080</v>
      </c>
    </row>
    <row r="2540" spans="1:59" ht="60" x14ac:dyDescent="0.25">
      <c r="A2540" s="2" t="s">
        <v>59</v>
      </c>
      <c r="B2540" s="2" t="s">
        <v>60</v>
      </c>
      <c r="C2540" s="2" t="s">
        <v>21081</v>
      </c>
      <c r="D2540" s="2" t="s">
        <v>21082</v>
      </c>
      <c r="E2540" s="2" t="s">
        <v>21083</v>
      </c>
      <c r="G2540" s="3" t="s">
        <v>63</v>
      </c>
      <c r="I2540" s="3" t="s">
        <v>63</v>
      </c>
      <c r="J2540" s="3" t="s">
        <v>62</v>
      </c>
      <c r="K2540" s="3" t="s">
        <v>20971</v>
      </c>
      <c r="L2540" s="2" t="s">
        <v>20779</v>
      </c>
      <c r="M2540" s="2" t="s">
        <v>21084</v>
      </c>
      <c r="N2540" s="3" t="s">
        <v>1343</v>
      </c>
      <c r="P2540" s="3" t="s">
        <v>66</v>
      </c>
      <c r="R2540" s="3" t="s">
        <v>67</v>
      </c>
      <c r="S2540" s="4">
        <v>59</v>
      </c>
      <c r="T2540" s="4">
        <v>59</v>
      </c>
      <c r="U2540" s="5" t="s">
        <v>9925</v>
      </c>
      <c r="V2540" s="5" t="s">
        <v>9925</v>
      </c>
      <c r="W2540" s="5" t="s">
        <v>69</v>
      </c>
      <c r="X2540" s="5" t="s">
        <v>69</v>
      </c>
      <c r="Y2540" s="4">
        <v>536</v>
      </c>
      <c r="Z2540" s="4">
        <v>14</v>
      </c>
      <c r="AA2540" s="4">
        <v>203</v>
      </c>
      <c r="AB2540" s="4">
        <v>2</v>
      </c>
      <c r="AC2540" s="4">
        <v>26</v>
      </c>
      <c r="AD2540" s="4">
        <v>71</v>
      </c>
      <c r="AE2540" s="4">
        <v>174</v>
      </c>
      <c r="AF2540" s="4">
        <v>0</v>
      </c>
      <c r="AG2540" s="4">
        <v>8</v>
      </c>
      <c r="AH2540" s="4">
        <v>68</v>
      </c>
      <c r="AI2540" s="4">
        <v>116</v>
      </c>
      <c r="AJ2540" s="4">
        <v>4</v>
      </c>
      <c r="AK2540" s="4">
        <v>28</v>
      </c>
      <c r="AL2540" s="4">
        <v>41</v>
      </c>
      <c r="AM2540" s="4">
        <v>66</v>
      </c>
      <c r="AN2540" s="4">
        <v>0</v>
      </c>
      <c r="AO2540" s="4">
        <v>31</v>
      </c>
      <c r="AP2540" s="4">
        <v>4</v>
      </c>
      <c r="AQ2540" s="4">
        <v>61</v>
      </c>
      <c r="AR2540" s="3" t="s">
        <v>63</v>
      </c>
      <c r="AS2540" s="3" t="s">
        <v>63</v>
      </c>
      <c r="AT2540" s="3" t="s">
        <v>63</v>
      </c>
      <c r="AV2540" s="6" t="str">
        <f>HYPERLINK("http://mcgill.on.worldcat.org/oclc/43790819","Catalog Record")</f>
        <v>Catalog Record</v>
      </c>
      <c r="AW2540" s="6" t="str">
        <f>HYPERLINK("http://www.worldcat.org/oclc/43790819","WorldCat Record")</f>
        <v>WorldCat Record</v>
      </c>
      <c r="AX2540" s="3" t="s">
        <v>20973</v>
      </c>
      <c r="AY2540" s="3" t="s">
        <v>21085</v>
      </c>
      <c r="AZ2540" s="3" t="s">
        <v>21086</v>
      </c>
      <c r="BA2540" s="3" t="s">
        <v>21086</v>
      </c>
      <c r="BB2540" s="3" t="s">
        <v>21087</v>
      </c>
      <c r="BC2540" s="3" t="s">
        <v>82</v>
      </c>
      <c r="BD2540" s="3" t="s">
        <v>70</v>
      </c>
      <c r="BE2540" s="3" t="s">
        <v>21088</v>
      </c>
      <c r="BF2540" s="3" t="s">
        <v>21087</v>
      </c>
      <c r="BG2540" s="3" t="s">
        <v>21089</v>
      </c>
    </row>
    <row r="2541" spans="1:59" ht="75" x14ac:dyDescent="0.25">
      <c r="A2541" s="2" t="s">
        <v>59</v>
      </c>
      <c r="B2541" s="2" t="s">
        <v>60</v>
      </c>
      <c r="C2541" s="2" t="s">
        <v>21090</v>
      </c>
      <c r="D2541" s="2" t="s">
        <v>21091</v>
      </c>
      <c r="E2541" s="2" t="s">
        <v>21092</v>
      </c>
      <c r="G2541" s="3" t="s">
        <v>63</v>
      </c>
      <c r="I2541" s="3" t="s">
        <v>63</v>
      </c>
      <c r="J2541" s="3" t="s">
        <v>62</v>
      </c>
      <c r="K2541" s="3" t="s">
        <v>20971</v>
      </c>
      <c r="L2541" s="2" t="s">
        <v>20715</v>
      </c>
      <c r="M2541" s="2" t="s">
        <v>12266</v>
      </c>
      <c r="N2541" s="3" t="s">
        <v>693</v>
      </c>
      <c r="P2541" s="3" t="s">
        <v>66</v>
      </c>
      <c r="Q2541" s="2" t="s">
        <v>21093</v>
      </c>
      <c r="R2541" s="3" t="s">
        <v>67</v>
      </c>
      <c r="S2541" s="4">
        <v>32</v>
      </c>
      <c r="T2541" s="4">
        <v>32</v>
      </c>
      <c r="U2541" s="5" t="s">
        <v>3569</v>
      </c>
      <c r="V2541" s="5" t="s">
        <v>3569</v>
      </c>
      <c r="W2541" s="5" t="s">
        <v>69</v>
      </c>
      <c r="X2541" s="5" t="s">
        <v>69</v>
      </c>
      <c r="Y2541" s="4">
        <v>685</v>
      </c>
      <c r="Z2541" s="4">
        <v>13</v>
      </c>
      <c r="AA2541" s="4">
        <v>203</v>
      </c>
      <c r="AB2541" s="4">
        <v>1</v>
      </c>
      <c r="AC2541" s="4">
        <v>26</v>
      </c>
      <c r="AD2541" s="4">
        <v>78</v>
      </c>
      <c r="AE2541" s="4">
        <v>174</v>
      </c>
      <c r="AF2541" s="4">
        <v>0</v>
      </c>
      <c r="AG2541" s="4">
        <v>8</v>
      </c>
      <c r="AH2541" s="4">
        <v>73</v>
      </c>
      <c r="AI2541" s="4">
        <v>116</v>
      </c>
      <c r="AJ2541" s="4">
        <v>2</v>
      </c>
      <c r="AK2541" s="4">
        <v>28</v>
      </c>
      <c r="AL2541" s="4">
        <v>52</v>
      </c>
      <c r="AM2541" s="4">
        <v>66</v>
      </c>
      <c r="AN2541" s="4">
        <v>0</v>
      </c>
      <c r="AO2541" s="4">
        <v>31</v>
      </c>
      <c r="AP2541" s="4">
        <v>2</v>
      </c>
      <c r="AQ2541" s="4">
        <v>61</v>
      </c>
      <c r="AR2541" s="3" t="s">
        <v>63</v>
      </c>
      <c r="AS2541" s="3" t="s">
        <v>63</v>
      </c>
      <c r="AT2541" s="3" t="s">
        <v>63</v>
      </c>
      <c r="AV2541" s="6" t="str">
        <f>HYPERLINK("http://mcgill.on.worldcat.org/oclc/53331729","Catalog Record")</f>
        <v>Catalog Record</v>
      </c>
      <c r="AW2541" s="6" t="str">
        <f>HYPERLINK("http://www.worldcat.org/oclc/53331729","WorldCat Record")</f>
        <v>WorldCat Record</v>
      </c>
      <c r="AX2541" s="3" t="s">
        <v>20973</v>
      </c>
      <c r="AY2541" s="3" t="s">
        <v>21094</v>
      </c>
      <c r="AZ2541" s="3" t="s">
        <v>21095</v>
      </c>
      <c r="BA2541" s="3" t="s">
        <v>21095</v>
      </c>
      <c r="BB2541" s="3" t="s">
        <v>21096</v>
      </c>
      <c r="BC2541" s="3" t="s">
        <v>82</v>
      </c>
      <c r="BD2541" s="3" t="s">
        <v>70</v>
      </c>
      <c r="BE2541" s="3" t="s">
        <v>21097</v>
      </c>
      <c r="BF2541" s="3" t="s">
        <v>21096</v>
      </c>
      <c r="BG2541" s="3" t="s">
        <v>21098</v>
      </c>
    </row>
    <row r="2542" spans="1:59" ht="75" x14ac:dyDescent="0.25">
      <c r="A2542" s="2" t="s">
        <v>59</v>
      </c>
      <c r="B2542" s="2" t="s">
        <v>60</v>
      </c>
      <c r="C2542" s="2" t="s">
        <v>21099</v>
      </c>
      <c r="D2542" s="2" t="s">
        <v>21100</v>
      </c>
      <c r="E2542" s="2" t="s">
        <v>21101</v>
      </c>
      <c r="G2542" s="3" t="s">
        <v>63</v>
      </c>
      <c r="I2542" s="3" t="s">
        <v>63</v>
      </c>
      <c r="J2542" s="3" t="s">
        <v>62</v>
      </c>
      <c r="K2542" s="3" t="s">
        <v>20971</v>
      </c>
      <c r="L2542" s="2" t="s">
        <v>20779</v>
      </c>
      <c r="M2542" s="2" t="s">
        <v>21102</v>
      </c>
      <c r="N2542" s="3" t="s">
        <v>143</v>
      </c>
      <c r="P2542" s="3" t="s">
        <v>66</v>
      </c>
      <c r="Q2542" s="2" t="s">
        <v>12297</v>
      </c>
      <c r="R2542" s="3" t="s">
        <v>67</v>
      </c>
      <c r="S2542" s="4">
        <v>13</v>
      </c>
      <c r="T2542" s="4">
        <v>13</v>
      </c>
      <c r="U2542" s="5" t="s">
        <v>16029</v>
      </c>
      <c r="V2542" s="5" t="s">
        <v>16029</v>
      </c>
      <c r="W2542" s="5" t="s">
        <v>69</v>
      </c>
      <c r="X2542" s="5" t="s">
        <v>69</v>
      </c>
      <c r="Y2542" s="4">
        <v>168</v>
      </c>
      <c r="Z2542" s="4">
        <v>8</v>
      </c>
      <c r="AA2542" s="4">
        <v>203</v>
      </c>
      <c r="AB2542" s="4">
        <v>1</v>
      </c>
      <c r="AC2542" s="4">
        <v>26</v>
      </c>
      <c r="AD2542" s="4">
        <v>42</v>
      </c>
      <c r="AE2542" s="4">
        <v>174</v>
      </c>
      <c r="AF2542" s="4">
        <v>0</v>
      </c>
      <c r="AG2542" s="4">
        <v>8</v>
      </c>
      <c r="AH2542" s="4">
        <v>39</v>
      </c>
      <c r="AI2542" s="4">
        <v>116</v>
      </c>
      <c r="AJ2542" s="4">
        <v>4</v>
      </c>
      <c r="AK2542" s="4">
        <v>28</v>
      </c>
      <c r="AL2542" s="4">
        <v>26</v>
      </c>
      <c r="AM2542" s="4">
        <v>66</v>
      </c>
      <c r="AN2542" s="4">
        <v>0</v>
      </c>
      <c r="AO2542" s="4">
        <v>31</v>
      </c>
      <c r="AP2542" s="4">
        <v>5</v>
      </c>
      <c r="AQ2542" s="4">
        <v>61</v>
      </c>
      <c r="AR2542" s="3" t="s">
        <v>63</v>
      </c>
      <c r="AS2542" s="3" t="s">
        <v>63</v>
      </c>
      <c r="AT2542" s="3" t="s">
        <v>63</v>
      </c>
      <c r="AV2542" s="6" t="str">
        <f>HYPERLINK("http://mcgill.on.worldcat.org/oclc/855779283","Catalog Record")</f>
        <v>Catalog Record</v>
      </c>
      <c r="AW2542" s="6" t="str">
        <f>HYPERLINK("http://www.worldcat.org/oclc/855779283","WorldCat Record")</f>
        <v>WorldCat Record</v>
      </c>
      <c r="AX2542" s="3" t="s">
        <v>20973</v>
      </c>
      <c r="AY2542" s="3" t="s">
        <v>21103</v>
      </c>
      <c r="AZ2542" s="3" t="s">
        <v>21104</v>
      </c>
      <c r="BA2542" s="3" t="s">
        <v>21104</v>
      </c>
      <c r="BB2542" s="3" t="s">
        <v>21105</v>
      </c>
      <c r="BC2542" s="3" t="s">
        <v>82</v>
      </c>
      <c r="BD2542" s="3" t="s">
        <v>70</v>
      </c>
      <c r="BE2542" s="3" t="s">
        <v>21106</v>
      </c>
      <c r="BF2542" s="3" t="s">
        <v>21105</v>
      </c>
      <c r="BG2542" s="3" t="s">
        <v>21107</v>
      </c>
    </row>
    <row r="2543" spans="1:59" ht="60" x14ac:dyDescent="0.25">
      <c r="A2543" s="2" t="s">
        <v>59</v>
      </c>
      <c r="B2543" s="2" t="s">
        <v>60</v>
      </c>
      <c r="C2543" s="2" t="s">
        <v>21108</v>
      </c>
      <c r="D2543" s="2" t="s">
        <v>21109</v>
      </c>
      <c r="E2543" s="2" t="s">
        <v>21110</v>
      </c>
      <c r="G2543" s="3" t="s">
        <v>63</v>
      </c>
      <c r="I2543" s="3" t="s">
        <v>62</v>
      </c>
      <c r="J2543" s="3" t="s">
        <v>62</v>
      </c>
      <c r="K2543" s="3" t="s">
        <v>64</v>
      </c>
      <c r="L2543" s="2" t="s">
        <v>20715</v>
      </c>
      <c r="M2543" s="2" t="s">
        <v>21111</v>
      </c>
      <c r="N2543" s="3" t="s">
        <v>758</v>
      </c>
      <c r="P2543" s="3" t="s">
        <v>66</v>
      </c>
      <c r="Q2543" s="2" t="s">
        <v>21112</v>
      </c>
      <c r="R2543" s="3" t="s">
        <v>67</v>
      </c>
      <c r="S2543" s="4">
        <v>5</v>
      </c>
      <c r="T2543" s="4">
        <v>37</v>
      </c>
      <c r="U2543" s="5" t="s">
        <v>21113</v>
      </c>
      <c r="V2543" s="5" t="s">
        <v>21114</v>
      </c>
      <c r="W2543" s="5" t="s">
        <v>69</v>
      </c>
      <c r="X2543" s="5" t="s">
        <v>69</v>
      </c>
      <c r="Y2543" s="4">
        <v>1</v>
      </c>
      <c r="Z2543" s="4">
        <v>1</v>
      </c>
      <c r="AA2543" s="4">
        <v>67</v>
      </c>
      <c r="AB2543" s="4">
        <v>1</v>
      </c>
      <c r="AC2543" s="4">
        <v>5</v>
      </c>
      <c r="AD2543" s="4">
        <v>0</v>
      </c>
      <c r="AE2543" s="4">
        <v>140</v>
      </c>
      <c r="AF2543" s="4">
        <v>0</v>
      </c>
      <c r="AG2543" s="4">
        <v>3</v>
      </c>
      <c r="AH2543" s="4">
        <v>0</v>
      </c>
      <c r="AI2543" s="4">
        <v>110</v>
      </c>
      <c r="AJ2543" s="4">
        <v>0</v>
      </c>
      <c r="AK2543" s="4">
        <v>21</v>
      </c>
      <c r="AL2543" s="4">
        <v>0</v>
      </c>
      <c r="AM2543" s="4">
        <v>60</v>
      </c>
      <c r="AN2543" s="4">
        <v>0</v>
      </c>
      <c r="AO2543" s="4">
        <v>0</v>
      </c>
      <c r="AP2543" s="4">
        <v>0</v>
      </c>
      <c r="AQ2543" s="4">
        <v>35</v>
      </c>
      <c r="AR2543" s="3" t="s">
        <v>63</v>
      </c>
      <c r="AS2543" s="3" t="s">
        <v>63</v>
      </c>
      <c r="AT2543" s="3" t="s">
        <v>63</v>
      </c>
      <c r="AV2543" s="6" t="str">
        <f>HYPERLINK("http://mcgill.on.worldcat.org/oclc/427855419","Catalog Record")</f>
        <v>Catalog Record</v>
      </c>
      <c r="AW2543" s="6" t="str">
        <f>HYPERLINK("http://www.worldcat.org/oclc/427855419","WorldCat Record")</f>
        <v>WorldCat Record</v>
      </c>
      <c r="AX2543" s="3" t="s">
        <v>21115</v>
      </c>
      <c r="AY2543" s="3" t="s">
        <v>21116</v>
      </c>
      <c r="AZ2543" s="3" t="s">
        <v>21117</v>
      </c>
      <c r="BA2543" s="3" t="s">
        <v>21117</v>
      </c>
      <c r="BB2543" s="3" t="s">
        <v>21118</v>
      </c>
      <c r="BC2543" s="3" t="s">
        <v>82</v>
      </c>
      <c r="BD2543" s="3" t="s">
        <v>70</v>
      </c>
      <c r="BF2543" s="3" t="s">
        <v>21118</v>
      </c>
      <c r="BG2543" s="3" t="s">
        <v>21119</v>
      </c>
    </row>
    <row r="2544" spans="1:59" ht="60" x14ac:dyDescent="0.25">
      <c r="A2544" s="2" t="s">
        <v>59</v>
      </c>
      <c r="B2544" s="2" t="s">
        <v>60</v>
      </c>
      <c r="C2544" s="2" t="s">
        <v>21108</v>
      </c>
      <c r="D2544" s="2" t="s">
        <v>21109</v>
      </c>
      <c r="E2544" s="2" t="s">
        <v>21110</v>
      </c>
      <c r="G2544" s="3" t="s">
        <v>63</v>
      </c>
      <c r="I2544" s="3" t="s">
        <v>62</v>
      </c>
      <c r="J2544" s="3" t="s">
        <v>62</v>
      </c>
      <c r="K2544" s="3" t="s">
        <v>64</v>
      </c>
      <c r="L2544" s="2" t="s">
        <v>20715</v>
      </c>
      <c r="M2544" s="2" t="s">
        <v>21111</v>
      </c>
      <c r="N2544" s="3" t="s">
        <v>758</v>
      </c>
      <c r="P2544" s="3" t="s">
        <v>66</v>
      </c>
      <c r="Q2544" s="2" t="s">
        <v>21112</v>
      </c>
      <c r="R2544" s="3" t="s">
        <v>67</v>
      </c>
      <c r="S2544" s="4">
        <v>16</v>
      </c>
      <c r="T2544" s="4">
        <v>37</v>
      </c>
      <c r="U2544" s="5" t="s">
        <v>21114</v>
      </c>
      <c r="V2544" s="5" t="s">
        <v>21114</v>
      </c>
      <c r="W2544" s="5" t="s">
        <v>69</v>
      </c>
      <c r="X2544" s="5" t="s">
        <v>69</v>
      </c>
      <c r="Y2544" s="4">
        <v>1</v>
      </c>
      <c r="Z2544" s="4">
        <v>1</v>
      </c>
      <c r="AA2544" s="4">
        <v>67</v>
      </c>
      <c r="AB2544" s="4">
        <v>1</v>
      </c>
      <c r="AC2544" s="4">
        <v>5</v>
      </c>
      <c r="AD2544" s="4">
        <v>0</v>
      </c>
      <c r="AE2544" s="4">
        <v>140</v>
      </c>
      <c r="AF2544" s="4">
        <v>0</v>
      </c>
      <c r="AG2544" s="4">
        <v>3</v>
      </c>
      <c r="AH2544" s="4">
        <v>0</v>
      </c>
      <c r="AI2544" s="4">
        <v>110</v>
      </c>
      <c r="AJ2544" s="4">
        <v>0</v>
      </c>
      <c r="AK2544" s="4">
        <v>21</v>
      </c>
      <c r="AL2544" s="4">
        <v>0</v>
      </c>
      <c r="AM2544" s="4">
        <v>60</v>
      </c>
      <c r="AN2544" s="4">
        <v>0</v>
      </c>
      <c r="AO2544" s="4">
        <v>0</v>
      </c>
      <c r="AP2544" s="4">
        <v>0</v>
      </c>
      <c r="AQ2544" s="4">
        <v>35</v>
      </c>
      <c r="AR2544" s="3" t="s">
        <v>63</v>
      </c>
      <c r="AS2544" s="3" t="s">
        <v>63</v>
      </c>
      <c r="AT2544" s="3" t="s">
        <v>63</v>
      </c>
      <c r="AV2544" s="6" t="str">
        <f>HYPERLINK("http://mcgill.on.worldcat.org/oclc/427855419","Catalog Record")</f>
        <v>Catalog Record</v>
      </c>
      <c r="AW2544" s="6" t="str">
        <f>HYPERLINK("http://www.worldcat.org/oclc/427855419","WorldCat Record")</f>
        <v>WorldCat Record</v>
      </c>
      <c r="AX2544" s="3" t="s">
        <v>21115</v>
      </c>
      <c r="AY2544" s="3" t="s">
        <v>21116</v>
      </c>
      <c r="AZ2544" s="3" t="s">
        <v>21117</v>
      </c>
      <c r="BA2544" s="3" t="s">
        <v>21117</v>
      </c>
      <c r="BB2544" s="3" t="s">
        <v>21120</v>
      </c>
      <c r="BC2544" s="3" t="s">
        <v>82</v>
      </c>
      <c r="BD2544" s="3" t="s">
        <v>70</v>
      </c>
      <c r="BF2544" s="3" t="s">
        <v>21120</v>
      </c>
      <c r="BG2544" s="3" t="s">
        <v>21121</v>
      </c>
    </row>
    <row r="2545" spans="1:59" ht="60" x14ac:dyDescent="0.25">
      <c r="A2545" s="2" t="s">
        <v>59</v>
      </c>
      <c r="B2545" s="2" t="s">
        <v>60</v>
      </c>
      <c r="C2545" s="2" t="s">
        <v>21108</v>
      </c>
      <c r="D2545" s="2" t="s">
        <v>21109</v>
      </c>
      <c r="E2545" s="2" t="s">
        <v>21110</v>
      </c>
      <c r="G2545" s="3" t="s">
        <v>63</v>
      </c>
      <c r="I2545" s="3" t="s">
        <v>62</v>
      </c>
      <c r="J2545" s="3" t="s">
        <v>62</v>
      </c>
      <c r="K2545" s="3" t="s">
        <v>64</v>
      </c>
      <c r="L2545" s="2" t="s">
        <v>20715</v>
      </c>
      <c r="M2545" s="2" t="s">
        <v>21111</v>
      </c>
      <c r="N2545" s="3" t="s">
        <v>758</v>
      </c>
      <c r="P2545" s="3" t="s">
        <v>66</v>
      </c>
      <c r="Q2545" s="2" t="s">
        <v>21112</v>
      </c>
      <c r="R2545" s="3" t="s">
        <v>67</v>
      </c>
      <c r="S2545" s="4">
        <v>7</v>
      </c>
      <c r="T2545" s="4">
        <v>37</v>
      </c>
      <c r="U2545" s="5" t="s">
        <v>21122</v>
      </c>
      <c r="V2545" s="5" t="s">
        <v>21114</v>
      </c>
      <c r="W2545" s="5" t="s">
        <v>69</v>
      </c>
      <c r="X2545" s="5" t="s">
        <v>69</v>
      </c>
      <c r="Y2545" s="4">
        <v>1</v>
      </c>
      <c r="Z2545" s="4">
        <v>1</v>
      </c>
      <c r="AA2545" s="4">
        <v>67</v>
      </c>
      <c r="AB2545" s="4">
        <v>1</v>
      </c>
      <c r="AC2545" s="4">
        <v>5</v>
      </c>
      <c r="AD2545" s="4">
        <v>0</v>
      </c>
      <c r="AE2545" s="4">
        <v>140</v>
      </c>
      <c r="AF2545" s="4">
        <v>0</v>
      </c>
      <c r="AG2545" s="4">
        <v>3</v>
      </c>
      <c r="AH2545" s="4">
        <v>0</v>
      </c>
      <c r="AI2545" s="4">
        <v>110</v>
      </c>
      <c r="AJ2545" s="4">
        <v>0</v>
      </c>
      <c r="AK2545" s="4">
        <v>21</v>
      </c>
      <c r="AL2545" s="4">
        <v>0</v>
      </c>
      <c r="AM2545" s="4">
        <v>60</v>
      </c>
      <c r="AN2545" s="4">
        <v>0</v>
      </c>
      <c r="AO2545" s="4">
        <v>0</v>
      </c>
      <c r="AP2545" s="4">
        <v>0</v>
      </c>
      <c r="AQ2545" s="4">
        <v>35</v>
      </c>
      <c r="AR2545" s="3" t="s">
        <v>63</v>
      </c>
      <c r="AS2545" s="3" t="s">
        <v>63</v>
      </c>
      <c r="AT2545" s="3" t="s">
        <v>63</v>
      </c>
      <c r="AV2545" s="6" t="str">
        <f>HYPERLINK("http://mcgill.on.worldcat.org/oclc/427855419","Catalog Record")</f>
        <v>Catalog Record</v>
      </c>
      <c r="AW2545" s="6" t="str">
        <f>HYPERLINK("http://www.worldcat.org/oclc/427855419","WorldCat Record")</f>
        <v>WorldCat Record</v>
      </c>
      <c r="AX2545" s="3" t="s">
        <v>21115</v>
      </c>
      <c r="AY2545" s="3" t="s">
        <v>21116</v>
      </c>
      <c r="AZ2545" s="3" t="s">
        <v>21117</v>
      </c>
      <c r="BA2545" s="3" t="s">
        <v>21117</v>
      </c>
      <c r="BB2545" s="3" t="s">
        <v>21123</v>
      </c>
      <c r="BC2545" s="3" t="s">
        <v>82</v>
      </c>
      <c r="BD2545" s="3" t="s">
        <v>70</v>
      </c>
      <c r="BF2545" s="3" t="s">
        <v>21123</v>
      </c>
      <c r="BG2545" s="3" t="s">
        <v>21124</v>
      </c>
    </row>
    <row r="2546" spans="1:59" ht="60" x14ac:dyDescent="0.25">
      <c r="A2546" s="2" t="s">
        <v>59</v>
      </c>
      <c r="B2546" s="2" t="s">
        <v>60</v>
      </c>
      <c r="C2546" s="2" t="s">
        <v>21108</v>
      </c>
      <c r="D2546" s="2" t="s">
        <v>21109</v>
      </c>
      <c r="E2546" s="2" t="s">
        <v>21110</v>
      </c>
      <c r="G2546" s="3" t="s">
        <v>63</v>
      </c>
      <c r="I2546" s="3" t="s">
        <v>62</v>
      </c>
      <c r="J2546" s="3" t="s">
        <v>62</v>
      </c>
      <c r="K2546" s="3" t="s">
        <v>64</v>
      </c>
      <c r="L2546" s="2" t="s">
        <v>20715</v>
      </c>
      <c r="M2546" s="2" t="s">
        <v>21111</v>
      </c>
      <c r="N2546" s="3" t="s">
        <v>758</v>
      </c>
      <c r="P2546" s="3" t="s">
        <v>66</v>
      </c>
      <c r="Q2546" s="2" t="s">
        <v>21112</v>
      </c>
      <c r="R2546" s="3" t="s">
        <v>67</v>
      </c>
      <c r="S2546" s="4">
        <v>9</v>
      </c>
      <c r="T2546" s="4">
        <v>37</v>
      </c>
      <c r="U2546" s="5" t="s">
        <v>21125</v>
      </c>
      <c r="V2546" s="5" t="s">
        <v>21114</v>
      </c>
      <c r="W2546" s="5" t="s">
        <v>69</v>
      </c>
      <c r="X2546" s="5" t="s">
        <v>69</v>
      </c>
      <c r="Y2546" s="4">
        <v>1</v>
      </c>
      <c r="Z2546" s="4">
        <v>1</v>
      </c>
      <c r="AA2546" s="4">
        <v>67</v>
      </c>
      <c r="AB2546" s="4">
        <v>1</v>
      </c>
      <c r="AC2546" s="4">
        <v>5</v>
      </c>
      <c r="AD2546" s="4">
        <v>0</v>
      </c>
      <c r="AE2546" s="4">
        <v>140</v>
      </c>
      <c r="AF2546" s="4">
        <v>0</v>
      </c>
      <c r="AG2546" s="4">
        <v>3</v>
      </c>
      <c r="AH2546" s="4">
        <v>0</v>
      </c>
      <c r="AI2546" s="4">
        <v>110</v>
      </c>
      <c r="AJ2546" s="4">
        <v>0</v>
      </c>
      <c r="AK2546" s="4">
        <v>21</v>
      </c>
      <c r="AL2546" s="4">
        <v>0</v>
      </c>
      <c r="AM2546" s="4">
        <v>60</v>
      </c>
      <c r="AN2546" s="4">
        <v>0</v>
      </c>
      <c r="AO2546" s="4">
        <v>0</v>
      </c>
      <c r="AP2546" s="4">
        <v>0</v>
      </c>
      <c r="AQ2546" s="4">
        <v>35</v>
      </c>
      <c r="AR2546" s="3" t="s">
        <v>63</v>
      </c>
      <c r="AS2546" s="3" t="s">
        <v>63</v>
      </c>
      <c r="AT2546" s="3" t="s">
        <v>63</v>
      </c>
      <c r="AV2546" s="6" t="str">
        <f>HYPERLINK("http://mcgill.on.worldcat.org/oclc/427855419","Catalog Record")</f>
        <v>Catalog Record</v>
      </c>
      <c r="AW2546" s="6" t="str">
        <f>HYPERLINK("http://www.worldcat.org/oclc/427855419","WorldCat Record")</f>
        <v>WorldCat Record</v>
      </c>
      <c r="AX2546" s="3" t="s">
        <v>21115</v>
      </c>
      <c r="AY2546" s="3" t="s">
        <v>21116</v>
      </c>
      <c r="AZ2546" s="3" t="s">
        <v>21117</v>
      </c>
      <c r="BA2546" s="3" t="s">
        <v>21117</v>
      </c>
      <c r="BB2546" s="3" t="s">
        <v>21126</v>
      </c>
      <c r="BC2546" s="3" t="s">
        <v>82</v>
      </c>
      <c r="BD2546" s="3" t="s">
        <v>70</v>
      </c>
      <c r="BF2546" s="3" t="s">
        <v>21126</v>
      </c>
      <c r="BG2546" s="3" t="s">
        <v>21127</v>
      </c>
    </row>
    <row r="2547" spans="1:59" ht="60" x14ac:dyDescent="0.25">
      <c r="A2547" s="2" t="s">
        <v>59</v>
      </c>
      <c r="B2547" s="2" t="s">
        <v>60</v>
      </c>
      <c r="C2547" s="2" t="s">
        <v>21128</v>
      </c>
      <c r="D2547" s="2" t="s">
        <v>21129</v>
      </c>
      <c r="E2547" s="2" t="s">
        <v>21130</v>
      </c>
      <c r="G2547" s="3" t="s">
        <v>63</v>
      </c>
      <c r="I2547" s="3" t="s">
        <v>63</v>
      </c>
      <c r="J2547" s="3" t="s">
        <v>62</v>
      </c>
      <c r="K2547" s="3" t="s">
        <v>20971</v>
      </c>
      <c r="L2547" s="2" t="s">
        <v>20715</v>
      </c>
      <c r="M2547" s="2" t="s">
        <v>21131</v>
      </c>
      <c r="N2547" s="3" t="s">
        <v>274</v>
      </c>
      <c r="P2547" s="3" t="s">
        <v>66</v>
      </c>
      <c r="R2547" s="3" t="s">
        <v>67</v>
      </c>
      <c r="S2547" s="4">
        <v>40</v>
      </c>
      <c r="T2547" s="4">
        <v>40</v>
      </c>
      <c r="U2547" s="5" t="s">
        <v>12287</v>
      </c>
      <c r="V2547" s="5" t="s">
        <v>12287</v>
      </c>
      <c r="W2547" s="5" t="s">
        <v>69</v>
      </c>
      <c r="X2547" s="5" t="s">
        <v>69</v>
      </c>
      <c r="Y2547" s="4">
        <v>440</v>
      </c>
      <c r="Z2547" s="4">
        <v>11</v>
      </c>
      <c r="AA2547" s="4">
        <v>203</v>
      </c>
      <c r="AB2547" s="4">
        <v>1</v>
      </c>
      <c r="AC2547" s="4">
        <v>26</v>
      </c>
      <c r="AD2547" s="4">
        <v>64</v>
      </c>
      <c r="AE2547" s="4">
        <v>174</v>
      </c>
      <c r="AF2547" s="4">
        <v>0</v>
      </c>
      <c r="AG2547" s="4">
        <v>8</v>
      </c>
      <c r="AH2547" s="4">
        <v>62</v>
      </c>
      <c r="AI2547" s="4">
        <v>116</v>
      </c>
      <c r="AJ2547" s="4">
        <v>2</v>
      </c>
      <c r="AK2547" s="4">
        <v>28</v>
      </c>
      <c r="AL2547" s="4">
        <v>38</v>
      </c>
      <c r="AM2547" s="4">
        <v>66</v>
      </c>
      <c r="AN2547" s="4">
        <v>0</v>
      </c>
      <c r="AO2547" s="4">
        <v>31</v>
      </c>
      <c r="AP2547" s="4">
        <v>2</v>
      </c>
      <c r="AQ2547" s="4">
        <v>61</v>
      </c>
      <c r="AR2547" s="3" t="s">
        <v>63</v>
      </c>
      <c r="AS2547" s="3" t="s">
        <v>63</v>
      </c>
      <c r="AT2547" s="3" t="s">
        <v>63</v>
      </c>
      <c r="AV2547" s="6" t="str">
        <f>HYPERLINK("http://mcgill.on.worldcat.org/oclc/39024687","Catalog Record")</f>
        <v>Catalog Record</v>
      </c>
      <c r="AW2547" s="6" t="str">
        <f>HYPERLINK("http://www.worldcat.org/oclc/39024687","WorldCat Record")</f>
        <v>WorldCat Record</v>
      </c>
      <c r="AX2547" s="3" t="s">
        <v>20973</v>
      </c>
      <c r="AY2547" s="3" t="s">
        <v>21132</v>
      </c>
      <c r="AZ2547" s="3" t="s">
        <v>21133</v>
      </c>
      <c r="BA2547" s="3" t="s">
        <v>21133</v>
      </c>
      <c r="BB2547" s="3" t="s">
        <v>21134</v>
      </c>
      <c r="BC2547" s="3" t="s">
        <v>82</v>
      </c>
      <c r="BD2547" s="3" t="s">
        <v>70</v>
      </c>
      <c r="BE2547" s="3" t="s">
        <v>21135</v>
      </c>
      <c r="BF2547" s="3" t="s">
        <v>21134</v>
      </c>
      <c r="BG2547" s="3" t="s">
        <v>21136</v>
      </c>
    </row>
    <row r="2548" spans="1:59" ht="60" x14ac:dyDescent="0.25">
      <c r="A2548" s="2" t="s">
        <v>59</v>
      </c>
      <c r="B2548" s="2" t="s">
        <v>60</v>
      </c>
      <c r="C2548" s="2" t="s">
        <v>21137</v>
      </c>
      <c r="D2548" s="2" t="s">
        <v>21138</v>
      </c>
      <c r="E2548" s="2" t="s">
        <v>21139</v>
      </c>
      <c r="G2548" s="3" t="s">
        <v>63</v>
      </c>
      <c r="I2548" s="3" t="s">
        <v>63</v>
      </c>
      <c r="J2548" s="3" t="s">
        <v>62</v>
      </c>
      <c r="K2548" s="3" t="s">
        <v>20971</v>
      </c>
      <c r="L2548" s="2" t="s">
        <v>20715</v>
      </c>
      <c r="M2548" s="2" t="s">
        <v>21131</v>
      </c>
      <c r="N2548" s="3" t="s">
        <v>274</v>
      </c>
      <c r="P2548" s="3" t="s">
        <v>66</v>
      </c>
      <c r="R2548" s="3" t="s">
        <v>67</v>
      </c>
      <c r="S2548" s="4">
        <v>28</v>
      </c>
      <c r="T2548" s="4">
        <v>28</v>
      </c>
      <c r="U2548" s="5" t="s">
        <v>20705</v>
      </c>
      <c r="V2548" s="5" t="s">
        <v>20705</v>
      </c>
      <c r="W2548" s="5" t="s">
        <v>69</v>
      </c>
      <c r="X2548" s="5" t="s">
        <v>69</v>
      </c>
      <c r="Y2548" s="4">
        <v>407</v>
      </c>
      <c r="Z2548" s="4">
        <v>7</v>
      </c>
      <c r="AA2548" s="4">
        <v>203</v>
      </c>
      <c r="AB2548" s="4">
        <v>1</v>
      </c>
      <c r="AC2548" s="4">
        <v>26</v>
      </c>
      <c r="AD2548" s="4">
        <v>61</v>
      </c>
      <c r="AE2548" s="4">
        <v>174</v>
      </c>
      <c r="AF2548" s="4">
        <v>0</v>
      </c>
      <c r="AG2548" s="4">
        <v>8</v>
      </c>
      <c r="AH2548" s="4">
        <v>60</v>
      </c>
      <c r="AI2548" s="4">
        <v>116</v>
      </c>
      <c r="AJ2548" s="4">
        <v>1</v>
      </c>
      <c r="AK2548" s="4">
        <v>28</v>
      </c>
      <c r="AL2548" s="4">
        <v>38</v>
      </c>
      <c r="AM2548" s="4">
        <v>66</v>
      </c>
      <c r="AN2548" s="4">
        <v>0</v>
      </c>
      <c r="AO2548" s="4">
        <v>31</v>
      </c>
      <c r="AP2548" s="4">
        <v>1</v>
      </c>
      <c r="AQ2548" s="4">
        <v>61</v>
      </c>
      <c r="AR2548" s="3" t="s">
        <v>63</v>
      </c>
      <c r="AS2548" s="3" t="s">
        <v>63</v>
      </c>
      <c r="AT2548" s="3" t="s">
        <v>63</v>
      </c>
      <c r="AV2548" s="6" t="str">
        <f>HYPERLINK("http://mcgill.on.worldcat.org/oclc/39024689","Catalog Record")</f>
        <v>Catalog Record</v>
      </c>
      <c r="AW2548" s="6" t="str">
        <f>HYPERLINK("http://www.worldcat.org/oclc/39024689","WorldCat Record")</f>
        <v>WorldCat Record</v>
      </c>
      <c r="AX2548" s="3" t="s">
        <v>20973</v>
      </c>
      <c r="AY2548" s="3" t="s">
        <v>21140</v>
      </c>
      <c r="AZ2548" s="3" t="s">
        <v>21141</v>
      </c>
      <c r="BA2548" s="3" t="s">
        <v>21141</v>
      </c>
      <c r="BB2548" s="3" t="s">
        <v>21142</v>
      </c>
      <c r="BC2548" s="3" t="s">
        <v>82</v>
      </c>
      <c r="BD2548" s="3" t="s">
        <v>70</v>
      </c>
      <c r="BE2548" s="3" t="s">
        <v>21143</v>
      </c>
      <c r="BF2548" s="3" t="s">
        <v>21142</v>
      </c>
      <c r="BG2548" s="3" t="s">
        <v>21144</v>
      </c>
    </row>
    <row r="2549" spans="1:59" ht="60" x14ac:dyDescent="0.25">
      <c r="A2549" s="2" t="s">
        <v>59</v>
      </c>
      <c r="B2549" s="2" t="s">
        <v>60</v>
      </c>
      <c r="C2549" s="2" t="s">
        <v>21155</v>
      </c>
      <c r="D2549" s="2" t="s">
        <v>21156</v>
      </c>
      <c r="E2549" s="2" t="s">
        <v>21157</v>
      </c>
      <c r="G2549" s="3" t="s">
        <v>63</v>
      </c>
      <c r="I2549" s="3" t="s">
        <v>63</v>
      </c>
      <c r="J2549" s="3" t="s">
        <v>62</v>
      </c>
      <c r="K2549" s="3" t="s">
        <v>20971</v>
      </c>
      <c r="L2549" s="2" t="s">
        <v>20715</v>
      </c>
      <c r="M2549" s="2" t="s">
        <v>21158</v>
      </c>
      <c r="N2549" s="3" t="s">
        <v>176</v>
      </c>
      <c r="O2549" s="2" t="s">
        <v>590</v>
      </c>
      <c r="P2549" s="3" t="s">
        <v>66</v>
      </c>
      <c r="R2549" s="3" t="s">
        <v>67</v>
      </c>
      <c r="S2549" s="4">
        <v>35</v>
      </c>
      <c r="T2549" s="4">
        <v>35</v>
      </c>
      <c r="U2549" s="5" t="s">
        <v>21159</v>
      </c>
      <c r="V2549" s="5" t="s">
        <v>21159</v>
      </c>
      <c r="W2549" s="5" t="s">
        <v>69</v>
      </c>
      <c r="X2549" s="5" t="s">
        <v>69</v>
      </c>
      <c r="Y2549" s="4">
        <v>920</v>
      </c>
      <c r="Z2549" s="4">
        <v>32</v>
      </c>
      <c r="AA2549" s="4">
        <v>203</v>
      </c>
      <c r="AB2549" s="4">
        <v>1</v>
      </c>
      <c r="AC2549" s="4">
        <v>26</v>
      </c>
      <c r="AD2549" s="4">
        <v>80</v>
      </c>
      <c r="AE2549" s="4">
        <v>174</v>
      </c>
      <c r="AF2549" s="4">
        <v>0</v>
      </c>
      <c r="AG2549" s="4">
        <v>8</v>
      </c>
      <c r="AH2549" s="4">
        <v>71</v>
      </c>
      <c r="AI2549" s="4">
        <v>116</v>
      </c>
      <c r="AJ2549" s="4">
        <v>8</v>
      </c>
      <c r="AK2549" s="4">
        <v>28</v>
      </c>
      <c r="AL2549" s="4">
        <v>44</v>
      </c>
      <c r="AM2549" s="4">
        <v>66</v>
      </c>
      <c r="AN2549" s="4">
        <v>0</v>
      </c>
      <c r="AO2549" s="4">
        <v>31</v>
      </c>
      <c r="AP2549" s="4">
        <v>12</v>
      </c>
      <c r="AQ2549" s="4">
        <v>61</v>
      </c>
      <c r="AR2549" s="3" t="s">
        <v>63</v>
      </c>
      <c r="AS2549" s="3" t="s">
        <v>63</v>
      </c>
      <c r="AT2549" s="3" t="s">
        <v>63</v>
      </c>
      <c r="AV2549" s="6" t="str">
        <f>HYPERLINK("http://mcgill.on.worldcat.org/oclc/39217783","Catalog Record")</f>
        <v>Catalog Record</v>
      </c>
      <c r="AW2549" s="6" t="str">
        <f>HYPERLINK("http://www.worldcat.org/oclc/39217783","WorldCat Record")</f>
        <v>WorldCat Record</v>
      </c>
      <c r="AX2549" s="3" t="s">
        <v>20973</v>
      </c>
      <c r="AY2549" s="3" t="s">
        <v>21160</v>
      </c>
      <c r="AZ2549" s="3" t="s">
        <v>21161</v>
      </c>
      <c r="BA2549" s="3" t="s">
        <v>21161</v>
      </c>
      <c r="BB2549" s="3" t="s">
        <v>21162</v>
      </c>
      <c r="BC2549" s="3" t="s">
        <v>82</v>
      </c>
      <c r="BD2549" s="3" t="s">
        <v>70</v>
      </c>
      <c r="BE2549" s="3" t="s">
        <v>21163</v>
      </c>
      <c r="BF2549" s="3" t="s">
        <v>21162</v>
      </c>
      <c r="BG2549" s="3" t="s">
        <v>21164</v>
      </c>
    </row>
    <row r="2550" spans="1:59" ht="75" x14ac:dyDescent="0.25">
      <c r="A2550" s="2" t="s">
        <v>59</v>
      </c>
      <c r="B2550" s="2" t="s">
        <v>60</v>
      </c>
      <c r="C2550" s="2" t="s">
        <v>21145</v>
      </c>
      <c r="D2550" s="2" t="s">
        <v>21146</v>
      </c>
      <c r="E2550" s="2" t="s">
        <v>21147</v>
      </c>
      <c r="F2550" s="3" t="s">
        <v>21148</v>
      </c>
      <c r="G2550" s="3" t="s">
        <v>63</v>
      </c>
      <c r="I2550" s="3" t="s">
        <v>63</v>
      </c>
      <c r="J2550" s="3" t="s">
        <v>62</v>
      </c>
      <c r="K2550" s="3" t="s">
        <v>20971</v>
      </c>
      <c r="L2550" s="2" t="s">
        <v>20715</v>
      </c>
      <c r="M2550" s="2" t="s">
        <v>21149</v>
      </c>
      <c r="N2550" s="3" t="s">
        <v>11887</v>
      </c>
      <c r="P2550" s="3" t="s">
        <v>66</v>
      </c>
      <c r="Q2550" s="2" t="s">
        <v>21150</v>
      </c>
      <c r="R2550" s="3" t="s">
        <v>67</v>
      </c>
      <c r="S2550" s="4">
        <v>8</v>
      </c>
      <c r="T2550" s="4">
        <v>8</v>
      </c>
      <c r="U2550" s="5" t="s">
        <v>3628</v>
      </c>
      <c r="V2550" s="5" t="s">
        <v>3628</v>
      </c>
      <c r="W2550" s="5" t="s">
        <v>69</v>
      </c>
      <c r="X2550" s="5" t="s">
        <v>69</v>
      </c>
      <c r="Y2550" s="4">
        <v>28</v>
      </c>
      <c r="Z2550" s="4">
        <v>5</v>
      </c>
      <c r="AA2550" s="4">
        <v>203</v>
      </c>
      <c r="AB2550" s="4">
        <v>2</v>
      </c>
      <c r="AC2550" s="4">
        <v>26</v>
      </c>
      <c r="AD2550" s="4">
        <v>11</v>
      </c>
      <c r="AE2550" s="4">
        <v>174</v>
      </c>
      <c r="AF2550" s="4">
        <v>0</v>
      </c>
      <c r="AG2550" s="4">
        <v>8</v>
      </c>
      <c r="AH2550" s="4">
        <v>8</v>
      </c>
      <c r="AI2550" s="4">
        <v>116</v>
      </c>
      <c r="AJ2550" s="4">
        <v>2</v>
      </c>
      <c r="AK2550" s="4">
        <v>28</v>
      </c>
      <c r="AL2550" s="4">
        <v>4</v>
      </c>
      <c r="AM2550" s="4">
        <v>66</v>
      </c>
      <c r="AN2550" s="4">
        <v>0</v>
      </c>
      <c r="AO2550" s="4">
        <v>31</v>
      </c>
      <c r="AP2550" s="4">
        <v>2</v>
      </c>
      <c r="AQ2550" s="4">
        <v>61</v>
      </c>
      <c r="AR2550" s="3" t="s">
        <v>63</v>
      </c>
      <c r="AS2550" s="3" t="s">
        <v>63</v>
      </c>
      <c r="AT2550" s="3" t="s">
        <v>63</v>
      </c>
      <c r="AU2550" s="6" t="str">
        <f>HYPERLINK("http://catalog.hathitrust.org/Record/001847329","HathiTrust Record")</f>
        <v>HathiTrust Record</v>
      </c>
      <c r="AV2550" s="6" t="str">
        <f>HYPERLINK("http://mcgill.on.worldcat.org/oclc/18342968","Catalog Record")</f>
        <v>Catalog Record</v>
      </c>
      <c r="AW2550" s="6" t="str">
        <f>HYPERLINK("http://www.worldcat.org/oclc/18342968","WorldCat Record")</f>
        <v>WorldCat Record</v>
      </c>
      <c r="AX2550" s="3" t="s">
        <v>20973</v>
      </c>
      <c r="AY2550" s="3" t="s">
        <v>21151</v>
      </c>
      <c r="AZ2550" s="3" t="s">
        <v>21152</v>
      </c>
      <c r="BA2550" s="3" t="s">
        <v>21152</v>
      </c>
      <c r="BB2550" s="3" t="s">
        <v>21153</v>
      </c>
      <c r="BC2550" s="3" t="s">
        <v>82</v>
      </c>
      <c r="BD2550" s="3" t="s">
        <v>538</v>
      </c>
      <c r="BF2550" s="3" t="s">
        <v>21153</v>
      </c>
      <c r="BG2550" s="3" t="s">
        <v>21154</v>
      </c>
    </row>
    <row r="2551" spans="1:59" ht="60" x14ac:dyDescent="0.25">
      <c r="A2551" s="2" t="s">
        <v>59</v>
      </c>
      <c r="B2551" s="2" t="s">
        <v>60</v>
      </c>
      <c r="C2551" s="2" t="s">
        <v>21165</v>
      </c>
      <c r="D2551" s="2" t="s">
        <v>21166</v>
      </c>
      <c r="E2551" s="2" t="s">
        <v>21167</v>
      </c>
      <c r="G2551" s="3" t="s">
        <v>63</v>
      </c>
      <c r="I2551" s="3" t="s">
        <v>63</v>
      </c>
      <c r="J2551" s="3" t="s">
        <v>62</v>
      </c>
      <c r="K2551" s="3" t="s">
        <v>20971</v>
      </c>
      <c r="L2551" s="2" t="s">
        <v>20715</v>
      </c>
      <c r="M2551" s="2" t="s">
        <v>21168</v>
      </c>
      <c r="N2551" s="3" t="s">
        <v>76</v>
      </c>
      <c r="P2551" s="3" t="s">
        <v>66</v>
      </c>
      <c r="R2551" s="3" t="s">
        <v>67</v>
      </c>
      <c r="S2551" s="4">
        <v>2</v>
      </c>
      <c r="T2551" s="4">
        <v>2</v>
      </c>
      <c r="U2551" s="5" t="s">
        <v>12287</v>
      </c>
      <c r="V2551" s="5" t="s">
        <v>12287</v>
      </c>
      <c r="W2551" s="5" t="s">
        <v>69</v>
      </c>
      <c r="X2551" s="5" t="s">
        <v>69</v>
      </c>
      <c r="Y2551" s="4">
        <v>85</v>
      </c>
      <c r="Z2551" s="4">
        <v>23</v>
      </c>
      <c r="AA2551" s="4">
        <v>203</v>
      </c>
      <c r="AB2551" s="4">
        <v>1</v>
      </c>
      <c r="AC2551" s="4">
        <v>26</v>
      </c>
      <c r="AD2551" s="4">
        <v>44</v>
      </c>
      <c r="AE2551" s="4">
        <v>174</v>
      </c>
      <c r="AF2551" s="4">
        <v>0</v>
      </c>
      <c r="AG2551" s="4">
        <v>8</v>
      </c>
      <c r="AH2551" s="4">
        <v>38</v>
      </c>
      <c r="AI2551" s="4">
        <v>116</v>
      </c>
      <c r="AJ2551" s="4">
        <v>10</v>
      </c>
      <c r="AK2551" s="4">
        <v>28</v>
      </c>
      <c r="AL2551" s="4">
        <v>21</v>
      </c>
      <c r="AM2551" s="4">
        <v>66</v>
      </c>
      <c r="AN2551" s="4">
        <v>0</v>
      </c>
      <c r="AO2551" s="4">
        <v>31</v>
      </c>
      <c r="AP2551" s="4">
        <v>11</v>
      </c>
      <c r="AQ2551" s="4">
        <v>61</v>
      </c>
      <c r="AR2551" s="3" t="s">
        <v>62</v>
      </c>
      <c r="AS2551" s="3" t="s">
        <v>63</v>
      </c>
      <c r="AT2551" s="3" t="s">
        <v>63</v>
      </c>
      <c r="AV2551" s="6" t="str">
        <f>HYPERLINK("http://mcgill.on.worldcat.org/oclc/811617736","Catalog Record")</f>
        <v>Catalog Record</v>
      </c>
      <c r="AW2551" s="6" t="str">
        <f>HYPERLINK("http://www.worldcat.org/oclc/811617736","WorldCat Record")</f>
        <v>WorldCat Record</v>
      </c>
      <c r="AX2551" s="3" t="s">
        <v>20973</v>
      </c>
      <c r="AY2551" s="3" t="s">
        <v>21169</v>
      </c>
      <c r="AZ2551" s="3" t="s">
        <v>21170</v>
      </c>
      <c r="BA2551" s="3" t="s">
        <v>21170</v>
      </c>
      <c r="BB2551" s="3" t="s">
        <v>21171</v>
      </c>
      <c r="BC2551" s="3" t="s">
        <v>82</v>
      </c>
      <c r="BD2551" s="3" t="s">
        <v>70</v>
      </c>
      <c r="BE2551" s="3" t="s">
        <v>21172</v>
      </c>
      <c r="BF2551" s="3" t="s">
        <v>21171</v>
      </c>
      <c r="BG2551" s="3" t="s">
        <v>21173</v>
      </c>
    </row>
    <row r="2552" spans="1:59" ht="60" x14ac:dyDescent="0.25">
      <c r="A2552" s="2" t="s">
        <v>59</v>
      </c>
      <c r="B2552" s="2" t="s">
        <v>60</v>
      </c>
      <c r="C2552" s="2" t="s">
        <v>21174</v>
      </c>
      <c r="D2552" s="2" t="s">
        <v>21175</v>
      </c>
      <c r="E2552" s="2" t="s">
        <v>21176</v>
      </c>
      <c r="G2552" s="3" t="s">
        <v>63</v>
      </c>
      <c r="I2552" s="3" t="s">
        <v>63</v>
      </c>
      <c r="J2552" s="3" t="s">
        <v>62</v>
      </c>
      <c r="K2552" s="3" t="s">
        <v>20971</v>
      </c>
      <c r="L2552" s="2" t="s">
        <v>20715</v>
      </c>
      <c r="M2552" s="2" t="s">
        <v>21177</v>
      </c>
      <c r="N2552" s="3" t="s">
        <v>161</v>
      </c>
      <c r="P2552" s="3" t="s">
        <v>66</v>
      </c>
      <c r="Q2552" s="2" t="s">
        <v>11721</v>
      </c>
      <c r="R2552" s="3" t="s">
        <v>67</v>
      </c>
      <c r="S2552" s="4">
        <v>5</v>
      </c>
      <c r="T2552" s="4">
        <v>5</v>
      </c>
      <c r="U2552" s="5" t="s">
        <v>519</v>
      </c>
      <c r="V2552" s="5" t="s">
        <v>519</v>
      </c>
      <c r="W2552" s="5" t="s">
        <v>69</v>
      </c>
      <c r="X2552" s="5" t="s">
        <v>69</v>
      </c>
      <c r="Y2552" s="4">
        <v>193</v>
      </c>
      <c r="Z2552" s="4">
        <v>6</v>
      </c>
      <c r="AA2552" s="4">
        <v>203</v>
      </c>
      <c r="AB2552" s="4">
        <v>1</v>
      </c>
      <c r="AC2552" s="4">
        <v>26</v>
      </c>
      <c r="AD2552" s="4">
        <v>37</v>
      </c>
      <c r="AE2552" s="4">
        <v>174</v>
      </c>
      <c r="AF2552" s="4">
        <v>0</v>
      </c>
      <c r="AG2552" s="4">
        <v>8</v>
      </c>
      <c r="AH2552" s="4">
        <v>35</v>
      </c>
      <c r="AI2552" s="4">
        <v>116</v>
      </c>
      <c r="AJ2552" s="4">
        <v>3</v>
      </c>
      <c r="AK2552" s="4">
        <v>28</v>
      </c>
      <c r="AL2552" s="4">
        <v>24</v>
      </c>
      <c r="AM2552" s="4">
        <v>66</v>
      </c>
      <c r="AN2552" s="4">
        <v>0</v>
      </c>
      <c r="AO2552" s="4">
        <v>31</v>
      </c>
      <c r="AP2552" s="4">
        <v>3</v>
      </c>
      <c r="AQ2552" s="4">
        <v>61</v>
      </c>
      <c r="AR2552" s="3" t="s">
        <v>63</v>
      </c>
      <c r="AS2552" s="3" t="s">
        <v>63</v>
      </c>
      <c r="AT2552" s="3" t="s">
        <v>63</v>
      </c>
      <c r="AV2552" s="6" t="str">
        <f>HYPERLINK("http://mcgill.on.worldcat.org/oclc/18441855","Catalog Record")</f>
        <v>Catalog Record</v>
      </c>
      <c r="AW2552" s="6" t="str">
        <f>HYPERLINK("http://www.worldcat.org/oclc/18441855","WorldCat Record")</f>
        <v>WorldCat Record</v>
      </c>
      <c r="AX2552" s="3" t="s">
        <v>20973</v>
      </c>
      <c r="AY2552" s="3" t="s">
        <v>21178</v>
      </c>
      <c r="AZ2552" s="3" t="s">
        <v>21179</v>
      </c>
      <c r="BA2552" s="3" t="s">
        <v>21179</v>
      </c>
      <c r="BB2552" s="3" t="s">
        <v>21180</v>
      </c>
      <c r="BC2552" s="3" t="s">
        <v>82</v>
      </c>
      <c r="BD2552" s="3" t="s">
        <v>70</v>
      </c>
      <c r="BE2552" s="3" t="s">
        <v>21181</v>
      </c>
      <c r="BF2552" s="3" t="s">
        <v>21180</v>
      </c>
      <c r="BG2552" s="3" t="s">
        <v>21182</v>
      </c>
    </row>
    <row r="2553" spans="1:59" ht="60" x14ac:dyDescent="0.25">
      <c r="A2553" s="2" t="s">
        <v>59</v>
      </c>
      <c r="B2553" s="2" t="s">
        <v>60</v>
      </c>
      <c r="C2553" s="2" t="s">
        <v>21183</v>
      </c>
      <c r="D2553" s="2" t="s">
        <v>21184</v>
      </c>
      <c r="E2553" s="2" t="s">
        <v>21185</v>
      </c>
      <c r="G2553" s="3" t="s">
        <v>63</v>
      </c>
      <c r="I2553" s="3" t="s">
        <v>62</v>
      </c>
      <c r="J2553" s="3" t="s">
        <v>62</v>
      </c>
      <c r="K2553" s="3" t="s">
        <v>20971</v>
      </c>
      <c r="L2553" s="2" t="s">
        <v>20715</v>
      </c>
      <c r="M2553" s="2" t="s">
        <v>21186</v>
      </c>
      <c r="N2553" s="3" t="s">
        <v>546</v>
      </c>
      <c r="P2553" s="3" t="s">
        <v>66</v>
      </c>
      <c r="Q2553" s="2" t="s">
        <v>16557</v>
      </c>
      <c r="R2553" s="3" t="s">
        <v>67</v>
      </c>
      <c r="S2553" s="4">
        <v>25</v>
      </c>
      <c r="T2553" s="4">
        <v>43</v>
      </c>
      <c r="U2553" s="5" t="s">
        <v>20947</v>
      </c>
      <c r="V2553" s="5" t="s">
        <v>20947</v>
      </c>
      <c r="W2553" s="5" t="s">
        <v>69</v>
      </c>
      <c r="X2553" s="5" t="s">
        <v>69</v>
      </c>
      <c r="Y2553" s="4">
        <v>144</v>
      </c>
      <c r="Z2553" s="4">
        <v>9</v>
      </c>
      <c r="AA2553" s="4">
        <v>203</v>
      </c>
      <c r="AB2553" s="4">
        <v>1</v>
      </c>
      <c r="AC2553" s="4">
        <v>26</v>
      </c>
      <c r="AD2553" s="4">
        <v>43</v>
      </c>
      <c r="AE2553" s="4">
        <v>174</v>
      </c>
      <c r="AF2553" s="4">
        <v>0</v>
      </c>
      <c r="AG2553" s="4">
        <v>8</v>
      </c>
      <c r="AH2553" s="4">
        <v>35</v>
      </c>
      <c r="AI2553" s="4">
        <v>116</v>
      </c>
      <c r="AJ2553" s="4">
        <v>5</v>
      </c>
      <c r="AK2553" s="4">
        <v>28</v>
      </c>
      <c r="AL2553" s="4">
        <v>21</v>
      </c>
      <c r="AM2553" s="4">
        <v>66</v>
      </c>
      <c r="AN2553" s="4">
        <v>0</v>
      </c>
      <c r="AO2553" s="4">
        <v>31</v>
      </c>
      <c r="AP2553" s="4">
        <v>7</v>
      </c>
      <c r="AQ2553" s="4">
        <v>61</v>
      </c>
      <c r="AR2553" s="3" t="s">
        <v>63</v>
      </c>
      <c r="AS2553" s="3" t="s">
        <v>63</v>
      </c>
      <c r="AT2553" s="3" t="s">
        <v>63</v>
      </c>
      <c r="AV2553" s="6" t="str">
        <f>HYPERLINK("http://mcgill.on.worldcat.org/oclc/687992","Catalog Record")</f>
        <v>Catalog Record</v>
      </c>
      <c r="AW2553" s="6" t="str">
        <f>HYPERLINK("http://www.worldcat.org/oclc/687992","WorldCat Record")</f>
        <v>WorldCat Record</v>
      </c>
      <c r="AX2553" s="3" t="s">
        <v>20973</v>
      </c>
      <c r="AY2553" s="3" t="s">
        <v>21187</v>
      </c>
      <c r="AZ2553" s="3" t="s">
        <v>21188</v>
      </c>
      <c r="BA2553" s="3" t="s">
        <v>21188</v>
      </c>
      <c r="BB2553" s="3" t="s">
        <v>21189</v>
      </c>
      <c r="BC2553" s="3" t="s">
        <v>82</v>
      </c>
      <c r="BD2553" s="3" t="s">
        <v>70</v>
      </c>
      <c r="BF2553" s="3" t="s">
        <v>21189</v>
      </c>
      <c r="BG2553" s="3" t="s">
        <v>21190</v>
      </c>
    </row>
    <row r="2554" spans="1:59" ht="60" x14ac:dyDescent="0.25">
      <c r="A2554" s="2" t="s">
        <v>59</v>
      </c>
      <c r="B2554" s="2" t="s">
        <v>60</v>
      </c>
      <c r="C2554" s="2" t="s">
        <v>21183</v>
      </c>
      <c r="D2554" s="2" t="s">
        <v>21184</v>
      </c>
      <c r="E2554" s="2" t="s">
        <v>21185</v>
      </c>
      <c r="G2554" s="3" t="s">
        <v>63</v>
      </c>
      <c r="I2554" s="3" t="s">
        <v>62</v>
      </c>
      <c r="J2554" s="3" t="s">
        <v>62</v>
      </c>
      <c r="K2554" s="3" t="s">
        <v>20971</v>
      </c>
      <c r="L2554" s="2" t="s">
        <v>20715</v>
      </c>
      <c r="M2554" s="2" t="s">
        <v>21186</v>
      </c>
      <c r="N2554" s="3" t="s">
        <v>546</v>
      </c>
      <c r="P2554" s="3" t="s">
        <v>66</v>
      </c>
      <c r="Q2554" s="2" t="s">
        <v>16557</v>
      </c>
      <c r="R2554" s="3" t="s">
        <v>67</v>
      </c>
      <c r="S2554" s="4">
        <v>18</v>
      </c>
      <c r="T2554" s="4">
        <v>43</v>
      </c>
      <c r="U2554" s="5" t="s">
        <v>21191</v>
      </c>
      <c r="V2554" s="5" t="s">
        <v>20947</v>
      </c>
      <c r="W2554" s="5" t="s">
        <v>69</v>
      </c>
      <c r="X2554" s="5" t="s">
        <v>69</v>
      </c>
      <c r="Y2554" s="4">
        <v>144</v>
      </c>
      <c r="Z2554" s="4">
        <v>9</v>
      </c>
      <c r="AA2554" s="4">
        <v>203</v>
      </c>
      <c r="AB2554" s="4">
        <v>1</v>
      </c>
      <c r="AC2554" s="4">
        <v>26</v>
      </c>
      <c r="AD2554" s="4">
        <v>43</v>
      </c>
      <c r="AE2554" s="4">
        <v>174</v>
      </c>
      <c r="AF2554" s="4">
        <v>0</v>
      </c>
      <c r="AG2554" s="4">
        <v>8</v>
      </c>
      <c r="AH2554" s="4">
        <v>35</v>
      </c>
      <c r="AI2554" s="4">
        <v>116</v>
      </c>
      <c r="AJ2554" s="4">
        <v>5</v>
      </c>
      <c r="AK2554" s="4">
        <v>28</v>
      </c>
      <c r="AL2554" s="4">
        <v>21</v>
      </c>
      <c r="AM2554" s="4">
        <v>66</v>
      </c>
      <c r="AN2554" s="4">
        <v>0</v>
      </c>
      <c r="AO2554" s="4">
        <v>31</v>
      </c>
      <c r="AP2554" s="4">
        <v>7</v>
      </c>
      <c r="AQ2554" s="4">
        <v>61</v>
      </c>
      <c r="AR2554" s="3" t="s">
        <v>63</v>
      </c>
      <c r="AS2554" s="3" t="s">
        <v>63</v>
      </c>
      <c r="AT2554" s="3" t="s">
        <v>63</v>
      </c>
      <c r="AV2554" s="6" t="str">
        <f>HYPERLINK("http://mcgill.on.worldcat.org/oclc/687992","Catalog Record")</f>
        <v>Catalog Record</v>
      </c>
      <c r="AW2554" s="6" t="str">
        <f>HYPERLINK("http://www.worldcat.org/oclc/687992","WorldCat Record")</f>
        <v>WorldCat Record</v>
      </c>
      <c r="AX2554" s="3" t="s">
        <v>20973</v>
      </c>
      <c r="AY2554" s="3" t="s">
        <v>21187</v>
      </c>
      <c r="AZ2554" s="3" t="s">
        <v>21188</v>
      </c>
      <c r="BA2554" s="3" t="s">
        <v>21188</v>
      </c>
      <c r="BB2554" s="3" t="s">
        <v>21192</v>
      </c>
      <c r="BC2554" s="3" t="s">
        <v>82</v>
      </c>
      <c r="BD2554" s="3" t="s">
        <v>538</v>
      </c>
      <c r="BF2554" s="3" t="s">
        <v>21192</v>
      </c>
      <c r="BG2554" s="3" t="s">
        <v>21193</v>
      </c>
    </row>
    <row r="2555" spans="1:59" ht="60" x14ac:dyDescent="0.25">
      <c r="A2555" s="2" t="s">
        <v>59</v>
      </c>
      <c r="B2555" s="2" t="s">
        <v>60</v>
      </c>
      <c r="C2555" s="2" t="s">
        <v>21194</v>
      </c>
      <c r="D2555" s="2" t="s">
        <v>21195</v>
      </c>
      <c r="E2555" s="2" t="s">
        <v>21196</v>
      </c>
      <c r="G2555" s="3" t="s">
        <v>63</v>
      </c>
      <c r="I2555" s="3" t="s">
        <v>62</v>
      </c>
      <c r="J2555" s="3" t="s">
        <v>63</v>
      </c>
      <c r="K2555" s="3" t="s">
        <v>64</v>
      </c>
      <c r="L2555" s="2" t="s">
        <v>20715</v>
      </c>
      <c r="M2555" s="2" t="s">
        <v>21197</v>
      </c>
      <c r="N2555" s="3" t="s">
        <v>441</v>
      </c>
      <c r="P2555" s="3" t="s">
        <v>66</v>
      </c>
      <c r="Q2555" s="2" t="s">
        <v>21198</v>
      </c>
      <c r="R2555" s="3" t="s">
        <v>67</v>
      </c>
      <c r="S2555" s="4">
        <v>15</v>
      </c>
      <c r="T2555" s="4">
        <v>24</v>
      </c>
      <c r="U2555" s="5" t="s">
        <v>12224</v>
      </c>
      <c r="V2555" s="5" t="s">
        <v>20393</v>
      </c>
      <c r="W2555" s="5" t="s">
        <v>69</v>
      </c>
      <c r="X2555" s="5" t="s">
        <v>69</v>
      </c>
      <c r="Y2555" s="4">
        <v>236</v>
      </c>
      <c r="Z2555" s="4">
        <v>4</v>
      </c>
      <c r="AA2555" s="4">
        <v>6</v>
      </c>
      <c r="AB2555" s="4">
        <v>1</v>
      </c>
      <c r="AC2555" s="4">
        <v>1</v>
      </c>
      <c r="AD2555" s="4">
        <v>18</v>
      </c>
      <c r="AE2555" s="4">
        <v>33</v>
      </c>
      <c r="AF2555" s="4">
        <v>0</v>
      </c>
      <c r="AG2555" s="4">
        <v>0</v>
      </c>
      <c r="AH2555" s="4">
        <v>16</v>
      </c>
      <c r="AI2555" s="4">
        <v>30</v>
      </c>
      <c r="AJ2555" s="4">
        <v>1</v>
      </c>
      <c r="AK2555" s="4">
        <v>1</v>
      </c>
      <c r="AL2555" s="4">
        <v>7</v>
      </c>
      <c r="AM2555" s="4">
        <v>17</v>
      </c>
      <c r="AN2555" s="4">
        <v>0</v>
      </c>
      <c r="AO2555" s="4">
        <v>5</v>
      </c>
      <c r="AP2555" s="4">
        <v>2</v>
      </c>
      <c r="AQ2555" s="4">
        <v>3</v>
      </c>
      <c r="AR2555" s="3" t="s">
        <v>63</v>
      </c>
      <c r="AS2555" s="3" t="s">
        <v>63</v>
      </c>
      <c r="AT2555" s="3" t="s">
        <v>62</v>
      </c>
      <c r="AU2555" s="6" t="str">
        <f>HYPERLINK("http://catalog.hathitrust.org/Record/001224165","HathiTrust Record")</f>
        <v>HathiTrust Record</v>
      </c>
      <c r="AV2555" s="6" t="str">
        <f>HYPERLINK("http://mcgill.on.worldcat.org/oclc/4896750","Catalog Record")</f>
        <v>Catalog Record</v>
      </c>
      <c r="AW2555" s="6" t="str">
        <f>HYPERLINK("http://www.worldcat.org/oclc/4896750","WorldCat Record")</f>
        <v>WorldCat Record</v>
      </c>
      <c r="AX2555" s="3" t="s">
        <v>21199</v>
      </c>
      <c r="AY2555" s="3" t="s">
        <v>21200</v>
      </c>
      <c r="AZ2555" s="3" t="s">
        <v>21201</v>
      </c>
      <c r="BA2555" s="3" t="s">
        <v>21201</v>
      </c>
      <c r="BB2555" s="3" t="s">
        <v>21202</v>
      </c>
      <c r="BC2555" s="3" t="s">
        <v>82</v>
      </c>
      <c r="BD2555" s="3" t="s">
        <v>70</v>
      </c>
      <c r="BF2555" s="3" t="s">
        <v>21202</v>
      </c>
      <c r="BG2555" s="3" t="s">
        <v>21203</v>
      </c>
    </row>
    <row r="2556" spans="1:59" ht="60" x14ac:dyDescent="0.25">
      <c r="A2556" s="2" t="s">
        <v>59</v>
      </c>
      <c r="B2556" s="2" t="s">
        <v>60</v>
      </c>
      <c r="C2556" s="2" t="s">
        <v>21194</v>
      </c>
      <c r="D2556" s="2" t="s">
        <v>21195</v>
      </c>
      <c r="E2556" s="2" t="s">
        <v>21196</v>
      </c>
      <c r="G2556" s="3" t="s">
        <v>63</v>
      </c>
      <c r="I2556" s="3" t="s">
        <v>62</v>
      </c>
      <c r="J2556" s="3" t="s">
        <v>63</v>
      </c>
      <c r="K2556" s="3" t="s">
        <v>64</v>
      </c>
      <c r="L2556" s="2" t="s">
        <v>20715</v>
      </c>
      <c r="M2556" s="2" t="s">
        <v>21197</v>
      </c>
      <c r="N2556" s="3" t="s">
        <v>441</v>
      </c>
      <c r="P2556" s="3" t="s">
        <v>66</v>
      </c>
      <c r="Q2556" s="2" t="s">
        <v>21198</v>
      </c>
      <c r="R2556" s="3" t="s">
        <v>67</v>
      </c>
      <c r="S2556" s="4">
        <v>9</v>
      </c>
      <c r="T2556" s="4">
        <v>24</v>
      </c>
      <c r="U2556" s="5" t="s">
        <v>20393</v>
      </c>
      <c r="V2556" s="5" t="s">
        <v>20393</v>
      </c>
      <c r="W2556" s="5" t="s">
        <v>69</v>
      </c>
      <c r="X2556" s="5" t="s">
        <v>69</v>
      </c>
      <c r="Y2556" s="4">
        <v>236</v>
      </c>
      <c r="Z2556" s="4">
        <v>4</v>
      </c>
      <c r="AA2556" s="4">
        <v>6</v>
      </c>
      <c r="AB2556" s="4">
        <v>1</v>
      </c>
      <c r="AC2556" s="4">
        <v>1</v>
      </c>
      <c r="AD2556" s="4">
        <v>18</v>
      </c>
      <c r="AE2556" s="4">
        <v>33</v>
      </c>
      <c r="AF2556" s="4">
        <v>0</v>
      </c>
      <c r="AG2556" s="4">
        <v>0</v>
      </c>
      <c r="AH2556" s="4">
        <v>16</v>
      </c>
      <c r="AI2556" s="4">
        <v>30</v>
      </c>
      <c r="AJ2556" s="4">
        <v>1</v>
      </c>
      <c r="AK2556" s="4">
        <v>1</v>
      </c>
      <c r="AL2556" s="4">
        <v>7</v>
      </c>
      <c r="AM2556" s="4">
        <v>17</v>
      </c>
      <c r="AN2556" s="4">
        <v>0</v>
      </c>
      <c r="AO2556" s="4">
        <v>5</v>
      </c>
      <c r="AP2556" s="4">
        <v>2</v>
      </c>
      <c r="AQ2556" s="4">
        <v>3</v>
      </c>
      <c r="AR2556" s="3" t="s">
        <v>63</v>
      </c>
      <c r="AS2556" s="3" t="s">
        <v>63</v>
      </c>
      <c r="AT2556" s="3" t="s">
        <v>62</v>
      </c>
      <c r="AU2556" s="6" t="str">
        <f>HYPERLINK("http://catalog.hathitrust.org/Record/001224165","HathiTrust Record")</f>
        <v>HathiTrust Record</v>
      </c>
      <c r="AV2556" s="6" t="str">
        <f>HYPERLINK("http://mcgill.on.worldcat.org/oclc/4896750","Catalog Record")</f>
        <v>Catalog Record</v>
      </c>
      <c r="AW2556" s="6" t="str">
        <f>HYPERLINK("http://www.worldcat.org/oclc/4896750","WorldCat Record")</f>
        <v>WorldCat Record</v>
      </c>
      <c r="AX2556" s="3" t="s">
        <v>21199</v>
      </c>
      <c r="AY2556" s="3" t="s">
        <v>21200</v>
      </c>
      <c r="AZ2556" s="3" t="s">
        <v>21201</v>
      </c>
      <c r="BA2556" s="3" t="s">
        <v>21201</v>
      </c>
      <c r="BB2556" s="3" t="s">
        <v>21204</v>
      </c>
      <c r="BC2556" s="3" t="s">
        <v>82</v>
      </c>
      <c r="BD2556" s="3" t="s">
        <v>70</v>
      </c>
      <c r="BF2556" s="3" t="s">
        <v>21204</v>
      </c>
      <c r="BG2556" s="3" t="s">
        <v>21205</v>
      </c>
    </row>
    <row r="2557" spans="1:59" ht="60" x14ac:dyDescent="0.25">
      <c r="A2557" s="2" t="s">
        <v>59</v>
      </c>
      <c r="B2557" s="2" t="s">
        <v>60</v>
      </c>
      <c r="C2557" s="2" t="s">
        <v>21206</v>
      </c>
      <c r="D2557" s="2" t="s">
        <v>21207</v>
      </c>
      <c r="E2557" s="2" t="s">
        <v>21208</v>
      </c>
      <c r="G2557" s="3" t="s">
        <v>63</v>
      </c>
      <c r="I2557" s="3" t="s">
        <v>63</v>
      </c>
      <c r="J2557" s="3" t="s">
        <v>63</v>
      </c>
      <c r="K2557" s="3" t="s">
        <v>64</v>
      </c>
      <c r="L2557" s="2" t="s">
        <v>20715</v>
      </c>
      <c r="M2557" s="2" t="s">
        <v>21209</v>
      </c>
      <c r="N2557" s="3" t="s">
        <v>274</v>
      </c>
      <c r="P2557" s="3" t="s">
        <v>66</v>
      </c>
      <c r="R2557" s="3" t="s">
        <v>67</v>
      </c>
      <c r="S2557" s="4">
        <v>27</v>
      </c>
      <c r="T2557" s="4">
        <v>27</v>
      </c>
      <c r="U2557" s="5" t="s">
        <v>8608</v>
      </c>
      <c r="V2557" s="5" t="s">
        <v>8608</v>
      </c>
      <c r="W2557" s="5" t="s">
        <v>69</v>
      </c>
      <c r="X2557" s="5" t="s">
        <v>69</v>
      </c>
      <c r="Y2557" s="4">
        <v>592</v>
      </c>
      <c r="Z2557" s="4">
        <v>18</v>
      </c>
      <c r="AA2557" s="4">
        <v>20</v>
      </c>
      <c r="AB2557" s="4">
        <v>2</v>
      </c>
      <c r="AC2557" s="4">
        <v>4</v>
      </c>
      <c r="AD2557" s="4">
        <v>86</v>
      </c>
      <c r="AE2557" s="4">
        <v>86</v>
      </c>
      <c r="AF2557" s="4">
        <v>1</v>
      </c>
      <c r="AG2557" s="4">
        <v>1</v>
      </c>
      <c r="AH2557" s="4">
        <v>79</v>
      </c>
      <c r="AI2557" s="4">
        <v>79</v>
      </c>
      <c r="AJ2557" s="4">
        <v>11</v>
      </c>
      <c r="AK2557" s="4">
        <v>11</v>
      </c>
      <c r="AL2557" s="4">
        <v>43</v>
      </c>
      <c r="AM2557" s="4">
        <v>43</v>
      </c>
      <c r="AN2557" s="4">
        <v>0</v>
      </c>
      <c r="AO2557" s="4">
        <v>31</v>
      </c>
      <c r="AP2557" s="4">
        <v>12</v>
      </c>
      <c r="AQ2557" s="4">
        <v>12</v>
      </c>
      <c r="AR2557" s="3" t="s">
        <v>63</v>
      </c>
      <c r="AS2557" s="3" t="s">
        <v>63</v>
      </c>
      <c r="AT2557" s="3" t="s">
        <v>62</v>
      </c>
      <c r="AU2557" s="6" t="str">
        <f>HYPERLINK("http://catalog.hathitrust.org/Record/004054288","HathiTrust Record")</f>
        <v>HathiTrust Record</v>
      </c>
      <c r="AV2557" s="6" t="str">
        <f>HYPERLINK("http://mcgill.on.worldcat.org/oclc/40180496","Catalog Record")</f>
        <v>Catalog Record</v>
      </c>
      <c r="AW2557" s="6" t="str">
        <f>HYPERLINK("http://www.worldcat.org/oclc/40180496","WorldCat Record")</f>
        <v>WorldCat Record</v>
      </c>
      <c r="AX2557" s="3" t="s">
        <v>21210</v>
      </c>
      <c r="AY2557" s="3" t="s">
        <v>21211</v>
      </c>
      <c r="AZ2557" s="3" t="s">
        <v>21212</v>
      </c>
      <c r="BA2557" s="3" t="s">
        <v>21212</v>
      </c>
      <c r="BB2557" s="3" t="s">
        <v>21213</v>
      </c>
      <c r="BC2557" s="3" t="s">
        <v>82</v>
      </c>
      <c r="BD2557" s="3" t="s">
        <v>70</v>
      </c>
      <c r="BE2557" s="3" t="s">
        <v>21214</v>
      </c>
      <c r="BF2557" s="3" t="s">
        <v>21213</v>
      </c>
      <c r="BG2557" s="3" t="s">
        <v>21215</v>
      </c>
    </row>
    <row r="2558" spans="1:59" ht="60" x14ac:dyDescent="0.25">
      <c r="A2558" s="2" t="s">
        <v>59</v>
      </c>
      <c r="B2558" s="2" t="s">
        <v>60</v>
      </c>
      <c r="C2558" s="2" t="s">
        <v>21216</v>
      </c>
      <c r="D2558" s="2" t="s">
        <v>21217</v>
      </c>
      <c r="E2558" s="2" t="s">
        <v>21218</v>
      </c>
      <c r="G2558" s="3" t="s">
        <v>63</v>
      </c>
      <c r="I2558" s="3" t="s">
        <v>63</v>
      </c>
      <c r="J2558" s="3" t="s">
        <v>62</v>
      </c>
      <c r="K2558" s="3" t="s">
        <v>20971</v>
      </c>
      <c r="L2558" s="2" t="s">
        <v>20715</v>
      </c>
      <c r="M2558" s="2" t="s">
        <v>21219</v>
      </c>
      <c r="N2558" s="3" t="s">
        <v>1113</v>
      </c>
      <c r="P2558" s="3" t="s">
        <v>66</v>
      </c>
      <c r="Q2558" s="2" t="s">
        <v>21220</v>
      </c>
      <c r="R2558" s="3" t="s">
        <v>67</v>
      </c>
      <c r="S2558" s="4">
        <v>11</v>
      </c>
      <c r="T2558" s="4">
        <v>11</v>
      </c>
      <c r="U2558" s="5" t="s">
        <v>2195</v>
      </c>
      <c r="V2558" s="5" t="s">
        <v>2195</v>
      </c>
      <c r="W2558" s="5" t="s">
        <v>69</v>
      </c>
      <c r="X2558" s="5" t="s">
        <v>69</v>
      </c>
      <c r="Y2558" s="4">
        <v>191</v>
      </c>
      <c r="Z2558" s="4">
        <v>15</v>
      </c>
      <c r="AA2558" s="4">
        <v>203</v>
      </c>
      <c r="AB2558" s="4">
        <v>1</v>
      </c>
      <c r="AC2558" s="4">
        <v>26</v>
      </c>
      <c r="AD2558" s="4">
        <v>70</v>
      </c>
      <c r="AE2558" s="4">
        <v>174</v>
      </c>
      <c r="AF2558" s="4">
        <v>0</v>
      </c>
      <c r="AG2558" s="4">
        <v>8</v>
      </c>
      <c r="AH2558" s="4">
        <v>67</v>
      </c>
      <c r="AI2558" s="4">
        <v>116</v>
      </c>
      <c r="AJ2558" s="4">
        <v>9</v>
      </c>
      <c r="AK2558" s="4">
        <v>28</v>
      </c>
      <c r="AL2558" s="4">
        <v>37</v>
      </c>
      <c r="AM2558" s="4">
        <v>66</v>
      </c>
      <c r="AN2558" s="4">
        <v>0</v>
      </c>
      <c r="AO2558" s="4">
        <v>31</v>
      </c>
      <c r="AP2558" s="4">
        <v>10</v>
      </c>
      <c r="AQ2558" s="4">
        <v>61</v>
      </c>
      <c r="AR2558" s="3" t="s">
        <v>63</v>
      </c>
      <c r="AS2558" s="3" t="s">
        <v>63</v>
      </c>
      <c r="AT2558" s="3" t="s">
        <v>62</v>
      </c>
      <c r="AU2558" s="6" t="str">
        <f>HYPERLINK("http://catalog.hathitrust.org/Record/007133543","HathiTrust Record")</f>
        <v>HathiTrust Record</v>
      </c>
      <c r="AV2558" s="6" t="str">
        <f>HYPERLINK("http://mcgill.on.worldcat.org/oclc/36065976","Catalog Record")</f>
        <v>Catalog Record</v>
      </c>
      <c r="AW2558" s="6" t="str">
        <f>HYPERLINK("http://www.worldcat.org/oclc/36065976","WorldCat Record")</f>
        <v>WorldCat Record</v>
      </c>
      <c r="AX2558" s="3" t="s">
        <v>20973</v>
      </c>
      <c r="AY2558" s="3" t="s">
        <v>21221</v>
      </c>
      <c r="AZ2558" s="3" t="s">
        <v>21222</v>
      </c>
      <c r="BA2558" s="3" t="s">
        <v>21222</v>
      </c>
      <c r="BB2558" s="3" t="s">
        <v>21223</v>
      </c>
      <c r="BC2558" s="3" t="s">
        <v>82</v>
      </c>
      <c r="BD2558" s="3" t="s">
        <v>70</v>
      </c>
      <c r="BE2558" s="3" t="s">
        <v>21224</v>
      </c>
      <c r="BF2558" s="3" t="s">
        <v>21223</v>
      </c>
      <c r="BG2558" s="3" t="s">
        <v>21225</v>
      </c>
    </row>
    <row r="2559" spans="1:59" ht="75" x14ac:dyDescent="0.25">
      <c r="A2559" s="2" t="s">
        <v>59</v>
      </c>
      <c r="B2559" s="2" t="s">
        <v>60</v>
      </c>
      <c r="C2559" s="2" t="s">
        <v>21226</v>
      </c>
      <c r="D2559" s="2" t="s">
        <v>21227</v>
      </c>
      <c r="E2559" s="2" t="s">
        <v>21228</v>
      </c>
      <c r="G2559" s="3" t="s">
        <v>63</v>
      </c>
      <c r="I2559" s="3" t="s">
        <v>63</v>
      </c>
      <c r="J2559" s="3" t="s">
        <v>62</v>
      </c>
      <c r="K2559" s="3" t="s">
        <v>20971</v>
      </c>
      <c r="L2559" s="2" t="s">
        <v>20715</v>
      </c>
      <c r="M2559" s="2" t="s">
        <v>21229</v>
      </c>
      <c r="N2559" s="3" t="s">
        <v>455</v>
      </c>
      <c r="P2559" s="3" t="s">
        <v>66</v>
      </c>
      <c r="Q2559" s="2" t="s">
        <v>21230</v>
      </c>
      <c r="R2559" s="3" t="s">
        <v>67</v>
      </c>
      <c r="S2559" s="4">
        <v>32</v>
      </c>
      <c r="T2559" s="4">
        <v>32</v>
      </c>
      <c r="U2559" s="5" t="s">
        <v>12191</v>
      </c>
      <c r="V2559" s="5" t="s">
        <v>12191</v>
      </c>
      <c r="W2559" s="5" t="s">
        <v>69</v>
      </c>
      <c r="X2559" s="5" t="s">
        <v>69</v>
      </c>
      <c r="Y2559" s="4">
        <v>290</v>
      </c>
      <c r="Z2559" s="4">
        <v>13</v>
      </c>
      <c r="AA2559" s="4">
        <v>203</v>
      </c>
      <c r="AB2559" s="4">
        <v>1</v>
      </c>
      <c r="AC2559" s="4">
        <v>26</v>
      </c>
      <c r="AD2559" s="4">
        <v>46</v>
      </c>
      <c r="AE2559" s="4">
        <v>174</v>
      </c>
      <c r="AF2559" s="4">
        <v>0</v>
      </c>
      <c r="AG2559" s="4">
        <v>8</v>
      </c>
      <c r="AH2559" s="4">
        <v>42</v>
      </c>
      <c r="AI2559" s="4">
        <v>116</v>
      </c>
      <c r="AJ2559" s="4">
        <v>5</v>
      </c>
      <c r="AK2559" s="4">
        <v>28</v>
      </c>
      <c r="AL2559" s="4">
        <v>24</v>
      </c>
      <c r="AM2559" s="4">
        <v>66</v>
      </c>
      <c r="AN2559" s="4">
        <v>0</v>
      </c>
      <c r="AO2559" s="4">
        <v>31</v>
      </c>
      <c r="AP2559" s="4">
        <v>7</v>
      </c>
      <c r="AQ2559" s="4">
        <v>61</v>
      </c>
      <c r="AR2559" s="3" t="s">
        <v>63</v>
      </c>
      <c r="AS2559" s="3" t="s">
        <v>63</v>
      </c>
      <c r="AT2559" s="3" t="s">
        <v>63</v>
      </c>
      <c r="AV2559" s="6" t="str">
        <f>HYPERLINK("http://mcgill.on.worldcat.org/oclc/10833333","Catalog Record")</f>
        <v>Catalog Record</v>
      </c>
      <c r="AW2559" s="6" t="str">
        <f>HYPERLINK("http://www.worldcat.org/oclc/10833333","WorldCat Record")</f>
        <v>WorldCat Record</v>
      </c>
      <c r="AX2559" s="3" t="s">
        <v>20973</v>
      </c>
      <c r="AY2559" s="3" t="s">
        <v>21231</v>
      </c>
      <c r="AZ2559" s="3" t="s">
        <v>21232</v>
      </c>
      <c r="BA2559" s="3" t="s">
        <v>21232</v>
      </c>
      <c r="BB2559" s="3" t="s">
        <v>21233</v>
      </c>
      <c r="BC2559" s="3" t="s">
        <v>82</v>
      </c>
      <c r="BD2559" s="3" t="s">
        <v>70</v>
      </c>
      <c r="BE2559" s="3" t="s">
        <v>21234</v>
      </c>
      <c r="BF2559" s="3" t="s">
        <v>21233</v>
      </c>
      <c r="BG2559" s="3" t="s">
        <v>21235</v>
      </c>
    </row>
    <row r="2560" spans="1:59" ht="75" x14ac:dyDescent="0.25">
      <c r="A2560" s="2" t="s">
        <v>59</v>
      </c>
      <c r="B2560" s="2" t="s">
        <v>60</v>
      </c>
      <c r="C2560" s="2" t="s">
        <v>21236</v>
      </c>
      <c r="D2560" s="2" t="s">
        <v>21237</v>
      </c>
      <c r="E2560" s="2" t="s">
        <v>21238</v>
      </c>
      <c r="G2560" s="3" t="s">
        <v>63</v>
      </c>
      <c r="I2560" s="3" t="s">
        <v>63</v>
      </c>
      <c r="J2560" s="3" t="s">
        <v>62</v>
      </c>
      <c r="K2560" s="3" t="s">
        <v>20971</v>
      </c>
      <c r="L2560" s="2" t="s">
        <v>20715</v>
      </c>
      <c r="M2560" s="2" t="s">
        <v>21239</v>
      </c>
      <c r="N2560" s="3" t="s">
        <v>247</v>
      </c>
      <c r="P2560" s="3" t="s">
        <v>66</v>
      </c>
      <c r="Q2560" s="2" t="s">
        <v>9341</v>
      </c>
      <c r="R2560" s="3" t="s">
        <v>67</v>
      </c>
      <c r="S2560" s="4">
        <v>38</v>
      </c>
      <c r="T2560" s="4">
        <v>38</v>
      </c>
      <c r="U2560" s="5" t="s">
        <v>12191</v>
      </c>
      <c r="V2560" s="5" t="s">
        <v>12191</v>
      </c>
      <c r="W2560" s="5" t="s">
        <v>69</v>
      </c>
      <c r="X2560" s="5" t="s">
        <v>69</v>
      </c>
      <c r="Y2560" s="4">
        <v>310</v>
      </c>
      <c r="Z2560" s="4">
        <v>14</v>
      </c>
      <c r="AA2560" s="4">
        <v>203</v>
      </c>
      <c r="AB2560" s="4">
        <v>1</v>
      </c>
      <c r="AC2560" s="4">
        <v>26</v>
      </c>
      <c r="AD2560" s="4">
        <v>58</v>
      </c>
      <c r="AE2560" s="4">
        <v>174</v>
      </c>
      <c r="AF2560" s="4">
        <v>0</v>
      </c>
      <c r="AG2560" s="4">
        <v>8</v>
      </c>
      <c r="AH2560" s="4">
        <v>54</v>
      </c>
      <c r="AI2560" s="4">
        <v>116</v>
      </c>
      <c r="AJ2560" s="4">
        <v>7</v>
      </c>
      <c r="AK2560" s="4">
        <v>28</v>
      </c>
      <c r="AL2560" s="4">
        <v>35</v>
      </c>
      <c r="AM2560" s="4">
        <v>66</v>
      </c>
      <c r="AN2560" s="4">
        <v>5</v>
      </c>
      <c r="AO2560" s="4">
        <v>31</v>
      </c>
      <c r="AP2560" s="4">
        <v>9</v>
      </c>
      <c r="AQ2560" s="4">
        <v>61</v>
      </c>
      <c r="AR2560" s="3" t="s">
        <v>63</v>
      </c>
      <c r="AS2560" s="3" t="s">
        <v>63</v>
      </c>
      <c r="AT2560" s="3" t="s">
        <v>62</v>
      </c>
      <c r="AU2560" s="6" t="str">
        <f>HYPERLINK("http://catalog.hathitrust.org/Record/000108820","HathiTrust Record")</f>
        <v>HathiTrust Record</v>
      </c>
      <c r="AV2560" s="6" t="str">
        <f>HYPERLINK("http://mcgill.on.worldcat.org/oclc/9758512","Catalog Record")</f>
        <v>Catalog Record</v>
      </c>
      <c r="AW2560" s="6" t="str">
        <f>HYPERLINK("http://www.worldcat.org/oclc/9758512","WorldCat Record")</f>
        <v>WorldCat Record</v>
      </c>
      <c r="AX2560" s="3" t="s">
        <v>20973</v>
      </c>
      <c r="AY2560" s="3" t="s">
        <v>21240</v>
      </c>
      <c r="AZ2560" s="3" t="s">
        <v>21241</v>
      </c>
      <c r="BA2560" s="3" t="s">
        <v>21241</v>
      </c>
      <c r="BB2560" s="3" t="s">
        <v>21242</v>
      </c>
      <c r="BC2560" s="3" t="s">
        <v>82</v>
      </c>
      <c r="BD2560" s="3" t="s">
        <v>70</v>
      </c>
      <c r="BE2560" s="3" t="s">
        <v>21243</v>
      </c>
      <c r="BF2560" s="3" t="s">
        <v>21242</v>
      </c>
      <c r="BG2560" s="3" t="s">
        <v>21244</v>
      </c>
    </row>
    <row r="2561" spans="1:59" ht="75" x14ac:dyDescent="0.25">
      <c r="A2561" s="2" t="s">
        <v>59</v>
      </c>
      <c r="B2561" s="2" t="s">
        <v>60</v>
      </c>
      <c r="C2561" s="2" t="s">
        <v>21245</v>
      </c>
      <c r="D2561" s="2" t="s">
        <v>21246</v>
      </c>
      <c r="E2561" s="2" t="s">
        <v>21247</v>
      </c>
      <c r="G2561" s="3" t="s">
        <v>63</v>
      </c>
      <c r="I2561" s="3" t="s">
        <v>63</v>
      </c>
      <c r="J2561" s="3" t="s">
        <v>63</v>
      </c>
      <c r="K2561" s="3" t="s">
        <v>64</v>
      </c>
      <c r="L2561" s="2" t="s">
        <v>20715</v>
      </c>
      <c r="M2561" s="2" t="s">
        <v>21248</v>
      </c>
      <c r="N2561" s="3" t="s">
        <v>76</v>
      </c>
      <c r="P2561" s="3" t="s">
        <v>66</v>
      </c>
      <c r="Q2561" s="2" t="s">
        <v>21249</v>
      </c>
      <c r="R2561" s="3" t="s">
        <v>67</v>
      </c>
      <c r="S2561" s="4">
        <v>5</v>
      </c>
      <c r="T2561" s="4">
        <v>5</v>
      </c>
      <c r="U2561" s="5" t="s">
        <v>21250</v>
      </c>
      <c r="V2561" s="5" t="s">
        <v>21250</v>
      </c>
      <c r="W2561" s="5" t="s">
        <v>69</v>
      </c>
      <c r="X2561" s="5" t="s">
        <v>69</v>
      </c>
      <c r="Y2561" s="4">
        <v>131</v>
      </c>
      <c r="Z2561" s="4">
        <v>16</v>
      </c>
      <c r="AA2561" s="4">
        <v>22</v>
      </c>
      <c r="AB2561" s="4">
        <v>1</v>
      </c>
      <c r="AC2561" s="4">
        <v>3</v>
      </c>
      <c r="AD2561" s="4">
        <v>50</v>
      </c>
      <c r="AE2561" s="4">
        <v>62</v>
      </c>
      <c r="AF2561" s="4">
        <v>0</v>
      </c>
      <c r="AG2561" s="4">
        <v>0</v>
      </c>
      <c r="AH2561" s="4">
        <v>44</v>
      </c>
      <c r="AI2561" s="4">
        <v>54</v>
      </c>
      <c r="AJ2561" s="4">
        <v>12</v>
      </c>
      <c r="AK2561" s="4">
        <v>14</v>
      </c>
      <c r="AL2561" s="4">
        <v>29</v>
      </c>
      <c r="AM2561" s="4">
        <v>34</v>
      </c>
      <c r="AN2561" s="4">
        <v>0</v>
      </c>
      <c r="AO2561" s="4">
        <v>0</v>
      </c>
      <c r="AP2561" s="4">
        <v>12</v>
      </c>
      <c r="AQ2561" s="4">
        <v>15</v>
      </c>
      <c r="AR2561" s="3" t="s">
        <v>63</v>
      </c>
      <c r="AS2561" s="3" t="s">
        <v>63</v>
      </c>
      <c r="AT2561" s="3" t="s">
        <v>63</v>
      </c>
      <c r="AV2561" s="6" t="str">
        <f>HYPERLINK("http://mcgill.on.worldcat.org/oclc/527339994","Catalog Record")</f>
        <v>Catalog Record</v>
      </c>
      <c r="AW2561" s="6" t="str">
        <f>HYPERLINK("http://www.worldcat.org/oclc/527339994","WorldCat Record")</f>
        <v>WorldCat Record</v>
      </c>
      <c r="AX2561" s="3" t="s">
        <v>21251</v>
      </c>
      <c r="AY2561" s="3" t="s">
        <v>21252</v>
      </c>
      <c r="AZ2561" s="3" t="s">
        <v>21253</v>
      </c>
      <c r="BA2561" s="3" t="s">
        <v>21253</v>
      </c>
      <c r="BB2561" s="3" t="s">
        <v>21254</v>
      </c>
      <c r="BC2561" s="3" t="s">
        <v>82</v>
      </c>
      <c r="BD2561" s="3" t="s">
        <v>70</v>
      </c>
      <c r="BE2561" s="3" t="s">
        <v>21255</v>
      </c>
      <c r="BF2561" s="3" t="s">
        <v>21254</v>
      </c>
      <c r="BG2561" s="3" t="s">
        <v>21256</v>
      </c>
    </row>
    <row r="2562" spans="1:59" ht="60" x14ac:dyDescent="0.25">
      <c r="A2562" s="2" t="s">
        <v>59</v>
      </c>
      <c r="B2562" s="2" t="s">
        <v>60</v>
      </c>
      <c r="C2562" s="2" t="s">
        <v>21329</v>
      </c>
      <c r="D2562" s="2" t="s">
        <v>21330</v>
      </c>
      <c r="E2562" s="2" t="s">
        <v>21331</v>
      </c>
      <c r="G2562" s="3" t="s">
        <v>63</v>
      </c>
      <c r="I2562" s="3" t="s">
        <v>63</v>
      </c>
      <c r="J2562" s="3" t="s">
        <v>63</v>
      </c>
      <c r="K2562" s="3" t="s">
        <v>64</v>
      </c>
      <c r="L2562" s="2" t="s">
        <v>20715</v>
      </c>
      <c r="M2562" s="2" t="s">
        <v>21332</v>
      </c>
      <c r="N2562" s="3" t="s">
        <v>480</v>
      </c>
      <c r="P2562" s="3" t="s">
        <v>66</v>
      </c>
      <c r="Q2562" s="2" t="s">
        <v>21333</v>
      </c>
      <c r="R2562" s="3" t="s">
        <v>67</v>
      </c>
      <c r="S2562" s="4">
        <v>23</v>
      </c>
      <c r="T2562" s="4">
        <v>23</v>
      </c>
      <c r="U2562" s="5" t="s">
        <v>21334</v>
      </c>
      <c r="V2562" s="5" t="s">
        <v>21334</v>
      </c>
      <c r="W2562" s="5" t="s">
        <v>69</v>
      </c>
      <c r="X2562" s="5" t="s">
        <v>69</v>
      </c>
      <c r="Y2562" s="4">
        <v>11</v>
      </c>
      <c r="Z2562" s="4">
        <v>1</v>
      </c>
      <c r="AA2562" s="4">
        <v>1</v>
      </c>
      <c r="AB2562" s="4">
        <v>1</v>
      </c>
      <c r="AC2562" s="4">
        <v>1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3" t="s">
        <v>63</v>
      </c>
      <c r="AS2562" s="3" t="s">
        <v>63</v>
      </c>
      <c r="AT2562" s="3" t="s">
        <v>62</v>
      </c>
      <c r="AU2562" s="6" t="str">
        <f>HYPERLINK("http://catalog.hathitrust.org/Record/007106390","HathiTrust Record")</f>
        <v>HathiTrust Record</v>
      </c>
      <c r="AV2562" s="6" t="str">
        <f>HYPERLINK("http://mcgill.on.worldcat.org/oclc/220422254","Catalog Record")</f>
        <v>Catalog Record</v>
      </c>
      <c r="AW2562" s="6" t="str">
        <f>HYPERLINK("http://www.worldcat.org/oclc/220422254","WorldCat Record")</f>
        <v>WorldCat Record</v>
      </c>
      <c r="AX2562" s="3" t="s">
        <v>21335</v>
      </c>
      <c r="AY2562" s="3" t="s">
        <v>21336</v>
      </c>
      <c r="AZ2562" s="3" t="s">
        <v>21337</v>
      </c>
      <c r="BA2562" s="3" t="s">
        <v>21337</v>
      </c>
      <c r="BB2562" s="3" t="s">
        <v>21338</v>
      </c>
      <c r="BC2562" s="3" t="s">
        <v>82</v>
      </c>
      <c r="BD2562" s="3" t="s">
        <v>70</v>
      </c>
      <c r="BE2562" s="3" t="s">
        <v>21339</v>
      </c>
      <c r="BF2562" s="3" t="s">
        <v>21338</v>
      </c>
      <c r="BG2562" s="3" t="s">
        <v>21340</v>
      </c>
    </row>
    <row r="2563" spans="1:59" ht="60" x14ac:dyDescent="0.25">
      <c r="A2563" s="2" t="s">
        <v>59</v>
      </c>
      <c r="B2563" s="2" t="s">
        <v>60</v>
      </c>
      <c r="C2563" s="2" t="s">
        <v>21257</v>
      </c>
      <c r="D2563" s="2" t="s">
        <v>21258</v>
      </c>
      <c r="E2563" s="2" t="s">
        <v>21259</v>
      </c>
      <c r="G2563" s="3" t="s">
        <v>63</v>
      </c>
      <c r="I2563" s="3" t="s">
        <v>63</v>
      </c>
      <c r="J2563" s="3" t="s">
        <v>63</v>
      </c>
      <c r="K2563" s="3" t="s">
        <v>64</v>
      </c>
      <c r="L2563" s="2" t="s">
        <v>20715</v>
      </c>
      <c r="M2563" s="2" t="s">
        <v>11844</v>
      </c>
      <c r="N2563" s="3" t="s">
        <v>1226</v>
      </c>
      <c r="O2563" s="2" t="s">
        <v>11523</v>
      </c>
      <c r="P2563" s="3" t="s">
        <v>66</v>
      </c>
      <c r="Q2563" s="2" t="s">
        <v>14857</v>
      </c>
      <c r="R2563" s="3" t="s">
        <v>67</v>
      </c>
      <c r="S2563" s="4">
        <v>32</v>
      </c>
      <c r="T2563" s="4">
        <v>32</v>
      </c>
      <c r="U2563" s="5" t="s">
        <v>10605</v>
      </c>
      <c r="V2563" s="5" t="s">
        <v>10605</v>
      </c>
      <c r="W2563" s="5" t="s">
        <v>69</v>
      </c>
      <c r="X2563" s="5" t="s">
        <v>69</v>
      </c>
      <c r="Y2563" s="4">
        <v>304</v>
      </c>
      <c r="Z2563" s="4">
        <v>18</v>
      </c>
      <c r="AA2563" s="4">
        <v>23</v>
      </c>
      <c r="AB2563" s="4">
        <v>2</v>
      </c>
      <c r="AC2563" s="4">
        <v>3</v>
      </c>
      <c r="AD2563" s="4">
        <v>74</v>
      </c>
      <c r="AE2563" s="4">
        <v>74</v>
      </c>
      <c r="AF2563" s="4">
        <v>0</v>
      </c>
      <c r="AG2563" s="4">
        <v>0</v>
      </c>
      <c r="AH2563" s="4">
        <v>68</v>
      </c>
      <c r="AI2563" s="4">
        <v>68</v>
      </c>
      <c r="AJ2563" s="4">
        <v>7</v>
      </c>
      <c r="AK2563" s="4">
        <v>7</v>
      </c>
      <c r="AL2563" s="4">
        <v>41</v>
      </c>
      <c r="AM2563" s="4">
        <v>41</v>
      </c>
      <c r="AN2563" s="4">
        <v>0</v>
      </c>
      <c r="AO2563" s="4">
        <v>0</v>
      </c>
      <c r="AP2563" s="4">
        <v>9</v>
      </c>
      <c r="AQ2563" s="4">
        <v>9</v>
      </c>
      <c r="AR2563" s="3" t="s">
        <v>63</v>
      </c>
      <c r="AS2563" s="3" t="s">
        <v>63</v>
      </c>
      <c r="AT2563" s="3" t="s">
        <v>62</v>
      </c>
      <c r="AU2563" s="6" t="str">
        <f>HYPERLINK("http://catalog.hathitrust.org/Record/007143202","HathiTrust Record")</f>
        <v>HathiTrust Record</v>
      </c>
      <c r="AV2563" s="6" t="str">
        <f>HYPERLINK("http://mcgill.on.worldcat.org/oclc/51460575","Catalog Record")</f>
        <v>Catalog Record</v>
      </c>
      <c r="AW2563" s="6" t="str">
        <f>HYPERLINK("http://www.worldcat.org/oclc/51460575","WorldCat Record")</f>
        <v>WorldCat Record</v>
      </c>
      <c r="AX2563" s="3" t="s">
        <v>21260</v>
      </c>
      <c r="AY2563" s="3" t="s">
        <v>21261</v>
      </c>
      <c r="AZ2563" s="3" t="s">
        <v>21262</v>
      </c>
      <c r="BA2563" s="3" t="s">
        <v>21262</v>
      </c>
      <c r="BB2563" s="3" t="s">
        <v>21263</v>
      </c>
      <c r="BC2563" s="3" t="s">
        <v>82</v>
      </c>
      <c r="BD2563" s="3" t="s">
        <v>70</v>
      </c>
      <c r="BE2563" s="3" t="s">
        <v>21264</v>
      </c>
      <c r="BF2563" s="3" t="s">
        <v>21263</v>
      </c>
      <c r="BG2563" s="3" t="s">
        <v>21265</v>
      </c>
    </row>
    <row r="2564" spans="1:59" ht="60" x14ac:dyDescent="0.25">
      <c r="A2564" s="2" t="s">
        <v>59</v>
      </c>
      <c r="B2564" s="2" t="s">
        <v>60</v>
      </c>
      <c r="C2564" s="2" t="s">
        <v>21266</v>
      </c>
      <c r="D2564" s="2" t="s">
        <v>21267</v>
      </c>
      <c r="E2564" s="2" t="s">
        <v>21268</v>
      </c>
      <c r="G2564" s="3" t="s">
        <v>63</v>
      </c>
      <c r="I2564" s="3" t="s">
        <v>62</v>
      </c>
      <c r="J2564" s="3" t="s">
        <v>63</v>
      </c>
      <c r="K2564" s="3" t="s">
        <v>64</v>
      </c>
      <c r="L2564" s="2" t="s">
        <v>20715</v>
      </c>
      <c r="M2564" s="2" t="s">
        <v>21269</v>
      </c>
      <c r="N2564" s="3" t="s">
        <v>204</v>
      </c>
      <c r="O2564" s="2" t="s">
        <v>21270</v>
      </c>
      <c r="P2564" s="3" t="s">
        <v>66</v>
      </c>
      <c r="Q2564" s="2" t="s">
        <v>21271</v>
      </c>
      <c r="R2564" s="3" t="s">
        <v>67</v>
      </c>
      <c r="S2564" s="4">
        <v>8</v>
      </c>
      <c r="T2564" s="4">
        <v>22</v>
      </c>
      <c r="U2564" s="5" t="s">
        <v>15588</v>
      </c>
      <c r="V2564" s="5" t="s">
        <v>15588</v>
      </c>
      <c r="W2564" s="5" t="s">
        <v>69</v>
      </c>
      <c r="X2564" s="5" t="s">
        <v>69</v>
      </c>
      <c r="Y2564" s="4">
        <v>307</v>
      </c>
      <c r="Z2564" s="4">
        <v>6</v>
      </c>
      <c r="AA2564" s="4">
        <v>13</v>
      </c>
      <c r="AB2564" s="4">
        <v>1</v>
      </c>
      <c r="AC2564" s="4">
        <v>2</v>
      </c>
      <c r="AD2564" s="4">
        <v>55</v>
      </c>
      <c r="AE2564" s="4">
        <v>80</v>
      </c>
      <c r="AF2564" s="4">
        <v>0</v>
      </c>
      <c r="AG2564" s="4">
        <v>1</v>
      </c>
      <c r="AH2564" s="4">
        <v>52</v>
      </c>
      <c r="AI2564" s="4">
        <v>74</v>
      </c>
      <c r="AJ2564" s="4">
        <v>2</v>
      </c>
      <c r="AK2564" s="4">
        <v>5</v>
      </c>
      <c r="AL2564" s="4">
        <v>36</v>
      </c>
      <c r="AM2564" s="4">
        <v>49</v>
      </c>
      <c r="AN2564" s="4">
        <v>0</v>
      </c>
      <c r="AO2564" s="4">
        <v>0</v>
      </c>
      <c r="AP2564" s="4">
        <v>3</v>
      </c>
      <c r="AQ2564" s="4">
        <v>7</v>
      </c>
      <c r="AR2564" s="3" t="s">
        <v>63</v>
      </c>
      <c r="AS2564" s="3" t="s">
        <v>63</v>
      </c>
      <c r="AT2564" s="3" t="s">
        <v>63</v>
      </c>
      <c r="AV2564" s="6" t="str">
        <f>HYPERLINK("http://mcgill.on.worldcat.org/oclc/35280681","Catalog Record")</f>
        <v>Catalog Record</v>
      </c>
      <c r="AW2564" s="6" t="str">
        <f>HYPERLINK("http://www.worldcat.org/oclc/35280681","WorldCat Record")</f>
        <v>WorldCat Record</v>
      </c>
      <c r="AX2564" s="3" t="s">
        <v>21272</v>
      </c>
      <c r="AY2564" s="3" t="s">
        <v>21273</v>
      </c>
      <c r="AZ2564" s="3" t="s">
        <v>21274</v>
      </c>
      <c r="BA2564" s="3" t="s">
        <v>21274</v>
      </c>
      <c r="BB2564" s="3" t="s">
        <v>21275</v>
      </c>
      <c r="BC2564" s="3" t="s">
        <v>82</v>
      </c>
      <c r="BD2564" s="3" t="s">
        <v>70</v>
      </c>
      <c r="BE2564" s="3" t="s">
        <v>21276</v>
      </c>
      <c r="BF2564" s="3" t="s">
        <v>21275</v>
      </c>
      <c r="BG2564" s="3" t="s">
        <v>21277</v>
      </c>
    </row>
    <row r="2565" spans="1:59" ht="60" x14ac:dyDescent="0.25">
      <c r="A2565" s="2" t="s">
        <v>59</v>
      </c>
      <c r="B2565" s="2" t="s">
        <v>60</v>
      </c>
      <c r="C2565" s="2" t="s">
        <v>21266</v>
      </c>
      <c r="D2565" s="2" t="s">
        <v>21267</v>
      </c>
      <c r="E2565" s="2" t="s">
        <v>21268</v>
      </c>
      <c r="G2565" s="3" t="s">
        <v>63</v>
      </c>
      <c r="I2565" s="3" t="s">
        <v>62</v>
      </c>
      <c r="J2565" s="3" t="s">
        <v>63</v>
      </c>
      <c r="K2565" s="3" t="s">
        <v>64</v>
      </c>
      <c r="L2565" s="2" t="s">
        <v>20715</v>
      </c>
      <c r="M2565" s="2" t="s">
        <v>21269</v>
      </c>
      <c r="N2565" s="3" t="s">
        <v>204</v>
      </c>
      <c r="O2565" s="2" t="s">
        <v>21270</v>
      </c>
      <c r="P2565" s="3" t="s">
        <v>66</v>
      </c>
      <c r="Q2565" s="2" t="s">
        <v>21271</v>
      </c>
      <c r="R2565" s="3" t="s">
        <v>67</v>
      </c>
      <c r="S2565" s="4">
        <v>7</v>
      </c>
      <c r="T2565" s="4">
        <v>22</v>
      </c>
      <c r="U2565" s="5" t="s">
        <v>21278</v>
      </c>
      <c r="V2565" s="5" t="s">
        <v>15588</v>
      </c>
      <c r="W2565" s="5" t="s">
        <v>69</v>
      </c>
      <c r="X2565" s="5" t="s">
        <v>69</v>
      </c>
      <c r="Y2565" s="4">
        <v>307</v>
      </c>
      <c r="Z2565" s="4">
        <v>6</v>
      </c>
      <c r="AA2565" s="4">
        <v>13</v>
      </c>
      <c r="AB2565" s="4">
        <v>1</v>
      </c>
      <c r="AC2565" s="4">
        <v>2</v>
      </c>
      <c r="AD2565" s="4">
        <v>55</v>
      </c>
      <c r="AE2565" s="4">
        <v>80</v>
      </c>
      <c r="AF2565" s="4">
        <v>0</v>
      </c>
      <c r="AG2565" s="4">
        <v>1</v>
      </c>
      <c r="AH2565" s="4">
        <v>52</v>
      </c>
      <c r="AI2565" s="4">
        <v>74</v>
      </c>
      <c r="AJ2565" s="4">
        <v>2</v>
      </c>
      <c r="AK2565" s="4">
        <v>5</v>
      </c>
      <c r="AL2565" s="4">
        <v>36</v>
      </c>
      <c r="AM2565" s="4">
        <v>49</v>
      </c>
      <c r="AN2565" s="4">
        <v>0</v>
      </c>
      <c r="AO2565" s="4">
        <v>0</v>
      </c>
      <c r="AP2565" s="4">
        <v>3</v>
      </c>
      <c r="AQ2565" s="4">
        <v>7</v>
      </c>
      <c r="AR2565" s="3" t="s">
        <v>63</v>
      </c>
      <c r="AS2565" s="3" t="s">
        <v>63</v>
      </c>
      <c r="AT2565" s="3" t="s">
        <v>63</v>
      </c>
      <c r="AV2565" s="6" t="str">
        <f>HYPERLINK("http://mcgill.on.worldcat.org/oclc/35280681","Catalog Record")</f>
        <v>Catalog Record</v>
      </c>
      <c r="AW2565" s="6" t="str">
        <f>HYPERLINK("http://www.worldcat.org/oclc/35280681","WorldCat Record")</f>
        <v>WorldCat Record</v>
      </c>
      <c r="AX2565" s="3" t="s">
        <v>21272</v>
      </c>
      <c r="AY2565" s="3" t="s">
        <v>21273</v>
      </c>
      <c r="AZ2565" s="3" t="s">
        <v>21274</v>
      </c>
      <c r="BA2565" s="3" t="s">
        <v>21274</v>
      </c>
      <c r="BB2565" s="3" t="s">
        <v>21279</v>
      </c>
      <c r="BC2565" s="3" t="s">
        <v>82</v>
      </c>
      <c r="BD2565" s="3" t="s">
        <v>70</v>
      </c>
      <c r="BE2565" s="3" t="s">
        <v>21276</v>
      </c>
      <c r="BF2565" s="3" t="s">
        <v>21279</v>
      </c>
      <c r="BG2565" s="3" t="s">
        <v>21280</v>
      </c>
    </row>
    <row r="2566" spans="1:59" ht="60" x14ac:dyDescent="0.25">
      <c r="A2566" s="2" t="s">
        <v>59</v>
      </c>
      <c r="B2566" s="2" t="s">
        <v>60</v>
      </c>
      <c r="C2566" s="2" t="s">
        <v>21266</v>
      </c>
      <c r="D2566" s="2" t="s">
        <v>21267</v>
      </c>
      <c r="E2566" s="2" t="s">
        <v>21268</v>
      </c>
      <c r="G2566" s="3" t="s">
        <v>63</v>
      </c>
      <c r="I2566" s="3" t="s">
        <v>62</v>
      </c>
      <c r="J2566" s="3" t="s">
        <v>63</v>
      </c>
      <c r="K2566" s="3" t="s">
        <v>64</v>
      </c>
      <c r="L2566" s="2" t="s">
        <v>20715</v>
      </c>
      <c r="M2566" s="2" t="s">
        <v>21269</v>
      </c>
      <c r="N2566" s="3" t="s">
        <v>204</v>
      </c>
      <c r="O2566" s="2" t="s">
        <v>21270</v>
      </c>
      <c r="P2566" s="3" t="s">
        <v>66</v>
      </c>
      <c r="Q2566" s="2" t="s">
        <v>21271</v>
      </c>
      <c r="R2566" s="3" t="s">
        <v>67</v>
      </c>
      <c r="S2566" s="4">
        <v>7</v>
      </c>
      <c r="T2566" s="4">
        <v>22</v>
      </c>
      <c r="U2566" s="5" t="s">
        <v>21281</v>
      </c>
      <c r="V2566" s="5" t="s">
        <v>15588</v>
      </c>
      <c r="W2566" s="5" t="s">
        <v>69</v>
      </c>
      <c r="X2566" s="5" t="s">
        <v>69</v>
      </c>
      <c r="Y2566" s="4">
        <v>307</v>
      </c>
      <c r="Z2566" s="4">
        <v>6</v>
      </c>
      <c r="AA2566" s="4">
        <v>13</v>
      </c>
      <c r="AB2566" s="4">
        <v>1</v>
      </c>
      <c r="AC2566" s="4">
        <v>2</v>
      </c>
      <c r="AD2566" s="4">
        <v>55</v>
      </c>
      <c r="AE2566" s="4">
        <v>80</v>
      </c>
      <c r="AF2566" s="4">
        <v>0</v>
      </c>
      <c r="AG2566" s="4">
        <v>1</v>
      </c>
      <c r="AH2566" s="4">
        <v>52</v>
      </c>
      <c r="AI2566" s="4">
        <v>74</v>
      </c>
      <c r="AJ2566" s="4">
        <v>2</v>
      </c>
      <c r="AK2566" s="4">
        <v>5</v>
      </c>
      <c r="AL2566" s="4">
        <v>36</v>
      </c>
      <c r="AM2566" s="4">
        <v>49</v>
      </c>
      <c r="AN2566" s="4">
        <v>0</v>
      </c>
      <c r="AO2566" s="4">
        <v>0</v>
      </c>
      <c r="AP2566" s="4">
        <v>3</v>
      </c>
      <c r="AQ2566" s="4">
        <v>7</v>
      </c>
      <c r="AR2566" s="3" t="s">
        <v>63</v>
      </c>
      <c r="AS2566" s="3" t="s">
        <v>63</v>
      </c>
      <c r="AT2566" s="3" t="s">
        <v>63</v>
      </c>
      <c r="AV2566" s="6" t="str">
        <f>HYPERLINK("http://mcgill.on.worldcat.org/oclc/35280681","Catalog Record")</f>
        <v>Catalog Record</v>
      </c>
      <c r="AW2566" s="6" t="str">
        <f>HYPERLINK("http://www.worldcat.org/oclc/35280681","WorldCat Record")</f>
        <v>WorldCat Record</v>
      </c>
      <c r="AX2566" s="3" t="s">
        <v>21272</v>
      </c>
      <c r="AY2566" s="3" t="s">
        <v>21273</v>
      </c>
      <c r="AZ2566" s="3" t="s">
        <v>21274</v>
      </c>
      <c r="BA2566" s="3" t="s">
        <v>21274</v>
      </c>
      <c r="BB2566" s="3" t="s">
        <v>21282</v>
      </c>
      <c r="BC2566" s="3" t="s">
        <v>82</v>
      </c>
      <c r="BD2566" s="3" t="s">
        <v>70</v>
      </c>
      <c r="BE2566" s="3" t="s">
        <v>21276</v>
      </c>
      <c r="BF2566" s="3" t="s">
        <v>21282</v>
      </c>
      <c r="BG2566" s="3" t="s">
        <v>21283</v>
      </c>
    </row>
    <row r="2567" spans="1:59" ht="60" x14ac:dyDescent="0.25">
      <c r="A2567" s="2" t="s">
        <v>59</v>
      </c>
      <c r="B2567" s="2" t="s">
        <v>60</v>
      </c>
      <c r="C2567" s="2" t="s">
        <v>21284</v>
      </c>
      <c r="D2567" s="2" t="s">
        <v>21285</v>
      </c>
      <c r="E2567" s="2" t="s">
        <v>21286</v>
      </c>
      <c r="G2567" s="3" t="s">
        <v>63</v>
      </c>
      <c r="I2567" s="3" t="s">
        <v>63</v>
      </c>
      <c r="J2567" s="3" t="s">
        <v>63</v>
      </c>
      <c r="K2567" s="3" t="s">
        <v>64</v>
      </c>
      <c r="L2567" s="2" t="s">
        <v>20779</v>
      </c>
      <c r="M2567" s="2" t="s">
        <v>21287</v>
      </c>
      <c r="N2567" s="3" t="s">
        <v>1113</v>
      </c>
      <c r="O2567" s="2" t="s">
        <v>1605</v>
      </c>
      <c r="P2567" s="3" t="s">
        <v>66</v>
      </c>
      <c r="R2567" s="3" t="s">
        <v>67</v>
      </c>
      <c r="S2567" s="4">
        <v>33</v>
      </c>
      <c r="T2567" s="4">
        <v>33</v>
      </c>
      <c r="U2567" s="5" t="s">
        <v>1433</v>
      </c>
      <c r="V2567" s="5" t="s">
        <v>1433</v>
      </c>
      <c r="W2567" s="5" t="s">
        <v>69</v>
      </c>
      <c r="X2567" s="5" t="s">
        <v>69</v>
      </c>
      <c r="Y2567" s="4">
        <v>638</v>
      </c>
      <c r="Z2567" s="4">
        <v>21</v>
      </c>
      <c r="AA2567" s="4">
        <v>32</v>
      </c>
      <c r="AB2567" s="4">
        <v>2</v>
      </c>
      <c r="AC2567" s="4">
        <v>5</v>
      </c>
      <c r="AD2567" s="4">
        <v>90</v>
      </c>
      <c r="AE2567" s="4">
        <v>103</v>
      </c>
      <c r="AF2567" s="4">
        <v>1</v>
      </c>
      <c r="AG2567" s="4">
        <v>2</v>
      </c>
      <c r="AH2567" s="4">
        <v>86</v>
      </c>
      <c r="AI2567" s="4">
        <v>93</v>
      </c>
      <c r="AJ2567" s="4">
        <v>7</v>
      </c>
      <c r="AK2567" s="4">
        <v>11</v>
      </c>
      <c r="AL2567" s="4">
        <v>49</v>
      </c>
      <c r="AM2567" s="4">
        <v>54</v>
      </c>
      <c r="AN2567" s="4">
        <v>0</v>
      </c>
      <c r="AO2567" s="4">
        <v>0</v>
      </c>
      <c r="AP2567" s="4">
        <v>8</v>
      </c>
      <c r="AQ2567" s="4">
        <v>13</v>
      </c>
      <c r="AR2567" s="3" t="s">
        <v>63</v>
      </c>
      <c r="AS2567" s="3" t="s">
        <v>63</v>
      </c>
      <c r="AT2567" s="3" t="s">
        <v>63</v>
      </c>
      <c r="AV2567" s="6" t="str">
        <f>HYPERLINK("http://mcgill.on.worldcat.org/oclc/35293034","Catalog Record")</f>
        <v>Catalog Record</v>
      </c>
      <c r="AW2567" s="6" t="str">
        <f>HYPERLINK("http://www.worldcat.org/oclc/35293034","WorldCat Record")</f>
        <v>WorldCat Record</v>
      </c>
      <c r="AX2567" s="3" t="s">
        <v>21288</v>
      </c>
      <c r="AY2567" s="3" t="s">
        <v>21289</v>
      </c>
      <c r="AZ2567" s="3" t="s">
        <v>21290</v>
      </c>
      <c r="BA2567" s="3" t="s">
        <v>21290</v>
      </c>
      <c r="BB2567" s="3" t="s">
        <v>21291</v>
      </c>
      <c r="BC2567" s="3" t="s">
        <v>82</v>
      </c>
      <c r="BD2567" s="3" t="s">
        <v>70</v>
      </c>
      <c r="BE2567" s="3" t="s">
        <v>21292</v>
      </c>
      <c r="BF2567" s="3" t="s">
        <v>21291</v>
      </c>
      <c r="BG2567" s="3" t="s">
        <v>21293</v>
      </c>
    </row>
    <row r="2568" spans="1:59" ht="60" x14ac:dyDescent="0.25">
      <c r="A2568" s="2" t="s">
        <v>59</v>
      </c>
      <c r="B2568" s="2" t="s">
        <v>60</v>
      </c>
      <c r="C2568" s="2" t="s">
        <v>21294</v>
      </c>
      <c r="D2568" s="2" t="s">
        <v>21295</v>
      </c>
      <c r="E2568" s="2" t="s">
        <v>21296</v>
      </c>
      <c r="G2568" s="3" t="s">
        <v>63</v>
      </c>
      <c r="I2568" s="3" t="s">
        <v>63</v>
      </c>
      <c r="J2568" s="3" t="s">
        <v>63</v>
      </c>
      <c r="K2568" s="3" t="s">
        <v>64</v>
      </c>
      <c r="L2568" s="2" t="s">
        <v>20715</v>
      </c>
      <c r="M2568" s="2" t="s">
        <v>21297</v>
      </c>
      <c r="N2568" s="3" t="s">
        <v>234</v>
      </c>
      <c r="O2568" s="2" t="s">
        <v>590</v>
      </c>
      <c r="P2568" s="3" t="s">
        <v>66</v>
      </c>
      <c r="Q2568" s="2" t="s">
        <v>21298</v>
      </c>
      <c r="R2568" s="3" t="s">
        <v>67</v>
      </c>
      <c r="S2568" s="4">
        <v>12</v>
      </c>
      <c r="T2568" s="4">
        <v>12</v>
      </c>
      <c r="U2568" s="5" t="s">
        <v>20947</v>
      </c>
      <c r="V2568" s="5" t="s">
        <v>20947</v>
      </c>
      <c r="W2568" s="5" t="s">
        <v>69</v>
      </c>
      <c r="X2568" s="5" t="s">
        <v>69</v>
      </c>
      <c r="Y2568" s="4">
        <v>1133</v>
      </c>
      <c r="Z2568" s="4">
        <v>45</v>
      </c>
      <c r="AA2568" s="4">
        <v>48</v>
      </c>
      <c r="AB2568" s="4">
        <v>4</v>
      </c>
      <c r="AC2568" s="4">
        <v>6</v>
      </c>
      <c r="AD2568" s="4">
        <v>92</v>
      </c>
      <c r="AE2568" s="4">
        <v>94</v>
      </c>
      <c r="AF2568" s="4">
        <v>0</v>
      </c>
      <c r="AG2568" s="4">
        <v>1</v>
      </c>
      <c r="AH2568" s="4">
        <v>81</v>
      </c>
      <c r="AI2568" s="4">
        <v>82</v>
      </c>
      <c r="AJ2568" s="4">
        <v>11</v>
      </c>
      <c r="AK2568" s="4">
        <v>13</v>
      </c>
      <c r="AL2568" s="4">
        <v>49</v>
      </c>
      <c r="AM2568" s="4">
        <v>49</v>
      </c>
      <c r="AN2568" s="4">
        <v>0</v>
      </c>
      <c r="AO2568" s="4">
        <v>0</v>
      </c>
      <c r="AP2568" s="4">
        <v>17</v>
      </c>
      <c r="AQ2568" s="4">
        <v>19</v>
      </c>
      <c r="AR2568" s="3" t="s">
        <v>63</v>
      </c>
      <c r="AS2568" s="3" t="s">
        <v>63</v>
      </c>
      <c r="AT2568" s="3" t="s">
        <v>63</v>
      </c>
      <c r="AV2568" s="6" t="str">
        <f>HYPERLINK("http://mcgill.on.worldcat.org/oclc/61309386","Catalog Record")</f>
        <v>Catalog Record</v>
      </c>
      <c r="AW2568" s="6" t="str">
        <f>HYPERLINK("http://www.worldcat.org/oclc/61309386","WorldCat Record")</f>
        <v>WorldCat Record</v>
      </c>
      <c r="AX2568" s="3" t="s">
        <v>21299</v>
      </c>
      <c r="AY2568" s="3" t="s">
        <v>21300</v>
      </c>
      <c r="AZ2568" s="3" t="s">
        <v>21301</v>
      </c>
      <c r="BA2568" s="3" t="s">
        <v>21301</v>
      </c>
      <c r="BB2568" s="3" t="s">
        <v>21302</v>
      </c>
      <c r="BC2568" s="3" t="s">
        <v>82</v>
      </c>
      <c r="BD2568" s="3" t="s">
        <v>70</v>
      </c>
      <c r="BE2568" s="3" t="s">
        <v>21303</v>
      </c>
      <c r="BF2568" s="3" t="s">
        <v>21302</v>
      </c>
      <c r="BG2568" s="3" t="s">
        <v>21304</v>
      </c>
    </row>
    <row r="2569" spans="1:59" ht="60" x14ac:dyDescent="0.25">
      <c r="A2569" s="2" t="s">
        <v>59</v>
      </c>
      <c r="B2569" s="2" t="s">
        <v>60</v>
      </c>
      <c r="C2569" s="2" t="s">
        <v>21305</v>
      </c>
      <c r="D2569" s="2" t="s">
        <v>21306</v>
      </c>
      <c r="E2569" s="2" t="s">
        <v>21307</v>
      </c>
      <c r="G2569" s="3" t="s">
        <v>63</v>
      </c>
      <c r="I2569" s="3" t="s">
        <v>63</v>
      </c>
      <c r="J2569" s="3" t="s">
        <v>63</v>
      </c>
      <c r="K2569" s="3" t="s">
        <v>215</v>
      </c>
      <c r="L2569" s="2" t="s">
        <v>20715</v>
      </c>
      <c r="M2569" s="2" t="s">
        <v>21308</v>
      </c>
      <c r="N2569" s="3" t="s">
        <v>9782</v>
      </c>
      <c r="P2569" s="3" t="s">
        <v>66</v>
      </c>
      <c r="R2569" s="3" t="s">
        <v>67</v>
      </c>
      <c r="S2569" s="4">
        <v>17</v>
      </c>
      <c r="T2569" s="4">
        <v>17</v>
      </c>
      <c r="U2569" s="5" t="s">
        <v>20947</v>
      </c>
      <c r="V2569" s="5" t="s">
        <v>20947</v>
      </c>
      <c r="W2569" s="5" t="s">
        <v>69</v>
      </c>
      <c r="X2569" s="5" t="s">
        <v>69</v>
      </c>
      <c r="Y2569" s="4">
        <v>20</v>
      </c>
      <c r="Z2569" s="4">
        <v>1</v>
      </c>
      <c r="AA2569" s="4">
        <v>3</v>
      </c>
      <c r="AB2569" s="4">
        <v>1</v>
      </c>
      <c r="AC2569" s="4">
        <v>1</v>
      </c>
      <c r="AD2569" s="4">
        <v>3</v>
      </c>
      <c r="AE2569" s="4">
        <v>11</v>
      </c>
      <c r="AF2569" s="4">
        <v>0</v>
      </c>
      <c r="AG2569" s="4">
        <v>0</v>
      </c>
      <c r="AH2569" s="4">
        <v>2</v>
      </c>
      <c r="AI2569" s="4">
        <v>9</v>
      </c>
      <c r="AJ2569" s="4">
        <v>0</v>
      </c>
      <c r="AK2569" s="4">
        <v>1</v>
      </c>
      <c r="AL2569" s="4">
        <v>3</v>
      </c>
      <c r="AM2569" s="4">
        <v>6</v>
      </c>
      <c r="AN2569" s="4">
        <v>0</v>
      </c>
      <c r="AO2569" s="4">
        <v>3</v>
      </c>
      <c r="AP2569" s="4">
        <v>0</v>
      </c>
      <c r="AQ2569" s="4">
        <v>1</v>
      </c>
      <c r="AR2569" s="3" t="s">
        <v>63</v>
      </c>
      <c r="AS2569" s="3" t="s">
        <v>63</v>
      </c>
      <c r="AT2569" s="3" t="s">
        <v>63</v>
      </c>
      <c r="AV2569" s="6" t="str">
        <f>HYPERLINK("http://mcgill.on.worldcat.org/oclc/2521864","Catalog Record")</f>
        <v>Catalog Record</v>
      </c>
      <c r="AW2569" s="6" t="str">
        <f>HYPERLINK("http://www.worldcat.org/oclc/2521864","WorldCat Record")</f>
        <v>WorldCat Record</v>
      </c>
      <c r="AX2569" s="3" t="s">
        <v>21309</v>
      </c>
      <c r="AY2569" s="3" t="s">
        <v>21310</v>
      </c>
      <c r="AZ2569" s="3" t="s">
        <v>21311</v>
      </c>
      <c r="BA2569" s="3" t="s">
        <v>21311</v>
      </c>
      <c r="BB2569" s="3" t="s">
        <v>21312</v>
      </c>
      <c r="BC2569" s="3" t="s">
        <v>82</v>
      </c>
      <c r="BD2569" s="3" t="s">
        <v>70</v>
      </c>
      <c r="BF2569" s="3" t="s">
        <v>21312</v>
      </c>
      <c r="BG2569" s="3" t="s">
        <v>21313</v>
      </c>
    </row>
    <row r="2570" spans="1:59" ht="90" x14ac:dyDescent="0.25">
      <c r="A2570" s="2" t="s">
        <v>59</v>
      </c>
      <c r="B2570" s="2" t="s">
        <v>60</v>
      </c>
      <c r="C2570" s="2" t="s">
        <v>21314</v>
      </c>
      <c r="D2570" s="2" t="s">
        <v>21315</v>
      </c>
      <c r="E2570" s="2" t="s">
        <v>21316</v>
      </c>
      <c r="G2570" s="3" t="s">
        <v>63</v>
      </c>
      <c r="I2570" s="3" t="s">
        <v>62</v>
      </c>
      <c r="J2570" s="3" t="s">
        <v>63</v>
      </c>
      <c r="K2570" s="3" t="s">
        <v>64</v>
      </c>
      <c r="L2570" s="2" t="s">
        <v>20715</v>
      </c>
      <c r="M2570" s="2" t="s">
        <v>21317</v>
      </c>
      <c r="N2570" s="3" t="s">
        <v>885</v>
      </c>
      <c r="P2570" s="3" t="s">
        <v>66</v>
      </c>
      <c r="R2570" s="3" t="s">
        <v>67</v>
      </c>
      <c r="S2570" s="4">
        <v>0</v>
      </c>
      <c r="T2570" s="4">
        <v>13</v>
      </c>
      <c r="V2570" s="5" t="s">
        <v>21318</v>
      </c>
      <c r="W2570" s="5" t="s">
        <v>69</v>
      </c>
      <c r="X2570" s="5" t="s">
        <v>69</v>
      </c>
      <c r="Y2570" s="4">
        <v>1</v>
      </c>
      <c r="Z2570" s="4">
        <v>1</v>
      </c>
      <c r="AA2570" s="4">
        <v>9</v>
      </c>
      <c r="AB2570" s="4">
        <v>1</v>
      </c>
      <c r="AC2570" s="4">
        <v>1</v>
      </c>
      <c r="AD2570" s="4">
        <v>0</v>
      </c>
      <c r="AE2570" s="4">
        <v>26</v>
      </c>
      <c r="AF2570" s="4">
        <v>0</v>
      </c>
      <c r="AG2570" s="4">
        <v>0</v>
      </c>
      <c r="AH2570" s="4">
        <v>0</v>
      </c>
      <c r="AI2570" s="4">
        <v>23</v>
      </c>
      <c r="AJ2570" s="4">
        <v>0</v>
      </c>
      <c r="AK2570" s="4">
        <v>7</v>
      </c>
      <c r="AL2570" s="4">
        <v>0</v>
      </c>
      <c r="AM2570" s="4">
        <v>10</v>
      </c>
      <c r="AN2570" s="4">
        <v>0</v>
      </c>
      <c r="AO2570" s="4">
        <v>0</v>
      </c>
      <c r="AP2570" s="4">
        <v>0</v>
      </c>
      <c r="AQ2570" s="4">
        <v>6</v>
      </c>
      <c r="AR2570" s="3" t="s">
        <v>63</v>
      </c>
      <c r="AS2570" s="3" t="s">
        <v>63</v>
      </c>
      <c r="AT2570" s="3" t="s">
        <v>63</v>
      </c>
      <c r="AV2570" s="6" t="str">
        <f>HYPERLINK("http://mcgill.on.worldcat.org/oclc/427292798","Catalog Record")</f>
        <v>Catalog Record</v>
      </c>
      <c r="AW2570" s="6" t="str">
        <f>HYPERLINK("http://www.worldcat.org/oclc/427292798","WorldCat Record")</f>
        <v>WorldCat Record</v>
      </c>
      <c r="AX2570" s="3" t="s">
        <v>21319</v>
      </c>
      <c r="AY2570" s="3" t="s">
        <v>21320</v>
      </c>
      <c r="AZ2570" s="3" t="s">
        <v>21321</v>
      </c>
      <c r="BA2570" s="3" t="s">
        <v>21321</v>
      </c>
      <c r="BB2570" s="3" t="s">
        <v>21322</v>
      </c>
      <c r="BC2570" s="3" t="s">
        <v>82</v>
      </c>
      <c r="BD2570" s="3" t="s">
        <v>70</v>
      </c>
      <c r="BF2570" s="3" t="s">
        <v>21322</v>
      </c>
      <c r="BG2570" s="3" t="s">
        <v>21323</v>
      </c>
    </row>
    <row r="2571" spans="1:59" ht="90" x14ac:dyDescent="0.25">
      <c r="A2571" s="2" t="s">
        <v>59</v>
      </c>
      <c r="B2571" s="2" t="s">
        <v>60</v>
      </c>
      <c r="C2571" s="2" t="s">
        <v>21314</v>
      </c>
      <c r="D2571" s="2" t="s">
        <v>21315</v>
      </c>
      <c r="E2571" s="2" t="s">
        <v>21316</v>
      </c>
      <c r="G2571" s="3" t="s">
        <v>63</v>
      </c>
      <c r="I2571" s="3" t="s">
        <v>62</v>
      </c>
      <c r="J2571" s="3" t="s">
        <v>63</v>
      </c>
      <c r="K2571" s="3" t="s">
        <v>64</v>
      </c>
      <c r="L2571" s="2" t="s">
        <v>20715</v>
      </c>
      <c r="M2571" s="2" t="s">
        <v>21317</v>
      </c>
      <c r="N2571" s="3" t="s">
        <v>885</v>
      </c>
      <c r="P2571" s="3" t="s">
        <v>66</v>
      </c>
      <c r="R2571" s="3" t="s">
        <v>67</v>
      </c>
      <c r="S2571" s="4">
        <v>11</v>
      </c>
      <c r="T2571" s="4">
        <v>13</v>
      </c>
      <c r="U2571" s="5" t="s">
        <v>21318</v>
      </c>
      <c r="V2571" s="5" t="s">
        <v>21318</v>
      </c>
      <c r="W2571" s="5" t="s">
        <v>69</v>
      </c>
      <c r="X2571" s="5" t="s">
        <v>69</v>
      </c>
      <c r="Y2571" s="4">
        <v>1</v>
      </c>
      <c r="Z2571" s="4">
        <v>1</v>
      </c>
      <c r="AA2571" s="4">
        <v>9</v>
      </c>
      <c r="AB2571" s="4">
        <v>1</v>
      </c>
      <c r="AC2571" s="4">
        <v>1</v>
      </c>
      <c r="AD2571" s="4">
        <v>0</v>
      </c>
      <c r="AE2571" s="4">
        <v>26</v>
      </c>
      <c r="AF2571" s="4">
        <v>0</v>
      </c>
      <c r="AG2571" s="4">
        <v>0</v>
      </c>
      <c r="AH2571" s="4">
        <v>0</v>
      </c>
      <c r="AI2571" s="4">
        <v>23</v>
      </c>
      <c r="AJ2571" s="4">
        <v>0</v>
      </c>
      <c r="AK2571" s="4">
        <v>7</v>
      </c>
      <c r="AL2571" s="4">
        <v>0</v>
      </c>
      <c r="AM2571" s="4">
        <v>10</v>
      </c>
      <c r="AN2571" s="4">
        <v>0</v>
      </c>
      <c r="AO2571" s="4">
        <v>0</v>
      </c>
      <c r="AP2571" s="4">
        <v>0</v>
      </c>
      <c r="AQ2571" s="4">
        <v>6</v>
      </c>
      <c r="AR2571" s="3" t="s">
        <v>63</v>
      </c>
      <c r="AS2571" s="3" t="s">
        <v>63</v>
      </c>
      <c r="AT2571" s="3" t="s">
        <v>63</v>
      </c>
      <c r="AV2571" s="6" t="str">
        <f>HYPERLINK("http://mcgill.on.worldcat.org/oclc/427292798","Catalog Record")</f>
        <v>Catalog Record</v>
      </c>
      <c r="AW2571" s="6" t="str">
        <f>HYPERLINK("http://www.worldcat.org/oclc/427292798","WorldCat Record")</f>
        <v>WorldCat Record</v>
      </c>
      <c r="AX2571" s="3" t="s">
        <v>21319</v>
      </c>
      <c r="AY2571" s="3" t="s">
        <v>21320</v>
      </c>
      <c r="AZ2571" s="3" t="s">
        <v>21321</v>
      </c>
      <c r="BA2571" s="3" t="s">
        <v>21321</v>
      </c>
      <c r="BB2571" s="3" t="s">
        <v>21324</v>
      </c>
      <c r="BC2571" s="3" t="s">
        <v>82</v>
      </c>
      <c r="BD2571" s="3" t="s">
        <v>70</v>
      </c>
      <c r="BF2571" s="3" t="s">
        <v>21324</v>
      </c>
      <c r="BG2571" s="3" t="s">
        <v>21325</v>
      </c>
    </row>
    <row r="2572" spans="1:59" ht="90" x14ac:dyDescent="0.25">
      <c r="A2572" s="2" t="s">
        <v>59</v>
      </c>
      <c r="B2572" s="2" t="s">
        <v>60</v>
      </c>
      <c r="C2572" s="2" t="s">
        <v>21314</v>
      </c>
      <c r="D2572" s="2" t="s">
        <v>21315</v>
      </c>
      <c r="E2572" s="2" t="s">
        <v>21316</v>
      </c>
      <c r="G2572" s="3" t="s">
        <v>63</v>
      </c>
      <c r="I2572" s="3" t="s">
        <v>62</v>
      </c>
      <c r="J2572" s="3" t="s">
        <v>63</v>
      </c>
      <c r="K2572" s="3" t="s">
        <v>64</v>
      </c>
      <c r="L2572" s="2" t="s">
        <v>20715</v>
      </c>
      <c r="M2572" s="2" t="s">
        <v>21317</v>
      </c>
      <c r="N2572" s="3" t="s">
        <v>885</v>
      </c>
      <c r="P2572" s="3" t="s">
        <v>66</v>
      </c>
      <c r="R2572" s="3" t="s">
        <v>67</v>
      </c>
      <c r="S2572" s="4">
        <v>2</v>
      </c>
      <c r="T2572" s="4">
        <v>13</v>
      </c>
      <c r="U2572" s="5" t="s">
        <v>21326</v>
      </c>
      <c r="V2572" s="5" t="s">
        <v>21318</v>
      </c>
      <c r="W2572" s="5" t="s">
        <v>69</v>
      </c>
      <c r="X2572" s="5" t="s">
        <v>69</v>
      </c>
      <c r="Y2572" s="4">
        <v>1</v>
      </c>
      <c r="Z2572" s="4">
        <v>1</v>
      </c>
      <c r="AA2572" s="4">
        <v>9</v>
      </c>
      <c r="AB2572" s="4">
        <v>1</v>
      </c>
      <c r="AC2572" s="4">
        <v>1</v>
      </c>
      <c r="AD2572" s="4">
        <v>0</v>
      </c>
      <c r="AE2572" s="4">
        <v>26</v>
      </c>
      <c r="AF2572" s="4">
        <v>0</v>
      </c>
      <c r="AG2572" s="4">
        <v>0</v>
      </c>
      <c r="AH2572" s="4">
        <v>0</v>
      </c>
      <c r="AI2572" s="4">
        <v>23</v>
      </c>
      <c r="AJ2572" s="4">
        <v>0</v>
      </c>
      <c r="AK2572" s="4">
        <v>7</v>
      </c>
      <c r="AL2572" s="4">
        <v>0</v>
      </c>
      <c r="AM2572" s="4">
        <v>10</v>
      </c>
      <c r="AN2572" s="4">
        <v>0</v>
      </c>
      <c r="AO2572" s="4">
        <v>0</v>
      </c>
      <c r="AP2572" s="4">
        <v>0</v>
      </c>
      <c r="AQ2572" s="4">
        <v>6</v>
      </c>
      <c r="AR2572" s="3" t="s">
        <v>63</v>
      </c>
      <c r="AS2572" s="3" t="s">
        <v>63</v>
      </c>
      <c r="AT2572" s="3" t="s">
        <v>63</v>
      </c>
      <c r="AV2572" s="6" t="str">
        <f>HYPERLINK("http://mcgill.on.worldcat.org/oclc/427292798","Catalog Record")</f>
        <v>Catalog Record</v>
      </c>
      <c r="AW2572" s="6" t="str">
        <f>HYPERLINK("http://www.worldcat.org/oclc/427292798","WorldCat Record")</f>
        <v>WorldCat Record</v>
      </c>
      <c r="AX2572" s="3" t="s">
        <v>21319</v>
      </c>
      <c r="AY2572" s="3" t="s">
        <v>21320</v>
      </c>
      <c r="AZ2572" s="3" t="s">
        <v>21321</v>
      </c>
      <c r="BA2572" s="3" t="s">
        <v>21321</v>
      </c>
      <c r="BB2572" s="3" t="s">
        <v>21327</v>
      </c>
      <c r="BC2572" s="3" t="s">
        <v>82</v>
      </c>
      <c r="BD2572" s="3" t="s">
        <v>70</v>
      </c>
      <c r="BF2572" s="3" t="s">
        <v>21327</v>
      </c>
      <c r="BG2572" s="3" t="s">
        <v>21328</v>
      </c>
    </row>
    <row r="2573" spans="1:59" ht="60" x14ac:dyDescent="0.25">
      <c r="A2573" s="2" t="s">
        <v>59</v>
      </c>
      <c r="B2573" s="2" t="s">
        <v>60</v>
      </c>
      <c r="C2573" s="2" t="s">
        <v>21341</v>
      </c>
      <c r="D2573" s="2" t="s">
        <v>21342</v>
      </c>
      <c r="E2573" s="2" t="s">
        <v>21343</v>
      </c>
      <c r="G2573" s="3" t="s">
        <v>63</v>
      </c>
      <c r="I2573" s="3" t="s">
        <v>62</v>
      </c>
      <c r="J2573" s="3" t="s">
        <v>62</v>
      </c>
      <c r="K2573" s="3" t="s">
        <v>64</v>
      </c>
      <c r="L2573" s="2" t="s">
        <v>20715</v>
      </c>
      <c r="M2573" s="2" t="s">
        <v>21344</v>
      </c>
      <c r="N2573" s="3" t="s">
        <v>1113</v>
      </c>
      <c r="P2573" s="3" t="s">
        <v>66</v>
      </c>
      <c r="Q2573" s="2" t="s">
        <v>21345</v>
      </c>
      <c r="R2573" s="3" t="s">
        <v>67</v>
      </c>
      <c r="S2573" s="4">
        <v>2</v>
      </c>
      <c r="T2573" s="4">
        <v>4</v>
      </c>
      <c r="U2573" s="5" t="s">
        <v>15686</v>
      </c>
      <c r="V2573" s="5" t="s">
        <v>15686</v>
      </c>
      <c r="W2573" s="5" t="s">
        <v>69</v>
      </c>
      <c r="X2573" s="5" t="s">
        <v>69</v>
      </c>
      <c r="Y2573" s="4">
        <v>106</v>
      </c>
      <c r="Z2573" s="4">
        <v>6</v>
      </c>
      <c r="AA2573" s="4">
        <v>166</v>
      </c>
      <c r="AB2573" s="4">
        <v>1</v>
      </c>
      <c r="AC2573" s="4">
        <v>23</v>
      </c>
      <c r="AD2573" s="4">
        <v>32</v>
      </c>
      <c r="AE2573" s="4">
        <v>161</v>
      </c>
      <c r="AF2573" s="4">
        <v>0</v>
      </c>
      <c r="AG2573" s="4">
        <v>9</v>
      </c>
      <c r="AH2573" s="4">
        <v>30</v>
      </c>
      <c r="AI2573" s="4">
        <v>111</v>
      </c>
      <c r="AJ2573" s="4">
        <v>0</v>
      </c>
      <c r="AK2573" s="4">
        <v>27</v>
      </c>
      <c r="AL2573" s="4">
        <v>18</v>
      </c>
      <c r="AM2573" s="4">
        <v>63</v>
      </c>
      <c r="AN2573" s="4">
        <v>0</v>
      </c>
      <c r="AO2573" s="4">
        <v>0</v>
      </c>
      <c r="AP2573" s="4">
        <v>1</v>
      </c>
      <c r="AQ2573" s="4">
        <v>54</v>
      </c>
      <c r="AR2573" s="3" t="s">
        <v>63</v>
      </c>
      <c r="AS2573" s="3" t="s">
        <v>63</v>
      </c>
      <c r="AT2573" s="3" t="s">
        <v>63</v>
      </c>
      <c r="AV2573" s="6" t="str">
        <f>HYPERLINK("http://mcgill.on.worldcat.org/oclc/38165617","Catalog Record")</f>
        <v>Catalog Record</v>
      </c>
      <c r="AW2573" s="6" t="str">
        <f>HYPERLINK("http://www.worldcat.org/oclc/38165617","WorldCat Record")</f>
        <v>WorldCat Record</v>
      </c>
      <c r="AX2573" s="3" t="s">
        <v>21346</v>
      </c>
      <c r="AY2573" s="3" t="s">
        <v>21347</v>
      </c>
      <c r="AZ2573" s="3" t="s">
        <v>21348</v>
      </c>
      <c r="BA2573" s="3" t="s">
        <v>21348</v>
      </c>
      <c r="BB2573" s="3" t="s">
        <v>21349</v>
      </c>
      <c r="BC2573" s="3" t="s">
        <v>82</v>
      </c>
      <c r="BD2573" s="3" t="s">
        <v>70</v>
      </c>
      <c r="BE2573" s="3" t="s">
        <v>21350</v>
      </c>
      <c r="BF2573" s="3" t="s">
        <v>21349</v>
      </c>
      <c r="BG2573" s="3" t="s">
        <v>21351</v>
      </c>
    </row>
    <row r="2574" spans="1:59" ht="60" x14ac:dyDescent="0.25">
      <c r="A2574" s="2" t="s">
        <v>59</v>
      </c>
      <c r="B2574" s="2" t="s">
        <v>60</v>
      </c>
      <c r="C2574" s="2" t="s">
        <v>21341</v>
      </c>
      <c r="D2574" s="2" t="s">
        <v>21342</v>
      </c>
      <c r="E2574" s="2" t="s">
        <v>21343</v>
      </c>
      <c r="G2574" s="3" t="s">
        <v>63</v>
      </c>
      <c r="I2574" s="3" t="s">
        <v>62</v>
      </c>
      <c r="J2574" s="3" t="s">
        <v>62</v>
      </c>
      <c r="K2574" s="3" t="s">
        <v>64</v>
      </c>
      <c r="L2574" s="2" t="s">
        <v>20715</v>
      </c>
      <c r="M2574" s="2" t="s">
        <v>21344</v>
      </c>
      <c r="N2574" s="3" t="s">
        <v>1113</v>
      </c>
      <c r="P2574" s="3" t="s">
        <v>66</v>
      </c>
      <c r="Q2574" s="2" t="s">
        <v>21345</v>
      </c>
      <c r="R2574" s="3" t="s">
        <v>67</v>
      </c>
      <c r="S2574" s="4">
        <v>2</v>
      </c>
      <c r="T2574" s="4">
        <v>4</v>
      </c>
      <c r="U2574" s="5" t="s">
        <v>15686</v>
      </c>
      <c r="V2574" s="5" t="s">
        <v>15686</v>
      </c>
      <c r="W2574" s="5" t="s">
        <v>69</v>
      </c>
      <c r="X2574" s="5" t="s">
        <v>69</v>
      </c>
      <c r="Y2574" s="4">
        <v>106</v>
      </c>
      <c r="Z2574" s="4">
        <v>6</v>
      </c>
      <c r="AA2574" s="4">
        <v>166</v>
      </c>
      <c r="AB2574" s="4">
        <v>1</v>
      </c>
      <c r="AC2574" s="4">
        <v>23</v>
      </c>
      <c r="AD2574" s="4">
        <v>32</v>
      </c>
      <c r="AE2574" s="4">
        <v>161</v>
      </c>
      <c r="AF2574" s="4">
        <v>0</v>
      </c>
      <c r="AG2574" s="4">
        <v>9</v>
      </c>
      <c r="AH2574" s="4">
        <v>30</v>
      </c>
      <c r="AI2574" s="4">
        <v>111</v>
      </c>
      <c r="AJ2574" s="4">
        <v>0</v>
      </c>
      <c r="AK2574" s="4">
        <v>27</v>
      </c>
      <c r="AL2574" s="4">
        <v>18</v>
      </c>
      <c r="AM2574" s="4">
        <v>63</v>
      </c>
      <c r="AN2574" s="4">
        <v>0</v>
      </c>
      <c r="AO2574" s="4">
        <v>0</v>
      </c>
      <c r="AP2574" s="4">
        <v>1</v>
      </c>
      <c r="AQ2574" s="4">
        <v>54</v>
      </c>
      <c r="AR2574" s="3" t="s">
        <v>63</v>
      </c>
      <c r="AS2574" s="3" t="s">
        <v>63</v>
      </c>
      <c r="AT2574" s="3" t="s">
        <v>63</v>
      </c>
      <c r="AV2574" s="6" t="str">
        <f>HYPERLINK("http://mcgill.on.worldcat.org/oclc/38165617","Catalog Record")</f>
        <v>Catalog Record</v>
      </c>
      <c r="AW2574" s="6" t="str">
        <f>HYPERLINK("http://www.worldcat.org/oclc/38165617","WorldCat Record")</f>
        <v>WorldCat Record</v>
      </c>
      <c r="AX2574" s="3" t="s">
        <v>21346</v>
      </c>
      <c r="AY2574" s="3" t="s">
        <v>21347</v>
      </c>
      <c r="AZ2574" s="3" t="s">
        <v>21348</v>
      </c>
      <c r="BA2574" s="3" t="s">
        <v>21348</v>
      </c>
      <c r="BB2574" s="3" t="s">
        <v>21352</v>
      </c>
      <c r="BC2574" s="3" t="s">
        <v>82</v>
      </c>
      <c r="BD2574" s="3" t="s">
        <v>70</v>
      </c>
      <c r="BE2574" s="3" t="s">
        <v>21350</v>
      </c>
      <c r="BF2574" s="3" t="s">
        <v>21352</v>
      </c>
      <c r="BG2574" s="3" t="s">
        <v>21353</v>
      </c>
    </row>
    <row r="2575" spans="1:59" ht="60" x14ac:dyDescent="0.25">
      <c r="A2575" s="2" t="s">
        <v>59</v>
      </c>
      <c r="B2575" s="2" t="s">
        <v>60</v>
      </c>
      <c r="C2575" s="2" t="s">
        <v>21354</v>
      </c>
      <c r="D2575" s="2" t="s">
        <v>21355</v>
      </c>
      <c r="E2575" s="2" t="s">
        <v>21356</v>
      </c>
      <c r="G2575" s="3" t="s">
        <v>63</v>
      </c>
      <c r="I2575" s="3" t="s">
        <v>62</v>
      </c>
      <c r="J2575" s="3" t="s">
        <v>62</v>
      </c>
      <c r="K2575" s="3" t="s">
        <v>64</v>
      </c>
      <c r="L2575" s="2" t="s">
        <v>20715</v>
      </c>
      <c r="M2575" s="2" t="s">
        <v>21357</v>
      </c>
      <c r="N2575" s="3" t="s">
        <v>313</v>
      </c>
      <c r="O2575" s="2" t="s">
        <v>590</v>
      </c>
      <c r="P2575" s="3" t="s">
        <v>66</v>
      </c>
      <c r="Q2575" s="2" t="s">
        <v>21358</v>
      </c>
      <c r="R2575" s="3" t="s">
        <v>67</v>
      </c>
      <c r="S2575" s="4">
        <v>5</v>
      </c>
      <c r="T2575" s="4">
        <v>5</v>
      </c>
      <c r="U2575" s="5" t="s">
        <v>10641</v>
      </c>
      <c r="V2575" s="5" t="s">
        <v>10641</v>
      </c>
      <c r="W2575" s="5" t="s">
        <v>69</v>
      </c>
      <c r="X2575" s="5" t="s">
        <v>69</v>
      </c>
      <c r="Y2575" s="4">
        <v>115</v>
      </c>
      <c r="Z2575" s="4">
        <v>7</v>
      </c>
      <c r="AA2575" s="4">
        <v>166</v>
      </c>
      <c r="AB2575" s="4">
        <v>2</v>
      </c>
      <c r="AC2575" s="4">
        <v>23</v>
      </c>
      <c r="AD2575" s="4">
        <v>24</v>
      </c>
      <c r="AE2575" s="4">
        <v>161</v>
      </c>
      <c r="AF2575" s="4">
        <v>0</v>
      </c>
      <c r="AG2575" s="4">
        <v>9</v>
      </c>
      <c r="AH2575" s="4">
        <v>23</v>
      </c>
      <c r="AI2575" s="4">
        <v>111</v>
      </c>
      <c r="AJ2575" s="4">
        <v>3</v>
      </c>
      <c r="AK2575" s="4">
        <v>27</v>
      </c>
      <c r="AL2575" s="4">
        <v>15</v>
      </c>
      <c r="AM2575" s="4">
        <v>63</v>
      </c>
      <c r="AN2575" s="4">
        <v>0</v>
      </c>
      <c r="AO2575" s="4">
        <v>0</v>
      </c>
      <c r="AP2575" s="4">
        <v>3</v>
      </c>
      <c r="AQ2575" s="4">
        <v>54</v>
      </c>
      <c r="AR2575" s="3" t="s">
        <v>63</v>
      </c>
      <c r="AS2575" s="3" t="s">
        <v>63</v>
      </c>
      <c r="AT2575" s="3" t="s">
        <v>63</v>
      </c>
      <c r="AV2575" s="6" t="str">
        <f>HYPERLINK("http://mcgill.on.worldcat.org/oclc/449866151","Catalog Record")</f>
        <v>Catalog Record</v>
      </c>
      <c r="AW2575" s="6" t="str">
        <f>HYPERLINK("http://www.worldcat.org/oclc/449866151","WorldCat Record")</f>
        <v>WorldCat Record</v>
      </c>
      <c r="AX2575" s="3" t="s">
        <v>21346</v>
      </c>
      <c r="AY2575" s="3" t="s">
        <v>21359</v>
      </c>
      <c r="AZ2575" s="3" t="s">
        <v>21360</v>
      </c>
      <c r="BA2575" s="3" t="s">
        <v>21360</v>
      </c>
      <c r="BB2575" s="3" t="s">
        <v>21361</v>
      </c>
      <c r="BC2575" s="3" t="s">
        <v>82</v>
      </c>
      <c r="BD2575" s="3" t="s">
        <v>70</v>
      </c>
      <c r="BE2575" s="3" t="s">
        <v>21362</v>
      </c>
      <c r="BF2575" s="3" t="s">
        <v>21361</v>
      </c>
      <c r="BG2575" s="3" t="s">
        <v>21363</v>
      </c>
    </row>
    <row r="2576" spans="1:59" ht="60" x14ac:dyDescent="0.25">
      <c r="A2576" s="2" t="s">
        <v>59</v>
      </c>
      <c r="B2576" s="2" t="s">
        <v>60</v>
      </c>
      <c r="C2576" s="2" t="s">
        <v>21354</v>
      </c>
      <c r="D2576" s="2" t="s">
        <v>21355</v>
      </c>
      <c r="E2576" s="2" t="s">
        <v>21356</v>
      </c>
      <c r="G2576" s="3" t="s">
        <v>63</v>
      </c>
      <c r="I2576" s="3" t="s">
        <v>62</v>
      </c>
      <c r="J2576" s="3" t="s">
        <v>62</v>
      </c>
      <c r="K2576" s="3" t="s">
        <v>64</v>
      </c>
      <c r="L2576" s="2" t="s">
        <v>20715</v>
      </c>
      <c r="M2576" s="2" t="s">
        <v>21357</v>
      </c>
      <c r="N2576" s="3" t="s">
        <v>313</v>
      </c>
      <c r="O2576" s="2" t="s">
        <v>590</v>
      </c>
      <c r="P2576" s="3" t="s">
        <v>66</v>
      </c>
      <c r="Q2576" s="2" t="s">
        <v>21358</v>
      </c>
      <c r="R2576" s="3" t="s">
        <v>67</v>
      </c>
      <c r="S2576" s="4">
        <v>0</v>
      </c>
      <c r="T2576" s="4">
        <v>5</v>
      </c>
      <c r="V2576" s="5" t="s">
        <v>10641</v>
      </c>
      <c r="W2576" s="5" t="s">
        <v>69</v>
      </c>
      <c r="X2576" s="5" t="s">
        <v>69</v>
      </c>
      <c r="Y2576" s="4">
        <v>115</v>
      </c>
      <c r="Z2576" s="4">
        <v>7</v>
      </c>
      <c r="AA2576" s="4">
        <v>166</v>
      </c>
      <c r="AB2576" s="4">
        <v>2</v>
      </c>
      <c r="AC2576" s="4">
        <v>23</v>
      </c>
      <c r="AD2576" s="4">
        <v>24</v>
      </c>
      <c r="AE2576" s="4">
        <v>161</v>
      </c>
      <c r="AF2576" s="4">
        <v>0</v>
      </c>
      <c r="AG2576" s="4">
        <v>9</v>
      </c>
      <c r="AH2576" s="4">
        <v>23</v>
      </c>
      <c r="AI2576" s="4">
        <v>111</v>
      </c>
      <c r="AJ2576" s="4">
        <v>3</v>
      </c>
      <c r="AK2576" s="4">
        <v>27</v>
      </c>
      <c r="AL2576" s="4">
        <v>15</v>
      </c>
      <c r="AM2576" s="4">
        <v>63</v>
      </c>
      <c r="AN2576" s="4">
        <v>0</v>
      </c>
      <c r="AO2576" s="4">
        <v>0</v>
      </c>
      <c r="AP2576" s="4">
        <v>3</v>
      </c>
      <c r="AQ2576" s="4">
        <v>54</v>
      </c>
      <c r="AR2576" s="3" t="s">
        <v>63</v>
      </c>
      <c r="AS2576" s="3" t="s">
        <v>63</v>
      </c>
      <c r="AT2576" s="3" t="s">
        <v>63</v>
      </c>
      <c r="AV2576" s="6" t="str">
        <f>HYPERLINK("http://mcgill.on.worldcat.org/oclc/449866151","Catalog Record")</f>
        <v>Catalog Record</v>
      </c>
      <c r="AW2576" s="6" t="str">
        <f>HYPERLINK("http://www.worldcat.org/oclc/449866151","WorldCat Record")</f>
        <v>WorldCat Record</v>
      </c>
      <c r="AX2576" s="3" t="s">
        <v>21346</v>
      </c>
      <c r="AY2576" s="3" t="s">
        <v>21359</v>
      </c>
      <c r="AZ2576" s="3" t="s">
        <v>21360</v>
      </c>
      <c r="BA2576" s="3" t="s">
        <v>21360</v>
      </c>
      <c r="BB2576" s="3" t="s">
        <v>21364</v>
      </c>
      <c r="BC2576" s="3" t="s">
        <v>82</v>
      </c>
      <c r="BD2576" s="3" t="s">
        <v>70</v>
      </c>
      <c r="BE2576" s="3" t="s">
        <v>21362</v>
      </c>
      <c r="BF2576" s="3" t="s">
        <v>21364</v>
      </c>
      <c r="BG2576" s="3" t="s">
        <v>21365</v>
      </c>
    </row>
    <row r="2577" spans="1:59" ht="60" x14ac:dyDescent="0.25">
      <c r="A2577" s="2" t="s">
        <v>59</v>
      </c>
      <c r="B2577" s="2" t="s">
        <v>60</v>
      </c>
      <c r="C2577" s="2" t="s">
        <v>21354</v>
      </c>
      <c r="D2577" s="2" t="s">
        <v>21355</v>
      </c>
      <c r="E2577" s="2" t="s">
        <v>21356</v>
      </c>
      <c r="G2577" s="3" t="s">
        <v>63</v>
      </c>
      <c r="I2577" s="3" t="s">
        <v>62</v>
      </c>
      <c r="J2577" s="3" t="s">
        <v>62</v>
      </c>
      <c r="K2577" s="3" t="s">
        <v>64</v>
      </c>
      <c r="L2577" s="2" t="s">
        <v>20715</v>
      </c>
      <c r="M2577" s="2" t="s">
        <v>21357</v>
      </c>
      <c r="N2577" s="3" t="s">
        <v>313</v>
      </c>
      <c r="O2577" s="2" t="s">
        <v>590</v>
      </c>
      <c r="P2577" s="3" t="s">
        <v>66</v>
      </c>
      <c r="Q2577" s="2" t="s">
        <v>21358</v>
      </c>
      <c r="R2577" s="3" t="s">
        <v>67</v>
      </c>
      <c r="S2577" s="4">
        <v>0</v>
      </c>
      <c r="T2577" s="4">
        <v>5</v>
      </c>
      <c r="V2577" s="5" t="s">
        <v>10641</v>
      </c>
      <c r="W2577" s="5" t="s">
        <v>69</v>
      </c>
      <c r="X2577" s="5" t="s">
        <v>69</v>
      </c>
      <c r="Y2577" s="4">
        <v>115</v>
      </c>
      <c r="Z2577" s="4">
        <v>7</v>
      </c>
      <c r="AA2577" s="4">
        <v>166</v>
      </c>
      <c r="AB2577" s="4">
        <v>2</v>
      </c>
      <c r="AC2577" s="4">
        <v>23</v>
      </c>
      <c r="AD2577" s="4">
        <v>24</v>
      </c>
      <c r="AE2577" s="4">
        <v>161</v>
      </c>
      <c r="AF2577" s="4">
        <v>0</v>
      </c>
      <c r="AG2577" s="4">
        <v>9</v>
      </c>
      <c r="AH2577" s="4">
        <v>23</v>
      </c>
      <c r="AI2577" s="4">
        <v>111</v>
      </c>
      <c r="AJ2577" s="4">
        <v>3</v>
      </c>
      <c r="AK2577" s="4">
        <v>27</v>
      </c>
      <c r="AL2577" s="4">
        <v>15</v>
      </c>
      <c r="AM2577" s="4">
        <v>63</v>
      </c>
      <c r="AN2577" s="4">
        <v>0</v>
      </c>
      <c r="AO2577" s="4">
        <v>0</v>
      </c>
      <c r="AP2577" s="4">
        <v>3</v>
      </c>
      <c r="AQ2577" s="4">
        <v>54</v>
      </c>
      <c r="AR2577" s="3" t="s">
        <v>63</v>
      </c>
      <c r="AS2577" s="3" t="s">
        <v>63</v>
      </c>
      <c r="AT2577" s="3" t="s">
        <v>63</v>
      </c>
      <c r="AV2577" s="6" t="str">
        <f>HYPERLINK("http://mcgill.on.worldcat.org/oclc/449866151","Catalog Record")</f>
        <v>Catalog Record</v>
      </c>
      <c r="AW2577" s="6" t="str">
        <f>HYPERLINK("http://www.worldcat.org/oclc/449866151","WorldCat Record")</f>
        <v>WorldCat Record</v>
      </c>
      <c r="AX2577" s="3" t="s">
        <v>21346</v>
      </c>
      <c r="AY2577" s="3" t="s">
        <v>21359</v>
      </c>
      <c r="AZ2577" s="3" t="s">
        <v>21360</v>
      </c>
      <c r="BA2577" s="3" t="s">
        <v>21360</v>
      </c>
      <c r="BB2577" s="3" t="s">
        <v>21366</v>
      </c>
      <c r="BC2577" s="3" t="s">
        <v>82</v>
      </c>
      <c r="BD2577" s="3" t="s">
        <v>70</v>
      </c>
      <c r="BE2577" s="3" t="s">
        <v>21362</v>
      </c>
      <c r="BF2577" s="3" t="s">
        <v>21366</v>
      </c>
      <c r="BG2577" s="3" t="s">
        <v>21367</v>
      </c>
    </row>
    <row r="2578" spans="1:59" ht="60" x14ac:dyDescent="0.25">
      <c r="A2578" s="2" t="s">
        <v>59</v>
      </c>
      <c r="B2578" s="2" t="s">
        <v>60</v>
      </c>
      <c r="C2578" s="2" t="s">
        <v>21368</v>
      </c>
      <c r="D2578" s="2" t="s">
        <v>21369</v>
      </c>
      <c r="E2578" s="2" t="s">
        <v>21370</v>
      </c>
      <c r="G2578" s="3" t="s">
        <v>63</v>
      </c>
      <c r="I2578" s="3" t="s">
        <v>63</v>
      </c>
      <c r="J2578" s="3" t="s">
        <v>63</v>
      </c>
      <c r="K2578" s="3" t="s">
        <v>64</v>
      </c>
      <c r="L2578" s="2" t="s">
        <v>21371</v>
      </c>
      <c r="M2578" s="2" t="s">
        <v>21372</v>
      </c>
      <c r="N2578" s="3" t="s">
        <v>1113</v>
      </c>
      <c r="P2578" s="3" t="s">
        <v>66</v>
      </c>
      <c r="R2578" s="3" t="s">
        <v>67</v>
      </c>
      <c r="S2578" s="4">
        <v>5</v>
      </c>
      <c r="T2578" s="4">
        <v>5</v>
      </c>
      <c r="U2578" s="5" t="s">
        <v>21373</v>
      </c>
      <c r="V2578" s="5" t="s">
        <v>21373</v>
      </c>
      <c r="W2578" s="5" t="s">
        <v>69</v>
      </c>
      <c r="X2578" s="5" t="s">
        <v>69</v>
      </c>
      <c r="Y2578" s="4">
        <v>158</v>
      </c>
      <c r="Z2578" s="4">
        <v>19</v>
      </c>
      <c r="AA2578" s="4">
        <v>64</v>
      </c>
      <c r="AB2578" s="4">
        <v>2</v>
      </c>
      <c r="AC2578" s="4">
        <v>4</v>
      </c>
      <c r="AD2578" s="4">
        <v>62</v>
      </c>
      <c r="AE2578" s="4">
        <v>99</v>
      </c>
      <c r="AF2578" s="4">
        <v>1</v>
      </c>
      <c r="AG2578" s="4">
        <v>1</v>
      </c>
      <c r="AH2578" s="4">
        <v>52</v>
      </c>
      <c r="AI2578" s="4">
        <v>75</v>
      </c>
      <c r="AJ2578" s="4">
        <v>13</v>
      </c>
      <c r="AK2578" s="4">
        <v>16</v>
      </c>
      <c r="AL2578" s="4">
        <v>37</v>
      </c>
      <c r="AM2578" s="4">
        <v>48</v>
      </c>
      <c r="AN2578" s="4">
        <v>0</v>
      </c>
      <c r="AO2578" s="4">
        <v>0</v>
      </c>
      <c r="AP2578" s="4">
        <v>16</v>
      </c>
      <c r="AQ2578" s="4">
        <v>28</v>
      </c>
      <c r="AR2578" s="3" t="s">
        <v>63</v>
      </c>
      <c r="AS2578" s="3" t="s">
        <v>63</v>
      </c>
      <c r="AT2578" s="3" t="s">
        <v>63</v>
      </c>
      <c r="AV2578" s="6" t="str">
        <f>HYPERLINK("http://mcgill.on.worldcat.org/oclc/59592703","Catalog Record")</f>
        <v>Catalog Record</v>
      </c>
      <c r="AW2578" s="6" t="str">
        <f>HYPERLINK("http://www.worldcat.org/oclc/59592703","WorldCat Record")</f>
        <v>WorldCat Record</v>
      </c>
      <c r="AX2578" s="3" t="s">
        <v>21374</v>
      </c>
      <c r="AY2578" s="3" t="s">
        <v>21375</v>
      </c>
      <c r="AZ2578" s="3" t="s">
        <v>21376</v>
      </c>
      <c r="BA2578" s="3" t="s">
        <v>21376</v>
      </c>
      <c r="BB2578" s="3" t="s">
        <v>21377</v>
      </c>
      <c r="BC2578" s="3" t="s">
        <v>82</v>
      </c>
      <c r="BD2578" s="3" t="s">
        <v>70</v>
      </c>
      <c r="BE2578" s="3" t="s">
        <v>21378</v>
      </c>
      <c r="BF2578" s="3" t="s">
        <v>21377</v>
      </c>
      <c r="BG2578" s="3" t="s">
        <v>21379</v>
      </c>
    </row>
    <row r="2579" spans="1:59" ht="60" x14ac:dyDescent="0.25">
      <c r="A2579" s="2" t="s">
        <v>59</v>
      </c>
      <c r="B2579" s="2" t="s">
        <v>60</v>
      </c>
      <c r="C2579" s="2" t="s">
        <v>21380</v>
      </c>
      <c r="D2579" s="2" t="s">
        <v>21381</v>
      </c>
      <c r="E2579" s="2" t="s">
        <v>21382</v>
      </c>
      <c r="G2579" s="3" t="s">
        <v>63</v>
      </c>
      <c r="I2579" s="3" t="s">
        <v>63</v>
      </c>
      <c r="J2579" s="3" t="s">
        <v>62</v>
      </c>
      <c r="K2579" s="3" t="s">
        <v>64</v>
      </c>
      <c r="L2579" s="2" t="s">
        <v>20715</v>
      </c>
      <c r="M2579" s="2" t="s">
        <v>21383</v>
      </c>
      <c r="N2579" s="3" t="s">
        <v>2103</v>
      </c>
      <c r="P2579" s="3" t="s">
        <v>66</v>
      </c>
      <c r="Q2579" s="2" t="s">
        <v>21384</v>
      </c>
      <c r="R2579" s="3" t="s">
        <v>67</v>
      </c>
      <c r="S2579" s="4">
        <v>3</v>
      </c>
      <c r="T2579" s="4">
        <v>3</v>
      </c>
      <c r="U2579" s="5" t="s">
        <v>18556</v>
      </c>
      <c r="V2579" s="5" t="s">
        <v>18556</v>
      </c>
      <c r="W2579" s="5" t="s">
        <v>69</v>
      </c>
      <c r="X2579" s="5" t="s">
        <v>69</v>
      </c>
      <c r="Y2579" s="4">
        <v>247</v>
      </c>
      <c r="Z2579" s="4">
        <v>11</v>
      </c>
      <c r="AA2579" s="4">
        <v>167</v>
      </c>
      <c r="AB2579" s="4">
        <v>2</v>
      </c>
      <c r="AC2579" s="4">
        <v>24</v>
      </c>
      <c r="AD2579" s="4">
        <v>69</v>
      </c>
      <c r="AE2579" s="4">
        <v>160</v>
      </c>
      <c r="AF2579" s="4">
        <v>0</v>
      </c>
      <c r="AG2579" s="4">
        <v>9</v>
      </c>
      <c r="AH2579" s="4">
        <v>66</v>
      </c>
      <c r="AI2579" s="4">
        <v>114</v>
      </c>
      <c r="AJ2579" s="4">
        <v>4</v>
      </c>
      <c r="AK2579" s="4">
        <v>28</v>
      </c>
      <c r="AL2579" s="4">
        <v>42</v>
      </c>
      <c r="AM2579" s="4">
        <v>63</v>
      </c>
      <c r="AN2579" s="4">
        <v>0</v>
      </c>
      <c r="AO2579" s="4">
        <v>0</v>
      </c>
      <c r="AP2579" s="4">
        <v>4</v>
      </c>
      <c r="AQ2579" s="4">
        <v>52</v>
      </c>
      <c r="AR2579" s="3" t="s">
        <v>63</v>
      </c>
      <c r="AS2579" s="3" t="s">
        <v>63</v>
      </c>
      <c r="AT2579" s="3" t="s">
        <v>63</v>
      </c>
      <c r="AV2579" s="6" t="str">
        <f>HYPERLINK("http://mcgill.on.worldcat.org/oclc/48920335","Catalog Record")</f>
        <v>Catalog Record</v>
      </c>
      <c r="AW2579" s="6" t="str">
        <f>HYPERLINK("http://www.worldcat.org/oclc/48920335","WorldCat Record")</f>
        <v>WorldCat Record</v>
      </c>
      <c r="AX2579" s="3" t="s">
        <v>21385</v>
      </c>
      <c r="AY2579" s="3" t="s">
        <v>21386</v>
      </c>
      <c r="AZ2579" s="3" t="s">
        <v>21387</v>
      </c>
      <c r="BA2579" s="3" t="s">
        <v>21387</v>
      </c>
      <c r="BB2579" s="3" t="s">
        <v>21388</v>
      </c>
      <c r="BC2579" s="3" t="s">
        <v>82</v>
      </c>
      <c r="BD2579" s="3" t="s">
        <v>70</v>
      </c>
      <c r="BE2579" s="3" t="s">
        <v>21389</v>
      </c>
      <c r="BF2579" s="3" t="s">
        <v>21388</v>
      </c>
      <c r="BG2579" s="3" t="s">
        <v>21390</v>
      </c>
    </row>
    <row r="2580" spans="1:59" ht="60" x14ac:dyDescent="0.25">
      <c r="A2580" s="2" t="s">
        <v>59</v>
      </c>
      <c r="B2580" s="2" t="s">
        <v>60</v>
      </c>
      <c r="C2580" s="2" t="s">
        <v>21391</v>
      </c>
      <c r="D2580" s="2" t="s">
        <v>21392</v>
      </c>
      <c r="E2580" s="2" t="s">
        <v>21393</v>
      </c>
      <c r="G2580" s="3" t="s">
        <v>63</v>
      </c>
      <c r="I2580" s="3" t="s">
        <v>63</v>
      </c>
      <c r="J2580" s="3" t="s">
        <v>62</v>
      </c>
      <c r="K2580" s="3" t="s">
        <v>64</v>
      </c>
      <c r="L2580" s="2" t="s">
        <v>20715</v>
      </c>
      <c r="M2580" s="2" t="s">
        <v>21394</v>
      </c>
      <c r="N2580" s="3" t="s">
        <v>1418</v>
      </c>
      <c r="P2580" s="3" t="s">
        <v>66</v>
      </c>
      <c r="Q2580" s="2" t="s">
        <v>21395</v>
      </c>
      <c r="R2580" s="3" t="s">
        <v>67</v>
      </c>
      <c r="S2580" s="4">
        <v>16</v>
      </c>
      <c r="T2580" s="4">
        <v>16</v>
      </c>
      <c r="U2580" s="5" t="s">
        <v>21396</v>
      </c>
      <c r="V2580" s="5" t="s">
        <v>21396</v>
      </c>
      <c r="W2580" s="5" t="s">
        <v>69</v>
      </c>
      <c r="X2580" s="5" t="s">
        <v>69</v>
      </c>
      <c r="Y2580" s="4">
        <v>178</v>
      </c>
      <c r="Z2580" s="4">
        <v>17</v>
      </c>
      <c r="AA2580" s="4">
        <v>167</v>
      </c>
      <c r="AB2580" s="4">
        <v>4</v>
      </c>
      <c r="AC2580" s="4">
        <v>24</v>
      </c>
      <c r="AD2580" s="4">
        <v>59</v>
      </c>
      <c r="AE2580" s="4">
        <v>160</v>
      </c>
      <c r="AF2580" s="4">
        <v>2</v>
      </c>
      <c r="AG2580" s="4">
        <v>9</v>
      </c>
      <c r="AH2580" s="4">
        <v>51</v>
      </c>
      <c r="AI2580" s="4">
        <v>114</v>
      </c>
      <c r="AJ2580" s="4">
        <v>10</v>
      </c>
      <c r="AK2580" s="4">
        <v>28</v>
      </c>
      <c r="AL2580" s="4">
        <v>32</v>
      </c>
      <c r="AM2580" s="4">
        <v>63</v>
      </c>
      <c r="AN2580" s="4">
        <v>0</v>
      </c>
      <c r="AO2580" s="4">
        <v>0</v>
      </c>
      <c r="AP2580" s="4">
        <v>13</v>
      </c>
      <c r="AQ2580" s="4">
        <v>52</v>
      </c>
      <c r="AR2580" s="3" t="s">
        <v>63</v>
      </c>
      <c r="AS2580" s="3" t="s">
        <v>63</v>
      </c>
      <c r="AT2580" s="3" t="s">
        <v>62</v>
      </c>
      <c r="AU2580" s="6" t="str">
        <f>HYPERLINK("http://catalog.hathitrust.org/Record/000857636","HathiTrust Record")</f>
        <v>HathiTrust Record</v>
      </c>
      <c r="AV2580" s="6" t="str">
        <f>HYPERLINK("http://mcgill.on.worldcat.org/oclc/18560646","Catalog Record")</f>
        <v>Catalog Record</v>
      </c>
      <c r="AW2580" s="6" t="str">
        <f>HYPERLINK("http://www.worldcat.org/oclc/18560646","WorldCat Record")</f>
        <v>WorldCat Record</v>
      </c>
      <c r="AX2580" s="3" t="s">
        <v>21385</v>
      </c>
      <c r="AY2580" s="3" t="s">
        <v>21397</v>
      </c>
      <c r="AZ2580" s="3" t="s">
        <v>21398</v>
      </c>
      <c r="BA2580" s="3" t="s">
        <v>21398</v>
      </c>
      <c r="BB2580" s="3" t="s">
        <v>21399</v>
      </c>
      <c r="BC2580" s="3" t="s">
        <v>82</v>
      </c>
      <c r="BD2580" s="3" t="s">
        <v>70</v>
      </c>
      <c r="BE2580" s="3" t="s">
        <v>21400</v>
      </c>
      <c r="BF2580" s="3" t="s">
        <v>21399</v>
      </c>
      <c r="BG2580" s="3" t="s">
        <v>21401</v>
      </c>
    </row>
    <row r="2581" spans="1:59" ht="60" x14ac:dyDescent="0.25">
      <c r="A2581" s="2" t="s">
        <v>59</v>
      </c>
      <c r="B2581" s="2" t="s">
        <v>60</v>
      </c>
      <c r="C2581" s="2" t="s">
        <v>21402</v>
      </c>
      <c r="D2581" s="2" t="s">
        <v>21403</v>
      </c>
      <c r="E2581" s="2" t="s">
        <v>21404</v>
      </c>
      <c r="G2581" s="3" t="s">
        <v>63</v>
      </c>
      <c r="I2581" s="3" t="s">
        <v>63</v>
      </c>
      <c r="J2581" s="3" t="s">
        <v>62</v>
      </c>
      <c r="K2581" s="3" t="s">
        <v>64</v>
      </c>
      <c r="L2581" s="2" t="s">
        <v>20715</v>
      </c>
      <c r="M2581" s="2" t="s">
        <v>21405</v>
      </c>
      <c r="N2581" s="3" t="s">
        <v>849</v>
      </c>
      <c r="P2581" s="3" t="s">
        <v>66</v>
      </c>
      <c r="Q2581" s="2" t="s">
        <v>21406</v>
      </c>
      <c r="R2581" s="3" t="s">
        <v>67</v>
      </c>
      <c r="S2581" s="4">
        <v>2</v>
      </c>
      <c r="T2581" s="4">
        <v>2</v>
      </c>
      <c r="U2581" s="5" t="s">
        <v>12587</v>
      </c>
      <c r="V2581" s="5" t="s">
        <v>12587</v>
      </c>
      <c r="W2581" s="5" t="s">
        <v>69</v>
      </c>
      <c r="X2581" s="5" t="s">
        <v>69</v>
      </c>
      <c r="Y2581" s="4">
        <v>108</v>
      </c>
      <c r="Z2581" s="4">
        <v>13</v>
      </c>
      <c r="AA2581" s="4">
        <v>167</v>
      </c>
      <c r="AB2581" s="4">
        <v>2</v>
      </c>
      <c r="AC2581" s="4">
        <v>24</v>
      </c>
      <c r="AD2581" s="4">
        <v>30</v>
      </c>
      <c r="AE2581" s="4">
        <v>160</v>
      </c>
      <c r="AF2581" s="4">
        <v>1</v>
      </c>
      <c r="AG2581" s="4">
        <v>9</v>
      </c>
      <c r="AH2581" s="4">
        <v>26</v>
      </c>
      <c r="AI2581" s="4">
        <v>114</v>
      </c>
      <c r="AJ2581" s="4">
        <v>9</v>
      </c>
      <c r="AK2581" s="4">
        <v>28</v>
      </c>
      <c r="AL2581" s="4">
        <v>13</v>
      </c>
      <c r="AM2581" s="4">
        <v>63</v>
      </c>
      <c r="AN2581" s="4">
        <v>0</v>
      </c>
      <c r="AO2581" s="4">
        <v>0</v>
      </c>
      <c r="AP2581" s="4">
        <v>10</v>
      </c>
      <c r="AQ2581" s="4">
        <v>52</v>
      </c>
      <c r="AR2581" s="3" t="s">
        <v>63</v>
      </c>
      <c r="AS2581" s="3" t="s">
        <v>63</v>
      </c>
      <c r="AT2581" s="3" t="s">
        <v>63</v>
      </c>
      <c r="AV2581" s="6" t="str">
        <f>HYPERLINK("http://mcgill.on.worldcat.org/oclc/6284165","Catalog Record")</f>
        <v>Catalog Record</v>
      </c>
      <c r="AW2581" s="6" t="str">
        <f>HYPERLINK("http://www.worldcat.org/oclc/6284165","WorldCat Record")</f>
        <v>WorldCat Record</v>
      </c>
      <c r="AX2581" s="3" t="s">
        <v>21385</v>
      </c>
      <c r="AY2581" s="3" t="s">
        <v>21407</v>
      </c>
      <c r="AZ2581" s="3" t="s">
        <v>21408</v>
      </c>
      <c r="BA2581" s="3" t="s">
        <v>21408</v>
      </c>
      <c r="BB2581" s="3" t="s">
        <v>21409</v>
      </c>
      <c r="BC2581" s="3" t="s">
        <v>82</v>
      </c>
      <c r="BD2581" s="3" t="s">
        <v>70</v>
      </c>
      <c r="BE2581" s="3" t="s">
        <v>21410</v>
      </c>
      <c r="BF2581" s="3" t="s">
        <v>21409</v>
      </c>
      <c r="BG2581" s="3" t="s">
        <v>21411</v>
      </c>
    </row>
    <row r="2582" spans="1:59" ht="60" x14ac:dyDescent="0.25">
      <c r="A2582" s="2" t="s">
        <v>59</v>
      </c>
      <c r="B2582" s="2" t="s">
        <v>60</v>
      </c>
      <c r="C2582" s="2" t="s">
        <v>21412</v>
      </c>
      <c r="D2582" s="2" t="s">
        <v>21413</v>
      </c>
      <c r="E2582" s="2" t="s">
        <v>21414</v>
      </c>
      <c r="G2582" s="3" t="s">
        <v>63</v>
      </c>
      <c r="I2582" s="3" t="s">
        <v>63</v>
      </c>
      <c r="J2582" s="3" t="s">
        <v>62</v>
      </c>
      <c r="K2582" s="3" t="s">
        <v>64</v>
      </c>
      <c r="L2582" s="2" t="s">
        <v>20715</v>
      </c>
      <c r="M2582" s="2" t="s">
        <v>21415</v>
      </c>
      <c r="N2582" s="3" t="s">
        <v>1296</v>
      </c>
      <c r="P2582" s="3" t="s">
        <v>66</v>
      </c>
      <c r="Q2582" s="2" t="s">
        <v>21416</v>
      </c>
      <c r="R2582" s="3" t="s">
        <v>67</v>
      </c>
      <c r="S2582" s="4">
        <v>11</v>
      </c>
      <c r="T2582" s="4">
        <v>11</v>
      </c>
      <c r="U2582" s="5" t="s">
        <v>6170</v>
      </c>
      <c r="V2582" s="5" t="s">
        <v>6170</v>
      </c>
      <c r="W2582" s="5" t="s">
        <v>69</v>
      </c>
      <c r="X2582" s="5" t="s">
        <v>69</v>
      </c>
      <c r="Y2582" s="4">
        <v>431</v>
      </c>
      <c r="Z2582" s="4">
        <v>21</v>
      </c>
      <c r="AA2582" s="4">
        <v>167</v>
      </c>
      <c r="AB2582" s="4">
        <v>3</v>
      </c>
      <c r="AC2582" s="4">
        <v>24</v>
      </c>
      <c r="AD2582" s="4">
        <v>98</v>
      </c>
      <c r="AE2582" s="4">
        <v>160</v>
      </c>
      <c r="AF2582" s="4">
        <v>1</v>
      </c>
      <c r="AG2582" s="4">
        <v>9</v>
      </c>
      <c r="AH2582" s="4">
        <v>86</v>
      </c>
      <c r="AI2582" s="4">
        <v>114</v>
      </c>
      <c r="AJ2582" s="4">
        <v>14</v>
      </c>
      <c r="AK2582" s="4">
        <v>28</v>
      </c>
      <c r="AL2582" s="4">
        <v>50</v>
      </c>
      <c r="AM2582" s="4">
        <v>63</v>
      </c>
      <c r="AN2582" s="4">
        <v>0</v>
      </c>
      <c r="AO2582" s="4">
        <v>0</v>
      </c>
      <c r="AP2582" s="4">
        <v>16</v>
      </c>
      <c r="AQ2582" s="4">
        <v>52</v>
      </c>
      <c r="AR2582" s="3" t="s">
        <v>63</v>
      </c>
      <c r="AS2582" s="3" t="s">
        <v>63</v>
      </c>
      <c r="AT2582" s="3" t="s">
        <v>62</v>
      </c>
      <c r="AU2582" s="6" t="str">
        <f>HYPERLINK("http://catalog.hathitrust.org/Record/001224180","HathiTrust Record")</f>
        <v>HathiTrust Record</v>
      </c>
      <c r="AV2582" s="6" t="str">
        <f>HYPERLINK("http://mcgill.on.worldcat.org/oclc/8256","Catalog Record")</f>
        <v>Catalog Record</v>
      </c>
      <c r="AW2582" s="6" t="str">
        <f>HYPERLINK("http://www.worldcat.org/oclc/8256","WorldCat Record")</f>
        <v>WorldCat Record</v>
      </c>
      <c r="AX2582" s="3" t="s">
        <v>21385</v>
      </c>
      <c r="AY2582" s="3" t="s">
        <v>21417</v>
      </c>
      <c r="AZ2582" s="3" t="s">
        <v>21418</v>
      </c>
      <c r="BA2582" s="3" t="s">
        <v>21418</v>
      </c>
      <c r="BB2582" s="3" t="s">
        <v>21419</v>
      </c>
      <c r="BC2582" s="3" t="s">
        <v>82</v>
      </c>
      <c r="BD2582" s="3" t="s">
        <v>70</v>
      </c>
      <c r="BF2582" s="3" t="s">
        <v>21419</v>
      </c>
      <c r="BG2582" s="3" t="s">
        <v>21420</v>
      </c>
    </row>
    <row r="2583" spans="1:59" ht="60" x14ac:dyDescent="0.25">
      <c r="A2583" s="2" t="s">
        <v>59</v>
      </c>
      <c r="B2583" s="2" t="s">
        <v>60</v>
      </c>
      <c r="C2583" s="2" t="s">
        <v>21421</v>
      </c>
      <c r="D2583" s="2" t="s">
        <v>21422</v>
      </c>
      <c r="E2583" s="2" t="s">
        <v>21423</v>
      </c>
      <c r="G2583" s="3" t="s">
        <v>63</v>
      </c>
      <c r="I2583" s="3" t="s">
        <v>63</v>
      </c>
      <c r="J2583" s="3" t="s">
        <v>63</v>
      </c>
      <c r="K2583" s="3" t="s">
        <v>64</v>
      </c>
      <c r="L2583" s="2" t="s">
        <v>20715</v>
      </c>
      <c r="M2583" s="2" t="s">
        <v>21424</v>
      </c>
      <c r="N2583" s="3" t="s">
        <v>1418</v>
      </c>
      <c r="O2583" s="2" t="s">
        <v>21425</v>
      </c>
      <c r="P2583" s="3" t="s">
        <v>66</v>
      </c>
      <c r="R2583" s="3" t="s">
        <v>67</v>
      </c>
      <c r="S2583" s="4">
        <v>6</v>
      </c>
      <c r="T2583" s="4">
        <v>6</v>
      </c>
      <c r="U2583" s="5" t="s">
        <v>6068</v>
      </c>
      <c r="V2583" s="5" t="s">
        <v>6068</v>
      </c>
      <c r="W2583" s="5" t="s">
        <v>69</v>
      </c>
      <c r="X2583" s="5" t="s">
        <v>69</v>
      </c>
      <c r="Y2583" s="4">
        <v>196</v>
      </c>
      <c r="Z2583" s="4">
        <v>7</v>
      </c>
      <c r="AA2583" s="4">
        <v>28</v>
      </c>
      <c r="AB2583" s="4">
        <v>2</v>
      </c>
      <c r="AC2583" s="4">
        <v>4</v>
      </c>
      <c r="AD2583" s="4">
        <v>38</v>
      </c>
      <c r="AE2583" s="4">
        <v>104</v>
      </c>
      <c r="AF2583" s="4">
        <v>0</v>
      </c>
      <c r="AG2583" s="4">
        <v>0</v>
      </c>
      <c r="AH2583" s="4">
        <v>36</v>
      </c>
      <c r="AI2583" s="4">
        <v>94</v>
      </c>
      <c r="AJ2583" s="4">
        <v>3</v>
      </c>
      <c r="AK2583" s="4">
        <v>13</v>
      </c>
      <c r="AL2583" s="4">
        <v>20</v>
      </c>
      <c r="AM2583" s="4">
        <v>54</v>
      </c>
      <c r="AN2583" s="4">
        <v>0</v>
      </c>
      <c r="AO2583" s="4">
        <v>0</v>
      </c>
      <c r="AP2583" s="4">
        <v>3</v>
      </c>
      <c r="AQ2583" s="4">
        <v>14</v>
      </c>
      <c r="AR2583" s="3" t="s">
        <v>63</v>
      </c>
      <c r="AS2583" s="3" t="s">
        <v>63</v>
      </c>
      <c r="AT2583" s="3" t="s">
        <v>62</v>
      </c>
      <c r="AU2583" s="6" t="str">
        <f>HYPERLINK("http://catalog.hathitrust.org/Record/009490938","HathiTrust Record")</f>
        <v>HathiTrust Record</v>
      </c>
      <c r="AV2583" s="6" t="str">
        <f>HYPERLINK("http://mcgill.on.worldcat.org/oclc/14214494","Catalog Record")</f>
        <v>Catalog Record</v>
      </c>
      <c r="AW2583" s="6" t="str">
        <f>HYPERLINK("http://www.worldcat.org/oclc/14214494","WorldCat Record")</f>
        <v>WorldCat Record</v>
      </c>
      <c r="AX2583" s="3" t="s">
        <v>21426</v>
      </c>
      <c r="AY2583" s="3" t="s">
        <v>21427</v>
      </c>
      <c r="AZ2583" s="3" t="s">
        <v>21428</v>
      </c>
      <c r="BA2583" s="3" t="s">
        <v>21428</v>
      </c>
      <c r="BB2583" s="3" t="s">
        <v>21429</v>
      </c>
      <c r="BC2583" s="3" t="s">
        <v>82</v>
      </c>
      <c r="BD2583" s="3" t="s">
        <v>70</v>
      </c>
      <c r="BE2583" s="3" t="s">
        <v>21430</v>
      </c>
      <c r="BF2583" s="3" t="s">
        <v>21429</v>
      </c>
      <c r="BG2583" s="3" t="s">
        <v>21431</v>
      </c>
    </row>
    <row r="2584" spans="1:59" ht="60" x14ac:dyDescent="0.25">
      <c r="A2584" s="2" t="s">
        <v>59</v>
      </c>
      <c r="B2584" s="2" t="s">
        <v>60</v>
      </c>
      <c r="C2584" s="2" t="s">
        <v>21432</v>
      </c>
      <c r="D2584" s="2" t="s">
        <v>21433</v>
      </c>
      <c r="E2584" s="2" t="s">
        <v>21434</v>
      </c>
      <c r="G2584" s="3" t="s">
        <v>63</v>
      </c>
      <c r="I2584" s="3" t="s">
        <v>63</v>
      </c>
      <c r="J2584" s="3" t="s">
        <v>62</v>
      </c>
      <c r="K2584" s="3" t="s">
        <v>64</v>
      </c>
      <c r="L2584" s="2" t="s">
        <v>20715</v>
      </c>
      <c r="M2584" s="2" t="s">
        <v>21435</v>
      </c>
      <c r="N2584" s="3" t="s">
        <v>629</v>
      </c>
      <c r="P2584" s="3" t="s">
        <v>66</v>
      </c>
      <c r="Q2584" s="2" t="s">
        <v>17944</v>
      </c>
      <c r="R2584" s="3" t="s">
        <v>67</v>
      </c>
      <c r="S2584" s="4">
        <v>1</v>
      </c>
      <c r="T2584" s="4">
        <v>1</v>
      </c>
      <c r="U2584" s="5" t="s">
        <v>21436</v>
      </c>
      <c r="V2584" s="5" t="s">
        <v>21436</v>
      </c>
      <c r="W2584" s="5" t="s">
        <v>69</v>
      </c>
      <c r="X2584" s="5" t="s">
        <v>69</v>
      </c>
      <c r="Y2584" s="4">
        <v>100</v>
      </c>
      <c r="Z2584" s="4">
        <v>9</v>
      </c>
      <c r="AA2584" s="4">
        <v>17</v>
      </c>
      <c r="AB2584" s="4">
        <v>1</v>
      </c>
      <c r="AC2584" s="4">
        <v>3</v>
      </c>
      <c r="AD2584" s="4">
        <v>44</v>
      </c>
      <c r="AE2584" s="4">
        <v>70</v>
      </c>
      <c r="AF2584" s="4">
        <v>0</v>
      </c>
      <c r="AG2584" s="4">
        <v>0</v>
      </c>
      <c r="AH2584" s="4">
        <v>41</v>
      </c>
      <c r="AI2584" s="4">
        <v>66</v>
      </c>
      <c r="AJ2584" s="4">
        <v>5</v>
      </c>
      <c r="AK2584" s="4">
        <v>8</v>
      </c>
      <c r="AL2584" s="4">
        <v>28</v>
      </c>
      <c r="AM2584" s="4">
        <v>39</v>
      </c>
      <c r="AN2584" s="4">
        <v>0</v>
      </c>
      <c r="AO2584" s="4">
        <v>0</v>
      </c>
      <c r="AP2584" s="4">
        <v>5</v>
      </c>
      <c r="AQ2584" s="4">
        <v>8</v>
      </c>
      <c r="AR2584" s="3" t="s">
        <v>63</v>
      </c>
      <c r="AS2584" s="3" t="s">
        <v>63</v>
      </c>
      <c r="AT2584" s="3" t="s">
        <v>63</v>
      </c>
      <c r="AV2584" s="6" t="str">
        <f>HYPERLINK("http://mcgill.on.worldcat.org/oclc/687652635","Catalog Record")</f>
        <v>Catalog Record</v>
      </c>
      <c r="AW2584" s="6" t="str">
        <f>HYPERLINK("http://www.worldcat.org/oclc/687652635","WorldCat Record")</f>
        <v>WorldCat Record</v>
      </c>
      <c r="AX2584" s="3" t="s">
        <v>21437</v>
      </c>
      <c r="AY2584" s="3" t="s">
        <v>21438</v>
      </c>
      <c r="AZ2584" s="3" t="s">
        <v>21439</v>
      </c>
      <c r="BA2584" s="3" t="s">
        <v>21439</v>
      </c>
      <c r="BB2584" s="3" t="s">
        <v>21440</v>
      </c>
      <c r="BC2584" s="3" t="s">
        <v>82</v>
      </c>
      <c r="BD2584" s="3" t="s">
        <v>70</v>
      </c>
      <c r="BE2584" s="3" t="s">
        <v>21441</v>
      </c>
      <c r="BF2584" s="3" t="s">
        <v>21440</v>
      </c>
      <c r="BG2584" s="3" t="s">
        <v>21442</v>
      </c>
    </row>
    <row r="2585" spans="1:59" ht="60" x14ac:dyDescent="0.25">
      <c r="A2585" s="2" t="s">
        <v>59</v>
      </c>
      <c r="B2585" s="2" t="s">
        <v>60</v>
      </c>
      <c r="C2585" s="2" t="s">
        <v>21443</v>
      </c>
      <c r="D2585" s="2" t="s">
        <v>21444</v>
      </c>
      <c r="E2585" s="2" t="s">
        <v>21445</v>
      </c>
      <c r="G2585" s="3" t="s">
        <v>63</v>
      </c>
      <c r="I2585" s="3" t="s">
        <v>63</v>
      </c>
      <c r="J2585" s="3" t="s">
        <v>63</v>
      </c>
      <c r="K2585" s="3" t="s">
        <v>64</v>
      </c>
      <c r="L2585" s="2" t="s">
        <v>21446</v>
      </c>
      <c r="M2585" s="2" t="s">
        <v>21447</v>
      </c>
      <c r="N2585" s="3" t="s">
        <v>2765</v>
      </c>
      <c r="P2585" s="3" t="s">
        <v>66</v>
      </c>
      <c r="R2585" s="3" t="s">
        <v>67</v>
      </c>
      <c r="S2585" s="4">
        <v>0</v>
      </c>
      <c r="T2585" s="4">
        <v>0</v>
      </c>
      <c r="W2585" s="5" t="s">
        <v>69</v>
      </c>
      <c r="X2585" s="5" t="s">
        <v>69</v>
      </c>
      <c r="Y2585" s="4">
        <v>86</v>
      </c>
      <c r="Z2585" s="4">
        <v>7</v>
      </c>
      <c r="AA2585" s="4">
        <v>7</v>
      </c>
      <c r="AB2585" s="4">
        <v>1</v>
      </c>
      <c r="AC2585" s="4">
        <v>1</v>
      </c>
      <c r="AD2585" s="4">
        <v>45</v>
      </c>
      <c r="AE2585" s="4">
        <v>45</v>
      </c>
      <c r="AF2585" s="4">
        <v>0</v>
      </c>
      <c r="AG2585" s="4">
        <v>0</v>
      </c>
      <c r="AH2585" s="4">
        <v>42</v>
      </c>
      <c r="AI2585" s="4">
        <v>42</v>
      </c>
      <c r="AJ2585" s="4">
        <v>2</v>
      </c>
      <c r="AK2585" s="4">
        <v>2</v>
      </c>
      <c r="AL2585" s="4">
        <v>29</v>
      </c>
      <c r="AM2585" s="4">
        <v>29</v>
      </c>
      <c r="AN2585" s="4">
        <v>0</v>
      </c>
      <c r="AO2585" s="4">
        <v>0</v>
      </c>
      <c r="AP2585" s="4">
        <v>3</v>
      </c>
      <c r="AQ2585" s="4">
        <v>3</v>
      </c>
      <c r="AR2585" s="3" t="s">
        <v>63</v>
      </c>
      <c r="AS2585" s="3" t="s">
        <v>63</v>
      </c>
      <c r="AT2585" s="3" t="s">
        <v>63</v>
      </c>
      <c r="AV2585" s="6" t="str">
        <f>HYPERLINK("http://mcgill.on.worldcat.org/oclc/910087993","Catalog Record")</f>
        <v>Catalog Record</v>
      </c>
      <c r="AW2585" s="6" t="str">
        <f>HYPERLINK("http://www.worldcat.org/oclc/910087993","WorldCat Record")</f>
        <v>WorldCat Record</v>
      </c>
      <c r="AX2585" s="3" t="s">
        <v>21448</v>
      </c>
      <c r="AY2585" s="3" t="s">
        <v>21449</v>
      </c>
      <c r="AZ2585" s="3" t="s">
        <v>21450</v>
      </c>
      <c r="BA2585" s="3" t="s">
        <v>21450</v>
      </c>
      <c r="BB2585" s="3" t="s">
        <v>21451</v>
      </c>
      <c r="BC2585" s="3" t="s">
        <v>82</v>
      </c>
      <c r="BD2585" s="3" t="s">
        <v>70</v>
      </c>
      <c r="BE2585" s="3" t="s">
        <v>21452</v>
      </c>
      <c r="BF2585" s="3" t="s">
        <v>21451</v>
      </c>
      <c r="BG2585" s="3" t="s">
        <v>21453</v>
      </c>
    </row>
    <row r="2586" spans="1:59" ht="75" x14ac:dyDescent="0.25">
      <c r="A2586" s="2" t="s">
        <v>59</v>
      </c>
      <c r="B2586" s="2" t="s">
        <v>60</v>
      </c>
      <c r="C2586" s="2" t="s">
        <v>21454</v>
      </c>
      <c r="D2586" s="2" t="s">
        <v>21455</v>
      </c>
      <c r="E2586" s="2" t="s">
        <v>21456</v>
      </c>
      <c r="G2586" s="3" t="s">
        <v>63</v>
      </c>
      <c r="I2586" s="3" t="s">
        <v>63</v>
      </c>
      <c r="J2586" s="3" t="s">
        <v>63</v>
      </c>
      <c r="K2586" s="3" t="s">
        <v>64</v>
      </c>
      <c r="L2586" s="2" t="s">
        <v>20715</v>
      </c>
      <c r="M2586" s="2" t="s">
        <v>21457</v>
      </c>
      <c r="N2586" s="3" t="s">
        <v>401</v>
      </c>
      <c r="P2586" s="3" t="s">
        <v>66</v>
      </c>
      <c r="Q2586" s="2" t="s">
        <v>21458</v>
      </c>
      <c r="R2586" s="3" t="s">
        <v>67</v>
      </c>
      <c r="S2586" s="4">
        <v>6</v>
      </c>
      <c r="T2586" s="4">
        <v>6</v>
      </c>
      <c r="U2586" s="5" t="s">
        <v>988</v>
      </c>
      <c r="V2586" s="5" t="s">
        <v>988</v>
      </c>
      <c r="W2586" s="5" t="s">
        <v>69</v>
      </c>
      <c r="X2586" s="5" t="s">
        <v>69</v>
      </c>
      <c r="Y2586" s="4">
        <v>80</v>
      </c>
      <c r="Z2586" s="4">
        <v>1</v>
      </c>
      <c r="AA2586" s="4">
        <v>28</v>
      </c>
      <c r="AB2586" s="4">
        <v>1</v>
      </c>
      <c r="AC2586" s="4">
        <v>2</v>
      </c>
      <c r="AD2586" s="4">
        <v>15</v>
      </c>
      <c r="AE2586" s="4">
        <v>107</v>
      </c>
      <c r="AF2586" s="4">
        <v>0</v>
      </c>
      <c r="AG2586" s="4">
        <v>1</v>
      </c>
      <c r="AH2586" s="4">
        <v>14</v>
      </c>
      <c r="AI2586" s="4">
        <v>90</v>
      </c>
      <c r="AJ2586" s="4">
        <v>0</v>
      </c>
      <c r="AK2586" s="4">
        <v>14</v>
      </c>
      <c r="AL2586" s="4">
        <v>8</v>
      </c>
      <c r="AM2586" s="4">
        <v>54</v>
      </c>
      <c r="AN2586" s="4">
        <v>0</v>
      </c>
      <c r="AO2586" s="4">
        <v>0</v>
      </c>
      <c r="AP2586" s="4">
        <v>0</v>
      </c>
      <c r="AQ2586" s="4">
        <v>19</v>
      </c>
      <c r="AR2586" s="3" t="s">
        <v>63</v>
      </c>
      <c r="AS2586" s="3" t="s">
        <v>63</v>
      </c>
      <c r="AT2586" s="3" t="s">
        <v>62</v>
      </c>
      <c r="AU2586" s="6" t="str">
        <f>HYPERLINK("http://catalog.hathitrust.org/Record/012265208","HathiTrust Record")</f>
        <v>HathiTrust Record</v>
      </c>
      <c r="AV2586" s="6" t="str">
        <f>HYPERLINK("http://mcgill.on.worldcat.org/oclc/859787","Catalog Record")</f>
        <v>Catalog Record</v>
      </c>
      <c r="AW2586" s="6" t="str">
        <f>HYPERLINK("http://www.worldcat.org/oclc/859787","WorldCat Record")</f>
        <v>WorldCat Record</v>
      </c>
      <c r="AX2586" s="3" t="s">
        <v>21459</v>
      </c>
      <c r="AY2586" s="3" t="s">
        <v>21460</v>
      </c>
      <c r="AZ2586" s="3" t="s">
        <v>21461</v>
      </c>
      <c r="BA2586" s="3" t="s">
        <v>21461</v>
      </c>
      <c r="BB2586" s="3" t="s">
        <v>21462</v>
      </c>
      <c r="BC2586" s="3" t="s">
        <v>82</v>
      </c>
      <c r="BD2586" s="3" t="s">
        <v>70</v>
      </c>
      <c r="BF2586" s="3" t="s">
        <v>21462</v>
      </c>
      <c r="BG2586" s="3" t="s">
        <v>21463</v>
      </c>
    </row>
    <row r="2587" spans="1:59" ht="60" x14ac:dyDescent="0.25">
      <c r="A2587" s="2" t="s">
        <v>59</v>
      </c>
      <c r="B2587" s="2" t="s">
        <v>60</v>
      </c>
      <c r="C2587" s="2" t="s">
        <v>21464</v>
      </c>
      <c r="D2587" s="2" t="s">
        <v>21465</v>
      </c>
      <c r="E2587" s="2" t="s">
        <v>21466</v>
      </c>
      <c r="G2587" s="3" t="s">
        <v>63</v>
      </c>
      <c r="I2587" s="3" t="s">
        <v>63</v>
      </c>
      <c r="J2587" s="3" t="s">
        <v>63</v>
      </c>
      <c r="K2587" s="3" t="s">
        <v>64</v>
      </c>
      <c r="L2587" s="2" t="s">
        <v>21467</v>
      </c>
      <c r="M2587" s="2" t="s">
        <v>21468</v>
      </c>
      <c r="N2587" s="3" t="s">
        <v>668</v>
      </c>
      <c r="P2587" s="3" t="s">
        <v>66</v>
      </c>
      <c r="R2587" s="3" t="s">
        <v>67</v>
      </c>
      <c r="S2587" s="4">
        <v>30</v>
      </c>
      <c r="T2587" s="4">
        <v>30</v>
      </c>
      <c r="U2587" s="5" t="s">
        <v>21469</v>
      </c>
      <c r="V2587" s="5" t="s">
        <v>21469</v>
      </c>
      <c r="W2587" s="5" t="s">
        <v>69</v>
      </c>
      <c r="X2587" s="5" t="s">
        <v>69</v>
      </c>
      <c r="Y2587" s="4">
        <v>44</v>
      </c>
      <c r="Z2587" s="4">
        <v>4</v>
      </c>
      <c r="AA2587" s="4">
        <v>12</v>
      </c>
      <c r="AB2587" s="4">
        <v>1</v>
      </c>
      <c r="AC2587" s="4">
        <v>1</v>
      </c>
      <c r="AD2587" s="4">
        <v>17</v>
      </c>
      <c r="AE2587" s="4">
        <v>76</v>
      </c>
      <c r="AF2587" s="4">
        <v>0</v>
      </c>
      <c r="AG2587" s="4">
        <v>0</v>
      </c>
      <c r="AH2587" s="4">
        <v>15</v>
      </c>
      <c r="AI2587" s="4">
        <v>71</v>
      </c>
      <c r="AJ2587" s="4">
        <v>1</v>
      </c>
      <c r="AK2587" s="4">
        <v>6</v>
      </c>
      <c r="AL2587" s="4">
        <v>11</v>
      </c>
      <c r="AM2587" s="4">
        <v>41</v>
      </c>
      <c r="AN2587" s="4">
        <v>0</v>
      </c>
      <c r="AO2587" s="4">
        <v>0</v>
      </c>
      <c r="AP2587" s="4">
        <v>1</v>
      </c>
      <c r="AQ2587" s="4">
        <v>6</v>
      </c>
      <c r="AR2587" s="3" t="s">
        <v>63</v>
      </c>
      <c r="AS2587" s="3" t="s">
        <v>63</v>
      </c>
      <c r="AT2587" s="3" t="s">
        <v>62</v>
      </c>
      <c r="AU2587" s="6" t="str">
        <f>HYPERLINK("http://catalog.hathitrust.org/Record/002493099","HathiTrust Record")</f>
        <v>HathiTrust Record</v>
      </c>
      <c r="AV2587" s="6" t="str">
        <f>HYPERLINK("http://mcgill.on.worldcat.org/oclc/46479901","Catalog Record")</f>
        <v>Catalog Record</v>
      </c>
      <c r="AW2587" s="6" t="str">
        <f>HYPERLINK("http://www.worldcat.org/oclc/46479901","WorldCat Record")</f>
        <v>WorldCat Record</v>
      </c>
      <c r="AX2587" s="3" t="s">
        <v>21470</v>
      </c>
      <c r="AY2587" s="3" t="s">
        <v>21471</v>
      </c>
      <c r="AZ2587" s="3" t="s">
        <v>21472</v>
      </c>
      <c r="BA2587" s="3" t="s">
        <v>21472</v>
      </c>
      <c r="BB2587" s="3" t="s">
        <v>21473</v>
      </c>
      <c r="BC2587" s="3" t="s">
        <v>82</v>
      </c>
      <c r="BD2587" s="3" t="s">
        <v>70</v>
      </c>
      <c r="BE2587" s="3" t="s">
        <v>21474</v>
      </c>
      <c r="BF2587" s="3" t="s">
        <v>21473</v>
      </c>
      <c r="BG2587" s="3" t="s">
        <v>21475</v>
      </c>
    </row>
    <row r="2588" spans="1:59" ht="60" x14ac:dyDescent="0.25">
      <c r="A2588" s="2" t="s">
        <v>59</v>
      </c>
      <c r="B2588" s="2" t="s">
        <v>60</v>
      </c>
      <c r="C2588" s="2" t="s">
        <v>21476</v>
      </c>
      <c r="D2588" s="2" t="s">
        <v>21477</v>
      </c>
      <c r="E2588" s="2" t="s">
        <v>21478</v>
      </c>
      <c r="G2588" s="3" t="s">
        <v>63</v>
      </c>
      <c r="I2588" s="3" t="s">
        <v>62</v>
      </c>
      <c r="J2588" s="3" t="s">
        <v>62</v>
      </c>
      <c r="K2588" s="3" t="s">
        <v>64</v>
      </c>
      <c r="L2588" s="2" t="s">
        <v>20715</v>
      </c>
      <c r="M2588" s="2" t="s">
        <v>21357</v>
      </c>
      <c r="N2588" s="3" t="s">
        <v>313</v>
      </c>
      <c r="O2588" s="2" t="s">
        <v>590</v>
      </c>
      <c r="P2588" s="3" t="s">
        <v>66</v>
      </c>
      <c r="Q2588" s="2" t="s">
        <v>21358</v>
      </c>
      <c r="R2588" s="3" t="s">
        <v>67</v>
      </c>
      <c r="S2588" s="4">
        <v>4</v>
      </c>
      <c r="T2588" s="4">
        <v>13</v>
      </c>
      <c r="U2588" s="5" t="s">
        <v>2504</v>
      </c>
      <c r="V2588" s="5" t="s">
        <v>2504</v>
      </c>
      <c r="W2588" s="5" t="s">
        <v>69</v>
      </c>
      <c r="X2588" s="5" t="s">
        <v>69</v>
      </c>
      <c r="Y2588" s="4">
        <v>90</v>
      </c>
      <c r="Z2588" s="4">
        <v>9</v>
      </c>
      <c r="AA2588" s="4">
        <v>97</v>
      </c>
      <c r="AB2588" s="4">
        <v>3</v>
      </c>
      <c r="AC2588" s="4">
        <v>8</v>
      </c>
      <c r="AD2588" s="4">
        <v>17</v>
      </c>
      <c r="AE2588" s="4">
        <v>147</v>
      </c>
      <c r="AF2588" s="4">
        <v>0</v>
      </c>
      <c r="AG2588" s="4">
        <v>2</v>
      </c>
      <c r="AH2588" s="4">
        <v>16</v>
      </c>
      <c r="AI2588" s="4">
        <v>113</v>
      </c>
      <c r="AJ2588" s="4">
        <v>2</v>
      </c>
      <c r="AK2588" s="4">
        <v>24</v>
      </c>
      <c r="AL2588" s="4">
        <v>11</v>
      </c>
      <c r="AM2588" s="4">
        <v>63</v>
      </c>
      <c r="AN2588" s="4">
        <v>0</v>
      </c>
      <c r="AO2588" s="4">
        <v>14</v>
      </c>
      <c r="AP2588" s="4">
        <v>2</v>
      </c>
      <c r="AQ2588" s="4">
        <v>39</v>
      </c>
      <c r="AR2588" s="3" t="s">
        <v>63</v>
      </c>
      <c r="AS2588" s="3" t="s">
        <v>63</v>
      </c>
      <c r="AT2588" s="3" t="s">
        <v>63</v>
      </c>
      <c r="AV2588" s="6" t="str">
        <f>HYPERLINK("http://mcgill.on.worldcat.org/oclc/449866094","Catalog Record")</f>
        <v>Catalog Record</v>
      </c>
      <c r="AW2588" s="6" t="str">
        <f>HYPERLINK("http://www.worldcat.org/oclc/449866094","WorldCat Record")</f>
        <v>WorldCat Record</v>
      </c>
      <c r="AX2588" s="3" t="s">
        <v>21479</v>
      </c>
      <c r="AY2588" s="3" t="s">
        <v>21480</v>
      </c>
      <c r="AZ2588" s="3" t="s">
        <v>21481</v>
      </c>
      <c r="BA2588" s="3" t="s">
        <v>21481</v>
      </c>
      <c r="BB2588" s="3" t="s">
        <v>21482</v>
      </c>
      <c r="BC2588" s="3" t="s">
        <v>82</v>
      </c>
      <c r="BD2588" s="3" t="s">
        <v>70</v>
      </c>
      <c r="BE2588" s="3" t="s">
        <v>21483</v>
      </c>
      <c r="BF2588" s="3" t="s">
        <v>21482</v>
      </c>
      <c r="BG2588" s="3" t="s">
        <v>21484</v>
      </c>
    </row>
    <row r="2589" spans="1:59" ht="60" x14ac:dyDescent="0.25">
      <c r="A2589" s="2" t="s">
        <v>59</v>
      </c>
      <c r="B2589" s="2" t="s">
        <v>60</v>
      </c>
      <c r="C2589" s="2" t="s">
        <v>21476</v>
      </c>
      <c r="D2589" s="2" t="s">
        <v>21477</v>
      </c>
      <c r="E2589" s="2" t="s">
        <v>21478</v>
      </c>
      <c r="G2589" s="3" t="s">
        <v>63</v>
      </c>
      <c r="I2589" s="3" t="s">
        <v>62</v>
      </c>
      <c r="J2589" s="3" t="s">
        <v>62</v>
      </c>
      <c r="K2589" s="3" t="s">
        <v>64</v>
      </c>
      <c r="L2589" s="2" t="s">
        <v>20715</v>
      </c>
      <c r="M2589" s="2" t="s">
        <v>21357</v>
      </c>
      <c r="N2589" s="3" t="s">
        <v>313</v>
      </c>
      <c r="O2589" s="2" t="s">
        <v>590</v>
      </c>
      <c r="P2589" s="3" t="s">
        <v>66</v>
      </c>
      <c r="Q2589" s="2" t="s">
        <v>21358</v>
      </c>
      <c r="R2589" s="3" t="s">
        <v>67</v>
      </c>
      <c r="S2589" s="4">
        <v>7</v>
      </c>
      <c r="T2589" s="4">
        <v>13</v>
      </c>
      <c r="U2589" s="5" t="s">
        <v>14064</v>
      </c>
      <c r="V2589" s="5" t="s">
        <v>2504</v>
      </c>
      <c r="W2589" s="5" t="s">
        <v>69</v>
      </c>
      <c r="X2589" s="5" t="s">
        <v>69</v>
      </c>
      <c r="Y2589" s="4">
        <v>90</v>
      </c>
      <c r="Z2589" s="4">
        <v>9</v>
      </c>
      <c r="AA2589" s="4">
        <v>97</v>
      </c>
      <c r="AB2589" s="4">
        <v>3</v>
      </c>
      <c r="AC2589" s="4">
        <v>8</v>
      </c>
      <c r="AD2589" s="4">
        <v>17</v>
      </c>
      <c r="AE2589" s="4">
        <v>147</v>
      </c>
      <c r="AF2589" s="4">
        <v>0</v>
      </c>
      <c r="AG2589" s="4">
        <v>2</v>
      </c>
      <c r="AH2589" s="4">
        <v>16</v>
      </c>
      <c r="AI2589" s="4">
        <v>113</v>
      </c>
      <c r="AJ2589" s="4">
        <v>2</v>
      </c>
      <c r="AK2589" s="4">
        <v>24</v>
      </c>
      <c r="AL2589" s="4">
        <v>11</v>
      </c>
      <c r="AM2589" s="4">
        <v>63</v>
      </c>
      <c r="AN2589" s="4">
        <v>0</v>
      </c>
      <c r="AO2589" s="4">
        <v>14</v>
      </c>
      <c r="AP2589" s="4">
        <v>2</v>
      </c>
      <c r="AQ2589" s="4">
        <v>39</v>
      </c>
      <c r="AR2589" s="3" t="s">
        <v>63</v>
      </c>
      <c r="AS2589" s="3" t="s">
        <v>63</v>
      </c>
      <c r="AT2589" s="3" t="s">
        <v>63</v>
      </c>
      <c r="AV2589" s="6" t="str">
        <f>HYPERLINK("http://mcgill.on.worldcat.org/oclc/449866094","Catalog Record")</f>
        <v>Catalog Record</v>
      </c>
      <c r="AW2589" s="6" t="str">
        <f>HYPERLINK("http://www.worldcat.org/oclc/449866094","WorldCat Record")</f>
        <v>WorldCat Record</v>
      </c>
      <c r="AX2589" s="3" t="s">
        <v>21479</v>
      </c>
      <c r="AY2589" s="3" t="s">
        <v>21480</v>
      </c>
      <c r="AZ2589" s="3" t="s">
        <v>21481</v>
      </c>
      <c r="BA2589" s="3" t="s">
        <v>21481</v>
      </c>
      <c r="BB2589" s="3" t="s">
        <v>21485</v>
      </c>
      <c r="BC2589" s="3" t="s">
        <v>82</v>
      </c>
      <c r="BD2589" s="3" t="s">
        <v>70</v>
      </c>
      <c r="BE2589" s="3" t="s">
        <v>21483</v>
      </c>
      <c r="BF2589" s="3" t="s">
        <v>21485</v>
      </c>
      <c r="BG2589" s="3" t="s">
        <v>21486</v>
      </c>
    </row>
    <row r="2590" spans="1:59" ht="60" x14ac:dyDescent="0.25">
      <c r="A2590" s="2" t="s">
        <v>59</v>
      </c>
      <c r="B2590" s="2" t="s">
        <v>60</v>
      </c>
      <c r="C2590" s="2" t="s">
        <v>21476</v>
      </c>
      <c r="D2590" s="2" t="s">
        <v>21477</v>
      </c>
      <c r="E2590" s="2" t="s">
        <v>21478</v>
      </c>
      <c r="G2590" s="3" t="s">
        <v>63</v>
      </c>
      <c r="I2590" s="3" t="s">
        <v>62</v>
      </c>
      <c r="J2590" s="3" t="s">
        <v>62</v>
      </c>
      <c r="K2590" s="3" t="s">
        <v>64</v>
      </c>
      <c r="L2590" s="2" t="s">
        <v>20715</v>
      </c>
      <c r="M2590" s="2" t="s">
        <v>21357</v>
      </c>
      <c r="N2590" s="3" t="s">
        <v>313</v>
      </c>
      <c r="O2590" s="2" t="s">
        <v>590</v>
      </c>
      <c r="P2590" s="3" t="s">
        <v>66</v>
      </c>
      <c r="Q2590" s="2" t="s">
        <v>21358</v>
      </c>
      <c r="R2590" s="3" t="s">
        <v>67</v>
      </c>
      <c r="S2590" s="4">
        <v>2</v>
      </c>
      <c r="T2590" s="4">
        <v>13</v>
      </c>
      <c r="U2590" s="5" t="s">
        <v>1882</v>
      </c>
      <c r="V2590" s="5" t="s">
        <v>2504</v>
      </c>
      <c r="W2590" s="5" t="s">
        <v>69</v>
      </c>
      <c r="X2590" s="5" t="s">
        <v>69</v>
      </c>
      <c r="Y2590" s="4">
        <v>90</v>
      </c>
      <c r="Z2590" s="4">
        <v>9</v>
      </c>
      <c r="AA2590" s="4">
        <v>97</v>
      </c>
      <c r="AB2590" s="4">
        <v>3</v>
      </c>
      <c r="AC2590" s="4">
        <v>8</v>
      </c>
      <c r="AD2590" s="4">
        <v>17</v>
      </c>
      <c r="AE2590" s="4">
        <v>147</v>
      </c>
      <c r="AF2590" s="4">
        <v>0</v>
      </c>
      <c r="AG2590" s="4">
        <v>2</v>
      </c>
      <c r="AH2590" s="4">
        <v>16</v>
      </c>
      <c r="AI2590" s="4">
        <v>113</v>
      </c>
      <c r="AJ2590" s="4">
        <v>2</v>
      </c>
      <c r="AK2590" s="4">
        <v>24</v>
      </c>
      <c r="AL2590" s="4">
        <v>11</v>
      </c>
      <c r="AM2590" s="4">
        <v>63</v>
      </c>
      <c r="AN2590" s="4">
        <v>0</v>
      </c>
      <c r="AO2590" s="4">
        <v>14</v>
      </c>
      <c r="AP2590" s="4">
        <v>2</v>
      </c>
      <c r="AQ2590" s="4">
        <v>39</v>
      </c>
      <c r="AR2590" s="3" t="s">
        <v>63</v>
      </c>
      <c r="AS2590" s="3" t="s">
        <v>63</v>
      </c>
      <c r="AT2590" s="3" t="s">
        <v>63</v>
      </c>
      <c r="AV2590" s="6" t="str">
        <f>HYPERLINK("http://mcgill.on.worldcat.org/oclc/449866094","Catalog Record")</f>
        <v>Catalog Record</v>
      </c>
      <c r="AW2590" s="6" t="str">
        <f>HYPERLINK("http://www.worldcat.org/oclc/449866094","WorldCat Record")</f>
        <v>WorldCat Record</v>
      </c>
      <c r="AX2590" s="3" t="s">
        <v>21479</v>
      </c>
      <c r="AY2590" s="3" t="s">
        <v>21480</v>
      </c>
      <c r="AZ2590" s="3" t="s">
        <v>21481</v>
      </c>
      <c r="BA2590" s="3" t="s">
        <v>21481</v>
      </c>
      <c r="BB2590" s="3" t="s">
        <v>21487</v>
      </c>
      <c r="BC2590" s="3" t="s">
        <v>82</v>
      </c>
      <c r="BD2590" s="3" t="s">
        <v>70</v>
      </c>
      <c r="BE2590" s="3" t="s">
        <v>21483</v>
      </c>
      <c r="BF2590" s="3" t="s">
        <v>21487</v>
      </c>
      <c r="BG2590" s="3" t="s">
        <v>21488</v>
      </c>
    </row>
    <row r="2591" spans="1:59" ht="60" x14ac:dyDescent="0.25">
      <c r="A2591" s="2" t="s">
        <v>59</v>
      </c>
      <c r="B2591" s="2" t="s">
        <v>60</v>
      </c>
      <c r="C2591" s="2" t="s">
        <v>21489</v>
      </c>
      <c r="D2591" s="2" t="s">
        <v>21490</v>
      </c>
      <c r="E2591" s="2" t="s">
        <v>21491</v>
      </c>
      <c r="G2591" s="3" t="s">
        <v>63</v>
      </c>
      <c r="I2591" s="3" t="s">
        <v>63</v>
      </c>
      <c r="J2591" s="3" t="s">
        <v>62</v>
      </c>
      <c r="K2591" s="3" t="s">
        <v>64</v>
      </c>
      <c r="L2591" s="2" t="s">
        <v>20715</v>
      </c>
      <c r="M2591" s="2" t="s">
        <v>21492</v>
      </c>
      <c r="N2591" s="3" t="s">
        <v>814</v>
      </c>
      <c r="P2591" s="3" t="s">
        <v>66</v>
      </c>
      <c r="Q2591" s="2" t="s">
        <v>21493</v>
      </c>
      <c r="R2591" s="3" t="s">
        <v>67</v>
      </c>
      <c r="S2591" s="4">
        <v>38</v>
      </c>
      <c r="T2591" s="4">
        <v>38</v>
      </c>
      <c r="U2591" s="5" t="s">
        <v>4850</v>
      </c>
      <c r="V2591" s="5" t="s">
        <v>4850</v>
      </c>
      <c r="W2591" s="5" t="s">
        <v>69</v>
      </c>
      <c r="X2591" s="5" t="s">
        <v>69</v>
      </c>
      <c r="Y2591" s="4">
        <v>247</v>
      </c>
      <c r="Z2591" s="4">
        <v>15</v>
      </c>
      <c r="AA2591" s="4">
        <v>93</v>
      </c>
      <c r="AB2591" s="4">
        <v>2</v>
      </c>
      <c r="AC2591" s="4">
        <v>14</v>
      </c>
      <c r="AD2591" s="4">
        <v>40</v>
      </c>
      <c r="AE2591" s="4">
        <v>147</v>
      </c>
      <c r="AF2591" s="4">
        <v>1</v>
      </c>
      <c r="AG2591" s="4">
        <v>8</v>
      </c>
      <c r="AH2591" s="4">
        <v>33</v>
      </c>
      <c r="AI2591" s="4">
        <v>110</v>
      </c>
      <c r="AJ2591" s="4">
        <v>7</v>
      </c>
      <c r="AK2591" s="4">
        <v>23</v>
      </c>
      <c r="AL2591" s="4">
        <v>19</v>
      </c>
      <c r="AM2591" s="4">
        <v>59</v>
      </c>
      <c r="AN2591" s="4">
        <v>0</v>
      </c>
      <c r="AO2591" s="4">
        <v>0</v>
      </c>
      <c r="AP2591" s="4">
        <v>9</v>
      </c>
      <c r="AQ2591" s="4">
        <v>45</v>
      </c>
      <c r="AR2591" s="3" t="s">
        <v>63</v>
      </c>
      <c r="AS2591" s="3" t="s">
        <v>63</v>
      </c>
      <c r="AT2591" s="3" t="s">
        <v>62</v>
      </c>
      <c r="AU2591" s="6" t="str">
        <f>HYPERLINK("http://catalog.hathitrust.org/Record/007109006","HathiTrust Record")</f>
        <v>HathiTrust Record</v>
      </c>
      <c r="AV2591" s="6" t="str">
        <f>HYPERLINK("http://mcgill.on.worldcat.org/oclc/4465632","Catalog Record")</f>
        <v>Catalog Record</v>
      </c>
      <c r="AW2591" s="6" t="str">
        <f>HYPERLINK("http://www.worldcat.org/oclc/4465632","WorldCat Record")</f>
        <v>WorldCat Record</v>
      </c>
      <c r="AX2591" s="3" t="s">
        <v>21494</v>
      </c>
      <c r="AY2591" s="3" t="s">
        <v>21495</v>
      </c>
      <c r="AZ2591" s="3" t="s">
        <v>21496</v>
      </c>
      <c r="BA2591" s="3" t="s">
        <v>21496</v>
      </c>
      <c r="BB2591" s="3" t="s">
        <v>21497</v>
      </c>
      <c r="BC2591" s="3" t="s">
        <v>82</v>
      </c>
      <c r="BD2591" s="3" t="s">
        <v>70</v>
      </c>
      <c r="BE2591" s="3" t="s">
        <v>21498</v>
      </c>
      <c r="BF2591" s="3" t="s">
        <v>21497</v>
      </c>
      <c r="BG2591" s="3" t="s">
        <v>21499</v>
      </c>
    </row>
    <row r="2592" spans="1:59" ht="60" x14ac:dyDescent="0.25">
      <c r="A2592" s="2" t="s">
        <v>59</v>
      </c>
      <c r="B2592" s="2" t="s">
        <v>60</v>
      </c>
      <c r="C2592" s="2" t="s">
        <v>21500</v>
      </c>
      <c r="D2592" s="2" t="s">
        <v>21501</v>
      </c>
      <c r="E2592" s="2" t="s">
        <v>21502</v>
      </c>
      <c r="G2592" s="3" t="s">
        <v>63</v>
      </c>
      <c r="I2592" s="3" t="s">
        <v>62</v>
      </c>
      <c r="J2592" s="3" t="s">
        <v>63</v>
      </c>
      <c r="K2592" s="3" t="s">
        <v>64</v>
      </c>
      <c r="L2592" s="2" t="s">
        <v>20715</v>
      </c>
      <c r="M2592" s="2" t="s">
        <v>21357</v>
      </c>
      <c r="N2592" s="3" t="s">
        <v>313</v>
      </c>
      <c r="O2592" s="2" t="s">
        <v>590</v>
      </c>
      <c r="P2592" s="3" t="s">
        <v>66</v>
      </c>
      <c r="Q2592" s="2" t="s">
        <v>21358</v>
      </c>
      <c r="R2592" s="3" t="s">
        <v>67</v>
      </c>
      <c r="S2592" s="4">
        <v>9</v>
      </c>
      <c r="T2592" s="4">
        <v>17</v>
      </c>
      <c r="U2592" s="5" t="s">
        <v>21503</v>
      </c>
      <c r="V2592" s="5" t="s">
        <v>21503</v>
      </c>
      <c r="W2592" s="5" t="s">
        <v>69</v>
      </c>
      <c r="X2592" s="5" t="s">
        <v>69</v>
      </c>
      <c r="Y2592" s="4">
        <v>121</v>
      </c>
      <c r="Z2592" s="4">
        <v>9</v>
      </c>
      <c r="AA2592" s="4">
        <v>145</v>
      </c>
      <c r="AB2592" s="4">
        <v>3</v>
      </c>
      <c r="AC2592" s="4">
        <v>19</v>
      </c>
      <c r="AD2592" s="4">
        <v>21</v>
      </c>
      <c r="AE2592" s="4">
        <v>164</v>
      </c>
      <c r="AF2592" s="4">
        <v>0</v>
      </c>
      <c r="AG2592" s="4">
        <v>8</v>
      </c>
      <c r="AH2592" s="4">
        <v>20</v>
      </c>
      <c r="AI2592" s="4">
        <v>115</v>
      </c>
      <c r="AJ2592" s="4">
        <v>2</v>
      </c>
      <c r="AK2592" s="4">
        <v>28</v>
      </c>
      <c r="AL2592" s="4">
        <v>13</v>
      </c>
      <c r="AM2592" s="4">
        <v>63</v>
      </c>
      <c r="AN2592" s="4">
        <v>0</v>
      </c>
      <c r="AO2592" s="4">
        <v>3</v>
      </c>
      <c r="AP2592" s="4">
        <v>2</v>
      </c>
      <c r="AQ2592" s="4">
        <v>55</v>
      </c>
      <c r="AR2592" s="3" t="s">
        <v>63</v>
      </c>
      <c r="AS2592" s="3" t="s">
        <v>63</v>
      </c>
      <c r="AT2592" s="3" t="s">
        <v>63</v>
      </c>
      <c r="AV2592" s="6" t="str">
        <f>HYPERLINK("http://mcgill.on.worldcat.org/oclc/449866125","Catalog Record")</f>
        <v>Catalog Record</v>
      </c>
      <c r="AW2592" s="6" t="str">
        <f>HYPERLINK("http://www.worldcat.org/oclc/449866125","WorldCat Record")</f>
        <v>WorldCat Record</v>
      </c>
      <c r="AX2592" s="3" t="s">
        <v>21504</v>
      </c>
      <c r="AY2592" s="3" t="s">
        <v>21505</v>
      </c>
      <c r="AZ2592" s="3" t="s">
        <v>21506</v>
      </c>
      <c r="BA2592" s="3" t="s">
        <v>21506</v>
      </c>
      <c r="BB2592" s="3" t="s">
        <v>21507</v>
      </c>
      <c r="BC2592" s="3" t="s">
        <v>82</v>
      </c>
      <c r="BD2592" s="3" t="s">
        <v>70</v>
      </c>
      <c r="BE2592" s="3" t="s">
        <v>21508</v>
      </c>
      <c r="BF2592" s="3" t="s">
        <v>21507</v>
      </c>
      <c r="BG2592" s="3" t="s">
        <v>21509</v>
      </c>
    </row>
    <row r="2593" spans="1:59" ht="60" x14ac:dyDescent="0.25">
      <c r="A2593" s="2" t="s">
        <v>59</v>
      </c>
      <c r="B2593" s="2" t="s">
        <v>60</v>
      </c>
      <c r="C2593" s="2" t="s">
        <v>21500</v>
      </c>
      <c r="D2593" s="2" t="s">
        <v>21501</v>
      </c>
      <c r="E2593" s="2" t="s">
        <v>21502</v>
      </c>
      <c r="G2593" s="3" t="s">
        <v>63</v>
      </c>
      <c r="I2593" s="3" t="s">
        <v>62</v>
      </c>
      <c r="J2593" s="3" t="s">
        <v>63</v>
      </c>
      <c r="K2593" s="3" t="s">
        <v>64</v>
      </c>
      <c r="L2593" s="2" t="s">
        <v>20715</v>
      </c>
      <c r="M2593" s="2" t="s">
        <v>21357</v>
      </c>
      <c r="N2593" s="3" t="s">
        <v>313</v>
      </c>
      <c r="O2593" s="2" t="s">
        <v>590</v>
      </c>
      <c r="P2593" s="3" t="s">
        <v>66</v>
      </c>
      <c r="Q2593" s="2" t="s">
        <v>21358</v>
      </c>
      <c r="R2593" s="3" t="s">
        <v>67</v>
      </c>
      <c r="S2593" s="4">
        <v>3</v>
      </c>
      <c r="T2593" s="4">
        <v>17</v>
      </c>
      <c r="U2593" s="5" t="s">
        <v>2626</v>
      </c>
      <c r="V2593" s="5" t="s">
        <v>21503</v>
      </c>
      <c r="W2593" s="5" t="s">
        <v>69</v>
      </c>
      <c r="X2593" s="5" t="s">
        <v>69</v>
      </c>
      <c r="Y2593" s="4">
        <v>121</v>
      </c>
      <c r="Z2593" s="4">
        <v>9</v>
      </c>
      <c r="AA2593" s="4">
        <v>145</v>
      </c>
      <c r="AB2593" s="4">
        <v>3</v>
      </c>
      <c r="AC2593" s="4">
        <v>19</v>
      </c>
      <c r="AD2593" s="4">
        <v>21</v>
      </c>
      <c r="AE2593" s="4">
        <v>164</v>
      </c>
      <c r="AF2593" s="4">
        <v>0</v>
      </c>
      <c r="AG2593" s="4">
        <v>8</v>
      </c>
      <c r="AH2593" s="4">
        <v>20</v>
      </c>
      <c r="AI2593" s="4">
        <v>115</v>
      </c>
      <c r="AJ2593" s="4">
        <v>2</v>
      </c>
      <c r="AK2593" s="4">
        <v>28</v>
      </c>
      <c r="AL2593" s="4">
        <v>13</v>
      </c>
      <c r="AM2593" s="4">
        <v>63</v>
      </c>
      <c r="AN2593" s="4">
        <v>0</v>
      </c>
      <c r="AO2593" s="4">
        <v>3</v>
      </c>
      <c r="AP2593" s="4">
        <v>2</v>
      </c>
      <c r="AQ2593" s="4">
        <v>55</v>
      </c>
      <c r="AR2593" s="3" t="s">
        <v>63</v>
      </c>
      <c r="AS2593" s="3" t="s">
        <v>63</v>
      </c>
      <c r="AT2593" s="3" t="s">
        <v>63</v>
      </c>
      <c r="AV2593" s="6" t="str">
        <f>HYPERLINK("http://mcgill.on.worldcat.org/oclc/449866125","Catalog Record")</f>
        <v>Catalog Record</v>
      </c>
      <c r="AW2593" s="6" t="str">
        <f>HYPERLINK("http://www.worldcat.org/oclc/449866125","WorldCat Record")</f>
        <v>WorldCat Record</v>
      </c>
      <c r="AX2593" s="3" t="s">
        <v>21504</v>
      </c>
      <c r="AY2593" s="3" t="s">
        <v>21505</v>
      </c>
      <c r="AZ2593" s="3" t="s">
        <v>21506</v>
      </c>
      <c r="BA2593" s="3" t="s">
        <v>21506</v>
      </c>
      <c r="BB2593" s="3" t="s">
        <v>21510</v>
      </c>
      <c r="BC2593" s="3" t="s">
        <v>82</v>
      </c>
      <c r="BD2593" s="3" t="s">
        <v>70</v>
      </c>
      <c r="BE2593" s="3" t="s">
        <v>21508</v>
      </c>
      <c r="BF2593" s="3" t="s">
        <v>21510</v>
      </c>
      <c r="BG2593" s="3" t="s">
        <v>21511</v>
      </c>
    </row>
    <row r="2594" spans="1:59" ht="60" x14ac:dyDescent="0.25">
      <c r="A2594" s="2" t="s">
        <v>59</v>
      </c>
      <c r="B2594" s="2" t="s">
        <v>60</v>
      </c>
      <c r="C2594" s="2" t="s">
        <v>21500</v>
      </c>
      <c r="D2594" s="2" t="s">
        <v>21501</v>
      </c>
      <c r="E2594" s="2" t="s">
        <v>21502</v>
      </c>
      <c r="G2594" s="3" t="s">
        <v>63</v>
      </c>
      <c r="I2594" s="3" t="s">
        <v>62</v>
      </c>
      <c r="J2594" s="3" t="s">
        <v>63</v>
      </c>
      <c r="K2594" s="3" t="s">
        <v>64</v>
      </c>
      <c r="L2594" s="2" t="s">
        <v>20715</v>
      </c>
      <c r="M2594" s="2" t="s">
        <v>21357</v>
      </c>
      <c r="N2594" s="3" t="s">
        <v>313</v>
      </c>
      <c r="O2594" s="2" t="s">
        <v>590</v>
      </c>
      <c r="P2594" s="3" t="s">
        <v>66</v>
      </c>
      <c r="Q2594" s="2" t="s">
        <v>21358</v>
      </c>
      <c r="R2594" s="3" t="s">
        <v>67</v>
      </c>
      <c r="S2594" s="4">
        <v>5</v>
      </c>
      <c r="T2594" s="4">
        <v>17</v>
      </c>
      <c r="U2594" s="5" t="s">
        <v>21512</v>
      </c>
      <c r="V2594" s="5" t="s">
        <v>21503</v>
      </c>
      <c r="W2594" s="5" t="s">
        <v>69</v>
      </c>
      <c r="X2594" s="5" t="s">
        <v>69</v>
      </c>
      <c r="Y2594" s="4">
        <v>121</v>
      </c>
      <c r="Z2594" s="4">
        <v>9</v>
      </c>
      <c r="AA2594" s="4">
        <v>145</v>
      </c>
      <c r="AB2594" s="4">
        <v>3</v>
      </c>
      <c r="AC2594" s="4">
        <v>19</v>
      </c>
      <c r="AD2594" s="4">
        <v>21</v>
      </c>
      <c r="AE2594" s="4">
        <v>164</v>
      </c>
      <c r="AF2594" s="4">
        <v>0</v>
      </c>
      <c r="AG2594" s="4">
        <v>8</v>
      </c>
      <c r="AH2594" s="4">
        <v>20</v>
      </c>
      <c r="AI2594" s="4">
        <v>115</v>
      </c>
      <c r="AJ2594" s="4">
        <v>2</v>
      </c>
      <c r="AK2594" s="4">
        <v>28</v>
      </c>
      <c r="AL2594" s="4">
        <v>13</v>
      </c>
      <c r="AM2594" s="4">
        <v>63</v>
      </c>
      <c r="AN2594" s="4">
        <v>0</v>
      </c>
      <c r="AO2594" s="4">
        <v>3</v>
      </c>
      <c r="AP2594" s="4">
        <v>2</v>
      </c>
      <c r="AQ2594" s="4">
        <v>55</v>
      </c>
      <c r="AR2594" s="3" t="s">
        <v>63</v>
      </c>
      <c r="AS2594" s="3" t="s">
        <v>63</v>
      </c>
      <c r="AT2594" s="3" t="s">
        <v>63</v>
      </c>
      <c r="AV2594" s="6" t="str">
        <f>HYPERLINK("http://mcgill.on.worldcat.org/oclc/449866125","Catalog Record")</f>
        <v>Catalog Record</v>
      </c>
      <c r="AW2594" s="6" t="str">
        <f>HYPERLINK("http://www.worldcat.org/oclc/449866125","WorldCat Record")</f>
        <v>WorldCat Record</v>
      </c>
      <c r="AX2594" s="3" t="s">
        <v>21504</v>
      </c>
      <c r="AY2594" s="3" t="s">
        <v>21505</v>
      </c>
      <c r="AZ2594" s="3" t="s">
        <v>21506</v>
      </c>
      <c r="BA2594" s="3" t="s">
        <v>21506</v>
      </c>
      <c r="BB2594" s="3" t="s">
        <v>21513</v>
      </c>
      <c r="BC2594" s="3" t="s">
        <v>82</v>
      </c>
      <c r="BD2594" s="3" t="s">
        <v>70</v>
      </c>
      <c r="BE2594" s="3" t="s">
        <v>21508</v>
      </c>
      <c r="BF2594" s="3" t="s">
        <v>21513</v>
      </c>
      <c r="BG2594" s="3" t="s">
        <v>21514</v>
      </c>
    </row>
    <row r="2595" spans="1:59" ht="60" x14ac:dyDescent="0.25">
      <c r="A2595" s="2" t="s">
        <v>59</v>
      </c>
      <c r="B2595" s="2" t="s">
        <v>60</v>
      </c>
      <c r="C2595" s="2" t="s">
        <v>21515</v>
      </c>
      <c r="D2595" s="2" t="s">
        <v>21516</v>
      </c>
      <c r="E2595" s="2" t="s">
        <v>21517</v>
      </c>
      <c r="G2595" s="3" t="s">
        <v>63</v>
      </c>
      <c r="I2595" s="3" t="s">
        <v>63</v>
      </c>
      <c r="J2595" s="3" t="s">
        <v>62</v>
      </c>
      <c r="K2595" s="3" t="s">
        <v>64</v>
      </c>
      <c r="L2595" s="2" t="s">
        <v>20779</v>
      </c>
      <c r="M2595" s="2" t="s">
        <v>21518</v>
      </c>
      <c r="N2595" s="3" t="s">
        <v>2765</v>
      </c>
      <c r="O2595" s="2" t="s">
        <v>1605</v>
      </c>
      <c r="P2595" s="3" t="s">
        <v>66</v>
      </c>
      <c r="Q2595" s="2" t="s">
        <v>21519</v>
      </c>
      <c r="R2595" s="3" t="s">
        <v>67</v>
      </c>
      <c r="S2595" s="4">
        <v>0</v>
      </c>
      <c r="T2595" s="4">
        <v>0</v>
      </c>
      <c r="W2595" s="5" t="s">
        <v>69</v>
      </c>
      <c r="X2595" s="5" t="s">
        <v>69</v>
      </c>
      <c r="Y2595" s="4">
        <v>166</v>
      </c>
      <c r="Z2595" s="4">
        <v>11</v>
      </c>
      <c r="AA2595" s="4">
        <v>93</v>
      </c>
      <c r="AB2595" s="4">
        <v>1</v>
      </c>
      <c r="AC2595" s="4">
        <v>14</v>
      </c>
      <c r="AD2595" s="4">
        <v>47</v>
      </c>
      <c r="AE2595" s="4">
        <v>147</v>
      </c>
      <c r="AF2595" s="4">
        <v>0</v>
      </c>
      <c r="AG2595" s="4">
        <v>8</v>
      </c>
      <c r="AH2595" s="4">
        <v>43</v>
      </c>
      <c r="AI2595" s="4">
        <v>110</v>
      </c>
      <c r="AJ2595" s="4">
        <v>7</v>
      </c>
      <c r="AK2595" s="4">
        <v>23</v>
      </c>
      <c r="AL2595" s="4">
        <v>29</v>
      </c>
      <c r="AM2595" s="4">
        <v>59</v>
      </c>
      <c r="AN2595" s="4">
        <v>0</v>
      </c>
      <c r="AO2595" s="4">
        <v>2</v>
      </c>
      <c r="AP2595" s="4">
        <v>7</v>
      </c>
      <c r="AQ2595" s="4">
        <v>45</v>
      </c>
      <c r="AR2595" s="3" t="s">
        <v>63</v>
      </c>
      <c r="AS2595" s="3" t="s">
        <v>63</v>
      </c>
      <c r="AT2595" s="3" t="s">
        <v>63</v>
      </c>
      <c r="AV2595" s="6" t="str">
        <f>HYPERLINK("http://mcgill.on.worldcat.org/oclc/875252783","Catalog Record")</f>
        <v>Catalog Record</v>
      </c>
      <c r="AW2595" s="6" t="str">
        <f>HYPERLINK("http://www.worldcat.org/oclc/875252783","WorldCat Record")</f>
        <v>WorldCat Record</v>
      </c>
      <c r="AX2595" s="3" t="s">
        <v>21494</v>
      </c>
      <c r="AY2595" s="3" t="s">
        <v>21520</v>
      </c>
      <c r="AZ2595" s="3" t="s">
        <v>21521</v>
      </c>
      <c r="BA2595" s="3" t="s">
        <v>21521</v>
      </c>
      <c r="BB2595" s="3" t="s">
        <v>21522</v>
      </c>
      <c r="BC2595" s="3" t="s">
        <v>82</v>
      </c>
      <c r="BD2595" s="3" t="s">
        <v>70</v>
      </c>
      <c r="BE2595" s="3" t="s">
        <v>21523</v>
      </c>
      <c r="BF2595" s="3" t="s">
        <v>21522</v>
      </c>
      <c r="BG2595" s="3" t="s">
        <v>21524</v>
      </c>
    </row>
    <row r="2596" spans="1:59" ht="60" x14ac:dyDescent="0.25">
      <c r="A2596" s="2" t="s">
        <v>59</v>
      </c>
      <c r="B2596" s="2" t="s">
        <v>60</v>
      </c>
      <c r="C2596" s="2" t="s">
        <v>21525</v>
      </c>
      <c r="D2596" s="2" t="s">
        <v>21526</v>
      </c>
      <c r="E2596" s="2" t="s">
        <v>21527</v>
      </c>
      <c r="G2596" s="3" t="s">
        <v>63</v>
      </c>
      <c r="I2596" s="3" t="s">
        <v>63</v>
      </c>
      <c r="J2596" s="3" t="s">
        <v>63</v>
      </c>
      <c r="K2596" s="3" t="s">
        <v>64</v>
      </c>
      <c r="L2596" s="2" t="s">
        <v>20715</v>
      </c>
      <c r="M2596" s="2" t="s">
        <v>21528</v>
      </c>
      <c r="N2596" s="3" t="s">
        <v>758</v>
      </c>
      <c r="P2596" s="3" t="s">
        <v>548</v>
      </c>
      <c r="Q2596" s="2" t="s">
        <v>21529</v>
      </c>
      <c r="R2596" s="3" t="s">
        <v>67</v>
      </c>
      <c r="S2596" s="4">
        <v>7</v>
      </c>
      <c r="T2596" s="4">
        <v>7</v>
      </c>
      <c r="U2596" s="5" t="s">
        <v>17885</v>
      </c>
      <c r="V2596" s="5" t="s">
        <v>17885</v>
      </c>
      <c r="W2596" s="5" t="s">
        <v>69</v>
      </c>
      <c r="X2596" s="5" t="s">
        <v>69</v>
      </c>
      <c r="Y2596" s="4">
        <v>1</v>
      </c>
      <c r="Z2596" s="4">
        <v>1</v>
      </c>
      <c r="AA2596" s="4">
        <v>27</v>
      </c>
      <c r="AB2596" s="4">
        <v>1</v>
      </c>
      <c r="AC2596" s="4">
        <v>13</v>
      </c>
      <c r="AD2596" s="4">
        <v>0</v>
      </c>
      <c r="AE2596" s="4">
        <v>26</v>
      </c>
      <c r="AF2596" s="4">
        <v>0</v>
      </c>
      <c r="AG2596" s="4">
        <v>5</v>
      </c>
      <c r="AH2596" s="4">
        <v>0</v>
      </c>
      <c r="AI2596" s="4">
        <v>17</v>
      </c>
      <c r="AJ2596" s="4">
        <v>0</v>
      </c>
      <c r="AK2596" s="4">
        <v>10</v>
      </c>
      <c r="AL2596" s="4">
        <v>0</v>
      </c>
      <c r="AM2596" s="4">
        <v>10</v>
      </c>
      <c r="AN2596" s="4">
        <v>0</v>
      </c>
      <c r="AO2596" s="4">
        <v>0</v>
      </c>
      <c r="AP2596" s="4">
        <v>0</v>
      </c>
      <c r="AQ2596" s="4">
        <v>11</v>
      </c>
      <c r="AR2596" s="3" t="s">
        <v>63</v>
      </c>
      <c r="AS2596" s="3" t="s">
        <v>63</v>
      </c>
      <c r="AT2596" s="3" t="s">
        <v>62</v>
      </c>
      <c r="AU2596" s="6" t="str">
        <f>HYPERLINK("http://catalog.hathitrust.org/Record/008009278","HathiTrust Record")</f>
        <v>HathiTrust Record</v>
      </c>
      <c r="AV2596" s="6" t="str">
        <f>HYPERLINK("http://mcgill.on.worldcat.org/oclc/427512571","Catalog Record")</f>
        <v>Catalog Record</v>
      </c>
      <c r="AW2596" s="6" t="str">
        <f>HYPERLINK("http://www.worldcat.org/oclc/427512571","WorldCat Record")</f>
        <v>WorldCat Record</v>
      </c>
      <c r="AX2596" s="3" t="s">
        <v>21530</v>
      </c>
      <c r="AY2596" s="3" t="s">
        <v>21531</v>
      </c>
      <c r="AZ2596" s="3" t="s">
        <v>21532</v>
      </c>
      <c r="BA2596" s="3" t="s">
        <v>21532</v>
      </c>
      <c r="BB2596" s="3" t="s">
        <v>21533</v>
      </c>
      <c r="BC2596" s="3" t="s">
        <v>82</v>
      </c>
      <c r="BD2596" s="3" t="s">
        <v>70</v>
      </c>
      <c r="BE2596" s="3" t="s">
        <v>21534</v>
      </c>
      <c r="BF2596" s="3" t="s">
        <v>21533</v>
      </c>
      <c r="BG2596" s="3" t="s">
        <v>21535</v>
      </c>
    </row>
    <row r="2597" spans="1:59" ht="60" x14ac:dyDescent="0.25">
      <c r="A2597" s="2" t="s">
        <v>59</v>
      </c>
      <c r="B2597" s="2" t="s">
        <v>60</v>
      </c>
      <c r="C2597" s="2" t="s">
        <v>21536</v>
      </c>
      <c r="D2597" s="2" t="s">
        <v>21537</v>
      </c>
      <c r="E2597" s="2" t="s">
        <v>21538</v>
      </c>
      <c r="G2597" s="3" t="s">
        <v>63</v>
      </c>
      <c r="I2597" s="3" t="s">
        <v>63</v>
      </c>
      <c r="J2597" s="3" t="s">
        <v>63</v>
      </c>
      <c r="K2597" s="3" t="s">
        <v>64</v>
      </c>
      <c r="L2597" s="2" t="s">
        <v>20715</v>
      </c>
      <c r="M2597" s="2" t="s">
        <v>21539</v>
      </c>
      <c r="N2597" s="3" t="s">
        <v>758</v>
      </c>
      <c r="P2597" s="3" t="s">
        <v>548</v>
      </c>
      <c r="Q2597" s="2" t="s">
        <v>21540</v>
      </c>
      <c r="R2597" s="3" t="s">
        <v>67</v>
      </c>
      <c r="S2597" s="4">
        <v>20</v>
      </c>
      <c r="T2597" s="4">
        <v>20</v>
      </c>
      <c r="U2597" s="5" t="s">
        <v>2284</v>
      </c>
      <c r="V2597" s="5" t="s">
        <v>2284</v>
      </c>
      <c r="W2597" s="5" t="s">
        <v>69</v>
      </c>
      <c r="X2597" s="5" t="s">
        <v>69</v>
      </c>
      <c r="Y2597" s="4">
        <v>2</v>
      </c>
      <c r="Z2597" s="4">
        <v>1</v>
      </c>
      <c r="AA2597" s="4">
        <v>8</v>
      </c>
      <c r="AB2597" s="4">
        <v>1</v>
      </c>
      <c r="AC2597" s="4">
        <v>4</v>
      </c>
      <c r="AD2597" s="4">
        <v>0</v>
      </c>
      <c r="AE2597" s="4">
        <v>5</v>
      </c>
      <c r="AF2597" s="4">
        <v>0</v>
      </c>
      <c r="AG2597" s="4">
        <v>2</v>
      </c>
      <c r="AH2597" s="4">
        <v>0</v>
      </c>
      <c r="AI2597" s="4">
        <v>3</v>
      </c>
      <c r="AJ2597" s="4">
        <v>0</v>
      </c>
      <c r="AK2597" s="4">
        <v>4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5</v>
      </c>
      <c r="AR2597" s="3" t="s">
        <v>63</v>
      </c>
      <c r="AS2597" s="3" t="s">
        <v>63</v>
      </c>
      <c r="AT2597" s="3" t="s">
        <v>63</v>
      </c>
      <c r="AV2597" s="6" t="str">
        <f>HYPERLINK("http://mcgill.on.worldcat.org/oclc/61591244","Catalog Record")</f>
        <v>Catalog Record</v>
      </c>
      <c r="AW2597" s="6" t="str">
        <f>HYPERLINK("http://www.worldcat.org/oclc/61591244","WorldCat Record")</f>
        <v>WorldCat Record</v>
      </c>
      <c r="AX2597" s="3" t="s">
        <v>21541</v>
      </c>
      <c r="AY2597" s="3" t="s">
        <v>21542</v>
      </c>
      <c r="AZ2597" s="3" t="s">
        <v>21543</v>
      </c>
      <c r="BA2597" s="3" t="s">
        <v>21543</v>
      </c>
      <c r="BB2597" s="3" t="s">
        <v>21544</v>
      </c>
      <c r="BC2597" s="3" t="s">
        <v>82</v>
      </c>
      <c r="BD2597" s="3" t="s">
        <v>70</v>
      </c>
      <c r="BF2597" s="3" t="s">
        <v>21544</v>
      </c>
      <c r="BG2597" s="3" t="s">
        <v>21545</v>
      </c>
    </row>
    <row r="2598" spans="1:59" ht="60" x14ac:dyDescent="0.25">
      <c r="A2598" s="2" t="s">
        <v>59</v>
      </c>
      <c r="B2598" s="2" t="s">
        <v>60</v>
      </c>
      <c r="C2598" s="2" t="s">
        <v>21546</v>
      </c>
      <c r="D2598" s="2" t="s">
        <v>21547</v>
      </c>
      <c r="E2598" s="2" t="s">
        <v>21548</v>
      </c>
      <c r="G2598" s="3" t="s">
        <v>63</v>
      </c>
      <c r="I2598" s="3" t="s">
        <v>63</v>
      </c>
      <c r="J2598" s="3" t="s">
        <v>63</v>
      </c>
      <c r="K2598" s="3" t="s">
        <v>64</v>
      </c>
      <c r="M2598" s="2" t="s">
        <v>21549</v>
      </c>
      <c r="N2598" s="3" t="s">
        <v>326</v>
      </c>
      <c r="P2598" s="3" t="s">
        <v>90</v>
      </c>
      <c r="Q2598" s="2" t="s">
        <v>16155</v>
      </c>
      <c r="R2598" s="3" t="s">
        <v>67</v>
      </c>
      <c r="S2598" s="4">
        <v>3</v>
      </c>
      <c r="T2598" s="4">
        <v>3</v>
      </c>
      <c r="U2598" s="5" t="s">
        <v>3882</v>
      </c>
      <c r="V2598" s="5" t="s">
        <v>3882</v>
      </c>
      <c r="W2598" s="5" t="s">
        <v>69</v>
      </c>
      <c r="X2598" s="5" t="s">
        <v>69</v>
      </c>
      <c r="Y2598" s="4">
        <v>51</v>
      </c>
      <c r="Z2598" s="4">
        <v>5</v>
      </c>
      <c r="AA2598" s="4">
        <v>6</v>
      </c>
      <c r="AB2598" s="4">
        <v>1</v>
      </c>
      <c r="AC2598" s="4">
        <v>1</v>
      </c>
      <c r="AD2598" s="4">
        <v>32</v>
      </c>
      <c r="AE2598" s="4">
        <v>33</v>
      </c>
      <c r="AF2598" s="4">
        <v>0</v>
      </c>
      <c r="AG2598" s="4">
        <v>0</v>
      </c>
      <c r="AH2598" s="4">
        <v>31</v>
      </c>
      <c r="AI2598" s="4">
        <v>32</v>
      </c>
      <c r="AJ2598" s="4">
        <v>3</v>
      </c>
      <c r="AK2598" s="4">
        <v>3</v>
      </c>
      <c r="AL2598" s="4">
        <v>23</v>
      </c>
      <c r="AM2598" s="4">
        <v>24</v>
      </c>
      <c r="AN2598" s="4">
        <v>0</v>
      </c>
      <c r="AO2598" s="4">
        <v>0</v>
      </c>
      <c r="AP2598" s="4">
        <v>3</v>
      </c>
      <c r="AQ2598" s="4">
        <v>3</v>
      </c>
      <c r="AR2598" s="3" t="s">
        <v>63</v>
      </c>
      <c r="AS2598" s="3" t="s">
        <v>63</v>
      </c>
      <c r="AT2598" s="3" t="s">
        <v>63</v>
      </c>
      <c r="AV2598" s="6" t="str">
        <f>HYPERLINK("http://mcgill.on.worldcat.org/oclc/528766116","Catalog Record")</f>
        <v>Catalog Record</v>
      </c>
      <c r="AW2598" s="6" t="str">
        <f>HYPERLINK("http://www.worldcat.org/oclc/528766116","WorldCat Record")</f>
        <v>WorldCat Record</v>
      </c>
      <c r="AX2598" s="3" t="s">
        <v>21550</v>
      </c>
      <c r="AY2598" s="3" t="s">
        <v>21551</v>
      </c>
      <c r="AZ2598" s="3" t="s">
        <v>21552</v>
      </c>
      <c r="BA2598" s="3" t="s">
        <v>21552</v>
      </c>
      <c r="BB2598" s="3" t="s">
        <v>21553</v>
      </c>
      <c r="BC2598" s="3" t="s">
        <v>82</v>
      </c>
      <c r="BD2598" s="3" t="s">
        <v>70</v>
      </c>
      <c r="BE2598" s="3" t="s">
        <v>21554</v>
      </c>
      <c r="BF2598" s="3" t="s">
        <v>21553</v>
      </c>
      <c r="BG2598" s="3" t="s">
        <v>21555</v>
      </c>
    </row>
    <row r="2599" spans="1:59" ht="60" x14ac:dyDescent="0.25">
      <c r="A2599" s="2" t="s">
        <v>59</v>
      </c>
      <c r="B2599" s="2" t="s">
        <v>60</v>
      </c>
      <c r="C2599" s="2" t="s">
        <v>21556</v>
      </c>
      <c r="D2599" s="2" t="s">
        <v>21557</v>
      </c>
      <c r="E2599" s="2" t="s">
        <v>21558</v>
      </c>
      <c r="G2599" s="3" t="s">
        <v>63</v>
      </c>
      <c r="I2599" s="3" t="s">
        <v>63</v>
      </c>
      <c r="J2599" s="3" t="s">
        <v>63</v>
      </c>
      <c r="K2599" s="3" t="s">
        <v>64</v>
      </c>
      <c r="M2599" s="2" t="s">
        <v>21559</v>
      </c>
      <c r="N2599" s="3" t="s">
        <v>1916</v>
      </c>
      <c r="P2599" s="3" t="s">
        <v>66</v>
      </c>
      <c r="R2599" s="3" t="s">
        <v>67</v>
      </c>
      <c r="S2599" s="4">
        <v>99</v>
      </c>
      <c r="T2599" s="4">
        <v>99</v>
      </c>
      <c r="U2599" s="5" t="s">
        <v>17623</v>
      </c>
      <c r="V2599" s="5" t="s">
        <v>17623</v>
      </c>
      <c r="W2599" s="5" t="s">
        <v>69</v>
      </c>
      <c r="X2599" s="5" t="s">
        <v>69</v>
      </c>
      <c r="Y2599" s="4">
        <v>632</v>
      </c>
      <c r="Z2599" s="4">
        <v>33</v>
      </c>
      <c r="AA2599" s="4">
        <v>35</v>
      </c>
      <c r="AB2599" s="4">
        <v>3</v>
      </c>
      <c r="AC2599" s="4">
        <v>3</v>
      </c>
      <c r="AD2599" s="4">
        <v>122</v>
      </c>
      <c r="AE2599" s="4">
        <v>124</v>
      </c>
      <c r="AF2599" s="4">
        <v>2</v>
      </c>
      <c r="AG2599" s="4">
        <v>2</v>
      </c>
      <c r="AH2599" s="4">
        <v>104</v>
      </c>
      <c r="AI2599" s="4">
        <v>104</v>
      </c>
      <c r="AJ2599" s="4">
        <v>19</v>
      </c>
      <c r="AK2599" s="4">
        <v>19</v>
      </c>
      <c r="AL2599" s="4">
        <v>56</v>
      </c>
      <c r="AM2599" s="4">
        <v>56</v>
      </c>
      <c r="AN2599" s="4">
        <v>0</v>
      </c>
      <c r="AO2599" s="4">
        <v>0</v>
      </c>
      <c r="AP2599" s="4">
        <v>24</v>
      </c>
      <c r="AQ2599" s="4">
        <v>26</v>
      </c>
      <c r="AR2599" s="3" t="s">
        <v>63</v>
      </c>
      <c r="AS2599" s="3" t="s">
        <v>63</v>
      </c>
      <c r="AT2599" s="3" t="s">
        <v>62</v>
      </c>
      <c r="AU2599" s="6" t="str">
        <f>HYPERLINK("http://catalog.hathitrust.org/Record/000658225","HathiTrust Record")</f>
        <v>HathiTrust Record</v>
      </c>
      <c r="AV2599" s="6" t="str">
        <f>HYPERLINK("http://mcgill.on.worldcat.org/oclc/11624264","Catalog Record")</f>
        <v>Catalog Record</v>
      </c>
      <c r="AW2599" s="6" t="str">
        <f>HYPERLINK("http://www.worldcat.org/oclc/11624264","WorldCat Record")</f>
        <v>WorldCat Record</v>
      </c>
      <c r="AX2599" s="3" t="s">
        <v>21560</v>
      </c>
      <c r="AY2599" s="3" t="s">
        <v>21561</v>
      </c>
      <c r="AZ2599" s="3" t="s">
        <v>21562</v>
      </c>
      <c r="BA2599" s="3" t="s">
        <v>21562</v>
      </c>
      <c r="BB2599" s="3" t="s">
        <v>21563</v>
      </c>
      <c r="BC2599" s="3" t="s">
        <v>82</v>
      </c>
      <c r="BD2599" s="3" t="s">
        <v>538</v>
      </c>
      <c r="BE2599" s="3" t="s">
        <v>21564</v>
      </c>
      <c r="BF2599" s="3" t="s">
        <v>21563</v>
      </c>
      <c r="BG2599" s="3" t="s">
        <v>21565</v>
      </c>
    </row>
    <row r="2600" spans="1:59" ht="60" x14ac:dyDescent="0.25">
      <c r="A2600" s="2" t="s">
        <v>59</v>
      </c>
      <c r="B2600" s="2" t="s">
        <v>60</v>
      </c>
      <c r="C2600" s="2" t="s">
        <v>21566</v>
      </c>
      <c r="D2600" s="2" t="s">
        <v>21567</v>
      </c>
      <c r="E2600" s="2" t="s">
        <v>21568</v>
      </c>
      <c r="G2600" s="3" t="s">
        <v>63</v>
      </c>
      <c r="I2600" s="3" t="s">
        <v>62</v>
      </c>
      <c r="J2600" s="3" t="s">
        <v>63</v>
      </c>
      <c r="K2600" s="3" t="s">
        <v>64</v>
      </c>
      <c r="L2600" s="2" t="s">
        <v>11301</v>
      </c>
      <c r="M2600" s="2" t="s">
        <v>18567</v>
      </c>
      <c r="N2600" s="3" t="s">
        <v>918</v>
      </c>
      <c r="P2600" s="3" t="s">
        <v>66</v>
      </c>
      <c r="Q2600" s="2" t="s">
        <v>18568</v>
      </c>
      <c r="R2600" s="3" t="s">
        <v>67</v>
      </c>
      <c r="S2600" s="4">
        <v>55</v>
      </c>
      <c r="T2600" s="4">
        <v>74</v>
      </c>
      <c r="U2600" s="5" t="s">
        <v>9590</v>
      </c>
      <c r="V2600" s="5" t="s">
        <v>9590</v>
      </c>
      <c r="W2600" s="5" t="s">
        <v>69</v>
      </c>
      <c r="X2600" s="5" t="s">
        <v>69</v>
      </c>
      <c r="Y2600" s="4">
        <v>2139</v>
      </c>
      <c r="Z2600" s="4">
        <v>67</v>
      </c>
      <c r="AA2600" s="4">
        <v>76</v>
      </c>
      <c r="AB2600" s="4">
        <v>5</v>
      </c>
      <c r="AC2600" s="4">
        <v>6</v>
      </c>
      <c r="AD2600" s="4">
        <v>141</v>
      </c>
      <c r="AE2600" s="4">
        <v>147</v>
      </c>
      <c r="AF2600" s="4">
        <v>2</v>
      </c>
      <c r="AG2600" s="4">
        <v>2</v>
      </c>
      <c r="AH2600" s="4">
        <v>110</v>
      </c>
      <c r="AI2600" s="4">
        <v>112</v>
      </c>
      <c r="AJ2600" s="4">
        <v>18</v>
      </c>
      <c r="AK2600" s="4">
        <v>22</v>
      </c>
      <c r="AL2600" s="4">
        <v>60</v>
      </c>
      <c r="AM2600" s="4">
        <v>60</v>
      </c>
      <c r="AN2600" s="4">
        <v>3</v>
      </c>
      <c r="AO2600" s="4">
        <v>3</v>
      </c>
      <c r="AP2600" s="4">
        <v>37</v>
      </c>
      <c r="AQ2600" s="4">
        <v>43</v>
      </c>
      <c r="AR2600" s="3" t="s">
        <v>63</v>
      </c>
      <c r="AS2600" s="3" t="s">
        <v>63</v>
      </c>
      <c r="AT2600" s="3" t="s">
        <v>62</v>
      </c>
      <c r="AU2600" s="6" t="str">
        <f>HYPERLINK("http://catalog.hathitrust.org/Record/001224230","HathiTrust Record")</f>
        <v>HathiTrust Record</v>
      </c>
      <c r="AV2600" s="6" t="str">
        <f>HYPERLINK("http://mcgill.on.worldcat.org/oclc/2019843","Catalog Record")</f>
        <v>Catalog Record</v>
      </c>
      <c r="AW2600" s="6" t="str">
        <f>HYPERLINK("http://www.worldcat.org/oclc/2019843","WorldCat Record")</f>
        <v>WorldCat Record</v>
      </c>
      <c r="AX2600" s="3" t="s">
        <v>21569</v>
      </c>
      <c r="AY2600" s="3" t="s">
        <v>21570</v>
      </c>
      <c r="AZ2600" s="3" t="s">
        <v>21571</v>
      </c>
      <c r="BA2600" s="3" t="s">
        <v>21571</v>
      </c>
      <c r="BB2600" s="3" t="s">
        <v>21572</v>
      </c>
      <c r="BC2600" s="3" t="s">
        <v>82</v>
      </c>
      <c r="BD2600" s="3" t="s">
        <v>70</v>
      </c>
      <c r="BF2600" s="3" t="s">
        <v>21572</v>
      </c>
      <c r="BG2600" s="3" t="s">
        <v>21573</v>
      </c>
    </row>
    <row r="2601" spans="1:59" ht="60" x14ac:dyDescent="0.25">
      <c r="A2601" s="2" t="s">
        <v>59</v>
      </c>
      <c r="B2601" s="2" t="s">
        <v>60</v>
      </c>
      <c r="C2601" s="2" t="s">
        <v>21566</v>
      </c>
      <c r="D2601" s="2" t="s">
        <v>21567</v>
      </c>
      <c r="E2601" s="2" t="s">
        <v>21568</v>
      </c>
      <c r="G2601" s="3" t="s">
        <v>63</v>
      </c>
      <c r="I2601" s="3" t="s">
        <v>62</v>
      </c>
      <c r="J2601" s="3" t="s">
        <v>63</v>
      </c>
      <c r="K2601" s="3" t="s">
        <v>64</v>
      </c>
      <c r="L2601" s="2" t="s">
        <v>11301</v>
      </c>
      <c r="M2601" s="2" t="s">
        <v>18567</v>
      </c>
      <c r="N2601" s="3" t="s">
        <v>918</v>
      </c>
      <c r="P2601" s="3" t="s">
        <v>66</v>
      </c>
      <c r="Q2601" s="2" t="s">
        <v>18568</v>
      </c>
      <c r="R2601" s="3" t="s">
        <v>67</v>
      </c>
      <c r="S2601" s="4">
        <v>19</v>
      </c>
      <c r="T2601" s="4">
        <v>74</v>
      </c>
      <c r="U2601" s="5" t="s">
        <v>10641</v>
      </c>
      <c r="V2601" s="5" t="s">
        <v>9590</v>
      </c>
      <c r="W2601" s="5" t="s">
        <v>69</v>
      </c>
      <c r="X2601" s="5" t="s">
        <v>69</v>
      </c>
      <c r="Y2601" s="4">
        <v>2139</v>
      </c>
      <c r="Z2601" s="4">
        <v>67</v>
      </c>
      <c r="AA2601" s="4">
        <v>76</v>
      </c>
      <c r="AB2601" s="4">
        <v>5</v>
      </c>
      <c r="AC2601" s="4">
        <v>6</v>
      </c>
      <c r="AD2601" s="4">
        <v>141</v>
      </c>
      <c r="AE2601" s="4">
        <v>147</v>
      </c>
      <c r="AF2601" s="4">
        <v>2</v>
      </c>
      <c r="AG2601" s="4">
        <v>2</v>
      </c>
      <c r="AH2601" s="4">
        <v>110</v>
      </c>
      <c r="AI2601" s="4">
        <v>112</v>
      </c>
      <c r="AJ2601" s="4">
        <v>18</v>
      </c>
      <c r="AK2601" s="4">
        <v>22</v>
      </c>
      <c r="AL2601" s="4">
        <v>60</v>
      </c>
      <c r="AM2601" s="4">
        <v>60</v>
      </c>
      <c r="AN2601" s="4">
        <v>3</v>
      </c>
      <c r="AO2601" s="4">
        <v>3</v>
      </c>
      <c r="AP2601" s="4">
        <v>37</v>
      </c>
      <c r="AQ2601" s="4">
        <v>43</v>
      </c>
      <c r="AR2601" s="3" t="s">
        <v>63</v>
      </c>
      <c r="AS2601" s="3" t="s">
        <v>63</v>
      </c>
      <c r="AT2601" s="3" t="s">
        <v>62</v>
      </c>
      <c r="AU2601" s="6" t="str">
        <f>HYPERLINK("http://catalog.hathitrust.org/Record/001224230","HathiTrust Record")</f>
        <v>HathiTrust Record</v>
      </c>
      <c r="AV2601" s="6" t="str">
        <f>HYPERLINK("http://mcgill.on.worldcat.org/oclc/2019843","Catalog Record")</f>
        <v>Catalog Record</v>
      </c>
      <c r="AW2601" s="6" t="str">
        <f>HYPERLINK("http://www.worldcat.org/oclc/2019843","WorldCat Record")</f>
        <v>WorldCat Record</v>
      </c>
      <c r="AX2601" s="3" t="s">
        <v>21569</v>
      </c>
      <c r="AY2601" s="3" t="s">
        <v>21570</v>
      </c>
      <c r="AZ2601" s="3" t="s">
        <v>21571</v>
      </c>
      <c r="BA2601" s="3" t="s">
        <v>21571</v>
      </c>
      <c r="BB2601" s="3" t="s">
        <v>21574</v>
      </c>
      <c r="BC2601" s="3" t="s">
        <v>82</v>
      </c>
      <c r="BD2601" s="3" t="s">
        <v>70</v>
      </c>
      <c r="BF2601" s="3" t="s">
        <v>21574</v>
      </c>
      <c r="BG2601" s="3" t="s">
        <v>21575</v>
      </c>
    </row>
    <row r="2602" spans="1:59" ht="60" x14ac:dyDescent="0.25">
      <c r="A2602" s="2" t="s">
        <v>59</v>
      </c>
      <c r="B2602" s="2" t="s">
        <v>60</v>
      </c>
      <c r="C2602" s="2" t="s">
        <v>21576</v>
      </c>
      <c r="D2602" s="2" t="s">
        <v>21577</v>
      </c>
      <c r="E2602" s="2" t="s">
        <v>21578</v>
      </c>
      <c r="G2602" s="3" t="s">
        <v>63</v>
      </c>
      <c r="I2602" s="3" t="s">
        <v>63</v>
      </c>
      <c r="J2602" s="3" t="s">
        <v>63</v>
      </c>
      <c r="K2602" s="3" t="s">
        <v>64</v>
      </c>
      <c r="L2602" s="2" t="s">
        <v>21579</v>
      </c>
      <c r="M2602" s="2" t="s">
        <v>21580</v>
      </c>
      <c r="N2602" s="3" t="s">
        <v>7161</v>
      </c>
      <c r="P2602" s="3" t="s">
        <v>66</v>
      </c>
      <c r="R2602" s="3" t="s">
        <v>67</v>
      </c>
      <c r="S2602" s="4">
        <v>10</v>
      </c>
      <c r="T2602" s="4">
        <v>10</v>
      </c>
      <c r="U2602" s="5" t="s">
        <v>20857</v>
      </c>
      <c r="V2602" s="5" t="s">
        <v>20857</v>
      </c>
      <c r="W2602" s="5" t="s">
        <v>69</v>
      </c>
      <c r="X2602" s="5" t="s">
        <v>69</v>
      </c>
      <c r="Y2602" s="4">
        <v>138</v>
      </c>
      <c r="Z2602" s="4">
        <v>6</v>
      </c>
      <c r="AA2602" s="4">
        <v>34</v>
      </c>
      <c r="AB2602" s="4">
        <v>2</v>
      </c>
      <c r="AC2602" s="4">
        <v>3</v>
      </c>
      <c r="AD2602" s="4">
        <v>48</v>
      </c>
      <c r="AE2602" s="4">
        <v>132</v>
      </c>
      <c r="AF2602" s="4">
        <v>1</v>
      </c>
      <c r="AG2602" s="4">
        <v>2</v>
      </c>
      <c r="AH2602" s="4">
        <v>43</v>
      </c>
      <c r="AI2602" s="4">
        <v>109</v>
      </c>
      <c r="AJ2602" s="4">
        <v>4</v>
      </c>
      <c r="AK2602" s="4">
        <v>20</v>
      </c>
      <c r="AL2602" s="4">
        <v>29</v>
      </c>
      <c r="AM2602" s="4">
        <v>62</v>
      </c>
      <c r="AN2602" s="4">
        <v>0</v>
      </c>
      <c r="AO2602" s="4">
        <v>0</v>
      </c>
      <c r="AP2602" s="4">
        <v>4</v>
      </c>
      <c r="AQ2602" s="4">
        <v>29</v>
      </c>
      <c r="AR2602" s="3" t="s">
        <v>63</v>
      </c>
      <c r="AS2602" s="3" t="s">
        <v>63</v>
      </c>
      <c r="AT2602" s="3" t="s">
        <v>63</v>
      </c>
      <c r="AU2602" s="6" t="str">
        <f>HYPERLINK("http://catalog.hathitrust.org/Record/001227837","HathiTrust Record")</f>
        <v>HathiTrust Record</v>
      </c>
      <c r="AV2602" s="6" t="str">
        <f>HYPERLINK("http://mcgill.on.worldcat.org/oclc/4812409","Catalog Record")</f>
        <v>Catalog Record</v>
      </c>
      <c r="AW2602" s="6" t="str">
        <f>HYPERLINK("http://www.worldcat.org/oclc/4812409","WorldCat Record")</f>
        <v>WorldCat Record</v>
      </c>
      <c r="AX2602" s="3" t="s">
        <v>21581</v>
      </c>
      <c r="AY2602" s="3" t="s">
        <v>21582</v>
      </c>
      <c r="AZ2602" s="3" t="s">
        <v>21583</v>
      </c>
      <c r="BA2602" s="3" t="s">
        <v>21583</v>
      </c>
      <c r="BB2602" s="3" t="s">
        <v>21584</v>
      </c>
      <c r="BC2602" s="3" t="s">
        <v>82</v>
      </c>
      <c r="BD2602" s="3" t="s">
        <v>70</v>
      </c>
      <c r="BF2602" s="3" t="s">
        <v>21584</v>
      </c>
      <c r="BG2602" s="3" t="s">
        <v>21585</v>
      </c>
    </row>
    <row r="2603" spans="1:59" ht="60" x14ac:dyDescent="0.25">
      <c r="A2603" s="2" t="s">
        <v>59</v>
      </c>
      <c r="B2603" s="2" t="s">
        <v>60</v>
      </c>
      <c r="C2603" s="2" t="s">
        <v>21586</v>
      </c>
      <c r="D2603" s="2" t="s">
        <v>21587</v>
      </c>
      <c r="E2603" s="2" t="s">
        <v>21588</v>
      </c>
      <c r="G2603" s="3" t="s">
        <v>63</v>
      </c>
      <c r="I2603" s="3" t="s">
        <v>63</v>
      </c>
      <c r="J2603" s="3" t="s">
        <v>63</v>
      </c>
      <c r="K2603" s="3" t="s">
        <v>64</v>
      </c>
      <c r="L2603" s="2" t="s">
        <v>20715</v>
      </c>
      <c r="M2603" s="2" t="s">
        <v>21589</v>
      </c>
      <c r="N2603" s="3" t="s">
        <v>693</v>
      </c>
      <c r="P2603" s="3" t="s">
        <v>66</v>
      </c>
      <c r="Q2603" s="2" t="s">
        <v>9341</v>
      </c>
      <c r="R2603" s="3" t="s">
        <v>67</v>
      </c>
      <c r="S2603" s="4">
        <v>8</v>
      </c>
      <c r="T2603" s="4">
        <v>8</v>
      </c>
      <c r="U2603" s="5" t="s">
        <v>1229</v>
      </c>
      <c r="V2603" s="5" t="s">
        <v>1229</v>
      </c>
      <c r="W2603" s="5" t="s">
        <v>69</v>
      </c>
      <c r="X2603" s="5" t="s">
        <v>69</v>
      </c>
      <c r="Y2603" s="4">
        <v>278</v>
      </c>
      <c r="Z2603" s="4">
        <v>16</v>
      </c>
      <c r="AA2603" s="4">
        <v>16</v>
      </c>
      <c r="AB2603" s="4">
        <v>1</v>
      </c>
      <c r="AC2603" s="4">
        <v>1</v>
      </c>
      <c r="AD2603" s="4">
        <v>71</v>
      </c>
      <c r="AE2603" s="4">
        <v>75</v>
      </c>
      <c r="AF2603" s="4">
        <v>0</v>
      </c>
      <c r="AG2603" s="4">
        <v>0</v>
      </c>
      <c r="AH2603" s="4">
        <v>64</v>
      </c>
      <c r="AI2603" s="4">
        <v>68</v>
      </c>
      <c r="AJ2603" s="4">
        <v>8</v>
      </c>
      <c r="AK2603" s="4">
        <v>8</v>
      </c>
      <c r="AL2603" s="4">
        <v>37</v>
      </c>
      <c r="AM2603" s="4">
        <v>40</v>
      </c>
      <c r="AN2603" s="4">
        <v>0</v>
      </c>
      <c r="AO2603" s="4">
        <v>0</v>
      </c>
      <c r="AP2603" s="4">
        <v>9</v>
      </c>
      <c r="AQ2603" s="4">
        <v>9</v>
      </c>
      <c r="AR2603" s="3" t="s">
        <v>63</v>
      </c>
      <c r="AS2603" s="3" t="s">
        <v>63</v>
      </c>
      <c r="AT2603" s="3" t="s">
        <v>62</v>
      </c>
      <c r="AU2603" s="6" t="str">
        <f>HYPERLINK("http://catalog.hathitrust.org/Record/007145301","HathiTrust Record")</f>
        <v>HathiTrust Record</v>
      </c>
      <c r="AV2603" s="6" t="str">
        <f>HYPERLINK("http://mcgill.on.worldcat.org/oclc/57002828","Catalog Record")</f>
        <v>Catalog Record</v>
      </c>
      <c r="AW2603" s="6" t="str">
        <f>HYPERLINK("http://www.worldcat.org/oclc/57002828","WorldCat Record")</f>
        <v>WorldCat Record</v>
      </c>
      <c r="AX2603" s="3" t="s">
        <v>21590</v>
      </c>
      <c r="AY2603" s="3" t="s">
        <v>21591</v>
      </c>
      <c r="AZ2603" s="3" t="s">
        <v>21592</v>
      </c>
      <c r="BA2603" s="3" t="s">
        <v>21592</v>
      </c>
      <c r="BB2603" s="3" t="s">
        <v>21593</v>
      </c>
      <c r="BC2603" s="3" t="s">
        <v>82</v>
      </c>
      <c r="BD2603" s="3" t="s">
        <v>70</v>
      </c>
      <c r="BE2603" s="3" t="s">
        <v>21594</v>
      </c>
      <c r="BF2603" s="3" t="s">
        <v>21593</v>
      </c>
      <c r="BG2603" s="3" t="s">
        <v>21595</v>
      </c>
    </row>
    <row r="2604" spans="1:59" ht="60" x14ac:dyDescent="0.25">
      <c r="A2604" s="2" t="s">
        <v>59</v>
      </c>
      <c r="B2604" s="2" t="s">
        <v>60</v>
      </c>
      <c r="C2604" s="2" t="s">
        <v>21596</v>
      </c>
      <c r="D2604" s="2" t="s">
        <v>21597</v>
      </c>
      <c r="E2604" s="2" t="s">
        <v>21598</v>
      </c>
      <c r="G2604" s="3" t="s">
        <v>63</v>
      </c>
      <c r="I2604" s="3" t="s">
        <v>63</v>
      </c>
      <c r="J2604" s="3" t="s">
        <v>62</v>
      </c>
      <c r="K2604" s="3" t="s">
        <v>64</v>
      </c>
      <c r="L2604" s="2" t="s">
        <v>20779</v>
      </c>
      <c r="M2604" s="2" t="s">
        <v>21599</v>
      </c>
      <c r="N2604" s="3" t="s">
        <v>2535</v>
      </c>
      <c r="P2604" s="3" t="s">
        <v>66</v>
      </c>
      <c r="R2604" s="3" t="s">
        <v>67</v>
      </c>
      <c r="S2604" s="4">
        <v>12</v>
      </c>
      <c r="T2604" s="4">
        <v>12</v>
      </c>
      <c r="U2604" s="5" t="s">
        <v>21318</v>
      </c>
      <c r="V2604" s="5" t="s">
        <v>21318</v>
      </c>
      <c r="W2604" s="5" t="s">
        <v>69</v>
      </c>
      <c r="X2604" s="5" t="s">
        <v>69</v>
      </c>
      <c r="Y2604" s="4">
        <v>719</v>
      </c>
      <c r="Z2604" s="4">
        <v>35</v>
      </c>
      <c r="AA2604" s="4">
        <v>61</v>
      </c>
      <c r="AB2604" s="4">
        <v>4</v>
      </c>
      <c r="AC2604" s="4">
        <v>12</v>
      </c>
      <c r="AD2604" s="4">
        <v>122</v>
      </c>
      <c r="AE2604" s="4">
        <v>145</v>
      </c>
      <c r="AF2604" s="4">
        <v>2</v>
      </c>
      <c r="AG2604" s="4">
        <v>5</v>
      </c>
      <c r="AH2604" s="4">
        <v>103</v>
      </c>
      <c r="AI2604" s="4">
        <v>111</v>
      </c>
      <c r="AJ2604" s="4">
        <v>17</v>
      </c>
      <c r="AK2604" s="4">
        <v>23</v>
      </c>
      <c r="AL2604" s="4">
        <v>57</v>
      </c>
      <c r="AM2604" s="4">
        <v>61</v>
      </c>
      <c r="AN2604" s="4">
        <v>0</v>
      </c>
      <c r="AO2604" s="4">
        <v>2</v>
      </c>
      <c r="AP2604" s="4">
        <v>23</v>
      </c>
      <c r="AQ2604" s="4">
        <v>38</v>
      </c>
      <c r="AR2604" s="3" t="s">
        <v>63</v>
      </c>
      <c r="AS2604" s="3" t="s">
        <v>63</v>
      </c>
      <c r="AT2604" s="3" t="s">
        <v>62</v>
      </c>
      <c r="AU2604" s="6" t="str">
        <f>HYPERLINK("http://catalog.hathitrust.org/Record/000011420","HathiTrust Record")</f>
        <v>HathiTrust Record</v>
      </c>
      <c r="AV2604" s="6" t="str">
        <f>HYPERLINK("http://mcgill.on.worldcat.org/oclc/727326","Catalog Record")</f>
        <v>Catalog Record</v>
      </c>
      <c r="AW2604" s="6" t="str">
        <f>HYPERLINK("http://www.worldcat.org/oclc/727326","WorldCat Record")</f>
        <v>WorldCat Record</v>
      </c>
      <c r="AX2604" s="3" t="s">
        <v>21600</v>
      </c>
      <c r="AY2604" s="3" t="s">
        <v>21601</v>
      </c>
      <c r="AZ2604" s="3" t="s">
        <v>21602</v>
      </c>
      <c r="BA2604" s="3" t="s">
        <v>21602</v>
      </c>
      <c r="BB2604" s="3" t="s">
        <v>21603</v>
      </c>
      <c r="BC2604" s="3" t="s">
        <v>82</v>
      </c>
      <c r="BD2604" s="3" t="s">
        <v>538</v>
      </c>
      <c r="BE2604" s="3" t="s">
        <v>21604</v>
      </c>
      <c r="BF2604" s="3" t="s">
        <v>21603</v>
      </c>
      <c r="BG2604" s="3" t="s">
        <v>21605</v>
      </c>
    </row>
    <row r="2605" spans="1:59" ht="60" x14ac:dyDescent="0.25">
      <c r="A2605" s="2" t="s">
        <v>59</v>
      </c>
      <c r="B2605" s="2" t="s">
        <v>60</v>
      </c>
      <c r="C2605" s="2" t="s">
        <v>21606</v>
      </c>
      <c r="D2605" s="2" t="s">
        <v>21607</v>
      </c>
      <c r="E2605" s="2" t="s">
        <v>21608</v>
      </c>
      <c r="F2605" s="3" t="s">
        <v>582</v>
      </c>
      <c r="G2605" s="3" t="s">
        <v>62</v>
      </c>
      <c r="I2605" s="3" t="s">
        <v>63</v>
      </c>
      <c r="J2605" s="3" t="s">
        <v>63</v>
      </c>
      <c r="K2605" s="3" t="s">
        <v>64</v>
      </c>
      <c r="L2605" s="2" t="s">
        <v>20715</v>
      </c>
      <c r="M2605" s="2" t="s">
        <v>21609</v>
      </c>
      <c r="N2605" s="3" t="s">
        <v>204</v>
      </c>
      <c r="O2605" s="2" t="s">
        <v>11242</v>
      </c>
      <c r="P2605" s="3" t="s">
        <v>90</v>
      </c>
      <c r="Q2605" s="2" t="s">
        <v>21610</v>
      </c>
      <c r="R2605" s="3" t="s">
        <v>67</v>
      </c>
      <c r="S2605" s="4">
        <v>0</v>
      </c>
      <c r="T2605" s="4">
        <v>3</v>
      </c>
      <c r="V2605" s="5" t="s">
        <v>21611</v>
      </c>
      <c r="W2605" s="5" t="s">
        <v>69</v>
      </c>
      <c r="X2605" s="5" t="s">
        <v>69</v>
      </c>
      <c r="Y2605" s="4">
        <v>53</v>
      </c>
      <c r="Z2605" s="4">
        <v>7</v>
      </c>
      <c r="AA2605" s="4">
        <v>7</v>
      </c>
      <c r="AB2605" s="4">
        <v>1</v>
      </c>
      <c r="AC2605" s="4">
        <v>1</v>
      </c>
      <c r="AD2605" s="4">
        <v>38</v>
      </c>
      <c r="AE2605" s="4">
        <v>38</v>
      </c>
      <c r="AF2605" s="4">
        <v>0</v>
      </c>
      <c r="AG2605" s="4">
        <v>0</v>
      </c>
      <c r="AH2605" s="4">
        <v>38</v>
      </c>
      <c r="AI2605" s="4">
        <v>38</v>
      </c>
      <c r="AJ2605" s="4">
        <v>5</v>
      </c>
      <c r="AK2605" s="4">
        <v>5</v>
      </c>
      <c r="AL2605" s="4">
        <v>28</v>
      </c>
      <c r="AM2605" s="4">
        <v>28</v>
      </c>
      <c r="AN2605" s="4">
        <v>0</v>
      </c>
      <c r="AO2605" s="4">
        <v>0</v>
      </c>
      <c r="AP2605" s="4">
        <v>5</v>
      </c>
      <c r="AQ2605" s="4">
        <v>5</v>
      </c>
      <c r="AR2605" s="3" t="s">
        <v>63</v>
      </c>
      <c r="AS2605" s="3" t="s">
        <v>63</v>
      </c>
      <c r="AT2605" s="3" t="s">
        <v>62</v>
      </c>
      <c r="AU2605" s="6" t="str">
        <f>HYPERLINK("http://catalog.hathitrust.org/Record/003149041","HathiTrust Record")</f>
        <v>HathiTrust Record</v>
      </c>
      <c r="AV2605" s="6" t="str">
        <f>HYPERLINK("http://mcgill.on.worldcat.org/oclc/37282070","Catalog Record")</f>
        <v>Catalog Record</v>
      </c>
      <c r="AW2605" s="6" t="str">
        <f>HYPERLINK("http://www.worldcat.org/oclc/37282070","WorldCat Record")</f>
        <v>WorldCat Record</v>
      </c>
      <c r="AX2605" s="3" t="s">
        <v>21612</v>
      </c>
      <c r="AY2605" s="3" t="s">
        <v>21613</v>
      </c>
      <c r="AZ2605" s="3" t="s">
        <v>21614</v>
      </c>
      <c r="BA2605" s="3" t="s">
        <v>21614</v>
      </c>
      <c r="BB2605" s="3" t="s">
        <v>21615</v>
      </c>
      <c r="BC2605" s="3" t="s">
        <v>82</v>
      </c>
      <c r="BD2605" s="3" t="s">
        <v>70</v>
      </c>
      <c r="BE2605" s="3" t="s">
        <v>21616</v>
      </c>
      <c r="BF2605" s="3" t="s">
        <v>21615</v>
      </c>
      <c r="BG2605" s="3" t="s">
        <v>21617</v>
      </c>
    </row>
    <row r="2606" spans="1:59" ht="60" x14ac:dyDescent="0.25">
      <c r="A2606" s="2" t="s">
        <v>59</v>
      </c>
      <c r="B2606" s="2" t="s">
        <v>60</v>
      </c>
      <c r="C2606" s="2" t="s">
        <v>21606</v>
      </c>
      <c r="D2606" s="2" t="s">
        <v>21607</v>
      </c>
      <c r="E2606" s="2" t="s">
        <v>21608</v>
      </c>
      <c r="F2606" s="3" t="s">
        <v>571</v>
      </c>
      <c r="G2606" s="3" t="s">
        <v>62</v>
      </c>
      <c r="I2606" s="3" t="s">
        <v>63</v>
      </c>
      <c r="J2606" s="3" t="s">
        <v>63</v>
      </c>
      <c r="K2606" s="3" t="s">
        <v>64</v>
      </c>
      <c r="L2606" s="2" t="s">
        <v>20715</v>
      </c>
      <c r="M2606" s="2" t="s">
        <v>21609</v>
      </c>
      <c r="N2606" s="3" t="s">
        <v>204</v>
      </c>
      <c r="O2606" s="2" t="s">
        <v>11242</v>
      </c>
      <c r="P2606" s="3" t="s">
        <v>90</v>
      </c>
      <c r="Q2606" s="2" t="s">
        <v>21610</v>
      </c>
      <c r="R2606" s="3" t="s">
        <v>67</v>
      </c>
      <c r="S2606" s="4">
        <v>2</v>
      </c>
      <c r="T2606" s="4">
        <v>3</v>
      </c>
      <c r="U2606" s="5" t="s">
        <v>21611</v>
      </c>
      <c r="V2606" s="5" t="s">
        <v>21611</v>
      </c>
      <c r="W2606" s="5" t="s">
        <v>69</v>
      </c>
      <c r="X2606" s="5" t="s">
        <v>69</v>
      </c>
      <c r="Y2606" s="4">
        <v>53</v>
      </c>
      <c r="Z2606" s="4">
        <v>7</v>
      </c>
      <c r="AA2606" s="4">
        <v>7</v>
      </c>
      <c r="AB2606" s="4">
        <v>1</v>
      </c>
      <c r="AC2606" s="4">
        <v>1</v>
      </c>
      <c r="AD2606" s="4">
        <v>38</v>
      </c>
      <c r="AE2606" s="4">
        <v>38</v>
      </c>
      <c r="AF2606" s="4">
        <v>0</v>
      </c>
      <c r="AG2606" s="4">
        <v>0</v>
      </c>
      <c r="AH2606" s="4">
        <v>38</v>
      </c>
      <c r="AI2606" s="4">
        <v>38</v>
      </c>
      <c r="AJ2606" s="4">
        <v>5</v>
      </c>
      <c r="AK2606" s="4">
        <v>5</v>
      </c>
      <c r="AL2606" s="4">
        <v>28</v>
      </c>
      <c r="AM2606" s="4">
        <v>28</v>
      </c>
      <c r="AN2606" s="4">
        <v>0</v>
      </c>
      <c r="AO2606" s="4">
        <v>0</v>
      </c>
      <c r="AP2606" s="4">
        <v>5</v>
      </c>
      <c r="AQ2606" s="4">
        <v>5</v>
      </c>
      <c r="AR2606" s="3" t="s">
        <v>63</v>
      </c>
      <c r="AS2606" s="3" t="s">
        <v>63</v>
      </c>
      <c r="AT2606" s="3" t="s">
        <v>62</v>
      </c>
      <c r="AU2606" s="6" t="str">
        <f>HYPERLINK("http://catalog.hathitrust.org/Record/003149041","HathiTrust Record")</f>
        <v>HathiTrust Record</v>
      </c>
      <c r="AV2606" s="6" t="str">
        <f>HYPERLINK("http://mcgill.on.worldcat.org/oclc/37282070","Catalog Record")</f>
        <v>Catalog Record</v>
      </c>
      <c r="AW2606" s="6" t="str">
        <f>HYPERLINK("http://www.worldcat.org/oclc/37282070","WorldCat Record")</f>
        <v>WorldCat Record</v>
      </c>
      <c r="AX2606" s="3" t="s">
        <v>21612</v>
      </c>
      <c r="AY2606" s="3" t="s">
        <v>21613</v>
      </c>
      <c r="AZ2606" s="3" t="s">
        <v>21614</v>
      </c>
      <c r="BA2606" s="3" t="s">
        <v>21614</v>
      </c>
      <c r="BB2606" s="3" t="s">
        <v>21618</v>
      </c>
      <c r="BC2606" s="3" t="s">
        <v>82</v>
      </c>
      <c r="BD2606" s="3" t="s">
        <v>70</v>
      </c>
      <c r="BE2606" s="3" t="s">
        <v>21616</v>
      </c>
      <c r="BF2606" s="3" t="s">
        <v>21618</v>
      </c>
      <c r="BG2606" s="3" t="s">
        <v>21619</v>
      </c>
    </row>
    <row r="2607" spans="1:59" ht="60" x14ac:dyDescent="0.25">
      <c r="A2607" s="2" t="s">
        <v>59</v>
      </c>
      <c r="B2607" s="2" t="s">
        <v>60</v>
      </c>
      <c r="C2607" s="2" t="s">
        <v>21606</v>
      </c>
      <c r="D2607" s="2" t="s">
        <v>21607</v>
      </c>
      <c r="E2607" s="2" t="s">
        <v>21608</v>
      </c>
      <c r="F2607" s="3" t="s">
        <v>4437</v>
      </c>
      <c r="G2607" s="3" t="s">
        <v>62</v>
      </c>
      <c r="I2607" s="3" t="s">
        <v>63</v>
      </c>
      <c r="J2607" s="3" t="s">
        <v>63</v>
      </c>
      <c r="K2607" s="3" t="s">
        <v>64</v>
      </c>
      <c r="L2607" s="2" t="s">
        <v>20715</v>
      </c>
      <c r="M2607" s="2" t="s">
        <v>21609</v>
      </c>
      <c r="N2607" s="3" t="s">
        <v>204</v>
      </c>
      <c r="O2607" s="2" t="s">
        <v>11242</v>
      </c>
      <c r="P2607" s="3" t="s">
        <v>90</v>
      </c>
      <c r="Q2607" s="2" t="s">
        <v>21610</v>
      </c>
      <c r="R2607" s="3" t="s">
        <v>67</v>
      </c>
      <c r="S2607" s="4">
        <v>1</v>
      </c>
      <c r="T2607" s="4">
        <v>3</v>
      </c>
      <c r="U2607" s="5" t="s">
        <v>21620</v>
      </c>
      <c r="V2607" s="5" t="s">
        <v>21611</v>
      </c>
      <c r="W2607" s="5" t="s">
        <v>69</v>
      </c>
      <c r="X2607" s="5" t="s">
        <v>69</v>
      </c>
      <c r="Y2607" s="4">
        <v>53</v>
      </c>
      <c r="Z2607" s="4">
        <v>7</v>
      </c>
      <c r="AA2607" s="4">
        <v>7</v>
      </c>
      <c r="AB2607" s="4">
        <v>1</v>
      </c>
      <c r="AC2607" s="4">
        <v>1</v>
      </c>
      <c r="AD2607" s="4">
        <v>38</v>
      </c>
      <c r="AE2607" s="4">
        <v>38</v>
      </c>
      <c r="AF2607" s="4">
        <v>0</v>
      </c>
      <c r="AG2607" s="4">
        <v>0</v>
      </c>
      <c r="AH2607" s="4">
        <v>38</v>
      </c>
      <c r="AI2607" s="4">
        <v>38</v>
      </c>
      <c r="AJ2607" s="4">
        <v>5</v>
      </c>
      <c r="AK2607" s="4">
        <v>5</v>
      </c>
      <c r="AL2607" s="4">
        <v>28</v>
      </c>
      <c r="AM2607" s="4">
        <v>28</v>
      </c>
      <c r="AN2607" s="4">
        <v>0</v>
      </c>
      <c r="AO2607" s="4">
        <v>0</v>
      </c>
      <c r="AP2607" s="4">
        <v>5</v>
      </c>
      <c r="AQ2607" s="4">
        <v>5</v>
      </c>
      <c r="AR2607" s="3" t="s">
        <v>63</v>
      </c>
      <c r="AS2607" s="3" t="s">
        <v>63</v>
      </c>
      <c r="AT2607" s="3" t="s">
        <v>62</v>
      </c>
      <c r="AU2607" s="6" t="str">
        <f>HYPERLINK("http://catalog.hathitrust.org/Record/003149041","HathiTrust Record")</f>
        <v>HathiTrust Record</v>
      </c>
      <c r="AV2607" s="6" t="str">
        <f>HYPERLINK("http://mcgill.on.worldcat.org/oclc/37282070","Catalog Record")</f>
        <v>Catalog Record</v>
      </c>
      <c r="AW2607" s="6" t="str">
        <f>HYPERLINK("http://www.worldcat.org/oclc/37282070","WorldCat Record")</f>
        <v>WorldCat Record</v>
      </c>
      <c r="AX2607" s="3" t="s">
        <v>21612</v>
      </c>
      <c r="AY2607" s="3" t="s">
        <v>21613</v>
      </c>
      <c r="AZ2607" s="3" t="s">
        <v>21614</v>
      </c>
      <c r="BA2607" s="3" t="s">
        <v>21614</v>
      </c>
      <c r="BB2607" s="3" t="s">
        <v>21621</v>
      </c>
      <c r="BC2607" s="3" t="s">
        <v>82</v>
      </c>
      <c r="BD2607" s="3" t="s">
        <v>70</v>
      </c>
      <c r="BE2607" s="3" t="s">
        <v>21616</v>
      </c>
      <c r="BF2607" s="3" t="s">
        <v>21621</v>
      </c>
      <c r="BG2607" s="3" t="s">
        <v>21622</v>
      </c>
    </row>
    <row r="2608" spans="1:59" ht="60" x14ac:dyDescent="0.25">
      <c r="A2608" s="2" t="s">
        <v>59</v>
      </c>
      <c r="B2608" s="2" t="s">
        <v>60</v>
      </c>
      <c r="C2608" s="2" t="s">
        <v>21623</v>
      </c>
      <c r="D2608" s="2" t="s">
        <v>21624</v>
      </c>
      <c r="E2608" s="2" t="s">
        <v>21625</v>
      </c>
      <c r="G2608" s="3" t="s">
        <v>63</v>
      </c>
      <c r="I2608" s="3" t="s">
        <v>63</v>
      </c>
      <c r="J2608" s="3" t="s">
        <v>63</v>
      </c>
      <c r="K2608" s="3" t="s">
        <v>64</v>
      </c>
      <c r="M2608" s="2" t="s">
        <v>21626</v>
      </c>
      <c r="N2608" s="3" t="s">
        <v>629</v>
      </c>
      <c r="P2608" s="3" t="s">
        <v>90</v>
      </c>
      <c r="R2608" s="3" t="s">
        <v>67</v>
      </c>
      <c r="S2608" s="4">
        <v>1</v>
      </c>
      <c r="T2608" s="4">
        <v>1</v>
      </c>
      <c r="U2608" s="5" t="s">
        <v>20730</v>
      </c>
      <c r="V2608" s="5" t="s">
        <v>20730</v>
      </c>
      <c r="W2608" s="5" t="s">
        <v>69</v>
      </c>
      <c r="X2608" s="5" t="s">
        <v>69</v>
      </c>
      <c r="Y2608" s="4">
        <v>26</v>
      </c>
      <c r="Z2608" s="4">
        <v>5</v>
      </c>
      <c r="AA2608" s="4">
        <v>5</v>
      </c>
      <c r="AB2608" s="4">
        <v>1</v>
      </c>
      <c r="AC2608" s="4">
        <v>1</v>
      </c>
      <c r="AD2608" s="4">
        <v>16</v>
      </c>
      <c r="AE2608" s="4">
        <v>16</v>
      </c>
      <c r="AF2608" s="4">
        <v>0</v>
      </c>
      <c r="AG2608" s="4">
        <v>0</v>
      </c>
      <c r="AH2608" s="4">
        <v>16</v>
      </c>
      <c r="AI2608" s="4">
        <v>16</v>
      </c>
      <c r="AJ2608" s="4">
        <v>3</v>
      </c>
      <c r="AK2608" s="4">
        <v>3</v>
      </c>
      <c r="AL2608" s="4">
        <v>12</v>
      </c>
      <c r="AM2608" s="4">
        <v>12</v>
      </c>
      <c r="AN2608" s="4">
        <v>0</v>
      </c>
      <c r="AO2608" s="4">
        <v>0</v>
      </c>
      <c r="AP2608" s="4">
        <v>3</v>
      </c>
      <c r="AQ2608" s="4">
        <v>3</v>
      </c>
      <c r="AR2608" s="3" t="s">
        <v>63</v>
      </c>
      <c r="AS2608" s="3" t="s">
        <v>63</v>
      </c>
      <c r="AT2608" s="3" t="s">
        <v>63</v>
      </c>
      <c r="AV2608" s="6" t="str">
        <f>HYPERLINK("http://mcgill.on.worldcat.org/oclc/711245280","Catalog Record")</f>
        <v>Catalog Record</v>
      </c>
      <c r="AW2608" s="6" t="str">
        <f>HYPERLINK("http://www.worldcat.org/oclc/711245280","WorldCat Record")</f>
        <v>WorldCat Record</v>
      </c>
      <c r="AX2608" s="3" t="s">
        <v>21627</v>
      </c>
      <c r="AY2608" s="3" t="s">
        <v>21628</v>
      </c>
      <c r="AZ2608" s="3" t="s">
        <v>21629</v>
      </c>
      <c r="BA2608" s="3" t="s">
        <v>21629</v>
      </c>
      <c r="BB2608" s="3" t="s">
        <v>21630</v>
      </c>
      <c r="BC2608" s="3" t="s">
        <v>82</v>
      </c>
      <c r="BD2608" s="3" t="s">
        <v>70</v>
      </c>
      <c r="BE2608" s="3" t="s">
        <v>21631</v>
      </c>
      <c r="BF2608" s="3" t="s">
        <v>21630</v>
      </c>
      <c r="BG2608" s="3" t="s">
        <v>21632</v>
      </c>
    </row>
    <row r="2609" spans="1:59" ht="75" x14ac:dyDescent="0.25">
      <c r="A2609" s="2" t="s">
        <v>59</v>
      </c>
      <c r="B2609" s="2" t="s">
        <v>60</v>
      </c>
      <c r="C2609" s="2" t="s">
        <v>21633</v>
      </c>
      <c r="D2609" s="2" t="s">
        <v>21634</v>
      </c>
      <c r="E2609" s="2" t="s">
        <v>21635</v>
      </c>
      <c r="G2609" s="3" t="s">
        <v>63</v>
      </c>
      <c r="I2609" s="3" t="s">
        <v>63</v>
      </c>
      <c r="J2609" s="3" t="s">
        <v>63</v>
      </c>
      <c r="K2609" s="3" t="s">
        <v>64</v>
      </c>
      <c r="M2609" s="2" t="s">
        <v>21636</v>
      </c>
      <c r="N2609" s="3" t="s">
        <v>374</v>
      </c>
      <c r="P2609" s="3" t="s">
        <v>66</v>
      </c>
      <c r="R2609" s="3" t="s">
        <v>67</v>
      </c>
      <c r="S2609" s="4">
        <v>23</v>
      </c>
      <c r="T2609" s="4">
        <v>23</v>
      </c>
      <c r="U2609" s="5" t="s">
        <v>5434</v>
      </c>
      <c r="V2609" s="5" t="s">
        <v>5434</v>
      </c>
      <c r="W2609" s="5" t="s">
        <v>69</v>
      </c>
      <c r="X2609" s="5" t="s">
        <v>69</v>
      </c>
      <c r="Y2609" s="4">
        <v>253</v>
      </c>
      <c r="Z2609" s="4">
        <v>16</v>
      </c>
      <c r="AA2609" s="4">
        <v>21</v>
      </c>
      <c r="AB2609" s="4">
        <v>2</v>
      </c>
      <c r="AC2609" s="4">
        <v>2</v>
      </c>
      <c r="AD2609" s="4">
        <v>96</v>
      </c>
      <c r="AE2609" s="4">
        <v>103</v>
      </c>
      <c r="AF2609" s="4">
        <v>1</v>
      </c>
      <c r="AG2609" s="4">
        <v>1</v>
      </c>
      <c r="AH2609" s="4">
        <v>91</v>
      </c>
      <c r="AI2609" s="4">
        <v>95</v>
      </c>
      <c r="AJ2609" s="4">
        <v>10</v>
      </c>
      <c r="AK2609" s="4">
        <v>14</v>
      </c>
      <c r="AL2609" s="4">
        <v>52</v>
      </c>
      <c r="AM2609" s="4">
        <v>53</v>
      </c>
      <c r="AN2609" s="4">
        <v>0</v>
      </c>
      <c r="AO2609" s="4">
        <v>0</v>
      </c>
      <c r="AP2609" s="4">
        <v>11</v>
      </c>
      <c r="AQ2609" s="4">
        <v>16</v>
      </c>
      <c r="AR2609" s="3" t="s">
        <v>63</v>
      </c>
      <c r="AS2609" s="3" t="s">
        <v>63</v>
      </c>
      <c r="AT2609" s="3" t="s">
        <v>62</v>
      </c>
      <c r="AU2609" s="6" t="str">
        <f>HYPERLINK("http://catalog.hathitrust.org/Record/003025803","HathiTrust Record")</f>
        <v>HathiTrust Record</v>
      </c>
      <c r="AV2609" s="6" t="str">
        <f>HYPERLINK("http://mcgill.on.worldcat.org/oclc/32013978","Catalog Record")</f>
        <v>Catalog Record</v>
      </c>
      <c r="AW2609" s="6" t="str">
        <f>HYPERLINK("http://www.worldcat.org/oclc/32013978","WorldCat Record")</f>
        <v>WorldCat Record</v>
      </c>
      <c r="AX2609" s="3" t="s">
        <v>21637</v>
      </c>
      <c r="AY2609" s="3" t="s">
        <v>21638</v>
      </c>
      <c r="AZ2609" s="3" t="s">
        <v>21639</v>
      </c>
      <c r="BA2609" s="3" t="s">
        <v>21639</v>
      </c>
      <c r="BB2609" s="3" t="s">
        <v>21640</v>
      </c>
      <c r="BC2609" s="3" t="s">
        <v>82</v>
      </c>
      <c r="BD2609" s="3" t="s">
        <v>70</v>
      </c>
      <c r="BE2609" s="3" t="s">
        <v>21641</v>
      </c>
      <c r="BF2609" s="3" t="s">
        <v>21640</v>
      </c>
      <c r="BG2609" s="3" t="s">
        <v>21642</v>
      </c>
    </row>
    <row r="2610" spans="1:59" ht="60" x14ac:dyDescent="0.25">
      <c r="A2610" s="2" t="s">
        <v>59</v>
      </c>
      <c r="B2610" s="2" t="s">
        <v>60</v>
      </c>
      <c r="C2610" s="2" t="s">
        <v>21643</v>
      </c>
      <c r="D2610" s="2" t="s">
        <v>21644</v>
      </c>
      <c r="E2610" s="2" t="s">
        <v>21645</v>
      </c>
      <c r="G2610" s="3" t="s">
        <v>63</v>
      </c>
      <c r="I2610" s="3" t="s">
        <v>63</v>
      </c>
      <c r="J2610" s="3" t="s">
        <v>63</v>
      </c>
      <c r="K2610" s="3" t="s">
        <v>64</v>
      </c>
      <c r="L2610" s="2" t="s">
        <v>18301</v>
      </c>
      <c r="M2610" s="2" t="s">
        <v>21646</v>
      </c>
      <c r="N2610" s="3" t="s">
        <v>693</v>
      </c>
      <c r="P2610" s="3" t="s">
        <v>66</v>
      </c>
      <c r="R2610" s="3" t="s">
        <v>67</v>
      </c>
      <c r="S2610" s="4">
        <v>7</v>
      </c>
      <c r="T2610" s="4">
        <v>7</v>
      </c>
      <c r="U2610" s="5" t="s">
        <v>415</v>
      </c>
      <c r="V2610" s="5" t="s">
        <v>415</v>
      </c>
      <c r="W2610" s="5" t="s">
        <v>69</v>
      </c>
      <c r="X2610" s="5" t="s">
        <v>69</v>
      </c>
      <c r="Y2610" s="4">
        <v>118</v>
      </c>
      <c r="Z2610" s="4">
        <v>15</v>
      </c>
      <c r="AA2610" s="4">
        <v>22</v>
      </c>
      <c r="AB2610" s="4">
        <v>1</v>
      </c>
      <c r="AC2610" s="4">
        <v>2</v>
      </c>
      <c r="AD2610" s="4">
        <v>42</v>
      </c>
      <c r="AE2610" s="4">
        <v>59</v>
      </c>
      <c r="AF2610" s="4">
        <v>0</v>
      </c>
      <c r="AG2610" s="4">
        <v>1</v>
      </c>
      <c r="AH2610" s="4">
        <v>38</v>
      </c>
      <c r="AI2610" s="4">
        <v>52</v>
      </c>
      <c r="AJ2610" s="4">
        <v>7</v>
      </c>
      <c r="AK2610" s="4">
        <v>9</v>
      </c>
      <c r="AL2610" s="4">
        <v>27</v>
      </c>
      <c r="AM2610" s="4">
        <v>37</v>
      </c>
      <c r="AN2610" s="4">
        <v>0</v>
      </c>
      <c r="AO2610" s="4">
        <v>1</v>
      </c>
      <c r="AP2610" s="4">
        <v>8</v>
      </c>
      <c r="AQ2610" s="4">
        <v>11</v>
      </c>
      <c r="AR2610" s="3" t="s">
        <v>63</v>
      </c>
      <c r="AS2610" s="3" t="s">
        <v>63</v>
      </c>
      <c r="AT2610" s="3" t="s">
        <v>62</v>
      </c>
      <c r="AU2610" s="6" t="str">
        <f>HYPERLINK("http://catalog.hathitrust.org/Record/004925474","HathiTrust Record")</f>
        <v>HathiTrust Record</v>
      </c>
      <c r="AV2610" s="6" t="str">
        <f>HYPERLINK("http://mcgill.on.worldcat.org/oclc/55970368","Catalog Record")</f>
        <v>Catalog Record</v>
      </c>
      <c r="AW2610" s="6" t="str">
        <f>HYPERLINK("http://www.worldcat.org/oclc/55970368","WorldCat Record")</f>
        <v>WorldCat Record</v>
      </c>
      <c r="AX2610" s="3" t="s">
        <v>21647</v>
      </c>
      <c r="AY2610" s="3" t="s">
        <v>21648</v>
      </c>
      <c r="AZ2610" s="3" t="s">
        <v>21649</v>
      </c>
      <c r="BA2610" s="3" t="s">
        <v>21649</v>
      </c>
      <c r="BB2610" s="3" t="s">
        <v>21650</v>
      </c>
      <c r="BC2610" s="3" t="s">
        <v>82</v>
      </c>
      <c r="BD2610" s="3" t="s">
        <v>70</v>
      </c>
      <c r="BE2610" s="3" t="s">
        <v>21651</v>
      </c>
      <c r="BF2610" s="3" t="s">
        <v>21650</v>
      </c>
      <c r="BG2610" s="3" t="s">
        <v>21652</v>
      </c>
    </row>
    <row r="2611" spans="1:59" ht="60" x14ac:dyDescent="0.25">
      <c r="A2611" s="2" t="s">
        <v>59</v>
      </c>
      <c r="B2611" s="2" t="s">
        <v>60</v>
      </c>
      <c r="C2611" s="2" t="s">
        <v>21653</v>
      </c>
      <c r="D2611" s="2" t="s">
        <v>21654</v>
      </c>
      <c r="E2611" s="2" t="s">
        <v>21655</v>
      </c>
      <c r="G2611" s="3" t="s">
        <v>63</v>
      </c>
      <c r="I2611" s="3" t="s">
        <v>63</v>
      </c>
      <c r="J2611" s="3" t="s">
        <v>63</v>
      </c>
      <c r="K2611" s="3" t="s">
        <v>64</v>
      </c>
      <c r="L2611" s="2" t="s">
        <v>21656</v>
      </c>
      <c r="M2611" s="2" t="s">
        <v>21657</v>
      </c>
      <c r="N2611" s="3" t="s">
        <v>2144</v>
      </c>
      <c r="P2611" s="3" t="s">
        <v>90</v>
      </c>
      <c r="R2611" s="3" t="s">
        <v>67</v>
      </c>
      <c r="S2611" s="4">
        <v>6</v>
      </c>
      <c r="T2611" s="4">
        <v>6</v>
      </c>
      <c r="U2611" s="5" t="s">
        <v>5434</v>
      </c>
      <c r="V2611" s="5" t="s">
        <v>5434</v>
      </c>
      <c r="W2611" s="5" t="s">
        <v>69</v>
      </c>
      <c r="X2611" s="5" t="s">
        <v>69</v>
      </c>
      <c r="Y2611" s="4">
        <v>116</v>
      </c>
      <c r="Z2611" s="4">
        <v>5</v>
      </c>
      <c r="AA2611" s="4">
        <v>14</v>
      </c>
      <c r="AB2611" s="4">
        <v>1</v>
      </c>
      <c r="AC2611" s="4">
        <v>1</v>
      </c>
      <c r="AD2611" s="4">
        <v>65</v>
      </c>
      <c r="AE2611" s="4">
        <v>79</v>
      </c>
      <c r="AF2611" s="4">
        <v>0</v>
      </c>
      <c r="AG2611" s="4">
        <v>0</v>
      </c>
      <c r="AH2611" s="4">
        <v>63</v>
      </c>
      <c r="AI2611" s="4">
        <v>75</v>
      </c>
      <c r="AJ2611" s="4">
        <v>3</v>
      </c>
      <c r="AK2611" s="4">
        <v>11</v>
      </c>
      <c r="AL2611" s="4">
        <v>45</v>
      </c>
      <c r="AM2611" s="4">
        <v>47</v>
      </c>
      <c r="AN2611" s="4">
        <v>0</v>
      </c>
      <c r="AO2611" s="4">
        <v>0</v>
      </c>
      <c r="AP2611" s="4">
        <v>3</v>
      </c>
      <c r="AQ2611" s="4">
        <v>11</v>
      </c>
      <c r="AR2611" s="3" t="s">
        <v>63</v>
      </c>
      <c r="AS2611" s="3" t="s">
        <v>63</v>
      </c>
      <c r="AT2611" s="3" t="s">
        <v>62</v>
      </c>
      <c r="AU2611" s="6" t="str">
        <f>HYPERLINK("http://catalog.hathitrust.org/Record/001847368","HathiTrust Record")</f>
        <v>HathiTrust Record</v>
      </c>
      <c r="AV2611" s="6" t="str">
        <f>HYPERLINK("http://mcgill.on.worldcat.org/oclc/3963014","Catalog Record")</f>
        <v>Catalog Record</v>
      </c>
      <c r="AW2611" s="6" t="str">
        <f>HYPERLINK("http://www.worldcat.org/oclc/3963014","WorldCat Record")</f>
        <v>WorldCat Record</v>
      </c>
      <c r="AX2611" s="3" t="s">
        <v>21658</v>
      </c>
      <c r="AY2611" s="3" t="s">
        <v>21659</v>
      </c>
      <c r="AZ2611" s="3" t="s">
        <v>21660</v>
      </c>
      <c r="BA2611" s="3" t="s">
        <v>21660</v>
      </c>
      <c r="BB2611" s="3" t="s">
        <v>21661</v>
      </c>
      <c r="BC2611" s="3" t="s">
        <v>82</v>
      </c>
      <c r="BD2611" s="3" t="s">
        <v>70</v>
      </c>
      <c r="BF2611" s="3" t="s">
        <v>21661</v>
      </c>
      <c r="BG2611" s="3" t="s">
        <v>21662</v>
      </c>
    </row>
    <row r="2612" spans="1:59" ht="60" x14ac:dyDescent="0.25">
      <c r="A2612" s="2" t="s">
        <v>59</v>
      </c>
      <c r="B2612" s="2" t="s">
        <v>60</v>
      </c>
      <c r="C2612" s="2" t="s">
        <v>21663</v>
      </c>
      <c r="D2612" s="2" t="s">
        <v>21664</v>
      </c>
      <c r="E2612" s="2" t="s">
        <v>21665</v>
      </c>
      <c r="G2612" s="3" t="s">
        <v>63</v>
      </c>
      <c r="I2612" s="3" t="s">
        <v>63</v>
      </c>
      <c r="J2612" s="3" t="s">
        <v>62</v>
      </c>
      <c r="K2612" s="3" t="s">
        <v>64</v>
      </c>
      <c r="L2612" s="2" t="s">
        <v>21656</v>
      </c>
      <c r="M2612" s="2" t="s">
        <v>21666</v>
      </c>
      <c r="N2612" s="3" t="s">
        <v>743</v>
      </c>
      <c r="O2612" s="2" t="s">
        <v>21667</v>
      </c>
      <c r="P2612" s="3" t="s">
        <v>90</v>
      </c>
      <c r="R2612" s="3" t="s">
        <v>67</v>
      </c>
      <c r="S2612" s="4">
        <v>6</v>
      </c>
      <c r="T2612" s="4">
        <v>6</v>
      </c>
      <c r="U2612" s="5" t="s">
        <v>5434</v>
      </c>
      <c r="V2612" s="5" t="s">
        <v>5434</v>
      </c>
      <c r="W2612" s="5" t="s">
        <v>69</v>
      </c>
      <c r="X2612" s="5" t="s">
        <v>69</v>
      </c>
      <c r="Y2612" s="4">
        <v>68</v>
      </c>
      <c r="Z2612" s="4">
        <v>5</v>
      </c>
      <c r="AA2612" s="4">
        <v>12</v>
      </c>
      <c r="AB2612" s="4">
        <v>1</v>
      </c>
      <c r="AC2612" s="4">
        <v>1</v>
      </c>
      <c r="AD2612" s="4">
        <v>45</v>
      </c>
      <c r="AE2612" s="4">
        <v>62</v>
      </c>
      <c r="AF2612" s="4">
        <v>0</v>
      </c>
      <c r="AG2612" s="4">
        <v>0</v>
      </c>
      <c r="AH2612" s="4">
        <v>41</v>
      </c>
      <c r="AI2612" s="4">
        <v>56</v>
      </c>
      <c r="AJ2612" s="4">
        <v>4</v>
      </c>
      <c r="AK2612" s="4">
        <v>9</v>
      </c>
      <c r="AL2612" s="4">
        <v>26</v>
      </c>
      <c r="AM2612" s="4">
        <v>37</v>
      </c>
      <c r="AN2612" s="4">
        <v>0</v>
      </c>
      <c r="AO2612" s="4">
        <v>3</v>
      </c>
      <c r="AP2612" s="4">
        <v>4</v>
      </c>
      <c r="AQ2612" s="4">
        <v>9</v>
      </c>
      <c r="AR2612" s="3" t="s">
        <v>63</v>
      </c>
      <c r="AS2612" s="3" t="s">
        <v>63</v>
      </c>
      <c r="AT2612" s="3" t="s">
        <v>62</v>
      </c>
      <c r="AU2612" s="6" t="str">
        <f>HYPERLINK("http://catalog.hathitrust.org/Record/006148879","HathiTrust Record")</f>
        <v>HathiTrust Record</v>
      </c>
      <c r="AV2612" s="6" t="str">
        <f>HYPERLINK("http://mcgill.on.worldcat.org/oclc/4622631","Catalog Record")</f>
        <v>Catalog Record</v>
      </c>
      <c r="AW2612" s="6" t="str">
        <f>HYPERLINK("http://www.worldcat.org/oclc/4622631","WorldCat Record")</f>
        <v>WorldCat Record</v>
      </c>
      <c r="AX2612" s="3" t="s">
        <v>21668</v>
      </c>
      <c r="AY2612" s="3" t="s">
        <v>21669</v>
      </c>
      <c r="AZ2612" s="3" t="s">
        <v>21670</v>
      </c>
      <c r="BA2612" s="3" t="s">
        <v>21670</v>
      </c>
      <c r="BB2612" s="3" t="s">
        <v>21671</v>
      </c>
      <c r="BC2612" s="3" t="s">
        <v>82</v>
      </c>
      <c r="BD2612" s="3" t="s">
        <v>70</v>
      </c>
      <c r="BF2612" s="3" t="s">
        <v>21671</v>
      </c>
      <c r="BG2612" s="3" t="s">
        <v>21672</v>
      </c>
    </row>
    <row r="2613" spans="1:59" ht="60" x14ac:dyDescent="0.25">
      <c r="A2613" s="2" t="s">
        <v>59</v>
      </c>
      <c r="B2613" s="2" t="s">
        <v>60</v>
      </c>
      <c r="C2613" s="2" t="s">
        <v>21673</v>
      </c>
      <c r="D2613" s="2" t="s">
        <v>21674</v>
      </c>
      <c r="E2613" s="2" t="s">
        <v>21675</v>
      </c>
      <c r="G2613" s="3" t="s">
        <v>63</v>
      </c>
      <c r="I2613" s="3" t="s">
        <v>63</v>
      </c>
      <c r="J2613" s="3" t="s">
        <v>62</v>
      </c>
      <c r="K2613" s="3" t="s">
        <v>64</v>
      </c>
      <c r="L2613" s="2" t="s">
        <v>21676</v>
      </c>
      <c r="M2613" s="2" t="s">
        <v>21677</v>
      </c>
      <c r="N2613" s="3" t="s">
        <v>2283</v>
      </c>
      <c r="P2613" s="3" t="s">
        <v>66</v>
      </c>
      <c r="Q2613" s="2" t="s">
        <v>21678</v>
      </c>
      <c r="R2613" s="3" t="s">
        <v>67</v>
      </c>
      <c r="S2613" s="4">
        <v>19</v>
      </c>
      <c r="T2613" s="4">
        <v>19</v>
      </c>
      <c r="U2613" s="5" t="s">
        <v>5434</v>
      </c>
      <c r="V2613" s="5" t="s">
        <v>5434</v>
      </c>
      <c r="W2613" s="5" t="s">
        <v>69</v>
      </c>
      <c r="X2613" s="5" t="s">
        <v>69</v>
      </c>
      <c r="Y2613" s="4">
        <v>17</v>
      </c>
      <c r="Z2613" s="4">
        <v>3</v>
      </c>
      <c r="AA2613" s="4">
        <v>37</v>
      </c>
      <c r="AB2613" s="4">
        <v>1</v>
      </c>
      <c r="AC2613" s="4">
        <v>6</v>
      </c>
      <c r="AD2613" s="4">
        <v>5</v>
      </c>
      <c r="AE2613" s="4">
        <v>122</v>
      </c>
      <c r="AF2613" s="4">
        <v>0</v>
      </c>
      <c r="AG2613" s="4">
        <v>3</v>
      </c>
      <c r="AH2613" s="4">
        <v>5</v>
      </c>
      <c r="AI2613" s="4">
        <v>99</v>
      </c>
      <c r="AJ2613" s="4">
        <v>2</v>
      </c>
      <c r="AK2613" s="4">
        <v>19</v>
      </c>
      <c r="AL2613" s="4">
        <v>3</v>
      </c>
      <c r="AM2613" s="4">
        <v>57</v>
      </c>
      <c r="AN2613" s="4">
        <v>0</v>
      </c>
      <c r="AO2613" s="4">
        <v>0</v>
      </c>
      <c r="AP2613" s="4">
        <v>2</v>
      </c>
      <c r="AQ2613" s="4">
        <v>27</v>
      </c>
      <c r="AR2613" s="3" t="s">
        <v>63</v>
      </c>
      <c r="AS2613" s="3" t="s">
        <v>63</v>
      </c>
      <c r="AT2613" s="3" t="s">
        <v>63</v>
      </c>
      <c r="AV2613" s="6" t="str">
        <f>HYPERLINK("http://mcgill.on.worldcat.org/oclc/70307969","Catalog Record")</f>
        <v>Catalog Record</v>
      </c>
      <c r="AW2613" s="6" t="str">
        <f>HYPERLINK("http://www.worldcat.org/oclc/70307969","WorldCat Record")</f>
        <v>WorldCat Record</v>
      </c>
      <c r="AX2613" s="3" t="s">
        <v>21679</v>
      </c>
      <c r="AY2613" s="3" t="s">
        <v>21680</v>
      </c>
      <c r="AZ2613" s="3" t="s">
        <v>21681</v>
      </c>
      <c r="BA2613" s="3" t="s">
        <v>21681</v>
      </c>
      <c r="BB2613" s="3" t="s">
        <v>21682</v>
      </c>
      <c r="BC2613" s="3" t="s">
        <v>82</v>
      </c>
      <c r="BD2613" s="3" t="s">
        <v>70</v>
      </c>
      <c r="BF2613" s="3" t="s">
        <v>21682</v>
      </c>
      <c r="BG2613" s="3" t="s">
        <v>21683</v>
      </c>
    </row>
    <row r="2614" spans="1:59" ht="60" x14ac:dyDescent="0.25">
      <c r="A2614" s="2" t="s">
        <v>59</v>
      </c>
      <c r="B2614" s="2" t="s">
        <v>60</v>
      </c>
      <c r="C2614" s="2" t="s">
        <v>21684</v>
      </c>
      <c r="D2614" s="2" t="s">
        <v>21685</v>
      </c>
      <c r="E2614" s="2" t="s">
        <v>21686</v>
      </c>
      <c r="G2614" s="3" t="s">
        <v>63</v>
      </c>
      <c r="I2614" s="3" t="s">
        <v>63</v>
      </c>
      <c r="J2614" s="3" t="s">
        <v>63</v>
      </c>
      <c r="K2614" s="3" t="s">
        <v>64</v>
      </c>
      <c r="L2614" s="2" t="s">
        <v>20562</v>
      </c>
      <c r="M2614" s="2" t="s">
        <v>21687</v>
      </c>
      <c r="N2614" s="3" t="s">
        <v>154</v>
      </c>
      <c r="P2614" s="3" t="s">
        <v>90</v>
      </c>
      <c r="R2614" s="3" t="s">
        <v>67</v>
      </c>
      <c r="S2614" s="4">
        <v>6</v>
      </c>
      <c r="T2614" s="4">
        <v>6</v>
      </c>
      <c r="U2614" s="5" t="s">
        <v>5434</v>
      </c>
      <c r="V2614" s="5" t="s">
        <v>5434</v>
      </c>
      <c r="W2614" s="5" t="s">
        <v>69</v>
      </c>
      <c r="X2614" s="5" t="s">
        <v>69</v>
      </c>
      <c r="Y2614" s="4">
        <v>5</v>
      </c>
      <c r="Z2614" s="4">
        <v>4</v>
      </c>
      <c r="AA2614" s="4">
        <v>4</v>
      </c>
      <c r="AB2614" s="4">
        <v>1</v>
      </c>
      <c r="AC2614" s="4">
        <v>1</v>
      </c>
      <c r="AD2614" s="4">
        <v>3</v>
      </c>
      <c r="AE2614" s="4">
        <v>3</v>
      </c>
      <c r="AF2614" s="4">
        <v>0</v>
      </c>
      <c r="AG2614" s="4">
        <v>0</v>
      </c>
      <c r="AH2614" s="4">
        <v>1</v>
      </c>
      <c r="AI2614" s="4">
        <v>1</v>
      </c>
      <c r="AJ2614" s="4">
        <v>3</v>
      </c>
      <c r="AK2614" s="4">
        <v>3</v>
      </c>
      <c r="AL2614" s="4">
        <v>0</v>
      </c>
      <c r="AM2614" s="4">
        <v>0</v>
      </c>
      <c r="AN2614" s="4">
        <v>0</v>
      </c>
      <c r="AO2614" s="4">
        <v>0</v>
      </c>
      <c r="AP2614" s="4">
        <v>2</v>
      </c>
      <c r="AQ2614" s="4">
        <v>2</v>
      </c>
      <c r="AR2614" s="3" t="s">
        <v>63</v>
      </c>
      <c r="AS2614" s="3" t="s">
        <v>63</v>
      </c>
      <c r="AT2614" s="3" t="s">
        <v>62</v>
      </c>
      <c r="AU2614" s="6" t="str">
        <f>HYPERLINK("http://catalog.hathitrust.org/Record/001847370","HathiTrust Record")</f>
        <v>HathiTrust Record</v>
      </c>
      <c r="AV2614" s="6" t="str">
        <f>HYPERLINK("http://mcgill.on.worldcat.org/oclc/427193568","Catalog Record")</f>
        <v>Catalog Record</v>
      </c>
      <c r="AW2614" s="6" t="str">
        <f>HYPERLINK("http://www.worldcat.org/oclc/427193568","WorldCat Record")</f>
        <v>WorldCat Record</v>
      </c>
      <c r="AX2614" s="3" t="s">
        <v>21688</v>
      </c>
      <c r="AY2614" s="3" t="s">
        <v>21689</v>
      </c>
      <c r="AZ2614" s="3" t="s">
        <v>21690</v>
      </c>
      <c r="BA2614" s="3" t="s">
        <v>21690</v>
      </c>
      <c r="BB2614" s="3" t="s">
        <v>21691</v>
      </c>
      <c r="BC2614" s="3" t="s">
        <v>82</v>
      </c>
      <c r="BD2614" s="3" t="s">
        <v>70</v>
      </c>
      <c r="BF2614" s="3" t="s">
        <v>21691</v>
      </c>
      <c r="BG2614" s="3" t="s">
        <v>21692</v>
      </c>
    </row>
    <row r="2615" spans="1:59" ht="60" x14ac:dyDescent="0.25">
      <c r="A2615" s="2" t="s">
        <v>59</v>
      </c>
      <c r="B2615" s="2" t="s">
        <v>60</v>
      </c>
      <c r="C2615" s="2" t="s">
        <v>21693</v>
      </c>
      <c r="D2615" s="2" t="s">
        <v>21694</v>
      </c>
      <c r="E2615" s="2" t="s">
        <v>21695</v>
      </c>
      <c r="G2615" s="3" t="s">
        <v>63</v>
      </c>
      <c r="I2615" s="3" t="s">
        <v>63</v>
      </c>
      <c r="J2615" s="3" t="s">
        <v>63</v>
      </c>
      <c r="K2615" s="3" t="s">
        <v>64</v>
      </c>
      <c r="L2615" s="2" t="s">
        <v>20562</v>
      </c>
      <c r="M2615" s="2" t="s">
        <v>21696</v>
      </c>
      <c r="N2615" s="3" t="s">
        <v>693</v>
      </c>
      <c r="P2615" s="3" t="s">
        <v>548</v>
      </c>
      <c r="R2615" s="3" t="s">
        <v>67</v>
      </c>
      <c r="S2615" s="4">
        <v>2</v>
      </c>
      <c r="T2615" s="4">
        <v>2</v>
      </c>
      <c r="U2615" s="5" t="s">
        <v>21697</v>
      </c>
      <c r="V2615" s="5" t="s">
        <v>21697</v>
      </c>
      <c r="W2615" s="5" t="s">
        <v>69</v>
      </c>
      <c r="X2615" s="5" t="s">
        <v>69</v>
      </c>
      <c r="Y2615" s="4">
        <v>31</v>
      </c>
      <c r="Z2615" s="4">
        <v>7</v>
      </c>
      <c r="AA2615" s="4">
        <v>8</v>
      </c>
      <c r="AB2615" s="4">
        <v>6</v>
      </c>
      <c r="AC2615" s="4">
        <v>6</v>
      </c>
      <c r="AD2615" s="4">
        <v>3</v>
      </c>
      <c r="AE2615" s="4">
        <v>3</v>
      </c>
      <c r="AF2615" s="4">
        <v>3</v>
      </c>
      <c r="AG2615" s="4">
        <v>3</v>
      </c>
      <c r="AH2615" s="4">
        <v>1</v>
      </c>
      <c r="AI2615" s="4">
        <v>1</v>
      </c>
      <c r="AJ2615" s="4">
        <v>3</v>
      </c>
      <c r="AK2615" s="4">
        <v>3</v>
      </c>
      <c r="AL2615" s="4">
        <v>0</v>
      </c>
      <c r="AM2615" s="4">
        <v>0</v>
      </c>
      <c r="AN2615" s="4">
        <v>0</v>
      </c>
      <c r="AO2615" s="4">
        <v>0</v>
      </c>
      <c r="AP2615" s="4">
        <v>2</v>
      </c>
      <c r="AQ2615" s="4">
        <v>2</v>
      </c>
      <c r="AR2615" s="3" t="s">
        <v>63</v>
      </c>
      <c r="AS2615" s="3" t="s">
        <v>63</v>
      </c>
      <c r="AT2615" s="3" t="s">
        <v>63</v>
      </c>
      <c r="AV2615" s="6" t="str">
        <f>HYPERLINK("http://mcgill.on.worldcat.org/oclc/181336797","Catalog Record")</f>
        <v>Catalog Record</v>
      </c>
      <c r="AW2615" s="6" t="str">
        <f>HYPERLINK("http://www.worldcat.org/oclc/181336797","WorldCat Record")</f>
        <v>WorldCat Record</v>
      </c>
      <c r="AX2615" s="3" t="s">
        <v>21698</v>
      </c>
      <c r="AY2615" s="3" t="s">
        <v>21699</v>
      </c>
      <c r="AZ2615" s="3" t="s">
        <v>21700</v>
      </c>
      <c r="BA2615" s="3" t="s">
        <v>21700</v>
      </c>
      <c r="BB2615" s="3" t="s">
        <v>21701</v>
      </c>
      <c r="BC2615" s="3" t="s">
        <v>82</v>
      </c>
      <c r="BD2615" s="3" t="s">
        <v>70</v>
      </c>
      <c r="BE2615" s="3" t="s">
        <v>21702</v>
      </c>
      <c r="BF2615" s="3" t="s">
        <v>21701</v>
      </c>
      <c r="BG2615" s="3" t="s">
        <v>21703</v>
      </c>
    </row>
    <row r="2616" spans="1:59" ht="60" x14ac:dyDescent="0.25">
      <c r="A2616" s="2" t="s">
        <v>59</v>
      </c>
      <c r="B2616" s="2" t="s">
        <v>60</v>
      </c>
      <c r="C2616" s="2" t="s">
        <v>21704</v>
      </c>
      <c r="D2616" s="2" t="s">
        <v>21705</v>
      </c>
      <c r="E2616" s="2" t="s">
        <v>21706</v>
      </c>
      <c r="G2616" s="3" t="s">
        <v>63</v>
      </c>
      <c r="I2616" s="3" t="s">
        <v>63</v>
      </c>
      <c r="J2616" s="3" t="s">
        <v>63</v>
      </c>
      <c r="K2616" s="3" t="s">
        <v>64</v>
      </c>
      <c r="L2616" s="2" t="s">
        <v>21707</v>
      </c>
      <c r="M2616" s="2" t="s">
        <v>21708</v>
      </c>
      <c r="N2616" s="3" t="s">
        <v>176</v>
      </c>
      <c r="P2616" s="3" t="s">
        <v>66</v>
      </c>
      <c r="R2616" s="3" t="s">
        <v>67</v>
      </c>
      <c r="S2616" s="4">
        <v>15</v>
      </c>
      <c r="T2616" s="4">
        <v>15</v>
      </c>
      <c r="U2616" s="5" t="s">
        <v>1229</v>
      </c>
      <c r="V2616" s="5" t="s">
        <v>1229</v>
      </c>
      <c r="W2616" s="5" t="s">
        <v>69</v>
      </c>
      <c r="X2616" s="5" t="s">
        <v>69</v>
      </c>
      <c r="Y2616" s="4">
        <v>630</v>
      </c>
      <c r="Z2616" s="4">
        <v>27</v>
      </c>
      <c r="AA2616" s="4">
        <v>29</v>
      </c>
      <c r="AB2616" s="4">
        <v>2</v>
      </c>
      <c r="AC2616" s="4">
        <v>4</v>
      </c>
      <c r="AD2616" s="4">
        <v>89</v>
      </c>
      <c r="AE2616" s="4">
        <v>90</v>
      </c>
      <c r="AF2616" s="4">
        <v>0</v>
      </c>
      <c r="AG2616" s="4">
        <v>0</v>
      </c>
      <c r="AH2616" s="4">
        <v>82</v>
      </c>
      <c r="AI2616" s="4">
        <v>83</v>
      </c>
      <c r="AJ2616" s="4">
        <v>11</v>
      </c>
      <c r="AK2616" s="4">
        <v>11</v>
      </c>
      <c r="AL2616" s="4">
        <v>43</v>
      </c>
      <c r="AM2616" s="4">
        <v>43</v>
      </c>
      <c r="AN2616" s="4">
        <v>0</v>
      </c>
      <c r="AO2616" s="4">
        <v>0</v>
      </c>
      <c r="AP2616" s="4">
        <v>13</v>
      </c>
      <c r="AQ2616" s="4">
        <v>13</v>
      </c>
      <c r="AR2616" s="3" t="s">
        <v>63</v>
      </c>
      <c r="AS2616" s="3" t="s">
        <v>63</v>
      </c>
      <c r="AT2616" s="3" t="s">
        <v>62</v>
      </c>
      <c r="AU2616" s="6" t="str">
        <f>HYPERLINK("http://catalog.hathitrust.org/Record/003317906","HathiTrust Record")</f>
        <v>HathiTrust Record</v>
      </c>
      <c r="AV2616" s="6" t="str">
        <f>HYPERLINK("http://mcgill.on.worldcat.org/oclc/38010656","Catalog Record")</f>
        <v>Catalog Record</v>
      </c>
      <c r="AW2616" s="6" t="str">
        <f>HYPERLINK("http://www.worldcat.org/oclc/38010656","WorldCat Record")</f>
        <v>WorldCat Record</v>
      </c>
      <c r="AX2616" s="3" t="s">
        <v>21709</v>
      </c>
      <c r="AY2616" s="3" t="s">
        <v>21710</v>
      </c>
      <c r="AZ2616" s="3" t="s">
        <v>21711</v>
      </c>
      <c r="BA2616" s="3" t="s">
        <v>21711</v>
      </c>
      <c r="BB2616" s="3" t="s">
        <v>21712</v>
      </c>
      <c r="BC2616" s="3" t="s">
        <v>82</v>
      </c>
      <c r="BD2616" s="3" t="s">
        <v>70</v>
      </c>
      <c r="BE2616" s="3" t="s">
        <v>21713</v>
      </c>
      <c r="BF2616" s="3" t="s">
        <v>21712</v>
      </c>
      <c r="BG2616" s="3" t="s">
        <v>21714</v>
      </c>
    </row>
    <row r="2617" spans="1:59" ht="60" x14ac:dyDescent="0.25">
      <c r="A2617" s="2" t="s">
        <v>59</v>
      </c>
      <c r="B2617" s="2" t="s">
        <v>60</v>
      </c>
      <c r="C2617" s="2" t="s">
        <v>21715</v>
      </c>
      <c r="D2617" s="2" t="s">
        <v>21716</v>
      </c>
      <c r="E2617" s="2" t="s">
        <v>21717</v>
      </c>
      <c r="G2617" s="3" t="s">
        <v>63</v>
      </c>
      <c r="I2617" s="3" t="s">
        <v>63</v>
      </c>
      <c r="J2617" s="3" t="s">
        <v>62</v>
      </c>
      <c r="K2617" s="3" t="s">
        <v>64</v>
      </c>
      <c r="L2617" s="2" t="s">
        <v>21718</v>
      </c>
      <c r="M2617" s="2" t="s">
        <v>21719</v>
      </c>
      <c r="N2617" s="3" t="s">
        <v>313</v>
      </c>
      <c r="P2617" s="3" t="s">
        <v>90</v>
      </c>
      <c r="Q2617" s="2" t="s">
        <v>21720</v>
      </c>
      <c r="R2617" s="3" t="s">
        <v>67</v>
      </c>
      <c r="S2617" s="4">
        <v>0</v>
      </c>
      <c r="T2617" s="4">
        <v>0</v>
      </c>
      <c r="W2617" s="5" t="s">
        <v>69</v>
      </c>
      <c r="X2617" s="5" t="s">
        <v>69</v>
      </c>
      <c r="Y2617" s="4">
        <v>1</v>
      </c>
      <c r="Z2617" s="4">
        <v>1</v>
      </c>
      <c r="AA2617" s="4">
        <v>12</v>
      </c>
      <c r="AB2617" s="4">
        <v>1</v>
      </c>
      <c r="AC2617" s="4">
        <v>2</v>
      </c>
      <c r="AD2617" s="4">
        <v>0</v>
      </c>
      <c r="AE2617" s="4">
        <v>85</v>
      </c>
      <c r="AF2617" s="4">
        <v>0</v>
      </c>
      <c r="AG2617" s="4">
        <v>1</v>
      </c>
      <c r="AH2617" s="4">
        <v>0</v>
      </c>
      <c r="AI2617" s="4">
        <v>78</v>
      </c>
      <c r="AJ2617" s="4">
        <v>0</v>
      </c>
      <c r="AK2617" s="4">
        <v>10</v>
      </c>
      <c r="AL2617" s="4">
        <v>0</v>
      </c>
      <c r="AM2617" s="4">
        <v>50</v>
      </c>
      <c r="AN2617" s="4">
        <v>0</v>
      </c>
      <c r="AO2617" s="4">
        <v>0</v>
      </c>
      <c r="AP2617" s="4">
        <v>0</v>
      </c>
      <c r="AQ2617" s="4">
        <v>10</v>
      </c>
      <c r="AR2617" s="3" t="s">
        <v>63</v>
      </c>
      <c r="AS2617" s="3" t="s">
        <v>63</v>
      </c>
      <c r="AT2617" s="3" t="s">
        <v>63</v>
      </c>
      <c r="AV2617" s="6" t="str">
        <f>HYPERLINK("http://mcgill.on.worldcat.org/oclc/729394157","Catalog Record")</f>
        <v>Catalog Record</v>
      </c>
      <c r="AW2617" s="6" t="str">
        <f>HYPERLINK("http://www.worldcat.org/oclc/729394157","WorldCat Record")</f>
        <v>WorldCat Record</v>
      </c>
      <c r="AX2617" s="3" t="s">
        <v>21721</v>
      </c>
      <c r="AY2617" s="3" t="s">
        <v>21722</v>
      </c>
      <c r="AZ2617" s="3" t="s">
        <v>21723</v>
      </c>
      <c r="BA2617" s="3" t="s">
        <v>21723</v>
      </c>
      <c r="BB2617" s="3" t="s">
        <v>21724</v>
      </c>
      <c r="BC2617" s="3" t="s">
        <v>82</v>
      </c>
      <c r="BD2617" s="3" t="s">
        <v>70</v>
      </c>
      <c r="BE2617" s="3" t="s">
        <v>21725</v>
      </c>
      <c r="BF2617" s="3" t="s">
        <v>21724</v>
      </c>
      <c r="BG2617" s="3" t="s">
        <v>21726</v>
      </c>
    </row>
    <row r="2618" spans="1:59" ht="60" x14ac:dyDescent="0.25">
      <c r="A2618" s="2" t="s">
        <v>59</v>
      </c>
      <c r="B2618" s="2" t="s">
        <v>60</v>
      </c>
      <c r="C2618" s="2" t="s">
        <v>21727</v>
      </c>
      <c r="D2618" s="2" t="s">
        <v>21728</v>
      </c>
      <c r="E2618" s="2" t="s">
        <v>21729</v>
      </c>
      <c r="G2618" s="3" t="s">
        <v>63</v>
      </c>
      <c r="I2618" s="3" t="s">
        <v>63</v>
      </c>
      <c r="J2618" s="3" t="s">
        <v>63</v>
      </c>
      <c r="K2618" s="3" t="s">
        <v>64</v>
      </c>
      <c r="L2618" s="2" t="s">
        <v>21718</v>
      </c>
      <c r="M2618" s="2" t="s">
        <v>21730</v>
      </c>
      <c r="N2618" s="3" t="s">
        <v>313</v>
      </c>
      <c r="O2618" s="2" t="s">
        <v>590</v>
      </c>
      <c r="P2618" s="3" t="s">
        <v>66</v>
      </c>
      <c r="R2618" s="3" t="s">
        <v>67</v>
      </c>
      <c r="S2618" s="4">
        <v>2</v>
      </c>
      <c r="T2618" s="4">
        <v>2</v>
      </c>
      <c r="U2618" s="5" t="s">
        <v>1631</v>
      </c>
      <c r="V2618" s="5" t="s">
        <v>1631</v>
      </c>
      <c r="W2618" s="5" t="s">
        <v>69</v>
      </c>
      <c r="X2618" s="5" t="s">
        <v>69</v>
      </c>
      <c r="Y2618" s="4">
        <v>391</v>
      </c>
      <c r="Z2618" s="4">
        <v>22</v>
      </c>
      <c r="AA2618" s="4">
        <v>26</v>
      </c>
      <c r="AB2618" s="4">
        <v>3</v>
      </c>
      <c r="AC2618" s="4">
        <v>6</v>
      </c>
      <c r="AD2618" s="4">
        <v>83</v>
      </c>
      <c r="AE2618" s="4">
        <v>85</v>
      </c>
      <c r="AF2618" s="4">
        <v>0</v>
      </c>
      <c r="AG2618" s="4">
        <v>0</v>
      </c>
      <c r="AH2618" s="4">
        <v>74</v>
      </c>
      <c r="AI2618" s="4">
        <v>75</v>
      </c>
      <c r="AJ2618" s="4">
        <v>12</v>
      </c>
      <c r="AK2618" s="4">
        <v>12</v>
      </c>
      <c r="AL2618" s="4">
        <v>47</v>
      </c>
      <c r="AM2618" s="4">
        <v>48</v>
      </c>
      <c r="AN2618" s="4">
        <v>0</v>
      </c>
      <c r="AO2618" s="4">
        <v>0</v>
      </c>
      <c r="AP2618" s="4">
        <v>13</v>
      </c>
      <c r="AQ2618" s="4">
        <v>14</v>
      </c>
      <c r="AR2618" s="3" t="s">
        <v>63</v>
      </c>
      <c r="AS2618" s="3" t="s">
        <v>63</v>
      </c>
      <c r="AT2618" s="3" t="s">
        <v>63</v>
      </c>
      <c r="AV2618" s="6" t="str">
        <f>HYPERLINK("http://mcgill.on.worldcat.org/oclc/320185870","Catalog Record")</f>
        <v>Catalog Record</v>
      </c>
      <c r="AW2618" s="6" t="str">
        <f>HYPERLINK("http://www.worldcat.org/oclc/320185870","WorldCat Record")</f>
        <v>WorldCat Record</v>
      </c>
      <c r="AX2618" s="3" t="s">
        <v>21731</v>
      </c>
      <c r="AY2618" s="3" t="s">
        <v>21732</v>
      </c>
      <c r="AZ2618" s="3" t="s">
        <v>21733</v>
      </c>
      <c r="BA2618" s="3" t="s">
        <v>21733</v>
      </c>
      <c r="BB2618" s="3" t="s">
        <v>21734</v>
      </c>
      <c r="BC2618" s="3" t="s">
        <v>82</v>
      </c>
      <c r="BD2618" s="3" t="s">
        <v>70</v>
      </c>
      <c r="BE2618" s="3" t="s">
        <v>21735</v>
      </c>
      <c r="BF2618" s="3" t="s">
        <v>21734</v>
      </c>
      <c r="BG2618" s="3" t="s">
        <v>21736</v>
      </c>
    </row>
    <row r="2619" spans="1:59" ht="60" x14ac:dyDescent="0.25">
      <c r="A2619" s="2" t="s">
        <v>59</v>
      </c>
      <c r="B2619" s="2" t="s">
        <v>60</v>
      </c>
      <c r="C2619" s="2" t="s">
        <v>21737</v>
      </c>
      <c r="D2619" s="2" t="s">
        <v>21738</v>
      </c>
      <c r="E2619" s="2" t="s">
        <v>21739</v>
      </c>
      <c r="G2619" s="3" t="s">
        <v>63</v>
      </c>
      <c r="I2619" s="3" t="s">
        <v>63</v>
      </c>
      <c r="J2619" s="3" t="s">
        <v>63</v>
      </c>
      <c r="K2619" s="3" t="s">
        <v>64</v>
      </c>
      <c r="M2619" s="2" t="s">
        <v>21740</v>
      </c>
      <c r="N2619" s="3" t="s">
        <v>2043</v>
      </c>
      <c r="P2619" s="3" t="s">
        <v>66</v>
      </c>
      <c r="Q2619" s="2" t="s">
        <v>21741</v>
      </c>
      <c r="R2619" s="3" t="s">
        <v>67</v>
      </c>
      <c r="S2619" s="4">
        <v>27</v>
      </c>
      <c r="T2619" s="4">
        <v>27</v>
      </c>
      <c r="U2619" s="5" t="s">
        <v>155</v>
      </c>
      <c r="V2619" s="5" t="s">
        <v>155</v>
      </c>
      <c r="W2619" s="5" t="s">
        <v>69</v>
      </c>
      <c r="X2619" s="5" t="s">
        <v>69</v>
      </c>
      <c r="Y2619" s="4">
        <v>549</v>
      </c>
      <c r="Z2619" s="4">
        <v>43</v>
      </c>
      <c r="AA2619" s="4">
        <v>43</v>
      </c>
      <c r="AB2619" s="4">
        <v>3</v>
      </c>
      <c r="AC2619" s="4">
        <v>3</v>
      </c>
      <c r="AD2619" s="4">
        <v>120</v>
      </c>
      <c r="AE2619" s="4">
        <v>120</v>
      </c>
      <c r="AF2619" s="4">
        <v>2</v>
      </c>
      <c r="AG2619" s="4">
        <v>2</v>
      </c>
      <c r="AH2619" s="4">
        <v>97</v>
      </c>
      <c r="AI2619" s="4">
        <v>97</v>
      </c>
      <c r="AJ2619" s="4">
        <v>21</v>
      </c>
      <c r="AK2619" s="4">
        <v>21</v>
      </c>
      <c r="AL2619" s="4">
        <v>55</v>
      </c>
      <c r="AM2619" s="4">
        <v>55</v>
      </c>
      <c r="AN2619" s="4">
        <v>0</v>
      </c>
      <c r="AO2619" s="4">
        <v>0</v>
      </c>
      <c r="AP2619" s="4">
        <v>30</v>
      </c>
      <c r="AQ2619" s="4">
        <v>30</v>
      </c>
      <c r="AR2619" s="3" t="s">
        <v>63</v>
      </c>
      <c r="AS2619" s="3" t="s">
        <v>63</v>
      </c>
      <c r="AT2619" s="3" t="s">
        <v>62</v>
      </c>
      <c r="AU2619" s="6" t="str">
        <f>HYPERLINK("http://catalog.hathitrust.org/Record/007117739","HathiTrust Record")</f>
        <v>HathiTrust Record</v>
      </c>
      <c r="AV2619" s="6" t="str">
        <f>HYPERLINK("http://mcgill.on.worldcat.org/oclc/7212015","Catalog Record")</f>
        <v>Catalog Record</v>
      </c>
      <c r="AW2619" s="6" t="str">
        <f>HYPERLINK("http://www.worldcat.org/oclc/7212015","WorldCat Record")</f>
        <v>WorldCat Record</v>
      </c>
      <c r="AX2619" s="3" t="s">
        <v>21742</v>
      </c>
      <c r="AY2619" s="3" t="s">
        <v>21743</v>
      </c>
      <c r="AZ2619" s="3" t="s">
        <v>21744</v>
      </c>
      <c r="BA2619" s="3" t="s">
        <v>21744</v>
      </c>
      <c r="BB2619" s="3" t="s">
        <v>21745</v>
      </c>
      <c r="BC2619" s="3" t="s">
        <v>82</v>
      </c>
      <c r="BD2619" s="3" t="s">
        <v>70</v>
      </c>
      <c r="BE2619" s="3" t="s">
        <v>21746</v>
      </c>
      <c r="BF2619" s="3" t="s">
        <v>21745</v>
      </c>
      <c r="BG2619" s="3" t="s">
        <v>21747</v>
      </c>
    </row>
    <row r="2620" spans="1:59" ht="60" x14ac:dyDescent="0.25">
      <c r="A2620" s="2" t="s">
        <v>59</v>
      </c>
      <c r="B2620" s="2" t="s">
        <v>60</v>
      </c>
      <c r="C2620" s="2" t="s">
        <v>21748</v>
      </c>
      <c r="D2620" s="2" t="s">
        <v>21749</v>
      </c>
      <c r="E2620" s="2" t="s">
        <v>21750</v>
      </c>
      <c r="G2620" s="3" t="s">
        <v>63</v>
      </c>
      <c r="I2620" s="3" t="s">
        <v>63</v>
      </c>
      <c r="J2620" s="3" t="s">
        <v>63</v>
      </c>
      <c r="K2620" s="3" t="s">
        <v>64</v>
      </c>
      <c r="L2620" s="2" t="s">
        <v>21751</v>
      </c>
      <c r="M2620" s="2" t="s">
        <v>21752</v>
      </c>
      <c r="N2620" s="3" t="s">
        <v>814</v>
      </c>
      <c r="P2620" s="3" t="s">
        <v>66</v>
      </c>
      <c r="Q2620" s="2" t="s">
        <v>21753</v>
      </c>
      <c r="R2620" s="3" t="s">
        <v>67</v>
      </c>
      <c r="S2620" s="4">
        <v>15</v>
      </c>
      <c r="T2620" s="4">
        <v>15</v>
      </c>
      <c r="U2620" s="5" t="s">
        <v>4687</v>
      </c>
      <c r="V2620" s="5" t="s">
        <v>4687</v>
      </c>
      <c r="W2620" s="5" t="s">
        <v>69</v>
      </c>
      <c r="X2620" s="5" t="s">
        <v>69</v>
      </c>
      <c r="Y2620" s="4">
        <v>153</v>
      </c>
      <c r="Z2620" s="4">
        <v>14</v>
      </c>
      <c r="AA2620" s="4">
        <v>15</v>
      </c>
      <c r="AB2620" s="4">
        <v>1</v>
      </c>
      <c r="AC2620" s="4">
        <v>2</v>
      </c>
      <c r="AD2620" s="4">
        <v>74</v>
      </c>
      <c r="AE2620" s="4">
        <v>75</v>
      </c>
      <c r="AF2620" s="4">
        <v>0</v>
      </c>
      <c r="AG2620" s="4">
        <v>1</v>
      </c>
      <c r="AH2620" s="4">
        <v>70</v>
      </c>
      <c r="AI2620" s="4">
        <v>71</v>
      </c>
      <c r="AJ2620" s="4">
        <v>11</v>
      </c>
      <c r="AK2620" s="4">
        <v>12</v>
      </c>
      <c r="AL2620" s="4">
        <v>42</v>
      </c>
      <c r="AM2620" s="4">
        <v>42</v>
      </c>
      <c r="AN2620" s="4">
        <v>2</v>
      </c>
      <c r="AO2620" s="4">
        <v>2</v>
      </c>
      <c r="AP2620" s="4">
        <v>11</v>
      </c>
      <c r="AQ2620" s="4">
        <v>12</v>
      </c>
      <c r="AR2620" s="3" t="s">
        <v>63</v>
      </c>
      <c r="AS2620" s="3" t="s">
        <v>63</v>
      </c>
      <c r="AT2620" s="3" t="s">
        <v>62</v>
      </c>
      <c r="AU2620" s="6" t="str">
        <f>HYPERLINK("http://catalog.hathitrust.org/Record/000255216","HathiTrust Record")</f>
        <v>HathiTrust Record</v>
      </c>
      <c r="AV2620" s="6" t="str">
        <f>HYPERLINK("http://mcgill.on.worldcat.org/oclc/4488164","Catalog Record")</f>
        <v>Catalog Record</v>
      </c>
      <c r="AW2620" s="6" t="str">
        <f>HYPERLINK("http://www.worldcat.org/oclc/4488164","WorldCat Record")</f>
        <v>WorldCat Record</v>
      </c>
      <c r="AX2620" s="3" t="s">
        <v>21754</v>
      </c>
      <c r="AY2620" s="3" t="s">
        <v>21755</v>
      </c>
      <c r="AZ2620" s="3" t="s">
        <v>21756</v>
      </c>
      <c r="BA2620" s="3" t="s">
        <v>21756</v>
      </c>
      <c r="BB2620" s="3" t="s">
        <v>21757</v>
      </c>
      <c r="BC2620" s="3" t="s">
        <v>82</v>
      </c>
      <c r="BD2620" s="3" t="s">
        <v>70</v>
      </c>
      <c r="BE2620" s="3" t="s">
        <v>21758</v>
      </c>
      <c r="BF2620" s="3" t="s">
        <v>21757</v>
      </c>
      <c r="BG2620" s="3" t="s">
        <v>21759</v>
      </c>
    </row>
    <row r="2621" spans="1:59" ht="60" x14ac:dyDescent="0.25">
      <c r="A2621" s="2" t="s">
        <v>59</v>
      </c>
      <c r="B2621" s="2" t="s">
        <v>60</v>
      </c>
      <c r="C2621" s="2" t="s">
        <v>21760</v>
      </c>
      <c r="D2621" s="2" t="s">
        <v>21761</v>
      </c>
      <c r="E2621" s="2" t="s">
        <v>21762</v>
      </c>
      <c r="G2621" s="3" t="s">
        <v>63</v>
      </c>
      <c r="I2621" s="3" t="s">
        <v>63</v>
      </c>
      <c r="J2621" s="3" t="s">
        <v>63</v>
      </c>
      <c r="K2621" s="3" t="s">
        <v>64</v>
      </c>
      <c r="L2621" s="2" t="s">
        <v>21763</v>
      </c>
      <c r="M2621" s="2" t="s">
        <v>21764</v>
      </c>
      <c r="N2621" s="3" t="s">
        <v>1010</v>
      </c>
      <c r="O2621" s="2" t="s">
        <v>21765</v>
      </c>
      <c r="P2621" s="3" t="s">
        <v>90</v>
      </c>
      <c r="R2621" s="3" t="s">
        <v>67</v>
      </c>
      <c r="S2621" s="4">
        <v>1</v>
      </c>
      <c r="T2621" s="4">
        <v>1</v>
      </c>
      <c r="U2621" s="5" t="s">
        <v>13807</v>
      </c>
      <c r="V2621" s="5" t="s">
        <v>13807</v>
      </c>
      <c r="W2621" s="5" t="s">
        <v>69</v>
      </c>
      <c r="X2621" s="5" t="s">
        <v>69</v>
      </c>
      <c r="Y2621" s="4">
        <v>101</v>
      </c>
      <c r="Z2621" s="4">
        <v>4</v>
      </c>
      <c r="AA2621" s="4">
        <v>7</v>
      </c>
      <c r="AB2621" s="4">
        <v>1</v>
      </c>
      <c r="AC2621" s="4">
        <v>1</v>
      </c>
      <c r="AD2621" s="4">
        <v>48</v>
      </c>
      <c r="AE2621" s="4">
        <v>54</v>
      </c>
      <c r="AF2621" s="4">
        <v>0</v>
      </c>
      <c r="AG2621" s="4">
        <v>0</v>
      </c>
      <c r="AH2621" s="4">
        <v>45</v>
      </c>
      <c r="AI2621" s="4">
        <v>51</v>
      </c>
      <c r="AJ2621" s="4">
        <v>3</v>
      </c>
      <c r="AK2621" s="4">
        <v>5</v>
      </c>
      <c r="AL2621" s="4">
        <v>30</v>
      </c>
      <c r="AM2621" s="4">
        <v>33</v>
      </c>
      <c r="AN2621" s="4">
        <v>0</v>
      </c>
      <c r="AO2621" s="4">
        <v>0</v>
      </c>
      <c r="AP2621" s="4">
        <v>3</v>
      </c>
      <c r="AQ2621" s="4">
        <v>5</v>
      </c>
      <c r="AR2621" s="3" t="s">
        <v>63</v>
      </c>
      <c r="AS2621" s="3" t="s">
        <v>63</v>
      </c>
      <c r="AT2621" s="3" t="s">
        <v>62</v>
      </c>
      <c r="AU2621" s="6" t="str">
        <f>HYPERLINK("http://catalog.hathitrust.org/Record/001847385","HathiTrust Record")</f>
        <v>HathiTrust Record</v>
      </c>
      <c r="AV2621" s="6" t="str">
        <f>HYPERLINK("http://mcgill.on.worldcat.org/oclc/4526318","Catalog Record")</f>
        <v>Catalog Record</v>
      </c>
      <c r="AW2621" s="6" t="str">
        <f>HYPERLINK("http://www.worldcat.org/oclc/4526318","WorldCat Record")</f>
        <v>WorldCat Record</v>
      </c>
      <c r="AX2621" s="3" t="s">
        <v>21766</v>
      </c>
      <c r="AY2621" s="3" t="s">
        <v>21767</v>
      </c>
      <c r="AZ2621" s="3" t="s">
        <v>21768</v>
      </c>
      <c r="BA2621" s="3" t="s">
        <v>21768</v>
      </c>
      <c r="BB2621" s="3" t="s">
        <v>21769</v>
      </c>
      <c r="BC2621" s="3" t="s">
        <v>82</v>
      </c>
      <c r="BD2621" s="3" t="s">
        <v>70</v>
      </c>
      <c r="BF2621" s="3" t="s">
        <v>21769</v>
      </c>
      <c r="BG2621" s="3" t="s">
        <v>21770</v>
      </c>
    </row>
    <row r="2622" spans="1:59" ht="60" x14ac:dyDescent="0.25">
      <c r="A2622" s="2" t="s">
        <v>59</v>
      </c>
      <c r="B2622" s="2" t="s">
        <v>60</v>
      </c>
      <c r="C2622" s="2" t="s">
        <v>21771</v>
      </c>
      <c r="D2622" s="2" t="s">
        <v>21772</v>
      </c>
      <c r="E2622" s="2" t="s">
        <v>21773</v>
      </c>
      <c r="G2622" s="3" t="s">
        <v>63</v>
      </c>
      <c r="I2622" s="3" t="s">
        <v>63</v>
      </c>
      <c r="J2622" s="3" t="s">
        <v>63</v>
      </c>
      <c r="K2622" s="3" t="s">
        <v>64</v>
      </c>
      <c r="L2622" s="2" t="s">
        <v>21774</v>
      </c>
      <c r="M2622" s="2" t="s">
        <v>21775</v>
      </c>
      <c r="N2622" s="3" t="s">
        <v>220</v>
      </c>
      <c r="P2622" s="3" t="s">
        <v>90</v>
      </c>
      <c r="Q2622" s="2" t="s">
        <v>21776</v>
      </c>
      <c r="R2622" s="3" t="s">
        <v>67</v>
      </c>
      <c r="S2622" s="4">
        <v>7</v>
      </c>
      <c r="T2622" s="4">
        <v>7</v>
      </c>
      <c r="U2622" s="5" t="s">
        <v>3117</v>
      </c>
      <c r="V2622" s="5" t="s">
        <v>3117</v>
      </c>
      <c r="W2622" s="5" t="s">
        <v>69</v>
      </c>
      <c r="X2622" s="5" t="s">
        <v>69</v>
      </c>
      <c r="Y2622" s="4">
        <v>85</v>
      </c>
      <c r="Z2622" s="4">
        <v>7</v>
      </c>
      <c r="AA2622" s="4">
        <v>7</v>
      </c>
      <c r="AB2622" s="4">
        <v>1</v>
      </c>
      <c r="AC2622" s="4">
        <v>1</v>
      </c>
      <c r="AD2622" s="4">
        <v>53</v>
      </c>
      <c r="AE2622" s="4">
        <v>53</v>
      </c>
      <c r="AF2622" s="4">
        <v>0</v>
      </c>
      <c r="AG2622" s="4">
        <v>0</v>
      </c>
      <c r="AH2622" s="4">
        <v>51</v>
      </c>
      <c r="AI2622" s="4">
        <v>51</v>
      </c>
      <c r="AJ2622" s="4">
        <v>5</v>
      </c>
      <c r="AK2622" s="4">
        <v>5</v>
      </c>
      <c r="AL2622" s="4">
        <v>39</v>
      </c>
      <c r="AM2622" s="4">
        <v>39</v>
      </c>
      <c r="AN2622" s="4">
        <v>0</v>
      </c>
      <c r="AO2622" s="4">
        <v>0</v>
      </c>
      <c r="AP2622" s="4">
        <v>5</v>
      </c>
      <c r="AQ2622" s="4">
        <v>5</v>
      </c>
      <c r="AR2622" s="3" t="s">
        <v>63</v>
      </c>
      <c r="AS2622" s="3" t="s">
        <v>63</v>
      </c>
      <c r="AT2622" s="3" t="s">
        <v>62</v>
      </c>
      <c r="AU2622" s="6" t="str">
        <f>HYPERLINK("http://catalog.hathitrust.org/Record/002812137","HathiTrust Record")</f>
        <v>HathiTrust Record</v>
      </c>
      <c r="AV2622" s="6" t="str">
        <f>HYPERLINK("http://mcgill.on.worldcat.org/oclc/29459054","Catalog Record")</f>
        <v>Catalog Record</v>
      </c>
      <c r="AW2622" s="6" t="str">
        <f>HYPERLINK("http://www.worldcat.org/oclc/29459054","WorldCat Record")</f>
        <v>WorldCat Record</v>
      </c>
      <c r="AX2622" s="3" t="s">
        <v>21777</v>
      </c>
      <c r="AY2622" s="3" t="s">
        <v>21778</v>
      </c>
      <c r="AZ2622" s="3" t="s">
        <v>21779</v>
      </c>
      <c r="BA2622" s="3" t="s">
        <v>21779</v>
      </c>
      <c r="BB2622" s="3" t="s">
        <v>21780</v>
      </c>
      <c r="BC2622" s="3" t="s">
        <v>82</v>
      </c>
      <c r="BD2622" s="3" t="s">
        <v>70</v>
      </c>
      <c r="BE2622" s="3" t="s">
        <v>21781</v>
      </c>
      <c r="BF2622" s="3" t="s">
        <v>21780</v>
      </c>
      <c r="BG2622" s="3" t="s">
        <v>21782</v>
      </c>
    </row>
    <row r="2623" spans="1:59" ht="60" x14ac:dyDescent="0.25">
      <c r="A2623" s="2" t="s">
        <v>59</v>
      </c>
      <c r="B2623" s="2" t="s">
        <v>60</v>
      </c>
      <c r="C2623" s="2" t="s">
        <v>21783</v>
      </c>
      <c r="D2623" s="2" t="s">
        <v>21784</v>
      </c>
      <c r="E2623" s="2" t="s">
        <v>21785</v>
      </c>
      <c r="G2623" s="3" t="s">
        <v>63</v>
      </c>
      <c r="I2623" s="3" t="s">
        <v>63</v>
      </c>
      <c r="J2623" s="3" t="s">
        <v>63</v>
      </c>
      <c r="K2623" s="3" t="s">
        <v>64</v>
      </c>
      <c r="L2623" s="2" t="s">
        <v>21786</v>
      </c>
      <c r="M2623" s="2" t="s">
        <v>21787</v>
      </c>
      <c r="N2623" s="3" t="s">
        <v>9103</v>
      </c>
      <c r="P2623" s="3" t="s">
        <v>90</v>
      </c>
      <c r="R2623" s="3" t="s">
        <v>67</v>
      </c>
      <c r="S2623" s="4">
        <v>3</v>
      </c>
      <c r="T2623" s="4">
        <v>3</v>
      </c>
      <c r="U2623" s="5" t="s">
        <v>21788</v>
      </c>
      <c r="V2623" s="5" t="s">
        <v>21788</v>
      </c>
      <c r="W2623" s="5" t="s">
        <v>69</v>
      </c>
      <c r="X2623" s="5" t="s">
        <v>69</v>
      </c>
      <c r="Y2623" s="4">
        <v>30</v>
      </c>
      <c r="Z2623" s="4">
        <v>2</v>
      </c>
      <c r="AA2623" s="4">
        <v>3</v>
      </c>
      <c r="AB2623" s="4">
        <v>1</v>
      </c>
      <c r="AC2623" s="4">
        <v>2</v>
      </c>
      <c r="AD2623" s="4">
        <v>19</v>
      </c>
      <c r="AE2623" s="4">
        <v>20</v>
      </c>
      <c r="AF2623" s="4">
        <v>0</v>
      </c>
      <c r="AG2623" s="4">
        <v>1</v>
      </c>
      <c r="AH2623" s="4">
        <v>17</v>
      </c>
      <c r="AI2623" s="4">
        <v>17</v>
      </c>
      <c r="AJ2623" s="4">
        <v>1</v>
      </c>
      <c r="AK2623" s="4">
        <v>2</v>
      </c>
      <c r="AL2623" s="4">
        <v>15</v>
      </c>
      <c r="AM2623" s="4">
        <v>15</v>
      </c>
      <c r="AN2623" s="4">
        <v>0</v>
      </c>
      <c r="AO2623" s="4">
        <v>0</v>
      </c>
      <c r="AP2623" s="4">
        <v>1</v>
      </c>
      <c r="AQ2623" s="4">
        <v>1</v>
      </c>
      <c r="AR2623" s="3" t="s">
        <v>63</v>
      </c>
      <c r="AS2623" s="3" t="s">
        <v>63</v>
      </c>
      <c r="AT2623" s="3" t="s">
        <v>62</v>
      </c>
      <c r="AU2623" s="6" t="str">
        <f>HYPERLINK("http://catalog.hathitrust.org/Record/001224228","HathiTrust Record")</f>
        <v>HathiTrust Record</v>
      </c>
      <c r="AV2623" s="6" t="str">
        <f>HYPERLINK("http://mcgill.on.worldcat.org/oclc/6706481","Catalog Record")</f>
        <v>Catalog Record</v>
      </c>
      <c r="AW2623" s="6" t="str">
        <f>HYPERLINK("http://www.worldcat.org/oclc/6706481","WorldCat Record")</f>
        <v>WorldCat Record</v>
      </c>
      <c r="AX2623" s="3" t="s">
        <v>21789</v>
      </c>
      <c r="AY2623" s="3" t="s">
        <v>21790</v>
      </c>
      <c r="AZ2623" s="3" t="s">
        <v>21791</v>
      </c>
      <c r="BA2623" s="3" t="s">
        <v>21791</v>
      </c>
      <c r="BB2623" s="3" t="s">
        <v>21792</v>
      </c>
      <c r="BC2623" s="3" t="s">
        <v>82</v>
      </c>
      <c r="BD2623" s="3" t="s">
        <v>70</v>
      </c>
      <c r="BF2623" s="3" t="s">
        <v>21792</v>
      </c>
      <c r="BG2623" s="3" t="s">
        <v>21793</v>
      </c>
    </row>
    <row r="2624" spans="1:59" ht="60" x14ac:dyDescent="0.25">
      <c r="A2624" s="2" t="s">
        <v>59</v>
      </c>
      <c r="B2624" s="2" t="s">
        <v>60</v>
      </c>
      <c r="C2624" s="2" t="s">
        <v>21794</v>
      </c>
      <c r="D2624" s="2" t="s">
        <v>21795</v>
      </c>
      <c r="E2624" s="2" t="s">
        <v>21796</v>
      </c>
      <c r="G2624" s="3" t="s">
        <v>63</v>
      </c>
      <c r="I2624" s="3" t="s">
        <v>63</v>
      </c>
      <c r="J2624" s="3" t="s">
        <v>62</v>
      </c>
      <c r="K2624" s="3" t="s">
        <v>64</v>
      </c>
      <c r="L2624" s="2" t="s">
        <v>5914</v>
      </c>
      <c r="M2624" s="2" t="s">
        <v>21797</v>
      </c>
      <c r="N2624" s="3" t="s">
        <v>401</v>
      </c>
      <c r="O2624" s="2" t="s">
        <v>718</v>
      </c>
      <c r="P2624" s="3" t="s">
        <v>66</v>
      </c>
      <c r="R2624" s="3" t="s">
        <v>67</v>
      </c>
      <c r="S2624" s="4">
        <v>27</v>
      </c>
      <c r="T2624" s="4">
        <v>27</v>
      </c>
      <c r="U2624" s="5" t="s">
        <v>21798</v>
      </c>
      <c r="V2624" s="5" t="s">
        <v>21798</v>
      </c>
      <c r="W2624" s="5" t="s">
        <v>69</v>
      </c>
      <c r="X2624" s="5" t="s">
        <v>69</v>
      </c>
      <c r="Y2624" s="4">
        <v>397</v>
      </c>
      <c r="Z2624" s="4">
        <v>27</v>
      </c>
      <c r="AA2624" s="4">
        <v>48</v>
      </c>
      <c r="AB2624" s="4">
        <v>2</v>
      </c>
      <c r="AC2624" s="4">
        <v>3</v>
      </c>
      <c r="AD2624" s="4">
        <v>69</v>
      </c>
      <c r="AE2624" s="4">
        <v>133</v>
      </c>
      <c r="AF2624" s="4">
        <v>1</v>
      </c>
      <c r="AG2624" s="4">
        <v>2</v>
      </c>
      <c r="AH2624" s="4">
        <v>55</v>
      </c>
      <c r="AI2624" s="4">
        <v>103</v>
      </c>
      <c r="AJ2624" s="4">
        <v>13</v>
      </c>
      <c r="AK2624" s="4">
        <v>23</v>
      </c>
      <c r="AL2624" s="4">
        <v>30</v>
      </c>
      <c r="AM2624" s="4">
        <v>59</v>
      </c>
      <c r="AN2624" s="4">
        <v>0</v>
      </c>
      <c r="AO2624" s="4">
        <v>0</v>
      </c>
      <c r="AP2624" s="4">
        <v>20</v>
      </c>
      <c r="AQ2624" s="4">
        <v>36</v>
      </c>
      <c r="AR2624" s="3" t="s">
        <v>63</v>
      </c>
      <c r="AS2624" s="3" t="s">
        <v>63</v>
      </c>
      <c r="AT2624" s="3" t="s">
        <v>63</v>
      </c>
      <c r="AV2624" s="6" t="str">
        <f>HYPERLINK("http://mcgill.on.worldcat.org/oclc/458103","Catalog Record")</f>
        <v>Catalog Record</v>
      </c>
      <c r="AW2624" s="6" t="str">
        <f>HYPERLINK("http://www.worldcat.org/oclc/458103","WorldCat Record")</f>
        <v>WorldCat Record</v>
      </c>
      <c r="AX2624" s="3" t="s">
        <v>21799</v>
      </c>
      <c r="AY2624" s="3" t="s">
        <v>21800</v>
      </c>
      <c r="AZ2624" s="3" t="s">
        <v>21801</v>
      </c>
      <c r="BA2624" s="3" t="s">
        <v>21801</v>
      </c>
      <c r="BB2624" s="3" t="s">
        <v>21802</v>
      </c>
      <c r="BC2624" s="3" t="s">
        <v>82</v>
      </c>
      <c r="BD2624" s="3" t="s">
        <v>70</v>
      </c>
      <c r="BF2624" s="3" t="s">
        <v>21802</v>
      </c>
      <c r="BG2624" s="3" t="s">
        <v>21803</v>
      </c>
    </row>
    <row r="2625" spans="1:59" ht="60" x14ac:dyDescent="0.25">
      <c r="A2625" s="2" t="s">
        <v>59</v>
      </c>
      <c r="B2625" s="2" t="s">
        <v>60</v>
      </c>
      <c r="C2625" s="2" t="s">
        <v>21804</v>
      </c>
      <c r="D2625" s="2" t="s">
        <v>21805</v>
      </c>
      <c r="E2625" s="2" t="s">
        <v>21806</v>
      </c>
      <c r="G2625" s="3" t="s">
        <v>63</v>
      </c>
      <c r="I2625" s="3" t="s">
        <v>62</v>
      </c>
      <c r="J2625" s="3" t="s">
        <v>63</v>
      </c>
      <c r="K2625" s="3" t="s">
        <v>64</v>
      </c>
      <c r="L2625" s="2" t="s">
        <v>5914</v>
      </c>
      <c r="M2625" s="2" t="s">
        <v>21807</v>
      </c>
      <c r="N2625" s="3" t="s">
        <v>161</v>
      </c>
      <c r="P2625" s="3" t="s">
        <v>66</v>
      </c>
      <c r="Q2625" s="2" t="s">
        <v>21808</v>
      </c>
      <c r="R2625" s="3" t="s">
        <v>67</v>
      </c>
      <c r="S2625" s="4">
        <v>28</v>
      </c>
      <c r="T2625" s="4">
        <v>37</v>
      </c>
      <c r="U2625" s="5" t="s">
        <v>18278</v>
      </c>
      <c r="V2625" s="5" t="s">
        <v>18278</v>
      </c>
      <c r="W2625" s="5" t="s">
        <v>69</v>
      </c>
      <c r="X2625" s="5" t="s">
        <v>69</v>
      </c>
      <c r="Y2625" s="4">
        <v>124</v>
      </c>
      <c r="Z2625" s="4">
        <v>4</v>
      </c>
      <c r="AA2625" s="4">
        <v>6</v>
      </c>
      <c r="AB2625" s="4">
        <v>1</v>
      </c>
      <c r="AC2625" s="4">
        <v>1</v>
      </c>
      <c r="AD2625" s="4">
        <v>15</v>
      </c>
      <c r="AE2625" s="4">
        <v>16</v>
      </c>
      <c r="AF2625" s="4">
        <v>0</v>
      </c>
      <c r="AG2625" s="4">
        <v>0</v>
      </c>
      <c r="AH2625" s="4">
        <v>13</v>
      </c>
      <c r="AI2625" s="4">
        <v>14</v>
      </c>
      <c r="AJ2625" s="4">
        <v>2</v>
      </c>
      <c r="AK2625" s="4">
        <v>3</v>
      </c>
      <c r="AL2625" s="4">
        <v>5</v>
      </c>
      <c r="AM2625" s="4">
        <v>5</v>
      </c>
      <c r="AN2625" s="4">
        <v>0</v>
      </c>
      <c r="AO2625" s="4">
        <v>0</v>
      </c>
      <c r="AP2625" s="4">
        <v>2</v>
      </c>
      <c r="AQ2625" s="4">
        <v>3</v>
      </c>
      <c r="AR2625" s="3" t="s">
        <v>63</v>
      </c>
      <c r="AS2625" s="3" t="s">
        <v>63</v>
      </c>
      <c r="AT2625" s="3" t="s">
        <v>63</v>
      </c>
      <c r="AV2625" s="6" t="str">
        <f>HYPERLINK("http://mcgill.on.worldcat.org/oclc/18780769","Catalog Record")</f>
        <v>Catalog Record</v>
      </c>
      <c r="AW2625" s="6" t="str">
        <f>HYPERLINK("http://www.worldcat.org/oclc/18780769","WorldCat Record")</f>
        <v>WorldCat Record</v>
      </c>
      <c r="AX2625" s="3" t="s">
        <v>21809</v>
      </c>
      <c r="AY2625" s="3" t="s">
        <v>21810</v>
      </c>
      <c r="AZ2625" s="3" t="s">
        <v>21811</v>
      </c>
      <c r="BA2625" s="3" t="s">
        <v>21811</v>
      </c>
      <c r="BB2625" s="3" t="s">
        <v>21812</v>
      </c>
      <c r="BC2625" s="3" t="s">
        <v>82</v>
      </c>
      <c r="BD2625" s="3" t="s">
        <v>70</v>
      </c>
      <c r="BE2625" s="3" t="s">
        <v>21813</v>
      </c>
      <c r="BF2625" s="3" t="s">
        <v>21812</v>
      </c>
      <c r="BG2625" s="3" t="s">
        <v>21814</v>
      </c>
    </row>
    <row r="2626" spans="1:59" ht="60" x14ac:dyDescent="0.25">
      <c r="A2626" s="2" t="s">
        <v>59</v>
      </c>
      <c r="B2626" s="2" t="s">
        <v>60</v>
      </c>
      <c r="C2626" s="2" t="s">
        <v>21804</v>
      </c>
      <c r="D2626" s="2" t="s">
        <v>21805</v>
      </c>
      <c r="E2626" s="2" t="s">
        <v>21806</v>
      </c>
      <c r="G2626" s="3" t="s">
        <v>63</v>
      </c>
      <c r="I2626" s="3" t="s">
        <v>62</v>
      </c>
      <c r="J2626" s="3" t="s">
        <v>63</v>
      </c>
      <c r="K2626" s="3" t="s">
        <v>64</v>
      </c>
      <c r="L2626" s="2" t="s">
        <v>5914</v>
      </c>
      <c r="M2626" s="2" t="s">
        <v>21807</v>
      </c>
      <c r="N2626" s="3" t="s">
        <v>161</v>
      </c>
      <c r="P2626" s="3" t="s">
        <v>66</v>
      </c>
      <c r="Q2626" s="2" t="s">
        <v>21808</v>
      </c>
      <c r="R2626" s="3" t="s">
        <v>67</v>
      </c>
      <c r="S2626" s="4">
        <v>9</v>
      </c>
      <c r="T2626" s="4">
        <v>37</v>
      </c>
      <c r="U2626" s="5" t="s">
        <v>21815</v>
      </c>
      <c r="V2626" s="5" t="s">
        <v>18278</v>
      </c>
      <c r="W2626" s="5" t="s">
        <v>69</v>
      </c>
      <c r="X2626" s="5" t="s">
        <v>69</v>
      </c>
      <c r="Y2626" s="4">
        <v>124</v>
      </c>
      <c r="Z2626" s="4">
        <v>4</v>
      </c>
      <c r="AA2626" s="4">
        <v>6</v>
      </c>
      <c r="AB2626" s="4">
        <v>1</v>
      </c>
      <c r="AC2626" s="4">
        <v>1</v>
      </c>
      <c r="AD2626" s="4">
        <v>15</v>
      </c>
      <c r="AE2626" s="4">
        <v>16</v>
      </c>
      <c r="AF2626" s="4">
        <v>0</v>
      </c>
      <c r="AG2626" s="4">
        <v>0</v>
      </c>
      <c r="AH2626" s="4">
        <v>13</v>
      </c>
      <c r="AI2626" s="4">
        <v>14</v>
      </c>
      <c r="AJ2626" s="4">
        <v>2</v>
      </c>
      <c r="AK2626" s="4">
        <v>3</v>
      </c>
      <c r="AL2626" s="4">
        <v>5</v>
      </c>
      <c r="AM2626" s="4">
        <v>5</v>
      </c>
      <c r="AN2626" s="4">
        <v>0</v>
      </c>
      <c r="AO2626" s="4">
        <v>0</v>
      </c>
      <c r="AP2626" s="4">
        <v>2</v>
      </c>
      <c r="AQ2626" s="4">
        <v>3</v>
      </c>
      <c r="AR2626" s="3" t="s">
        <v>63</v>
      </c>
      <c r="AS2626" s="3" t="s">
        <v>63</v>
      </c>
      <c r="AT2626" s="3" t="s">
        <v>63</v>
      </c>
      <c r="AV2626" s="6" t="str">
        <f>HYPERLINK("http://mcgill.on.worldcat.org/oclc/18780769","Catalog Record")</f>
        <v>Catalog Record</v>
      </c>
      <c r="AW2626" s="6" t="str">
        <f>HYPERLINK("http://www.worldcat.org/oclc/18780769","WorldCat Record")</f>
        <v>WorldCat Record</v>
      </c>
      <c r="AX2626" s="3" t="s">
        <v>21809</v>
      </c>
      <c r="AY2626" s="3" t="s">
        <v>21810</v>
      </c>
      <c r="AZ2626" s="3" t="s">
        <v>21811</v>
      </c>
      <c r="BA2626" s="3" t="s">
        <v>21811</v>
      </c>
      <c r="BB2626" s="3" t="s">
        <v>21816</v>
      </c>
      <c r="BC2626" s="3" t="s">
        <v>82</v>
      </c>
      <c r="BD2626" s="3" t="s">
        <v>70</v>
      </c>
      <c r="BE2626" s="3" t="s">
        <v>21813</v>
      </c>
      <c r="BF2626" s="3" t="s">
        <v>21816</v>
      </c>
      <c r="BG2626" s="3" t="s">
        <v>21817</v>
      </c>
    </row>
    <row r="2627" spans="1:59" ht="60" x14ac:dyDescent="0.25">
      <c r="A2627" s="2" t="s">
        <v>59</v>
      </c>
      <c r="B2627" s="2" t="s">
        <v>60</v>
      </c>
      <c r="C2627" s="2" t="s">
        <v>21818</v>
      </c>
      <c r="D2627" s="2" t="s">
        <v>21819</v>
      </c>
      <c r="E2627" s="2" t="s">
        <v>21820</v>
      </c>
      <c r="G2627" s="3" t="s">
        <v>63</v>
      </c>
      <c r="I2627" s="3" t="s">
        <v>63</v>
      </c>
      <c r="J2627" s="3" t="s">
        <v>63</v>
      </c>
      <c r="K2627" s="3" t="s">
        <v>64</v>
      </c>
      <c r="L2627" s="2" t="s">
        <v>21821</v>
      </c>
      <c r="M2627" s="2" t="s">
        <v>21822</v>
      </c>
      <c r="N2627" s="3" t="s">
        <v>2535</v>
      </c>
      <c r="P2627" s="3" t="s">
        <v>66</v>
      </c>
      <c r="R2627" s="3" t="s">
        <v>67</v>
      </c>
      <c r="S2627" s="4">
        <v>21</v>
      </c>
      <c r="T2627" s="4">
        <v>21</v>
      </c>
      <c r="U2627" s="5" t="s">
        <v>3301</v>
      </c>
      <c r="V2627" s="5" t="s">
        <v>3301</v>
      </c>
      <c r="W2627" s="5" t="s">
        <v>69</v>
      </c>
      <c r="X2627" s="5" t="s">
        <v>69</v>
      </c>
      <c r="Y2627" s="4">
        <v>525</v>
      </c>
      <c r="Z2627" s="4">
        <v>37</v>
      </c>
      <c r="AA2627" s="4">
        <v>39</v>
      </c>
      <c r="AB2627" s="4">
        <v>2</v>
      </c>
      <c r="AC2627" s="4">
        <v>3</v>
      </c>
      <c r="AD2627" s="4">
        <v>113</v>
      </c>
      <c r="AE2627" s="4">
        <v>115</v>
      </c>
      <c r="AF2627" s="4">
        <v>1</v>
      </c>
      <c r="AG2627" s="4">
        <v>2</v>
      </c>
      <c r="AH2627" s="4">
        <v>95</v>
      </c>
      <c r="AI2627" s="4">
        <v>95</v>
      </c>
      <c r="AJ2627" s="4">
        <v>21</v>
      </c>
      <c r="AK2627" s="4">
        <v>22</v>
      </c>
      <c r="AL2627" s="4">
        <v>56</v>
      </c>
      <c r="AM2627" s="4">
        <v>56</v>
      </c>
      <c r="AN2627" s="4">
        <v>0</v>
      </c>
      <c r="AO2627" s="4">
        <v>0</v>
      </c>
      <c r="AP2627" s="4">
        <v>25</v>
      </c>
      <c r="AQ2627" s="4">
        <v>26</v>
      </c>
      <c r="AR2627" s="3" t="s">
        <v>63</v>
      </c>
      <c r="AS2627" s="3" t="s">
        <v>63</v>
      </c>
      <c r="AT2627" s="3" t="s">
        <v>62</v>
      </c>
      <c r="AU2627" s="6" t="str">
        <f>HYPERLINK("http://catalog.hathitrust.org/Record/001224239","HathiTrust Record")</f>
        <v>HathiTrust Record</v>
      </c>
      <c r="AV2627" s="6" t="str">
        <f>HYPERLINK("http://mcgill.on.worldcat.org/oclc/746639","Catalog Record")</f>
        <v>Catalog Record</v>
      </c>
      <c r="AW2627" s="6" t="str">
        <f>HYPERLINK("http://www.worldcat.org/oclc/746639","WorldCat Record")</f>
        <v>WorldCat Record</v>
      </c>
      <c r="AX2627" s="3" t="s">
        <v>21823</v>
      </c>
      <c r="AY2627" s="3" t="s">
        <v>21824</v>
      </c>
      <c r="AZ2627" s="3" t="s">
        <v>21825</v>
      </c>
      <c r="BA2627" s="3" t="s">
        <v>21825</v>
      </c>
      <c r="BB2627" s="3" t="s">
        <v>21826</v>
      </c>
      <c r="BC2627" s="3" t="s">
        <v>82</v>
      </c>
      <c r="BD2627" s="3" t="s">
        <v>70</v>
      </c>
      <c r="BE2627" s="3" t="s">
        <v>21827</v>
      </c>
      <c r="BF2627" s="3" t="s">
        <v>21826</v>
      </c>
      <c r="BG2627" s="3" t="s">
        <v>21828</v>
      </c>
    </row>
    <row r="2628" spans="1:59" ht="60" x14ac:dyDescent="0.25">
      <c r="A2628" s="2" t="s">
        <v>59</v>
      </c>
      <c r="B2628" s="2" t="s">
        <v>60</v>
      </c>
      <c r="C2628" s="2" t="s">
        <v>21829</v>
      </c>
      <c r="D2628" s="2" t="s">
        <v>21830</v>
      </c>
      <c r="E2628" s="2" t="s">
        <v>21831</v>
      </c>
      <c r="G2628" s="3" t="s">
        <v>63</v>
      </c>
      <c r="I2628" s="3" t="s">
        <v>63</v>
      </c>
      <c r="J2628" s="3" t="s">
        <v>62</v>
      </c>
      <c r="K2628" s="3" t="s">
        <v>64</v>
      </c>
      <c r="L2628" s="2" t="s">
        <v>19928</v>
      </c>
      <c r="M2628" s="2" t="s">
        <v>21832</v>
      </c>
      <c r="N2628" s="3" t="s">
        <v>837</v>
      </c>
      <c r="P2628" s="3" t="s">
        <v>66</v>
      </c>
      <c r="R2628" s="3" t="s">
        <v>67</v>
      </c>
      <c r="S2628" s="4">
        <v>7</v>
      </c>
      <c r="T2628" s="4">
        <v>7</v>
      </c>
      <c r="U2628" s="5" t="s">
        <v>4687</v>
      </c>
      <c r="V2628" s="5" t="s">
        <v>4687</v>
      </c>
      <c r="W2628" s="5" t="s">
        <v>69</v>
      </c>
      <c r="X2628" s="5" t="s">
        <v>69</v>
      </c>
      <c r="Y2628" s="4">
        <v>194</v>
      </c>
      <c r="Z2628" s="4">
        <v>12</v>
      </c>
      <c r="AA2628" s="4">
        <v>46</v>
      </c>
      <c r="AB2628" s="4">
        <v>1</v>
      </c>
      <c r="AC2628" s="4">
        <v>4</v>
      </c>
      <c r="AD2628" s="4">
        <v>52</v>
      </c>
      <c r="AE2628" s="4">
        <v>130</v>
      </c>
      <c r="AF2628" s="4">
        <v>0</v>
      </c>
      <c r="AG2628" s="4">
        <v>2</v>
      </c>
      <c r="AH2628" s="4">
        <v>48</v>
      </c>
      <c r="AI2628" s="4">
        <v>104</v>
      </c>
      <c r="AJ2628" s="4">
        <v>7</v>
      </c>
      <c r="AK2628" s="4">
        <v>23</v>
      </c>
      <c r="AL2628" s="4">
        <v>29</v>
      </c>
      <c r="AM2628" s="4">
        <v>58</v>
      </c>
      <c r="AN2628" s="4">
        <v>0</v>
      </c>
      <c r="AO2628" s="4">
        <v>8</v>
      </c>
      <c r="AP2628" s="4">
        <v>9</v>
      </c>
      <c r="AQ2628" s="4">
        <v>32</v>
      </c>
      <c r="AR2628" s="3" t="s">
        <v>63</v>
      </c>
      <c r="AS2628" s="3" t="s">
        <v>63</v>
      </c>
      <c r="AT2628" s="3" t="s">
        <v>62</v>
      </c>
      <c r="AU2628" s="6" t="str">
        <f>HYPERLINK("http://catalog.hathitrust.org/Record/001224240","HathiTrust Record")</f>
        <v>HathiTrust Record</v>
      </c>
      <c r="AV2628" s="6" t="str">
        <f>HYPERLINK("http://mcgill.on.worldcat.org/oclc/2018684","Catalog Record")</f>
        <v>Catalog Record</v>
      </c>
      <c r="AW2628" s="6" t="str">
        <f>HYPERLINK("http://www.worldcat.org/oclc/2018684","WorldCat Record")</f>
        <v>WorldCat Record</v>
      </c>
      <c r="AX2628" s="3" t="s">
        <v>21833</v>
      </c>
      <c r="AY2628" s="3" t="s">
        <v>21834</v>
      </c>
      <c r="AZ2628" s="3" t="s">
        <v>21835</v>
      </c>
      <c r="BA2628" s="3" t="s">
        <v>21835</v>
      </c>
      <c r="BB2628" s="3" t="s">
        <v>21836</v>
      </c>
      <c r="BC2628" s="3" t="s">
        <v>82</v>
      </c>
      <c r="BD2628" s="3" t="s">
        <v>70</v>
      </c>
      <c r="BF2628" s="3" t="s">
        <v>21836</v>
      </c>
      <c r="BG2628" s="3" t="s">
        <v>21837</v>
      </c>
    </row>
    <row r="2629" spans="1:59" ht="75" x14ac:dyDescent="0.25">
      <c r="A2629" s="2" t="s">
        <v>59</v>
      </c>
      <c r="B2629" s="2" t="s">
        <v>60</v>
      </c>
      <c r="C2629" s="2" t="s">
        <v>21838</v>
      </c>
      <c r="D2629" s="2" t="s">
        <v>21839</v>
      </c>
      <c r="E2629" s="2" t="s">
        <v>21840</v>
      </c>
      <c r="G2629" s="3" t="s">
        <v>63</v>
      </c>
      <c r="I2629" s="3" t="s">
        <v>63</v>
      </c>
      <c r="J2629" s="3" t="s">
        <v>63</v>
      </c>
      <c r="K2629" s="3" t="s">
        <v>64</v>
      </c>
      <c r="M2629" s="2" t="s">
        <v>21841</v>
      </c>
      <c r="N2629" s="3" t="s">
        <v>629</v>
      </c>
      <c r="P2629" s="3" t="s">
        <v>66</v>
      </c>
      <c r="R2629" s="3" t="s">
        <v>67</v>
      </c>
      <c r="S2629" s="4">
        <v>3</v>
      </c>
      <c r="T2629" s="4">
        <v>3</v>
      </c>
      <c r="U2629" s="5" t="s">
        <v>21842</v>
      </c>
      <c r="V2629" s="5" t="s">
        <v>21842</v>
      </c>
      <c r="W2629" s="5" t="s">
        <v>69</v>
      </c>
      <c r="X2629" s="5" t="s">
        <v>69</v>
      </c>
      <c r="Y2629" s="4">
        <v>145</v>
      </c>
      <c r="Z2629" s="4">
        <v>15</v>
      </c>
      <c r="AA2629" s="4">
        <v>20</v>
      </c>
      <c r="AB2629" s="4">
        <v>1</v>
      </c>
      <c r="AC2629" s="4">
        <v>3</v>
      </c>
      <c r="AD2629" s="4">
        <v>61</v>
      </c>
      <c r="AE2629" s="4">
        <v>65</v>
      </c>
      <c r="AF2629" s="4">
        <v>0</v>
      </c>
      <c r="AG2629" s="4">
        <v>0</v>
      </c>
      <c r="AH2629" s="4">
        <v>57</v>
      </c>
      <c r="AI2629" s="4">
        <v>59</v>
      </c>
      <c r="AJ2629" s="4">
        <v>8</v>
      </c>
      <c r="AK2629" s="4">
        <v>8</v>
      </c>
      <c r="AL2629" s="4">
        <v>37</v>
      </c>
      <c r="AM2629" s="4">
        <v>39</v>
      </c>
      <c r="AN2629" s="4">
        <v>0</v>
      </c>
      <c r="AO2629" s="4">
        <v>0</v>
      </c>
      <c r="AP2629" s="4">
        <v>10</v>
      </c>
      <c r="AQ2629" s="4">
        <v>12</v>
      </c>
      <c r="AR2629" s="3" t="s">
        <v>63</v>
      </c>
      <c r="AS2629" s="3" t="s">
        <v>63</v>
      </c>
      <c r="AT2629" s="3" t="s">
        <v>63</v>
      </c>
      <c r="AV2629" s="6" t="str">
        <f>HYPERLINK("http://mcgill.on.worldcat.org/oclc/689522324","Catalog Record")</f>
        <v>Catalog Record</v>
      </c>
      <c r="AW2629" s="6" t="str">
        <f>HYPERLINK("http://www.worldcat.org/oclc/689522324","WorldCat Record")</f>
        <v>WorldCat Record</v>
      </c>
      <c r="AX2629" s="3" t="s">
        <v>21843</v>
      </c>
      <c r="AY2629" s="3" t="s">
        <v>21844</v>
      </c>
      <c r="AZ2629" s="3" t="s">
        <v>21845</v>
      </c>
      <c r="BA2629" s="3" t="s">
        <v>21845</v>
      </c>
      <c r="BB2629" s="3" t="s">
        <v>21846</v>
      </c>
      <c r="BC2629" s="3" t="s">
        <v>82</v>
      </c>
      <c r="BD2629" s="3" t="s">
        <v>70</v>
      </c>
      <c r="BE2629" s="3" t="s">
        <v>21847</v>
      </c>
      <c r="BF2629" s="3" t="s">
        <v>21846</v>
      </c>
      <c r="BG2629" s="3" t="s">
        <v>21848</v>
      </c>
    </row>
    <row r="2630" spans="1:59" ht="60" x14ac:dyDescent="0.25">
      <c r="A2630" s="2" t="s">
        <v>59</v>
      </c>
      <c r="B2630" s="2" t="s">
        <v>60</v>
      </c>
      <c r="C2630" s="2" t="s">
        <v>21849</v>
      </c>
      <c r="D2630" s="2" t="s">
        <v>21850</v>
      </c>
      <c r="E2630" s="2" t="s">
        <v>21851</v>
      </c>
      <c r="G2630" s="3" t="s">
        <v>63</v>
      </c>
      <c r="I2630" s="3" t="s">
        <v>63</v>
      </c>
      <c r="J2630" s="3" t="s">
        <v>63</v>
      </c>
      <c r="K2630" s="3" t="s">
        <v>64</v>
      </c>
      <c r="L2630" s="2" t="s">
        <v>21852</v>
      </c>
      <c r="M2630" s="2" t="s">
        <v>21853</v>
      </c>
      <c r="N2630" s="3" t="s">
        <v>220</v>
      </c>
      <c r="P2630" s="3" t="s">
        <v>66</v>
      </c>
      <c r="Q2630" s="2" t="s">
        <v>21854</v>
      </c>
      <c r="R2630" s="3" t="s">
        <v>67</v>
      </c>
      <c r="S2630" s="4">
        <v>20</v>
      </c>
      <c r="T2630" s="4">
        <v>20</v>
      </c>
      <c r="U2630" s="5" t="s">
        <v>155</v>
      </c>
      <c r="V2630" s="5" t="s">
        <v>155</v>
      </c>
      <c r="W2630" s="5" t="s">
        <v>69</v>
      </c>
      <c r="X2630" s="5" t="s">
        <v>69</v>
      </c>
      <c r="Y2630" s="4">
        <v>37</v>
      </c>
      <c r="Z2630" s="4">
        <v>9</v>
      </c>
      <c r="AA2630" s="4">
        <v>9</v>
      </c>
      <c r="AB2630" s="4">
        <v>1</v>
      </c>
      <c r="AC2630" s="4">
        <v>1</v>
      </c>
      <c r="AD2630" s="4">
        <v>23</v>
      </c>
      <c r="AE2630" s="4">
        <v>23</v>
      </c>
      <c r="AF2630" s="4">
        <v>0</v>
      </c>
      <c r="AG2630" s="4">
        <v>0</v>
      </c>
      <c r="AH2630" s="4">
        <v>20</v>
      </c>
      <c r="AI2630" s="4">
        <v>20</v>
      </c>
      <c r="AJ2630" s="4">
        <v>5</v>
      </c>
      <c r="AK2630" s="4">
        <v>5</v>
      </c>
      <c r="AL2630" s="4">
        <v>15</v>
      </c>
      <c r="AM2630" s="4">
        <v>15</v>
      </c>
      <c r="AN2630" s="4">
        <v>0</v>
      </c>
      <c r="AO2630" s="4">
        <v>0</v>
      </c>
      <c r="AP2630" s="4">
        <v>5</v>
      </c>
      <c r="AQ2630" s="4">
        <v>5</v>
      </c>
      <c r="AR2630" s="3" t="s">
        <v>63</v>
      </c>
      <c r="AS2630" s="3" t="s">
        <v>63</v>
      </c>
      <c r="AT2630" s="3" t="s">
        <v>63</v>
      </c>
      <c r="AV2630" s="6" t="str">
        <f>HYPERLINK("http://mcgill.on.worldcat.org/oclc/28846382","Catalog Record")</f>
        <v>Catalog Record</v>
      </c>
      <c r="AW2630" s="6" t="str">
        <f>HYPERLINK("http://www.worldcat.org/oclc/28846382","WorldCat Record")</f>
        <v>WorldCat Record</v>
      </c>
      <c r="AX2630" s="3" t="s">
        <v>21855</v>
      </c>
      <c r="AY2630" s="3" t="s">
        <v>21856</v>
      </c>
      <c r="AZ2630" s="3" t="s">
        <v>21857</v>
      </c>
      <c r="BA2630" s="3" t="s">
        <v>21857</v>
      </c>
      <c r="BB2630" s="3" t="s">
        <v>21858</v>
      </c>
      <c r="BC2630" s="3" t="s">
        <v>82</v>
      </c>
      <c r="BD2630" s="3" t="s">
        <v>70</v>
      </c>
      <c r="BE2630" s="3" t="s">
        <v>21859</v>
      </c>
      <c r="BF2630" s="3" t="s">
        <v>21858</v>
      </c>
      <c r="BG2630" s="3" t="s">
        <v>21860</v>
      </c>
    </row>
    <row r="2631" spans="1:59" ht="60" x14ac:dyDescent="0.25">
      <c r="A2631" s="2" t="s">
        <v>59</v>
      </c>
      <c r="B2631" s="2" t="s">
        <v>60</v>
      </c>
      <c r="C2631" s="2" t="s">
        <v>21861</v>
      </c>
      <c r="D2631" s="2" t="s">
        <v>21862</v>
      </c>
      <c r="E2631" s="2" t="s">
        <v>21863</v>
      </c>
      <c r="G2631" s="3" t="s">
        <v>63</v>
      </c>
      <c r="I2631" s="3" t="s">
        <v>63</v>
      </c>
      <c r="J2631" s="3" t="s">
        <v>63</v>
      </c>
      <c r="K2631" s="3" t="s">
        <v>64</v>
      </c>
      <c r="L2631" s="2" t="s">
        <v>20896</v>
      </c>
      <c r="M2631" s="2" t="s">
        <v>21864</v>
      </c>
      <c r="N2631" s="3" t="s">
        <v>1113</v>
      </c>
      <c r="P2631" s="3" t="s">
        <v>66</v>
      </c>
      <c r="R2631" s="3" t="s">
        <v>67</v>
      </c>
      <c r="S2631" s="4">
        <v>15</v>
      </c>
      <c r="T2631" s="4">
        <v>15</v>
      </c>
      <c r="U2631" s="5" t="s">
        <v>21865</v>
      </c>
      <c r="V2631" s="5" t="s">
        <v>21865</v>
      </c>
      <c r="W2631" s="5" t="s">
        <v>69</v>
      </c>
      <c r="X2631" s="5" t="s">
        <v>69</v>
      </c>
      <c r="Y2631" s="4">
        <v>199</v>
      </c>
      <c r="Z2631" s="4">
        <v>17</v>
      </c>
      <c r="AA2631" s="4">
        <v>45</v>
      </c>
      <c r="AB2631" s="4">
        <v>2</v>
      </c>
      <c r="AC2631" s="4">
        <v>2</v>
      </c>
      <c r="AD2631" s="4">
        <v>39</v>
      </c>
      <c r="AE2631" s="4">
        <v>119</v>
      </c>
      <c r="AF2631" s="4">
        <v>1</v>
      </c>
      <c r="AG2631" s="4">
        <v>1</v>
      </c>
      <c r="AH2631" s="4">
        <v>35</v>
      </c>
      <c r="AI2631" s="4">
        <v>100</v>
      </c>
      <c r="AJ2631" s="4">
        <v>8</v>
      </c>
      <c r="AK2631" s="4">
        <v>17</v>
      </c>
      <c r="AL2631" s="4">
        <v>25</v>
      </c>
      <c r="AM2631" s="4">
        <v>58</v>
      </c>
      <c r="AN2631" s="4">
        <v>0</v>
      </c>
      <c r="AO2631" s="4">
        <v>0</v>
      </c>
      <c r="AP2631" s="4">
        <v>8</v>
      </c>
      <c r="AQ2631" s="4">
        <v>24</v>
      </c>
      <c r="AR2631" s="3" t="s">
        <v>63</v>
      </c>
      <c r="AS2631" s="3" t="s">
        <v>63</v>
      </c>
      <c r="AT2631" s="3" t="s">
        <v>63</v>
      </c>
      <c r="AV2631" s="6" t="str">
        <f>HYPERLINK("http://mcgill.on.worldcat.org/oclc/37332209","Catalog Record")</f>
        <v>Catalog Record</v>
      </c>
      <c r="AW2631" s="6" t="str">
        <f>HYPERLINK("http://www.worldcat.org/oclc/37332209","WorldCat Record")</f>
        <v>WorldCat Record</v>
      </c>
      <c r="AX2631" s="3" t="s">
        <v>21866</v>
      </c>
      <c r="AY2631" s="3" t="s">
        <v>21867</v>
      </c>
      <c r="AZ2631" s="3" t="s">
        <v>21868</v>
      </c>
      <c r="BA2631" s="3" t="s">
        <v>21868</v>
      </c>
      <c r="BB2631" s="3" t="s">
        <v>21869</v>
      </c>
      <c r="BC2631" s="3" t="s">
        <v>82</v>
      </c>
      <c r="BD2631" s="3" t="s">
        <v>70</v>
      </c>
      <c r="BE2631" s="3" t="s">
        <v>21870</v>
      </c>
      <c r="BF2631" s="3" t="s">
        <v>21869</v>
      </c>
      <c r="BG2631" s="3" t="s">
        <v>21871</v>
      </c>
    </row>
    <row r="2632" spans="1:59" ht="60" x14ac:dyDescent="0.25">
      <c r="A2632" s="2" t="s">
        <v>59</v>
      </c>
      <c r="B2632" s="2" t="s">
        <v>60</v>
      </c>
      <c r="C2632" s="2" t="s">
        <v>21872</v>
      </c>
      <c r="D2632" s="2" t="s">
        <v>21873</v>
      </c>
      <c r="E2632" s="2" t="s">
        <v>21874</v>
      </c>
      <c r="G2632" s="3" t="s">
        <v>63</v>
      </c>
      <c r="I2632" s="3" t="s">
        <v>63</v>
      </c>
      <c r="J2632" s="3" t="s">
        <v>63</v>
      </c>
      <c r="K2632" s="3" t="s">
        <v>64</v>
      </c>
      <c r="L2632" s="2" t="s">
        <v>21875</v>
      </c>
      <c r="M2632" s="2" t="s">
        <v>21876</v>
      </c>
      <c r="N2632" s="3" t="s">
        <v>1046</v>
      </c>
      <c r="O2632" s="2" t="s">
        <v>1605</v>
      </c>
      <c r="P2632" s="3" t="s">
        <v>66</v>
      </c>
      <c r="Q2632" s="2" t="s">
        <v>21877</v>
      </c>
      <c r="R2632" s="3" t="s">
        <v>67</v>
      </c>
      <c r="S2632" s="4">
        <v>4</v>
      </c>
      <c r="T2632" s="4">
        <v>4</v>
      </c>
      <c r="U2632" s="5" t="s">
        <v>21878</v>
      </c>
      <c r="V2632" s="5" t="s">
        <v>21878</v>
      </c>
      <c r="W2632" s="5" t="s">
        <v>69</v>
      </c>
      <c r="X2632" s="5" t="s">
        <v>69</v>
      </c>
      <c r="Y2632" s="4">
        <v>1241</v>
      </c>
      <c r="Z2632" s="4">
        <v>40</v>
      </c>
      <c r="AA2632" s="4">
        <v>53</v>
      </c>
      <c r="AB2632" s="4">
        <v>3</v>
      </c>
      <c r="AC2632" s="4">
        <v>5</v>
      </c>
      <c r="AD2632" s="4">
        <v>129</v>
      </c>
      <c r="AE2632" s="4">
        <v>138</v>
      </c>
      <c r="AF2632" s="4">
        <v>2</v>
      </c>
      <c r="AG2632" s="4">
        <v>3</v>
      </c>
      <c r="AH2632" s="4">
        <v>104</v>
      </c>
      <c r="AI2632" s="4">
        <v>109</v>
      </c>
      <c r="AJ2632" s="4">
        <v>22</v>
      </c>
      <c r="AK2632" s="4">
        <v>25</v>
      </c>
      <c r="AL2632" s="4">
        <v>60</v>
      </c>
      <c r="AM2632" s="4">
        <v>60</v>
      </c>
      <c r="AN2632" s="4">
        <v>0</v>
      </c>
      <c r="AO2632" s="4">
        <v>0</v>
      </c>
      <c r="AP2632" s="4">
        <v>28</v>
      </c>
      <c r="AQ2632" s="4">
        <v>34</v>
      </c>
      <c r="AR2632" s="3" t="s">
        <v>63</v>
      </c>
      <c r="AS2632" s="3" t="s">
        <v>62</v>
      </c>
      <c r="AT2632" s="3" t="s">
        <v>63</v>
      </c>
      <c r="AU2632" s="6" t="str">
        <f>HYPERLINK("http://catalog.hathitrust.org/Record/001110436","HathiTrust Record")</f>
        <v>HathiTrust Record</v>
      </c>
      <c r="AV2632" s="6" t="str">
        <f>HYPERLINK("http://mcgill.on.worldcat.org/oclc/41499711","Catalog Record")</f>
        <v>Catalog Record</v>
      </c>
      <c r="AW2632" s="6" t="str">
        <f>HYPERLINK("http://www.worldcat.org/oclc/41499711","WorldCat Record")</f>
        <v>WorldCat Record</v>
      </c>
      <c r="AX2632" s="3" t="s">
        <v>21879</v>
      </c>
      <c r="AY2632" s="3" t="s">
        <v>21880</v>
      </c>
      <c r="AZ2632" s="3" t="s">
        <v>21881</v>
      </c>
      <c r="BA2632" s="3" t="s">
        <v>21881</v>
      </c>
      <c r="BB2632" s="3" t="s">
        <v>21882</v>
      </c>
      <c r="BC2632" s="3" t="s">
        <v>82</v>
      </c>
      <c r="BD2632" s="3" t="s">
        <v>70</v>
      </c>
      <c r="BF2632" s="3" t="s">
        <v>21882</v>
      </c>
      <c r="BG2632" s="3" t="s">
        <v>21883</v>
      </c>
    </row>
    <row r="2633" spans="1:59" ht="60" x14ac:dyDescent="0.25">
      <c r="A2633" s="2" t="s">
        <v>59</v>
      </c>
      <c r="B2633" s="2" t="s">
        <v>60</v>
      </c>
      <c r="C2633" s="2" t="s">
        <v>21884</v>
      </c>
      <c r="D2633" s="2" t="s">
        <v>21885</v>
      </c>
      <c r="E2633" s="2" t="s">
        <v>21886</v>
      </c>
      <c r="G2633" s="3" t="s">
        <v>63</v>
      </c>
      <c r="I2633" s="3" t="s">
        <v>63</v>
      </c>
      <c r="J2633" s="3" t="s">
        <v>63</v>
      </c>
      <c r="K2633" s="3" t="s">
        <v>64</v>
      </c>
      <c r="L2633" s="2" t="s">
        <v>21887</v>
      </c>
      <c r="M2633" s="2" t="s">
        <v>4552</v>
      </c>
      <c r="N2633" s="3" t="s">
        <v>313</v>
      </c>
      <c r="P2633" s="3" t="s">
        <v>90</v>
      </c>
      <c r="Q2633" s="2" t="s">
        <v>6366</v>
      </c>
      <c r="R2633" s="3" t="s">
        <v>67</v>
      </c>
      <c r="S2633" s="4">
        <v>0</v>
      </c>
      <c r="T2633" s="4">
        <v>0</v>
      </c>
      <c r="W2633" s="5" t="s">
        <v>69</v>
      </c>
      <c r="X2633" s="5" t="s">
        <v>69</v>
      </c>
      <c r="Y2633" s="4">
        <v>39</v>
      </c>
      <c r="Z2633" s="4">
        <v>4</v>
      </c>
      <c r="AA2633" s="4">
        <v>4</v>
      </c>
      <c r="AB2633" s="4">
        <v>1</v>
      </c>
      <c r="AC2633" s="4">
        <v>1</v>
      </c>
      <c r="AD2633" s="4">
        <v>28</v>
      </c>
      <c r="AE2633" s="4">
        <v>30</v>
      </c>
      <c r="AF2633" s="4">
        <v>0</v>
      </c>
      <c r="AG2633" s="4">
        <v>0</v>
      </c>
      <c r="AH2633" s="4">
        <v>27</v>
      </c>
      <c r="AI2633" s="4">
        <v>29</v>
      </c>
      <c r="AJ2633" s="4">
        <v>1</v>
      </c>
      <c r="AK2633" s="4">
        <v>1</v>
      </c>
      <c r="AL2633" s="4">
        <v>24</v>
      </c>
      <c r="AM2633" s="4">
        <v>26</v>
      </c>
      <c r="AN2633" s="4">
        <v>0</v>
      </c>
      <c r="AO2633" s="4">
        <v>0</v>
      </c>
      <c r="AP2633" s="4">
        <v>1</v>
      </c>
      <c r="AQ2633" s="4">
        <v>1</v>
      </c>
      <c r="AR2633" s="3" t="s">
        <v>63</v>
      </c>
      <c r="AS2633" s="3" t="s">
        <v>63</v>
      </c>
      <c r="AT2633" s="3" t="s">
        <v>62</v>
      </c>
      <c r="AU2633" s="6" t="str">
        <f>HYPERLINK("http://catalog.hathitrust.org/Record/011247405","HathiTrust Record")</f>
        <v>HathiTrust Record</v>
      </c>
      <c r="AV2633" s="6" t="str">
        <f>HYPERLINK("http://mcgill.on.worldcat.org/oclc/644583531","Catalog Record")</f>
        <v>Catalog Record</v>
      </c>
      <c r="AW2633" s="6" t="str">
        <f>HYPERLINK("http://www.worldcat.org/oclc/644583531","WorldCat Record")</f>
        <v>WorldCat Record</v>
      </c>
      <c r="AX2633" s="3" t="s">
        <v>21888</v>
      </c>
      <c r="AY2633" s="3" t="s">
        <v>21889</v>
      </c>
      <c r="AZ2633" s="3" t="s">
        <v>21890</v>
      </c>
      <c r="BA2633" s="3" t="s">
        <v>21890</v>
      </c>
      <c r="BB2633" s="3" t="s">
        <v>21891</v>
      </c>
      <c r="BC2633" s="3" t="s">
        <v>82</v>
      </c>
      <c r="BD2633" s="3" t="s">
        <v>70</v>
      </c>
      <c r="BE2633" s="3" t="s">
        <v>21892</v>
      </c>
      <c r="BF2633" s="3" t="s">
        <v>21891</v>
      </c>
      <c r="BG2633" s="3" t="s">
        <v>21893</v>
      </c>
    </row>
    <row r="2634" spans="1:59" ht="60" x14ac:dyDescent="0.25">
      <c r="A2634" s="2" t="s">
        <v>59</v>
      </c>
      <c r="B2634" s="2" t="s">
        <v>60</v>
      </c>
      <c r="C2634" s="2" t="s">
        <v>21894</v>
      </c>
      <c r="D2634" s="2" t="s">
        <v>21895</v>
      </c>
      <c r="E2634" s="2" t="s">
        <v>21896</v>
      </c>
      <c r="G2634" s="3" t="s">
        <v>63</v>
      </c>
      <c r="I2634" s="3" t="s">
        <v>62</v>
      </c>
      <c r="J2634" s="3" t="s">
        <v>63</v>
      </c>
      <c r="K2634" s="3" t="s">
        <v>64</v>
      </c>
      <c r="L2634" s="2" t="s">
        <v>21897</v>
      </c>
      <c r="M2634" s="2" t="s">
        <v>21898</v>
      </c>
      <c r="N2634" s="3" t="s">
        <v>401</v>
      </c>
      <c r="P2634" s="3" t="s">
        <v>66</v>
      </c>
      <c r="R2634" s="3" t="s">
        <v>67</v>
      </c>
      <c r="S2634" s="4">
        <v>11</v>
      </c>
      <c r="T2634" s="4">
        <v>36</v>
      </c>
      <c r="U2634" s="5" t="s">
        <v>21899</v>
      </c>
      <c r="V2634" s="5" t="s">
        <v>5917</v>
      </c>
      <c r="W2634" s="5" t="s">
        <v>69</v>
      </c>
      <c r="X2634" s="5" t="s">
        <v>69</v>
      </c>
      <c r="Y2634" s="4">
        <v>1195</v>
      </c>
      <c r="Z2634" s="4">
        <v>47</v>
      </c>
      <c r="AA2634" s="4">
        <v>54</v>
      </c>
      <c r="AB2634" s="4">
        <v>5</v>
      </c>
      <c r="AC2634" s="4">
        <v>6</v>
      </c>
      <c r="AD2634" s="4">
        <v>129</v>
      </c>
      <c r="AE2634" s="4">
        <v>140</v>
      </c>
      <c r="AF2634" s="4">
        <v>2</v>
      </c>
      <c r="AG2634" s="4">
        <v>3</v>
      </c>
      <c r="AH2634" s="4">
        <v>103</v>
      </c>
      <c r="AI2634" s="4">
        <v>109</v>
      </c>
      <c r="AJ2634" s="4">
        <v>21</v>
      </c>
      <c r="AK2634" s="4">
        <v>25</v>
      </c>
      <c r="AL2634" s="4">
        <v>56</v>
      </c>
      <c r="AM2634" s="4">
        <v>60</v>
      </c>
      <c r="AN2634" s="4">
        <v>0</v>
      </c>
      <c r="AO2634" s="4">
        <v>5</v>
      </c>
      <c r="AP2634" s="4">
        <v>32</v>
      </c>
      <c r="AQ2634" s="4">
        <v>38</v>
      </c>
      <c r="AR2634" s="3" t="s">
        <v>63</v>
      </c>
      <c r="AS2634" s="3" t="s">
        <v>63</v>
      </c>
      <c r="AT2634" s="3" t="s">
        <v>62</v>
      </c>
      <c r="AU2634" s="6" t="str">
        <f>HYPERLINK("http://catalog.hathitrust.org/Record/001224263","HathiTrust Record")</f>
        <v>HathiTrust Record</v>
      </c>
      <c r="AV2634" s="6" t="str">
        <f>HYPERLINK("http://mcgill.on.worldcat.org/oclc/712186","Catalog Record")</f>
        <v>Catalog Record</v>
      </c>
      <c r="AW2634" s="6" t="str">
        <f>HYPERLINK("http://www.worldcat.org/oclc/712186","WorldCat Record")</f>
        <v>WorldCat Record</v>
      </c>
      <c r="AX2634" s="3" t="s">
        <v>21900</v>
      </c>
      <c r="AY2634" s="3" t="s">
        <v>21901</v>
      </c>
      <c r="AZ2634" s="3" t="s">
        <v>21902</v>
      </c>
      <c r="BA2634" s="3" t="s">
        <v>21902</v>
      </c>
      <c r="BB2634" s="3" t="s">
        <v>21903</v>
      </c>
      <c r="BC2634" s="3" t="s">
        <v>82</v>
      </c>
      <c r="BD2634" s="3" t="s">
        <v>70</v>
      </c>
      <c r="BF2634" s="3" t="s">
        <v>21903</v>
      </c>
      <c r="BG2634" s="3" t="s">
        <v>21904</v>
      </c>
    </row>
    <row r="2635" spans="1:59" ht="60" x14ac:dyDescent="0.25">
      <c r="A2635" s="2" t="s">
        <v>59</v>
      </c>
      <c r="B2635" s="2" t="s">
        <v>60</v>
      </c>
      <c r="C2635" s="2" t="s">
        <v>21894</v>
      </c>
      <c r="D2635" s="2" t="s">
        <v>21895</v>
      </c>
      <c r="E2635" s="2" t="s">
        <v>21896</v>
      </c>
      <c r="G2635" s="3" t="s">
        <v>63</v>
      </c>
      <c r="I2635" s="3" t="s">
        <v>62</v>
      </c>
      <c r="J2635" s="3" t="s">
        <v>63</v>
      </c>
      <c r="K2635" s="3" t="s">
        <v>64</v>
      </c>
      <c r="L2635" s="2" t="s">
        <v>21897</v>
      </c>
      <c r="M2635" s="2" t="s">
        <v>21898</v>
      </c>
      <c r="N2635" s="3" t="s">
        <v>401</v>
      </c>
      <c r="P2635" s="3" t="s">
        <v>66</v>
      </c>
      <c r="R2635" s="3" t="s">
        <v>67</v>
      </c>
      <c r="S2635" s="4">
        <v>8</v>
      </c>
      <c r="T2635" s="4">
        <v>36</v>
      </c>
      <c r="U2635" s="5" t="s">
        <v>20927</v>
      </c>
      <c r="V2635" s="5" t="s">
        <v>5917</v>
      </c>
      <c r="W2635" s="5" t="s">
        <v>69</v>
      </c>
      <c r="X2635" s="5" t="s">
        <v>69</v>
      </c>
      <c r="Y2635" s="4">
        <v>1195</v>
      </c>
      <c r="Z2635" s="4">
        <v>47</v>
      </c>
      <c r="AA2635" s="4">
        <v>54</v>
      </c>
      <c r="AB2635" s="4">
        <v>5</v>
      </c>
      <c r="AC2635" s="4">
        <v>6</v>
      </c>
      <c r="AD2635" s="4">
        <v>129</v>
      </c>
      <c r="AE2635" s="4">
        <v>140</v>
      </c>
      <c r="AF2635" s="4">
        <v>2</v>
      </c>
      <c r="AG2635" s="4">
        <v>3</v>
      </c>
      <c r="AH2635" s="4">
        <v>103</v>
      </c>
      <c r="AI2635" s="4">
        <v>109</v>
      </c>
      <c r="AJ2635" s="4">
        <v>21</v>
      </c>
      <c r="AK2635" s="4">
        <v>25</v>
      </c>
      <c r="AL2635" s="4">
        <v>56</v>
      </c>
      <c r="AM2635" s="4">
        <v>60</v>
      </c>
      <c r="AN2635" s="4">
        <v>0</v>
      </c>
      <c r="AO2635" s="4">
        <v>5</v>
      </c>
      <c r="AP2635" s="4">
        <v>32</v>
      </c>
      <c r="AQ2635" s="4">
        <v>38</v>
      </c>
      <c r="AR2635" s="3" t="s">
        <v>63</v>
      </c>
      <c r="AS2635" s="3" t="s">
        <v>63</v>
      </c>
      <c r="AT2635" s="3" t="s">
        <v>62</v>
      </c>
      <c r="AU2635" s="6" t="str">
        <f>HYPERLINK("http://catalog.hathitrust.org/Record/001224263","HathiTrust Record")</f>
        <v>HathiTrust Record</v>
      </c>
      <c r="AV2635" s="6" t="str">
        <f>HYPERLINK("http://mcgill.on.worldcat.org/oclc/712186","Catalog Record")</f>
        <v>Catalog Record</v>
      </c>
      <c r="AW2635" s="6" t="str">
        <f>HYPERLINK("http://www.worldcat.org/oclc/712186","WorldCat Record")</f>
        <v>WorldCat Record</v>
      </c>
      <c r="AX2635" s="3" t="s">
        <v>21900</v>
      </c>
      <c r="AY2635" s="3" t="s">
        <v>21901</v>
      </c>
      <c r="AZ2635" s="3" t="s">
        <v>21902</v>
      </c>
      <c r="BA2635" s="3" t="s">
        <v>21902</v>
      </c>
      <c r="BB2635" s="3" t="s">
        <v>21905</v>
      </c>
      <c r="BC2635" s="3" t="s">
        <v>82</v>
      </c>
      <c r="BD2635" s="3" t="s">
        <v>70</v>
      </c>
      <c r="BF2635" s="3" t="s">
        <v>21905</v>
      </c>
      <c r="BG2635" s="3" t="s">
        <v>21906</v>
      </c>
    </row>
    <row r="2636" spans="1:59" ht="60" x14ac:dyDescent="0.25">
      <c r="A2636" s="2" t="s">
        <v>59</v>
      </c>
      <c r="B2636" s="2" t="s">
        <v>60</v>
      </c>
      <c r="C2636" s="2" t="s">
        <v>21894</v>
      </c>
      <c r="D2636" s="2" t="s">
        <v>21895</v>
      </c>
      <c r="E2636" s="2" t="s">
        <v>21896</v>
      </c>
      <c r="G2636" s="3" t="s">
        <v>63</v>
      </c>
      <c r="I2636" s="3" t="s">
        <v>62</v>
      </c>
      <c r="J2636" s="3" t="s">
        <v>63</v>
      </c>
      <c r="K2636" s="3" t="s">
        <v>64</v>
      </c>
      <c r="L2636" s="2" t="s">
        <v>21897</v>
      </c>
      <c r="M2636" s="2" t="s">
        <v>21898</v>
      </c>
      <c r="N2636" s="3" t="s">
        <v>401</v>
      </c>
      <c r="P2636" s="3" t="s">
        <v>66</v>
      </c>
      <c r="R2636" s="3" t="s">
        <v>67</v>
      </c>
      <c r="S2636" s="4">
        <v>17</v>
      </c>
      <c r="T2636" s="4">
        <v>36</v>
      </c>
      <c r="U2636" s="5" t="s">
        <v>5917</v>
      </c>
      <c r="V2636" s="5" t="s">
        <v>5917</v>
      </c>
      <c r="W2636" s="5" t="s">
        <v>69</v>
      </c>
      <c r="X2636" s="5" t="s">
        <v>69</v>
      </c>
      <c r="Y2636" s="4">
        <v>1195</v>
      </c>
      <c r="Z2636" s="4">
        <v>47</v>
      </c>
      <c r="AA2636" s="4">
        <v>54</v>
      </c>
      <c r="AB2636" s="4">
        <v>5</v>
      </c>
      <c r="AC2636" s="4">
        <v>6</v>
      </c>
      <c r="AD2636" s="4">
        <v>129</v>
      </c>
      <c r="AE2636" s="4">
        <v>140</v>
      </c>
      <c r="AF2636" s="4">
        <v>2</v>
      </c>
      <c r="AG2636" s="4">
        <v>3</v>
      </c>
      <c r="AH2636" s="4">
        <v>103</v>
      </c>
      <c r="AI2636" s="4">
        <v>109</v>
      </c>
      <c r="AJ2636" s="4">
        <v>21</v>
      </c>
      <c r="AK2636" s="4">
        <v>25</v>
      </c>
      <c r="AL2636" s="4">
        <v>56</v>
      </c>
      <c r="AM2636" s="4">
        <v>60</v>
      </c>
      <c r="AN2636" s="4">
        <v>0</v>
      </c>
      <c r="AO2636" s="4">
        <v>5</v>
      </c>
      <c r="AP2636" s="4">
        <v>32</v>
      </c>
      <c r="AQ2636" s="4">
        <v>38</v>
      </c>
      <c r="AR2636" s="3" t="s">
        <v>63</v>
      </c>
      <c r="AS2636" s="3" t="s">
        <v>63</v>
      </c>
      <c r="AT2636" s="3" t="s">
        <v>62</v>
      </c>
      <c r="AU2636" s="6" t="str">
        <f>HYPERLINK("http://catalog.hathitrust.org/Record/001224263","HathiTrust Record")</f>
        <v>HathiTrust Record</v>
      </c>
      <c r="AV2636" s="6" t="str">
        <f>HYPERLINK("http://mcgill.on.worldcat.org/oclc/712186","Catalog Record")</f>
        <v>Catalog Record</v>
      </c>
      <c r="AW2636" s="6" t="str">
        <f>HYPERLINK("http://www.worldcat.org/oclc/712186","WorldCat Record")</f>
        <v>WorldCat Record</v>
      </c>
      <c r="AX2636" s="3" t="s">
        <v>21900</v>
      </c>
      <c r="AY2636" s="3" t="s">
        <v>21901</v>
      </c>
      <c r="AZ2636" s="3" t="s">
        <v>21902</v>
      </c>
      <c r="BA2636" s="3" t="s">
        <v>21902</v>
      </c>
      <c r="BB2636" s="3" t="s">
        <v>21907</v>
      </c>
      <c r="BC2636" s="3" t="s">
        <v>82</v>
      </c>
      <c r="BD2636" s="3" t="s">
        <v>70</v>
      </c>
      <c r="BF2636" s="3" t="s">
        <v>21907</v>
      </c>
      <c r="BG2636" s="3" t="s">
        <v>21908</v>
      </c>
    </row>
    <row r="2637" spans="1:59" ht="60" x14ac:dyDescent="0.25">
      <c r="A2637" s="2" t="s">
        <v>59</v>
      </c>
      <c r="B2637" s="2" t="s">
        <v>60</v>
      </c>
      <c r="C2637" s="2" t="s">
        <v>21909</v>
      </c>
      <c r="D2637" s="2" t="s">
        <v>21910</v>
      </c>
      <c r="E2637" s="2" t="s">
        <v>21911</v>
      </c>
      <c r="G2637" s="3" t="s">
        <v>63</v>
      </c>
      <c r="I2637" s="3" t="s">
        <v>63</v>
      </c>
      <c r="J2637" s="3" t="s">
        <v>63</v>
      </c>
      <c r="K2637" s="3" t="s">
        <v>64</v>
      </c>
      <c r="M2637" s="2" t="s">
        <v>21912</v>
      </c>
      <c r="N2637" s="3" t="s">
        <v>130</v>
      </c>
      <c r="P2637" s="3" t="s">
        <v>66</v>
      </c>
      <c r="Q2637" s="2" t="s">
        <v>21913</v>
      </c>
      <c r="R2637" s="3" t="s">
        <v>67</v>
      </c>
      <c r="S2637" s="4">
        <v>3</v>
      </c>
      <c r="T2637" s="4">
        <v>3</v>
      </c>
      <c r="U2637" s="5" t="s">
        <v>4374</v>
      </c>
      <c r="V2637" s="5" t="s">
        <v>4374</v>
      </c>
      <c r="W2637" s="5" t="s">
        <v>69</v>
      </c>
      <c r="X2637" s="5" t="s">
        <v>69</v>
      </c>
      <c r="Y2637" s="4">
        <v>176</v>
      </c>
      <c r="Z2637" s="4">
        <v>19</v>
      </c>
      <c r="AA2637" s="4">
        <v>81</v>
      </c>
      <c r="AB2637" s="4">
        <v>2</v>
      </c>
      <c r="AC2637" s="4">
        <v>15</v>
      </c>
      <c r="AD2637" s="4">
        <v>67</v>
      </c>
      <c r="AE2637" s="4">
        <v>121</v>
      </c>
      <c r="AF2637" s="4">
        <v>1</v>
      </c>
      <c r="AG2637" s="4">
        <v>8</v>
      </c>
      <c r="AH2637" s="4">
        <v>57</v>
      </c>
      <c r="AI2637" s="4">
        <v>85</v>
      </c>
      <c r="AJ2637" s="4">
        <v>10</v>
      </c>
      <c r="AK2637" s="4">
        <v>23</v>
      </c>
      <c r="AL2637" s="4">
        <v>35</v>
      </c>
      <c r="AM2637" s="4">
        <v>49</v>
      </c>
      <c r="AN2637" s="4">
        <v>0</v>
      </c>
      <c r="AO2637" s="4">
        <v>0</v>
      </c>
      <c r="AP2637" s="4">
        <v>14</v>
      </c>
      <c r="AQ2637" s="4">
        <v>43</v>
      </c>
      <c r="AR2637" s="3" t="s">
        <v>63</v>
      </c>
      <c r="AS2637" s="3" t="s">
        <v>63</v>
      </c>
      <c r="AT2637" s="3" t="s">
        <v>63</v>
      </c>
      <c r="AV2637" s="6" t="str">
        <f>HYPERLINK("http://mcgill.on.worldcat.org/oclc/764304936","Catalog Record")</f>
        <v>Catalog Record</v>
      </c>
      <c r="AW2637" s="6" t="str">
        <f>HYPERLINK("http://www.worldcat.org/oclc/764304936","WorldCat Record")</f>
        <v>WorldCat Record</v>
      </c>
      <c r="AX2637" s="3" t="s">
        <v>21914</v>
      </c>
      <c r="AY2637" s="3" t="s">
        <v>21915</v>
      </c>
      <c r="AZ2637" s="3" t="s">
        <v>21916</v>
      </c>
      <c r="BA2637" s="3" t="s">
        <v>21916</v>
      </c>
      <c r="BB2637" s="3" t="s">
        <v>21917</v>
      </c>
      <c r="BC2637" s="3" t="s">
        <v>82</v>
      </c>
      <c r="BD2637" s="3" t="s">
        <v>70</v>
      </c>
      <c r="BE2637" s="3" t="s">
        <v>21918</v>
      </c>
      <c r="BF2637" s="3" t="s">
        <v>21917</v>
      </c>
      <c r="BG2637" s="3" t="s">
        <v>21919</v>
      </c>
    </row>
    <row r="2638" spans="1:59" ht="60" x14ac:dyDescent="0.25">
      <c r="A2638" s="2" t="s">
        <v>59</v>
      </c>
      <c r="B2638" s="2" t="s">
        <v>60</v>
      </c>
      <c r="C2638" s="2" t="s">
        <v>21920</v>
      </c>
      <c r="D2638" s="2" t="s">
        <v>21921</v>
      </c>
      <c r="E2638" s="2" t="s">
        <v>21922</v>
      </c>
      <c r="G2638" s="3" t="s">
        <v>63</v>
      </c>
      <c r="I2638" s="3" t="s">
        <v>63</v>
      </c>
      <c r="J2638" s="3" t="s">
        <v>63</v>
      </c>
      <c r="K2638" s="3" t="s">
        <v>64</v>
      </c>
      <c r="M2638" s="2" t="s">
        <v>21923</v>
      </c>
      <c r="N2638" s="3" t="s">
        <v>1418</v>
      </c>
      <c r="P2638" s="3" t="s">
        <v>66</v>
      </c>
      <c r="R2638" s="3" t="s">
        <v>67</v>
      </c>
      <c r="S2638" s="4">
        <v>8</v>
      </c>
      <c r="T2638" s="4">
        <v>8</v>
      </c>
      <c r="U2638" s="5" t="s">
        <v>21924</v>
      </c>
      <c r="V2638" s="5" t="s">
        <v>21924</v>
      </c>
      <c r="W2638" s="5" t="s">
        <v>69</v>
      </c>
      <c r="X2638" s="5" t="s">
        <v>69</v>
      </c>
      <c r="Y2638" s="4">
        <v>117</v>
      </c>
      <c r="Z2638" s="4">
        <v>10</v>
      </c>
      <c r="AA2638" s="4">
        <v>10</v>
      </c>
      <c r="AB2638" s="4">
        <v>1</v>
      </c>
      <c r="AC2638" s="4">
        <v>1</v>
      </c>
      <c r="AD2638" s="4">
        <v>60</v>
      </c>
      <c r="AE2638" s="4">
        <v>60</v>
      </c>
      <c r="AF2638" s="4">
        <v>0</v>
      </c>
      <c r="AG2638" s="4">
        <v>0</v>
      </c>
      <c r="AH2638" s="4">
        <v>56</v>
      </c>
      <c r="AI2638" s="4">
        <v>56</v>
      </c>
      <c r="AJ2638" s="4">
        <v>7</v>
      </c>
      <c r="AK2638" s="4">
        <v>7</v>
      </c>
      <c r="AL2638" s="4">
        <v>39</v>
      </c>
      <c r="AM2638" s="4">
        <v>39</v>
      </c>
      <c r="AN2638" s="4">
        <v>0</v>
      </c>
      <c r="AO2638" s="4">
        <v>0</v>
      </c>
      <c r="AP2638" s="4">
        <v>8</v>
      </c>
      <c r="AQ2638" s="4">
        <v>8</v>
      </c>
      <c r="AR2638" s="3" t="s">
        <v>63</v>
      </c>
      <c r="AS2638" s="3" t="s">
        <v>63</v>
      </c>
      <c r="AT2638" s="3" t="s">
        <v>63</v>
      </c>
      <c r="AV2638" s="6" t="str">
        <f>HYPERLINK("http://mcgill.on.worldcat.org/oclc/17003357","Catalog Record")</f>
        <v>Catalog Record</v>
      </c>
      <c r="AW2638" s="6" t="str">
        <f>HYPERLINK("http://www.worldcat.org/oclc/17003357","WorldCat Record")</f>
        <v>WorldCat Record</v>
      </c>
      <c r="AX2638" s="3" t="s">
        <v>21925</v>
      </c>
      <c r="AY2638" s="3" t="s">
        <v>21926</v>
      </c>
      <c r="AZ2638" s="3" t="s">
        <v>21927</v>
      </c>
      <c r="BA2638" s="3" t="s">
        <v>21927</v>
      </c>
      <c r="BB2638" s="3" t="s">
        <v>21928</v>
      </c>
      <c r="BC2638" s="3" t="s">
        <v>82</v>
      </c>
      <c r="BD2638" s="3" t="s">
        <v>70</v>
      </c>
      <c r="BF2638" s="3" t="s">
        <v>21928</v>
      </c>
      <c r="BG2638" s="3" t="s">
        <v>21929</v>
      </c>
    </row>
    <row r="2639" spans="1:59" ht="60" x14ac:dyDescent="0.25">
      <c r="A2639" s="2" t="s">
        <v>59</v>
      </c>
      <c r="B2639" s="2" t="s">
        <v>60</v>
      </c>
      <c r="C2639" s="2" t="s">
        <v>21930</v>
      </c>
      <c r="D2639" s="2" t="s">
        <v>21931</v>
      </c>
      <c r="E2639" s="2" t="s">
        <v>21932</v>
      </c>
      <c r="G2639" s="3" t="s">
        <v>63</v>
      </c>
      <c r="I2639" s="3" t="s">
        <v>63</v>
      </c>
      <c r="J2639" s="3" t="s">
        <v>62</v>
      </c>
      <c r="K2639" s="3" t="s">
        <v>64</v>
      </c>
      <c r="M2639" s="2" t="s">
        <v>21933</v>
      </c>
      <c r="N2639" s="3" t="s">
        <v>274</v>
      </c>
      <c r="P2639" s="3" t="s">
        <v>66</v>
      </c>
      <c r="Q2639" s="2" t="s">
        <v>21934</v>
      </c>
      <c r="R2639" s="3" t="s">
        <v>67</v>
      </c>
      <c r="S2639" s="4">
        <v>26</v>
      </c>
      <c r="T2639" s="4">
        <v>26</v>
      </c>
      <c r="U2639" s="5" t="s">
        <v>988</v>
      </c>
      <c r="V2639" s="5" t="s">
        <v>988</v>
      </c>
      <c r="W2639" s="5" t="s">
        <v>69</v>
      </c>
      <c r="X2639" s="5" t="s">
        <v>69</v>
      </c>
      <c r="Y2639" s="4">
        <v>707</v>
      </c>
      <c r="Z2639" s="4">
        <v>27</v>
      </c>
      <c r="AA2639" s="4">
        <v>67</v>
      </c>
      <c r="AB2639" s="4">
        <v>1</v>
      </c>
      <c r="AC2639" s="4">
        <v>2</v>
      </c>
      <c r="AD2639" s="4">
        <v>69</v>
      </c>
      <c r="AE2639" s="4">
        <v>109</v>
      </c>
      <c r="AF2639" s="4">
        <v>0</v>
      </c>
      <c r="AG2639" s="4">
        <v>0</v>
      </c>
      <c r="AH2639" s="4">
        <v>60</v>
      </c>
      <c r="AI2639" s="4">
        <v>95</v>
      </c>
      <c r="AJ2639" s="4">
        <v>7</v>
      </c>
      <c r="AK2639" s="4">
        <v>15</v>
      </c>
      <c r="AL2639" s="4">
        <v>32</v>
      </c>
      <c r="AM2639" s="4">
        <v>52</v>
      </c>
      <c r="AN2639" s="4">
        <v>0</v>
      </c>
      <c r="AO2639" s="4">
        <v>0</v>
      </c>
      <c r="AP2639" s="4">
        <v>12</v>
      </c>
      <c r="AQ2639" s="4">
        <v>22</v>
      </c>
      <c r="AR2639" s="3" t="s">
        <v>63</v>
      </c>
      <c r="AS2639" s="3" t="s">
        <v>63</v>
      </c>
      <c r="AT2639" s="3" t="s">
        <v>63</v>
      </c>
      <c r="AV2639" s="6" t="str">
        <f>HYPERLINK("http://mcgill.on.worldcat.org/oclc/38749010","Catalog Record")</f>
        <v>Catalog Record</v>
      </c>
      <c r="AW2639" s="6" t="str">
        <f>HYPERLINK("http://www.worldcat.org/oclc/38749010","WorldCat Record")</f>
        <v>WorldCat Record</v>
      </c>
      <c r="AX2639" s="3" t="s">
        <v>21935</v>
      </c>
      <c r="AY2639" s="3" t="s">
        <v>21936</v>
      </c>
      <c r="AZ2639" s="3" t="s">
        <v>21937</v>
      </c>
      <c r="BA2639" s="3" t="s">
        <v>21937</v>
      </c>
      <c r="BB2639" s="3" t="s">
        <v>21938</v>
      </c>
      <c r="BC2639" s="3" t="s">
        <v>82</v>
      </c>
      <c r="BD2639" s="3" t="s">
        <v>70</v>
      </c>
      <c r="BE2639" s="3" t="s">
        <v>21939</v>
      </c>
      <c r="BF2639" s="3" t="s">
        <v>21938</v>
      </c>
      <c r="BG2639" s="3" t="s">
        <v>21940</v>
      </c>
    </row>
    <row r="2640" spans="1:59" ht="60" x14ac:dyDescent="0.25">
      <c r="A2640" s="2" t="s">
        <v>59</v>
      </c>
      <c r="B2640" s="2" t="s">
        <v>60</v>
      </c>
      <c r="C2640" s="2" t="s">
        <v>21941</v>
      </c>
      <c r="D2640" s="2" t="s">
        <v>21942</v>
      </c>
      <c r="E2640" s="2" t="s">
        <v>21932</v>
      </c>
      <c r="G2640" s="3" t="s">
        <v>63</v>
      </c>
      <c r="I2640" s="3" t="s">
        <v>63</v>
      </c>
      <c r="J2640" s="3" t="s">
        <v>62</v>
      </c>
      <c r="K2640" s="3" t="s">
        <v>64</v>
      </c>
      <c r="M2640" s="2" t="s">
        <v>21943</v>
      </c>
      <c r="N2640" s="3" t="s">
        <v>1226</v>
      </c>
      <c r="P2640" s="3" t="s">
        <v>66</v>
      </c>
      <c r="Q2640" s="2" t="s">
        <v>21944</v>
      </c>
      <c r="R2640" s="3" t="s">
        <v>67</v>
      </c>
      <c r="S2640" s="4">
        <v>18</v>
      </c>
      <c r="T2640" s="4">
        <v>18</v>
      </c>
      <c r="U2640" s="5" t="s">
        <v>21945</v>
      </c>
      <c r="V2640" s="5" t="s">
        <v>21945</v>
      </c>
      <c r="W2640" s="5" t="s">
        <v>69</v>
      </c>
      <c r="X2640" s="5" t="s">
        <v>69</v>
      </c>
      <c r="Y2640" s="4">
        <v>298</v>
      </c>
      <c r="Z2640" s="4">
        <v>11</v>
      </c>
      <c r="AA2640" s="4">
        <v>67</v>
      </c>
      <c r="AB2640" s="4">
        <v>1</v>
      </c>
      <c r="AC2640" s="4">
        <v>2</v>
      </c>
      <c r="AD2640" s="4">
        <v>29</v>
      </c>
      <c r="AE2640" s="4">
        <v>109</v>
      </c>
      <c r="AF2640" s="4">
        <v>0</v>
      </c>
      <c r="AG2640" s="4">
        <v>0</v>
      </c>
      <c r="AH2640" s="4">
        <v>27</v>
      </c>
      <c r="AI2640" s="4">
        <v>95</v>
      </c>
      <c r="AJ2640" s="4">
        <v>3</v>
      </c>
      <c r="AK2640" s="4">
        <v>15</v>
      </c>
      <c r="AL2640" s="4">
        <v>13</v>
      </c>
      <c r="AM2640" s="4">
        <v>52</v>
      </c>
      <c r="AN2640" s="4">
        <v>0</v>
      </c>
      <c r="AO2640" s="4">
        <v>0</v>
      </c>
      <c r="AP2640" s="4">
        <v>3</v>
      </c>
      <c r="AQ2640" s="4">
        <v>22</v>
      </c>
      <c r="AR2640" s="3" t="s">
        <v>63</v>
      </c>
      <c r="AS2640" s="3" t="s">
        <v>63</v>
      </c>
      <c r="AT2640" s="3" t="s">
        <v>63</v>
      </c>
      <c r="AV2640" s="6" t="str">
        <f>HYPERLINK("http://mcgill.on.worldcat.org/oclc/50404142","Catalog Record")</f>
        <v>Catalog Record</v>
      </c>
      <c r="AW2640" s="6" t="str">
        <f>HYPERLINK("http://www.worldcat.org/oclc/50404142","WorldCat Record")</f>
        <v>WorldCat Record</v>
      </c>
      <c r="AX2640" s="3" t="s">
        <v>21935</v>
      </c>
      <c r="AY2640" s="3" t="s">
        <v>21946</v>
      </c>
      <c r="AZ2640" s="3" t="s">
        <v>21947</v>
      </c>
      <c r="BA2640" s="3" t="s">
        <v>21947</v>
      </c>
      <c r="BB2640" s="3" t="s">
        <v>21948</v>
      </c>
      <c r="BC2640" s="3" t="s">
        <v>82</v>
      </c>
      <c r="BD2640" s="3" t="s">
        <v>70</v>
      </c>
      <c r="BE2640" s="3" t="s">
        <v>21949</v>
      </c>
      <c r="BF2640" s="3" t="s">
        <v>21948</v>
      </c>
      <c r="BG2640" s="3" t="s">
        <v>21950</v>
      </c>
    </row>
    <row r="2641" spans="1:59" ht="105" x14ac:dyDescent="0.25">
      <c r="A2641" s="2" t="s">
        <v>59</v>
      </c>
      <c r="B2641" s="2" t="s">
        <v>60</v>
      </c>
      <c r="C2641" s="2" t="s">
        <v>21951</v>
      </c>
      <c r="D2641" s="2" t="s">
        <v>21952</v>
      </c>
      <c r="E2641" s="2" t="s">
        <v>21953</v>
      </c>
      <c r="G2641" s="3" t="s">
        <v>63</v>
      </c>
      <c r="I2641" s="3" t="s">
        <v>63</v>
      </c>
      <c r="J2641" s="3" t="s">
        <v>63</v>
      </c>
      <c r="K2641" s="3" t="s">
        <v>64</v>
      </c>
      <c r="M2641" s="2" t="s">
        <v>21954</v>
      </c>
      <c r="N2641" s="3" t="s">
        <v>313</v>
      </c>
      <c r="P2641" s="3" t="s">
        <v>66</v>
      </c>
      <c r="Q2641" s="2" t="s">
        <v>2984</v>
      </c>
      <c r="R2641" s="3" t="s">
        <v>67</v>
      </c>
      <c r="S2641" s="4">
        <v>3</v>
      </c>
      <c r="T2641" s="4">
        <v>3</v>
      </c>
      <c r="U2641" s="5" t="s">
        <v>21955</v>
      </c>
      <c r="V2641" s="5" t="s">
        <v>21955</v>
      </c>
      <c r="W2641" s="5" t="s">
        <v>69</v>
      </c>
      <c r="X2641" s="5" t="s">
        <v>69</v>
      </c>
      <c r="Y2641" s="4">
        <v>135</v>
      </c>
      <c r="Z2641" s="4">
        <v>12</v>
      </c>
      <c r="AA2641" s="4">
        <v>60</v>
      </c>
      <c r="AB2641" s="4">
        <v>1</v>
      </c>
      <c r="AC2641" s="4">
        <v>8</v>
      </c>
      <c r="AD2641" s="4">
        <v>59</v>
      </c>
      <c r="AE2641" s="4">
        <v>96</v>
      </c>
      <c r="AF2641" s="4">
        <v>0</v>
      </c>
      <c r="AG2641" s="4">
        <v>1</v>
      </c>
      <c r="AH2641" s="4">
        <v>57</v>
      </c>
      <c r="AI2641" s="4">
        <v>80</v>
      </c>
      <c r="AJ2641" s="4">
        <v>8</v>
      </c>
      <c r="AK2641" s="4">
        <v>15</v>
      </c>
      <c r="AL2641" s="4">
        <v>34</v>
      </c>
      <c r="AM2641" s="4">
        <v>44</v>
      </c>
      <c r="AN2641" s="4">
        <v>0</v>
      </c>
      <c r="AO2641" s="4">
        <v>0</v>
      </c>
      <c r="AP2641" s="4">
        <v>8</v>
      </c>
      <c r="AQ2641" s="4">
        <v>23</v>
      </c>
      <c r="AR2641" s="3" t="s">
        <v>63</v>
      </c>
      <c r="AS2641" s="3" t="s">
        <v>63</v>
      </c>
      <c r="AT2641" s="3" t="s">
        <v>63</v>
      </c>
      <c r="AV2641" s="6" t="str">
        <f>HYPERLINK("http://mcgill.on.worldcat.org/oclc/663773387","Catalog Record")</f>
        <v>Catalog Record</v>
      </c>
      <c r="AW2641" s="6" t="str">
        <f>HYPERLINK("http://www.worldcat.org/oclc/663773387","WorldCat Record")</f>
        <v>WorldCat Record</v>
      </c>
      <c r="AX2641" s="3" t="s">
        <v>21956</v>
      </c>
      <c r="AY2641" s="3" t="s">
        <v>21957</v>
      </c>
      <c r="AZ2641" s="3" t="s">
        <v>21958</v>
      </c>
      <c r="BA2641" s="3" t="s">
        <v>21958</v>
      </c>
      <c r="BB2641" s="3" t="s">
        <v>21959</v>
      </c>
      <c r="BC2641" s="3" t="s">
        <v>82</v>
      </c>
      <c r="BD2641" s="3" t="s">
        <v>70</v>
      </c>
      <c r="BE2641" s="3" t="s">
        <v>21960</v>
      </c>
      <c r="BF2641" s="3" t="s">
        <v>21959</v>
      </c>
      <c r="BG2641" s="3" t="s">
        <v>21961</v>
      </c>
    </row>
    <row r="2642" spans="1:59" ht="60" x14ac:dyDescent="0.25">
      <c r="A2642" s="2" t="s">
        <v>59</v>
      </c>
      <c r="B2642" s="2" t="s">
        <v>60</v>
      </c>
      <c r="C2642" s="2" t="s">
        <v>21962</v>
      </c>
      <c r="D2642" s="2" t="s">
        <v>21963</v>
      </c>
      <c r="E2642" s="2" t="s">
        <v>21964</v>
      </c>
      <c r="G2642" s="3" t="s">
        <v>63</v>
      </c>
      <c r="I2642" s="3" t="s">
        <v>63</v>
      </c>
      <c r="J2642" s="3" t="s">
        <v>63</v>
      </c>
      <c r="K2642" s="3" t="s">
        <v>64</v>
      </c>
      <c r="M2642" s="2" t="s">
        <v>21965</v>
      </c>
      <c r="N2642" s="3" t="s">
        <v>234</v>
      </c>
      <c r="P2642" s="3" t="s">
        <v>66</v>
      </c>
      <c r="R2642" s="3" t="s">
        <v>67</v>
      </c>
      <c r="S2642" s="4">
        <v>11</v>
      </c>
      <c r="T2642" s="4">
        <v>11</v>
      </c>
      <c r="U2642" s="5" t="s">
        <v>2133</v>
      </c>
      <c r="V2642" s="5" t="s">
        <v>2133</v>
      </c>
      <c r="W2642" s="5" t="s">
        <v>69</v>
      </c>
      <c r="X2642" s="5" t="s">
        <v>69</v>
      </c>
      <c r="Y2642" s="4">
        <v>44</v>
      </c>
      <c r="Z2642" s="4">
        <v>21</v>
      </c>
      <c r="AA2642" s="4">
        <v>21</v>
      </c>
      <c r="AB2642" s="4">
        <v>1</v>
      </c>
      <c r="AC2642" s="4">
        <v>1</v>
      </c>
      <c r="AD2642" s="4">
        <v>30</v>
      </c>
      <c r="AE2642" s="4">
        <v>30</v>
      </c>
      <c r="AF2642" s="4">
        <v>0</v>
      </c>
      <c r="AG2642" s="4">
        <v>0</v>
      </c>
      <c r="AH2642" s="4">
        <v>21</v>
      </c>
      <c r="AI2642" s="4">
        <v>21</v>
      </c>
      <c r="AJ2642" s="4">
        <v>18</v>
      </c>
      <c r="AK2642" s="4">
        <v>18</v>
      </c>
      <c r="AL2642" s="4">
        <v>11</v>
      </c>
      <c r="AM2642" s="4">
        <v>11</v>
      </c>
      <c r="AN2642" s="4">
        <v>0</v>
      </c>
      <c r="AO2642" s="4">
        <v>0</v>
      </c>
      <c r="AP2642" s="4">
        <v>18</v>
      </c>
      <c r="AQ2642" s="4">
        <v>18</v>
      </c>
      <c r="AR2642" s="3" t="s">
        <v>62</v>
      </c>
      <c r="AS2642" s="3" t="s">
        <v>63</v>
      </c>
      <c r="AT2642" s="3" t="s">
        <v>63</v>
      </c>
      <c r="AV2642" s="6" t="str">
        <f>HYPERLINK("http://mcgill.on.worldcat.org/oclc/71812398","Catalog Record")</f>
        <v>Catalog Record</v>
      </c>
      <c r="AW2642" s="6" t="str">
        <f>HYPERLINK("http://www.worldcat.org/oclc/71812398","WorldCat Record")</f>
        <v>WorldCat Record</v>
      </c>
      <c r="AX2642" s="3" t="s">
        <v>21966</v>
      </c>
      <c r="AY2642" s="3" t="s">
        <v>21967</v>
      </c>
      <c r="AZ2642" s="3" t="s">
        <v>21968</v>
      </c>
      <c r="BA2642" s="3" t="s">
        <v>21968</v>
      </c>
      <c r="BB2642" s="3" t="s">
        <v>21969</v>
      </c>
      <c r="BC2642" s="3" t="s">
        <v>82</v>
      </c>
      <c r="BD2642" s="3" t="s">
        <v>70</v>
      </c>
      <c r="BE2642" s="3" t="s">
        <v>21970</v>
      </c>
      <c r="BF2642" s="3" t="s">
        <v>21969</v>
      </c>
      <c r="BG2642" s="3" t="s">
        <v>21971</v>
      </c>
    </row>
    <row r="2643" spans="1:59" ht="60" x14ac:dyDescent="0.25">
      <c r="A2643" s="2" t="s">
        <v>59</v>
      </c>
      <c r="B2643" s="2" t="s">
        <v>60</v>
      </c>
      <c r="C2643" s="2" t="s">
        <v>21972</v>
      </c>
      <c r="D2643" s="2" t="s">
        <v>21973</v>
      </c>
      <c r="E2643" s="2" t="s">
        <v>21974</v>
      </c>
      <c r="G2643" s="3" t="s">
        <v>63</v>
      </c>
      <c r="I2643" s="3" t="s">
        <v>63</v>
      </c>
      <c r="J2643" s="3" t="s">
        <v>63</v>
      </c>
      <c r="K2643" s="3" t="s">
        <v>64</v>
      </c>
      <c r="M2643" s="2" t="s">
        <v>21975</v>
      </c>
      <c r="N2643" s="3" t="s">
        <v>106</v>
      </c>
      <c r="P2643" s="3" t="s">
        <v>66</v>
      </c>
      <c r="Q2643" s="2" t="s">
        <v>21976</v>
      </c>
      <c r="R2643" s="3" t="s">
        <v>67</v>
      </c>
      <c r="S2643" s="4">
        <v>4</v>
      </c>
      <c r="T2643" s="4">
        <v>4</v>
      </c>
      <c r="U2643" s="5" t="s">
        <v>21503</v>
      </c>
      <c r="V2643" s="5" t="s">
        <v>21503</v>
      </c>
      <c r="W2643" s="5" t="s">
        <v>69</v>
      </c>
      <c r="X2643" s="5" t="s">
        <v>69</v>
      </c>
      <c r="Y2643" s="4">
        <v>142</v>
      </c>
      <c r="Z2643" s="4">
        <v>8</v>
      </c>
      <c r="AA2643" s="4">
        <v>9</v>
      </c>
      <c r="AB2643" s="4">
        <v>1</v>
      </c>
      <c r="AC2643" s="4">
        <v>1</v>
      </c>
      <c r="AD2643" s="4">
        <v>53</v>
      </c>
      <c r="AE2643" s="4">
        <v>54</v>
      </c>
      <c r="AF2643" s="4">
        <v>0</v>
      </c>
      <c r="AG2643" s="4">
        <v>0</v>
      </c>
      <c r="AH2643" s="4">
        <v>51</v>
      </c>
      <c r="AI2643" s="4">
        <v>51</v>
      </c>
      <c r="AJ2643" s="4">
        <v>5</v>
      </c>
      <c r="AK2643" s="4">
        <v>6</v>
      </c>
      <c r="AL2643" s="4">
        <v>34</v>
      </c>
      <c r="AM2643" s="4">
        <v>34</v>
      </c>
      <c r="AN2643" s="4">
        <v>0</v>
      </c>
      <c r="AO2643" s="4">
        <v>0</v>
      </c>
      <c r="AP2643" s="4">
        <v>5</v>
      </c>
      <c r="AQ2643" s="4">
        <v>6</v>
      </c>
      <c r="AR2643" s="3" t="s">
        <v>63</v>
      </c>
      <c r="AS2643" s="3" t="s">
        <v>63</v>
      </c>
      <c r="AT2643" s="3" t="s">
        <v>63</v>
      </c>
      <c r="AV2643" s="6" t="str">
        <f>HYPERLINK("http://mcgill.on.worldcat.org/oclc/919452363","Catalog Record")</f>
        <v>Catalog Record</v>
      </c>
      <c r="AW2643" s="6" t="str">
        <f>HYPERLINK("http://www.worldcat.org/oclc/919452363","WorldCat Record")</f>
        <v>WorldCat Record</v>
      </c>
      <c r="AX2643" s="3" t="s">
        <v>21977</v>
      </c>
      <c r="AY2643" s="3" t="s">
        <v>21978</v>
      </c>
      <c r="AZ2643" s="3" t="s">
        <v>21979</v>
      </c>
      <c r="BA2643" s="3" t="s">
        <v>21979</v>
      </c>
      <c r="BB2643" s="3" t="s">
        <v>21980</v>
      </c>
      <c r="BC2643" s="3" t="s">
        <v>82</v>
      </c>
      <c r="BD2643" s="3" t="s">
        <v>70</v>
      </c>
      <c r="BE2643" s="3" t="s">
        <v>21981</v>
      </c>
      <c r="BF2643" s="3" t="s">
        <v>21980</v>
      </c>
      <c r="BG2643" s="3" t="s">
        <v>21982</v>
      </c>
    </row>
    <row r="2644" spans="1:59" ht="60" x14ac:dyDescent="0.25">
      <c r="A2644" s="2" t="s">
        <v>59</v>
      </c>
      <c r="B2644" s="2" t="s">
        <v>60</v>
      </c>
      <c r="C2644" s="2" t="s">
        <v>21983</v>
      </c>
      <c r="D2644" s="2" t="s">
        <v>21984</v>
      </c>
      <c r="E2644" s="2" t="s">
        <v>21985</v>
      </c>
      <c r="G2644" s="3" t="s">
        <v>63</v>
      </c>
      <c r="I2644" s="3" t="s">
        <v>63</v>
      </c>
      <c r="J2644" s="3" t="s">
        <v>63</v>
      </c>
      <c r="K2644" s="3" t="s">
        <v>64</v>
      </c>
      <c r="L2644" s="2" t="s">
        <v>21986</v>
      </c>
      <c r="M2644" s="2" t="s">
        <v>8346</v>
      </c>
      <c r="N2644" s="3" t="s">
        <v>3640</v>
      </c>
      <c r="P2644" s="3" t="s">
        <v>66</v>
      </c>
      <c r="R2644" s="3" t="s">
        <v>67</v>
      </c>
      <c r="S2644" s="4">
        <v>30</v>
      </c>
      <c r="T2644" s="4">
        <v>30</v>
      </c>
      <c r="U2644" s="5" t="s">
        <v>4338</v>
      </c>
      <c r="V2644" s="5" t="s">
        <v>4338</v>
      </c>
      <c r="W2644" s="5" t="s">
        <v>69</v>
      </c>
      <c r="X2644" s="5" t="s">
        <v>69</v>
      </c>
      <c r="Y2644" s="4">
        <v>493</v>
      </c>
      <c r="Z2644" s="4">
        <v>32</v>
      </c>
      <c r="AA2644" s="4">
        <v>34</v>
      </c>
      <c r="AB2644" s="4">
        <v>2</v>
      </c>
      <c r="AC2644" s="4">
        <v>4</v>
      </c>
      <c r="AD2644" s="4">
        <v>119</v>
      </c>
      <c r="AE2644" s="4">
        <v>121</v>
      </c>
      <c r="AF2644" s="4">
        <v>1</v>
      </c>
      <c r="AG2644" s="4">
        <v>3</v>
      </c>
      <c r="AH2644" s="4">
        <v>102</v>
      </c>
      <c r="AI2644" s="4">
        <v>102</v>
      </c>
      <c r="AJ2644" s="4">
        <v>21</v>
      </c>
      <c r="AK2644" s="4">
        <v>23</v>
      </c>
      <c r="AL2644" s="4">
        <v>56</v>
      </c>
      <c r="AM2644" s="4">
        <v>56</v>
      </c>
      <c r="AN2644" s="4">
        <v>0</v>
      </c>
      <c r="AO2644" s="4">
        <v>0</v>
      </c>
      <c r="AP2644" s="4">
        <v>25</v>
      </c>
      <c r="AQ2644" s="4">
        <v>26</v>
      </c>
      <c r="AR2644" s="3" t="s">
        <v>63</v>
      </c>
      <c r="AS2644" s="3" t="s">
        <v>63</v>
      </c>
      <c r="AT2644" s="3" t="s">
        <v>62</v>
      </c>
      <c r="AU2644" s="6" t="str">
        <f>HYPERLINK("http://catalog.hathitrust.org/Record/000238934","HathiTrust Record")</f>
        <v>HathiTrust Record</v>
      </c>
      <c r="AV2644" s="6" t="str">
        <f>HYPERLINK("http://mcgill.on.worldcat.org/oclc/9197554","Catalog Record")</f>
        <v>Catalog Record</v>
      </c>
      <c r="AW2644" s="6" t="str">
        <f>HYPERLINK("http://www.worldcat.org/oclc/9197554","WorldCat Record")</f>
        <v>WorldCat Record</v>
      </c>
      <c r="AX2644" s="3" t="s">
        <v>21987</v>
      </c>
      <c r="AY2644" s="3" t="s">
        <v>21988</v>
      </c>
      <c r="AZ2644" s="3" t="s">
        <v>21989</v>
      </c>
      <c r="BA2644" s="3" t="s">
        <v>21989</v>
      </c>
      <c r="BB2644" s="3" t="s">
        <v>21990</v>
      </c>
      <c r="BC2644" s="3" t="s">
        <v>82</v>
      </c>
      <c r="BD2644" s="3" t="s">
        <v>70</v>
      </c>
      <c r="BE2644" s="3" t="s">
        <v>21991</v>
      </c>
      <c r="BF2644" s="3" t="s">
        <v>21990</v>
      </c>
      <c r="BG2644" s="3" t="s">
        <v>21992</v>
      </c>
    </row>
    <row r="2645" spans="1:59" ht="60" x14ac:dyDescent="0.25">
      <c r="A2645" s="2" t="s">
        <v>59</v>
      </c>
      <c r="B2645" s="2" t="s">
        <v>60</v>
      </c>
      <c r="C2645" s="2" t="s">
        <v>21993</v>
      </c>
      <c r="D2645" s="2" t="s">
        <v>21994</v>
      </c>
      <c r="E2645" s="2" t="s">
        <v>21995</v>
      </c>
      <c r="G2645" s="3" t="s">
        <v>63</v>
      </c>
      <c r="I2645" s="3" t="s">
        <v>63</v>
      </c>
      <c r="J2645" s="3" t="s">
        <v>63</v>
      </c>
      <c r="K2645" s="3" t="s">
        <v>64</v>
      </c>
      <c r="M2645" s="2" t="s">
        <v>21996</v>
      </c>
      <c r="N2645" s="3" t="s">
        <v>1343</v>
      </c>
      <c r="O2645" s="2" t="s">
        <v>590</v>
      </c>
      <c r="P2645" s="3" t="s">
        <v>66</v>
      </c>
      <c r="Q2645" s="2" t="s">
        <v>8323</v>
      </c>
      <c r="R2645" s="3" t="s">
        <v>67</v>
      </c>
      <c r="S2645" s="4">
        <v>53</v>
      </c>
      <c r="T2645" s="4">
        <v>53</v>
      </c>
      <c r="U2645" s="5" t="s">
        <v>21788</v>
      </c>
      <c r="V2645" s="5" t="s">
        <v>21788</v>
      </c>
      <c r="W2645" s="5" t="s">
        <v>69</v>
      </c>
      <c r="X2645" s="5" t="s">
        <v>69</v>
      </c>
      <c r="Y2645" s="4">
        <v>791</v>
      </c>
      <c r="Z2645" s="4">
        <v>47</v>
      </c>
      <c r="AA2645" s="4">
        <v>53</v>
      </c>
      <c r="AB2645" s="4">
        <v>3</v>
      </c>
      <c r="AC2645" s="4">
        <v>6</v>
      </c>
      <c r="AD2645" s="4">
        <v>126</v>
      </c>
      <c r="AE2645" s="4">
        <v>131</v>
      </c>
      <c r="AF2645" s="4">
        <v>2</v>
      </c>
      <c r="AG2645" s="4">
        <v>4</v>
      </c>
      <c r="AH2645" s="4">
        <v>104</v>
      </c>
      <c r="AI2645" s="4">
        <v>106</v>
      </c>
      <c r="AJ2645" s="4">
        <v>17</v>
      </c>
      <c r="AK2645" s="4">
        <v>22</v>
      </c>
      <c r="AL2645" s="4">
        <v>55</v>
      </c>
      <c r="AM2645" s="4">
        <v>55</v>
      </c>
      <c r="AN2645" s="4">
        <v>0</v>
      </c>
      <c r="AO2645" s="4">
        <v>0</v>
      </c>
      <c r="AP2645" s="4">
        <v>30</v>
      </c>
      <c r="AQ2645" s="4">
        <v>34</v>
      </c>
      <c r="AR2645" s="3" t="s">
        <v>63</v>
      </c>
      <c r="AS2645" s="3" t="s">
        <v>63</v>
      </c>
      <c r="AT2645" s="3" t="s">
        <v>62</v>
      </c>
      <c r="AU2645" s="6" t="str">
        <f>HYPERLINK("http://catalog.hathitrust.org/Record/004132079","HathiTrust Record")</f>
        <v>HathiTrust Record</v>
      </c>
      <c r="AV2645" s="6" t="str">
        <f>HYPERLINK("http://mcgill.on.worldcat.org/oclc/42733726","Catalog Record")</f>
        <v>Catalog Record</v>
      </c>
      <c r="AW2645" s="6" t="str">
        <f>HYPERLINK("http://www.worldcat.org/oclc/42733726","WorldCat Record")</f>
        <v>WorldCat Record</v>
      </c>
      <c r="AX2645" s="3" t="s">
        <v>21997</v>
      </c>
      <c r="AY2645" s="3" t="s">
        <v>21998</v>
      </c>
      <c r="AZ2645" s="3" t="s">
        <v>21999</v>
      </c>
      <c r="BA2645" s="3" t="s">
        <v>21999</v>
      </c>
      <c r="BB2645" s="3" t="s">
        <v>22000</v>
      </c>
      <c r="BC2645" s="3" t="s">
        <v>82</v>
      </c>
      <c r="BD2645" s="3" t="s">
        <v>70</v>
      </c>
      <c r="BE2645" s="3" t="s">
        <v>22001</v>
      </c>
      <c r="BF2645" s="3" t="s">
        <v>22000</v>
      </c>
      <c r="BG2645" s="3" t="s">
        <v>22002</v>
      </c>
    </row>
    <row r="2646" spans="1:59" ht="60" x14ac:dyDescent="0.25">
      <c r="A2646" s="2" t="s">
        <v>59</v>
      </c>
      <c r="B2646" s="2" t="s">
        <v>60</v>
      </c>
      <c r="C2646" s="2" t="s">
        <v>22003</v>
      </c>
      <c r="D2646" s="2" t="s">
        <v>22004</v>
      </c>
      <c r="E2646" s="2" t="s">
        <v>22005</v>
      </c>
      <c r="G2646" s="3" t="s">
        <v>63</v>
      </c>
      <c r="I2646" s="3" t="s">
        <v>63</v>
      </c>
      <c r="J2646" s="3" t="s">
        <v>63</v>
      </c>
      <c r="K2646" s="3" t="s">
        <v>64</v>
      </c>
      <c r="L2646" s="2" t="s">
        <v>22006</v>
      </c>
      <c r="M2646" s="2" t="s">
        <v>7751</v>
      </c>
      <c r="N2646" s="3" t="s">
        <v>130</v>
      </c>
      <c r="P2646" s="3" t="s">
        <v>66</v>
      </c>
      <c r="Q2646" s="2" t="s">
        <v>22007</v>
      </c>
      <c r="R2646" s="3" t="s">
        <v>67</v>
      </c>
      <c r="S2646" s="4">
        <v>2</v>
      </c>
      <c r="T2646" s="4">
        <v>2</v>
      </c>
      <c r="U2646" s="5" t="s">
        <v>1309</v>
      </c>
      <c r="V2646" s="5" t="s">
        <v>1309</v>
      </c>
      <c r="W2646" s="5" t="s">
        <v>69</v>
      </c>
      <c r="X2646" s="5" t="s">
        <v>69</v>
      </c>
      <c r="Y2646" s="4">
        <v>177</v>
      </c>
      <c r="Z2646" s="4">
        <v>14</v>
      </c>
      <c r="AA2646" s="4">
        <v>84</v>
      </c>
      <c r="AB2646" s="4">
        <v>1</v>
      </c>
      <c r="AC2646" s="4">
        <v>14</v>
      </c>
      <c r="AD2646" s="4">
        <v>37</v>
      </c>
      <c r="AE2646" s="4">
        <v>115</v>
      </c>
      <c r="AF2646" s="4">
        <v>0</v>
      </c>
      <c r="AG2646" s="4">
        <v>8</v>
      </c>
      <c r="AH2646" s="4">
        <v>33</v>
      </c>
      <c r="AI2646" s="4">
        <v>80</v>
      </c>
      <c r="AJ2646" s="4">
        <v>6</v>
      </c>
      <c r="AK2646" s="4">
        <v>21</v>
      </c>
      <c r="AL2646" s="4">
        <v>24</v>
      </c>
      <c r="AM2646" s="4">
        <v>44</v>
      </c>
      <c r="AN2646" s="4">
        <v>0</v>
      </c>
      <c r="AO2646" s="4">
        <v>0</v>
      </c>
      <c r="AP2646" s="4">
        <v>7</v>
      </c>
      <c r="AQ2646" s="4">
        <v>41</v>
      </c>
      <c r="AR2646" s="3" t="s">
        <v>63</v>
      </c>
      <c r="AS2646" s="3" t="s">
        <v>63</v>
      </c>
      <c r="AT2646" s="3" t="s">
        <v>63</v>
      </c>
      <c r="AV2646" s="6" t="str">
        <f>HYPERLINK("http://mcgill.on.worldcat.org/oclc/857993383","Catalog Record")</f>
        <v>Catalog Record</v>
      </c>
      <c r="AW2646" s="6" t="str">
        <f>HYPERLINK("http://www.worldcat.org/oclc/857993383","WorldCat Record")</f>
        <v>WorldCat Record</v>
      </c>
      <c r="AX2646" s="3" t="s">
        <v>22008</v>
      </c>
      <c r="AY2646" s="3" t="s">
        <v>22009</v>
      </c>
      <c r="AZ2646" s="3" t="s">
        <v>22010</v>
      </c>
      <c r="BA2646" s="3" t="s">
        <v>22010</v>
      </c>
      <c r="BB2646" s="3" t="s">
        <v>22011</v>
      </c>
      <c r="BC2646" s="3" t="s">
        <v>82</v>
      </c>
      <c r="BD2646" s="3" t="s">
        <v>70</v>
      </c>
      <c r="BE2646" s="3" t="s">
        <v>22012</v>
      </c>
      <c r="BF2646" s="3" t="s">
        <v>22011</v>
      </c>
      <c r="BG2646" s="3" t="s">
        <v>22013</v>
      </c>
    </row>
    <row r="2647" spans="1:59" ht="60" x14ac:dyDescent="0.25">
      <c r="A2647" s="2" t="s">
        <v>59</v>
      </c>
      <c r="B2647" s="2" t="s">
        <v>60</v>
      </c>
      <c r="C2647" s="2" t="s">
        <v>22014</v>
      </c>
      <c r="D2647" s="2" t="s">
        <v>22015</v>
      </c>
      <c r="E2647" s="2" t="s">
        <v>22016</v>
      </c>
      <c r="G2647" s="3" t="s">
        <v>63</v>
      </c>
      <c r="I2647" s="3" t="s">
        <v>62</v>
      </c>
      <c r="J2647" s="3" t="s">
        <v>63</v>
      </c>
      <c r="K2647" s="3" t="s">
        <v>64</v>
      </c>
      <c r="M2647" s="2" t="s">
        <v>22017</v>
      </c>
      <c r="N2647" s="3" t="s">
        <v>65</v>
      </c>
      <c r="P2647" s="3" t="s">
        <v>66</v>
      </c>
      <c r="R2647" s="3" t="s">
        <v>67</v>
      </c>
      <c r="S2647" s="4">
        <v>26</v>
      </c>
      <c r="T2647" s="4">
        <v>64</v>
      </c>
      <c r="U2647" s="5" t="s">
        <v>8252</v>
      </c>
      <c r="V2647" s="5" t="s">
        <v>8252</v>
      </c>
      <c r="W2647" s="5" t="s">
        <v>69</v>
      </c>
      <c r="X2647" s="5" t="s">
        <v>69</v>
      </c>
      <c r="Y2647" s="4">
        <v>206</v>
      </c>
      <c r="Z2647" s="4">
        <v>21</v>
      </c>
      <c r="AA2647" s="4">
        <v>22</v>
      </c>
      <c r="AB2647" s="4">
        <v>2</v>
      </c>
      <c r="AC2647" s="4">
        <v>2</v>
      </c>
      <c r="AD2647" s="4">
        <v>82</v>
      </c>
      <c r="AE2647" s="4">
        <v>83</v>
      </c>
      <c r="AF2647" s="4">
        <v>1</v>
      </c>
      <c r="AG2647" s="4">
        <v>1</v>
      </c>
      <c r="AH2647" s="4">
        <v>73</v>
      </c>
      <c r="AI2647" s="4">
        <v>73</v>
      </c>
      <c r="AJ2647" s="4">
        <v>17</v>
      </c>
      <c r="AK2647" s="4">
        <v>17</v>
      </c>
      <c r="AL2647" s="4">
        <v>42</v>
      </c>
      <c r="AM2647" s="4">
        <v>42</v>
      </c>
      <c r="AN2647" s="4">
        <v>0</v>
      </c>
      <c r="AO2647" s="4">
        <v>0</v>
      </c>
      <c r="AP2647" s="4">
        <v>17</v>
      </c>
      <c r="AQ2647" s="4">
        <v>18</v>
      </c>
      <c r="AR2647" s="3" t="s">
        <v>63</v>
      </c>
      <c r="AS2647" s="3" t="s">
        <v>63</v>
      </c>
      <c r="AT2647" s="3" t="s">
        <v>62</v>
      </c>
      <c r="AU2647" s="6" t="str">
        <f>HYPERLINK("http://catalog.hathitrust.org/Record/000216743","HathiTrust Record")</f>
        <v>HathiTrust Record</v>
      </c>
      <c r="AV2647" s="6" t="str">
        <f>HYPERLINK("http://mcgill.on.worldcat.org/oclc/4222263","Catalog Record")</f>
        <v>Catalog Record</v>
      </c>
      <c r="AW2647" s="6" t="str">
        <f>HYPERLINK("http://www.worldcat.org/oclc/4222263","WorldCat Record")</f>
        <v>WorldCat Record</v>
      </c>
      <c r="AX2647" s="3" t="s">
        <v>22018</v>
      </c>
      <c r="AY2647" s="3" t="s">
        <v>22019</v>
      </c>
      <c r="AZ2647" s="3" t="s">
        <v>22020</v>
      </c>
      <c r="BA2647" s="3" t="s">
        <v>22020</v>
      </c>
      <c r="BB2647" s="3" t="s">
        <v>22021</v>
      </c>
      <c r="BC2647" s="3" t="s">
        <v>82</v>
      </c>
      <c r="BD2647" s="3" t="s">
        <v>70</v>
      </c>
      <c r="BE2647" s="3" t="s">
        <v>22022</v>
      </c>
      <c r="BF2647" s="3" t="s">
        <v>22021</v>
      </c>
      <c r="BG2647" s="3" t="s">
        <v>22023</v>
      </c>
    </row>
    <row r="2648" spans="1:59" ht="60" x14ac:dyDescent="0.25">
      <c r="A2648" s="2" t="s">
        <v>59</v>
      </c>
      <c r="B2648" s="2" t="s">
        <v>60</v>
      </c>
      <c r="C2648" s="2" t="s">
        <v>22014</v>
      </c>
      <c r="D2648" s="2" t="s">
        <v>22015</v>
      </c>
      <c r="E2648" s="2" t="s">
        <v>22016</v>
      </c>
      <c r="G2648" s="3" t="s">
        <v>63</v>
      </c>
      <c r="I2648" s="3" t="s">
        <v>62</v>
      </c>
      <c r="J2648" s="3" t="s">
        <v>63</v>
      </c>
      <c r="K2648" s="3" t="s">
        <v>64</v>
      </c>
      <c r="M2648" s="2" t="s">
        <v>22017</v>
      </c>
      <c r="N2648" s="3" t="s">
        <v>65</v>
      </c>
      <c r="P2648" s="3" t="s">
        <v>66</v>
      </c>
      <c r="R2648" s="3" t="s">
        <v>67</v>
      </c>
      <c r="S2648" s="4">
        <v>38</v>
      </c>
      <c r="T2648" s="4">
        <v>64</v>
      </c>
      <c r="U2648" s="5" t="s">
        <v>4338</v>
      </c>
      <c r="V2648" s="5" t="s">
        <v>8252</v>
      </c>
      <c r="W2648" s="5" t="s">
        <v>69</v>
      </c>
      <c r="X2648" s="5" t="s">
        <v>69</v>
      </c>
      <c r="Y2648" s="4">
        <v>206</v>
      </c>
      <c r="Z2648" s="4">
        <v>21</v>
      </c>
      <c r="AA2648" s="4">
        <v>22</v>
      </c>
      <c r="AB2648" s="4">
        <v>2</v>
      </c>
      <c r="AC2648" s="4">
        <v>2</v>
      </c>
      <c r="AD2648" s="4">
        <v>82</v>
      </c>
      <c r="AE2648" s="4">
        <v>83</v>
      </c>
      <c r="AF2648" s="4">
        <v>1</v>
      </c>
      <c r="AG2648" s="4">
        <v>1</v>
      </c>
      <c r="AH2648" s="4">
        <v>73</v>
      </c>
      <c r="AI2648" s="4">
        <v>73</v>
      </c>
      <c r="AJ2648" s="4">
        <v>17</v>
      </c>
      <c r="AK2648" s="4">
        <v>17</v>
      </c>
      <c r="AL2648" s="4">
        <v>42</v>
      </c>
      <c r="AM2648" s="4">
        <v>42</v>
      </c>
      <c r="AN2648" s="4">
        <v>0</v>
      </c>
      <c r="AO2648" s="4">
        <v>0</v>
      </c>
      <c r="AP2648" s="4">
        <v>17</v>
      </c>
      <c r="AQ2648" s="4">
        <v>18</v>
      </c>
      <c r="AR2648" s="3" t="s">
        <v>63</v>
      </c>
      <c r="AS2648" s="3" t="s">
        <v>63</v>
      </c>
      <c r="AT2648" s="3" t="s">
        <v>62</v>
      </c>
      <c r="AU2648" s="6" t="str">
        <f>HYPERLINK("http://catalog.hathitrust.org/Record/000216743","HathiTrust Record")</f>
        <v>HathiTrust Record</v>
      </c>
      <c r="AV2648" s="6" t="str">
        <f>HYPERLINK("http://mcgill.on.worldcat.org/oclc/4222263","Catalog Record")</f>
        <v>Catalog Record</v>
      </c>
      <c r="AW2648" s="6" t="str">
        <f>HYPERLINK("http://www.worldcat.org/oclc/4222263","WorldCat Record")</f>
        <v>WorldCat Record</v>
      </c>
      <c r="AX2648" s="3" t="s">
        <v>22018</v>
      </c>
      <c r="AY2648" s="3" t="s">
        <v>22019</v>
      </c>
      <c r="AZ2648" s="3" t="s">
        <v>22020</v>
      </c>
      <c r="BA2648" s="3" t="s">
        <v>22020</v>
      </c>
      <c r="BB2648" s="3" t="s">
        <v>22024</v>
      </c>
      <c r="BC2648" s="3" t="s">
        <v>82</v>
      </c>
      <c r="BD2648" s="3" t="s">
        <v>70</v>
      </c>
      <c r="BE2648" s="3" t="s">
        <v>22022</v>
      </c>
      <c r="BF2648" s="3" t="s">
        <v>22024</v>
      </c>
      <c r="BG2648" s="3" t="s">
        <v>22025</v>
      </c>
    </row>
    <row r="2649" spans="1:59" ht="60" x14ac:dyDescent="0.25">
      <c r="A2649" s="2" t="s">
        <v>59</v>
      </c>
      <c r="B2649" s="2" t="s">
        <v>60</v>
      </c>
      <c r="C2649" s="2" t="s">
        <v>22026</v>
      </c>
      <c r="D2649" s="2" t="s">
        <v>22027</v>
      </c>
      <c r="E2649" s="2" t="s">
        <v>22028</v>
      </c>
      <c r="G2649" s="3" t="s">
        <v>63</v>
      </c>
      <c r="I2649" s="3" t="s">
        <v>63</v>
      </c>
      <c r="J2649" s="3" t="s">
        <v>63</v>
      </c>
      <c r="K2649" s="3" t="s">
        <v>64</v>
      </c>
      <c r="L2649" s="2" t="s">
        <v>22029</v>
      </c>
      <c r="M2649" s="2" t="s">
        <v>22030</v>
      </c>
      <c r="N2649" s="3" t="s">
        <v>826</v>
      </c>
      <c r="P2649" s="3" t="s">
        <v>90</v>
      </c>
      <c r="R2649" s="3" t="s">
        <v>67</v>
      </c>
      <c r="S2649" s="4">
        <v>23</v>
      </c>
      <c r="T2649" s="4">
        <v>23</v>
      </c>
      <c r="U2649" s="5" t="s">
        <v>21788</v>
      </c>
      <c r="V2649" s="5" t="s">
        <v>21788</v>
      </c>
      <c r="W2649" s="5" t="s">
        <v>69</v>
      </c>
      <c r="X2649" s="5" t="s">
        <v>69</v>
      </c>
      <c r="Y2649" s="4">
        <v>143</v>
      </c>
      <c r="Z2649" s="4">
        <v>15</v>
      </c>
      <c r="AA2649" s="4">
        <v>17</v>
      </c>
      <c r="AB2649" s="4">
        <v>1</v>
      </c>
      <c r="AC2649" s="4">
        <v>1</v>
      </c>
      <c r="AD2649" s="4">
        <v>77</v>
      </c>
      <c r="AE2649" s="4">
        <v>80</v>
      </c>
      <c r="AF2649" s="4">
        <v>0</v>
      </c>
      <c r="AG2649" s="4">
        <v>0</v>
      </c>
      <c r="AH2649" s="4">
        <v>72</v>
      </c>
      <c r="AI2649" s="4">
        <v>75</v>
      </c>
      <c r="AJ2649" s="4">
        <v>11</v>
      </c>
      <c r="AK2649" s="4">
        <v>13</v>
      </c>
      <c r="AL2649" s="4">
        <v>47</v>
      </c>
      <c r="AM2649" s="4">
        <v>47</v>
      </c>
      <c r="AN2649" s="4">
        <v>0</v>
      </c>
      <c r="AO2649" s="4">
        <v>0</v>
      </c>
      <c r="AP2649" s="4">
        <v>12</v>
      </c>
      <c r="AQ2649" s="4">
        <v>14</v>
      </c>
      <c r="AR2649" s="3" t="s">
        <v>63</v>
      </c>
      <c r="AS2649" s="3" t="s">
        <v>63</v>
      </c>
      <c r="AT2649" s="3" t="s">
        <v>62</v>
      </c>
      <c r="AU2649" s="6" t="str">
        <f>HYPERLINK("http://catalog.hathitrust.org/Record/003528936","HathiTrust Record")</f>
        <v>HathiTrust Record</v>
      </c>
      <c r="AV2649" s="6" t="str">
        <f>HYPERLINK("http://mcgill.on.worldcat.org/oclc/4018145","Catalog Record")</f>
        <v>Catalog Record</v>
      </c>
      <c r="AW2649" s="6" t="str">
        <f>HYPERLINK("http://www.worldcat.org/oclc/4018145","WorldCat Record")</f>
        <v>WorldCat Record</v>
      </c>
      <c r="AX2649" s="3" t="s">
        <v>22031</v>
      </c>
      <c r="AY2649" s="3" t="s">
        <v>22032</v>
      </c>
      <c r="AZ2649" s="3" t="s">
        <v>22033</v>
      </c>
      <c r="BA2649" s="3" t="s">
        <v>22033</v>
      </c>
      <c r="BB2649" s="3" t="s">
        <v>22034</v>
      </c>
      <c r="BC2649" s="3" t="s">
        <v>82</v>
      </c>
      <c r="BD2649" s="3" t="s">
        <v>70</v>
      </c>
      <c r="BF2649" s="3" t="s">
        <v>22034</v>
      </c>
      <c r="BG2649" s="3" t="s">
        <v>22035</v>
      </c>
    </row>
    <row r="2650" spans="1:59" ht="60" x14ac:dyDescent="0.25">
      <c r="A2650" s="2" t="s">
        <v>59</v>
      </c>
      <c r="B2650" s="2" t="s">
        <v>60</v>
      </c>
      <c r="C2650" s="2" t="s">
        <v>22036</v>
      </c>
      <c r="D2650" s="2" t="s">
        <v>22037</v>
      </c>
      <c r="E2650" s="2" t="s">
        <v>22038</v>
      </c>
      <c r="G2650" s="3" t="s">
        <v>63</v>
      </c>
      <c r="I2650" s="3" t="s">
        <v>63</v>
      </c>
      <c r="J2650" s="3" t="s">
        <v>63</v>
      </c>
      <c r="K2650" s="3" t="s">
        <v>64</v>
      </c>
      <c r="L2650" s="2" t="s">
        <v>22029</v>
      </c>
      <c r="M2650" s="2" t="s">
        <v>8346</v>
      </c>
      <c r="N2650" s="3" t="s">
        <v>3640</v>
      </c>
      <c r="P2650" s="3" t="s">
        <v>66</v>
      </c>
      <c r="R2650" s="3" t="s">
        <v>67</v>
      </c>
      <c r="S2650" s="4">
        <v>31</v>
      </c>
      <c r="T2650" s="4">
        <v>31</v>
      </c>
      <c r="U2650" s="5" t="s">
        <v>22039</v>
      </c>
      <c r="V2650" s="5" t="s">
        <v>22039</v>
      </c>
      <c r="W2650" s="5" t="s">
        <v>69</v>
      </c>
      <c r="X2650" s="5" t="s">
        <v>69</v>
      </c>
      <c r="Y2650" s="4">
        <v>420</v>
      </c>
      <c r="Z2650" s="4">
        <v>35</v>
      </c>
      <c r="AA2650" s="4">
        <v>37</v>
      </c>
      <c r="AB2650" s="4">
        <v>3</v>
      </c>
      <c r="AC2650" s="4">
        <v>5</v>
      </c>
      <c r="AD2650" s="4">
        <v>119</v>
      </c>
      <c r="AE2650" s="4">
        <v>121</v>
      </c>
      <c r="AF2650" s="4">
        <v>1</v>
      </c>
      <c r="AG2650" s="4">
        <v>3</v>
      </c>
      <c r="AH2650" s="4">
        <v>100</v>
      </c>
      <c r="AI2650" s="4">
        <v>101</v>
      </c>
      <c r="AJ2650" s="4">
        <v>22</v>
      </c>
      <c r="AK2650" s="4">
        <v>24</v>
      </c>
      <c r="AL2650" s="4">
        <v>55</v>
      </c>
      <c r="AM2650" s="4">
        <v>55</v>
      </c>
      <c r="AN2650" s="4">
        <v>0</v>
      </c>
      <c r="AO2650" s="4">
        <v>0</v>
      </c>
      <c r="AP2650" s="4">
        <v>27</v>
      </c>
      <c r="AQ2650" s="4">
        <v>28</v>
      </c>
      <c r="AR2650" s="3" t="s">
        <v>63</v>
      </c>
      <c r="AS2650" s="3" t="s">
        <v>63</v>
      </c>
      <c r="AT2650" s="3" t="s">
        <v>62</v>
      </c>
      <c r="AU2650" s="6" t="str">
        <f>HYPERLINK("http://catalog.hathitrust.org/Record/000280021","HathiTrust Record")</f>
        <v>HathiTrust Record</v>
      </c>
      <c r="AV2650" s="6" t="str">
        <f>HYPERLINK("http://mcgill.on.worldcat.org/oclc/9154865","Catalog Record")</f>
        <v>Catalog Record</v>
      </c>
      <c r="AW2650" s="6" t="str">
        <f>HYPERLINK("http://www.worldcat.org/oclc/9154865","WorldCat Record")</f>
        <v>WorldCat Record</v>
      </c>
      <c r="AX2650" s="3" t="s">
        <v>22040</v>
      </c>
      <c r="AY2650" s="3" t="s">
        <v>22041</v>
      </c>
      <c r="AZ2650" s="3" t="s">
        <v>22042</v>
      </c>
      <c r="BA2650" s="3" t="s">
        <v>22042</v>
      </c>
      <c r="BB2650" s="3" t="s">
        <v>22043</v>
      </c>
      <c r="BC2650" s="3" t="s">
        <v>82</v>
      </c>
      <c r="BD2650" s="3" t="s">
        <v>70</v>
      </c>
      <c r="BE2650" s="3" t="s">
        <v>22044</v>
      </c>
      <c r="BF2650" s="3" t="s">
        <v>22043</v>
      </c>
      <c r="BG2650" s="3" t="s">
        <v>22045</v>
      </c>
    </row>
    <row r="2651" spans="1:59" ht="60" x14ac:dyDescent="0.25">
      <c r="A2651" s="2" t="s">
        <v>59</v>
      </c>
      <c r="B2651" s="2" t="s">
        <v>60</v>
      </c>
      <c r="C2651" s="2" t="s">
        <v>22046</v>
      </c>
      <c r="D2651" s="2" t="s">
        <v>22047</v>
      </c>
      <c r="E2651" s="2" t="s">
        <v>22048</v>
      </c>
      <c r="G2651" s="3" t="s">
        <v>63</v>
      </c>
      <c r="I2651" s="3" t="s">
        <v>63</v>
      </c>
      <c r="J2651" s="3" t="s">
        <v>63</v>
      </c>
      <c r="K2651" s="3" t="s">
        <v>64</v>
      </c>
      <c r="M2651" s="2" t="s">
        <v>22049</v>
      </c>
      <c r="N2651" s="3" t="s">
        <v>161</v>
      </c>
      <c r="P2651" s="3" t="s">
        <v>66</v>
      </c>
      <c r="Q2651" s="2" t="s">
        <v>12957</v>
      </c>
      <c r="R2651" s="3" t="s">
        <v>67</v>
      </c>
      <c r="S2651" s="4">
        <v>5</v>
      </c>
      <c r="T2651" s="4">
        <v>5</v>
      </c>
      <c r="U2651" s="5" t="s">
        <v>22039</v>
      </c>
      <c r="V2651" s="5" t="s">
        <v>22039</v>
      </c>
      <c r="W2651" s="5" t="s">
        <v>69</v>
      </c>
      <c r="X2651" s="5" t="s">
        <v>69</v>
      </c>
      <c r="Y2651" s="4">
        <v>631</v>
      </c>
      <c r="Z2651" s="4">
        <v>29</v>
      </c>
      <c r="AA2651" s="4">
        <v>33</v>
      </c>
      <c r="AB2651" s="4">
        <v>2</v>
      </c>
      <c r="AC2651" s="4">
        <v>4</v>
      </c>
      <c r="AD2651" s="4">
        <v>101</v>
      </c>
      <c r="AE2651" s="4">
        <v>105</v>
      </c>
      <c r="AF2651" s="4">
        <v>1</v>
      </c>
      <c r="AG2651" s="4">
        <v>3</v>
      </c>
      <c r="AH2651" s="4">
        <v>90</v>
      </c>
      <c r="AI2651" s="4">
        <v>93</v>
      </c>
      <c r="AJ2651" s="4">
        <v>12</v>
      </c>
      <c r="AK2651" s="4">
        <v>16</v>
      </c>
      <c r="AL2651" s="4">
        <v>49</v>
      </c>
      <c r="AM2651" s="4">
        <v>49</v>
      </c>
      <c r="AN2651" s="4">
        <v>0</v>
      </c>
      <c r="AO2651" s="4">
        <v>0</v>
      </c>
      <c r="AP2651" s="4">
        <v>18</v>
      </c>
      <c r="AQ2651" s="4">
        <v>22</v>
      </c>
      <c r="AR2651" s="3" t="s">
        <v>63</v>
      </c>
      <c r="AS2651" s="3" t="s">
        <v>63</v>
      </c>
      <c r="AT2651" s="3" t="s">
        <v>62</v>
      </c>
      <c r="AU2651" s="6" t="str">
        <f>HYPERLINK("http://catalog.hathitrust.org/Record/001551618","HathiTrust Record")</f>
        <v>HathiTrust Record</v>
      </c>
      <c r="AV2651" s="6" t="str">
        <f>HYPERLINK("http://mcgill.on.worldcat.org/oclc/19352117","Catalog Record")</f>
        <v>Catalog Record</v>
      </c>
      <c r="AW2651" s="6" t="str">
        <f>HYPERLINK("http://www.worldcat.org/oclc/19352117","WorldCat Record")</f>
        <v>WorldCat Record</v>
      </c>
      <c r="AX2651" s="3" t="s">
        <v>22050</v>
      </c>
      <c r="AY2651" s="3" t="s">
        <v>22051</v>
      </c>
      <c r="AZ2651" s="3" t="s">
        <v>22052</v>
      </c>
      <c r="BA2651" s="3" t="s">
        <v>22052</v>
      </c>
      <c r="BB2651" s="3" t="s">
        <v>22053</v>
      </c>
      <c r="BC2651" s="3" t="s">
        <v>82</v>
      </c>
      <c r="BD2651" s="3" t="s">
        <v>70</v>
      </c>
      <c r="BE2651" s="3" t="s">
        <v>22054</v>
      </c>
      <c r="BF2651" s="3" t="s">
        <v>22053</v>
      </c>
      <c r="BG2651" s="3" t="s">
        <v>22055</v>
      </c>
    </row>
    <row r="2652" spans="1:59" ht="60" x14ac:dyDescent="0.25">
      <c r="A2652" s="2" t="s">
        <v>59</v>
      </c>
      <c r="B2652" s="2" t="s">
        <v>60</v>
      </c>
      <c r="C2652" s="2" t="s">
        <v>22056</v>
      </c>
      <c r="D2652" s="2" t="s">
        <v>22057</v>
      </c>
      <c r="E2652" s="2" t="s">
        <v>22058</v>
      </c>
      <c r="G2652" s="3" t="s">
        <v>63</v>
      </c>
      <c r="I2652" s="3" t="s">
        <v>63</v>
      </c>
      <c r="J2652" s="3" t="s">
        <v>63</v>
      </c>
      <c r="K2652" s="3" t="s">
        <v>215</v>
      </c>
      <c r="L2652" s="2" t="s">
        <v>22059</v>
      </c>
      <c r="M2652" s="2" t="s">
        <v>22060</v>
      </c>
      <c r="N2652" s="3" t="s">
        <v>190</v>
      </c>
      <c r="P2652" s="3" t="s">
        <v>66</v>
      </c>
      <c r="R2652" s="3" t="s">
        <v>67</v>
      </c>
      <c r="S2652" s="4">
        <v>11</v>
      </c>
      <c r="T2652" s="4">
        <v>11</v>
      </c>
      <c r="U2652" s="5" t="s">
        <v>9294</v>
      </c>
      <c r="V2652" s="5" t="s">
        <v>9294</v>
      </c>
      <c r="W2652" s="5" t="s">
        <v>69</v>
      </c>
      <c r="X2652" s="5" t="s">
        <v>69</v>
      </c>
      <c r="Y2652" s="4">
        <v>379</v>
      </c>
      <c r="Z2652" s="4">
        <v>23</v>
      </c>
      <c r="AA2652" s="4">
        <v>86</v>
      </c>
      <c r="AB2652" s="4">
        <v>1</v>
      </c>
      <c r="AC2652" s="4">
        <v>15</v>
      </c>
      <c r="AD2652" s="4">
        <v>109</v>
      </c>
      <c r="AE2652" s="4">
        <v>142</v>
      </c>
      <c r="AF2652" s="4">
        <v>0</v>
      </c>
      <c r="AG2652" s="4">
        <v>8</v>
      </c>
      <c r="AH2652" s="4">
        <v>99</v>
      </c>
      <c r="AI2652" s="4">
        <v>108</v>
      </c>
      <c r="AJ2652" s="4">
        <v>14</v>
      </c>
      <c r="AK2652" s="4">
        <v>23</v>
      </c>
      <c r="AL2652" s="4">
        <v>56</v>
      </c>
      <c r="AM2652" s="4">
        <v>58</v>
      </c>
      <c r="AN2652" s="4">
        <v>0</v>
      </c>
      <c r="AO2652" s="4">
        <v>0</v>
      </c>
      <c r="AP2652" s="4">
        <v>16</v>
      </c>
      <c r="AQ2652" s="4">
        <v>42</v>
      </c>
      <c r="AR2652" s="3" t="s">
        <v>63</v>
      </c>
      <c r="AS2652" s="3" t="s">
        <v>63</v>
      </c>
      <c r="AT2652" s="3" t="s">
        <v>63</v>
      </c>
      <c r="AV2652" s="6" t="str">
        <f>HYPERLINK("http://mcgill.on.worldcat.org/oclc/57316764","Catalog Record")</f>
        <v>Catalog Record</v>
      </c>
      <c r="AW2652" s="6" t="str">
        <f>HYPERLINK("http://www.worldcat.org/oclc/57316764","WorldCat Record")</f>
        <v>WorldCat Record</v>
      </c>
      <c r="AX2652" s="3" t="s">
        <v>22061</v>
      </c>
      <c r="AY2652" s="3" t="s">
        <v>22062</v>
      </c>
      <c r="AZ2652" s="3" t="s">
        <v>22063</v>
      </c>
      <c r="BA2652" s="3" t="s">
        <v>22063</v>
      </c>
      <c r="BB2652" s="3" t="s">
        <v>22064</v>
      </c>
      <c r="BC2652" s="3" t="s">
        <v>82</v>
      </c>
      <c r="BD2652" s="3" t="s">
        <v>70</v>
      </c>
      <c r="BE2652" s="3" t="s">
        <v>22065</v>
      </c>
      <c r="BF2652" s="3" t="s">
        <v>22064</v>
      </c>
      <c r="BG2652" s="3" t="s">
        <v>22066</v>
      </c>
    </row>
    <row r="2653" spans="1:59" ht="60" x14ac:dyDescent="0.25">
      <c r="A2653" s="2" t="s">
        <v>59</v>
      </c>
      <c r="B2653" s="2" t="s">
        <v>60</v>
      </c>
      <c r="C2653" s="2" t="s">
        <v>22067</v>
      </c>
      <c r="D2653" s="2" t="s">
        <v>22068</v>
      </c>
      <c r="E2653" s="2" t="s">
        <v>22069</v>
      </c>
      <c r="G2653" s="3" t="s">
        <v>63</v>
      </c>
      <c r="I2653" s="3" t="s">
        <v>63</v>
      </c>
      <c r="J2653" s="3" t="s">
        <v>63</v>
      </c>
      <c r="K2653" s="3" t="s">
        <v>64</v>
      </c>
      <c r="L2653" s="2" t="s">
        <v>22070</v>
      </c>
      <c r="M2653" s="2" t="s">
        <v>22071</v>
      </c>
      <c r="N2653" s="3" t="s">
        <v>374</v>
      </c>
      <c r="P2653" s="3" t="s">
        <v>66</v>
      </c>
      <c r="R2653" s="3" t="s">
        <v>67</v>
      </c>
      <c r="S2653" s="4">
        <v>47</v>
      </c>
      <c r="T2653" s="4">
        <v>47</v>
      </c>
      <c r="U2653" s="5" t="s">
        <v>21503</v>
      </c>
      <c r="V2653" s="5" t="s">
        <v>21503</v>
      </c>
      <c r="W2653" s="5" t="s">
        <v>69</v>
      </c>
      <c r="X2653" s="5" t="s">
        <v>69</v>
      </c>
      <c r="Y2653" s="4">
        <v>1147</v>
      </c>
      <c r="Z2653" s="4">
        <v>51</v>
      </c>
      <c r="AA2653" s="4">
        <v>138</v>
      </c>
      <c r="AB2653" s="4">
        <v>4</v>
      </c>
      <c r="AC2653" s="4">
        <v>18</v>
      </c>
      <c r="AD2653" s="4">
        <v>134</v>
      </c>
      <c r="AE2653" s="4">
        <v>157</v>
      </c>
      <c r="AF2653" s="4">
        <v>2</v>
      </c>
      <c r="AG2653" s="4">
        <v>8</v>
      </c>
      <c r="AH2653" s="4">
        <v>107</v>
      </c>
      <c r="AI2653" s="4">
        <v>111</v>
      </c>
      <c r="AJ2653" s="4">
        <v>22</v>
      </c>
      <c r="AK2653" s="4">
        <v>26</v>
      </c>
      <c r="AL2653" s="4">
        <v>58</v>
      </c>
      <c r="AM2653" s="4">
        <v>60</v>
      </c>
      <c r="AN2653" s="4">
        <v>0</v>
      </c>
      <c r="AO2653" s="4">
        <v>0</v>
      </c>
      <c r="AP2653" s="4">
        <v>35</v>
      </c>
      <c r="AQ2653" s="4">
        <v>54</v>
      </c>
      <c r="AR2653" s="3" t="s">
        <v>63</v>
      </c>
      <c r="AS2653" s="3" t="s">
        <v>63</v>
      </c>
      <c r="AT2653" s="3" t="s">
        <v>63</v>
      </c>
      <c r="AV2653" s="6" t="str">
        <f>HYPERLINK("http://mcgill.on.worldcat.org/oclc/32429666","Catalog Record")</f>
        <v>Catalog Record</v>
      </c>
      <c r="AW2653" s="6" t="str">
        <f>HYPERLINK("http://www.worldcat.org/oclc/32429666","WorldCat Record")</f>
        <v>WorldCat Record</v>
      </c>
      <c r="AX2653" s="3" t="s">
        <v>22072</v>
      </c>
      <c r="AY2653" s="3" t="s">
        <v>22073</v>
      </c>
      <c r="AZ2653" s="3" t="s">
        <v>22074</v>
      </c>
      <c r="BA2653" s="3" t="s">
        <v>22074</v>
      </c>
      <c r="BB2653" s="3" t="s">
        <v>22075</v>
      </c>
      <c r="BC2653" s="3" t="s">
        <v>82</v>
      </c>
      <c r="BD2653" s="3" t="s">
        <v>70</v>
      </c>
      <c r="BE2653" s="3" t="s">
        <v>22076</v>
      </c>
      <c r="BF2653" s="3" t="s">
        <v>22075</v>
      </c>
      <c r="BG2653" s="3" t="s">
        <v>22077</v>
      </c>
    </row>
    <row r="2654" spans="1:59" ht="60" x14ac:dyDescent="0.25">
      <c r="A2654" s="2" t="s">
        <v>59</v>
      </c>
      <c r="B2654" s="2" t="s">
        <v>60</v>
      </c>
      <c r="C2654" s="2" t="s">
        <v>22078</v>
      </c>
      <c r="D2654" s="2" t="s">
        <v>22079</v>
      </c>
      <c r="E2654" s="2" t="s">
        <v>22080</v>
      </c>
      <c r="G2654" s="3" t="s">
        <v>63</v>
      </c>
      <c r="I2654" s="3" t="s">
        <v>62</v>
      </c>
      <c r="J2654" s="3" t="s">
        <v>63</v>
      </c>
      <c r="K2654" s="3" t="s">
        <v>64</v>
      </c>
      <c r="L2654" s="2" t="s">
        <v>22081</v>
      </c>
      <c r="M2654" s="2" t="s">
        <v>22082</v>
      </c>
      <c r="N2654" s="3" t="s">
        <v>65</v>
      </c>
      <c r="P2654" s="3" t="s">
        <v>66</v>
      </c>
      <c r="Q2654" s="2" t="s">
        <v>13333</v>
      </c>
      <c r="R2654" s="3" t="s">
        <v>67</v>
      </c>
      <c r="S2654" s="4">
        <v>48</v>
      </c>
      <c r="T2654" s="4">
        <v>92</v>
      </c>
      <c r="U2654" s="5" t="s">
        <v>22083</v>
      </c>
      <c r="V2654" s="5" t="s">
        <v>22083</v>
      </c>
      <c r="W2654" s="5" t="s">
        <v>69</v>
      </c>
      <c r="X2654" s="5" t="s">
        <v>69</v>
      </c>
      <c r="Y2654" s="4">
        <v>785</v>
      </c>
      <c r="Z2654" s="4">
        <v>46</v>
      </c>
      <c r="AA2654" s="4">
        <v>55</v>
      </c>
      <c r="AB2654" s="4">
        <v>3</v>
      </c>
      <c r="AC2654" s="4">
        <v>7</v>
      </c>
      <c r="AD2654" s="4">
        <v>132</v>
      </c>
      <c r="AE2654" s="4">
        <v>140</v>
      </c>
      <c r="AF2654" s="4">
        <v>2</v>
      </c>
      <c r="AG2654" s="4">
        <v>5</v>
      </c>
      <c r="AH2654" s="4">
        <v>106</v>
      </c>
      <c r="AI2654" s="4">
        <v>109</v>
      </c>
      <c r="AJ2654" s="4">
        <v>22</v>
      </c>
      <c r="AK2654" s="4">
        <v>26</v>
      </c>
      <c r="AL2654" s="4">
        <v>56</v>
      </c>
      <c r="AM2654" s="4">
        <v>57</v>
      </c>
      <c r="AN2654" s="4">
        <v>0</v>
      </c>
      <c r="AO2654" s="4">
        <v>0</v>
      </c>
      <c r="AP2654" s="4">
        <v>32</v>
      </c>
      <c r="AQ2654" s="4">
        <v>38</v>
      </c>
      <c r="AR2654" s="3" t="s">
        <v>63</v>
      </c>
      <c r="AS2654" s="3" t="s">
        <v>63</v>
      </c>
      <c r="AT2654" s="3" t="s">
        <v>63</v>
      </c>
      <c r="AV2654" s="6" t="str">
        <f>HYPERLINK("http://mcgill.on.worldcat.org/oclc/2330928","Catalog Record")</f>
        <v>Catalog Record</v>
      </c>
      <c r="AW2654" s="6" t="str">
        <f>HYPERLINK("http://www.worldcat.org/oclc/2330928","WorldCat Record")</f>
        <v>WorldCat Record</v>
      </c>
      <c r="AX2654" s="3" t="s">
        <v>22084</v>
      </c>
      <c r="AY2654" s="3" t="s">
        <v>22085</v>
      </c>
      <c r="AZ2654" s="3" t="s">
        <v>22086</v>
      </c>
      <c r="BA2654" s="3" t="s">
        <v>22086</v>
      </c>
      <c r="BB2654" s="3" t="s">
        <v>22087</v>
      </c>
      <c r="BC2654" s="3" t="s">
        <v>82</v>
      </c>
      <c r="BD2654" s="3" t="s">
        <v>70</v>
      </c>
      <c r="BE2654" s="3" t="s">
        <v>22088</v>
      </c>
      <c r="BF2654" s="3" t="s">
        <v>22087</v>
      </c>
      <c r="BG2654" s="3" t="s">
        <v>22089</v>
      </c>
    </row>
    <row r="2655" spans="1:59" ht="60" x14ac:dyDescent="0.25">
      <c r="A2655" s="2" t="s">
        <v>59</v>
      </c>
      <c r="B2655" s="2" t="s">
        <v>60</v>
      </c>
      <c r="C2655" s="2" t="s">
        <v>22078</v>
      </c>
      <c r="D2655" s="2" t="s">
        <v>22079</v>
      </c>
      <c r="E2655" s="2" t="s">
        <v>22080</v>
      </c>
      <c r="G2655" s="3" t="s">
        <v>63</v>
      </c>
      <c r="I2655" s="3" t="s">
        <v>62</v>
      </c>
      <c r="J2655" s="3" t="s">
        <v>63</v>
      </c>
      <c r="K2655" s="3" t="s">
        <v>64</v>
      </c>
      <c r="L2655" s="2" t="s">
        <v>22081</v>
      </c>
      <c r="M2655" s="2" t="s">
        <v>22082</v>
      </c>
      <c r="N2655" s="3" t="s">
        <v>65</v>
      </c>
      <c r="P2655" s="3" t="s">
        <v>66</v>
      </c>
      <c r="Q2655" s="2" t="s">
        <v>13333</v>
      </c>
      <c r="R2655" s="3" t="s">
        <v>67</v>
      </c>
      <c r="S2655" s="4">
        <v>44</v>
      </c>
      <c r="T2655" s="4">
        <v>92</v>
      </c>
      <c r="U2655" s="5" t="s">
        <v>2133</v>
      </c>
      <c r="V2655" s="5" t="s">
        <v>22083</v>
      </c>
      <c r="W2655" s="5" t="s">
        <v>69</v>
      </c>
      <c r="X2655" s="5" t="s">
        <v>69</v>
      </c>
      <c r="Y2655" s="4">
        <v>785</v>
      </c>
      <c r="Z2655" s="4">
        <v>46</v>
      </c>
      <c r="AA2655" s="4">
        <v>55</v>
      </c>
      <c r="AB2655" s="4">
        <v>3</v>
      </c>
      <c r="AC2655" s="4">
        <v>7</v>
      </c>
      <c r="AD2655" s="4">
        <v>132</v>
      </c>
      <c r="AE2655" s="4">
        <v>140</v>
      </c>
      <c r="AF2655" s="4">
        <v>2</v>
      </c>
      <c r="AG2655" s="4">
        <v>5</v>
      </c>
      <c r="AH2655" s="4">
        <v>106</v>
      </c>
      <c r="AI2655" s="4">
        <v>109</v>
      </c>
      <c r="AJ2655" s="4">
        <v>22</v>
      </c>
      <c r="AK2655" s="4">
        <v>26</v>
      </c>
      <c r="AL2655" s="4">
        <v>56</v>
      </c>
      <c r="AM2655" s="4">
        <v>57</v>
      </c>
      <c r="AN2655" s="4">
        <v>0</v>
      </c>
      <c r="AO2655" s="4">
        <v>0</v>
      </c>
      <c r="AP2655" s="4">
        <v>32</v>
      </c>
      <c r="AQ2655" s="4">
        <v>38</v>
      </c>
      <c r="AR2655" s="3" t="s">
        <v>63</v>
      </c>
      <c r="AS2655" s="3" t="s">
        <v>63</v>
      </c>
      <c r="AT2655" s="3" t="s">
        <v>63</v>
      </c>
      <c r="AV2655" s="6" t="str">
        <f>HYPERLINK("http://mcgill.on.worldcat.org/oclc/2330928","Catalog Record")</f>
        <v>Catalog Record</v>
      </c>
      <c r="AW2655" s="6" t="str">
        <f>HYPERLINK("http://www.worldcat.org/oclc/2330928","WorldCat Record")</f>
        <v>WorldCat Record</v>
      </c>
      <c r="AX2655" s="3" t="s">
        <v>22084</v>
      </c>
      <c r="AY2655" s="3" t="s">
        <v>22085</v>
      </c>
      <c r="AZ2655" s="3" t="s">
        <v>22086</v>
      </c>
      <c r="BA2655" s="3" t="s">
        <v>22086</v>
      </c>
      <c r="BB2655" s="3" t="s">
        <v>22090</v>
      </c>
      <c r="BC2655" s="3" t="s">
        <v>82</v>
      </c>
      <c r="BD2655" s="3" t="s">
        <v>70</v>
      </c>
      <c r="BE2655" s="3" t="s">
        <v>22088</v>
      </c>
      <c r="BF2655" s="3" t="s">
        <v>22090</v>
      </c>
      <c r="BG2655" s="3" t="s">
        <v>22091</v>
      </c>
    </row>
    <row r="2656" spans="1:59" ht="75" x14ac:dyDescent="0.25">
      <c r="A2656" s="2" t="s">
        <v>59</v>
      </c>
      <c r="B2656" s="2" t="s">
        <v>60</v>
      </c>
      <c r="C2656" s="2" t="s">
        <v>22092</v>
      </c>
      <c r="D2656" s="2" t="s">
        <v>22093</v>
      </c>
      <c r="E2656" s="2" t="s">
        <v>22094</v>
      </c>
      <c r="G2656" s="3" t="s">
        <v>63</v>
      </c>
      <c r="I2656" s="3" t="s">
        <v>63</v>
      </c>
      <c r="J2656" s="3" t="s">
        <v>63</v>
      </c>
      <c r="K2656" s="3" t="s">
        <v>64</v>
      </c>
      <c r="L2656" s="2" t="s">
        <v>22095</v>
      </c>
      <c r="M2656" s="2" t="s">
        <v>22096</v>
      </c>
      <c r="N2656" s="3" t="s">
        <v>2103</v>
      </c>
      <c r="P2656" s="3" t="s">
        <v>66</v>
      </c>
      <c r="R2656" s="3" t="s">
        <v>67</v>
      </c>
      <c r="S2656" s="4">
        <v>40</v>
      </c>
      <c r="T2656" s="4">
        <v>40</v>
      </c>
      <c r="U2656" s="5" t="s">
        <v>17623</v>
      </c>
      <c r="V2656" s="5" t="s">
        <v>17623</v>
      </c>
      <c r="W2656" s="5" t="s">
        <v>69</v>
      </c>
      <c r="X2656" s="5" t="s">
        <v>69</v>
      </c>
      <c r="Y2656" s="4">
        <v>486</v>
      </c>
      <c r="Z2656" s="4">
        <v>19</v>
      </c>
      <c r="AA2656" s="4">
        <v>21</v>
      </c>
      <c r="AB2656" s="4">
        <v>1</v>
      </c>
      <c r="AC2656" s="4">
        <v>1</v>
      </c>
      <c r="AD2656" s="4">
        <v>100</v>
      </c>
      <c r="AE2656" s="4">
        <v>103</v>
      </c>
      <c r="AF2656" s="4">
        <v>0</v>
      </c>
      <c r="AG2656" s="4">
        <v>0</v>
      </c>
      <c r="AH2656" s="4">
        <v>91</v>
      </c>
      <c r="AI2656" s="4">
        <v>93</v>
      </c>
      <c r="AJ2656" s="4">
        <v>9</v>
      </c>
      <c r="AK2656" s="4">
        <v>10</v>
      </c>
      <c r="AL2656" s="4">
        <v>53</v>
      </c>
      <c r="AM2656" s="4">
        <v>54</v>
      </c>
      <c r="AN2656" s="4">
        <v>0</v>
      </c>
      <c r="AO2656" s="4">
        <v>0</v>
      </c>
      <c r="AP2656" s="4">
        <v>12</v>
      </c>
      <c r="AQ2656" s="4">
        <v>14</v>
      </c>
      <c r="AR2656" s="3" t="s">
        <v>63</v>
      </c>
      <c r="AS2656" s="3" t="s">
        <v>63</v>
      </c>
      <c r="AT2656" s="3" t="s">
        <v>63</v>
      </c>
      <c r="AV2656" s="6" t="str">
        <f>HYPERLINK("http://mcgill.on.worldcat.org/oclc/49327002","Catalog Record")</f>
        <v>Catalog Record</v>
      </c>
      <c r="AW2656" s="6" t="str">
        <f>HYPERLINK("http://www.worldcat.org/oclc/49327002","WorldCat Record")</f>
        <v>WorldCat Record</v>
      </c>
      <c r="AX2656" s="3" t="s">
        <v>22097</v>
      </c>
      <c r="AY2656" s="3" t="s">
        <v>22098</v>
      </c>
      <c r="AZ2656" s="3" t="s">
        <v>22099</v>
      </c>
      <c r="BA2656" s="3" t="s">
        <v>22099</v>
      </c>
      <c r="BB2656" s="3" t="s">
        <v>22100</v>
      </c>
      <c r="BC2656" s="3" t="s">
        <v>82</v>
      </c>
      <c r="BD2656" s="3" t="s">
        <v>70</v>
      </c>
      <c r="BE2656" s="3" t="s">
        <v>22101</v>
      </c>
      <c r="BF2656" s="3" t="s">
        <v>22100</v>
      </c>
      <c r="BG2656" s="3" t="s">
        <v>22102</v>
      </c>
    </row>
    <row r="2657" spans="1:59" ht="60" x14ac:dyDescent="0.25">
      <c r="A2657" s="2" t="s">
        <v>59</v>
      </c>
      <c r="B2657" s="2" t="s">
        <v>60</v>
      </c>
      <c r="C2657" s="2" t="s">
        <v>22103</v>
      </c>
      <c r="D2657" s="2" t="s">
        <v>22104</v>
      </c>
      <c r="E2657" s="2" t="s">
        <v>22105</v>
      </c>
      <c r="G2657" s="3" t="s">
        <v>63</v>
      </c>
      <c r="I2657" s="3" t="s">
        <v>63</v>
      </c>
      <c r="J2657" s="3" t="s">
        <v>63</v>
      </c>
      <c r="K2657" s="3" t="s">
        <v>64</v>
      </c>
      <c r="L2657" s="2" t="s">
        <v>22106</v>
      </c>
      <c r="M2657" s="2" t="s">
        <v>19049</v>
      </c>
      <c r="N2657" s="3" t="s">
        <v>313</v>
      </c>
      <c r="P2657" s="3" t="s">
        <v>66</v>
      </c>
      <c r="Q2657" s="2" t="s">
        <v>4599</v>
      </c>
      <c r="R2657" s="3" t="s">
        <v>67</v>
      </c>
      <c r="S2657" s="4">
        <v>13</v>
      </c>
      <c r="T2657" s="4">
        <v>13</v>
      </c>
      <c r="U2657" s="5" t="s">
        <v>21503</v>
      </c>
      <c r="V2657" s="5" t="s">
        <v>21503</v>
      </c>
      <c r="W2657" s="5" t="s">
        <v>69</v>
      </c>
      <c r="X2657" s="5" t="s">
        <v>69</v>
      </c>
      <c r="Y2657" s="4">
        <v>148</v>
      </c>
      <c r="Z2657" s="4">
        <v>14</v>
      </c>
      <c r="AA2657" s="4">
        <v>84</v>
      </c>
      <c r="AB2657" s="4">
        <v>2</v>
      </c>
      <c r="AC2657" s="4">
        <v>14</v>
      </c>
      <c r="AD2657" s="4">
        <v>54</v>
      </c>
      <c r="AE2657" s="4">
        <v>121</v>
      </c>
      <c r="AF2657" s="4">
        <v>1</v>
      </c>
      <c r="AG2657" s="4">
        <v>8</v>
      </c>
      <c r="AH2657" s="4">
        <v>50</v>
      </c>
      <c r="AI2657" s="4">
        <v>86</v>
      </c>
      <c r="AJ2657" s="4">
        <v>8</v>
      </c>
      <c r="AK2657" s="4">
        <v>22</v>
      </c>
      <c r="AL2657" s="4">
        <v>31</v>
      </c>
      <c r="AM2657" s="4">
        <v>51</v>
      </c>
      <c r="AN2657" s="4">
        <v>0</v>
      </c>
      <c r="AO2657" s="4">
        <v>0</v>
      </c>
      <c r="AP2657" s="4">
        <v>9</v>
      </c>
      <c r="AQ2657" s="4">
        <v>42</v>
      </c>
      <c r="AR2657" s="3" t="s">
        <v>63</v>
      </c>
      <c r="AS2657" s="3" t="s">
        <v>63</v>
      </c>
      <c r="AT2657" s="3" t="s">
        <v>63</v>
      </c>
      <c r="AV2657" s="6" t="str">
        <f>HYPERLINK("http://mcgill.on.worldcat.org/oclc/634743477","Catalog Record")</f>
        <v>Catalog Record</v>
      </c>
      <c r="AW2657" s="6" t="str">
        <f>HYPERLINK("http://www.worldcat.org/oclc/634743477","WorldCat Record")</f>
        <v>WorldCat Record</v>
      </c>
      <c r="AX2657" s="3" t="s">
        <v>22107</v>
      </c>
      <c r="AY2657" s="3" t="s">
        <v>22108</v>
      </c>
      <c r="AZ2657" s="3" t="s">
        <v>22109</v>
      </c>
      <c r="BA2657" s="3" t="s">
        <v>22109</v>
      </c>
      <c r="BB2657" s="3" t="s">
        <v>22110</v>
      </c>
      <c r="BC2657" s="3" t="s">
        <v>82</v>
      </c>
      <c r="BD2657" s="3" t="s">
        <v>70</v>
      </c>
      <c r="BE2657" s="3" t="s">
        <v>22111</v>
      </c>
      <c r="BF2657" s="3" t="s">
        <v>22110</v>
      </c>
      <c r="BG2657" s="3" t="s">
        <v>22112</v>
      </c>
    </row>
    <row r="2658" spans="1:59" ht="60" x14ac:dyDescent="0.25">
      <c r="A2658" s="2" t="s">
        <v>59</v>
      </c>
      <c r="B2658" s="2" t="s">
        <v>60</v>
      </c>
      <c r="C2658" s="2" t="s">
        <v>22113</v>
      </c>
      <c r="D2658" s="2" t="s">
        <v>22114</v>
      </c>
      <c r="E2658" s="2" t="s">
        <v>22115</v>
      </c>
      <c r="G2658" s="3" t="s">
        <v>63</v>
      </c>
      <c r="I2658" s="3" t="s">
        <v>63</v>
      </c>
      <c r="J2658" s="3" t="s">
        <v>63</v>
      </c>
      <c r="K2658" s="3" t="s">
        <v>64</v>
      </c>
      <c r="L2658" s="2" t="s">
        <v>19928</v>
      </c>
      <c r="M2658" s="2" t="s">
        <v>22116</v>
      </c>
      <c r="N2658" s="3" t="s">
        <v>743</v>
      </c>
      <c r="P2658" s="3" t="s">
        <v>66</v>
      </c>
      <c r="R2658" s="3" t="s">
        <v>67</v>
      </c>
      <c r="S2658" s="4">
        <v>1</v>
      </c>
      <c r="T2658" s="4">
        <v>1</v>
      </c>
      <c r="U2658" s="5" t="s">
        <v>21503</v>
      </c>
      <c r="V2658" s="5" t="s">
        <v>21503</v>
      </c>
      <c r="W2658" s="5" t="s">
        <v>69</v>
      </c>
      <c r="X2658" s="5" t="s">
        <v>69</v>
      </c>
      <c r="Y2658" s="4">
        <v>519</v>
      </c>
      <c r="Z2658" s="4">
        <v>38</v>
      </c>
      <c r="AA2658" s="4">
        <v>43</v>
      </c>
      <c r="AB2658" s="4">
        <v>3</v>
      </c>
      <c r="AC2658" s="4">
        <v>4</v>
      </c>
      <c r="AD2658" s="4">
        <v>104</v>
      </c>
      <c r="AE2658" s="4">
        <v>120</v>
      </c>
      <c r="AF2658" s="4">
        <v>2</v>
      </c>
      <c r="AG2658" s="4">
        <v>3</v>
      </c>
      <c r="AH2658" s="4">
        <v>86</v>
      </c>
      <c r="AI2658" s="4">
        <v>99</v>
      </c>
      <c r="AJ2658" s="4">
        <v>18</v>
      </c>
      <c r="AK2658" s="4">
        <v>20</v>
      </c>
      <c r="AL2658" s="4">
        <v>45</v>
      </c>
      <c r="AM2658" s="4">
        <v>53</v>
      </c>
      <c r="AN2658" s="4">
        <v>0</v>
      </c>
      <c r="AO2658" s="4">
        <v>0</v>
      </c>
      <c r="AP2658" s="4">
        <v>25</v>
      </c>
      <c r="AQ2658" s="4">
        <v>28</v>
      </c>
      <c r="AR2658" s="3" t="s">
        <v>63</v>
      </c>
      <c r="AS2658" s="3" t="s">
        <v>63</v>
      </c>
      <c r="AT2658" s="3" t="s">
        <v>62</v>
      </c>
      <c r="AU2658" s="6" t="str">
        <f>HYPERLINK("http://catalog.hathitrust.org/Record/001224242","HathiTrust Record")</f>
        <v>HathiTrust Record</v>
      </c>
      <c r="AV2658" s="6" t="str">
        <f>HYPERLINK("http://mcgill.on.worldcat.org/oclc/415921","Catalog Record")</f>
        <v>Catalog Record</v>
      </c>
      <c r="AW2658" s="6" t="str">
        <f>HYPERLINK("http://www.worldcat.org/oclc/415921","WorldCat Record")</f>
        <v>WorldCat Record</v>
      </c>
      <c r="AX2658" s="3" t="s">
        <v>22117</v>
      </c>
      <c r="AY2658" s="3" t="s">
        <v>22118</v>
      </c>
      <c r="AZ2658" s="3" t="s">
        <v>22119</v>
      </c>
      <c r="BA2658" s="3" t="s">
        <v>22119</v>
      </c>
      <c r="BB2658" s="3" t="s">
        <v>22120</v>
      </c>
      <c r="BC2658" s="3" t="s">
        <v>82</v>
      </c>
      <c r="BD2658" s="3" t="s">
        <v>70</v>
      </c>
      <c r="BE2658" s="3" t="s">
        <v>22121</v>
      </c>
      <c r="BF2658" s="3" t="s">
        <v>22120</v>
      </c>
      <c r="BG2658" s="3" t="s">
        <v>22122</v>
      </c>
    </row>
    <row r="2659" spans="1:59" ht="60" x14ac:dyDescent="0.25">
      <c r="A2659" s="2" t="s">
        <v>59</v>
      </c>
      <c r="B2659" s="2" t="s">
        <v>60</v>
      </c>
      <c r="C2659" s="2" t="s">
        <v>22123</v>
      </c>
      <c r="D2659" s="2" t="s">
        <v>22124</v>
      </c>
      <c r="E2659" s="2" t="s">
        <v>22125</v>
      </c>
      <c r="G2659" s="3" t="s">
        <v>63</v>
      </c>
      <c r="I2659" s="3" t="s">
        <v>63</v>
      </c>
      <c r="J2659" s="3" t="s">
        <v>63</v>
      </c>
      <c r="K2659" s="3" t="s">
        <v>64</v>
      </c>
      <c r="L2659" s="2" t="s">
        <v>22126</v>
      </c>
      <c r="M2659" s="2" t="s">
        <v>22127</v>
      </c>
      <c r="N2659" s="3" t="s">
        <v>362</v>
      </c>
      <c r="O2659" s="2" t="s">
        <v>590</v>
      </c>
      <c r="P2659" s="3" t="s">
        <v>66</v>
      </c>
      <c r="R2659" s="3" t="s">
        <v>67</v>
      </c>
      <c r="S2659" s="4">
        <v>16</v>
      </c>
      <c r="T2659" s="4">
        <v>16</v>
      </c>
      <c r="U2659" s="5" t="s">
        <v>7431</v>
      </c>
      <c r="V2659" s="5" t="s">
        <v>7431</v>
      </c>
      <c r="W2659" s="5" t="s">
        <v>69</v>
      </c>
      <c r="X2659" s="5" t="s">
        <v>69</v>
      </c>
      <c r="Y2659" s="4">
        <v>985</v>
      </c>
      <c r="Z2659" s="4">
        <v>40</v>
      </c>
      <c r="AA2659" s="4">
        <v>52</v>
      </c>
      <c r="AB2659" s="4">
        <v>6</v>
      </c>
      <c r="AC2659" s="4">
        <v>7</v>
      </c>
      <c r="AD2659" s="4">
        <v>115</v>
      </c>
      <c r="AE2659" s="4">
        <v>122</v>
      </c>
      <c r="AF2659" s="4">
        <v>1</v>
      </c>
      <c r="AG2659" s="4">
        <v>1</v>
      </c>
      <c r="AH2659" s="4">
        <v>99</v>
      </c>
      <c r="AI2659" s="4">
        <v>103</v>
      </c>
      <c r="AJ2659" s="4">
        <v>11</v>
      </c>
      <c r="AK2659" s="4">
        <v>12</v>
      </c>
      <c r="AL2659" s="4">
        <v>54</v>
      </c>
      <c r="AM2659" s="4">
        <v>55</v>
      </c>
      <c r="AN2659" s="4">
        <v>0</v>
      </c>
      <c r="AO2659" s="4">
        <v>0</v>
      </c>
      <c r="AP2659" s="4">
        <v>19</v>
      </c>
      <c r="AQ2659" s="4">
        <v>24</v>
      </c>
      <c r="AR2659" s="3" t="s">
        <v>63</v>
      </c>
      <c r="AS2659" s="3" t="s">
        <v>63</v>
      </c>
      <c r="AT2659" s="3" t="s">
        <v>62</v>
      </c>
      <c r="AU2659" s="6" t="str">
        <f>HYPERLINK("http://catalog.hathitrust.org/Record/004209286","HathiTrust Record")</f>
        <v>HathiTrust Record</v>
      </c>
      <c r="AV2659" s="6" t="str">
        <f>HYPERLINK("http://mcgill.on.worldcat.org/oclc/46472060","Catalog Record")</f>
        <v>Catalog Record</v>
      </c>
      <c r="AW2659" s="6" t="str">
        <f>HYPERLINK("http://www.worldcat.org/oclc/46472060","WorldCat Record")</f>
        <v>WorldCat Record</v>
      </c>
      <c r="AX2659" s="3" t="s">
        <v>22128</v>
      </c>
      <c r="AY2659" s="3" t="s">
        <v>22129</v>
      </c>
      <c r="AZ2659" s="3" t="s">
        <v>22130</v>
      </c>
      <c r="BA2659" s="3" t="s">
        <v>22130</v>
      </c>
      <c r="BB2659" s="3" t="s">
        <v>22131</v>
      </c>
      <c r="BC2659" s="3" t="s">
        <v>82</v>
      </c>
      <c r="BD2659" s="3" t="s">
        <v>70</v>
      </c>
      <c r="BE2659" s="3" t="s">
        <v>22132</v>
      </c>
      <c r="BF2659" s="3" t="s">
        <v>22131</v>
      </c>
      <c r="BG2659" s="3" t="s">
        <v>22133</v>
      </c>
    </row>
    <row r="2660" spans="1:59" ht="60" x14ac:dyDescent="0.25">
      <c r="A2660" s="2" t="s">
        <v>59</v>
      </c>
      <c r="B2660" s="2" t="s">
        <v>60</v>
      </c>
      <c r="C2660" s="2" t="s">
        <v>22134</v>
      </c>
      <c r="D2660" s="2" t="s">
        <v>22135</v>
      </c>
      <c r="E2660" s="2" t="s">
        <v>22136</v>
      </c>
      <c r="G2660" s="3" t="s">
        <v>63</v>
      </c>
      <c r="I2660" s="3" t="s">
        <v>63</v>
      </c>
      <c r="J2660" s="3" t="s">
        <v>63</v>
      </c>
      <c r="K2660" s="3" t="s">
        <v>64</v>
      </c>
      <c r="L2660" s="2" t="s">
        <v>22137</v>
      </c>
      <c r="M2660" s="2" t="s">
        <v>22138</v>
      </c>
      <c r="N2660" s="3" t="s">
        <v>2459</v>
      </c>
      <c r="P2660" s="3" t="s">
        <v>66</v>
      </c>
      <c r="Q2660" s="2" t="s">
        <v>5152</v>
      </c>
      <c r="R2660" s="3" t="s">
        <v>67</v>
      </c>
      <c r="S2660" s="4">
        <v>20</v>
      </c>
      <c r="T2660" s="4">
        <v>20</v>
      </c>
      <c r="U2660" s="5" t="s">
        <v>19559</v>
      </c>
      <c r="V2660" s="5" t="s">
        <v>19559</v>
      </c>
      <c r="W2660" s="5" t="s">
        <v>69</v>
      </c>
      <c r="X2660" s="5" t="s">
        <v>69</v>
      </c>
      <c r="Y2660" s="4">
        <v>226</v>
      </c>
      <c r="Z2660" s="4">
        <v>19</v>
      </c>
      <c r="AA2660" s="4">
        <v>20</v>
      </c>
      <c r="AB2660" s="4">
        <v>1</v>
      </c>
      <c r="AC2660" s="4">
        <v>2</v>
      </c>
      <c r="AD2660" s="4">
        <v>96</v>
      </c>
      <c r="AE2660" s="4">
        <v>97</v>
      </c>
      <c r="AF2660" s="4">
        <v>0</v>
      </c>
      <c r="AG2660" s="4">
        <v>1</v>
      </c>
      <c r="AH2660" s="4">
        <v>88</v>
      </c>
      <c r="AI2660" s="4">
        <v>88</v>
      </c>
      <c r="AJ2660" s="4">
        <v>12</v>
      </c>
      <c r="AK2660" s="4">
        <v>13</v>
      </c>
      <c r="AL2660" s="4">
        <v>53</v>
      </c>
      <c r="AM2660" s="4">
        <v>53</v>
      </c>
      <c r="AN2660" s="4">
        <v>0</v>
      </c>
      <c r="AO2660" s="4">
        <v>0</v>
      </c>
      <c r="AP2660" s="4">
        <v>13</v>
      </c>
      <c r="AQ2660" s="4">
        <v>13</v>
      </c>
      <c r="AR2660" s="3" t="s">
        <v>63</v>
      </c>
      <c r="AS2660" s="3" t="s">
        <v>63</v>
      </c>
      <c r="AT2660" s="3" t="s">
        <v>62</v>
      </c>
      <c r="AU2660" s="6" t="str">
        <f>HYPERLINK("http://catalog.hathitrust.org/Record/005681550","HathiTrust Record")</f>
        <v>HathiTrust Record</v>
      </c>
      <c r="AV2660" s="6" t="str">
        <f>HYPERLINK("http://mcgill.on.worldcat.org/oclc/180852102","Catalog Record")</f>
        <v>Catalog Record</v>
      </c>
      <c r="AW2660" s="6" t="str">
        <f>HYPERLINK("http://www.worldcat.org/oclc/180852102","WorldCat Record")</f>
        <v>WorldCat Record</v>
      </c>
      <c r="AX2660" s="3" t="s">
        <v>22139</v>
      </c>
      <c r="AY2660" s="3" t="s">
        <v>22140</v>
      </c>
      <c r="AZ2660" s="3" t="s">
        <v>22141</v>
      </c>
      <c r="BA2660" s="3" t="s">
        <v>22141</v>
      </c>
      <c r="BB2660" s="3" t="s">
        <v>22142</v>
      </c>
      <c r="BC2660" s="3" t="s">
        <v>82</v>
      </c>
      <c r="BD2660" s="3" t="s">
        <v>538</v>
      </c>
      <c r="BE2660" s="3" t="s">
        <v>22143</v>
      </c>
      <c r="BF2660" s="3" t="s">
        <v>22142</v>
      </c>
      <c r="BG2660" s="3" t="s">
        <v>22144</v>
      </c>
    </row>
    <row r="2661" spans="1:59" ht="60" x14ac:dyDescent="0.25">
      <c r="A2661" s="2" t="s">
        <v>59</v>
      </c>
      <c r="B2661" s="2" t="s">
        <v>60</v>
      </c>
      <c r="C2661" s="2" t="s">
        <v>22145</v>
      </c>
      <c r="D2661" s="2" t="s">
        <v>22146</v>
      </c>
      <c r="E2661" s="2" t="s">
        <v>22147</v>
      </c>
      <c r="G2661" s="3" t="s">
        <v>63</v>
      </c>
      <c r="I2661" s="3" t="s">
        <v>63</v>
      </c>
      <c r="J2661" s="3" t="s">
        <v>63</v>
      </c>
      <c r="K2661" s="3" t="s">
        <v>64</v>
      </c>
      <c r="L2661" s="2" t="s">
        <v>22148</v>
      </c>
      <c r="M2661" s="2" t="s">
        <v>22149</v>
      </c>
      <c r="N2661" s="3" t="s">
        <v>313</v>
      </c>
      <c r="P2661" s="3" t="s">
        <v>66</v>
      </c>
      <c r="R2661" s="3" t="s">
        <v>67</v>
      </c>
      <c r="S2661" s="4">
        <v>5</v>
      </c>
      <c r="T2661" s="4">
        <v>5</v>
      </c>
      <c r="U2661" s="5" t="s">
        <v>1309</v>
      </c>
      <c r="V2661" s="5" t="s">
        <v>1309</v>
      </c>
      <c r="W2661" s="5" t="s">
        <v>69</v>
      </c>
      <c r="X2661" s="5" t="s">
        <v>69</v>
      </c>
      <c r="Y2661" s="4">
        <v>42</v>
      </c>
      <c r="Z2661" s="4">
        <v>2</v>
      </c>
      <c r="AA2661" s="4">
        <v>2</v>
      </c>
      <c r="AB2661" s="4">
        <v>1</v>
      </c>
      <c r="AC2661" s="4">
        <v>1</v>
      </c>
      <c r="AD2661" s="4">
        <v>21</v>
      </c>
      <c r="AE2661" s="4">
        <v>21</v>
      </c>
      <c r="AF2661" s="4">
        <v>0</v>
      </c>
      <c r="AG2661" s="4">
        <v>0</v>
      </c>
      <c r="AH2661" s="4">
        <v>20</v>
      </c>
      <c r="AI2661" s="4">
        <v>20</v>
      </c>
      <c r="AJ2661" s="4">
        <v>1</v>
      </c>
      <c r="AK2661" s="4">
        <v>1</v>
      </c>
      <c r="AL2661" s="4">
        <v>18</v>
      </c>
      <c r="AM2661" s="4">
        <v>18</v>
      </c>
      <c r="AN2661" s="4">
        <v>0</v>
      </c>
      <c r="AO2661" s="4">
        <v>0</v>
      </c>
      <c r="AP2661" s="4">
        <v>1</v>
      </c>
      <c r="AQ2661" s="4">
        <v>1</v>
      </c>
      <c r="AR2661" s="3" t="s">
        <v>63</v>
      </c>
      <c r="AS2661" s="3" t="s">
        <v>63</v>
      </c>
      <c r="AT2661" s="3" t="s">
        <v>63</v>
      </c>
      <c r="AV2661" s="6" t="str">
        <f>HYPERLINK("http://mcgill.on.worldcat.org/oclc/670190408","Catalog Record")</f>
        <v>Catalog Record</v>
      </c>
      <c r="AW2661" s="6" t="str">
        <f>HYPERLINK("http://www.worldcat.org/oclc/670190408","WorldCat Record")</f>
        <v>WorldCat Record</v>
      </c>
      <c r="AX2661" s="3" t="s">
        <v>22150</v>
      </c>
      <c r="AY2661" s="3" t="s">
        <v>22151</v>
      </c>
      <c r="AZ2661" s="3" t="s">
        <v>22152</v>
      </c>
      <c r="BA2661" s="3" t="s">
        <v>22152</v>
      </c>
      <c r="BB2661" s="3" t="s">
        <v>22153</v>
      </c>
      <c r="BC2661" s="3" t="s">
        <v>82</v>
      </c>
      <c r="BD2661" s="3" t="s">
        <v>70</v>
      </c>
      <c r="BE2661" s="3" t="s">
        <v>22154</v>
      </c>
      <c r="BF2661" s="3" t="s">
        <v>22153</v>
      </c>
      <c r="BG2661" s="3" t="s">
        <v>22155</v>
      </c>
    </row>
    <row r="2662" spans="1:59" ht="60" x14ac:dyDescent="0.25">
      <c r="A2662" s="2" t="s">
        <v>59</v>
      </c>
      <c r="B2662" s="2" t="s">
        <v>60</v>
      </c>
      <c r="C2662" s="2" t="s">
        <v>22156</v>
      </c>
      <c r="D2662" s="2" t="s">
        <v>22157</v>
      </c>
      <c r="E2662" s="2" t="s">
        <v>22158</v>
      </c>
      <c r="G2662" s="3" t="s">
        <v>63</v>
      </c>
      <c r="I2662" s="3" t="s">
        <v>63</v>
      </c>
      <c r="J2662" s="3" t="s">
        <v>63</v>
      </c>
      <c r="K2662" s="3" t="s">
        <v>64</v>
      </c>
      <c r="L2662" s="2" t="s">
        <v>20896</v>
      </c>
      <c r="M2662" s="2" t="s">
        <v>15629</v>
      </c>
      <c r="N2662" s="3" t="s">
        <v>274</v>
      </c>
      <c r="P2662" s="3" t="s">
        <v>66</v>
      </c>
      <c r="R2662" s="3" t="s">
        <v>67</v>
      </c>
      <c r="S2662" s="4">
        <v>43</v>
      </c>
      <c r="T2662" s="4">
        <v>43</v>
      </c>
      <c r="U2662" s="5" t="s">
        <v>22039</v>
      </c>
      <c r="V2662" s="5" t="s">
        <v>22039</v>
      </c>
      <c r="W2662" s="5" t="s">
        <v>69</v>
      </c>
      <c r="X2662" s="5" t="s">
        <v>69</v>
      </c>
      <c r="Y2662" s="4">
        <v>623</v>
      </c>
      <c r="Z2662" s="4">
        <v>29</v>
      </c>
      <c r="AA2662" s="4">
        <v>38</v>
      </c>
      <c r="AB2662" s="4">
        <v>1</v>
      </c>
      <c r="AC2662" s="4">
        <v>3</v>
      </c>
      <c r="AD2662" s="4">
        <v>100</v>
      </c>
      <c r="AE2662" s="4">
        <v>119</v>
      </c>
      <c r="AF2662" s="4">
        <v>0</v>
      </c>
      <c r="AG2662" s="4">
        <v>2</v>
      </c>
      <c r="AH2662" s="4">
        <v>88</v>
      </c>
      <c r="AI2662" s="4">
        <v>103</v>
      </c>
      <c r="AJ2662" s="4">
        <v>14</v>
      </c>
      <c r="AK2662" s="4">
        <v>19</v>
      </c>
      <c r="AL2662" s="4">
        <v>43</v>
      </c>
      <c r="AM2662" s="4">
        <v>54</v>
      </c>
      <c r="AN2662" s="4">
        <v>0</v>
      </c>
      <c r="AO2662" s="4">
        <v>0</v>
      </c>
      <c r="AP2662" s="4">
        <v>20</v>
      </c>
      <c r="AQ2662" s="4">
        <v>25</v>
      </c>
      <c r="AR2662" s="3" t="s">
        <v>63</v>
      </c>
      <c r="AS2662" s="3" t="s">
        <v>63</v>
      </c>
      <c r="AT2662" s="3" t="s">
        <v>63</v>
      </c>
      <c r="AV2662" s="6" t="str">
        <f>HYPERLINK("http://mcgill.on.worldcat.org/oclc/40595618","Catalog Record")</f>
        <v>Catalog Record</v>
      </c>
      <c r="AW2662" s="6" t="str">
        <f>HYPERLINK("http://www.worldcat.org/oclc/40595618","WorldCat Record")</f>
        <v>WorldCat Record</v>
      </c>
      <c r="AX2662" s="3" t="s">
        <v>22159</v>
      </c>
      <c r="AY2662" s="3" t="s">
        <v>22160</v>
      </c>
      <c r="AZ2662" s="3" t="s">
        <v>22161</v>
      </c>
      <c r="BA2662" s="3" t="s">
        <v>22161</v>
      </c>
      <c r="BB2662" s="3" t="s">
        <v>22162</v>
      </c>
      <c r="BC2662" s="3" t="s">
        <v>82</v>
      </c>
      <c r="BD2662" s="3" t="s">
        <v>70</v>
      </c>
      <c r="BE2662" s="3" t="s">
        <v>22163</v>
      </c>
      <c r="BF2662" s="3" t="s">
        <v>22162</v>
      </c>
      <c r="BG2662" s="3" t="s">
        <v>22164</v>
      </c>
    </row>
    <row r="2663" spans="1:59" ht="60" x14ac:dyDescent="0.25">
      <c r="A2663" s="2" t="s">
        <v>59</v>
      </c>
      <c r="B2663" s="2" t="s">
        <v>60</v>
      </c>
      <c r="C2663" s="2" t="s">
        <v>22165</v>
      </c>
      <c r="D2663" s="2" t="s">
        <v>22166</v>
      </c>
      <c r="E2663" s="2" t="s">
        <v>22167</v>
      </c>
      <c r="G2663" s="3" t="s">
        <v>63</v>
      </c>
      <c r="I2663" s="3" t="s">
        <v>63</v>
      </c>
      <c r="J2663" s="3" t="s">
        <v>63</v>
      </c>
      <c r="K2663" s="3" t="s">
        <v>64</v>
      </c>
      <c r="M2663" s="2" t="s">
        <v>8251</v>
      </c>
      <c r="N2663" s="3" t="s">
        <v>220</v>
      </c>
      <c r="P2663" s="3" t="s">
        <v>66</v>
      </c>
      <c r="Q2663" s="2" t="s">
        <v>3902</v>
      </c>
      <c r="R2663" s="3" t="s">
        <v>67</v>
      </c>
      <c r="S2663" s="4">
        <v>40</v>
      </c>
      <c r="T2663" s="4">
        <v>40</v>
      </c>
      <c r="U2663" s="5" t="s">
        <v>7019</v>
      </c>
      <c r="V2663" s="5" t="s">
        <v>7019</v>
      </c>
      <c r="W2663" s="5" t="s">
        <v>69</v>
      </c>
      <c r="X2663" s="5" t="s">
        <v>69</v>
      </c>
      <c r="Y2663" s="4">
        <v>303</v>
      </c>
      <c r="Z2663" s="4">
        <v>24</v>
      </c>
      <c r="AA2663" s="4">
        <v>24</v>
      </c>
      <c r="AB2663" s="4">
        <v>2</v>
      </c>
      <c r="AC2663" s="4">
        <v>2</v>
      </c>
      <c r="AD2663" s="4">
        <v>113</v>
      </c>
      <c r="AE2663" s="4">
        <v>113</v>
      </c>
      <c r="AF2663" s="4">
        <v>1</v>
      </c>
      <c r="AG2663" s="4">
        <v>1</v>
      </c>
      <c r="AH2663" s="4">
        <v>100</v>
      </c>
      <c r="AI2663" s="4">
        <v>100</v>
      </c>
      <c r="AJ2663" s="4">
        <v>17</v>
      </c>
      <c r="AK2663" s="4">
        <v>17</v>
      </c>
      <c r="AL2663" s="4">
        <v>57</v>
      </c>
      <c r="AM2663" s="4">
        <v>57</v>
      </c>
      <c r="AN2663" s="4">
        <v>0</v>
      </c>
      <c r="AO2663" s="4">
        <v>0</v>
      </c>
      <c r="AP2663" s="4">
        <v>20</v>
      </c>
      <c r="AQ2663" s="4">
        <v>20</v>
      </c>
      <c r="AR2663" s="3" t="s">
        <v>63</v>
      </c>
      <c r="AS2663" s="3" t="s">
        <v>63</v>
      </c>
      <c r="AT2663" s="3" t="s">
        <v>63</v>
      </c>
      <c r="AV2663" s="6" t="str">
        <f>HYPERLINK("http://mcgill.on.worldcat.org/oclc/28221591","Catalog Record")</f>
        <v>Catalog Record</v>
      </c>
      <c r="AW2663" s="6" t="str">
        <f>HYPERLINK("http://www.worldcat.org/oclc/28221591","WorldCat Record")</f>
        <v>WorldCat Record</v>
      </c>
      <c r="AX2663" s="3" t="s">
        <v>22168</v>
      </c>
      <c r="AY2663" s="3" t="s">
        <v>22169</v>
      </c>
      <c r="AZ2663" s="3" t="s">
        <v>22170</v>
      </c>
      <c r="BA2663" s="3" t="s">
        <v>22170</v>
      </c>
      <c r="BB2663" s="3" t="s">
        <v>22171</v>
      </c>
      <c r="BC2663" s="3" t="s">
        <v>82</v>
      </c>
      <c r="BD2663" s="3" t="s">
        <v>70</v>
      </c>
      <c r="BE2663" s="3" t="s">
        <v>22172</v>
      </c>
      <c r="BF2663" s="3" t="s">
        <v>22171</v>
      </c>
      <c r="BG2663" s="3" t="s">
        <v>22173</v>
      </c>
    </row>
    <row r="2664" spans="1:59" ht="60" x14ac:dyDescent="0.25">
      <c r="A2664" s="2" t="s">
        <v>59</v>
      </c>
      <c r="B2664" s="2" t="s">
        <v>60</v>
      </c>
      <c r="C2664" s="2" t="s">
        <v>22174</v>
      </c>
      <c r="D2664" s="2" t="s">
        <v>22175</v>
      </c>
      <c r="E2664" s="2" t="s">
        <v>22176</v>
      </c>
      <c r="G2664" s="3" t="s">
        <v>63</v>
      </c>
      <c r="I2664" s="3" t="s">
        <v>63</v>
      </c>
      <c r="J2664" s="3" t="s">
        <v>63</v>
      </c>
      <c r="K2664" s="3" t="s">
        <v>64</v>
      </c>
      <c r="L2664" s="2" t="s">
        <v>22177</v>
      </c>
      <c r="M2664" s="2" t="s">
        <v>22178</v>
      </c>
      <c r="N2664" s="3" t="s">
        <v>76</v>
      </c>
      <c r="P2664" s="3" t="s">
        <v>90</v>
      </c>
      <c r="R2664" s="3" t="s">
        <v>67</v>
      </c>
      <c r="S2664" s="4">
        <v>0</v>
      </c>
      <c r="T2664" s="4">
        <v>0</v>
      </c>
      <c r="W2664" s="5" t="s">
        <v>69</v>
      </c>
      <c r="X2664" s="5" t="s">
        <v>69</v>
      </c>
      <c r="Y2664" s="4">
        <v>3</v>
      </c>
      <c r="Z2664" s="4">
        <v>1</v>
      </c>
      <c r="AA2664" s="4">
        <v>1</v>
      </c>
      <c r="AB2664" s="4">
        <v>1</v>
      </c>
      <c r="AC2664" s="4">
        <v>1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3" t="s">
        <v>63</v>
      </c>
      <c r="AS2664" s="3" t="s">
        <v>63</v>
      </c>
      <c r="AT2664" s="3" t="s">
        <v>63</v>
      </c>
      <c r="AV2664" s="6" t="str">
        <f>HYPERLINK("http://mcgill.on.worldcat.org/oclc/904605213","Catalog Record")</f>
        <v>Catalog Record</v>
      </c>
      <c r="AW2664" s="6" t="str">
        <f>HYPERLINK("http://www.worldcat.org/oclc/904605213","WorldCat Record")</f>
        <v>WorldCat Record</v>
      </c>
      <c r="AX2664" s="3" t="s">
        <v>22179</v>
      </c>
      <c r="AY2664" s="3" t="s">
        <v>22180</v>
      </c>
      <c r="AZ2664" s="3" t="s">
        <v>22181</v>
      </c>
      <c r="BA2664" s="3" t="s">
        <v>22181</v>
      </c>
      <c r="BB2664" s="3" t="s">
        <v>22182</v>
      </c>
      <c r="BC2664" s="3" t="s">
        <v>82</v>
      </c>
      <c r="BD2664" s="3" t="s">
        <v>70</v>
      </c>
      <c r="BE2664" s="3" t="s">
        <v>22183</v>
      </c>
      <c r="BF2664" s="3" t="s">
        <v>22182</v>
      </c>
      <c r="BG2664" s="3" t="s">
        <v>22184</v>
      </c>
    </row>
    <row r="2665" spans="1:59" ht="60" x14ac:dyDescent="0.25">
      <c r="A2665" s="2" t="s">
        <v>59</v>
      </c>
      <c r="B2665" s="2" t="s">
        <v>60</v>
      </c>
      <c r="C2665" s="2" t="s">
        <v>22185</v>
      </c>
      <c r="D2665" s="2" t="s">
        <v>22186</v>
      </c>
      <c r="E2665" s="2" t="s">
        <v>22187</v>
      </c>
      <c r="G2665" s="3" t="s">
        <v>63</v>
      </c>
      <c r="I2665" s="3" t="s">
        <v>63</v>
      </c>
      <c r="J2665" s="3" t="s">
        <v>63</v>
      </c>
      <c r="K2665" s="3" t="s">
        <v>64</v>
      </c>
      <c r="L2665" s="2" t="s">
        <v>22188</v>
      </c>
      <c r="M2665" s="2" t="s">
        <v>22189</v>
      </c>
      <c r="N2665" s="3" t="s">
        <v>629</v>
      </c>
      <c r="P2665" s="3" t="s">
        <v>66</v>
      </c>
      <c r="Q2665" s="2" t="s">
        <v>22190</v>
      </c>
      <c r="R2665" s="3" t="s">
        <v>67</v>
      </c>
      <c r="S2665" s="4">
        <v>8</v>
      </c>
      <c r="T2665" s="4">
        <v>8</v>
      </c>
      <c r="U2665" s="5" t="s">
        <v>21052</v>
      </c>
      <c r="V2665" s="5" t="s">
        <v>21052</v>
      </c>
      <c r="W2665" s="5" t="s">
        <v>69</v>
      </c>
      <c r="X2665" s="5" t="s">
        <v>69</v>
      </c>
      <c r="Y2665" s="4">
        <v>204</v>
      </c>
      <c r="Z2665" s="4">
        <v>16</v>
      </c>
      <c r="AA2665" s="4">
        <v>22</v>
      </c>
      <c r="AB2665" s="4">
        <v>1</v>
      </c>
      <c r="AC2665" s="4">
        <v>4</v>
      </c>
      <c r="AD2665" s="4">
        <v>81</v>
      </c>
      <c r="AE2665" s="4">
        <v>95</v>
      </c>
      <c r="AF2665" s="4">
        <v>0</v>
      </c>
      <c r="AG2665" s="4">
        <v>0</v>
      </c>
      <c r="AH2665" s="4">
        <v>74</v>
      </c>
      <c r="AI2665" s="4">
        <v>86</v>
      </c>
      <c r="AJ2665" s="4">
        <v>10</v>
      </c>
      <c r="AK2665" s="4">
        <v>12</v>
      </c>
      <c r="AL2665" s="4">
        <v>46</v>
      </c>
      <c r="AM2665" s="4">
        <v>51</v>
      </c>
      <c r="AN2665" s="4">
        <v>0</v>
      </c>
      <c r="AO2665" s="4">
        <v>0</v>
      </c>
      <c r="AP2665" s="4">
        <v>12</v>
      </c>
      <c r="AQ2665" s="4">
        <v>15</v>
      </c>
      <c r="AR2665" s="3" t="s">
        <v>63</v>
      </c>
      <c r="AS2665" s="3" t="s">
        <v>63</v>
      </c>
      <c r="AT2665" s="3" t="s">
        <v>63</v>
      </c>
      <c r="AV2665" s="6" t="str">
        <f>HYPERLINK("http://mcgill.on.worldcat.org/oclc/228374451","Catalog Record")</f>
        <v>Catalog Record</v>
      </c>
      <c r="AW2665" s="6" t="str">
        <f>HYPERLINK("http://www.worldcat.org/oclc/228374451","WorldCat Record")</f>
        <v>WorldCat Record</v>
      </c>
      <c r="AX2665" s="3" t="s">
        <v>22191</v>
      </c>
      <c r="AY2665" s="3" t="s">
        <v>22192</v>
      </c>
      <c r="AZ2665" s="3" t="s">
        <v>22193</v>
      </c>
      <c r="BA2665" s="3" t="s">
        <v>22193</v>
      </c>
      <c r="BB2665" s="3" t="s">
        <v>22194</v>
      </c>
      <c r="BC2665" s="3" t="s">
        <v>82</v>
      </c>
      <c r="BD2665" s="3" t="s">
        <v>70</v>
      </c>
      <c r="BE2665" s="3" t="s">
        <v>22195</v>
      </c>
      <c r="BF2665" s="3" t="s">
        <v>22194</v>
      </c>
      <c r="BG2665" s="3" t="s">
        <v>22196</v>
      </c>
    </row>
    <row r="2666" spans="1:59" ht="60" x14ac:dyDescent="0.25">
      <c r="A2666" s="2" t="s">
        <v>59</v>
      </c>
      <c r="B2666" s="2" t="s">
        <v>60</v>
      </c>
      <c r="C2666" s="2" t="s">
        <v>22197</v>
      </c>
      <c r="D2666" s="2" t="s">
        <v>22198</v>
      </c>
      <c r="E2666" s="2" t="s">
        <v>22199</v>
      </c>
      <c r="G2666" s="3" t="s">
        <v>63</v>
      </c>
      <c r="I2666" s="3" t="s">
        <v>63</v>
      </c>
      <c r="J2666" s="3" t="s">
        <v>63</v>
      </c>
      <c r="K2666" s="3" t="s">
        <v>64</v>
      </c>
      <c r="L2666" s="2" t="s">
        <v>22200</v>
      </c>
      <c r="M2666" s="2" t="s">
        <v>22201</v>
      </c>
      <c r="N2666" s="3" t="s">
        <v>161</v>
      </c>
      <c r="P2666" s="3" t="s">
        <v>66</v>
      </c>
      <c r="R2666" s="3" t="s">
        <v>67</v>
      </c>
      <c r="S2666" s="4">
        <v>25</v>
      </c>
      <c r="T2666" s="4">
        <v>25</v>
      </c>
      <c r="U2666" s="5" t="s">
        <v>7019</v>
      </c>
      <c r="V2666" s="5" t="s">
        <v>7019</v>
      </c>
      <c r="W2666" s="5" t="s">
        <v>69</v>
      </c>
      <c r="X2666" s="5" t="s">
        <v>69</v>
      </c>
      <c r="Y2666" s="4">
        <v>179</v>
      </c>
      <c r="Z2666" s="4">
        <v>17</v>
      </c>
      <c r="AA2666" s="4">
        <v>17</v>
      </c>
      <c r="AB2666" s="4">
        <v>1</v>
      </c>
      <c r="AC2666" s="4">
        <v>1</v>
      </c>
      <c r="AD2666" s="4">
        <v>85</v>
      </c>
      <c r="AE2666" s="4">
        <v>85</v>
      </c>
      <c r="AF2666" s="4">
        <v>0</v>
      </c>
      <c r="AG2666" s="4">
        <v>0</v>
      </c>
      <c r="AH2666" s="4">
        <v>76</v>
      </c>
      <c r="AI2666" s="4">
        <v>76</v>
      </c>
      <c r="AJ2666" s="4">
        <v>13</v>
      </c>
      <c r="AK2666" s="4">
        <v>13</v>
      </c>
      <c r="AL2666" s="4">
        <v>47</v>
      </c>
      <c r="AM2666" s="4">
        <v>47</v>
      </c>
      <c r="AN2666" s="4">
        <v>0</v>
      </c>
      <c r="AO2666" s="4">
        <v>0</v>
      </c>
      <c r="AP2666" s="4">
        <v>15</v>
      </c>
      <c r="AQ2666" s="4">
        <v>15</v>
      </c>
      <c r="AR2666" s="3" t="s">
        <v>63</v>
      </c>
      <c r="AS2666" s="3" t="s">
        <v>63</v>
      </c>
      <c r="AT2666" s="3" t="s">
        <v>62</v>
      </c>
      <c r="AU2666" s="6" t="str">
        <f>HYPERLINK("http://catalog.hathitrust.org/Record/001947405","HathiTrust Record")</f>
        <v>HathiTrust Record</v>
      </c>
      <c r="AV2666" s="6" t="str">
        <f>HYPERLINK("http://mcgill.on.worldcat.org/oclc/21685510","Catalog Record")</f>
        <v>Catalog Record</v>
      </c>
      <c r="AW2666" s="6" t="str">
        <f>HYPERLINK("http://www.worldcat.org/oclc/21685510","WorldCat Record")</f>
        <v>WorldCat Record</v>
      </c>
      <c r="AX2666" s="3" t="s">
        <v>22202</v>
      </c>
      <c r="AY2666" s="3" t="s">
        <v>22203</v>
      </c>
      <c r="AZ2666" s="3" t="s">
        <v>22204</v>
      </c>
      <c r="BA2666" s="3" t="s">
        <v>22204</v>
      </c>
      <c r="BB2666" s="3" t="s">
        <v>22205</v>
      </c>
      <c r="BC2666" s="3" t="s">
        <v>82</v>
      </c>
      <c r="BD2666" s="3" t="s">
        <v>70</v>
      </c>
      <c r="BE2666" s="3" t="s">
        <v>22206</v>
      </c>
      <c r="BF2666" s="3" t="s">
        <v>22205</v>
      </c>
      <c r="BG2666" s="3" t="s">
        <v>22207</v>
      </c>
    </row>
    <row r="2667" spans="1:59" ht="60" x14ac:dyDescent="0.25">
      <c r="A2667" s="2" t="s">
        <v>59</v>
      </c>
      <c r="B2667" s="2" t="s">
        <v>60</v>
      </c>
      <c r="C2667" s="2" t="s">
        <v>22208</v>
      </c>
      <c r="D2667" s="2" t="s">
        <v>22209</v>
      </c>
      <c r="E2667" s="2" t="s">
        <v>22210</v>
      </c>
      <c r="G2667" s="3" t="s">
        <v>63</v>
      </c>
      <c r="I2667" s="3" t="s">
        <v>63</v>
      </c>
      <c r="J2667" s="3" t="s">
        <v>63</v>
      </c>
      <c r="K2667" s="3" t="s">
        <v>64</v>
      </c>
      <c r="M2667" s="2" t="s">
        <v>22211</v>
      </c>
      <c r="N2667" s="3" t="s">
        <v>1113</v>
      </c>
      <c r="P2667" s="3" t="s">
        <v>66</v>
      </c>
      <c r="Q2667" s="2" t="s">
        <v>22212</v>
      </c>
      <c r="R2667" s="3" t="s">
        <v>67</v>
      </c>
      <c r="S2667" s="4">
        <v>21</v>
      </c>
      <c r="T2667" s="4">
        <v>21</v>
      </c>
      <c r="U2667" s="5" t="s">
        <v>9424</v>
      </c>
      <c r="V2667" s="5" t="s">
        <v>9424</v>
      </c>
      <c r="W2667" s="5" t="s">
        <v>69</v>
      </c>
      <c r="X2667" s="5" t="s">
        <v>69</v>
      </c>
      <c r="Y2667" s="4">
        <v>82</v>
      </c>
      <c r="Z2667" s="4">
        <v>13</v>
      </c>
      <c r="AA2667" s="4">
        <v>20</v>
      </c>
      <c r="AB2667" s="4">
        <v>1</v>
      </c>
      <c r="AC2667" s="4">
        <v>4</v>
      </c>
      <c r="AD2667" s="4">
        <v>37</v>
      </c>
      <c r="AE2667" s="4">
        <v>98</v>
      </c>
      <c r="AF2667" s="4">
        <v>0</v>
      </c>
      <c r="AG2667" s="4">
        <v>3</v>
      </c>
      <c r="AH2667" s="4">
        <v>31</v>
      </c>
      <c r="AI2667" s="4">
        <v>89</v>
      </c>
      <c r="AJ2667" s="4">
        <v>11</v>
      </c>
      <c r="AK2667" s="4">
        <v>17</v>
      </c>
      <c r="AL2667" s="4">
        <v>20</v>
      </c>
      <c r="AM2667" s="4">
        <v>48</v>
      </c>
      <c r="AN2667" s="4">
        <v>0</v>
      </c>
      <c r="AO2667" s="4">
        <v>0</v>
      </c>
      <c r="AP2667" s="4">
        <v>11</v>
      </c>
      <c r="AQ2667" s="4">
        <v>18</v>
      </c>
      <c r="AR2667" s="3" t="s">
        <v>63</v>
      </c>
      <c r="AS2667" s="3" t="s">
        <v>63</v>
      </c>
      <c r="AT2667" s="3" t="s">
        <v>62</v>
      </c>
      <c r="AU2667" s="6" t="str">
        <f>HYPERLINK("http://catalog.hathitrust.org/Record/004117389","HathiTrust Record")</f>
        <v>HathiTrust Record</v>
      </c>
      <c r="AV2667" s="6" t="str">
        <f>HYPERLINK("http://mcgill.on.worldcat.org/oclc/44603201","Catalog Record")</f>
        <v>Catalog Record</v>
      </c>
      <c r="AW2667" s="6" t="str">
        <f>HYPERLINK("http://www.worldcat.org/oclc/44603201","WorldCat Record")</f>
        <v>WorldCat Record</v>
      </c>
      <c r="AX2667" s="3" t="s">
        <v>22213</v>
      </c>
      <c r="AY2667" s="3" t="s">
        <v>22214</v>
      </c>
      <c r="AZ2667" s="3" t="s">
        <v>22215</v>
      </c>
      <c r="BA2667" s="3" t="s">
        <v>22215</v>
      </c>
      <c r="BB2667" s="3" t="s">
        <v>22216</v>
      </c>
      <c r="BC2667" s="3" t="s">
        <v>82</v>
      </c>
      <c r="BD2667" s="3" t="s">
        <v>70</v>
      </c>
      <c r="BE2667" s="3" t="s">
        <v>22217</v>
      </c>
      <c r="BF2667" s="3" t="s">
        <v>22216</v>
      </c>
      <c r="BG2667" s="3" t="s">
        <v>22218</v>
      </c>
    </row>
    <row r="2668" spans="1:59" ht="60" x14ac:dyDescent="0.25">
      <c r="A2668" s="2" t="s">
        <v>59</v>
      </c>
      <c r="B2668" s="2" t="s">
        <v>60</v>
      </c>
      <c r="C2668" s="2" t="s">
        <v>22219</v>
      </c>
      <c r="D2668" s="2" t="s">
        <v>22220</v>
      </c>
      <c r="E2668" s="2" t="s">
        <v>22221</v>
      </c>
      <c r="G2668" s="3" t="s">
        <v>63</v>
      </c>
      <c r="I2668" s="3" t="s">
        <v>63</v>
      </c>
      <c r="J2668" s="3" t="s">
        <v>63</v>
      </c>
      <c r="K2668" s="3" t="s">
        <v>64</v>
      </c>
      <c r="L2668" s="2" t="s">
        <v>22222</v>
      </c>
      <c r="M2668" s="2" t="s">
        <v>15202</v>
      </c>
      <c r="N2668" s="3" t="s">
        <v>1113</v>
      </c>
      <c r="P2668" s="3" t="s">
        <v>66</v>
      </c>
      <c r="Q2668" s="2" t="s">
        <v>3902</v>
      </c>
      <c r="R2668" s="3" t="s">
        <v>67</v>
      </c>
      <c r="S2668" s="4">
        <v>12</v>
      </c>
      <c r="T2668" s="4">
        <v>12</v>
      </c>
      <c r="U2668" s="5" t="s">
        <v>8252</v>
      </c>
      <c r="V2668" s="5" t="s">
        <v>8252</v>
      </c>
      <c r="W2668" s="5" t="s">
        <v>69</v>
      </c>
      <c r="X2668" s="5" t="s">
        <v>69</v>
      </c>
      <c r="Y2668" s="4">
        <v>237</v>
      </c>
      <c r="Z2668" s="4">
        <v>18</v>
      </c>
      <c r="AA2668" s="4">
        <v>18</v>
      </c>
      <c r="AB2668" s="4">
        <v>2</v>
      </c>
      <c r="AC2668" s="4">
        <v>2</v>
      </c>
      <c r="AD2668" s="4">
        <v>103</v>
      </c>
      <c r="AE2668" s="4">
        <v>103</v>
      </c>
      <c r="AF2668" s="4">
        <v>1</v>
      </c>
      <c r="AG2668" s="4">
        <v>1</v>
      </c>
      <c r="AH2668" s="4">
        <v>94</v>
      </c>
      <c r="AI2668" s="4">
        <v>94</v>
      </c>
      <c r="AJ2668" s="4">
        <v>16</v>
      </c>
      <c r="AK2668" s="4">
        <v>16</v>
      </c>
      <c r="AL2668" s="4">
        <v>53</v>
      </c>
      <c r="AM2668" s="4">
        <v>53</v>
      </c>
      <c r="AN2668" s="4">
        <v>0</v>
      </c>
      <c r="AO2668" s="4">
        <v>0</v>
      </c>
      <c r="AP2668" s="4">
        <v>16</v>
      </c>
      <c r="AQ2668" s="4">
        <v>16</v>
      </c>
      <c r="AR2668" s="3" t="s">
        <v>63</v>
      </c>
      <c r="AS2668" s="3" t="s">
        <v>63</v>
      </c>
      <c r="AT2668" s="3" t="s">
        <v>62</v>
      </c>
      <c r="AU2668" s="6" t="str">
        <f>HYPERLINK("http://catalog.hathitrust.org/Record/003944915","HathiTrust Record")</f>
        <v>HathiTrust Record</v>
      </c>
      <c r="AV2668" s="6" t="str">
        <f>HYPERLINK("http://mcgill.on.worldcat.org/oclc/36783935","Catalog Record")</f>
        <v>Catalog Record</v>
      </c>
      <c r="AW2668" s="6" t="str">
        <f>HYPERLINK("http://www.worldcat.org/oclc/36783935","WorldCat Record")</f>
        <v>WorldCat Record</v>
      </c>
      <c r="AX2668" s="3" t="s">
        <v>22223</v>
      </c>
      <c r="AY2668" s="3" t="s">
        <v>22224</v>
      </c>
      <c r="AZ2668" s="3" t="s">
        <v>22225</v>
      </c>
      <c r="BA2668" s="3" t="s">
        <v>22225</v>
      </c>
      <c r="BB2668" s="3" t="s">
        <v>22226</v>
      </c>
      <c r="BC2668" s="3" t="s">
        <v>82</v>
      </c>
      <c r="BD2668" s="3" t="s">
        <v>70</v>
      </c>
      <c r="BE2668" s="3" t="s">
        <v>22227</v>
      </c>
      <c r="BF2668" s="3" t="s">
        <v>22226</v>
      </c>
      <c r="BG2668" s="3" t="s">
        <v>22228</v>
      </c>
    </row>
    <row r="2669" spans="1:59" ht="60" x14ac:dyDescent="0.25">
      <c r="A2669" s="2" t="s">
        <v>59</v>
      </c>
      <c r="B2669" s="2" t="s">
        <v>60</v>
      </c>
      <c r="C2669" s="2" t="s">
        <v>22229</v>
      </c>
      <c r="D2669" s="2" t="s">
        <v>22230</v>
      </c>
      <c r="E2669" s="2" t="s">
        <v>22231</v>
      </c>
      <c r="G2669" s="3" t="s">
        <v>63</v>
      </c>
      <c r="I2669" s="3" t="s">
        <v>63</v>
      </c>
      <c r="J2669" s="3" t="s">
        <v>63</v>
      </c>
      <c r="K2669" s="3" t="s">
        <v>64</v>
      </c>
      <c r="M2669" s="2" t="s">
        <v>22232</v>
      </c>
      <c r="N2669" s="3" t="s">
        <v>2043</v>
      </c>
      <c r="P2669" s="3" t="s">
        <v>66</v>
      </c>
      <c r="Q2669" s="2" t="s">
        <v>22233</v>
      </c>
      <c r="R2669" s="3" t="s">
        <v>67</v>
      </c>
      <c r="S2669" s="4">
        <v>33</v>
      </c>
      <c r="T2669" s="4">
        <v>33</v>
      </c>
      <c r="U2669" s="5" t="s">
        <v>5917</v>
      </c>
      <c r="V2669" s="5" t="s">
        <v>5917</v>
      </c>
      <c r="W2669" s="5" t="s">
        <v>69</v>
      </c>
      <c r="X2669" s="5" t="s">
        <v>69</v>
      </c>
      <c r="Y2669" s="4">
        <v>963</v>
      </c>
      <c r="Z2669" s="4">
        <v>45</v>
      </c>
      <c r="AA2669" s="4">
        <v>46</v>
      </c>
      <c r="AB2669" s="4">
        <v>4</v>
      </c>
      <c r="AC2669" s="4">
        <v>4</v>
      </c>
      <c r="AD2669" s="4">
        <v>129</v>
      </c>
      <c r="AE2669" s="4">
        <v>129</v>
      </c>
      <c r="AF2669" s="4">
        <v>2</v>
      </c>
      <c r="AG2669" s="4">
        <v>2</v>
      </c>
      <c r="AH2669" s="4">
        <v>106</v>
      </c>
      <c r="AI2669" s="4">
        <v>106</v>
      </c>
      <c r="AJ2669" s="4">
        <v>22</v>
      </c>
      <c r="AK2669" s="4">
        <v>22</v>
      </c>
      <c r="AL2669" s="4">
        <v>56</v>
      </c>
      <c r="AM2669" s="4">
        <v>56</v>
      </c>
      <c r="AN2669" s="4">
        <v>0</v>
      </c>
      <c r="AO2669" s="4">
        <v>0</v>
      </c>
      <c r="AP2669" s="4">
        <v>31</v>
      </c>
      <c r="AQ2669" s="4">
        <v>31</v>
      </c>
      <c r="AR2669" s="3" t="s">
        <v>63</v>
      </c>
      <c r="AS2669" s="3" t="s">
        <v>63</v>
      </c>
      <c r="AT2669" s="3" t="s">
        <v>62</v>
      </c>
      <c r="AU2669" s="6" t="str">
        <f>HYPERLINK("http://catalog.hathitrust.org/Record/000181819","HathiTrust Record")</f>
        <v>HathiTrust Record</v>
      </c>
      <c r="AV2669" s="6" t="str">
        <f>HYPERLINK("http://mcgill.on.worldcat.org/oclc/7462389","Catalog Record")</f>
        <v>Catalog Record</v>
      </c>
      <c r="AW2669" s="6" t="str">
        <f>HYPERLINK("http://www.worldcat.org/oclc/7462389","WorldCat Record")</f>
        <v>WorldCat Record</v>
      </c>
      <c r="AX2669" s="3" t="s">
        <v>22234</v>
      </c>
      <c r="AY2669" s="3" t="s">
        <v>22235</v>
      </c>
      <c r="AZ2669" s="3" t="s">
        <v>22236</v>
      </c>
      <c r="BA2669" s="3" t="s">
        <v>22236</v>
      </c>
      <c r="BB2669" s="3" t="s">
        <v>22237</v>
      </c>
      <c r="BC2669" s="3" t="s">
        <v>82</v>
      </c>
      <c r="BD2669" s="3" t="s">
        <v>70</v>
      </c>
      <c r="BE2669" s="3" t="s">
        <v>22238</v>
      </c>
      <c r="BF2669" s="3" t="s">
        <v>22237</v>
      </c>
      <c r="BG2669" s="3" t="s">
        <v>22239</v>
      </c>
    </row>
    <row r="2670" spans="1:59" ht="60" x14ac:dyDescent="0.25">
      <c r="A2670" s="2" t="s">
        <v>59</v>
      </c>
      <c r="B2670" s="2" t="s">
        <v>60</v>
      </c>
      <c r="C2670" s="2" t="s">
        <v>22240</v>
      </c>
      <c r="D2670" s="2" t="s">
        <v>22241</v>
      </c>
      <c r="E2670" s="2" t="s">
        <v>22242</v>
      </c>
      <c r="G2670" s="3" t="s">
        <v>63</v>
      </c>
      <c r="I2670" s="3" t="s">
        <v>63</v>
      </c>
      <c r="J2670" s="3" t="s">
        <v>63</v>
      </c>
      <c r="K2670" s="3" t="s">
        <v>64</v>
      </c>
      <c r="L2670" s="2" t="s">
        <v>22095</v>
      </c>
      <c r="M2670" s="2" t="s">
        <v>22243</v>
      </c>
      <c r="N2670" s="3" t="s">
        <v>849</v>
      </c>
      <c r="P2670" s="3" t="s">
        <v>90</v>
      </c>
      <c r="R2670" s="3" t="s">
        <v>67</v>
      </c>
      <c r="S2670" s="4">
        <v>16</v>
      </c>
      <c r="T2670" s="4">
        <v>16</v>
      </c>
      <c r="U2670" s="5" t="s">
        <v>5434</v>
      </c>
      <c r="V2670" s="5" t="s">
        <v>5434</v>
      </c>
      <c r="W2670" s="5" t="s">
        <v>69</v>
      </c>
      <c r="X2670" s="5" t="s">
        <v>69</v>
      </c>
      <c r="Y2670" s="4">
        <v>86</v>
      </c>
      <c r="Z2670" s="4">
        <v>11</v>
      </c>
      <c r="AA2670" s="4">
        <v>11</v>
      </c>
      <c r="AB2670" s="4">
        <v>1</v>
      </c>
      <c r="AC2670" s="4">
        <v>1</v>
      </c>
      <c r="AD2670" s="4">
        <v>55</v>
      </c>
      <c r="AE2670" s="4">
        <v>55</v>
      </c>
      <c r="AF2670" s="4">
        <v>0</v>
      </c>
      <c r="AG2670" s="4">
        <v>0</v>
      </c>
      <c r="AH2670" s="4">
        <v>51</v>
      </c>
      <c r="AI2670" s="4">
        <v>51</v>
      </c>
      <c r="AJ2670" s="4">
        <v>8</v>
      </c>
      <c r="AK2670" s="4">
        <v>8</v>
      </c>
      <c r="AL2670" s="4">
        <v>37</v>
      </c>
      <c r="AM2670" s="4">
        <v>37</v>
      </c>
      <c r="AN2670" s="4">
        <v>0</v>
      </c>
      <c r="AO2670" s="4">
        <v>0</v>
      </c>
      <c r="AP2670" s="4">
        <v>8</v>
      </c>
      <c r="AQ2670" s="4">
        <v>8</v>
      </c>
      <c r="AR2670" s="3" t="s">
        <v>63</v>
      </c>
      <c r="AS2670" s="3" t="s">
        <v>63</v>
      </c>
      <c r="AT2670" s="3" t="s">
        <v>62</v>
      </c>
      <c r="AU2670" s="6" t="str">
        <f>HYPERLINK("http://catalog.hathitrust.org/Record/000096553","HathiTrust Record")</f>
        <v>HathiTrust Record</v>
      </c>
      <c r="AV2670" s="6" t="str">
        <f>HYPERLINK("http://mcgill.on.worldcat.org/oclc/6154616","Catalog Record")</f>
        <v>Catalog Record</v>
      </c>
      <c r="AW2670" s="6" t="str">
        <f>HYPERLINK("http://www.worldcat.org/oclc/6154616","WorldCat Record")</f>
        <v>WorldCat Record</v>
      </c>
      <c r="AX2670" s="3" t="s">
        <v>22244</v>
      </c>
      <c r="AY2670" s="3" t="s">
        <v>22245</v>
      </c>
      <c r="AZ2670" s="3" t="s">
        <v>22246</v>
      </c>
      <c r="BA2670" s="3" t="s">
        <v>22246</v>
      </c>
      <c r="BB2670" s="3" t="s">
        <v>22247</v>
      </c>
      <c r="BC2670" s="3" t="s">
        <v>82</v>
      </c>
      <c r="BD2670" s="3" t="s">
        <v>538</v>
      </c>
      <c r="BF2670" s="3" t="s">
        <v>22247</v>
      </c>
      <c r="BG2670" s="3" t="s">
        <v>22248</v>
      </c>
    </row>
    <row r="2671" spans="1:59" ht="60" x14ac:dyDescent="0.25">
      <c r="A2671" s="2" t="s">
        <v>59</v>
      </c>
      <c r="B2671" s="2" t="s">
        <v>60</v>
      </c>
      <c r="C2671" s="2" t="s">
        <v>22249</v>
      </c>
      <c r="D2671" s="2" t="s">
        <v>22250</v>
      </c>
      <c r="E2671" s="2" t="s">
        <v>22251</v>
      </c>
      <c r="G2671" s="3" t="s">
        <v>63</v>
      </c>
      <c r="I2671" s="3" t="s">
        <v>62</v>
      </c>
      <c r="J2671" s="3" t="s">
        <v>63</v>
      </c>
      <c r="K2671" s="3" t="s">
        <v>64</v>
      </c>
      <c r="L2671" s="2" t="s">
        <v>22252</v>
      </c>
      <c r="M2671" s="2" t="s">
        <v>22253</v>
      </c>
      <c r="N2671" s="3" t="s">
        <v>2535</v>
      </c>
      <c r="P2671" s="3" t="s">
        <v>66</v>
      </c>
      <c r="R2671" s="3" t="s">
        <v>67</v>
      </c>
      <c r="S2671" s="4">
        <v>12</v>
      </c>
      <c r="T2671" s="4">
        <v>36</v>
      </c>
      <c r="U2671" s="5" t="s">
        <v>351</v>
      </c>
      <c r="V2671" s="5" t="s">
        <v>9424</v>
      </c>
      <c r="W2671" s="5" t="s">
        <v>69</v>
      </c>
      <c r="X2671" s="5" t="s">
        <v>69</v>
      </c>
      <c r="Y2671" s="4">
        <v>313</v>
      </c>
      <c r="Z2671" s="4">
        <v>32</v>
      </c>
      <c r="AA2671" s="4">
        <v>46</v>
      </c>
      <c r="AB2671" s="4">
        <v>3</v>
      </c>
      <c r="AC2671" s="4">
        <v>6</v>
      </c>
      <c r="AD2671" s="4">
        <v>75</v>
      </c>
      <c r="AE2671" s="4">
        <v>124</v>
      </c>
      <c r="AF2671" s="4">
        <v>2</v>
      </c>
      <c r="AG2671" s="4">
        <v>4</v>
      </c>
      <c r="AH2671" s="4">
        <v>60</v>
      </c>
      <c r="AI2671" s="4">
        <v>101</v>
      </c>
      <c r="AJ2671" s="4">
        <v>19</v>
      </c>
      <c r="AK2671" s="4">
        <v>24</v>
      </c>
      <c r="AL2671" s="4">
        <v>32</v>
      </c>
      <c r="AM2671" s="4">
        <v>56</v>
      </c>
      <c r="AN2671" s="4">
        <v>0</v>
      </c>
      <c r="AO2671" s="4">
        <v>0</v>
      </c>
      <c r="AP2671" s="4">
        <v>23</v>
      </c>
      <c r="AQ2671" s="4">
        <v>29</v>
      </c>
      <c r="AR2671" s="3" t="s">
        <v>63</v>
      </c>
      <c r="AS2671" s="3" t="s">
        <v>63</v>
      </c>
      <c r="AT2671" s="3" t="s">
        <v>62</v>
      </c>
      <c r="AU2671" s="6" t="str">
        <f>HYPERLINK("http://catalog.hathitrust.org/Record/001224248","HathiTrust Record")</f>
        <v>HathiTrust Record</v>
      </c>
      <c r="AV2671" s="6" t="str">
        <f>HYPERLINK("http://mcgill.on.worldcat.org/oclc/1288939","Catalog Record")</f>
        <v>Catalog Record</v>
      </c>
      <c r="AW2671" s="6" t="str">
        <f>HYPERLINK("http://www.worldcat.org/oclc/1288939","WorldCat Record")</f>
        <v>WorldCat Record</v>
      </c>
      <c r="AX2671" s="3" t="s">
        <v>22254</v>
      </c>
      <c r="AY2671" s="3" t="s">
        <v>22255</v>
      </c>
      <c r="AZ2671" s="3" t="s">
        <v>22256</v>
      </c>
      <c r="BA2671" s="3" t="s">
        <v>22256</v>
      </c>
      <c r="BB2671" s="3" t="s">
        <v>22257</v>
      </c>
      <c r="BC2671" s="3" t="s">
        <v>82</v>
      </c>
      <c r="BD2671" s="3" t="s">
        <v>70</v>
      </c>
      <c r="BE2671" s="3" t="s">
        <v>22258</v>
      </c>
      <c r="BF2671" s="3" t="s">
        <v>22257</v>
      </c>
      <c r="BG2671" s="3" t="s">
        <v>22259</v>
      </c>
    </row>
    <row r="2672" spans="1:59" ht="60" x14ac:dyDescent="0.25">
      <c r="A2672" s="2" t="s">
        <v>59</v>
      </c>
      <c r="B2672" s="2" t="s">
        <v>60</v>
      </c>
      <c r="C2672" s="2" t="s">
        <v>22249</v>
      </c>
      <c r="D2672" s="2" t="s">
        <v>22250</v>
      </c>
      <c r="E2672" s="2" t="s">
        <v>22251</v>
      </c>
      <c r="G2672" s="3" t="s">
        <v>63</v>
      </c>
      <c r="I2672" s="3" t="s">
        <v>62</v>
      </c>
      <c r="J2672" s="3" t="s">
        <v>63</v>
      </c>
      <c r="K2672" s="3" t="s">
        <v>64</v>
      </c>
      <c r="L2672" s="2" t="s">
        <v>22252</v>
      </c>
      <c r="M2672" s="2" t="s">
        <v>22253</v>
      </c>
      <c r="N2672" s="3" t="s">
        <v>2535</v>
      </c>
      <c r="P2672" s="3" t="s">
        <v>66</v>
      </c>
      <c r="R2672" s="3" t="s">
        <v>67</v>
      </c>
      <c r="S2672" s="4">
        <v>24</v>
      </c>
      <c r="T2672" s="4">
        <v>36</v>
      </c>
      <c r="U2672" s="5" t="s">
        <v>9424</v>
      </c>
      <c r="V2672" s="5" t="s">
        <v>9424</v>
      </c>
      <c r="W2672" s="5" t="s">
        <v>69</v>
      </c>
      <c r="X2672" s="5" t="s">
        <v>69</v>
      </c>
      <c r="Y2672" s="4">
        <v>313</v>
      </c>
      <c r="Z2672" s="4">
        <v>32</v>
      </c>
      <c r="AA2672" s="4">
        <v>46</v>
      </c>
      <c r="AB2672" s="4">
        <v>3</v>
      </c>
      <c r="AC2672" s="4">
        <v>6</v>
      </c>
      <c r="AD2672" s="4">
        <v>75</v>
      </c>
      <c r="AE2672" s="4">
        <v>124</v>
      </c>
      <c r="AF2672" s="4">
        <v>2</v>
      </c>
      <c r="AG2672" s="4">
        <v>4</v>
      </c>
      <c r="AH2672" s="4">
        <v>60</v>
      </c>
      <c r="AI2672" s="4">
        <v>101</v>
      </c>
      <c r="AJ2672" s="4">
        <v>19</v>
      </c>
      <c r="AK2672" s="4">
        <v>24</v>
      </c>
      <c r="AL2672" s="4">
        <v>32</v>
      </c>
      <c r="AM2672" s="4">
        <v>56</v>
      </c>
      <c r="AN2672" s="4">
        <v>0</v>
      </c>
      <c r="AO2672" s="4">
        <v>0</v>
      </c>
      <c r="AP2672" s="4">
        <v>23</v>
      </c>
      <c r="AQ2672" s="4">
        <v>29</v>
      </c>
      <c r="AR2672" s="3" t="s">
        <v>63</v>
      </c>
      <c r="AS2672" s="3" t="s">
        <v>63</v>
      </c>
      <c r="AT2672" s="3" t="s">
        <v>62</v>
      </c>
      <c r="AU2672" s="6" t="str">
        <f>HYPERLINK("http://catalog.hathitrust.org/Record/001224248","HathiTrust Record")</f>
        <v>HathiTrust Record</v>
      </c>
      <c r="AV2672" s="6" t="str">
        <f>HYPERLINK("http://mcgill.on.worldcat.org/oclc/1288939","Catalog Record")</f>
        <v>Catalog Record</v>
      </c>
      <c r="AW2672" s="6" t="str">
        <f>HYPERLINK("http://www.worldcat.org/oclc/1288939","WorldCat Record")</f>
        <v>WorldCat Record</v>
      </c>
      <c r="AX2672" s="3" t="s">
        <v>22254</v>
      </c>
      <c r="AY2672" s="3" t="s">
        <v>22255</v>
      </c>
      <c r="AZ2672" s="3" t="s">
        <v>22256</v>
      </c>
      <c r="BA2672" s="3" t="s">
        <v>22256</v>
      </c>
      <c r="BB2672" s="3" t="s">
        <v>22260</v>
      </c>
      <c r="BC2672" s="3" t="s">
        <v>82</v>
      </c>
      <c r="BD2672" s="3" t="s">
        <v>70</v>
      </c>
      <c r="BE2672" s="3" t="s">
        <v>22258</v>
      </c>
      <c r="BF2672" s="3" t="s">
        <v>22260</v>
      </c>
      <c r="BG2672" s="3" t="s">
        <v>22261</v>
      </c>
    </row>
    <row r="2673" spans="1:59" ht="60" x14ac:dyDescent="0.25">
      <c r="A2673" s="2" t="s">
        <v>59</v>
      </c>
      <c r="B2673" s="2" t="s">
        <v>60</v>
      </c>
      <c r="C2673" s="2" t="s">
        <v>22262</v>
      </c>
      <c r="D2673" s="2" t="s">
        <v>22263</v>
      </c>
      <c r="E2673" s="2" t="s">
        <v>22264</v>
      </c>
      <c r="G2673" s="3" t="s">
        <v>63</v>
      </c>
      <c r="I2673" s="3" t="s">
        <v>62</v>
      </c>
      <c r="J2673" s="3" t="s">
        <v>63</v>
      </c>
      <c r="K2673" s="3" t="s">
        <v>64</v>
      </c>
      <c r="L2673" s="2" t="s">
        <v>22265</v>
      </c>
      <c r="M2673" s="2" t="s">
        <v>18981</v>
      </c>
      <c r="N2673" s="3" t="s">
        <v>826</v>
      </c>
      <c r="P2673" s="3" t="s">
        <v>66</v>
      </c>
      <c r="R2673" s="3" t="s">
        <v>67</v>
      </c>
      <c r="S2673" s="4">
        <v>18</v>
      </c>
      <c r="T2673" s="4">
        <v>30</v>
      </c>
      <c r="U2673" s="5" t="s">
        <v>22266</v>
      </c>
      <c r="V2673" s="5" t="s">
        <v>22266</v>
      </c>
      <c r="W2673" s="5" t="s">
        <v>69</v>
      </c>
      <c r="X2673" s="5" t="s">
        <v>69</v>
      </c>
      <c r="Y2673" s="4">
        <v>830</v>
      </c>
      <c r="Z2673" s="4">
        <v>37</v>
      </c>
      <c r="AA2673" s="4">
        <v>52</v>
      </c>
      <c r="AB2673" s="4">
        <v>3</v>
      </c>
      <c r="AC2673" s="4">
        <v>5</v>
      </c>
      <c r="AD2673" s="4">
        <v>121</v>
      </c>
      <c r="AE2673" s="4">
        <v>137</v>
      </c>
      <c r="AF2673" s="4">
        <v>1</v>
      </c>
      <c r="AG2673" s="4">
        <v>3</v>
      </c>
      <c r="AH2673" s="4">
        <v>99</v>
      </c>
      <c r="AI2673" s="4">
        <v>105</v>
      </c>
      <c r="AJ2673" s="4">
        <v>16</v>
      </c>
      <c r="AK2673" s="4">
        <v>24</v>
      </c>
      <c r="AL2673" s="4">
        <v>55</v>
      </c>
      <c r="AM2673" s="4">
        <v>56</v>
      </c>
      <c r="AN2673" s="4">
        <v>0</v>
      </c>
      <c r="AO2673" s="4">
        <v>0</v>
      </c>
      <c r="AP2673" s="4">
        <v>27</v>
      </c>
      <c r="AQ2673" s="4">
        <v>40</v>
      </c>
      <c r="AR2673" s="3" t="s">
        <v>63</v>
      </c>
      <c r="AS2673" s="3" t="s">
        <v>63</v>
      </c>
      <c r="AT2673" s="3" t="s">
        <v>63</v>
      </c>
      <c r="AV2673" s="6" t="str">
        <f>HYPERLINK("http://mcgill.on.worldcat.org/oclc/130539","Catalog Record")</f>
        <v>Catalog Record</v>
      </c>
      <c r="AW2673" s="6" t="str">
        <f>HYPERLINK("http://www.worldcat.org/oclc/130539","WorldCat Record")</f>
        <v>WorldCat Record</v>
      </c>
      <c r="AX2673" s="3" t="s">
        <v>22267</v>
      </c>
      <c r="AY2673" s="3" t="s">
        <v>22268</v>
      </c>
      <c r="AZ2673" s="3" t="s">
        <v>22269</v>
      </c>
      <c r="BA2673" s="3" t="s">
        <v>22269</v>
      </c>
      <c r="BB2673" s="3" t="s">
        <v>22270</v>
      </c>
      <c r="BC2673" s="3" t="s">
        <v>82</v>
      </c>
      <c r="BD2673" s="3" t="s">
        <v>70</v>
      </c>
      <c r="BE2673" s="3" t="s">
        <v>22271</v>
      </c>
      <c r="BF2673" s="3" t="s">
        <v>22270</v>
      </c>
      <c r="BG2673" s="3" t="s">
        <v>22272</v>
      </c>
    </row>
    <row r="2674" spans="1:59" ht="60" x14ac:dyDescent="0.25">
      <c r="A2674" s="2" t="s">
        <v>59</v>
      </c>
      <c r="B2674" s="2" t="s">
        <v>60</v>
      </c>
      <c r="C2674" s="2" t="s">
        <v>22262</v>
      </c>
      <c r="D2674" s="2" t="s">
        <v>22263</v>
      </c>
      <c r="E2674" s="2" t="s">
        <v>22264</v>
      </c>
      <c r="G2674" s="3" t="s">
        <v>63</v>
      </c>
      <c r="I2674" s="3" t="s">
        <v>62</v>
      </c>
      <c r="J2674" s="3" t="s">
        <v>63</v>
      </c>
      <c r="K2674" s="3" t="s">
        <v>64</v>
      </c>
      <c r="L2674" s="2" t="s">
        <v>22265</v>
      </c>
      <c r="M2674" s="2" t="s">
        <v>18981</v>
      </c>
      <c r="N2674" s="3" t="s">
        <v>826</v>
      </c>
      <c r="P2674" s="3" t="s">
        <v>66</v>
      </c>
      <c r="R2674" s="3" t="s">
        <v>67</v>
      </c>
      <c r="S2674" s="4">
        <v>12</v>
      </c>
      <c r="T2674" s="4">
        <v>30</v>
      </c>
      <c r="U2674" s="5" t="s">
        <v>9424</v>
      </c>
      <c r="V2674" s="5" t="s">
        <v>22266</v>
      </c>
      <c r="W2674" s="5" t="s">
        <v>69</v>
      </c>
      <c r="X2674" s="5" t="s">
        <v>69</v>
      </c>
      <c r="Y2674" s="4">
        <v>830</v>
      </c>
      <c r="Z2674" s="4">
        <v>37</v>
      </c>
      <c r="AA2674" s="4">
        <v>52</v>
      </c>
      <c r="AB2674" s="4">
        <v>3</v>
      </c>
      <c r="AC2674" s="4">
        <v>5</v>
      </c>
      <c r="AD2674" s="4">
        <v>121</v>
      </c>
      <c r="AE2674" s="4">
        <v>137</v>
      </c>
      <c r="AF2674" s="4">
        <v>1</v>
      </c>
      <c r="AG2674" s="4">
        <v>3</v>
      </c>
      <c r="AH2674" s="4">
        <v>99</v>
      </c>
      <c r="AI2674" s="4">
        <v>105</v>
      </c>
      <c r="AJ2674" s="4">
        <v>16</v>
      </c>
      <c r="AK2674" s="4">
        <v>24</v>
      </c>
      <c r="AL2674" s="4">
        <v>55</v>
      </c>
      <c r="AM2674" s="4">
        <v>56</v>
      </c>
      <c r="AN2674" s="4">
        <v>0</v>
      </c>
      <c r="AO2674" s="4">
        <v>0</v>
      </c>
      <c r="AP2674" s="4">
        <v>27</v>
      </c>
      <c r="AQ2674" s="4">
        <v>40</v>
      </c>
      <c r="AR2674" s="3" t="s">
        <v>63</v>
      </c>
      <c r="AS2674" s="3" t="s">
        <v>63</v>
      </c>
      <c r="AT2674" s="3" t="s">
        <v>63</v>
      </c>
      <c r="AV2674" s="6" t="str">
        <f>HYPERLINK("http://mcgill.on.worldcat.org/oclc/130539","Catalog Record")</f>
        <v>Catalog Record</v>
      </c>
      <c r="AW2674" s="6" t="str">
        <f>HYPERLINK("http://www.worldcat.org/oclc/130539","WorldCat Record")</f>
        <v>WorldCat Record</v>
      </c>
      <c r="AX2674" s="3" t="s">
        <v>22267</v>
      </c>
      <c r="AY2674" s="3" t="s">
        <v>22268</v>
      </c>
      <c r="AZ2674" s="3" t="s">
        <v>22269</v>
      </c>
      <c r="BA2674" s="3" t="s">
        <v>22269</v>
      </c>
      <c r="BB2674" s="3" t="s">
        <v>22273</v>
      </c>
      <c r="BC2674" s="3" t="s">
        <v>82</v>
      </c>
      <c r="BD2674" s="3" t="s">
        <v>70</v>
      </c>
      <c r="BE2674" s="3" t="s">
        <v>22271</v>
      </c>
      <c r="BF2674" s="3" t="s">
        <v>22273</v>
      </c>
      <c r="BG2674" s="3" t="s">
        <v>22274</v>
      </c>
    </row>
    <row r="2675" spans="1:59" ht="75" x14ac:dyDescent="0.25">
      <c r="A2675" s="2" t="s">
        <v>59</v>
      </c>
      <c r="B2675" s="2" t="s">
        <v>60</v>
      </c>
      <c r="C2675" s="2" t="s">
        <v>22275</v>
      </c>
      <c r="D2675" s="2" t="s">
        <v>22276</v>
      </c>
      <c r="E2675" s="2" t="s">
        <v>22277</v>
      </c>
      <c r="G2675" s="3" t="s">
        <v>63</v>
      </c>
      <c r="I2675" s="3" t="s">
        <v>63</v>
      </c>
      <c r="J2675" s="3" t="s">
        <v>63</v>
      </c>
      <c r="K2675" s="3" t="s">
        <v>64</v>
      </c>
      <c r="L2675" s="2" t="s">
        <v>22278</v>
      </c>
      <c r="M2675" s="2" t="s">
        <v>22279</v>
      </c>
      <c r="N2675" s="3" t="s">
        <v>2951</v>
      </c>
      <c r="P2675" s="3" t="s">
        <v>66</v>
      </c>
      <c r="R2675" s="3" t="s">
        <v>67</v>
      </c>
      <c r="S2675" s="4">
        <v>28</v>
      </c>
      <c r="T2675" s="4">
        <v>28</v>
      </c>
      <c r="U2675" s="5" t="s">
        <v>3301</v>
      </c>
      <c r="V2675" s="5" t="s">
        <v>3301</v>
      </c>
      <c r="W2675" s="5" t="s">
        <v>69</v>
      </c>
      <c r="X2675" s="5" t="s">
        <v>69</v>
      </c>
      <c r="Y2675" s="4">
        <v>339</v>
      </c>
      <c r="Z2675" s="4">
        <v>17</v>
      </c>
      <c r="AA2675" s="4">
        <v>36</v>
      </c>
      <c r="AB2675" s="4">
        <v>2</v>
      </c>
      <c r="AC2675" s="4">
        <v>3</v>
      </c>
      <c r="AD2675" s="4">
        <v>78</v>
      </c>
      <c r="AE2675" s="4">
        <v>123</v>
      </c>
      <c r="AF2675" s="4">
        <v>1</v>
      </c>
      <c r="AG2675" s="4">
        <v>2</v>
      </c>
      <c r="AH2675" s="4">
        <v>67</v>
      </c>
      <c r="AI2675" s="4">
        <v>103</v>
      </c>
      <c r="AJ2675" s="4">
        <v>8</v>
      </c>
      <c r="AK2675" s="4">
        <v>22</v>
      </c>
      <c r="AL2675" s="4">
        <v>34</v>
      </c>
      <c r="AM2675" s="4">
        <v>53</v>
      </c>
      <c r="AN2675" s="4">
        <v>0</v>
      </c>
      <c r="AO2675" s="4">
        <v>0</v>
      </c>
      <c r="AP2675" s="4">
        <v>14</v>
      </c>
      <c r="AQ2675" s="4">
        <v>31</v>
      </c>
      <c r="AR2675" s="3" t="s">
        <v>63</v>
      </c>
      <c r="AS2675" s="3" t="s">
        <v>63</v>
      </c>
      <c r="AT2675" s="3" t="s">
        <v>62</v>
      </c>
      <c r="AU2675" s="6" t="str">
        <f>HYPERLINK("http://catalog.hathitrust.org/Record/007022311","HathiTrust Record")</f>
        <v>HathiTrust Record</v>
      </c>
      <c r="AV2675" s="6" t="str">
        <f>HYPERLINK("http://mcgill.on.worldcat.org/oclc/6412977","Catalog Record")</f>
        <v>Catalog Record</v>
      </c>
      <c r="AW2675" s="6" t="str">
        <f>HYPERLINK("http://www.worldcat.org/oclc/6412977","WorldCat Record")</f>
        <v>WorldCat Record</v>
      </c>
      <c r="AX2675" s="3" t="s">
        <v>22280</v>
      </c>
      <c r="AY2675" s="3" t="s">
        <v>22281</v>
      </c>
      <c r="AZ2675" s="3" t="s">
        <v>22282</v>
      </c>
      <c r="BA2675" s="3" t="s">
        <v>22282</v>
      </c>
      <c r="BB2675" s="3" t="s">
        <v>22283</v>
      </c>
      <c r="BC2675" s="3" t="s">
        <v>82</v>
      </c>
      <c r="BD2675" s="3" t="s">
        <v>70</v>
      </c>
      <c r="BE2675" s="3" t="s">
        <v>22284</v>
      </c>
      <c r="BF2675" s="3" t="s">
        <v>22283</v>
      </c>
      <c r="BG2675" s="3" t="s">
        <v>22285</v>
      </c>
    </row>
    <row r="2676" spans="1:59" ht="60" x14ac:dyDescent="0.25">
      <c r="A2676" s="2" t="s">
        <v>59</v>
      </c>
      <c r="B2676" s="2" t="s">
        <v>60</v>
      </c>
      <c r="C2676" s="2" t="s">
        <v>22286</v>
      </c>
      <c r="D2676" s="2" t="s">
        <v>22287</v>
      </c>
      <c r="E2676" s="2" t="s">
        <v>22288</v>
      </c>
      <c r="G2676" s="3" t="s">
        <v>63</v>
      </c>
      <c r="I2676" s="3" t="s">
        <v>63</v>
      </c>
      <c r="J2676" s="3" t="s">
        <v>63</v>
      </c>
      <c r="K2676" s="3" t="s">
        <v>64</v>
      </c>
      <c r="L2676" s="2" t="s">
        <v>22289</v>
      </c>
      <c r="M2676" s="2" t="s">
        <v>22290</v>
      </c>
      <c r="N2676" s="3" t="s">
        <v>427</v>
      </c>
      <c r="O2676" s="2" t="s">
        <v>22291</v>
      </c>
      <c r="P2676" s="3" t="s">
        <v>90</v>
      </c>
      <c r="R2676" s="3" t="s">
        <v>67</v>
      </c>
      <c r="S2676" s="4">
        <v>3</v>
      </c>
      <c r="T2676" s="4">
        <v>3</v>
      </c>
      <c r="U2676" s="5" t="s">
        <v>21788</v>
      </c>
      <c r="V2676" s="5" t="s">
        <v>21788</v>
      </c>
      <c r="W2676" s="5" t="s">
        <v>69</v>
      </c>
      <c r="X2676" s="5" t="s">
        <v>69</v>
      </c>
      <c r="Y2676" s="4">
        <v>65</v>
      </c>
      <c r="Z2676" s="4">
        <v>2</v>
      </c>
      <c r="AA2676" s="4">
        <v>5</v>
      </c>
      <c r="AB2676" s="4">
        <v>1</v>
      </c>
      <c r="AC2676" s="4">
        <v>1</v>
      </c>
      <c r="AD2676" s="4">
        <v>43</v>
      </c>
      <c r="AE2676" s="4">
        <v>61</v>
      </c>
      <c r="AF2676" s="4">
        <v>0</v>
      </c>
      <c r="AG2676" s="4">
        <v>0</v>
      </c>
      <c r="AH2676" s="4">
        <v>42</v>
      </c>
      <c r="AI2676" s="4">
        <v>60</v>
      </c>
      <c r="AJ2676" s="4">
        <v>1</v>
      </c>
      <c r="AK2676" s="4">
        <v>3</v>
      </c>
      <c r="AL2676" s="4">
        <v>34</v>
      </c>
      <c r="AM2676" s="4">
        <v>44</v>
      </c>
      <c r="AN2676" s="4">
        <v>0</v>
      </c>
      <c r="AO2676" s="4">
        <v>0</v>
      </c>
      <c r="AP2676" s="4">
        <v>1</v>
      </c>
      <c r="AQ2676" s="4">
        <v>3</v>
      </c>
      <c r="AR2676" s="3" t="s">
        <v>63</v>
      </c>
      <c r="AS2676" s="3" t="s">
        <v>63</v>
      </c>
      <c r="AT2676" s="3" t="s">
        <v>62</v>
      </c>
      <c r="AU2676" s="6" t="str">
        <f>HYPERLINK("http://catalog.hathitrust.org/Record/001098532","HathiTrust Record")</f>
        <v>HathiTrust Record</v>
      </c>
      <c r="AV2676" s="6" t="str">
        <f>HYPERLINK("http://mcgill.on.worldcat.org/oclc/18509179","Catalog Record")</f>
        <v>Catalog Record</v>
      </c>
      <c r="AW2676" s="6" t="str">
        <f>HYPERLINK("http://www.worldcat.org/oclc/18509179","WorldCat Record")</f>
        <v>WorldCat Record</v>
      </c>
      <c r="AX2676" s="3" t="s">
        <v>22292</v>
      </c>
      <c r="AY2676" s="3" t="s">
        <v>22293</v>
      </c>
      <c r="AZ2676" s="3" t="s">
        <v>22294</v>
      </c>
      <c r="BA2676" s="3" t="s">
        <v>22294</v>
      </c>
      <c r="BB2676" s="3" t="s">
        <v>22295</v>
      </c>
      <c r="BC2676" s="3" t="s">
        <v>82</v>
      </c>
      <c r="BD2676" s="3" t="s">
        <v>70</v>
      </c>
      <c r="BE2676" s="3" t="s">
        <v>22296</v>
      </c>
      <c r="BF2676" s="3" t="s">
        <v>22295</v>
      </c>
      <c r="BG2676" s="3" t="s">
        <v>22297</v>
      </c>
    </row>
    <row r="2677" spans="1:59" ht="60" x14ac:dyDescent="0.25">
      <c r="A2677" s="2" t="s">
        <v>59</v>
      </c>
      <c r="B2677" s="2" t="s">
        <v>60</v>
      </c>
      <c r="C2677" s="2" t="s">
        <v>22298</v>
      </c>
      <c r="D2677" s="2" t="s">
        <v>22299</v>
      </c>
      <c r="E2677" s="2" t="s">
        <v>22300</v>
      </c>
      <c r="G2677" s="3" t="s">
        <v>63</v>
      </c>
      <c r="I2677" s="3" t="s">
        <v>63</v>
      </c>
      <c r="J2677" s="3" t="s">
        <v>63</v>
      </c>
      <c r="K2677" s="3" t="s">
        <v>64</v>
      </c>
      <c r="L2677" s="2" t="s">
        <v>22301</v>
      </c>
      <c r="M2677" s="2" t="s">
        <v>22302</v>
      </c>
      <c r="N2677" s="3" t="s">
        <v>1113</v>
      </c>
      <c r="P2677" s="3" t="s">
        <v>66</v>
      </c>
      <c r="Q2677" s="2" t="s">
        <v>22303</v>
      </c>
      <c r="R2677" s="3" t="s">
        <v>67</v>
      </c>
      <c r="S2677" s="4">
        <v>11</v>
      </c>
      <c r="T2677" s="4">
        <v>11</v>
      </c>
      <c r="U2677" s="5" t="s">
        <v>22304</v>
      </c>
      <c r="V2677" s="5" t="s">
        <v>22304</v>
      </c>
      <c r="W2677" s="5" t="s">
        <v>69</v>
      </c>
      <c r="X2677" s="5" t="s">
        <v>69</v>
      </c>
      <c r="Y2677" s="4">
        <v>203</v>
      </c>
      <c r="Z2677" s="4">
        <v>16</v>
      </c>
      <c r="AA2677" s="4">
        <v>18</v>
      </c>
      <c r="AB2677" s="4">
        <v>2</v>
      </c>
      <c r="AC2677" s="4">
        <v>4</v>
      </c>
      <c r="AD2677" s="4">
        <v>94</v>
      </c>
      <c r="AE2677" s="4">
        <v>96</v>
      </c>
      <c r="AF2677" s="4">
        <v>1</v>
      </c>
      <c r="AG2677" s="4">
        <v>3</v>
      </c>
      <c r="AH2677" s="4">
        <v>86</v>
      </c>
      <c r="AI2677" s="4">
        <v>87</v>
      </c>
      <c r="AJ2677" s="4">
        <v>13</v>
      </c>
      <c r="AK2677" s="4">
        <v>15</v>
      </c>
      <c r="AL2677" s="4">
        <v>49</v>
      </c>
      <c r="AM2677" s="4">
        <v>49</v>
      </c>
      <c r="AN2677" s="4">
        <v>0</v>
      </c>
      <c r="AO2677" s="4">
        <v>0</v>
      </c>
      <c r="AP2677" s="4">
        <v>14</v>
      </c>
      <c r="AQ2677" s="4">
        <v>16</v>
      </c>
      <c r="AR2677" s="3" t="s">
        <v>63</v>
      </c>
      <c r="AS2677" s="3" t="s">
        <v>63</v>
      </c>
      <c r="AT2677" s="3" t="s">
        <v>63</v>
      </c>
      <c r="AV2677" s="6" t="str">
        <f>HYPERLINK("http://mcgill.on.worldcat.org/oclc/34943261","Catalog Record")</f>
        <v>Catalog Record</v>
      </c>
      <c r="AW2677" s="6" t="str">
        <f>HYPERLINK("http://www.worldcat.org/oclc/34943261","WorldCat Record")</f>
        <v>WorldCat Record</v>
      </c>
      <c r="AX2677" s="3" t="s">
        <v>22305</v>
      </c>
      <c r="AY2677" s="3" t="s">
        <v>22306</v>
      </c>
      <c r="AZ2677" s="3" t="s">
        <v>22307</v>
      </c>
      <c r="BA2677" s="3" t="s">
        <v>22307</v>
      </c>
      <c r="BB2677" s="3" t="s">
        <v>22308</v>
      </c>
      <c r="BC2677" s="3" t="s">
        <v>82</v>
      </c>
      <c r="BD2677" s="3" t="s">
        <v>70</v>
      </c>
      <c r="BE2677" s="3" t="s">
        <v>22309</v>
      </c>
      <c r="BF2677" s="3" t="s">
        <v>22308</v>
      </c>
      <c r="BG2677" s="3" t="s">
        <v>22310</v>
      </c>
    </row>
    <row r="2678" spans="1:59" ht="60" x14ac:dyDescent="0.25">
      <c r="A2678" s="2" t="s">
        <v>59</v>
      </c>
      <c r="B2678" s="2" t="s">
        <v>60</v>
      </c>
      <c r="C2678" s="2" t="s">
        <v>22311</v>
      </c>
      <c r="D2678" s="2" t="s">
        <v>22312</v>
      </c>
      <c r="E2678" s="2" t="s">
        <v>22313</v>
      </c>
      <c r="G2678" s="3" t="s">
        <v>63</v>
      </c>
      <c r="I2678" s="3" t="s">
        <v>63</v>
      </c>
      <c r="J2678" s="3" t="s">
        <v>63</v>
      </c>
      <c r="K2678" s="3" t="s">
        <v>64</v>
      </c>
      <c r="L2678" s="2" t="s">
        <v>22314</v>
      </c>
      <c r="M2678" s="2" t="s">
        <v>22315</v>
      </c>
      <c r="N2678" s="3" t="s">
        <v>220</v>
      </c>
      <c r="P2678" s="3" t="s">
        <v>66</v>
      </c>
      <c r="Q2678" s="2" t="s">
        <v>22316</v>
      </c>
      <c r="R2678" s="3" t="s">
        <v>67</v>
      </c>
      <c r="S2678" s="4">
        <v>52</v>
      </c>
      <c r="T2678" s="4">
        <v>52</v>
      </c>
      <c r="U2678" s="5" t="s">
        <v>22317</v>
      </c>
      <c r="V2678" s="5" t="s">
        <v>22317</v>
      </c>
      <c r="W2678" s="5" t="s">
        <v>69</v>
      </c>
      <c r="X2678" s="5" t="s">
        <v>69</v>
      </c>
      <c r="Y2678" s="4">
        <v>711</v>
      </c>
      <c r="Z2678" s="4">
        <v>30</v>
      </c>
      <c r="AA2678" s="4">
        <v>33</v>
      </c>
      <c r="AB2678" s="4">
        <v>1</v>
      </c>
      <c r="AC2678" s="4">
        <v>2</v>
      </c>
      <c r="AD2678" s="4">
        <v>103</v>
      </c>
      <c r="AE2678" s="4">
        <v>110</v>
      </c>
      <c r="AF2678" s="4">
        <v>0</v>
      </c>
      <c r="AG2678" s="4">
        <v>1</v>
      </c>
      <c r="AH2678" s="4">
        <v>90</v>
      </c>
      <c r="AI2678" s="4">
        <v>96</v>
      </c>
      <c r="AJ2678" s="4">
        <v>14</v>
      </c>
      <c r="AK2678" s="4">
        <v>16</v>
      </c>
      <c r="AL2678" s="4">
        <v>50</v>
      </c>
      <c r="AM2678" s="4">
        <v>51</v>
      </c>
      <c r="AN2678" s="4">
        <v>0</v>
      </c>
      <c r="AO2678" s="4">
        <v>0</v>
      </c>
      <c r="AP2678" s="4">
        <v>19</v>
      </c>
      <c r="AQ2678" s="4">
        <v>22</v>
      </c>
      <c r="AR2678" s="3" t="s">
        <v>63</v>
      </c>
      <c r="AS2678" s="3" t="s">
        <v>63</v>
      </c>
      <c r="AT2678" s="3" t="s">
        <v>62</v>
      </c>
      <c r="AU2678" s="6" t="str">
        <f>HYPERLINK("http://catalog.hathitrust.org/Record/002633201","HathiTrust Record")</f>
        <v>HathiTrust Record</v>
      </c>
      <c r="AV2678" s="6" t="str">
        <f>HYPERLINK("http://mcgill.on.worldcat.org/oclc/26399737","Catalog Record")</f>
        <v>Catalog Record</v>
      </c>
      <c r="AW2678" s="6" t="str">
        <f>HYPERLINK("http://www.worldcat.org/oclc/26399737","WorldCat Record")</f>
        <v>WorldCat Record</v>
      </c>
      <c r="AX2678" s="3" t="s">
        <v>22318</v>
      </c>
      <c r="AY2678" s="3" t="s">
        <v>22319</v>
      </c>
      <c r="AZ2678" s="3" t="s">
        <v>22320</v>
      </c>
      <c r="BA2678" s="3" t="s">
        <v>22320</v>
      </c>
      <c r="BB2678" s="3" t="s">
        <v>22321</v>
      </c>
      <c r="BC2678" s="3" t="s">
        <v>82</v>
      </c>
      <c r="BD2678" s="3" t="s">
        <v>70</v>
      </c>
      <c r="BE2678" s="3" t="s">
        <v>22322</v>
      </c>
      <c r="BF2678" s="3" t="s">
        <v>22321</v>
      </c>
      <c r="BG2678" s="3" t="s">
        <v>22323</v>
      </c>
    </row>
    <row r="2679" spans="1:59" ht="60" x14ac:dyDescent="0.25">
      <c r="A2679" s="2" t="s">
        <v>59</v>
      </c>
      <c r="B2679" s="2" t="s">
        <v>60</v>
      </c>
      <c r="C2679" s="2" t="s">
        <v>22324</v>
      </c>
      <c r="D2679" s="2" t="s">
        <v>22325</v>
      </c>
      <c r="E2679" s="2" t="s">
        <v>22326</v>
      </c>
      <c r="G2679" s="3" t="s">
        <v>63</v>
      </c>
      <c r="I2679" s="3" t="s">
        <v>63</v>
      </c>
      <c r="J2679" s="3" t="s">
        <v>62</v>
      </c>
      <c r="K2679" s="3" t="s">
        <v>64</v>
      </c>
      <c r="L2679" s="2" t="s">
        <v>22327</v>
      </c>
      <c r="M2679" s="2" t="s">
        <v>22328</v>
      </c>
      <c r="N2679" s="3" t="s">
        <v>143</v>
      </c>
      <c r="O2679" s="2" t="s">
        <v>4752</v>
      </c>
      <c r="P2679" s="3" t="s">
        <v>90</v>
      </c>
      <c r="R2679" s="3" t="s">
        <v>67</v>
      </c>
      <c r="S2679" s="4">
        <v>0</v>
      </c>
      <c r="T2679" s="4">
        <v>0</v>
      </c>
      <c r="W2679" s="5" t="s">
        <v>69</v>
      </c>
      <c r="X2679" s="5" t="s">
        <v>69</v>
      </c>
      <c r="Y2679" s="4">
        <v>5</v>
      </c>
      <c r="Z2679" s="4">
        <v>1</v>
      </c>
      <c r="AA2679" s="4">
        <v>9</v>
      </c>
      <c r="AB2679" s="4">
        <v>1</v>
      </c>
      <c r="AC2679" s="4">
        <v>1</v>
      </c>
      <c r="AD2679" s="4">
        <v>2</v>
      </c>
      <c r="AE2679" s="4">
        <v>53</v>
      </c>
      <c r="AF2679" s="4">
        <v>0</v>
      </c>
      <c r="AG2679" s="4">
        <v>0</v>
      </c>
      <c r="AH2679" s="4">
        <v>2</v>
      </c>
      <c r="AI2679" s="4">
        <v>50</v>
      </c>
      <c r="AJ2679" s="4">
        <v>0</v>
      </c>
      <c r="AK2679" s="4">
        <v>7</v>
      </c>
      <c r="AL2679" s="4">
        <v>2</v>
      </c>
      <c r="AM2679" s="4">
        <v>37</v>
      </c>
      <c r="AN2679" s="4">
        <v>0</v>
      </c>
      <c r="AO2679" s="4">
        <v>0</v>
      </c>
      <c r="AP2679" s="4">
        <v>0</v>
      </c>
      <c r="AQ2679" s="4">
        <v>7</v>
      </c>
      <c r="AR2679" s="3" t="s">
        <v>63</v>
      </c>
      <c r="AS2679" s="3" t="s">
        <v>63</v>
      </c>
      <c r="AT2679" s="3" t="s">
        <v>63</v>
      </c>
      <c r="AV2679" s="6" t="str">
        <f>HYPERLINK("http://mcgill.on.worldcat.org/oclc/889407127","Catalog Record")</f>
        <v>Catalog Record</v>
      </c>
      <c r="AW2679" s="6" t="str">
        <f>HYPERLINK("http://www.worldcat.org/oclc/889407127","WorldCat Record")</f>
        <v>WorldCat Record</v>
      </c>
      <c r="AX2679" s="3" t="s">
        <v>22329</v>
      </c>
      <c r="AY2679" s="3" t="s">
        <v>22330</v>
      </c>
      <c r="AZ2679" s="3" t="s">
        <v>22331</v>
      </c>
      <c r="BA2679" s="3" t="s">
        <v>22331</v>
      </c>
      <c r="BB2679" s="3" t="s">
        <v>22332</v>
      </c>
      <c r="BC2679" s="3" t="s">
        <v>82</v>
      </c>
      <c r="BD2679" s="3" t="s">
        <v>70</v>
      </c>
      <c r="BE2679" s="3" t="s">
        <v>22333</v>
      </c>
      <c r="BF2679" s="3" t="s">
        <v>22332</v>
      </c>
      <c r="BG2679" s="3" t="s">
        <v>22334</v>
      </c>
    </row>
    <row r="2680" spans="1:59" ht="60" x14ac:dyDescent="0.25">
      <c r="A2680" s="2" t="s">
        <v>59</v>
      </c>
      <c r="B2680" s="2" t="s">
        <v>60</v>
      </c>
      <c r="C2680" s="2" t="s">
        <v>22335</v>
      </c>
      <c r="D2680" s="2" t="s">
        <v>22336</v>
      </c>
      <c r="E2680" s="2" t="s">
        <v>22337</v>
      </c>
      <c r="G2680" s="3" t="s">
        <v>63</v>
      </c>
      <c r="I2680" s="3" t="s">
        <v>63</v>
      </c>
      <c r="J2680" s="3" t="s">
        <v>63</v>
      </c>
      <c r="K2680" s="3" t="s">
        <v>64</v>
      </c>
      <c r="L2680" s="2" t="s">
        <v>22338</v>
      </c>
      <c r="M2680" s="2" t="s">
        <v>22339</v>
      </c>
      <c r="N2680" s="3" t="s">
        <v>143</v>
      </c>
      <c r="P2680" s="3" t="s">
        <v>90</v>
      </c>
      <c r="R2680" s="3" t="s">
        <v>67</v>
      </c>
      <c r="S2680" s="4">
        <v>0</v>
      </c>
      <c r="T2680" s="4">
        <v>0</v>
      </c>
      <c r="W2680" s="5" t="s">
        <v>69</v>
      </c>
      <c r="X2680" s="5" t="s">
        <v>69</v>
      </c>
      <c r="Y2680" s="4">
        <v>12</v>
      </c>
      <c r="Z2680" s="4">
        <v>3</v>
      </c>
      <c r="AA2680" s="4">
        <v>3</v>
      </c>
      <c r="AB2680" s="4">
        <v>1</v>
      </c>
      <c r="AC2680" s="4">
        <v>1</v>
      </c>
      <c r="AD2680" s="4">
        <v>9</v>
      </c>
      <c r="AE2680" s="4">
        <v>9</v>
      </c>
      <c r="AF2680" s="4">
        <v>0</v>
      </c>
      <c r="AG2680" s="4">
        <v>0</v>
      </c>
      <c r="AH2680" s="4">
        <v>9</v>
      </c>
      <c r="AI2680" s="4">
        <v>9</v>
      </c>
      <c r="AJ2680" s="4">
        <v>1</v>
      </c>
      <c r="AK2680" s="4">
        <v>1</v>
      </c>
      <c r="AL2680" s="4">
        <v>9</v>
      </c>
      <c r="AM2680" s="4">
        <v>9</v>
      </c>
      <c r="AN2680" s="4">
        <v>0</v>
      </c>
      <c r="AO2680" s="4">
        <v>0</v>
      </c>
      <c r="AP2680" s="4">
        <v>1</v>
      </c>
      <c r="AQ2680" s="4">
        <v>1</v>
      </c>
      <c r="AR2680" s="3" t="s">
        <v>63</v>
      </c>
      <c r="AS2680" s="3" t="s">
        <v>63</v>
      </c>
      <c r="AT2680" s="3" t="s">
        <v>63</v>
      </c>
      <c r="AV2680" s="6" t="str">
        <f>HYPERLINK("http://mcgill.on.worldcat.org/oclc/923359939","Catalog Record")</f>
        <v>Catalog Record</v>
      </c>
      <c r="AW2680" s="6" t="str">
        <f>HYPERLINK("http://www.worldcat.org/oclc/923359939","WorldCat Record")</f>
        <v>WorldCat Record</v>
      </c>
      <c r="AX2680" s="3" t="s">
        <v>22340</v>
      </c>
      <c r="AY2680" s="3" t="s">
        <v>22341</v>
      </c>
      <c r="AZ2680" s="3" t="s">
        <v>22342</v>
      </c>
      <c r="BA2680" s="3" t="s">
        <v>22342</v>
      </c>
      <c r="BB2680" s="3" t="s">
        <v>22343</v>
      </c>
      <c r="BC2680" s="3" t="s">
        <v>82</v>
      </c>
      <c r="BD2680" s="3" t="s">
        <v>70</v>
      </c>
      <c r="BE2680" s="3" t="s">
        <v>22344</v>
      </c>
      <c r="BF2680" s="3" t="s">
        <v>22343</v>
      </c>
      <c r="BG2680" s="3" t="s">
        <v>22345</v>
      </c>
    </row>
    <row r="2681" spans="1:59" ht="60" x14ac:dyDescent="0.25">
      <c r="A2681" s="2" t="s">
        <v>59</v>
      </c>
      <c r="B2681" s="2" t="s">
        <v>60</v>
      </c>
      <c r="C2681" s="2" t="s">
        <v>22346</v>
      </c>
      <c r="D2681" s="2" t="s">
        <v>22347</v>
      </c>
      <c r="E2681" s="2" t="s">
        <v>22348</v>
      </c>
      <c r="G2681" s="3" t="s">
        <v>63</v>
      </c>
      <c r="I2681" s="3" t="s">
        <v>63</v>
      </c>
      <c r="J2681" s="3" t="s">
        <v>63</v>
      </c>
      <c r="K2681" s="3" t="s">
        <v>64</v>
      </c>
      <c r="L2681" s="2" t="s">
        <v>22349</v>
      </c>
      <c r="M2681" s="2" t="s">
        <v>5674</v>
      </c>
      <c r="N2681" s="3" t="s">
        <v>190</v>
      </c>
      <c r="P2681" s="3" t="s">
        <v>90</v>
      </c>
      <c r="Q2681" s="2" t="s">
        <v>3379</v>
      </c>
      <c r="R2681" s="3" t="s">
        <v>67</v>
      </c>
      <c r="S2681" s="4">
        <v>1</v>
      </c>
      <c r="T2681" s="4">
        <v>1</v>
      </c>
      <c r="U2681" s="5" t="s">
        <v>21788</v>
      </c>
      <c r="V2681" s="5" t="s">
        <v>21788</v>
      </c>
      <c r="W2681" s="5" t="s">
        <v>69</v>
      </c>
      <c r="X2681" s="5" t="s">
        <v>69</v>
      </c>
      <c r="Y2681" s="4">
        <v>53</v>
      </c>
      <c r="Z2681" s="4">
        <v>3</v>
      </c>
      <c r="AA2681" s="4">
        <v>3</v>
      </c>
      <c r="AB2681" s="4">
        <v>1</v>
      </c>
      <c r="AC2681" s="4">
        <v>1</v>
      </c>
      <c r="AD2681" s="4">
        <v>38</v>
      </c>
      <c r="AE2681" s="4">
        <v>38</v>
      </c>
      <c r="AF2681" s="4">
        <v>0</v>
      </c>
      <c r="AG2681" s="4">
        <v>0</v>
      </c>
      <c r="AH2681" s="4">
        <v>36</v>
      </c>
      <c r="AI2681" s="4">
        <v>36</v>
      </c>
      <c r="AJ2681" s="4">
        <v>1</v>
      </c>
      <c r="AK2681" s="4">
        <v>1</v>
      </c>
      <c r="AL2681" s="4">
        <v>30</v>
      </c>
      <c r="AM2681" s="4">
        <v>30</v>
      </c>
      <c r="AN2681" s="4">
        <v>0</v>
      </c>
      <c r="AO2681" s="4">
        <v>0</v>
      </c>
      <c r="AP2681" s="4">
        <v>1</v>
      </c>
      <c r="AQ2681" s="4">
        <v>1</v>
      </c>
      <c r="AR2681" s="3" t="s">
        <v>63</v>
      </c>
      <c r="AS2681" s="3" t="s">
        <v>63</v>
      </c>
      <c r="AT2681" s="3" t="s">
        <v>62</v>
      </c>
      <c r="AU2681" s="6" t="str">
        <f>HYPERLINK("http://catalog.hathitrust.org/Record/005242834","HathiTrust Record")</f>
        <v>HathiTrust Record</v>
      </c>
      <c r="AV2681" s="6" t="str">
        <f>HYPERLINK("http://mcgill.on.worldcat.org/oclc/60542184","Catalog Record")</f>
        <v>Catalog Record</v>
      </c>
      <c r="AW2681" s="6" t="str">
        <f>HYPERLINK("http://www.worldcat.org/oclc/60542184","WorldCat Record")</f>
        <v>WorldCat Record</v>
      </c>
      <c r="AX2681" s="3" t="s">
        <v>22350</v>
      </c>
      <c r="AY2681" s="3" t="s">
        <v>22351</v>
      </c>
      <c r="AZ2681" s="3" t="s">
        <v>22352</v>
      </c>
      <c r="BA2681" s="3" t="s">
        <v>22352</v>
      </c>
      <c r="BB2681" s="3" t="s">
        <v>22353</v>
      </c>
      <c r="BC2681" s="3" t="s">
        <v>82</v>
      </c>
      <c r="BD2681" s="3" t="s">
        <v>70</v>
      </c>
      <c r="BE2681" s="3" t="s">
        <v>22354</v>
      </c>
      <c r="BF2681" s="3" t="s">
        <v>22353</v>
      </c>
      <c r="BG2681" s="3" t="s">
        <v>22355</v>
      </c>
    </row>
    <row r="2682" spans="1:59" ht="60" x14ac:dyDescent="0.25">
      <c r="A2682" s="2" t="s">
        <v>59</v>
      </c>
      <c r="B2682" s="2" t="s">
        <v>60</v>
      </c>
      <c r="C2682" s="2" t="s">
        <v>22356</v>
      </c>
      <c r="D2682" s="2" t="s">
        <v>22357</v>
      </c>
      <c r="E2682" s="2" t="s">
        <v>22358</v>
      </c>
      <c r="G2682" s="3" t="s">
        <v>63</v>
      </c>
      <c r="I2682" s="3" t="s">
        <v>63</v>
      </c>
      <c r="J2682" s="3" t="s">
        <v>63</v>
      </c>
      <c r="K2682" s="3" t="s">
        <v>64</v>
      </c>
      <c r="L2682" s="2" t="s">
        <v>22359</v>
      </c>
      <c r="M2682" s="2" t="s">
        <v>22360</v>
      </c>
      <c r="N2682" s="3" t="s">
        <v>693</v>
      </c>
      <c r="P2682" s="3" t="s">
        <v>66</v>
      </c>
      <c r="Q2682" s="2" t="s">
        <v>22361</v>
      </c>
      <c r="R2682" s="3" t="s">
        <v>67</v>
      </c>
      <c r="S2682" s="4">
        <v>14</v>
      </c>
      <c r="T2682" s="4">
        <v>14</v>
      </c>
      <c r="U2682" s="5" t="s">
        <v>22362</v>
      </c>
      <c r="V2682" s="5" t="s">
        <v>22362</v>
      </c>
      <c r="W2682" s="5" t="s">
        <v>69</v>
      </c>
      <c r="X2682" s="5" t="s">
        <v>69</v>
      </c>
      <c r="Y2682" s="4">
        <v>160</v>
      </c>
      <c r="Z2682" s="4">
        <v>10</v>
      </c>
      <c r="AA2682" s="4">
        <v>10</v>
      </c>
      <c r="AB2682" s="4">
        <v>1</v>
      </c>
      <c r="AC2682" s="4">
        <v>1</v>
      </c>
      <c r="AD2682" s="4">
        <v>72</v>
      </c>
      <c r="AE2682" s="4">
        <v>72</v>
      </c>
      <c r="AF2682" s="4">
        <v>0</v>
      </c>
      <c r="AG2682" s="4">
        <v>0</v>
      </c>
      <c r="AH2682" s="4">
        <v>67</v>
      </c>
      <c r="AI2682" s="4">
        <v>67</v>
      </c>
      <c r="AJ2682" s="4">
        <v>8</v>
      </c>
      <c r="AK2682" s="4">
        <v>8</v>
      </c>
      <c r="AL2682" s="4">
        <v>40</v>
      </c>
      <c r="AM2682" s="4">
        <v>40</v>
      </c>
      <c r="AN2682" s="4">
        <v>0</v>
      </c>
      <c r="AO2682" s="4">
        <v>0</v>
      </c>
      <c r="AP2682" s="4">
        <v>8</v>
      </c>
      <c r="AQ2682" s="4">
        <v>8</v>
      </c>
      <c r="AR2682" s="3" t="s">
        <v>63</v>
      </c>
      <c r="AS2682" s="3" t="s">
        <v>63</v>
      </c>
      <c r="AT2682" s="3" t="s">
        <v>62</v>
      </c>
      <c r="AU2682" s="6" t="str">
        <f>HYPERLINK("http://catalog.hathitrust.org/Record/003998601","HathiTrust Record")</f>
        <v>HathiTrust Record</v>
      </c>
      <c r="AV2682" s="6" t="str">
        <f>HYPERLINK("http://mcgill.on.worldcat.org/oclc/51553246","Catalog Record")</f>
        <v>Catalog Record</v>
      </c>
      <c r="AW2682" s="6" t="str">
        <f>HYPERLINK("http://www.worldcat.org/oclc/51553246","WorldCat Record")</f>
        <v>WorldCat Record</v>
      </c>
      <c r="AX2682" s="3" t="s">
        <v>22363</v>
      </c>
      <c r="AY2682" s="3" t="s">
        <v>22364</v>
      </c>
      <c r="AZ2682" s="3" t="s">
        <v>22365</v>
      </c>
      <c r="BA2682" s="3" t="s">
        <v>22365</v>
      </c>
      <c r="BB2682" s="3" t="s">
        <v>22366</v>
      </c>
      <c r="BC2682" s="3" t="s">
        <v>82</v>
      </c>
      <c r="BD2682" s="3" t="s">
        <v>70</v>
      </c>
      <c r="BE2682" s="3" t="s">
        <v>22367</v>
      </c>
      <c r="BF2682" s="3" t="s">
        <v>22366</v>
      </c>
      <c r="BG2682" s="3" t="s">
        <v>22368</v>
      </c>
    </row>
    <row r="2683" spans="1:59" ht="60" x14ac:dyDescent="0.25">
      <c r="A2683" s="2" t="s">
        <v>59</v>
      </c>
      <c r="B2683" s="2" t="s">
        <v>60</v>
      </c>
      <c r="C2683" s="2" t="s">
        <v>22369</v>
      </c>
      <c r="D2683" s="2" t="s">
        <v>22370</v>
      </c>
      <c r="E2683" s="2" t="s">
        <v>22371</v>
      </c>
      <c r="G2683" s="3" t="s">
        <v>63</v>
      </c>
      <c r="I2683" s="3" t="s">
        <v>63</v>
      </c>
      <c r="J2683" s="3" t="s">
        <v>63</v>
      </c>
      <c r="K2683" s="3" t="s">
        <v>64</v>
      </c>
      <c r="L2683" s="2" t="s">
        <v>22106</v>
      </c>
      <c r="M2683" s="2" t="s">
        <v>233</v>
      </c>
      <c r="N2683" s="3" t="s">
        <v>234</v>
      </c>
      <c r="P2683" s="3" t="s">
        <v>66</v>
      </c>
      <c r="Q2683" s="2" t="s">
        <v>22372</v>
      </c>
      <c r="R2683" s="3" t="s">
        <v>67</v>
      </c>
      <c r="S2683" s="4">
        <v>10</v>
      </c>
      <c r="T2683" s="4">
        <v>10</v>
      </c>
      <c r="U2683" s="5" t="s">
        <v>3628</v>
      </c>
      <c r="V2683" s="5" t="s">
        <v>3628</v>
      </c>
      <c r="W2683" s="5" t="s">
        <v>69</v>
      </c>
      <c r="X2683" s="5" t="s">
        <v>69</v>
      </c>
      <c r="Y2683" s="4">
        <v>273</v>
      </c>
      <c r="Z2683" s="4">
        <v>17</v>
      </c>
      <c r="AA2683" s="4">
        <v>17</v>
      </c>
      <c r="AB2683" s="4">
        <v>1</v>
      </c>
      <c r="AC2683" s="4">
        <v>1</v>
      </c>
      <c r="AD2683" s="4">
        <v>94</v>
      </c>
      <c r="AE2683" s="4">
        <v>94</v>
      </c>
      <c r="AF2683" s="4">
        <v>0</v>
      </c>
      <c r="AG2683" s="4">
        <v>0</v>
      </c>
      <c r="AH2683" s="4">
        <v>86</v>
      </c>
      <c r="AI2683" s="4">
        <v>86</v>
      </c>
      <c r="AJ2683" s="4">
        <v>12</v>
      </c>
      <c r="AK2683" s="4">
        <v>12</v>
      </c>
      <c r="AL2683" s="4">
        <v>50</v>
      </c>
      <c r="AM2683" s="4">
        <v>50</v>
      </c>
      <c r="AN2683" s="4">
        <v>0</v>
      </c>
      <c r="AO2683" s="4">
        <v>0</v>
      </c>
      <c r="AP2683" s="4">
        <v>13</v>
      </c>
      <c r="AQ2683" s="4">
        <v>13</v>
      </c>
      <c r="AR2683" s="3" t="s">
        <v>63</v>
      </c>
      <c r="AS2683" s="3" t="s">
        <v>63</v>
      </c>
      <c r="AT2683" s="3" t="s">
        <v>63</v>
      </c>
      <c r="AV2683" s="6" t="str">
        <f>HYPERLINK("http://mcgill.on.worldcat.org/oclc/70173367","Catalog Record")</f>
        <v>Catalog Record</v>
      </c>
      <c r="AW2683" s="6" t="str">
        <f>HYPERLINK("http://www.worldcat.org/oclc/70173367","WorldCat Record")</f>
        <v>WorldCat Record</v>
      </c>
      <c r="AX2683" s="3" t="s">
        <v>22373</v>
      </c>
      <c r="AY2683" s="3" t="s">
        <v>22374</v>
      </c>
      <c r="AZ2683" s="3" t="s">
        <v>22375</v>
      </c>
      <c r="BA2683" s="3" t="s">
        <v>22375</v>
      </c>
      <c r="BB2683" s="3" t="s">
        <v>22376</v>
      </c>
      <c r="BC2683" s="3" t="s">
        <v>82</v>
      </c>
      <c r="BD2683" s="3" t="s">
        <v>70</v>
      </c>
      <c r="BE2683" s="3" t="s">
        <v>22377</v>
      </c>
      <c r="BF2683" s="3" t="s">
        <v>22376</v>
      </c>
      <c r="BG2683" s="3" t="s">
        <v>22378</v>
      </c>
    </row>
    <row r="2684" spans="1:59" ht="60" x14ac:dyDescent="0.25">
      <c r="A2684" s="2" t="s">
        <v>59</v>
      </c>
      <c r="B2684" s="2" t="s">
        <v>60</v>
      </c>
      <c r="C2684" s="2" t="s">
        <v>22379</v>
      </c>
      <c r="D2684" s="2" t="s">
        <v>22380</v>
      </c>
      <c r="E2684" s="2" t="s">
        <v>22381</v>
      </c>
      <c r="G2684" s="3" t="s">
        <v>63</v>
      </c>
      <c r="H2684" s="3" t="s">
        <v>215</v>
      </c>
      <c r="I2684" s="3" t="s">
        <v>63</v>
      </c>
      <c r="J2684" s="3" t="s">
        <v>63</v>
      </c>
      <c r="K2684" s="3" t="s">
        <v>64</v>
      </c>
      <c r="L2684" s="2" t="s">
        <v>22382</v>
      </c>
      <c r="M2684" s="2" t="s">
        <v>22383</v>
      </c>
      <c r="N2684" s="3" t="s">
        <v>1752</v>
      </c>
      <c r="P2684" s="3" t="s">
        <v>66</v>
      </c>
      <c r="Q2684" s="2" t="s">
        <v>22384</v>
      </c>
      <c r="R2684" s="3" t="s">
        <v>67</v>
      </c>
      <c r="S2684" s="4">
        <v>0</v>
      </c>
      <c r="T2684" s="4">
        <v>0</v>
      </c>
      <c r="W2684" s="5" t="s">
        <v>1546</v>
      </c>
      <c r="X2684" s="5" t="s">
        <v>1546</v>
      </c>
      <c r="Y2684" s="4">
        <v>23</v>
      </c>
      <c r="Z2684" s="4">
        <v>3</v>
      </c>
      <c r="AA2684" s="4">
        <v>5</v>
      </c>
      <c r="AB2684" s="4">
        <v>1</v>
      </c>
      <c r="AC2684" s="4">
        <v>3</v>
      </c>
      <c r="AD2684" s="4">
        <v>11</v>
      </c>
      <c r="AE2684" s="4">
        <v>14</v>
      </c>
      <c r="AF2684" s="4">
        <v>0</v>
      </c>
      <c r="AG2684" s="4">
        <v>0</v>
      </c>
      <c r="AH2684" s="4">
        <v>10</v>
      </c>
      <c r="AI2684" s="4">
        <v>12</v>
      </c>
      <c r="AJ2684" s="4">
        <v>2</v>
      </c>
      <c r="AK2684" s="4">
        <v>2</v>
      </c>
      <c r="AL2684" s="4">
        <v>5</v>
      </c>
      <c r="AM2684" s="4">
        <v>8</v>
      </c>
      <c r="AN2684" s="4">
        <v>0</v>
      </c>
      <c r="AO2684" s="4">
        <v>0</v>
      </c>
      <c r="AP2684" s="4">
        <v>2</v>
      </c>
      <c r="AQ2684" s="4">
        <v>2</v>
      </c>
      <c r="AR2684" s="3" t="s">
        <v>63</v>
      </c>
      <c r="AS2684" s="3" t="s">
        <v>63</v>
      </c>
      <c r="AT2684" s="3" t="s">
        <v>63</v>
      </c>
      <c r="AV2684" s="6" t="str">
        <f>HYPERLINK("http://mcgill.on.worldcat.org/oclc/1091236932","Catalog Record")</f>
        <v>Catalog Record</v>
      </c>
      <c r="AW2684" s="6" t="str">
        <f>HYPERLINK("http://www.worldcat.org/oclc/1091236932","WorldCat Record")</f>
        <v>WorldCat Record</v>
      </c>
      <c r="AX2684" s="3" t="s">
        <v>22385</v>
      </c>
      <c r="AY2684" s="3" t="s">
        <v>22386</v>
      </c>
      <c r="AZ2684" s="3" t="s">
        <v>22387</v>
      </c>
      <c r="BA2684" s="3" t="s">
        <v>22387</v>
      </c>
      <c r="BB2684" s="3" t="s">
        <v>22388</v>
      </c>
      <c r="BC2684" s="3" t="s">
        <v>82</v>
      </c>
      <c r="BD2684" s="3" t="s">
        <v>70</v>
      </c>
      <c r="BE2684" s="3" t="s">
        <v>22389</v>
      </c>
      <c r="BF2684" s="3" t="s">
        <v>22388</v>
      </c>
      <c r="BG2684" s="3" t="s">
        <v>22390</v>
      </c>
    </row>
    <row r="2685" spans="1:59" ht="60" x14ac:dyDescent="0.25">
      <c r="A2685" s="2" t="s">
        <v>59</v>
      </c>
      <c r="B2685" s="2" t="s">
        <v>60</v>
      </c>
      <c r="C2685" s="2" t="s">
        <v>22391</v>
      </c>
      <c r="D2685" s="2" t="s">
        <v>22392</v>
      </c>
      <c r="E2685" s="2" t="s">
        <v>22393</v>
      </c>
      <c r="G2685" s="3" t="s">
        <v>63</v>
      </c>
      <c r="I2685" s="3" t="s">
        <v>63</v>
      </c>
      <c r="J2685" s="3" t="s">
        <v>63</v>
      </c>
      <c r="K2685" s="3" t="s">
        <v>64</v>
      </c>
      <c r="L2685" s="2" t="s">
        <v>22394</v>
      </c>
      <c r="M2685" s="2" t="s">
        <v>22395</v>
      </c>
      <c r="N2685" s="3" t="s">
        <v>1418</v>
      </c>
      <c r="P2685" s="3" t="s">
        <v>66</v>
      </c>
      <c r="R2685" s="3" t="s">
        <v>67</v>
      </c>
      <c r="S2685" s="4">
        <v>39</v>
      </c>
      <c r="T2685" s="4">
        <v>39</v>
      </c>
      <c r="U2685" s="5" t="s">
        <v>415</v>
      </c>
      <c r="V2685" s="5" t="s">
        <v>415</v>
      </c>
      <c r="W2685" s="5" t="s">
        <v>69</v>
      </c>
      <c r="X2685" s="5" t="s">
        <v>69</v>
      </c>
      <c r="Y2685" s="4">
        <v>319</v>
      </c>
      <c r="Z2685" s="4">
        <v>25</v>
      </c>
      <c r="AA2685" s="4">
        <v>25</v>
      </c>
      <c r="AB2685" s="4">
        <v>3</v>
      </c>
      <c r="AC2685" s="4">
        <v>3</v>
      </c>
      <c r="AD2685" s="4">
        <v>102</v>
      </c>
      <c r="AE2685" s="4">
        <v>102</v>
      </c>
      <c r="AF2685" s="4">
        <v>1</v>
      </c>
      <c r="AG2685" s="4">
        <v>1</v>
      </c>
      <c r="AH2685" s="4">
        <v>89</v>
      </c>
      <c r="AI2685" s="4">
        <v>89</v>
      </c>
      <c r="AJ2685" s="4">
        <v>18</v>
      </c>
      <c r="AK2685" s="4">
        <v>18</v>
      </c>
      <c r="AL2685" s="4">
        <v>51</v>
      </c>
      <c r="AM2685" s="4">
        <v>51</v>
      </c>
      <c r="AN2685" s="4">
        <v>0</v>
      </c>
      <c r="AO2685" s="4">
        <v>0</v>
      </c>
      <c r="AP2685" s="4">
        <v>21</v>
      </c>
      <c r="AQ2685" s="4">
        <v>21</v>
      </c>
      <c r="AR2685" s="3" t="s">
        <v>63</v>
      </c>
      <c r="AS2685" s="3" t="s">
        <v>63</v>
      </c>
      <c r="AT2685" s="3" t="s">
        <v>62</v>
      </c>
      <c r="AU2685" s="6" t="str">
        <f>HYPERLINK("http://catalog.hathitrust.org/Record/000908192","HathiTrust Record")</f>
        <v>HathiTrust Record</v>
      </c>
      <c r="AV2685" s="6" t="str">
        <f>HYPERLINK("http://mcgill.on.worldcat.org/oclc/17610042","Catalog Record")</f>
        <v>Catalog Record</v>
      </c>
      <c r="AW2685" s="6" t="str">
        <f>HYPERLINK("http://www.worldcat.org/oclc/17610042","WorldCat Record")</f>
        <v>WorldCat Record</v>
      </c>
      <c r="AX2685" s="3" t="s">
        <v>22396</v>
      </c>
      <c r="AY2685" s="3" t="s">
        <v>22397</v>
      </c>
      <c r="AZ2685" s="3" t="s">
        <v>22398</v>
      </c>
      <c r="BA2685" s="3" t="s">
        <v>22398</v>
      </c>
      <c r="BB2685" s="3" t="s">
        <v>22399</v>
      </c>
      <c r="BC2685" s="3" t="s">
        <v>82</v>
      </c>
      <c r="BD2685" s="3" t="s">
        <v>70</v>
      </c>
      <c r="BE2685" s="3" t="s">
        <v>22400</v>
      </c>
      <c r="BF2685" s="3" t="s">
        <v>22399</v>
      </c>
      <c r="BG2685" s="3" t="s">
        <v>22401</v>
      </c>
    </row>
    <row r="2686" spans="1:59" ht="60" x14ac:dyDescent="0.25">
      <c r="A2686" s="2" t="s">
        <v>59</v>
      </c>
      <c r="B2686" s="2" t="s">
        <v>60</v>
      </c>
      <c r="C2686" s="2" t="s">
        <v>22402</v>
      </c>
      <c r="D2686" s="2" t="s">
        <v>22403</v>
      </c>
      <c r="E2686" s="2" t="s">
        <v>22404</v>
      </c>
      <c r="G2686" s="3" t="s">
        <v>63</v>
      </c>
      <c r="I2686" s="3" t="s">
        <v>63</v>
      </c>
      <c r="J2686" s="3" t="s">
        <v>63</v>
      </c>
      <c r="K2686" s="3" t="s">
        <v>64</v>
      </c>
      <c r="L2686" s="2" t="s">
        <v>22405</v>
      </c>
      <c r="M2686" s="2" t="s">
        <v>22406</v>
      </c>
      <c r="N2686" s="3" t="s">
        <v>1343</v>
      </c>
      <c r="P2686" s="3" t="s">
        <v>66</v>
      </c>
      <c r="R2686" s="3" t="s">
        <v>67</v>
      </c>
      <c r="S2686" s="4">
        <v>16</v>
      </c>
      <c r="T2686" s="4">
        <v>16</v>
      </c>
      <c r="U2686" s="5" t="s">
        <v>4374</v>
      </c>
      <c r="V2686" s="5" t="s">
        <v>4374</v>
      </c>
      <c r="W2686" s="5" t="s">
        <v>69</v>
      </c>
      <c r="X2686" s="5" t="s">
        <v>69</v>
      </c>
      <c r="Y2686" s="4">
        <v>341</v>
      </c>
      <c r="Z2686" s="4">
        <v>23</v>
      </c>
      <c r="AA2686" s="4">
        <v>92</v>
      </c>
      <c r="AB2686" s="4">
        <v>3</v>
      </c>
      <c r="AC2686" s="4">
        <v>15</v>
      </c>
      <c r="AD2686" s="4">
        <v>98</v>
      </c>
      <c r="AE2686" s="4">
        <v>144</v>
      </c>
      <c r="AF2686" s="4">
        <v>2</v>
      </c>
      <c r="AG2686" s="4">
        <v>8</v>
      </c>
      <c r="AH2686" s="4">
        <v>83</v>
      </c>
      <c r="AI2686" s="4">
        <v>106</v>
      </c>
      <c r="AJ2686" s="4">
        <v>15</v>
      </c>
      <c r="AK2686" s="4">
        <v>25</v>
      </c>
      <c r="AL2686" s="4">
        <v>47</v>
      </c>
      <c r="AM2686" s="4">
        <v>55</v>
      </c>
      <c r="AN2686" s="4">
        <v>0</v>
      </c>
      <c r="AO2686" s="4">
        <v>0</v>
      </c>
      <c r="AP2686" s="4">
        <v>19</v>
      </c>
      <c r="AQ2686" s="4">
        <v>47</v>
      </c>
      <c r="AR2686" s="3" t="s">
        <v>63</v>
      </c>
      <c r="AS2686" s="3" t="s">
        <v>63</v>
      </c>
      <c r="AT2686" s="3" t="s">
        <v>62</v>
      </c>
      <c r="AU2686" s="6" t="str">
        <f>HYPERLINK("http://catalog.hathitrust.org/Record/004116882","HathiTrust Record")</f>
        <v>HathiTrust Record</v>
      </c>
      <c r="AV2686" s="6" t="str">
        <f>HYPERLINK("http://mcgill.on.worldcat.org/oclc/41361547","Catalog Record")</f>
        <v>Catalog Record</v>
      </c>
      <c r="AW2686" s="6" t="str">
        <f>HYPERLINK("http://www.worldcat.org/oclc/41361547","WorldCat Record")</f>
        <v>WorldCat Record</v>
      </c>
      <c r="AX2686" s="3" t="s">
        <v>22407</v>
      </c>
      <c r="AY2686" s="3" t="s">
        <v>22408</v>
      </c>
      <c r="AZ2686" s="3" t="s">
        <v>22409</v>
      </c>
      <c r="BA2686" s="3" t="s">
        <v>22409</v>
      </c>
      <c r="BB2686" s="3" t="s">
        <v>22410</v>
      </c>
      <c r="BC2686" s="3" t="s">
        <v>82</v>
      </c>
      <c r="BD2686" s="3" t="s">
        <v>70</v>
      </c>
      <c r="BE2686" s="3" t="s">
        <v>22411</v>
      </c>
      <c r="BF2686" s="3" t="s">
        <v>22410</v>
      </c>
      <c r="BG2686" s="3" t="s">
        <v>22412</v>
      </c>
    </row>
    <row r="2687" spans="1:59" ht="75" x14ac:dyDescent="0.25">
      <c r="A2687" s="2" t="s">
        <v>59</v>
      </c>
      <c r="B2687" s="2" t="s">
        <v>60</v>
      </c>
      <c r="C2687" s="2" t="s">
        <v>22413</v>
      </c>
      <c r="D2687" s="2" t="s">
        <v>22414</v>
      </c>
      <c r="E2687" s="2" t="s">
        <v>22415</v>
      </c>
      <c r="G2687" s="3" t="s">
        <v>63</v>
      </c>
      <c r="I2687" s="3" t="s">
        <v>63</v>
      </c>
      <c r="J2687" s="3" t="s">
        <v>63</v>
      </c>
      <c r="K2687" s="3" t="s">
        <v>64</v>
      </c>
      <c r="L2687" s="2" t="s">
        <v>22416</v>
      </c>
      <c r="M2687" s="2" t="s">
        <v>22417</v>
      </c>
      <c r="N2687" s="3" t="s">
        <v>76</v>
      </c>
      <c r="P2687" s="3" t="s">
        <v>66</v>
      </c>
      <c r="Q2687" s="2" t="s">
        <v>22418</v>
      </c>
      <c r="R2687" s="3" t="s">
        <v>67</v>
      </c>
      <c r="S2687" s="4">
        <v>0</v>
      </c>
      <c r="T2687" s="4">
        <v>0</v>
      </c>
      <c r="W2687" s="5" t="s">
        <v>69</v>
      </c>
      <c r="X2687" s="5" t="s">
        <v>69</v>
      </c>
      <c r="Y2687" s="4">
        <v>120</v>
      </c>
      <c r="Z2687" s="4">
        <v>8</v>
      </c>
      <c r="AA2687" s="4">
        <v>10</v>
      </c>
      <c r="AB2687" s="4">
        <v>1</v>
      </c>
      <c r="AC2687" s="4">
        <v>3</v>
      </c>
      <c r="AD2687" s="4">
        <v>60</v>
      </c>
      <c r="AE2687" s="4">
        <v>61</v>
      </c>
      <c r="AF2687" s="4">
        <v>0</v>
      </c>
      <c r="AG2687" s="4">
        <v>0</v>
      </c>
      <c r="AH2687" s="4">
        <v>57</v>
      </c>
      <c r="AI2687" s="4">
        <v>58</v>
      </c>
      <c r="AJ2687" s="4">
        <v>6</v>
      </c>
      <c r="AK2687" s="4">
        <v>6</v>
      </c>
      <c r="AL2687" s="4">
        <v>40</v>
      </c>
      <c r="AM2687" s="4">
        <v>40</v>
      </c>
      <c r="AN2687" s="4">
        <v>0</v>
      </c>
      <c r="AO2687" s="4">
        <v>0</v>
      </c>
      <c r="AP2687" s="4">
        <v>6</v>
      </c>
      <c r="AQ2687" s="4">
        <v>6</v>
      </c>
      <c r="AR2687" s="3" t="s">
        <v>63</v>
      </c>
      <c r="AS2687" s="3" t="s">
        <v>63</v>
      </c>
      <c r="AT2687" s="3" t="s">
        <v>63</v>
      </c>
      <c r="AV2687" s="6" t="str">
        <f>HYPERLINK("http://mcgill.on.worldcat.org/oclc/756581616","Catalog Record")</f>
        <v>Catalog Record</v>
      </c>
      <c r="AW2687" s="6" t="str">
        <f>HYPERLINK("http://www.worldcat.org/oclc/756581616","WorldCat Record")</f>
        <v>WorldCat Record</v>
      </c>
      <c r="AX2687" s="3" t="s">
        <v>22419</v>
      </c>
      <c r="AY2687" s="3" t="s">
        <v>22420</v>
      </c>
      <c r="AZ2687" s="3" t="s">
        <v>22421</v>
      </c>
      <c r="BA2687" s="3" t="s">
        <v>22421</v>
      </c>
      <c r="BB2687" s="3" t="s">
        <v>22422</v>
      </c>
      <c r="BC2687" s="3" t="s">
        <v>82</v>
      </c>
      <c r="BD2687" s="3" t="s">
        <v>70</v>
      </c>
      <c r="BE2687" s="3" t="s">
        <v>22423</v>
      </c>
      <c r="BF2687" s="3" t="s">
        <v>22422</v>
      </c>
      <c r="BG2687" s="3" t="s">
        <v>22424</v>
      </c>
    </row>
    <row r="2688" spans="1:59" ht="60" x14ac:dyDescent="0.25">
      <c r="A2688" s="2" t="s">
        <v>59</v>
      </c>
      <c r="B2688" s="2" t="s">
        <v>60</v>
      </c>
      <c r="C2688" s="2" t="s">
        <v>22425</v>
      </c>
      <c r="D2688" s="2" t="s">
        <v>22426</v>
      </c>
      <c r="E2688" s="2" t="s">
        <v>22427</v>
      </c>
      <c r="G2688" s="3" t="s">
        <v>62</v>
      </c>
      <c r="I2688" s="3" t="s">
        <v>63</v>
      </c>
      <c r="J2688" s="3" t="s">
        <v>63</v>
      </c>
      <c r="K2688" s="3" t="s">
        <v>64</v>
      </c>
      <c r="L2688" s="2" t="s">
        <v>22428</v>
      </c>
      <c r="M2688" s="2" t="s">
        <v>22429</v>
      </c>
      <c r="N2688" s="3" t="s">
        <v>287</v>
      </c>
      <c r="P2688" s="3" t="s">
        <v>90</v>
      </c>
      <c r="Q2688" s="2" t="s">
        <v>22430</v>
      </c>
      <c r="R2688" s="3" t="s">
        <v>67</v>
      </c>
      <c r="S2688" s="4">
        <v>1</v>
      </c>
      <c r="T2688" s="4">
        <v>1</v>
      </c>
      <c r="U2688" s="5" t="s">
        <v>22431</v>
      </c>
      <c r="V2688" s="5" t="s">
        <v>22431</v>
      </c>
      <c r="W2688" s="5" t="s">
        <v>10861</v>
      </c>
      <c r="X2688" s="5" t="s">
        <v>10861</v>
      </c>
      <c r="Y2688" s="4">
        <v>26</v>
      </c>
      <c r="Z2688" s="4">
        <v>1</v>
      </c>
      <c r="AA2688" s="4">
        <v>1</v>
      </c>
      <c r="AB2688" s="4">
        <v>1</v>
      </c>
      <c r="AC2688" s="4">
        <v>1</v>
      </c>
      <c r="AD2688" s="4">
        <v>16</v>
      </c>
      <c r="AE2688" s="4">
        <v>17</v>
      </c>
      <c r="AF2688" s="4">
        <v>0</v>
      </c>
      <c r="AG2688" s="4">
        <v>0</v>
      </c>
      <c r="AH2688" s="4">
        <v>15</v>
      </c>
      <c r="AI2688" s="4">
        <v>16</v>
      </c>
      <c r="AJ2688" s="4">
        <v>0</v>
      </c>
      <c r="AK2688" s="4">
        <v>0</v>
      </c>
      <c r="AL2688" s="4">
        <v>14</v>
      </c>
      <c r="AM2688" s="4">
        <v>15</v>
      </c>
      <c r="AN2688" s="4">
        <v>0</v>
      </c>
      <c r="AO2688" s="4">
        <v>0</v>
      </c>
      <c r="AP2688" s="4">
        <v>0</v>
      </c>
      <c r="AQ2688" s="4">
        <v>0</v>
      </c>
      <c r="AR2688" s="3" t="s">
        <v>63</v>
      </c>
      <c r="AS2688" s="3" t="s">
        <v>63</v>
      </c>
      <c r="AT2688" s="3" t="s">
        <v>63</v>
      </c>
      <c r="AV2688" s="6" t="str">
        <f>HYPERLINK("http://mcgill.on.worldcat.org/oclc/1089841993","Catalog Record")</f>
        <v>Catalog Record</v>
      </c>
      <c r="AW2688" s="6" t="str">
        <f>HYPERLINK("http://www.worldcat.org/oclc/1089841993","WorldCat Record")</f>
        <v>WorldCat Record</v>
      </c>
      <c r="AX2688" s="3" t="s">
        <v>22432</v>
      </c>
      <c r="AY2688" s="3" t="s">
        <v>22433</v>
      </c>
      <c r="AZ2688" s="3" t="s">
        <v>22434</v>
      </c>
      <c r="BA2688" s="3" t="s">
        <v>22434</v>
      </c>
      <c r="BB2688" s="3" t="s">
        <v>22435</v>
      </c>
      <c r="BC2688" s="3" t="s">
        <v>82</v>
      </c>
      <c r="BD2688" s="3" t="s">
        <v>70</v>
      </c>
      <c r="BE2688" s="3" t="s">
        <v>22436</v>
      </c>
      <c r="BF2688" s="3" t="s">
        <v>22435</v>
      </c>
      <c r="BG2688" s="3" t="s">
        <v>22437</v>
      </c>
    </row>
    <row r="2689" spans="1:59" ht="60" x14ac:dyDescent="0.25">
      <c r="A2689" s="2" t="s">
        <v>59</v>
      </c>
      <c r="B2689" s="2" t="s">
        <v>60</v>
      </c>
      <c r="C2689" s="2" t="s">
        <v>22438</v>
      </c>
      <c r="D2689" s="2" t="s">
        <v>22439</v>
      </c>
      <c r="E2689" s="2" t="s">
        <v>22440</v>
      </c>
      <c r="G2689" s="3" t="s">
        <v>63</v>
      </c>
      <c r="I2689" s="3" t="s">
        <v>63</v>
      </c>
      <c r="J2689" s="3" t="s">
        <v>62</v>
      </c>
      <c r="K2689" s="3" t="s">
        <v>64</v>
      </c>
      <c r="L2689" s="2" t="s">
        <v>6724</v>
      </c>
      <c r="M2689" s="2" t="s">
        <v>22441</v>
      </c>
      <c r="N2689" s="3" t="s">
        <v>9114</v>
      </c>
      <c r="P2689" s="3" t="s">
        <v>90</v>
      </c>
      <c r="R2689" s="3" t="s">
        <v>67</v>
      </c>
      <c r="S2689" s="4">
        <v>2</v>
      </c>
      <c r="T2689" s="4">
        <v>2</v>
      </c>
      <c r="U2689" s="5" t="s">
        <v>16052</v>
      </c>
      <c r="V2689" s="5" t="s">
        <v>16052</v>
      </c>
      <c r="W2689" s="5" t="s">
        <v>69</v>
      </c>
      <c r="X2689" s="5" t="s">
        <v>69</v>
      </c>
      <c r="Y2689" s="4">
        <v>23</v>
      </c>
      <c r="Z2689" s="4">
        <v>2</v>
      </c>
      <c r="AA2689" s="4">
        <v>6</v>
      </c>
      <c r="AB2689" s="4">
        <v>1</v>
      </c>
      <c r="AC2689" s="4">
        <v>1</v>
      </c>
      <c r="AD2689" s="4">
        <v>9</v>
      </c>
      <c r="AE2689" s="4">
        <v>25</v>
      </c>
      <c r="AF2689" s="4">
        <v>0</v>
      </c>
      <c r="AG2689" s="4">
        <v>0</v>
      </c>
      <c r="AH2689" s="4">
        <v>8</v>
      </c>
      <c r="AI2689" s="4">
        <v>24</v>
      </c>
      <c r="AJ2689" s="4">
        <v>0</v>
      </c>
      <c r="AK2689" s="4">
        <v>2</v>
      </c>
      <c r="AL2689" s="4">
        <v>7</v>
      </c>
      <c r="AM2689" s="4">
        <v>15</v>
      </c>
      <c r="AN2689" s="4">
        <v>0</v>
      </c>
      <c r="AO2689" s="4">
        <v>0</v>
      </c>
      <c r="AP2689" s="4">
        <v>0</v>
      </c>
      <c r="AQ2689" s="4">
        <v>3</v>
      </c>
      <c r="AR2689" s="3" t="s">
        <v>63</v>
      </c>
      <c r="AS2689" s="3" t="s">
        <v>63</v>
      </c>
      <c r="AT2689" s="3" t="s">
        <v>63</v>
      </c>
      <c r="AV2689" s="6" t="str">
        <f>HYPERLINK("http://mcgill.on.worldcat.org/oclc/6302415","Catalog Record")</f>
        <v>Catalog Record</v>
      </c>
      <c r="AW2689" s="6" t="str">
        <f>HYPERLINK("http://www.worldcat.org/oclc/6302415","WorldCat Record")</f>
        <v>WorldCat Record</v>
      </c>
      <c r="AX2689" s="3" t="s">
        <v>22442</v>
      </c>
      <c r="AY2689" s="3" t="s">
        <v>22443</v>
      </c>
      <c r="AZ2689" s="3" t="s">
        <v>22444</v>
      </c>
      <c r="BA2689" s="3" t="s">
        <v>22444</v>
      </c>
      <c r="BB2689" s="3" t="s">
        <v>22445</v>
      </c>
      <c r="BC2689" s="3" t="s">
        <v>82</v>
      </c>
      <c r="BD2689" s="3" t="s">
        <v>70</v>
      </c>
      <c r="BF2689" s="3" t="s">
        <v>22445</v>
      </c>
      <c r="BG2689" s="3" t="s">
        <v>22446</v>
      </c>
    </row>
    <row r="2690" spans="1:59" ht="60" x14ac:dyDescent="0.25">
      <c r="A2690" s="2" t="s">
        <v>59</v>
      </c>
      <c r="B2690" s="2" t="s">
        <v>60</v>
      </c>
      <c r="C2690" s="2" t="s">
        <v>22447</v>
      </c>
      <c r="D2690" s="2" t="s">
        <v>22448</v>
      </c>
      <c r="E2690" s="2" t="s">
        <v>22449</v>
      </c>
      <c r="G2690" s="3" t="s">
        <v>63</v>
      </c>
      <c r="I2690" s="3" t="s">
        <v>63</v>
      </c>
      <c r="J2690" s="3" t="s">
        <v>63</v>
      </c>
      <c r="K2690" s="3" t="s">
        <v>64</v>
      </c>
      <c r="L2690" s="2" t="s">
        <v>6724</v>
      </c>
      <c r="M2690" s="2" t="s">
        <v>22450</v>
      </c>
      <c r="N2690" s="3" t="s">
        <v>2225</v>
      </c>
      <c r="P2690" s="3" t="s">
        <v>90</v>
      </c>
      <c r="Q2690" s="2" t="s">
        <v>22451</v>
      </c>
      <c r="R2690" s="3" t="s">
        <v>67</v>
      </c>
      <c r="S2690" s="4">
        <v>3</v>
      </c>
      <c r="T2690" s="4">
        <v>3</v>
      </c>
      <c r="U2690" s="5" t="s">
        <v>22452</v>
      </c>
      <c r="V2690" s="5" t="s">
        <v>22452</v>
      </c>
      <c r="W2690" s="5" t="s">
        <v>69</v>
      </c>
      <c r="X2690" s="5" t="s">
        <v>69</v>
      </c>
      <c r="Y2690" s="4">
        <v>22</v>
      </c>
      <c r="Z2690" s="4">
        <v>3</v>
      </c>
      <c r="AA2690" s="4">
        <v>31</v>
      </c>
      <c r="AB2690" s="4">
        <v>1</v>
      </c>
      <c r="AC2690" s="4">
        <v>5</v>
      </c>
      <c r="AD2690" s="4">
        <v>12</v>
      </c>
      <c r="AE2690" s="4">
        <v>76</v>
      </c>
      <c r="AF2690" s="4">
        <v>0</v>
      </c>
      <c r="AG2690" s="4">
        <v>2</v>
      </c>
      <c r="AH2690" s="4">
        <v>12</v>
      </c>
      <c r="AI2690" s="4">
        <v>64</v>
      </c>
      <c r="AJ2690" s="4">
        <v>2</v>
      </c>
      <c r="AK2690" s="4">
        <v>13</v>
      </c>
      <c r="AL2690" s="4">
        <v>6</v>
      </c>
      <c r="AM2690" s="4">
        <v>39</v>
      </c>
      <c r="AN2690" s="4">
        <v>0</v>
      </c>
      <c r="AO2690" s="4">
        <v>3</v>
      </c>
      <c r="AP2690" s="4">
        <v>2</v>
      </c>
      <c r="AQ2690" s="4">
        <v>16</v>
      </c>
      <c r="AR2690" s="3" t="s">
        <v>63</v>
      </c>
      <c r="AS2690" s="3" t="s">
        <v>63</v>
      </c>
      <c r="AT2690" s="3" t="s">
        <v>63</v>
      </c>
      <c r="AV2690" s="6" t="str">
        <f>HYPERLINK("http://mcgill.on.worldcat.org/oclc/6561213","Catalog Record")</f>
        <v>Catalog Record</v>
      </c>
      <c r="AW2690" s="6" t="str">
        <f>HYPERLINK("http://www.worldcat.org/oclc/6561213","WorldCat Record")</f>
        <v>WorldCat Record</v>
      </c>
      <c r="AX2690" s="3" t="s">
        <v>22453</v>
      </c>
      <c r="AY2690" s="3" t="s">
        <v>22454</v>
      </c>
      <c r="AZ2690" s="3" t="s">
        <v>22455</v>
      </c>
      <c r="BA2690" s="3" t="s">
        <v>22455</v>
      </c>
      <c r="BB2690" s="3" t="s">
        <v>22456</v>
      </c>
      <c r="BC2690" s="3" t="s">
        <v>82</v>
      </c>
      <c r="BD2690" s="3" t="s">
        <v>70</v>
      </c>
      <c r="BF2690" s="3" t="s">
        <v>22456</v>
      </c>
      <c r="BG2690" s="3" t="s">
        <v>22457</v>
      </c>
    </row>
    <row r="2691" spans="1:59" ht="60" x14ac:dyDescent="0.25">
      <c r="A2691" s="2" t="s">
        <v>59</v>
      </c>
      <c r="B2691" s="2" t="s">
        <v>60</v>
      </c>
      <c r="C2691" s="2" t="s">
        <v>22458</v>
      </c>
      <c r="D2691" s="2" t="s">
        <v>22459</v>
      </c>
      <c r="E2691" s="2" t="s">
        <v>22460</v>
      </c>
      <c r="G2691" s="3" t="s">
        <v>63</v>
      </c>
      <c r="I2691" s="3" t="s">
        <v>62</v>
      </c>
      <c r="J2691" s="3" t="s">
        <v>63</v>
      </c>
      <c r="K2691" s="3" t="s">
        <v>64</v>
      </c>
      <c r="L2691" s="2" t="s">
        <v>6724</v>
      </c>
      <c r="M2691" s="2" t="s">
        <v>22461</v>
      </c>
      <c r="N2691" s="3" t="s">
        <v>1010</v>
      </c>
      <c r="P2691" s="3" t="s">
        <v>66</v>
      </c>
      <c r="R2691" s="3" t="s">
        <v>67</v>
      </c>
      <c r="S2691" s="4">
        <v>9</v>
      </c>
      <c r="T2691" s="4">
        <v>21</v>
      </c>
      <c r="U2691" s="5" t="s">
        <v>22462</v>
      </c>
      <c r="V2691" s="5" t="s">
        <v>22463</v>
      </c>
      <c r="W2691" s="5" t="s">
        <v>69</v>
      </c>
      <c r="X2691" s="5" t="s">
        <v>69</v>
      </c>
      <c r="Y2691" s="4">
        <v>665</v>
      </c>
      <c r="Z2691" s="4">
        <v>18</v>
      </c>
      <c r="AA2691" s="4">
        <v>37</v>
      </c>
      <c r="AB2691" s="4">
        <v>3</v>
      </c>
      <c r="AC2691" s="4">
        <v>5</v>
      </c>
      <c r="AD2691" s="4">
        <v>81</v>
      </c>
      <c r="AE2691" s="4">
        <v>109</v>
      </c>
      <c r="AF2691" s="4">
        <v>1</v>
      </c>
      <c r="AG2691" s="4">
        <v>2</v>
      </c>
      <c r="AH2691" s="4">
        <v>70</v>
      </c>
      <c r="AI2691" s="4">
        <v>86</v>
      </c>
      <c r="AJ2691" s="4">
        <v>9</v>
      </c>
      <c r="AK2691" s="4">
        <v>19</v>
      </c>
      <c r="AL2691" s="4">
        <v>38</v>
      </c>
      <c r="AM2691" s="4">
        <v>48</v>
      </c>
      <c r="AN2691" s="4">
        <v>0</v>
      </c>
      <c r="AO2691" s="4">
        <v>0</v>
      </c>
      <c r="AP2691" s="4">
        <v>14</v>
      </c>
      <c r="AQ2691" s="4">
        <v>24</v>
      </c>
      <c r="AR2691" s="3" t="s">
        <v>63</v>
      </c>
      <c r="AS2691" s="3" t="s">
        <v>63</v>
      </c>
      <c r="AT2691" s="3" t="s">
        <v>63</v>
      </c>
      <c r="AU2691" s="6" t="str">
        <f>HYPERLINK("http://catalog.hathitrust.org/Record/001108479","HathiTrust Record")</f>
        <v>HathiTrust Record</v>
      </c>
      <c r="AV2691" s="6" t="str">
        <f>HYPERLINK("http://mcgill.on.worldcat.org/oclc/586380","Catalog Record")</f>
        <v>Catalog Record</v>
      </c>
      <c r="AW2691" s="6" t="str">
        <f>HYPERLINK("http://www.worldcat.org/oclc/586380","WorldCat Record")</f>
        <v>WorldCat Record</v>
      </c>
      <c r="AX2691" s="3" t="s">
        <v>22464</v>
      </c>
      <c r="AY2691" s="3" t="s">
        <v>22465</v>
      </c>
      <c r="AZ2691" s="3" t="s">
        <v>22466</v>
      </c>
      <c r="BA2691" s="3" t="s">
        <v>22466</v>
      </c>
      <c r="BB2691" s="3" t="s">
        <v>22467</v>
      </c>
      <c r="BC2691" s="3" t="s">
        <v>82</v>
      </c>
      <c r="BD2691" s="3" t="s">
        <v>70</v>
      </c>
      <c r="BF2691" s="3" t="s">
        <v>22467</v>
      </c>
      <c r="BG2691" s="3" t="s">
        <v>22468</v>
      </c>
    </row>
    <row r="2692" spans="1:59" ht="60" x14ac:dyDescent="0.25">
      <c r="A2692" s="2" t="s">
        <v>59</v>
      </c>
      <c r="B2692" s="2" t="s">
        <v>60</v>
      </c>
      <c r="C2692" s="2" t="s">
        <v>22458</v>
      </c>
      <c r="D2692" s="2" t="s">
        <v>22459</v>
      </c>
      <c r="E2692" s="2" t="s">
        <v>22460</v>
      </c>
      <c r="G2692" s="3" t="s">
        <v>63</v>
      </c>
      <c r="I2692" s="3" t="s">
        <v>62</v>
      </c>
      <c r="J2692" s="3" t="s">
        <v>63</v>
      </c>
      <c r="K2692" s="3" t="s">
        <v>64</v>
      </c>
      <c r="L2692" s="2" t="s">
        <v>6724</v>
      </c>
      <c r="M2692" s="2" t="s">
        <v>22461</v>
      </c>
      <c r="N2692" s="3" t="s">
        <v>1010</v>
      </c>
      <c r="P2692" s="3" t="s">
        <v>66</v>
      </c>
      <c r="R2692" s="3" t="s">
        <v>67</v>
      </c>
      <c r="S2692" s="4">
        <v>12</v>
      </c>
      <c r="T2692" s="4">
        <v>21</v>
      </c>
      <c r="U2692" s="5" t="s">
        <v>22463</v>
      </c>
      <c r="V2692" s="5" t="s">
        <v>22463</v>
      </c>
      <c r="W2692" s="5" t="s">
        <v>69</v>
      </c>
      <c r="X2692" s="5" t="s">
        <v>69</v>
      </c>
      <c r="Y2692" s="4">
        <v>665</v>
      </c>
      <c r="Z2692" s="4">
        <v>18</v>
      </c>
      <c r="AA2692" s="4">
        <v>37</v>
      </c>
      <c r="AB2692" s="4">
        <v>3</v>
      </c>
      <c r="AC2692" s="4">
        <v>5</v>
      </c>
      <c r="AD2692" s="4">
        <v>81</v>
      </c>
      <c r="AE2692" s="4">
        <v>109</v>
      </c>
      <c r="AF2692" s="4">
        <v>1</v>
      </c>
      <c r="AG2692" s="4">
        <v>2</v>
      </c>
      <c r="AH2692" s="4">
        <v>70</v>
      </c>
      <c r="AI2692" s="4">
        <v>86</v>
      </c>
      <c r="AJ2692" s="4">
        <v>9</v>
      </c>
      <c r="AK2692" s="4">
        <v>19</v>
      </c>
      <c r="AL2692" s="4">
        <v>38</v>
      </c>
      <c r="AM2692" s="4">
        <v>48</v>
      </c>
      <c r="AN2692" s="4">
        <v>0</v>
      </c>
      <c r="AO2692" s="4">
        <v>0</v>
      </c>
      <c r="AP2692" s="4">
        <v>14</v>
      </c>
      <c r="AQ2692" s="4">
        <v>24</v>
      </c>
      <c r="AR2692" s="3" t="s">
        <v>63</v>
      </c>
      <c r="AS2692" s="3" t="s">
        <v>63</v>
      </c>
      <c r="AT2692" s="3" t="s">
        <v>63</v>
      </c>
      <c r="AU2692" s="6" t="str">
        <f>HYPERLINK("http://catalog.hathitrust.org/Record/001108479","HathiTrust Record")</f>
        <v>HathiTrust Record</v>
      </c>
      <c r="AV2692" s="6" t="str">
        <f>HYPERLINK("http://mcgill.on.worldcat.org/oclc/586380","Catalog Record")</f>
        <v>Catalog Record</v>
      </c>
      <c r="AW2692" s="6" t="str">
        <f>HYPERLINK("http://www.worldcat.org/oclc/586380","WorldCat Record")</f>
        <v>WorldCat Record</v>
      </c>
      <c r="AX2692" s="3" t="s">
        <v>22464</v>
      </c>
      <c r="AY2692" s="3" t="s">
        <v>22465</v>
      </c>
      <c r="AZ2692" s="3" t="s">
        <v>22466</v>
      </c>
      <c r="BA2692" s="3" t="s">
        <v>22466</v>
      </c>
      <c r="BB2692" s="3" t="s">
        <v>22469</v>
      </c>
      <c r="BC2692" s="3" t="s">
        <v>82</v>
      </c>
      <c r="BD2692" s="3" t="s">
        <v>70</v>
      </c>
      <c r="BF2692" s="3" t="s">
        <v>22469</v>
      </c>
      <c r="BG2692" s="3" t="s">
        <v>22470</v>
      </c>
    </row>
    <row r="2693" spans="1:59" ht="60" x14ac:dyDescent="0.25">
      <c r="A2693" s="2" t="s">
        <v>59</v>
      </c>
      <c r="B2693" s="2" t="s">
        <v>60</v>
      </c>
      <c r="C2693" s="2" t="s">
        <v>22471</v>
      </c>
      <c r="D2693" s="2" t="s">
        <v>22472</v>
      </c>
      <c r="E2693" s="2" t="s">
        <v>22473</v>
      </c>
      <c r="G2693" s="3" t="s">
        <v>63</v>
      </c>
      <c r="I2693" s="3" t="s">
        <v>63</v>
      </c>
      <c r="J2693" s="3" t="s">
        <v>62</v>
      </c>
      <c r="K2693" s="3" t="s">
        <v>64</v>
      </c>
      <c r="L2693" s="2" t="s">
        <v>6724</v>
      </c>
      <c r="M2693" s="2" t="s">
        <v>22474</v>
      </c>
      <c r="N2693" s="3" t="s">
        <v>7161</v>
      </c>
      <c r="P2693" s="3" t="s">
        <v>66</v>
      </c>
      <c r="R2693" s="3" t="s">
        <v>67</v>
      </c>
      <c r="S2693" s="4">
        <v>3</v>
      </c>
      <c r="T2693" s="4">
        <v>3</v>
      </c>
      <c r="U2693" s="5" t="s">
        <v>7544</v>
      </c>
      <c r="V2693" s="5" t="s">
        <v>7544</v>
      </c>
      <c r="W2693" s="5" t="s">
        <v>69</v>
      </c>
      <c r="X2693" s="5" t="s">
        <v>69</v>
      </c>
      <c r="Y2693" s="4">
        <v>185</v>
      </c>
      <c r="Z2693" s="4">
        <v>16</v>
      </c>
      <c r="AA2693" s="4">
        <v>36</v>
      </c>
      <c r="AB2693" s="4">
        <v>2</v>
      </c>
      <c r="AC2693" s="4">
        <v>3</v>
      </c>
      <c r="AD2693" s="4">
        <v>68</v>
      </c>
      <c r="AE2693" s="4">
        <v>129</v>
      </c>
      <c r="AF2693" s="4">
        <v>1</v>
      </c>
      <c r="AG2693" s="4">
        <v>2</v>
      </c>
      <c r="AH2693" s="4">
        <v>56</v>
      </c>
      <c r="AI2693" s="4">
        <v>105</v>
      </c>
      <c r="AJ2693" s="4">
        <v>9</v>
      </c>
      <c r="AK2693" s="4">
        <v>21</v>
      </c>
      <c r="AL2693" s="4">
        <v>42</v>
      </c>
      <c r="AM2693" s="4">
        <v>61</v>
      </c>
      <c r="AN2693" s="4">
        <v>0</v>
      </c>
      <c r="AO2693" s="4">
        <v>5</v>
      </c>
      <c r="AP2693" s="4">
        <v>11</v>
      </c>
      <c r="AQ2693" s="4">
        <v>28</v>
      </c>
      <c r="AR2693" s="3" t="s">
        <v>63</v>
      </c>
      <c r="AS2693" s="3" t="s">
        <v>63</v>
      </c>
      <c r="AT2693" s="3" t="s">
        <v>62</v>
      </c>
      <c r="AU2693" s="6" t="str">
        <f>HYPERLINK("http://catalog.hathitrust.org/Record/006094260","HathiTrust Record")</f>
        <v>HathiTrust Record</v>
      </c>
      <c r="AV2693" s="6" t="str">
        <f>HYPERLINK("http://mcgill.on.worldcat.org/oclc/669621","Catalog Record")</f>
        <v>Catalog Record</v>
      </c>
      <c r="AW2693" s="6" t="str">
        <f>HYPERLINK("http://www.worldcat.org/oclc/669621","WorldCat Record")</f>
        <v>WorldCat Record</v>
      </c>
      <c r="AX2693" s="3" t="s">
        <v>22475</v>
      </c>
      <c r="AY2693" s="3" t="s">
        <v>22476</v>
      </c>
      <c r="AZ2693" s="3" t="s">
        <v>22477</v>
      </c>
      <c r="BA2693" s="3" t="s">
        <v>22477</v>
      </c>
      <c r="BB2693" s="3" t="s">
        <v>22478</v>
      </c>
      <c r="BC2693" s="3" t="s">
        <v>82</v>
      </c>
      <c r="BD2693" s="3" t="s">
        <v>70</v>
      </c>
      <c r="BF2693" s="3" t="s">
        <v>22478</v>
      </c>
      <c r="BG2693" s="3" t="s">
        <v>22479</v>
      </c>
    </row>
    <row r="2694" spans="1:59" ht="75" x14ac:dyDescent="0.25">
      <c r="A2694" s="2" t="s">
        <v>59</v>
      </c>
      <c r="B2694" s="2" t="s">
        <v>60</v>
      </c>
      <c r="C2694" s="2" t="s">
        <v>22480</v>
      </c>
      <c r="D2694" s="2" t="s">
        <v>22481</v>
      </c>
      <c r="E2694" s="2" t="s">
        <v>22482</v>
      </c>
      <c r="G2694" s="3" t="s">
        <v>63</v>
      </c>
      <c r="I2694" s="3" t="s">
        <v>63</v>
      </c>
      <c r="J2694" s="3" t="s">
        <v>63</v>
      </c>
      <c r="K2694" s="3" t="s">
        <v>215</v>
      </c>
      <c r="L2694" s="2" t="s">
        <v>6724</v>
      </c>
      <c r="M2694" s="2" t="s">
        <v>22483</v>
      </c>
      <c r="N2694" s="3" t="s">
        <v>731</v>
      </c>
      <c r="P2694" s="3" t="s">
        <v>66</v>
      </c>
      <c r="R2694" s="3" t="s">
        <v>67</v>
      </c>
      <c r="S2694" s="4">
        <v>74</v>
      </c>
      <c r="T2694" s="4">
        <v>74</v>
      </c>
      <c r="U2694" s="5" t="s">
        <v>10834</v>
      </c>
      <c r="V2694" s="5" t="s">
        <v>10834</v>
      </c>
      <c r="W2694" s="5" t="s">
        <v>69</v>
      </c>
      <c r="X2694" s="5" t="s">
        <v>69</v>
      </c>
      <c r="Y2694" s="4">
        <v>103</v>
      </c>
      <c r="Z2694" s="4">
        <v>12</v>
      </c>
      <c r="AA2694" s="4">
        <v>44</v>
      </c>
      <c r="AB2694" s="4">
        <v>2</v>
      </c>
      <c r="AC2694" s="4">
        <v>4</v>
      </c>
      <c r="AD2694" s="4">
        <v>21</v>
      </c>
      <c r="AE2694" s="4">
        <v>124</v>
      </c>
      <c r="AF2694" s="4">
        <v>1</v>
      </c>
      <c r="AG2694" s="4">
        <v>1</v>
      </c>
      <c r="AH2694" s="4">
        <v>17</v>
      </c>
      <c r="AI2694" s="4">
        <v>100</v>
      </c>
      <c r="AJ2694" s="4">
        <v>4</v>
      </c>
      <c r="AK2694" s="4">
        <v>19</v>
      </c>
      <c r="AL2694" s="4">
        <v>9</v>
      </c>
      <c r="AM2694" s="4">
        <v>58</v>
      </c>
      <c r="AN2694" s="4">
        <v>0</v>
      </c>
      <c r="AO2694" s="4">
        <v>2</v>
      </c>
      <c r="AP2694" s="4">
        <v>7</v>
      </c>
      <c r="AQ2694" s="4">
        <v>26</v>
      </c>
      <c r="AR2694" s="3" t="s">
        <v>63</v>
      </c>
      <c r="AS2694" s="3" t="s">
        <v>63</v>
      </c>
      <c r="AT2694" s="3" t="s">
        <v>63</v>
      </c>
      <c r="AV2694" s="6" t="str">
        <f>HYPERLINK("http://mcgill.on.worldcat.org/oclc/12036812","Catalog Record")</f>
        <v>Catalog Record</v>
      </c>
      <c r="AW2694" s="6" t="str">
        <f>HYPERLINK("http://www.worldcat.org/oclc/12036812","WorldCat Record")</f>
        <v>WorldCat Record</v>
      </c>
      <c r="AX2694" s="3" t="s">
        <v>22484</v>
      </c>
      <c r="AY2694" s="3" t="s">
        <v>22485</v>
      </c>
      <c r="AZ2694" s="3" t="s">
        <v>22486</v>
      </c>
      <c r="BA2694" s="3" t="s">
        <v>22486</v>
      </c>
      <c r="BB2694" s="3" t="s">
        <v>22487</v>
      </c>
      <c r="BC2694" s="3" t="s">
        <v>82</v>
      </c>
      <c r="BD2694" s="3" t="s">
        <v>70</v>
      </c>
      <c r="BE2694" s="3" t="s">
        <v>22488</v>
      </c>
      <c r="BF2694" s="3" t="s">
        <v>22487</v>
      </c>
      <c r="BG2694" s="3" t="s">
        <v>22489</v>
      </c>
    </row>
    <row r="2695" spans="1:59" ht="60" x14ac:dyDescent="0.25">
      <c r="A2695" s="2" t="s">
        <v>59</v>
      </c>
      <c r="B2695" s="2" t="s">
        <v>60</v>
      </c>
      <c r="C2695" s="2" t="s">
        <v>22490</v>
      </c>
      <c r="D2695" s="2" t="s">
        <v>22491</v>
      </c>
      <c r="E2695" s="2" t="s">
        <v>22492</v>
      </c>
      <c r="G2695" s="3" t="s">
        <v>63</v>
      </c>
      <c r="I2695" s="3" t="s">
        <v>63</v>
      </c>
      <c r="J2695" s="3" t="s">
        <v>62</v>
      </c>
      <c r="K2695" s="3" t="s">
        <v>11580</v>
      </c>
      <c r="L2695" s="2" t="s">
        <v>6724</v>
      </c>
      <c r="M2695" s="2" t="s">
        <v>22493</v>
      </c>
      <c r="N2695" s="3" t="s">
        <v>1296</v>
      </c>
      <c r="P2695" s="3" t="s">
        <v>66</v>
      </c>
      <c r="R2695" s="3" t="s">
        <v>67</v>
      </c>
      <c r="S2695" s="4">
        <v>15</v>
      </c>
      <c r="T2695" s="4">
        <v>15</v>
      </c>
      <c r="U2695" s="5" t="s">
        <v>16858</v>
      </c>
      <c r="V2695" s="5" t="s">
        <v>16858</v>
      </c>
      <c r="W2695" s="5" t="s">
        <v>69</v>
      </c>
      <c r="X2695" s="5" t="s">
        <v>69</v>
      </c>
      <c r="Y2695" s="4">
        <v>10</v>
      </c>
      <c r="Z2695" s="4">
        <v>3</v>
      </c>
      <c r="AA2695" s="4">
        <v>73</v>
      </c>
      <c r="AB2695" s="4">
        <v>2</v>
      </c>
      <c r="AC2695" s="4">
        <v>8</v>
      </c>
      <c r="AD2695" s="4">
        <v>3</v>
      </c>
      <c r="AE2695" s="4">
        <v>152</v>
      </c>
      <c r="AF2695" s="4">
        <v>0</v>
      </c>
      <c r="AG2695" s="4">
        <v>3</v>
      </c>
      <c r="AH2695" s="4">
        <v>3</v>
      </c>
      <c r="AI2695" s="4">
        <v>114</v>
      </c>
      <c r="AJ2695" s="4">
        <v>0</v>
      </c>
      <c r="AK2695" s="4">
        <v>24</v>
      </c>
      <c r="AL2695" s="4">
        <v>1</v>
      </c>
      <c r="AM2695" s="4">
        <v>63</v>
      </c>
      <c r="AN2695" s="4">
        <v>0</v>
      </c>
      <c r="AO2695" s="4">
        <v>5</v>
      </c>
      <c r="AP2695" s="4">
        <v>0</v>
      </c>
      <c r="AQ2695" s="4">
        <v>42</v>
      </c>
      <c r="AR2695" s="3" t="s">
        <v>63</v>
      </c>
      <c r="AS2695" s="3" t="s">
        <v>63</v>
      </c>
      <c r="AT2695" s="3" t="s">
        <v>63</v>
      </c>
      <c r="AV2695" s="6" t="str">
        <f>HYPERLINK("http://mcgill.on.worldcat.org/oclc/317257844","Catalog Record")</f>
        <v>Catalog Record</v>
      </c>
      <c r="AW2695" s="6" t="str">
        <f>HYPERLINK("http://www.worldcat.org/oclc/317257844","WorldCat Record")</f>
        <v>WorldCat Record</v>
      </c>
      <c r="AX2695" s="3" t="s">
        <v>22494</v>
      </c>
      <c r="AY2695" s="3" t="s">
        <v>22495</v>
      </c>
      <c r="AZ2695" s="3" t="s">
        <v>22496</v>
      </c>
      <c r="BA2695" s="3" t="s">
        <v>22496</v>
      </c>
      <c r="BB2695" s="3" t="s">
        <v>22497</v>
      </c>
      <c r="BC2695" s="3" t="s">
        <v>82</v>
      </c>
      <c r="BD2695" s="3" t="s">
        <v>70</v>
      </c>
      <c r="BF2695" s="3" t="s">
        <v>22497</v>
      </c>
      <c r="BG2695" s="3" t="s">
        <v>22498</v>
      </c>
    </row>
    <row r="2696" spans="1:59" ht="60" x14ac:dyDescent="0.25">
      <c r="A2696" s="2" t="s">
        <v>59</v>
      </c>
      <c r="B2696" s="2" t="s">
        <v>60</v>
      </c>
      <c r="C2696" s="2" t="s">
        <v>22499</v>
      </c>
      <c r="D2696" s="2" t="s">
        <v>22500</v>
      </c>
      <c r="E2696" s="2" t="s">
        <v>22501</v>
      </c>
      <c r="G2696" s="3" t="s">
        <v>63</v>
      </c>
      <c r="I2696" s="3" t="s">
        <v>63</v>
      </c>
      <c r="J2696" s="3" t="s">
        <v>62</v>
      </c>
      <c r="K2696" s="3" t="s">
        <v>64</v>
      </c>
      <c r="L2696" s="2" t="s">
        <v>6724</v>
      </c>
      <c r="M2696" s="2" t="s">
        <v>22502</v>
      </c>
      <c r="N2696" s="3" t="s">
        <v>20121</v>
      </c>
      <c r="P2696" s="3" t="s">
        <v>66</v>
      </c>
      <c r="R2696" s="3" t="s">
        <v>67</v>
      </c>
      <c r="S2696" s="4">
        <v>5</v>
      </c>
      <c r="T2696" s="4">
        <v>5</v>
      </c>
      <c r="U2696" s="5" t="s">
        <v>22503</v>
      </c>
      <c r="V2696" s="5" t="s">
        <v>22503</v>
      </c>
      <c r="W2696" s="5" t="s">
        <v>69</v>
      </c>
      <c r="X2696" s="5" t="s">
        <v>69</v>
      </c>
      <c r="Y2696" s="4">
        <v>108</v>
      </c>
      <c r="Z2696" s="4">
        <v>5</v>
      </c>
      <c r="AA2696" s="4">
        <v>44</v>
      </c>
      <c r="AB2696" s="4">
        <v>1</v>
      </c>
      <c r="AC2696" s="4">
        <v>5</v>
      </c>
      <c r="AD2696" s="4">
        <v>27</v>
      </c>
      <c r="AE2696" s="4">
        <v>126</v>
      </c>
      <c r="AF2696" s="4">
        <v>0</v>
      </c>
      <c r="AG2696" s="4">
        <v>3</v>
      </c>
      <c r="AH2696" s="4">
        <v>25</v>
      </c>
      <c r="AI2696" s="4">
        <v>102</v>
      </c>
      <c r="AJ2696" s="4">
        <v>2</v>
      </c>
      <c r="AK2696" s="4">
        <v>23</v>
      </c>
      <c r="AL2696" s="4">
        <v>13</v>
      </c>
      <c r="AM2696" s="4">
        <v>55</v>
      </c>
      <c r="AN2696" s="4">
        <v>0</v>
      </c>
      <c r="AO2696" s="4">
        <v>0</v>
      </c>
      <c r="AP2696" s="4">
        <v>3</v>
      </c>
      <c r="AQ2696" s="4">
        <v>31</v>
      </c>
      <c r="AR2696" s="3" t="s">
        <v>63</v>
      </c>
      <c r="AS2696" s="3" t="s">
        <v>63</v>
      </c>
      <c r="AT2696" s="3" t="s">
        <v>63</v>
      </c>
      <c r="AV2696" s="6" t="str">
        <f>HYPERLINK("http://mcgill.on.worldcat.org/oclc/2148256","Catalog Record")</f>
        <v>Catalog Record</v>
      </c>
      <c r="AW2696" s="6" t="str">
        <f>HYPERLINK("http://www.worldcat.org/oclc/2148256","WorldCat Record")</f>
        <v>WorldCat Record</v>
      </c>
      <c r="AX2696" s="3" t="s">
        <v>22504</v>
      </c>
      <c r="AY2696" s="3" t="s">
        <v>22505</v>
      </c>
      <c r="AZ2696" s="3" t="s">
        <v>22506</v>
      </c>
      <c r="BA2696" s="3" t="s">
        <v>22506</v>
      </c>
      <c r="BB2696" s="3" t="s">
        <v>22507</v>
      </c>
      <c r="BC2696" s="3" t="s">
        <v>82</v>
      </c>
      <c r="BD2696" s="3" t="s">
        <v>70</v>
      </c>
      <c r="BF2696" s="3" t="s">
        <v>22507</v>
      </c>
      <c r="BG2696" s="3" t="s">
        <v>22508</v>
      </c>
    </row>
    <row r="2697" spans="1:59" ht="60" x14ac:dyDescent="0.25">
      <c r="A2697" s="2" t="s">
        <v>59</v>
      </c>
      <c r="B2697" s="2" t="s">
        <v>60</v>
      </c>
      <c r="C2697" s="2" t="s">
        <v>22509</v>
      </c>
      <c r="D2697" s="2" t="s">
        <v>22510</v>
      </c>
      <c r="E2697" s="2" t="s">
        <v>22511</v>
      </c>
      <c r="G2697" s="3" t="s">
        <v>63</v>
      </c>
      <c r="I2697" s="3" t="s">
        <v>62</v>
      </c>
      <c r="J2697" s="3" t="s">
        <v>62</v>
      </c>
      <c r="K2697" s="3" t="s">
        <v>64</v>
      </c>
      <c r="L2697" s="2" t="s">
        <v>6724</v>
      </c>
      <c r="M2697" s="2" t="s">
        <v>22512</v>
      </c>
      <c r="N2697" s="3" t="s">
        <v>743</v>
      </c>
      <c r="P2697" s="3" t="s">
        <v>66</v>
      </c>
      <c r="R2697" s="3" t="s">
        <v>67</v>
      </c>
      <c r="S2697" s="4">
        <v>4</v>
      </c>
      <c r="T2697" s="4">
        <v>4</v>
      </c>
      <c r="U2697" s="5" t="s">
        <v>16934</v>
      </c>
      <c r="V2697" s="5" t="s">
        <v>16934</v>
      </c>
      <c r="W2697" s="5" t="s">
        <v>69</v>
      </c>
      <c r="X2697" s="5" t="s">
        <v>69</v>
      </c>
      <c r="Y2697" s="4">
        <v>426</v>
      </c>
      <c r="Z2697" s="4">
        <v>15</v>
      </c>
      <c r="AA2697" s="4">
        <v>44</v>
      </c>
      <c r="AB2697" s="4">
        <v>2</v>
      </c>
      <c r="AC2697" s="4">
        <v>5</v>
      </c>
      <c r="AD2697" s="4">
        <v>67</v>
      </c>
      <c r="AE2697" s="4">
        <v>126</v>
      </c>
      <c r="AF2697" s="4">
        <v>0</v>
      </c>
      <c r="AG2697" s="4">
        <v>3</v>
      </c>
      <c r="AH2697" s="4">
        <v>56</v>
      </c>
      <c r="AI2697" s="4">
        <v>102</v>
      </c>
      <c r="AJ2697" s="4">
        <v>6</v>
      </c>
      <c r="AK2697" s="4">
        <v>23</v>
      </c>
      <c r="AL2697" s="4">
        <v>37</v>
      </c>
      <c r="AM2697" s="4">
        <v>55</v>
      </c>
      <c r="AN2697" s="4">
        <v>0</v>
      </c>
      <c r="AO2697" s="4">
        <v>0</v>
      </c>
      <c r="AP2697" s="4">
        <v>11</v>
      </c>
      <c r="AQ2697" s="4">
        <v>31</v>
      </c>
      <c r="AR2697" s="3" t="s">
        <v>63</v>
      </c>
      <c r="AS2697" s="3" t="s">
        <v>63</v>
      </c>
      <c r="AT2697" s="3" t="s">
        <v>62</v>
      </c>
      <c r="AU2697" s="6" t="str">
        <f>HYPERLINK("http://catalog.hathitrust.org/Record/000005741","HathiTrust Record")</f>
        <v>HathiTrust Record</v>
      </c>
      <c r="AV2697" s="6" t="str">
        <f>HYPERLINK("http://mcgill.on.worldcat.org/oclc/410486","Catalog Record")</f>
        <v>Catalog Record</v>
      </c>
      <c r="AW2697" s="6" t="str">
        <f>HYPERLINK("http://www.worldcat.org/oclc/410486","WorldCat Record")</f>
        <v>WorldCat Record</v>
      </c>
      <c r="AX2697" s="3" t="s">
        <v>22504</v>
      </c>
      <c r="AY2697" s="3" t="s">
        <v>22513</v>
      </c>
      <c r="AZ2697" s="3" t="s">
        <v>22514</v>
      </c>
      <c r="BA2697" s="3" t="s">
        <v>22514</v>
      </c>
      <c r="BB2697" s="3" t="s">
        <v>22515</v>
      </c>
      <c r="BC2697" s="3" t="s">
        <v>82</v>
      </c>
      <c r="BD2697" s="3" t="s">
        <v>70</v>
      </c>
      <c r="BE2697" s="3" t="s">
        <v>22516</v>
      </c>
      <c r="BF2697" s="3" t="s">
        <v>22515</v>
      </c>
      <c r="BG2697" s="3" t="s">
        <v>22517</v>
      </c>
    </row>
    <row r="2698" spans="1:59" ht="60" x14ac:dyDescent="0.25">
      <c r="A2698" s="2" t="s">
        <v>59</v>
      </c>
      <c r="B2698" s="2" t="s">
        <v>60</v>
      </c>
      <c r="C2698" s="2" t="s">
        <v>22518</v>
      </c>
      <c r="D2698" s="2" t="s">
        <v>22519</v>
      </c>
      <c r="E2698" s="2" t="s">
        <v>22520</v>
      </c>
      <c r="G2698" s="3" t="s">
        <v>63</v>
      </c>
      <c r="I2698" s="3" t="s">
        <v>63</v>
      </c>
      <c r="J2698" s="3" t="s">
        <v>63</v>
      </c>
      <c r="K2698" s="3" t="s">
        <v>64</v>
      </c>
      <c r="L2698" s="2" t="s">
        <v>22521</v>
      </c>
      <c r="M2698" s="2" t="s">
        <v>22522</v>
      </c>
      <c r="N2698" s="3" t="s">
        <v>1113</v>
      </c>
      <c r="P2698" s="3" t="s">
        <v>66</v>
      </c>
      <c r="R2698" s="3" t="s">
        <v>67</v>
      </c>
      <c r="S2698" s="4">
        <v>9</v>
      </c>
      <c r="T2698" s="4">
        <v>9</v>
      </c>
      <c r="U2698" s="5" t="s">
        <v>6068</v>
      </c>
      <c r="V2698" s="5" t="s">
        <v>6068</v>
      </c>
      <c r="W2698" s="5" t="s">
        <v>69</v>
      </c>
      <c r="X2698" s="5" t="s">
        <v>69</v>
      </c>
      <c r="Y2698" s="4">
        <v>221</v>
      </c>
      <c r="Z2698" s="4">
        <v>13</v>
      </c>
      <c r="AA2698" s="4">
        <v>18</v>
      </c>
      <c r="AB2698" s="4">
        <v>1</v>
      </c>
      <c r="AC2698" s="4">
        <v>1</v>
      </c>
      <c r="AD2698" s="4">
        <v>78</v>
      </c>
      <c r="AE2698" s="4">
        <v>85</v>
      </c>
      <c r="AF2698" s="4">
        <v>0</v>
      </c>
      <c r="AG2698" s="4">
        <v>0</v>
      </c>
      <c r="AH2698" s="4">
        <v>71</v>
      </c>
      <c r="AI2698" s="4">
        <v>76</v>
      </c>
      <c r="AJ2698" s="4">
        <v>10</v>
      </c>
      <c r="AK2698" s="4">
        <v>11</v>
      </c>
      <c r="AL2698" s="4">
        <v>40</v>
      </c>
      <c r="AM2698" s="4">
        <v>43</v>
      </c>
      <c r="AN2698" s="4">
        <v>0</v>
      </c>
      <c r="AO2698" s="4">
        <v>0</v>
      </c>
      <c r="AP2698" s="4">
        <v>11</v>
      </c>
      <c r="AQ2698" s="4">
        <v>14</v>
      </c>
      <c r="AR2698" s="3" t="s">
        <v>63</v>
      </c>
      <c r="AS2698" s="3" t="s">
        <v>63</v>
      </c>
      <c r="AT2698" s="3" t="s">
        <v>63</v>
      </c>
      <c r="AV2698" s="6" t="str">
        <f>HYPERLINK("http://mcgill.on.worldcat.org/oclc/34967871","Catalog Record")</f>
        <v>Catalog Record</v>
      </c>
      <c r="AW2698" s="6" t="str">
        <f>HYPERLINK("http://www.worldcat.org/oclc/34967871","WorldCat Record")</f>
        <v>WorldCat Record</v>
      </c>
      <c r="AX2698" s="3" t="s">
        <v>22523</v>
      </c>
      <c r="AY2698" s="3" t="s">
        <v>22524</v>
      </c>
      <c r="AZ2698" s="3" t="s">
        <v>22525</v>
      </c>
      <c r="BA2698" s="3" t="s">
        <v>22525</v>
      </c>
      <c r="BB2698" s="3" t="s">
        <v>22526</v>
      </c>
      <c r="BC2698" s="3" t="s">
        <v>82</v>
      </c>
      <c r="BD2698" s="3" t="s">
        <v>70</v>
      </c>
      <c r="BE2698" s="3" t="s">
        <v>22527</v>
      </c>
      <c r="BF2698" s="3" t="s">
        <v>22526</v>
      </c>
      <c r="BG2698" s="3" t="s">
        <v>22528</v>
      </c>
    </row>
    <row r="2699" spans="1:59" ht="60" x14ac:dyDescent="0.25">
      <c r="A2699" s="2" t="s">
        <v>59</v>
      </c>
      <c r="B2699" s="2" t="s">
        <v>60</v>
      </c>
      <c r="C2699" s="2" t="s">
        <v>22529</v>
      </c>
      <c r="D2699" s="2" t="s">
        <v>22530</v>
      </c>
      <c r="E2699" s="2" t="s">
        <v>22531</v>
      </c>
      <c r="G2699" s="3" t="s">
        <v>63</v>
      </c>
      <c r="I2699" s="3" t="s">
        <v>63</v>
      </c>
      <c r="J2699" s="3" t="s">
        <v>63</v>
      </c>
      <c r="K2699" s="3" t="s">
        <v>64</v>
      </c>
      <c r="L2699" s="2" t="s">
        <v>6341</v>
      </c>
      <c r="M2699" s="2" t="s">
        <v>22532</v>
      </c>
      <c r="N2699" s="3" t="s">
        <v>629</v>
      </c>
      <c r="P2699" s="3" t="s">
        <v>90</v>
      </c>
      <c r="R2699" s="3" t="s">
        <v>67</v>
      </c>
      <c r="S2699" s="4">
        <v>0</v>
      </c>
      <c r="T2699" s="4">
        <v>0</v>
      </c>
      <c r="W2699" s="5" t="s">
        <v>69</v>
      </c>
      <c r="X2699" s="5" t="s">
        <v>69</v>
      </c>
      <c r="Y2699" s="4">
        <v>60</v>
      </c>
      <c r="Z2699" s="4">
        <v>7</v>
      </c>
      <c r="AA2699" s="4">
        <v>7</v>
      </c>
      <c r="AB2699" s="4">
        <v>1</v>
      </c>
      <c r="AC2699" s="4">
        <v>1</v>
      </c>
      <c r="AD2699" s="4">
        <v>26</v>
      </c>
      <c r="AE2699" s="4">
        <v>26</v>
      </c>
      <c r="AF2699" s="4">
        <v>0</v>
      </c>
      <c r="AG2699" s="4">
        <v>0</v>
      </c>
      <c r="AH2699" s="4">
        <v>25</v>
      </c>
      <c r="AI2699" s="4">
        <v>25</v>
      </c>
      <c r="AJ2699" s="4">
        <v>3</v>
      </c>
      <c r="AK2699" s="4">
        <v>3</v>
      </c>
      <c r="AL2699" s="4">
        <v>18</v>
      </c>
      <c r="AM2699" s="4">
        <v>18</v>
      </c>
      <c r="AN2699" s="4">
        <v>0</v>
      </c>
      <c r="AO2699" s="4">
        <v>0</v>
      </c>
      <c r="AP2699" s="4">
        <v>3</v>
      </c>
      <c r="AQ2699" s="4">
        <v>3</v>
      </c>
      <c r="AR2699" s="3" t="s">
        <v>63</v>
      </c>
      <c r="AS2699" s="3" t="s">
        <v>63</v>
      </c>
      <c r="AT2699" s="3" t="s">
        <v>63</v>
      </c>
      <c r="AV2699" s="6" t="str">
        <f>HYPERLINK("http://mcgill.on.worldcat.org/oclc/719860354","Catalog Record")</f>
        <v>Catalog Record</v>
      </c>
      <c r="AW2699" s="6" t="str">
        <f>HYPERLINK("http://www.worldcat.org/oclc/719860354","WorldCat Record")</f>
        <v>WorldCat Record</v>
      </c>
      <c r="AX2699" s="3" t="s">
        <v>22533</v>
      </c>
      <c r="AY2699" s="3" t="s">
        <v>22534</v>
      </c>
      <c r="AZ2699" s="3" t="s">
        <v>22535</v>
      </c>
      <c r="BA2699" s="3" t="s">
        <v>22535</v>
      </c>
      <c r="BB2699" s="3" t="s">
        <v>22536</v>
      </c>
      <c r="BC2699" s="3" t="s">
        <v>82</v>
      </c>
      <c r="BD2699" s="3" t="s">
        <v>70</v>
      </c>
      <c r="BE2699" s="3" t="s">
        <v>22537</v>
      </c>
      <c r="BF2699" s="3" t="s">
        <v>22536</v>
      </c>
      <c r="BG2699" s="3" t="s">
        <v>22538</v>
      </c>
    </row>
    <row r="2700" spans="1:59" ht="60" x14ac:dyDescent="0.25">
      <c r="A2700" s="2" t="s">
        <v>59</v>
      </c>
      <c r="B2700" s="2" t="s">
        <v>60</v>
      </c>
      <c r="C2700" s="2" t="s">
        <v>22539</v>
      </c>
      <c r="D2700" s="2" t="s">
        <v>22540</v>
      </c>
      <c r="E2700" s="2" t="s">
        <v>22541</v>
      </c>
      <c r="G2700" s="3" t="s">
        <v>63</v>
      </c>
      <c r="I2700" s="3" t="s">
        <v>62</v>
      </c>
      <c r="J2700" s="3" t="s">
        <v>63</v>
      </c>
      <c r="K2700" s="3" t="s">
        <v>64</v>
      </c>
      <c r="L2700" s="2" t="s">
        <v>22542</v>
      </c>
      <c r="M2700" s="2" t="s">
        <v>22543</v>
      </c>
      <c r="N2700" s="3" t="s">
        <v>1046</v>
      </c>
      <c r="P2700" s="3" t="s">
        <v>66</v>
      </c>
      <c r="R2700" s="3" t="s">
        <v>67</v>
      </c>
      <c r="S2700" s="4">
        <v>10</v>
      </c>
      <c r="T2700" s="4">
        <v>17</v>
      </c>
      <c r="U2700" s="5" t="s">
        <v>22544</v>
      </c>
      <c r="V2700" s="5" t="s">
        <v>6068</v>
      </c>
      <c r="W2700" s="5" t="s">
        <v>69</v>
      </c>
      <c r="X2700" s="5" t="s">
        <v>69</v>
      </c>
      <c r="Y2700" s="4">
        <v>617</v>
      </c>
      <c r="Z2700" s="4">
        <v>26</v>
      </c>
      <c r="AA2700" s="4">
        <v>30</v>
      </c>
      <c r="AB2700" s="4">
        <v>2</v>
      </c>
      <c r="AC2700" s="4">
        <v>3</v>
      </c>
      <c r="AD2700" s="4">
        <v>106</v>
      </c>
      <c r="AE2700" s="4">
        <v>118</v>
      </c>
      <c r="AF2700" s="4">
        <v>1</v>
      </c>
      <c r="AG2700" s="4">
        <v>2</v>
      </c>
      <c r="AH2700" s="4">
        <v>95</v>
      </c>
      <c r="AI2700" s="4">
        <v>104</v>
      </c>
      <c r="AJ2700" s="4">
        <v>18</v>
      </c>
      <c r="AK2700" s="4">
        <v>19</v>
      </c>
      <c r="AL2700" s="4">
        <v>52</v>
      </c>
      <c r="AM2700" s="4">
        <v>53</v>
      </c>
      <c r="AN2700" s="4">
        <v>0</v>
      </c>
      <c r="AO2700" s="4">
        <v>5</v>
      </c>
      <c r="AP2700" s="4">
        <v>22</v>
      </c>
      <c r="AQ2700" s="4">
        <v>25</v>
      </c>
      <c r="AR2700" s="3" t="s">
        <v>63</v>
      </c>
      <c r="AS2700" s="3" t="s">
        <v>63</v>
      </c>
      <c r="AT2700" s="3" t="s">
        <v>62</v>
      </c>
      <c r="AU2700" s="6" t="str">
        <f>HYPERLINK("http://catalog.hathitrust.org/Record/000980896","HathiTrust Record")</f>
        <v>HathiTrust Record</v>
      </c>
      <c r="AV2700" s="6" t="str">
        <f>HYPERLINK("http://mcgill.on.worldcat.org/oclc/321078","Catalog Record")</f>
        <v>Catalog Record</v>
      </c>
      <c r="AW2700" s="6" t="str">
        <f>HYPERLINK("http://www.worldcat.org/oclc/321078","WorldCat Record")</f>
        <v>WorldCat Record</v>
      </c>
      <c r="AX2700" s="3" t="s">
        <v>22545</v>
      </c>
      <c r="AY2700" s="3" t="s">
        <v>22546</v>
      </c>
      <c r="AZ2700" s="3" t="s">
        <v>22547</v>
      </c>
      <c r="BA2700" s="3" t="s">
        <v>22547</v>
      </c>
      <c r="BB2700" s="3" t="s">
        <v>22548</v>
      </c>
      <c r="BC2700" s="3" t="s">
        <v>82</v>
      </c>
      <c r="BD2700" s="3" t="s">
        <v>70</v>
      </c>
      <c r="BF2700" s="3" t="s">
        <v>22548</v>
      </c>
      <c r="BG2700" s="3" t="s">
        <v>22549</v>
      </c>
    </row>
    <row r="2701" spans="1:59" ht="60" x14ac:dyDescent="0.25">
      <c r="A2701" s="2" t="s">
        <v>59</v>
      </c>
      <c r="B2701" s="2" t="s">
        <v>60</v>
      </c>
      <c r="C2701" s="2" t="s">
        <v>22539</v>
      </c>
      <c r="D2701" s="2" t="s">
        <v>22540</v>
      </c>
      <c r="E2701" s="2" t="s">
        <v>22541</v>
      </c>
      <c r="G2701" s="3" t="s">
        <v>63</v>
      </c>
      <c r="I2701" s="3" t="s">
        <v>62</v>
      </c>
      <c r="J2701" s="3" t="s">
        <v>63</v>
      </c>
      <c r="K2701" s="3" t="s">
        <v>64</v>
      </c>
      <c r="L2701" s="2" t="s">
        <v>22542</v>
      </c>
      <c r="M2701" s="2" t="s">
        <v>22543</v>
      </c>
      <c r="N2701" s="3" t="s">
        <v>1046</v>
      </c>
      <c r="P2701" s="3" t="s">
        <v>66</v>
      </c>
      <c r="R2701" s="3" t="s">
        <v>67</v>
      </c>
      <c r="S2701" s="4">
        <v>7</v>
      </c>
      <c r="T2701" s="4">
        <v>17</v>
      </c>
      <c r="U2701" s="5" t="s">
        <v>6068</v>
      </c>
      <c r="V2701" s="5" t="s">
        <v>6068</v>
      </c>
      <c r="W2701" s="5" t="s">
        <v>69</v>
      </c>
      <c r="X2701" s="5" t="s">
        <v>69</v>
      </c>
      <c r="Y2701" s="4">
        <v>617</v>
      </c>
      <c r="Z2701" s="4">
        <v>26</v>
      </c>
      <c r="AA2701" s="4">
        <v>30</v>
      </c>
      <c r="AB2701" s="4">
        <v>2</v>
      </c>
      <c r="AC2701" s="4">
        <v>3</v>
      </c>
      <c r="AD2701" s="4">
        <v>106</v>
      </c>
      <c r="AE2701" s="4">
        <v>118</v>
      </c>
      <c r="AF2701" s="4">
        <v>1</v>
      </c>
      <c r="AG2701" s="4">
        <v>2</v>
      </c>
      <c r="AH2701" s="4">
        <v>95</v>
      </c>
      <c r="AI2701" s="4">
        <v>104</v>
      </c>
      <c r="AJ2701" s="4">
        <v>18</v>
      </c>
      <c r="AK2701" s="4">
        <v>19</v>
      </c>
      <c r="AL2701" s="4">
        <v>52</v>
      </c>
      <c r="AM2701" s="4">
        <v>53</v>
      </c>
      <c r="AN2701" s="4">
        <v>0</v>
      </c>
      <c r="AO2701" s="4">
        <v>5</v>
      </c>
      <c r="AP2701" s="4">
        <v>22</v>
      </c>
      <c r="AQ2701" s="4">
        <v>25</v>
      </c>
      <c r="AR2701" s="3" t="s">
        <v>63</v>
      </c>
      <c r="AS2701" s="3" t="s">
        <v>63</v>
      </c>
      <c r="AT2701" s="3" t="s">
        <v>62</v>
      </c>
      <c r="AU2701" s="6" t="str">
        <f>HYPERLINK("http://catalog.hathitrust.org/Record/000980896","HathiTrust Record")</f>
        <v>HathiTrust Record</v>
      </c>
      <c r="AV2701" s="6" t="str">
        <f>HYPERLINK("http://mcgill.on.worldcat.org/oclc/321078","Catalog Record")</f>
        <v>Catalog Record</v>
      </c>
      <c r="AW2701" s="6" t="str">
        <f>HYPERLINK("http://www.worldcat.org/oclc/321078","WorldCat Record")</f>
        <v>WorldCat Record</v>
      </c>
      <c r="AX2701" s="3" t="s">
        <v>22545</v>
      </c>
      <c r="AY2701" s="3" t="s">
        <v>22546</v>
      </c>
      <c r="AZ2701" s="3" t="s">
        <v>22547</v>
      </c>
      <c r="BA2701" s="3" t="s">
        <v>22547</v>
      </c>
      <c r="BB2701" s="3" t="s">
        <v>22550</v>
      </c>
      <c r="BC2701" s="3" t="s">
        <v>82</v>
      </c>
      <c r="BD2701" s="3" t="s">
        <v>70</v>
      </c>
      <c r="BF2701" s="3" t="s">
        <v>22550</v>
      </c>
      <c r="BG2701" s="3" t="s">
        <v>22551</v>
      </c>
    </row>
    <row r="2702" spans="1:59" ht="60" x14ac:dyDescent="0.25">
      <c r="A2702" s="2" t="s">
        <v>59</v>
      </c>
      <c r="B2702" s="2" t="s">
        <v>60</v>
      </c>
      <c r="C2702" s="2" t="s">
        <v>22552</v>
      </c>
      <c r="D2702" s="2" t="s">
        <v>22553</v>
      </c>
      <c r="E2702" s="2" t="s">
        <v>22554</v>
      </c>
      <c r="G2702" s="3" t="s">
        <v>63</v>
      </c>
      <c r="I2702" s="3" t="s">
        <v>63</v>
      </c>
      <c r="J2702" s="3" t="s">
        <v>63</v>
      </c>
      <c r="K2702" s="3" t="s">
        <v>64</v>
      </c>
      <c r="L2702" s="2" t="s">
        <v>22555</v>
      </c>
      <c r="M2702" s="2" t="s">
        <v>22556</v>
      </c>
      <c r="N2702" s="3" t="s">
        <v>2283</v>
      </c>
      <c r="P2702" s="3" t="s">
        <v>66</v>
      </c>
      <c r="R2702" s="3" t="s">
        <v>67</v>
      </c>
      <c r="S2702" s="4">
        <v>12</v>
      </c>
      <c r="T2702" s="4">
        <v>12</v>
      </c>
      <c r="U2702" s="5" t="s">
        <v>6068</v>
      </c>
      <c r="V2702" s="5" t="s">
        <v>6068</v>
      </c>
      <c r="W2702" s="5" t="s">
        <v>69</v>
      </c>
      <c r="X2702" s="5" t="s">
        <v>69</v>
      </c>
      <c r="Y2702" s="4">
        <v>239</v>
      </c>
      <c r="Z2702" s="4">
        <v>11</v>
      </c>
      <c r="AA2702" s="4">
        <v>19</v>
      </c>
      <c r="AB2702" s="4">
        <v>1</v>
      </c>
      <c r="AC2702" s="4">
        <v>1</v>
      </c>
      <c r="AD2702" s="4">
        <v>76</v>
      </c>
      <c r="AE2702" s="4">
        <v>90</v>
      </c>
      <c r="AF2702" s="4">
        <v>0</v>
      </c>
      <c r="AG2702" s="4">
        <v>0</v>
      </c>
      <c r="AH2702" s="4">
        <v>71</v>
      </c>
      <c r="AI2702" s="4">
        <v>82</v>
      </c>
      <c r="AJ2702" s="4">
        <v>8</v>
      </c>
      <c r="AK2702" s="4">
        <v>15</v>
      </c>
      <c r="AL2702" s="4">
        <v>43</v>
      </c>
      <c r="AM2702" s="4">
        <v>46</v>
      </c>
      <c r="AN2702" s="4">
        <v>0</v>
      </c>
      <c r="AO2702" s="4">
        <v>0</v>
      </c>
      <c r="AP2702" s="4">
        <v>8</v>
      </c>
      <c r="AQ2702" s="4">
        <v>16</v>
      </c>
      <c r="AR2702" s="3" t="s">
        <v>63</v>
      </c>
      <c r="AS2702" s="3" t="s">
        <v>63</v>
      </c>
      <c r="AT2702" s="3" t="s">
        <v>63</v>
      </c>
      <c r="AV2702" s="6" t="str">
        <f>HYPERLINK("http://mcgill.on.worldcat.org/oclc/709810","Catalog Record")</f>
        <v>Catalog Record</v>
      </c>
      <c r="AW2702" s="6" t="str">
        <f>HYPERLINK("http://www.worldcat.org/oclc/709810","WorldCat Record")</f>
        <v>WorldCat Record</v>
      </c>
      <c r="AX2702" s="3" t="s">
        <v>22557</v>
      </c>
      <c r="AY2702" s="3" t="s">
        <v>22558</v>
      </c>
      <c r="AZ2702" s="3" t="s">
        <v>22559</v>
      </c>
      <c r="BA2702" s="3" t="s">
        <v>22559</v>
      </c>
      <c r="BB2702" s="3" t="s">
        <v>22560</v>
      </c>
      <c r="BC2702" s="3" t="s">
        <v>82</v>
      </c>
      <c r="BD2702" s="3" t="s">
        <v>70</v>
      </c>
      <c r="BF2702" s="3" t="s">
        <v>22560</v>
      </c>
      <c r="BG2702" s="3" t="s">
        <v>22561</v>
      </c>
    </row>
    <row r="2703" spans="1:59" ht="60" x14ac:dyDescent="0.25">
      <c r="A2703" s="2" t="s">
        <v>59</v>
      </c>
      <c r="B2703" s="2" t="s">
        <v>60</v>
      </c>
      <c r="C2703" s="2" t="s">
        <v>22562</v>
      </c>
      <c r="D2703" s="2" t="s">
        <v>22563</v>
      </c>
      <c r="E2703" s="2" t="s">
        <v>22564</v>
      </c>
      <c r="G2703" s="3" t="s">
        <v>63</v>
      </c>
      <c r="I2703" s="3" t="s">
        <v>63</v>
      </c>
      <c r="J2703" s="3" t="s">
        <v>63</v>
      </c>
      <c r="K2703" s="3" t="s">
        <v>64</v>
      </c>
      <c r="L2703" s="2" t="s">
        <v>22565</v>
      </c>
      <c r="M2703" s="2" t="s">
        <v>22566</v>
      </c>
      <c r="N2703" s="3" t="s">
        <v>918</v>
      </c>
      <c r="P2703" s="3" t="s">
        <v>66</v>
      </c>
      <c r="Q2703" s="2" t="s">
        <v>22567</v>
      </c>
      <c r="R2703" s="3" t="s">
        <v>67</v>
      </c>
      <c r="S2703" s="4">
        <v>5</v>
      </c>
      <c r="T2703" s="4">
        <v>5</v>
      </c>
      <c r="U2703" s="5" t="s">
        <v>22568</v>
      </c>
      <c r="V2703" s="5" t="s">
        <v>22568</v>
      </c>
      <c r="W2703" s="5" t="s">
        <v>69</v>
      </c>
      <c r="X2703" s="5" t="s">
        <v>69</v>
      </c>
      <c r="Y2703" s="4">
        <v>768</v>
      </c>
      <c r="Z2703" s="4">
        <v>37</v>
      </c>
      <c r="AA2703" s="4">
        <v>43</v>
      </c>
      <c r="AB2703" s="4">
        <v>3</v>
      </c>
      <c r="AC2703" s="4">
        <v>4</v>
      </c>
      <c r="AD2703" s="4">
        <v>127</v>
      </c>
      <c r="AE2703" s="4">
        <v>134</v>
      </c>
      <c r="AF2703" s="4">
        <v>1</v>
      </c>
      <c r="AG2703" s="4">
        <v>2</v>
      </c>
      <c r="AH2703" s="4">
        <v>106</v>
      </c>
      <c r="AI2703" s="4">
        <v>110</v>
      </c>
      <c r="AJ2703" s="4">
        <v>18</v>
      </c>
      <c r="AK2703" s="4">
        <v>22</v>
      </c>
      <c r="AL2703" s="4">
        <v>59</v>
      </c>
      <c r="AM2703" s="4">
        <v>59</v>
      </c>
      <c r="AN2703" s="4">
        <v>0</v>
      </c>
      <c r="AO2703" s="4">
        <v>2</v>
      </c>
      <c r="AP2703" s="4">
        <v>26</v>
      </c>
      <c r="AQ2703" s="4">
        <v>32</v>
      </c>
      <c r="AR2703" s="3" t="s">
        <v>63</v>
      </c>
      <c r="AS2703" s="3" t="s">
        <v>63</v>
      </c>
      <c r="AT2703" s="3" t="s">
        <v>62</v>
      </c>
      <c r="AU2703" s="6" t="str">
        <f>HYPERLINK("http://catalog.hathitrust.org/Record/001224899","HathiTrust Record")</f>
        <v>HathiTrust Record</v>
      </c>
      <c r="AV2703" s="6" t="str">
        <f>HYPERLINK("http://mcgill.on.worldcat.org/oclc/712610","Catalog Record")</f>
        <v>Catalog Record</v>
      </c>
      <c r="AW2703" s="6" t="str">
        <f>HYPERLINK("http://www.worldcat.org/oclc/712610","WorldCat Record")</f>
        <v>WorldCat Record</v>
      </c>
      <c r="AX2703" s="3" t="s">
        <v>22569</v>
      </c>
      <c r="AY2703" s="3" t="s">
        <v>22570</v>
      </c>
      <c r="AZ2703" s="3" t="s">
        <v>22571</v>
      </c>
      <c r="BA2703" s="3" t="s">
        <v>22571</v>
      </c>
      <c r="BB2703" s="3" t="s">
        <v>22572</v>
      </c>
      <c r="BC2703" s="3" t="s">
        <v>82</v>
      </c>
      <c r="BD2703" s="3" t="s">
        <v>70</v>
      </c>
      <c r="BF2703" s="3" t="s">
        <v>22572</v>
      </c>
      <c r="BG2703" s="3" t="s">
        <v>22573</v>
      </c>
    </row>
    <row r="2704" spans="1:59" ht="60" x14ac:dyDescent="0.25">
      <c r="A2704" s="2" t="s">
        <v>59</v>
      </c>
      <c r="B2704" s="2" t="s">
        <v>60</v>
      </c>
      <c r="C2704" s="2" t="s">
        <v>22574</v>
      </c>
      <c r="D2704" s="2" t="s">
        <v>22575</v>
      </c>
      <c r="E2704" s="2" t="s">
        <v>22576</v>
      </c>
      <c r="G2704" s="3" t="s">
        <v>63</v>
      </c>
      <c r="I2704" s="3" t="s">
        <v>63</v>
      </c>
      <c r="J2704" s="3" t="s">
        <v>63</v>
      </c>
      <c r="K2704" s="3" t="s">
        <v>64</v>
      </c>
      <c r="L2704" s="2" t="s">
        <v>22577</v>
      </c>
      <c r="M2704" s="2" t="s">
        <v>22578</v>
      </c>
      <c r="N2704" s="3" t="s">
        <v>65</v>
      </c>
      <c r="P2704" s="3" t="s">
        <v>66</v>
      </c>
      <c r="R2704" s="3" t="s">
        <v>67</v>
      </c>
      <c r="S2704" s="4">
        <v>3</v>
      </c>
      <c r="T2704" s="4">
        <v>3</v>
      </c>
      <c r="U2704" s="5" t="s">
        <v>11173</v>
      </c>
      <c r="V2704" s="5" t="s">
        <v>11173</v>
      </c>
      <c r="W2704" s="5" t="s">
        <v>69</v>
      </c>
      <c r="X2704" s="5" t="s">
        <v>69</v>
      </c>
      <c r="Y2704" s="4">
        <v>175</v>
      </c>
      <c r="Z2704" s="4">
        <v>14</v>
      </c>
      <c r="AA2704" s="4">
        <v>14</v>
      </c>
      <c r="AB2704" s="4">
        <v>1</v>
      </c>
      <c r="AC2704" s="4">
        <v>1</v>
      </c>
      <c r="AD2704" s="4">
        <v>82</v>
      </c>
      <c r="AE2704" s="4">
        <v>82</v>
      </c>
      <c r="AF2704" s="4">
        <v>0</v>
      </c>
      <c r="AG2704" s="4">
        <v>0</v>
      </c>
      <c r="AH2704" s="4">
        <v>73</v>
      </c>
      <c r="AI2704" s="4">
        <v>73</v>
      </c>
      <c r="AJ2704" s="4">
        <v>12</v>
      </c>
      <c r="AK2704" s="4">
        <v>12</v>
      </c>
      <c r="AL2704" s="4">
        <v>42</v>
      </c>
      <c r="AM2704" s="4">
        <v>42</v>
      </c>
      <c r="AN2704" s="4">
        <v>0</v>
      </c>
      <c r="AO2704" s="4">
        <v>0</v>
      </c>
      <c r="AP2704" s="4">
        <v>12</v>
      </c>
      <c r="AQ2704" s="4">
        <v>12</v>
      </c>
      <c r="AR2704" s="3" t="s">
        <v>63</v>
      </c>
      <c r="AS2704" s="3" t="s">
        <v>63</v>
      </c>
      <c r="AT2704" s="3" t="s">
        <v>63</v>
      </c>
      <c r="AV2704" s="6" t="str">
        <f>HYPERLINK("http://mcgill.on.worldcat.org/oclc/4528679","Catalog Record")</f>
        <v>Catalog Record</v>
      </c>
      <c r="AW2704" s="6" t="str">
        <f>HYPERLINK("http://www.worldcat.org/oclc/4528679","WorldCat Record")</f>
        <v>WorldCat Record</v>
      </c>
      <c r="AX2704" s="3" t="s">
        <v>22579</v>
      </c>
      <c r="AY2704" s="3" t="s">
        <v>22580</v>
      </c>
      <c r="AZ2704" s="3" t="s">
        <v>22581</v>
      </c>
      <c r="BA2704" s="3" t="s">
        <v>22581</v>
      </c>
      <c r="BB2704" s="3" t="s">
        <v>22582</v>
      </c>
      <c r="BC2704" s="3" t="s">
        <v>82</v>
      </c>
      <c r="BD2704" s="3" t="s">
        <v>70</v>
      </c>
      <c r="BE2704" s="3" t="s">
        <v>22583</v>
      </c>
      <c r="BF2704" s="3" t="s">
        <v>22582</v>
      </c>
      <c r="BG2704" s="3" t="s">
        <v>22584</v>
      </c>
    </row>
    <row r="2705" spans="1:59" ht="60" x14ac:dyDescent="0.25">
      <c r="A2705" s="2" t="s">
        <v>59</v>
      </c>
      <c r="B2705" s="2" t="s">
        <v>60</v>
      </c>
      <c r="C2705" s="2" t="s">
        <v>22585</v>
      </c>
      <c r="D2705" s="2" t="s">
        <v>22586</v>
      </c>
      <c r="E2705" s="2" t="s">
        <v>22587</v>
      </c>
      <c r="G2705" s="3" t="s">
        <v>63</v>
      </c>
      <c r="I2705" s="3" t="s">
        <v>63</v>
      </c>
      <c r="J2705" s="3" t="s">
        <v>63</v>
      </c>
      <c r="K2705" s="3" t="s">
        <v>64</v>
      </c>
      <c r="L2705" s="2" t="s">
        <v>22588</v>
      </c>
      <c r="M2705" s="2" t="s">
        <v>22589</v>
      </c>
      <c r="N2705" s="3" t="s">
        <v>76</v>
      </c>
      <c r="P2705" s="3" t="s">
        <v>90</v>
      </c>
      <c r="R2705" s="3" t="s">
        <v>67</v>
      </c>
      <c r="S2705" s="4">
        <v>0</v>
      </c>
      <c r="T2705" s="4">
        <v>0</v>
      </c>
      <c r="W2705" s="5" t="s">
        <v>69</v>
      </c>
      <c r="X2705" s="5" t="s">
        <v>69</v>
      </c>
      <c r="Y2705" s="4">
        <v>30</v>
      </c>
      <c r="Z2705" s="4">
        <v>3</v>
      </c>
      <c r="AA2705" s="4">
        <v>3</v>
      </c>
      <c r="AB2705" s="4">
        <v>1</v>
      </c>
      <c r="AC2705" s="4">
        <v>1</v>
      </c>
      <c r="AD2705" s="4">
        <v>25</v>
      </c>
      <c r="AE2705" s="4">
        <v>25</v>
      </c>
      <c r="AF2705" s="4">
        <v>0</v>
      </c>
      <c r="AG2705" s="4">
        <v>0</v>
      </c>
      <c r="AH2705" s="4">
        <v>24</v>
      </c>
      <c r="AI2705" s="4">
        <v>24</v>
      </c>
      <c r="AJ2705" s="4">
        <v>2</v>
      </c>
      <c r="AK2705" s="4">
        <v>2</v>
      </c>
      <c r="AL2705" s="4">
        <v>19</v>
      </c>
      <c r="AM2705" s="4">
        <v>19</v>
      </c>
      <c r="AN2705" s="4">
        <v>0</v>
      </c>
      <c r="AO2705" s="4">
        <v>0</v>
      </c>
      <c r="AP2705" s="4">
        <v>2</v>
      </c>
      <c r="AQ2705" s="4">
        <v>2</v>
      </c>
      <c r="AR2705" s="3" t="s">
        <v>63</v>
      </c>
      <c r="AS2705" s="3" t="s">
        <v>63</v>
      </c>
      <c r="AT2705" s="3" t="s">
        <v>63</v>
      </c>
      <c r="AV2705" s="6" t="str">
        <f>HYPERLINK("http://mcgill.on.worldcat.org/oclc/844118645","Catalog Record")</f>
        <v>Catalog Record</v>
      </c>
      <c r="AW2705" s="6" t="str">
        <f>HYPERLINK("http://www.worldcat.org/oclc/844118645","WorldCat Record")</f>
        <v>WorldCat Record</v>
      </c>
      <c r="AX2705" s="3" t="s">
        <v>22590</v>
      </c>
      <c r="AY2705" s="3" t="s">
        <v>22591</v>
      </c>
      <c r="AZ2705" s="3" t="s">
        <v>22592</v>
      </c>
      <c r="BA2705" s="3" t="s">
        <v>22592</v>
      </c>
      <c r="BB2705" s="3" t="s">
        <v>22593</v>
      </c>
      <c r="BC2705" s="3" t="s">
        <v>82</v>
      </c>
      <c r="BD2705" s="3" t="s">
        <v>70</v>
      </c>
      <c r="BE2705" s="3" t="s">
        <v>22594</v>
      </c>
      <c r="BF2705" s="3" t="s">
        <v>22593</v>
      </c>
      <c r="BG2705" s="3" t="s">
        <v>22595</v>
      </c>
    </row>
    <row r="2706" spans="1:59" ht="60" x14ac:dyDescent="0.25">
      <c r="A2706" s="2" t="s">
        <v>59</v>
      </c>
      <c r="B2706" s="2" t="s">
        <v>60</v>
      </c>
      <c r="C2706" s="2" t="s">
        <v>22596</v>
      </c>
      <c r="D2706" s="2" t="s">
        <v>22597</v>
      </c>
      <c r="E2706" s="2" t="s">
        <v>22598</v>
      </c>
      <c r="F2706" s="3" t="s">
        <v>5544</v>
      </c>
      <c r="G2706" s="3" t="s">
        <v>62</v>
      </c>
      <c r="I2706" s="3" t="s">
        <v>63</v>
      </c>
      <c r="J2706" s="3" t="s">
        <v>63</v>
      </c>
      <c r="K2706" s="3" t="s">
        <v>64</v>
      </c>
      <c r="M2706" s="2" t="s">
        <v>22599</v>
      </c>
      <c r="N2706" s="3" t="s">
        <v>313</v>
      </c>
      <c r="P2706" s="3" t="s">
        <v>90</v>
      </c>
      <c r="R2706" s="3" t="s">
        <v>67</v>
      </c>
      <c r="S2706" s="4">
        <v>0</v>
      </c>
      <c r="T2706" s="4">
        <v>0</v>
      </c>
      <c r="W2706" s="5" t="s">
        <v>69</v>
      </c>
      <c r="X2706" s="5" t="s">
        <v>69</v>
      </c>
      <c r="Y2706" s="4">
        <v>37</v>
      </c>
      <c r="Z2706" s="4">
        <v>6</v>
      </c>
      <c r="AA2706" s="4">
        <v>6</v>
      </c>
      <c r="AB2706" s="4">
        <v>1</v>
      </c>
      <c r="AC2706" s="4">
        <v>1</v>
      </c>
      <c r="AD2706" s="4">
        <v>28</v>
      </c>
      <c r="AE2706" s="4">
        <v>28</v>
      </c>
      <c r="AF2706" s="4">
        <v>0</v>
      </c>
      <c r="AG2706" s="4">
        <v>0</v>
      </c>
      <c r="AH2706" s="4">
        <v>27</v>
      </c>
      <c r="AI2706" s="4">
        <v>27</v>
      </c>
      <c r="AJ2706" s="4">
        <v>4</v>
      </c>
      <c r="AK2706" s="4">
        <v>4</v>
      </c>
      <c r="AL2706" s="4">
        <v>21</v>
      </c>
      <c r="AM2706" s="4">
        <v>21</v>
      </c>
      <c r="AN2706" s="4">
        <v>0</v>
      </c>
      <c r="AO2706" s="4">
        <v>0</v>
      </c>
      <c r="AP2706" s="4">
        <v>4</v>
      </c>
      <c r="AQ2706" s="4">
        <v>4</v>
      </c>
      <c r="AR2706" s="3" t="s">
        <v>63</v>
      </c>
      <c r="AS2706" s="3" t="s">
        <v>63</v>
      </c>
      <c r="AT2706" s="3" t="s">
        <v>63</v>
      </c>
      <c r="AV2706" s="6" t="str">
        <f>HYPERLINK("http://mcgill.on.worldcat.org/oclc/711615091","Catalog Record")</f>
        <v>Catalog Record</v>
      </c>
      <c r="AW2706" s="6" t="str">
        <f>HYPERLINK("http://www.worldcat.org/oclc/711615091","WorldCat Record")</f>
        <v>WorldCat Record</v>
      </c>
      <c r="AX2706" s="3" t="s">
        <v>22600</v>
      </c>
      <c r="AY2706" s="3" t="s">
        <v>22601</v>
      </c>
      <c r="AZ2706" s="3" t="s">
        <v>22602</v>
      </c>
      <c r="BA2706" s="3" t="s">
        <v>22602</v>
      </c>
      <c r="BB2706" s="3" t="s">
        <v>22603</v>
      </c>
      <c r="BC2706" s="3" t="s">
        <v>82</v>
      </c>
      <c r="BD2706" s="3" t="s">
        <v>70</v>
      </c>
      <c r="BE2706" s="3" t="s">
        <v>22604</v>
      </c>
      <c r="BF2706" s="3" t="s">
        <v>22603</v>
      </c>
      <c r="BG2706" s="3" t="s">
        <v>22605</v>
      </c>
    </row>
    <row r="2707" spans="1:59" ht="60" x14ac:dyDescent="0.25">
      <c r="A2707" s="2" t="s">
        <v>59</v>
      </c>
      <c r="B2707" s="2" t="s">
        <v>60</v>
      </c>
      <c r="C2707" s="2" t="s">
        <v>22606</v>
      </c>
      <c r="D2707" s="2" t="s">
        <v>22607</v>
      </c>
      <c r="E2707" s="2" t="s">
        <v>22608</v>
      </c>
      <c r="F2707" s="3" t="s">
        <v>582</v>
      </c>
      <c r="G2707" s="3" t="s">
        <v>62</v>
      </c>
      <c r="I2707" s="3" t="s">
        <v>63</v>
      </c>
      <c r="J2707" s="3" t="s">
        <v>63</v>
      </c>
      <c r="K2707" s="3" t="s">
        <v>64</v>
      </c>
      <c r="L2707" s="2" t="s">
        <v>22609</v>
      </c>
      <c r="M2707" s="2" t="s">
        <v>22610</v>
      </c>
      <c r="N2707" s="3" t="s">
        <v>401</v>
      </c>
      <c r="P2707" s="3" t="s">
        <v>90</v>
      </c>
      <c r="R2707" s="3" t="s">
        <v>67</v>
      </c>
      <c r="S2707" s="4">
        <v>1</v>
      </c>
      <c r="T2707" s="4">
        <v>3</v>
      </c>
      <c r="U2707" s="5" t="s">
        <v>22611</v>
      </c>
      <c r="V2707" s="5" t="s">
        <v>10214</v>
      </c>
      <c r="W2707" s="5" t="s">
        <v>69</v>
      </c>
      <c r="X2707" s="5" t="s">
        <v>69</v>
      </c>
      <c r="Y2707" s="4">
        <v>93</v>
      </c>
      <c r="Z2707" s="4">
        <v>4</v>
      </c>
      <c r="AA2707" s="4">
        <v>4</v>
      </c>
      <c r="AB2707" s="4">
        <v>1</v>
      </c>
      <c r="AC2707" s="4">
        <v>1</v>
      </c>
      <c r="AD2707" s="4">
        <v>47</v>
      </c>
      <c r="AE2707" s="4">
        <v>49</v>
      </c>
      <c r="AF2707" s="4">
        <v>0</v>
      </c>
      <c r="AG2707" s="4">
        <v>0</v>
      </c>
      <c r="AH2707" s="4">
        <v>44</v>
      </c>
      <c r="AI2707" s="4">
        <v>46</v>
      </c>
      <c r="AJ2707" s="4">
        <v>3</v>
      </c>
      <c r="AK2707" s="4">
        <v>3</v>
      </c>
      <c r="AL2707" s="4">
        <v>24</v>
      </c>
      <c r="AM2707" s="4">
        <v>26</v>
      </c>
      <c r="AN2707" s="4">
        <v>0</v>
      </c>
      <c r="AO2707" s="4">
        <v>0</v>
      </c>
      <c r="AP2707" s="4">
        <v>3</v>
      </c>
      <c r="AQ2707" s="4">
        <v>3</v>
      </c>
      <c r="AR2707" s="3" t="s">
        <v>63</v>
      </c>
      <c r="AS2707" s="3" t="s">
        <v>63</v>
      </c>
      <c r="AT2707" s="3" t="s">
        <v>62</v>
      </c>
      <c r="AU2707" s="6" t="str">
        <f>HYPERLINK("http://catalog.hathitrust.org/Record/006704303","HathiTrust Record")</f>
        <v>HathiTrust Record</v>
      </c>
      <c r="AV2707" s="6" t="str">
        <f>HYPERLINK("http://mcgill.on.worldcat.org/oclc/391339","Catalog Record")</f>
        <v>Catalog Record</v>
      </c>
      <c r="AW2707" s="6" t="str">
        <f>HYPERLINK("http://www.worldcat.org/oclc/391339","WorldCat Record")</f>
        <v>WorldCat Record</v>
      </c>
      <c r="AX2707" s="3" t="s">
        <v>22612</v>
      </c>
      <c r="AY2707" s="3" t="s">
        <v>22613</v>
      </c>
      <c r="AZ2707" s="3" t="s">
        <v>22614</v>
      </c>
      <c r="BA2707" s="3" t="s">
        <v>22614</v>
      </c>
      <c r="BB2707" s="3" t="s">
        <v>22615</v>
      </c>
      <c r="BC2707" s="3" t="s">
        <v>82</v>
      </c>
      <c r="BD2707" s="3" t="s">
        <v>70</v>
      </c>
      <c r="BF2707" s="3" t="s">
        <v>22615</v>
      </c>
      <c r="BG2707" s="3" t="s">
        <v>22616</v>
      </c>
    </row>
    <row r="2708" spans="1:59" ht="60" x14ac:dyDescent="0.25">
      <c r="A2708" s="2" t="s">
        <v>59</v>
      </c>
      <c r="B2708" s="2" t="s">
        <v>60</v>
      </c>
      <c r="C2708" s="2" t="s">
        <v>22606</v>
      </c>
      <c r="D2708" s="2" t="s">
        <v>22607</v>
      </c>
      <c r="E2708" s="2" t="s">
        <v>22608</v>
      </c>
      <c r="F2708" s="3" t="s">
        <v>571</v>
      </c>
      <c r="G2708" s="3" t="s">
        <v>62</v>
      </c>
      <c r="I2708" s="3" t="s">
        <v>63</v>
      </c>
      <c r="J2708" s="3" t="s">
        <v>63</v>
      </c>
      <c r="K2708" s="3" t="s">
        <v>64</v>
      </c>
      <c r="L2708" s="2" t="s">
        <v>22609</v>
      </c>
      <c r="M2708" s="2" t="s">
        <v>22610</v>
      </c>
      <c r="N2708" s="3" t="s">
        <v>401</v>
      </c>
      <c r="P2708" s="3" t="s">
        <v>90</v>
      </c>
      <c r="R2708" s="3" t="s">
        <v>67</v>
      </c>
      <c r="S2708" s="4">
        <v>2</v>
      </c>
      <c r="T2708" s="4">
        <v>3</v>
      </c>
      <c r="U2708" s="5" t="s">
        <v>10214</v>
      </c>
      <c r="V2708" s="5" t="s">
        <v>10214</v>
      </c>
      <c r="W2708" s="5" t="s">
        <v>69</v>
      </c>
      <c r="X2708" s="5" t="s">
        <v>69</v>
      </c>
      <c r="Y2708" s="4">
        <v>93</v>
      </c>
      <c r="Z2708" s="4">
        <v>4</v>
      </c>
      <c r="AA2708" s="4">
        <v>4</v>
      </c>
      <c r="AB2708" s="4">
        <v>1</v>
      </c>
      <c r="AC2708" s="4">
        <v>1</v>
      </c>
      <c r="AD2708" s="4">
        <v>47</v>
      </c>
      <c r="AE2708" s="4">
        <v>49</v>
      </c>
      <c r="AF2708" s="4">
        <v>0</v>
      </c>
      <c r="AG2708" s="4">
        <v>0</v>
      </c>
      <c r="AH2708" s="4">
        <v>44</v>
      </c>
      <c r="AI2708" s="4">
        <v>46</v>
      </c>
      <c r="AJ2708" s="4">
        <v>3</v>
      </c>
      <c r="AK2708" s="4">
        <v>3</v>
      </c>
      <c r="AL2708" s="4">
        <v>24</v>
      </c>
      <c r="AM2708" s="4">
        <v>26</v>
      </c>
      <c r="AN2708" s="4">
        <v>0</v>
      </c>
      <c r="AO2708" s="4">
        <v>0</v>
      </c>
      <c r="AP2708" s="4">
        <v>3</v>
      </c>
      <c r="AQ2708" s="4">
        <v>3</v>
      </c>
      <c r="AR2708" s="3" t="s">
        <v>63</v>
      </c>
      <c r="AS2708" s="3" t="s">
        <v>63</v>
      </c>
      <c r="AT2708" s="3" t="s">
        <v>62</v>
      </c>
      <c r="AU2708" s="6" t="str">
        <f>HYPERLINK("http://catalog.hathitrust.org/Record/006704303","HathiTrust Record")</f>
        <v>HathiTrust Record</v>
      </c>
      <c r="AV2708" s="6" t="str">
        <f>HYPERLINK("http://mcgill.on.worldcat.org/oclc/391339","Catalog Record")</f>
        <v>Catalog Record</v>
      </c>
      <c r="AW2708" s="6" t="str">
        <f>HYPERLINK("http://www.worldcat.org/oclc/391339","WorldCat Record")</f>
        <v>WorldCat Record</v>
      </c>
      <c r="AX2708" s="3" t="s">
        <v>22612</v>
      </c>
      <c r="AY2708" s="3" t="s">
        <v>22613</v>
      </c>
      <c r="AZ2708" s="3" t="s">
        <v>22614</v>
      </c>
      <c r="BA2708" s="3" t="s">
        <v>22614</v>
      </c>
      <c r="BB2708" s="3" t="s">
        <v>22617</v>
      </c>
      <c r="BC2708" s="3" t="s">
        <v>82</v>
      </c>
      <c r="BD2708" s="3" t="s">
        <v>70</v>
      </c>
      <c r="BF2708" s="3" t="s">
        <v>22617</v>
      </c>
      <c r="BG2708" s="3" t="s">
        <v>22618</v>
      </c>
    </row>
    <row r="2709" spans="1:59" ht="75" x14ac:dyDescent="0.25">
      <c r="A2709" s="2" t="s">
        <v>59</v>
      </c>
      <c r="B2709" s="2" t="s">
        <v>60</v>
      </c>
      <c r="C2709" s="2" t="s">
        <v>22619</v>
      </c>
      <c r="D2709" s="2" t="s">
        <v>22620</v>
      </c>
      <c r="E2709" s="2" t="s">
        <v>22621</v>
      </c>
      <c r="G2709" s="3" t="s">
        <v>63</v>
      </c>
      <c r="I2709" s="3" t="s">
        <v>63</v>
      </c>
      <c r="J2709" s="3" t="s">
        <v>63</v>
      </c>
      <c r="K2709" s="3" t="s">
        <v>64</v>
      </c>
      <c r="L2709" s="2" t="s">
        <v>22622</v>
      </c>
      <c r="M2709" s="2" t="s">
        <v>22623</v>
      </c>
      <c r="N2709" s="3" t="s">
        <v>362</v>
      </c>
      <c r="P2709" s="3" t="s">
        <v>66</v>
      </c>
      <c r="Q2709" s="2" t="s">
        <v>22624</v>
      </c>
      <c r="R2709" s="3" t="s">
        <v>67</v>
      </c>
      <c r="S2709" s="4">
        <v>8</v>
      </c>
      <c r="T2709" s="4">
        <v>8</v>
      </c>
      <c r="U2709" s="5" t="s">
        <v>22625</v>
      </c>
      <c r="V2709" s="5" t="s">
        <v>22625</v>
      </c>
      <c r="W2709" s="5" t="s">
        <v>69</v>
      </c>
      <c r="X2709" s="5" t="s">
        <v>69</v>
      </c>
      <c r="Y2709" s="4">
        <v>300</v>
      </c>
      <c r="Z2709" s="4">
        <v>11</v>
      </c>
      <c r="AA2709" s="4">
        <v>12</v>
      </c>
      <c r="AB2709" s="4">
        <v>2</v>
      </c>
      <c r="AC2709" s="4">
        <v>2</v>
      </c>
      <c r="AD2709" s="4">
        <v>84</v>
      </c>
      <c r="AE2709" s="4">
        <v>85</v>
      </c>
      <c r="AF2709" s="4">
        <v>0</v>
      </c>
      <c r="AG2709" s="4">
        <v>0</v>
      </c>
      <c r="AH2709" s="4">
        <v>78</v>
      </c>
      <c r="AI2709" s="4">
        <v>78</v>
      </c>
      <c r="AJ2709" s="4">
        <v>6</v>
      </c>
      <c r="AK2709" s="4">
        <v>7</v>
      </c>
      <c r="AL2709" s="4">
        <v>47</v>
      </c>
      <c r="AM2709" s="4">
        <v>47</v>
      </c>
      <c r="AN2709" s="4">
        <v>0</v>
      </c>
      <c r="AO2709" s="4">
        <v>0</v>
      </c>
      <c r="AP2709" s="4">
        <v>8</v>
      </c>
      <c r="AQ2709" s="4">
        <v>9</v>
      </c>
      <c r="AR2709" s="3" t="s">
        <v>63</v>
      </c>
      <c r="AS2709" s="3" t="s">
        <v>63</v>
      </c>
      <c r="AT2709" s="3" t="s">
        <v>63</v>
      </c>
      <c r="AV2709" s="6" t="str">
        <f>HYPERLINK("http://mcgill.on.worldcat.org/oclc/46683619","Catalog Record")</f>
        <v>Catalog Record</v>
      </c>
      <c r="AW2709" s="6" t="str">
        <f>HYPERLINK("http://www.worldcat.org/oclc/46683619","WorldCat Record")</f>
        <v>WorldCat Record</v>
      </c>
      <c r="AX2709" s="3" t="s">
        <v>22626</v>
      </c>
      <c r="AY2709" s="3" t="s">
        <v>22627</v>
      </c>
      <c r="AZ2709" s="3" t="s">
        <v>22628</v>
      </c>
      <c r="BA2709" s="3" t="s">
        <v>22628</v>
      </c>
      <c r="BB2709" s="3" t="s">
        <v>22629</v>
      </c>
      <c r="BC2709" s="3" t="s">
        <v>82</v>
      </c>
      <c r="BD2709" s="3" t="s">
        <v>70</v>
      </c>
      <c r="BE2709" s="3" t="s">
        <v>22630</v>
      </c>
      <c r="BF2709" s="3" t="s">
        <v>22629</v>
      </c>
      <c r="BG2709" s="3" t="s">
        <v>22631</v>
      </c>
    </row>
    <row r="2710" spans="1:59" ht="60" x14ac:dyDescent="0.25">
      <c r="A2710" s="2" t="s">
        <v>59</v>
      </c>
      <c r="B2710" s="2" t="s">
        <v>60</v>
      </c>
      <c r="C2710" s="2" t="s">
        <v>22632</v>
      </c>
      <c r="D2710" s="2" t="s">
        <v>22633</v>
      </c>
      <c r="E2710" s="2" t="s">
        <v>22634</v>
      </c>
      <c r="G2710" s="3" t="s">
        <v>63</v>
      </c>
      <c r="I2710" s="3" t="s">
        <v>63</v>
      </c>
      <c r="J2710" s="3" t="s">
        <v>63</v>
      </c>
      <c r="K2710" s="3" t="s">
        <v>64</v>
      </c>
      <c r="L2710" s="2" t="s">
        <v>22635</v>
      </c>
      <c r="M2710" s="2" t="s">
        <v>22636</v>
      </c>
      <c r="N2710" s="3" t="s">
        <v>9782</v>
      </c>
      <c r="P2710" s="3" t="s">
        <v>90</v>
      </c>
      <c r="R2710" s="3" t="s">
        <v>67</v>
      </c>
      <c r="S2710" s="4">
        <v>3</v>
      </c>
      <c r="T2710" s="4">
        <v>3</v>
      </c>
      <c r="U2710" s="5" t="s">
        <v>22637</v>
      </c>
      <c r="V2710" s="5" t="s">
        <v>22637</v>
      </c>
      <c r="W2710" s="5" t="s">
        <v>69</v>
      </c>
      <c r="X2710" s="5" t="s">
        <v>69</v>
      </c>
      <c r="Y2710" s="4">
        <v>26</v>
      </c>
      <c r="Z2710" s="4">
        <v>1</v>
      </c>
      <c r="AA2710" s="4">
        <v>1</v>
      </c>
      <c r="AB2710" s="4">
        <v>1</v>
      </c>
      <c r="AC2710" s="4">
        <v>1</v>
      </c>
      <c r="AD2710" s="4">
        <v>18</v>
      </c>
      <c r="AE2710" s="4">
        <v>18</v>
      </c>
      <c r="AF2710" s="4">
        <v>0</v>
      </c>
      <c r="AG2710" s="4">
        <v>0</v>
      </c>
      <c r="AH2710" s="4">
        <v>16</v>
      </c>
      <c r="AI2710" s="4">
        <v>16</v>
      </c>
      <c r="AJ2710" s="4">
        <v>0</v>
      </c>
      <c r="AK2710" s="4">
        <v>0</v>
      </c>
      <c r="AL2710" s="4">
        <v>16</v>
      </c>
      <c r="AM2710" s="4">
        <v>16</v>
      </c>
      <c r="AN2710" s="4">
        <v>0</v>
      </c>
      <c r="AO2710" s="4">
        <v>0</v>
      </c>
      <c r="AP2710" s="4">
        <v>0</v>
      </c>
      <c r="AQ2710" s="4">
        <v>0</v>
      </c>
      <c r="AR2710" s="3" t="s">
        <v>63</v>
      </c>
      <c r="AS2710" s="3" t="s">
        <v>63</v>
      </c>
      <c r="AT2710" s="3" t="s">
        <v>62</v>
      </c>
      <c r="AU2710" s="6" t="str">
        <f>HYPERLINK("http://catalog.hathitrust.org/Record/000855498","HathiTrust Record")</f>
        <v>HathiTrust Record</v>
      </c>
      <c r="AV2710" s="6" t="str">
        <f>HYPERLINK("http://mcgill.on.worldcat.org/oclc/6830331","Catalog Record")</f>
        <v>Catalog Record</v>
      </c>
      <c r="AW2710" s="6" t="str">
        <f>HYPERLINK("http://www.worldcat.org/oclc/6830331","WorldCat Record")</f>
        <v>WorldCat Record</v>
      </c>
      <c r="AX2710" s="3" t="s">
        <v>22638</v>
      </c>
      <c r="AY2710" s="3" t="s">
        <v>22639</v>
      </c>
      <c r="AZ2710" s="3" t="s">
        <v>22640</v>
      </c>
      <c r="BA2710" s="3" t="s">
        <v>22640</v>
      </c>
      <c r="BB2710" s="3" t="s">
        <v>22641</v>
      </c>
      <c r="BC2710" s="3" t="s">
        <v>82</v>
      </c>
      <c r="BD2710" s="3" t="s">
        <v>70</v>
      </c>
      <c r="BF2710" s="3" t="s">
        <v>22641</v>
      </c>
      <c r="BG2710" s="3" t="s">
        <v>22642</v>
      </c>
    </row>
    <row r="2711" spans="1:59" ht="60" x14ac:dyDescent="0.25">
      <c r="A2711" s="2" t="s">
        <v>59</v>
      </c>
      <c r="B2711" s="2" t="s">
        <v>60</v>
      </c>
      <c r="C2711" s="2" t="s">
        <v>22643</v>
      </c>
      <c r="D2711" s="2" t="s">
        <v>22644</v>
      </c>
      <c r="E2711" s="2" t="s">
        <v>22645</v>
      </c>
      <c r="F2711" s="3" t="s">
        <v>6376</v>
      </c>
      <c r="G2711" s="3" t="s">
        <v>62</v>
      </c>
      <c r="I2711" s="3" t="s">
        <v>63</v>
      </c>
      <c r="J2711" s="3" t="s">
        <v>63</v>
      </c>
      <c r="K2711" s="3" t="s">
        <v>64</v>
      </c>
      <c r="L2711" s="2" t="s">
        <v>22635</v>
      </c>
      <c r="M2711" s="2" t="s">
        <v>22646</v>
      </c>
      <c r="N2711" s="3" t="s">
        <v>7161</v>
      </c>
      <c r="P2711" s="3" t="s">
        <v>90</v>
      </c>
      <c r="R2711" s="3" t="s">
        <v>67</v>
      </c>
      <c r="S2711" s="4">
        <v>1</v>
      </c>
      <c r="T2711" s="4">
        <v>2</v>
      </c>
      <c r="U2711" s="5" t="s">
        <v>22647</v>
      </c>
      <c r="V2711" s="5" t="s">
        <v>22647</v>
      </c>
      <c r="W2711" s="5" t="s">
        <v>69</v>
      </c>
      <c r="X2711" s="5" t="s">
        <v>69</v>
      </c>
      <c r="Y2711" s="4">
        <v>22</v>
      </c>
      <c r="Z2711" s="4">
        <v>1</v>
      </c>
      <c r="AA2711" s="4">
        <v>1</v>
      </c>
      <c r="AB2711" s="4">
        <v>1</v>
      </c>
      <c r="AC2711" s="4">
        <v>1</v>
      </c>
      <c r="AD2711" s="4">
        <v>16</v>
      </c>
      <c r="AE2711" s="4">
        <v>16</v>
      </c>
      <c r="AF2711" s="4">
        <v>0</v>
      </c>
      <c r="AG2711" s="4">
        <v>0</v>
      </c>
      <c r="AH2711" s="4">
        <v>14</v>
      </c>
      <c r="AI2711" s="4">
        <v>14</v>
      </c>
      <c r="AJ2711" s="4">
        <v>0</v>
      </c>
      <c r="AK2711" s="4">
        <v>0</v>
      </c>
      <c r="AL2711" s="4">
        <v>13</v>
      </c>
      <c r="AM2711" s="4">
        <v>13</v>
      </c>
      <c r="AN2711" s="4">
        <v>0</v>
      </c>
      <c r="AO2711" s="4">
        <v>0</v>
      </c>
      <c r="AP2711" s="4">
        <v>0</v>
      </c>
      <c r="AQ2711" s="4">
        <v>0</v>
      </c>
      <c r="AR2711" s="3" t="s">
        <v>63</v>
      </c>
      <c r="AS2711" s="3" t="s">
        <v>63</v>
      </c>
      <c r="AT2711" s="3" t="s">
        <v>62</v>
      </c>
      <c r="AU2711" s="6" t="str">
        <f>HYPERLINK("http://catalog.hathitrust.org/Record/007872340","HathiTrust Record")</f>
        <v>HathiTrust Record</v>
      </c>
      <c r="AV2711" s="6" t="str">
        <f>HYPERLINK("http://mcgill.on.worldcat.org/oclc/6830321","Catalog Record")</f>
        <v>Catalog Record</v>
      </c>
      <c r="AW2711" s="6" t="str">
        <f>HYPERLINK("http://www.worldcat.org/oclc/6830321","WorldCat Record")</f>
        <v>WorldCat Record</v>
      </c>
      <c r="AX2711" s="3" t="s">
        <v>22648</v>
      </c>
      <c r="AY2711" s="3" t="s">
        <v>22649</v>
      </c>
      <c r="AZ2711" s="3" t="s">
        <v>22650</v>
      </c>
      <c r="BA2711" s="3" t="s">
        <v>22650</v>
      </c>
      <c r="BB2711" s="3" t="s">
        <v>22651</v>
      </c>
      <c r="BC2711" s="3" t="s">
        <v>82</v>
      </c>
      <c r="BD2711" s="3" t="s">
        <v>70</v>
      </c>
      <c r="BF2711" s="3" t="s">
        <v>22651</v>
      </c>
      <c r="BG2711" s="3" t="s">
        <v>22652</v>
      </c>
    </row>
    <row r="2712" spans="1:59" ht="60" x14ac:dyDescent="0.25">
      <c r="A2712" s="2" t="s">
        <v>59</v>
      </c>
      <c r="B2712" s="2" t="s">
        <v>60</v>
      </c>
      <c r="C2712" s="2" t="s">
        <v>22643</v>
      </c>
      <c r="D2712" s="2" t="s">
        <v>22644</v>
      </c>
      <c r="E2712" s="2" t="s">
        <v>22645</v>
      </c>
      <c r="F2712" s="3" t="s">
        <v>6390</v>
      </c>
      <c r="G2712" s="3" t="s">
        <v>62</v>
      </c>
      <c r="I2712" s="3" t="s">
        <v>63</v>
      </c>
      <c r="J2712" s="3" t="s">
        <v>63</v>
      </c>
      <c r="K2712" s="3" t="s">
        <v>64</v>
      </c>
      <c r="L2712" s="2" t="s">
        <v>22635</v>
      </c>
      <c r="M2712" s="2" t="s">
        <v>22646</v>
      </c>
      <c r="N2712" s="3" t="s">
        <v>7161</v>
      </c>
      <c r="P2712" s="3" t="s">
        <v>90</v>
      </c>
      <c r="R2712" s="3" t="s">
        <v>67</v>
      </c>
      <c r="S2712" s="4">
        <v>1</v>
      </c>
      <c r="T2712" s="4">
        <v>2</v>
      </c>
      <c r="U2712" s="5" t="s">
        <v>22647</v>
      </c>
      <c r="V2712" s="5" t="s">
        <v>22647</v>
      </c>
      <c r="W2712" s="5" t="s">
        <v>69</v>
      </c>
      <c r="X2712" s="5" t="s">
        <v>69</v>
      </c>
      <c r="Y2712" s="4">
        <v>22</v>
      </c>
      <c r="Z2712" s="4">
        <v>1</v>
      </c>
      <c r="AA2712" s="4">
        <v>1</v>
      </c>
      <c r="AB2712" s="4">
        <v>1</v>
      </c>
      <c r="AC2712" s="4">
        <v>1</v>
      </c>
      <c r="AD2712" s="4">
        <v>16</v>
      </c>
      <c r="AE2712" s="4">
        <v>16</v>
      </c>
      <c r="AF2712" s="4">
        <v>0</v>
      </c>
      <c r="AG2712" s="4">
        <v>0</v>
      </c>
      <c r="AH2712" s="4">
        <v>14</v>
      </c>
      <c r="AI2712" s="4">
        <v>14</v>
      </c>
      <c r="AJ2712" s="4">
        <v>0</v>
      </c>
      <c r="AK2712" s="4">
        <v>0</v>
      </c>
      <c r="AL2712" s="4">
        <v>13</v>
      </c>
      <c r="AM2712" s="4">
        <v>13</v>
      </c>
      <c r="AN2712" s="4">
        <v>0</v>
      </c>
      <c r="AO2712" s="4">
        <v>0</v>
      </c>
      <c r="AP2712" s="4">
        <v>0</v>
      </c>
      <c r="AQ2712" s="4">
        <v>0</v>
      </c>
      <c r="AR2712" s="3" t="s">
        <v>63</v>
      </c>
      <c r="AS2712" s="3" t="s">
        <v>63</v>
      </c>
      <c r="AT2712" s="3" t="s">
        <v>62</v>
      </c>
      <c r="AU2712" s="6" t="str">
        <f>HYPERLINK("http://catalog.hathitrust.org/Record/007872340","HathiTrust Record")</f>
        <v>HathiTrust Record</v>
      </c>
      <c r="AV2712" s="6" t="str">
        <f>HYPERLINK("http://mcgill.on.worldcat.org/oclc/6830321","Catalog Record")</f>
        <v>Catalog Record</v>
      </c>
      <c r="AW2712" s="6" t="str">
        <f>HYPERLINK("http://www.worldcat.org/oclc/6830321","WorldCat Record")</f>
        <v>WorldCat Record</v>
      </c>
      <c r="AX2712" s="3" t="s">
        <v>22648</v>
      </c>
      <c r="AY2712" s="3" t="s">
        <v>22649</v>
      </c>
      <c r="AZ2712" s="3" t="s">
        <v>22650</v>
      </c>
      <c r="BA2712" s="3" t="s">
        <v>22650</v>
      </c>
      <c r="BB2712" s="3" t="s">
        <v>22653</v>
      </c>
      <c r="BC2712" s="3" t="s">
        <v>82</v>
      </c>
      <c r="BD2712" s="3" t="s">
        <v>70</v>
      </c>
      <c r="BF2712" s="3" t="s">
        <v>22653</v>
      </c>
      <c r="BG2712" s="3" t="s">
        <v>22654</v>
      </c>
    </row>
    <row r="2713" spans="1:59" ht="60" x14ac:dyDescent="0.25">
      <c r="A2713" s="2" t="s">
        <v>59</v>
      </c>
      <c r="B2713" s="2" t="s">
        <v>60</v>
      </c>
      <c r="C2713" s="2" t="s">
        <v>22655</v>
      </c>
      <c r="D2713" s="2" t="s">
        <v>22656</v>
      </c>
      <c r="E2713" s="2" t="s">
        <v>22657</v>
      </c>
      <c r="G2713" s="3" t="s">
        <v>63</v>
      </c>
      <c r="I2713" s="3" t="s">
        <v>63</v>
      </c>
      <c r="J2713" s="3" t="s">
        <v>63</v>
      </c>
      <c r="K2713" s="3" t="s">
        <v>64</v>
      </c>
      <c r="L2713" s="2" t="s">
        <v>22635</v>
      </c>
      <c r="M2713" s="2" t="s">
        <v>22658</v>
      </c>
      <c r="N2713" s="3" t="s">
        <v>1046</v>
      </c>
      <c r="P2713" s="3" t="s">
        <v>90</v>
      </c>
      <c r="R2713" s="3" t="s">
        <v>67</v>
      </c>
      <c r="S2713" s="4">
        <v>1</v>
      </c>
      <c r="T2713" s="4">
        <v>1</v>
      </c>
      <c r="U2713" s="5" t="s">
        <v>22647</v>
      </c>
      <c r="V2713" s="5" t="s">
        <v>22647</v>
      </c>
      <c r="W2713" s="5" t="s">
        <v>69</v>
      </c>
      <c r="X2713" s="5" t="s">
        <v>69</v>
      </c>
      <c r="Y2713" s="4">
        <v>44</v>
      </c>
      <c r="Z2713" s="4">
        <v>2</v>
      </c>
      <c r="AA2713" s="4">
        <v>2</v>
      </c>
      <c r="AB2713" s="4">
        <v>1</v>
      </c>
      <c r="AC2713" s="4">
        <v>1</v>
      </c>
      <c r="AD2713" s="4">
        <v>27</v>
      </c>
      <c r="AE2713" s="4">
        <v>27</v>
      </c>
      <c r="AF2713" s="4">
        <v>0</v>
      </c>
      <c r="AG2713" s="4">
        <v>0</v>
      </c>
      <c r="AH2713" s="4">
        <v>26</v>
      </c>
      <c r="AI2713" s="4">
        <v>26</v>
      </c>
      <c r="AJ2713" s="4">
        <v>1</v>
      </c>
      <c r="AK2713" s="4">
        <v>1</v>
      </c>
      <c r="AL2713" s="4">
        <v>19</v>
      </c>
      <c r="AM2713" s="4">
        <v>19</v>
      </c>
      <c r="AN2713" s="4">
        <v>0</v>
      </c>
      <c r="AO2713" s="4">
        <v>0</v>
      </c>
      <c r="AP2713" s="4">
        <v>1</v>
      </c>
      <c r="AQ2713" s="4">
        <v>1</v>
      </c>
      <c r="AR2713" s="3" t="s">
        <v>63</v>
      </c>
      <c r="AS2713" s="3" t="s">
        <v>63</v>
      </c>
      <c r="AT2713" s="3" t="s">
        <v>62</v>
      </c>
      <c r="AU2713" s="6" t="str">
        <f>HYPERLINK("http://catalog.hathitrust.org/Record/001727335","HathiTrust Record")</f>
        <v>HathiTrust Record</v>
      </c>
      <c r="AV2713" s="6" t="str">
        <f>HYPERLINK("http://mcgill.on.worldcat.org/oclc/6501404","Catalog Record")</f>
        <v>Catalog Record</v>
      </c>
      <c r="AW2713" s="6" t="str">
        <f>HYPERLINK("http://www.worldcat.org/oclc/6501404","WorldCat Record")</f>
        <v>WorldCat Record</v>
      </c>
      <c r="AX2713" s="3" t="s">
        <v>22659</v>
      </c>
      <c r="AY2713" s="3" t="s">
        <v>22660</v>
      </c>
      <c r="AZ2713" s="3" t="s">
        <v>22661</v>
      </c>
      <c r="BA2713" s="3" t="s">
        <v>22661</v>
      </c>
      <c r="BB2713" s="3" t="s">
        <v>22662</v>
      </c>
      <c r="BC2713" s="3" t="s">
        <v>82</v>
      </c>
      <c r="BD2713" s="3" t="s">
        <v>70</v>
      </c>
      <c r="BF2713" s="3" t="s">
        <v>22662</v>
      </c>
      <c r="BG2713" s="3" t="s">
        <v>22663</v>
      </c>
    </row>
    <row r="2714" spans="1:59" ht="60" x14ac:dyDescent="0.25">
      <c r="A2714" s="2" t="s">
        <v>59</v>
      </c>
      <c r="B2714" s="2" t="s">
        <v>60</v>
      </c>
      <c r="C2714" s="2" t="s">
        <v>22664</v>
      </c>
      <c r="D2714" s="2" t="s">
        <v>22665</v>
      </c>
      <c r="E2714" s="2" t="s">
        <v>22666</v>
      </c>
      <c r="F2714" s="3" t="s">
        <v>8673</v>
      </c>
      <c r="G2714" s="3" t="s">
        <v>62</v>
      </c>
      <c r="I2714" s="3" t="s">
        <v>63</v>
      </c>
      <c r="J2714" s="3" t="s">
        <v>63</v>
      </c>
      <c r="K2714" s="3" t="s">
        <v>64</v>
      </c>
      <c r="L2714" s="2" t="s">
        <v>22667</v>
      </c>
      <c r="M2714" s="2" t="s">
        <v>22668</v>
      </c>
      <c r="N2714" s="3" t="s">
        <v>1418</v>
      </c>
      <c r="P2714" s="3" t="s">
        <v>90</v>
      </c>
      <c r="R2714" s="3" t="s">
        <v>67</v>
      </c>
      <c r="S2714" s="4">
        <v>0</v>
      </c>
      <c r="T2714" s="4">
        <v>1</v>
      </c>
      <c r="V2714" s="5" t="s">
        <v>22669</v>
      </c>
      <c r="W2714" s="5" t="s">
        <v>69</v>
      </c>
      <c r="X2714" s="5" t="s">
        <v>69</v>
      </c>
      <c r="Y2714" s="4">
        <v>17</v>
      </c>
      <c r="Z2714" s="4">
        <v>2</v>
      </c>
      <c r="AA2714" s="4">
        <v>4</v>
      </c>
      <c r="AB2714" s="4">
        <v>2</v>
      </c>
      <c r="AC2714" s="4">
        <v>2</v>
      </c>
      <c r="AD2714" s="4">
        <v>11</v>
      </c>
      <c r="AE2714" s="4">
        <v>14</v>
      </c>
      <c r="AF2714" s="4">
        <v>0</v>
      </c>
      <c r="AG2714" s="4">
        <v>0</v>
      </c>
      <c r="AH2714" s="4">
        <v>10</v>
      </c>
      <c r="AI2714" s="4">
        <v>12</v>
      </c>
      <c r="AJ2714" s="4">
        <v>0</v>
      </c>
      <c r="AK2714" s="4">
        <v>2</v>
      </c>
      <c r="AL2714" s="4">
        <v>10</v>
      </c>
      <c r="AM2714" s="4">
        <v>11</v>
      </c>
      <c r="AN2714" s="4">
        <v>0</v>
      </c>
      <c r="AO2714" s="4">
        <v>0</v>
      </c>
      <c r="AP2714" s="4">
        <v>0</v>
      </c>
      <c r="AQ2714" s="4">
        <v>2</v>
      </c>
      <c r="AR2714" s="3" t="s">
        <v>63</v>
      </c>
      <c r="AS2714" s="3" t="s">
        <v>63</v>
      </c>
      <c r="AT2714" s="3" t="s">
        <v>62</v>
      </c>
      <c r="AU2714" s="6" t="str">
        <f>HYPERLINK("http://catalog.hathitrust.org/Record/007854811","HathiTrust Record")</f>
        <v>HathiTrust Record</v>
      </c>
      <c r="AV2714" s="6" t="str">
        <f>HYPERLINK("http://mcgill.on.worldcat.org/oclc/27906299","Catalog Record")</f>
        <v>Catalog Record</v>
      </c>
      <c r="AW2714" s="6" t="str">
        <f>HYPERLINK("http://www.worldcat.org/oclc/27906299","WorldCat Record")</f>
        <v>WorldCat Record</v>
      </c>
      <c r="AX2714" s="3" t="s">
        <v>22670</v>
      </c>
      <c r="AY2714" s="3" t="s">
        <v>22671</v>
      </c>
      <c r="AZ2714" s="3" t="s">
        <v>22672</v>
      </c>
      <c r="BA2714" s="3" t="s">
        <v>22672</v>
      </c>
      <c r="BB2714" s="3" t="s">
        <v>22673</v>
      </c>
      <c r="BC2714" s="3" t="s">
        <v>82</v>
      </c>
      <c r="BD2714" s="3" t="s">
        <v>70</v>
      </c>
      <c r="BF2714" s="3" t="s">
        <v>22673</v>
      </c>
      <c r="BG2714" s="3" t="s">
        <v>22674</v>
      </c>
    </row>
    <row r="2715" spans="1:59" ht="60" x14ac:dyDescent="0.25">
      <c r="A2715" s="2" t="s">
        <v>59</v>
      </c>
      <c r="B2715" s="2" t="s">
        <v>60</v>
      </c>
      <c r="C2715" s="2" t="s">
        <v>22664</v>
      </c>
      <c r="D2715" s="2" t="s">
        <v>22665</v>
      </c>
      <c r="E2715" s="2" t="s">
        <v>22666</v>
      </c>
      <c r="F2715" s="3" t="s">
        <v>8664</v>
      </c>
      <c r="G2715" s="3" t="s">
        <v>62</v>
      </c>
      <c r="I2715" s="3" t="s">
        <v>63</v>
      </c>
      <c r="J2715" s="3" t="s">
        <v>63</v>
      </c>
      <c r="K2715" s="3" t="s">
        <v>64</v>
      </c>
      <c r="L2715" s="2" t="s">
        <v>22667</v>
      </c>
      <c r="M2715" s="2" t="s">
        <v>22668</v>
      </c>
      <c r="N2715" s="3" t="s">
        <v>1418</v>
      </c>
      <c r="P2715" s="3" t="s">
        <v>90</v>
      </c>
      <c r="R2715" s="3" t="s">
        <v>67</v>
      </c>
      <c r="S2715" s="4">
        <v>1</v>
      </c>
      <c r="T2715" s="4">
        <v>1</v>
      </c>
      <c r="U2715" s="5" t="s">
        <v>22669</v>
      </c>
      <c r="V2715" s="5" t="s">
        <v>22669</v>
      </c>
      <c r="W2715" s="5" t="s">
        <v>69</v>
      </c>
      <c r="X2715" s="5" t="s">
        <v>69</v>
      </c>
      <c r="Y2715" s="4">
        <v>17</v>
      </c>
      <c r="Z2715" s="4">
        <v>2</v>
      </c>
      <c r="AA2715" s="4">
        <v>4</v>
      </c>
      <c r="AB2715" s="4">
        <v>2</v>
      </c>
      <c r="AC2715" s="4">
        <v>2</v>
      </c>
      <c r="AD2715" s="4">
        <v>11</v>
      </c>
      <c r="AE2715" s="4">
        <v>14</v>
      </c>
      <c r="AF2715" s="4">
        <v>0</v>
      </c>
      <c r="AG2715" s="4">
        <v>0</v>
      </c>
      <c r="AH2715" s="4">
        <v>10</v>
      </c>
      <c r="AI2715" s="4">
        <v>12</v>
      </c>
      <c r="AJ2715" s="4">
        <v>0</v>
      </c>
      <c r="AK2715" s="4">
        <v>2</v>
      </c>
      <c r="AL2715" s="4">
        <v>10</v>
      </c>
      <c r="AM2715" s="4">
        <v>11</v>
      </c>
      <c r="AN2715" s="4">
        <v>0</v>
      </c>
      <c r="AO2715" s="4">
        <v>0</v>
      </c>
      <c r="AP2715" s="4">
        <v>0</v>
      </c>
      <c r="AQ2715" s="4">
        <v>2</v>
      </c>
      <c r="AR2715" s="3" t="s">
        <v>63</v>
      </c>
      <c r="AS2715" s="3" t="s">
        <v>63</v>
      </c>
      <c r="AT2715" s="3" t="s">
        <v>62</v>
      </c>
      <c r="AU2715" s="6" t="str">
        <f>HYPERLINK("http://catalog.hathitrust.org/Record/007854811","HathiTrust Record")</f>
        <v>HathiTrust Record</v>
      </c>
      <c r="AV2715" s="6" t="str">
        <f>HYPERLINK("http://mcgill.on.worldcat.org/oclc/27906299","Catalog Record")</f>
        <v>Catalog Record</v>
      </c>
      <c r="AW2715" s="6" t="str">
        <f>HYPERLINK("http://www.worldcat.org/oclc/27906299","WorldCat Record")</f>
        <v>WorldCat Record</v>
      </c>
      <c r="AX2715" s="3" t="s">
        <v>22670</v>
      </c>
      <c r="AY2715" s="3" t="s">
        <v>22671</v>
      </c>
      <c r="AZ2715" s="3" t="s">
        <v>22672</v>
      </c>
      <c r="BA2715" s="3" t="s">
        <v>22672</v>
      </c>
      <c r="BB2715" s="3" t="s">
        <v>22675</v>
      </c>
      <c r="BC2715" s="3" t="s">
        <v>82</v>
      </c>
      <c r="BD2715" s="3" t="s">
        <v>70</v>
      </c>
      <c r="BF2715" s="3" t="s">
        <v>22675</v>
      </c>
      <c r="BG2715" s="3" t="s">
        <v>22676</v>
      </c>
    </row>
    <row r="2716" spans="1:59" ht="60" x14ac:dyDescent="0.25">
      <c r="A2716" s="2" t="s">
        <v>59</v>
      </c>
      <c r="B2716" s="2" t="s">
        <v>60</v>
      </c>
      <c r="C2716" s="2" t="s">
        <v>22698</v>
      </c>
      <c r="D2716" s="2" t="s">
        <v>22699</v>
      </c>
      <c r="E2716" s="2" t="s">
        <v>22700</v>
      </c>
      <c r="F2716" s="3" t="s">
        <v>5708</v>
      </c>
      <c r="G2716" s="3" t="s">
        <v>62</v>
      </c>
      <c r="I2716" s="3" t="s">
        <v>63</v>
      </c>
      <c r="J2716" s="3" t="s">
        <v>63</v>
      </c>
      <c r="K2716" s="3" t="s">
        <v>64</v>
      </c>
      <c r="L2716" s="2" t="s">
        <v>22701</v>
      </c>
      <c r="M2716" s="2" t="s">
        <v>22702</v>
      </c>
      <c r="N2716" s="3" t="s">
        <v>213</v>
      </c>
      <c r="P2716" s="3" t="s">
        <v>90</v>
      </c>
      <c r="R2716" s="3" t="s">
        <v>67</v>
      </c>
      <c r="S2716" s="4">
        <v>3</v>
      </c>
      <c r="T2716" s="4">
        <v>5</v>
      </c>
      <c r="U2716" s="5" t="s">
        <v>22703</v>
      </c>
      <c r="V2716" s="5" t="s">
        <v>22703</v>
      </c>
      <c r="W2716" s="5" t="s">
        <v>69</v>
      </c>
      <c r="X2716" s="5" t="s">
        <v>69</v>
      </c>
      <c r="Y2716" s="4">
        <v>12</v>
      </c>
      <c r="Z2716" s="4">
        <v>5</v>
      </c>
      <c r="AA2716" s="4">
        <v>5</v>
      </c>
      <c r="AB2716" s="4">
        <v>1</v>
      </c>
      <c r="AC2716" s="4">
        <v>1</v>
      </c>
      <c r="AD2716" s="4">
        <v>4</v>
      </c>
      <c r="AE2716" s="4">
        <v>4</v>
      </c>
      <c r="AF2716" s="4">
        <v>0</v>
      </c>
      <c r="AG2716" s="4">
        <v>0</v>
      </c>
      <c r="AH2716" s="4">
        <v>3</v>
      </c>
      <c r="AI2716" s="4">
        <v>3</v>
      </c>
      <c r="AJ2716" s="4">
        <v>3</v>
      </c>
      <c r="AK2716" s="4">
        <v>3</v>
      </c>
      <c r="AL2716" s="4">
        <v>2</v>
      </c>
      <c r="AM2716" s="4">
        <v>2</v>
      </c>
      <c r="AN2716" s="4">
        <v>0</v>
      </c>
      <c r="AO2716" s="4">
        <v>0</v>
      </c>
      <c r="AP2716" s="4">
        <v>3</v>
      </c>
      <c r="AQ2716" s="4">
        <v>3</v>
      </c>
      <c r="AR2716" s="3" t="s">
        <v>63</v>
      </c>
      <c r="AS2716" s="3" t="s">
        <v>63</v>
      </c>
      <c r="AT2716" s="3" t="s">
        <v>63</v>
      </c>
      <c r="AU2716" s="6" t="str">
        <f>HYPERLINK("http://catalog.hathitrust.org/Record/008388796","HathiTrust Record")</f>
        <v>HathiTrust Record</v>
      </c>
      <c r="AV2716" s="6" t="str">
        <f>HYPERLINK("http://mcgill.on.worldcat.org/oclc/70306664","Catalog Record")</f>
        <v>Catalog Record</v>
      </c>
      <c r="AW2716" s="6" t="str">
        <f>HYPERLINK("http://www.worldcat.org/oclc/70306664","WorldCat Record")</f>
        <v>WorldCat Record</v>
      </c>
      <c r="AX2716" s="3" t="s">
        <v>22704</v>
      </c>
      <c r="AY2716" s="3" t="s">
        <v>22705</v>
      </c>
      <c r="AZ2716" s="3" t="s">
        <v>22706</v>
      </c>
      <c r="BA2716" s="3" t="s">
        <v>22706</v>
      </c>
      <c r="BB2716" s="3" t="s">
        <v>22707</v>
      </c>
      <c r="BC2716" s="3" t="s">
        <v>82</v>
      </c>
      <c r="BD2716" s="3" t="s">
        <v>70</v>
      </c>
      <c r="BF2716" s="3" t="s">
        <v>22707</v>
      </c>
      <c r="BG2716" s="3" t="s">
        <v>22708</v>
      </c>
    </row>
    <row r="2717" spans="1:59" ht="60" x14ac:dyDescent="0.25">
      <c r="A2717" s="2" t="s">
        <v>59</v>
      </c>
      <c r="B2717" s="2" t="s">
        <v>60</v>
      </c>
      <c r="C2717" s="2" t="s">
        <v>22698</v>
      </c>
      <c r="D2717" s="2" t="s">
        <v>22699</v>
      </c>
      <c r="E2717" s="2" t="s">
        <v>22700</v>
      </c>
      <c r="F2717" s="3" t="s">
        <v>5684</v>
      </c>
      <c r="G2717" s="3" t="s">
        <v>62</v>
      </c>
      <c r="I2717" s="3" t="s">
        <v>63</v>
      </c>
      <c r="J2717" s="3" t="s">
        <v>63</v>
      </c>
      <c r="K2717" s="3" t="s">
        <v>64</v>
      </c>
      <c r="L2717" s="2" t="s">
        <v>22701</v>
      </c>
      <c r="M2717" s="2" t="s">
        <v>22702</v>
      </c>
      <c r="N2717" s="3" t="s">
        <v>213</v>
      </c>
      <c r="P2717" s="3" t="s">
        <v>90</v>
      </c>
      <c r="R2717" s="3" t="s">
        <v>67</v>
      </c>
      <c r="S2717" s="4">
        <v>0</v>
      </c>
      <c r="T2717" s="4">
        <v>5</v>
      </c>
      <c r="V2717" s="5" t="s">
        <v>22703</v>
      </c>
      <c r="W2717" s="5" t="s">
        <v>69</v>
      </c>
      <c r="X2717" s="5" t="s">
        <v>69</v>
      </c>
      <c r="Y2717" s="4">
        <v>12</v>
      </c>
      <c r="Z2717" s="4">
        <v>5</v>
      </c>
      <c r="AA2717" s="4">
        <v>5</v>
      </c>
      <c r="AB2717" s="4">
        <v>1</v>
      </c>
      <c r="AC2717" s="4">
        <v>1</v>
      </c>
      <c r="AD2717" s="4">
        <v>4</v>
      </c>
      <c r="AE2717" s="4">
        <v>4</v>
      </c>
      <c r="AF2717" s="4">
        <v>0</v>
      </c>
      <c r="AG2717" s="4">
        <v>0</v>
      </c>
      <c r="AH2717" s="4">
        <v>3</v>
      </c>
      <c r="AI2717" s="4">
        <v>3</v>
      </c>
      <c r="AJ2717" s="4">
        <v>3</v>
      </c>
      <c r="AK2717" s="4">
        <v>3</v>
      </c>
      <c r="AL2717" s="4">
        <v>2</v>
      </c>
      <c r="AM2717" s="4">
        <v>2</v>
      </c>
      <c r="AN2717" s="4">
        <v>0</v>
      </c>
      <c r="AO2717" s="4">
        <v>0</v>
      </c>
      <c r="AP2717" s="4">
        <v>3</v>
      </c>
      <c r="AQ2717" s="4">
        <v>3</v>
      </c>
      <c r="AR2717" s="3" t="s">
        <v>63</v>
      </c>
      <c r="AS2717" s="3" t="s">
        <v>63</v>
      </c>
      <c r="AT2717" s="3" t="s">
        <v>63</v>
      </c>
      <c r="AU2717" s="6" t="str">
        <f>HYPERLINK("http://catalog.hathitrust.org/Record/008388796","HathiTrust Record")</f>
        <v>HathiTrust Record</v>
      </c>
      <c r="AV2717" s="6" t="str">
        <f>HYPERLINK("http://mcgill.on.worldcat.org/oclc/70306664","Catalog Record")</f>
        <v>Catalog Record</v>
      </c>
      <c r="AW2717" s="6" t="str">
        <f>HYPERLINK("http://www.worldcat.org/oclc/70306664","WorldCat Record")</f>
        <v>WorldCat Record</v>
      </c>
      <c r="AX2717" s="3" t="s">
        <v>22704</v>
      </c>
      <c r="AY2717" s="3" t="s">
        <v>22705</v>
      </c>
      <c r="AZ2717" s="3" t="s">
        <v>22706</v>
      </c>
      <c r="BA2717" s="3" t="s">
        <v>22706</v>
      </c>
      <c r="BB2717" s="3" t="s">
        <v>22709</v>
      </c>
      <c r="BC2717" s="3" t="s">
        <v>82</v>
      </c>
      <c r="BD2717" s="3" t="s">
        <v>70</v>
      </c>
      <c r="BF2717" s="3" t="s">
        <v>22709</v>
      </c>
      <c r="BG2717" s="3" t="s">
        <v>22710</v>
      </c>
    </row>
    <row r="2718" spans="1:59" ht="60" x14ac:dyDescent="0.25">
      <c r="A2718" s="2" t="s">
        <v>59</v>
      </c>
      <c r="B2718" s="2" t="s">
        <v>60</v>
      </c>
      <c r="C2718" s="2" t="s">
        <v>22698</v>
      </c>
      <c r="D2718" s="2" t="s">
        <v>22699</v>
      </c>
      <c r="E2718" s="2" t="s">
        <v>22700</v>
      </c>
      <c r="F2718" s="3" t="s">
        <v>5699</v>
      </c>
      <c r="G2718" s="3" t="s">
        <v>62</v>
      </c>
      <c r="I2718" s="3" t="s">
        <v>63</v>
      </c>
      <c r="J2718" s="3" t="s">
        <v>63</v>
      </c>
      <c r="K2718" s="3" t="s">
        <v>64</v>
      </c>
      <c r="L2718" s="2" t="s">
        <v>22701</v>
      </c>
      <c r="M2718" s="2" t="s">
        <v>22702</v>
      </c>
      <c r="N2718" s="3" t="s">
        <v>213</v>
      </c>
      <c r="P2718" s="3" t="s">
        <v>90</v>
      </c>
      <c r="R2718" s="3" t="s">
        <v>67</v>
      </c>
      <c r="S2718" s="4">
        <v>2</v>
      </c>
      <c r="T2718" s="4">
        <v>5</v>
      </c>
      <c r="U2718" s="5" t="s">
        <v>22711</v>
      </c>
      <c r="V2718" s="5" t="s">
        <v>22703</v>
      </c>
      <c r="W2718" s="5" t="s">
        <v>69</v>
      </c>
      <c r="X2718" s="5" t="s">
        <v>69</v>
      </c>
      <c r="Y2718" s="4">
        <v>12</v>
      </c>
      <c r="Z2718" s="4">
        <v>5</v>
      </c>
      <c r="AA2718" s="4">
        <v>5</v>
      </c>
      <c r="AB2718" s="4">
        <v>1</v>
      </c>
      <c r="AC2718" s="4">
        <v>1</v>
      </c>
      <c r="AD2718" s="4">
        <v>4</v>
      </c>
      <c r="AE2718" s="4">
        <v>4</v>
      </c>
      <c r="AF2718" s="4">
        <v>0</v>
      </c>
      <c r="AG2718" s="4">
        <v>0</v>
      </c>
      <c r="AH2718" s="4">
        <v>3</v>
      </c>
      <c r="AI2718" s="4">
        <v>3</v>
      </c>
      <c r="AJ2718" s="4">
        <v>3</v>
      </c>
      <c r="AK2718" s="4">
        <v>3</v>
      </c>
      <c r="AL2718" s="4">
        <v>2</v>
      </c>
      <c r="AM2718" s="4">
        <v>2</v>
      </c>
      <c r="AN2718" s="4">
        <v>0</v>
      </c>
      <c r="AO2718" s="4">
        <v>0</v>
      </c>
      <c r="AP2718" s="4">
        <v>3</v>
      </c>
      <c r="AQ2718" s="4">
        <v>3</v>
      </c>
      <c r="AR2718" s="3" t="s">
        <v>63</v>
      </c>
      <c r="AS2718" s="3" t="s">
        <v>63</v>
      </c>
      <c r="AT2718" s="3" t="s">
        <v>63</v>
      </c>
      <c r="AU2718" s="6" t="str">
        <f>HYPERLINK("http://catalog.hathitrust.org/Record/008388796","HathiTrust Record")</f>
        <v>HathiTrust Record</v>
      </c>
      <c r="AV2718" s="6" t="str">
        <f>HYPERLINK("http://mcgill.on.worldcat.org/oclc/70306664","Catalog Record")</f>
        <v>Catalog Record</v>
      </c>
      <c r="AW2718" s="6" t="str">
        <f>HYPERLINK("http://www.worldcat.org/oclc/70306664","WorldCat Record")</f>
        <v>WorldCat Record</v>
      </c>
      <c r="AX2718" s="3" t="s">
        <v>22704</v>
      </c>
      <c r="AY2718" s="3" t="s">
        <v>22705</v>
      </c>
      <c r="AZ2718" s="3" t="s">
        <v>22706</v>
      </c>
      <c r="BA2718" s="3" t="s">
        <v>22706</v>
      </c>
      <c r="BB2718" s="3" t="s">
        <v>22712</v>
      </c>
      <c r="BC2718" s="3" t="s">
        <v>82</v>
      </c>
      <c r="BD2718" s="3" t="s">
        <v>70</v>
      </c>
      <c r="BF2718" s="3" t="s">
        <v>22712</v>
      </c>
      <c r="BG2718" s="3" t="s">
        <v>22713</v>
      </c>
    </row>
    <row r="2719" spans="1:59" ht="60" x14ac:dyDescent="0.25">
      <c r="A2719" s="2" t="s">
        <v>59</v>
      </c>
      <c r="B2719" s="2" t="s">
        <v>60</v>
      </c>
      <c r="C2719" s="2" t="s">
        <v>22698</v>
      </c>
      <c r="D2719" s="2" t="s">
        <v>22699</v>
      </c>
      <c r="E2719" s="2" t="s">
        <v>22700</v>
      </c>
      <c r="F2719" s="3" t="s">
        <v>5696</v>
      </c>
      <c r="G2719" s="3" t="s">
        <v>62</v>
      </c>
      <c r="I2719" s="3" t="s">
        <v>63</v>
      </c>
      <c r="J2719" s="3" t="s">
        <v>63</v>
      </c>
      <c r="K2719" s="3" t="s">
        <v>64</v>
      </c>
      <c r="L2719" s="2" t="s">
        <v>22701</v>
      </c>
      <c r="M2719" s="2" t="s">
        <v>22702</v>
      </c>
      <c r="N2719" s="3" t="s">
        <v>213</v>
      </c>
      <c r="P2719" s="3" t="s">
        <v>90</v>
      </c>
      <c r="R2719" s="3" t="s">
        <v>67</v>
      </c>
      <c r="S2719" s="4">
        <v>0</v>
      </c>
      <c r="T2719" s="4">
        <v>5</v>
      </c>
      <c r="V2719" s="5" t="s">
        <v>22703</v>
      </c>
      <c r="W2719" s="5" t="s">
        <v>69</v>
      </c>
      <c r="X2719" s="5" t="s">
        <v>69</v>
      </c>
      <c r="Y2719" s="4">
        <v>12</v>
      </c>
      <c r="Z2719" s="4">
        <v>5</v>
      </c>
      <c r="AA2719" s="4">
        <v>5</v>
      </c>
      <c r="AB2719" s="4">
        <v>1</v>
      </c>
      <c r="AC2719" s="4">
        <v>1</v>
      </c>
      <c r="AD2719" s="4">
        <v>4</v>
      </c>
      <c r="AE2719" s="4">
        <v>4</v>
      </c>
      <c r="AF2719" s="4">
        <v>0</v>
      </c>
      <c r="AG2719" s="4">
        <v>0</v>
      </c>
      <c r="AH2719" s="4">
        <v>3</v>
      </c>
      <c r="AI2719" s="4">
        <v>3</v>
      </c>
      <c r="AJ2719" s="4">
        <v>3</v>
      </c>
      <c r="AK2719" s="4">
        <v>3</v>
      </c>
      <c r="AL2719" s="4">
        <v>2</v>
      </c>
      <c r="AM2719" s="4">
        <v>2</v>
      </c>
      <c r="AN2719" s="4">
        <v>0</v>
      </c>
      <c r="AO2719" s="4">
        <v>0</v>
      </c>
      <c r="AP2719" s="4">
        <v>3</v>
      </c>
      <c r="AQ2719" s="4">
        <v>3</v>
      </c>
      <c r="AR2719" s="3" t="s">
        <v>63</v>
      </c>
      <c r="AS2719" s="3" t="s">
        <v>63</v>
      </c>
      <c r="AT2719" s="3" t="s">
        <v>63</v>
      </c>
      <c r="AU2719" s="6" t="str">
        <f>HYPERLINK("http://catalog.hathitrust.org/Record/008388796","HathiTrust Record")</f>
        <v>HathiTrust Record</v>
      </c>
      <c r="AV2719" s="6" t="str">
        <f>HYPERLINK("http://mcgill.on.worldcat.org/oclc/70306664","Catalog Record")</f>
        <v>Catalog Record</v>
      </c>
      <c r="AW2719" s="6" t="str">
        <f>HYPERLINK("http://www.worldcat.org/oclc/70306664","WorldCat Record")</f>
        <v>WorldCat Record</v>
      </c>
      <c r="AX2719" s="3" t="s">
        <v>22704</v>
      </c>
      <c r="AY2719" s="3" t="s">
        <v>22705</v>
      </c>
      <c r="AZ2719" s="3" t="s">
        <v>22706</v>
      </c>
      <c r="BA2719" s="3" t="s">
        <v>22706</v>
      </c>
      <c r="BB2719" s="3" t="s">
        <v>22714</v>
      </c>
      <c r="BC2719" s="3" t="s">
        <v>82</v>
      </c>
      <c r="BD2719" s="3" t="s">
        <v>70</v>
      </c>
      <c r="BF2719" s="3" t="s">
        <v>22714</v>
      </c>
      <c r="BG2719" s="3" t="s">
        <v>22715</v>
      </c>
    </row>
    <row r="2720" spans="1:59" ht="60" x14ac:dyDescent="0.25">
      <c r="A2720" s="2" t="s">
        <v>59</v>
      </c>
      <c r="B2720" s="2" t="s">
        <v>60</v>
      </c>
      <c r="C2720" s="2" t="s">
        <v>22698</v>
      </c>
      <c r="D2720" s="2" t="s">
        <v>22699</v>
      </c>
      <c r="E2720" s="2" t="s">
        <v>22700</v>
      </c>
      <c r="F2720" s="3" t="s">
        <v>5714</v>
      </c>
      <c r="G2720" s="3" t="s">
        <v>62</v>
      </c>
      <c r="I2720" s="3" t="s">
        <v>63</v>
      </c>
      <c r="J2720" s="3" t="s">
        <v>63</v>
      </c>
      <c r="K2720" s="3" t="s">
        <v>64</v>
      </c>
      <c r="L2720" s="2" t="s">
        <v>22701</v>
      </c>
      <c r="M2720" s="2" t="s">
        <v>22702</v>
      </c>
      <c r="N2720" s="3" t="s">
        <v>213</v>
      </c>
      <c r="P2720" s="3" t="s">
        <v>90</v>
      </c>
      <c r="R2720" s="3" t="s">
        <v>67</v>
      </c>
      <c r="S2720" s="4">
        <v>0</v>
      </c>
      <c r="T2720" s="4">
        <v>5</v>
      </c>
      <c r="V2720" s="5" t="s">
        <v>22703</v>
      </c>
      <c r="W2720" s="5" t="s">
        <v>69</v>
      </c>
      <c r="X2720" s="5" t="s">
        <v>69</v>
      </c>
      <c r="Y2720" s="4">
        <v>12</v>
      </c>
      <c r="Z2720" s="4">
        <v>5</v>
      </c>
      <c r="AA2720" s="4">
        <v>5</v>
      </c>
      <c r="AB2720" s="4">
        <v>1</v>
      </c>
      <c r="AC2720" s="4">
        <v>1</v>
      </c>
      <c r="AD2720" s="4">
        <v>4</v>
      </c>
      <c r="AE2720" s="4">
        <v>4</v>
      </c>
      <c r="AF2720" s="4">
        <v>0</v>
      </c>
      <c r="AG2720" s="4">
        <v>0</v>
      </c>
      <c r="AH2720" s="4">
        <v>3</v>
      </c>
      <c r="AI2720" s="4">
        <v>3</v>
      </c>
      <c r="AJ2720" s="4">
        <v>3</v>
      </c>
      <c r="AK2720" s="4">
        <v>3</v>
      </c>
      <c r="AL2720" s="4">
        <v>2</v>
      </c>
      <c r="AM2720" s="4">
        <v>2</v>
      </c>
      <c r="AN2720" s="4">
        <v>0</v>
      </c>
      <c r="AO2720" s="4">
        <v>0</v>
      </c>
      <c r="AP2720" s="4">
        <v>3</v>
      </c>
      <c r="AQ2720" s="4">
        <v>3</v>
      </c>
      <c r="AR2720" s="3" t="s">
        <v>63</v>
      </c>
      <c r="AS2720" s="3" t="s">
        <v>63</v>
      </c>
      <c r="AT2720" s="3" t="s">
        <v>63</v>
      </c>
      <c r="AU2720" s="6" t="str">
        <f>HYPERLINK("http://catalog.hathitrust.org/Record/008388796","HathiTrust Record")</f>
        <v>HathiTrust Record</v>
      </c>
      <c r="AV2720" s="6" t="str">
        <f>HYPERLINK("http://mcgill.on.worldcat.org/oclc/70306664","Catalog Record")</f>
        <v>Catalog Record</v>
      </c>
      <c r="AW2720" s="6" t="str">
        <f>HYPERLINK("http://www.worldcat.org/oclc/70306664","WorldCat Record")</f>
        <v>WorldCat Record</v>
      </c>
      <c r="AX2720" s="3" t="s">
        <v>22704</v>
      </c>
      <c r="AY2720" s="3" t="s">
        <v>22705</v>
      </c>
      <c r="AZ2720" s="3" t="s">
        <v>22706</v>
      </c>
      <c r="BA2720" s="3" t="s">
        <v>22706</v>
      </c>
      <c r="BB2720" s="3" t="s">
        <v>22716</v>
      </c>
      <c r="BC2720" s="3" t="s">
        <v>82</v>
      </c>
      <c r="BD2720" s="3" t="s">
        <v>70</v>
      </c>
      <c r="BF2720" s="3" t="s">
        <v>22716</v>
      </c>
      <c r="BG2720" s="3" t="s">
        <v>22717</v>
      </c>
    </row>
    <row r="2721" spans="1:59" ht="60" x14ac:dyDescent="0.25">
      <c r="A2721" s="2" t="s">
        <v>59</v>
      </c>
      <c r="B2721" s="2" t="s">
        <v>60</v>
      </c>
      <c r="C2721" s="2" t="s">
        <v>22698</v>
      </c>
      <c r="D2721" s="2" t="s">
        <v>22699</v>
      </c>
      <c r="E2721" s="2" t="s">
        <v>22700</v>
      </c>
      <c r="F2721" s="3" t="s">
        <v>5705</v>
      </c>
      <c r="G2721" s="3" t="s">
        <v>62</v>
      </c>
      <c r="I2721" s="3" t="s">
        <v>63</v>
      </c>
      <c r="J2721" s="3" t="s">
        <v>63</v>
      </c>
      <c r="K2721" s="3" t="s">
        <v>64</v>
      </c>
      <c r="L2721" s="2" t="s">
        <v>22701</v>
      </c>
      <c r="M2721" s="2" t="s">
        <v>22702</v>
      </c>
      <c r="N2721" s="3" t="s">
        <v>213</v>
      </c>
      <c r="P2721" s="3" t="s">
        <v>90</v>
      </c>
      <c r="R2721" s="3" t="s">
        <v>67</v>
      </c>
      <c r="S2721" s="4">
        <v>0</v>
      </c>
      <c r="T2721" s="4">
        <v>5</v>
      </c>
      <c r="V2721" s="5" t="s">
        <v>22703</v>
      </c>
      <c r="W2721" s="5" t="s">
        <v>69</v>
      </c>
      <c r="X2721" s="5" t="s">
        <v>69</v>
      </c>
      <c r="Y2721" s="4">
        <v>12</v>
      </c>
      <c r="Z2721" s="4">
        <v>5</v>
      </c>
      <c r="AA2721" s="4">
        <v>5</v>
      </c>
      <c r="AB2721" s="4">
        <v>1</v>
      </c>
      <c r="AC2721" s="4">
        <v>1</v>
      </c>
      <c r="AD2721" s="4">
        <v>4</v>
      </c>
      <c r="AE2721" s="4">
        <v>4</v>
      </c>
      <c r="AF2721" s="4">
        <v>0</v>
      </c>
      <c r="AG2721" s="4">
        <v>0</v>
      </c>
      <c r="AH2721" s="4">
        <v>3</v>
      </c>
      <c r="AI2721" s="4">
        <v>3</v>
      </c>
      <c r="AJ2721" s="4">
        <v>3</v>
      </c>
      <c r="AK2721" s="4">
        <v>3</v>
      </c>
      <c r="AL2721" s="4">
        <v>2</v>
      </c>
      <c r="AM2721" s="4">
        <v>2</v>
      </c>
      <c r="AN2721" s="4">
        <v>0</v>
      </c>
      <c r="AO2721" s="4">
        <v>0</v>
      </c>
      <c r="AP2721" s="4">
        <v>3</v>
      </c>
      <c r="AQ2721" s="4">
        <v>3</v>
      </c>
      <c r="AR2721" s="3" t="s">
        <v>63</v>
      </c>
      <c r="AS2721" s="3" t="s">
        <v>63</v>
      </c>
      <c r="AT2721" s="3" t="s">
        <v>63</v>
      </c>
      <c r="AU2721" s="6" t="str">
        <f>HYPERLINK("http://catalog.hathitrust.org/Record/008388796","HathiTrust Record")</f>
        <v>HathiTrust Record</v>
      </c>
      <c r="AV2721" s="6" t="str">
        <f>HYPERLINK("http://mcgill.on.worldcat.org/oclc/70306664","Catalog Record")</f>
        <v>Catalog Record</v>
      </c>
      <c r="AW2721" s="6" t="str">
        <f>HYPERLINK("http://www.worldcat.org/oclc/70306664","WorldCat Record")</f>
        <v>WorldCat Record</v>
      </c>
      <c r="AX2721" s="3" t="s">
        <v>22704</v>
      </c>
      <c r="AY2721" s="3" t="s">
        <v>22705</v>
      </c>
      <c r="AZ2721" s="3" t="s">
        <v>22706</v>
      </c>
      <c r="BA2721" s="3" t="s">
        <v>22706</v>
      </c>
      <c r="BB2721" s="3" t="s">
        <v>22718</v>
      </c>
      <c r="BC2721" s="3" t="s">
        <v>82</v>
      </c>
      <c r="BD2721" s="3" t="s">
        <v>70</v>
      </c>
      <c r="BF2721" s="3" t="s">
        <v>22718</v>
      </c>
      <c r="BG2721" s="3" t="s">
        <v>22719</v>
      </c>
    </row>
    <row r="2722" spans="1:59" ht="60" x14ac:dyDescent="0.25">
      <c r="A2722" s="2" t="s">
        <v>59</v>
      </c>
      <c r="B2722" s="2" t="s">
        <v>60</v>
      </c>
      <c r="C2722" s="2" t="s">
        <v>22677</v>
      </c>
      <c r="D2722" s="2" t="s">
        <v>22678</v>
      </c>
      <c r="E2722" s="2" t="s">
        <v>22679</v>
      </c>
      <c r="G2722" s="3" t="s">
        <v>63</v>
      </c>
      <c r="I2722" s="3" t="s">
        <v>63</v>
      </c>
      <c r="J2722" s="3" t="s">
        <v>63</v>
      </c>
      <c r="K2722" s="3" t="s">
        <v>64</v>
      </c>
      <c r="L2722" s="2" t="s">
        <v>22680</v>
      </c>
      <c r="M2722" s="2" t="s">
        <v>22681</v>
      </c>
      <c r="N2722" s="3" t="s">
        <v>7980</v>
      </c>
      <c r="P2722" s="3" t="s">
        <v>66</v>
      </c>
      <c r="Q2722" s="2" t="s">
        <v>22682</v>
      </c>
      <c r="R2722" s="3" t="s">
        <v>67</v>
      </c>
      <c r="S2722" s="4">
        <v>7</v>
      </c>
      <c r="T2722" s="4">
        <v>7</v>
      </c>
      <c r="U2722" s="5" t="s">
        <v>6056</v>
      </c>
      <c r="V2722" s="5" t="s">
        <v>6056</v>
      </c>
      <c r="W2722" s="5" t="s">
        <v>69</v>
      </c>
      <c r="X2722" s="5" t="s">
        <v>69</v>
      </c>
      <c r="Y2722" s="4">
        <v>93</v>
      </c>
      <c r="Z2722" s="4">
        <v>7</v>
      </c>
      <c r="AA2722" s="4">
        <v>25</v>
      </c>
      <c r="AB2722" s="4">
        <v>1</v>
      </c>
      <c r="AC2722" s="4">
        <v>1</v>
      </c>
      <c r="AD2722" s="4">
        <v>36</v>
      </c>
      <c r="AE2722" s="4">
        <v>86</v>
      </c>
      <c r="AF2722" s="4">
        <v>0</v>
      </c>
      <c r="AG2722" s="4">
        <v>0</v>
      </c>
      <c r="AH2722" s="4">
        <v>33</v>
      </c>
      <c r="AI2722" s="4">
        <v>78</v>
      </c>
      <c r="AJ2722" s="4">
        <v>5</v>
      </c>
      <c r="AK2722" s="4">
        <v>10</v>
      </c>
      <c r="AL2722" s="4">
        <v>22</v>
      </c>
      <c r="AM2722" s="4">
        <v>48</v>
      </c>
      <c r="AN2722" s="4">
        <v>0</v>
      </c>
      <c r="AO2722" s="4">
        <v>0</v>
      </c>
      <c r="AP2722" s="4">
        <v>5</v>
      </c>
      <c r="AQ2722" s="4">
        <v>14</v>
      </c>
      <c r="AR2722" s="3" t="s">
        <v>63</v>
      </c>
      <c r="AS2722" s="3" t="s">
        <v>63</v>
      </c>
      <c r="AT2722" s="3" t="s">
        <v>63</v>
      </c>
      <c r="AU2722" s="6" t="str">
        <f>HYPERLINK("http://catalog.hathitrust.org/Record/001727409","HathiTrust Record")</f>
        <v>HathiTrust Record</v>
      </c>
      <c r="AV2722" s="6" t="str">
        <f>HYPERLINK("http://mcgill.on.worldcat.org/oclc/3183479","Catalog Record")</f>
        <v>Catalog Record</v>
      </c>
      <c r="AW2722" s="6" t="str">
        <f>HYPERLINK("http://www.worldcat.org/oclc/3183479","WorldCat Record")</f>
        <v>WorldCat Record</v>
      </c>
      <c r="AX2722" s="3" t="s">
        <v>22683</v>
      </c>
      <c r="AY2722" s="3" t="s">
        <v>22684</v>
      </c>
      <c r="AZ2722" s="3" t="s">
        <v>22685</v>
      </c>
      <c r="BA2722" s="3" t="s">
        <v>22685</v>
      </c>
      <c r="BB2722" s="3" t="s">
        <v>22686</v>
      </c>
      <c r="BC2722" s="3" t="s">
        <v>82</v>
      </c>
      <c r="BD2722" s="3" t="s">
        <v>70</v>
      </c>
      <c r="BF2722" s="3" t="s">
        <v>22686</v>
      </c>
      <c r="BG2722" s="3" t="s">
        <v>22687</v>
      </c>
    </row>
    <row r="2723" spans="1:59" ht="60" x14ac:dyDescent="0.25">
      <c r="A2723" s="2" t="s">
        <v>59</v>
      </c>
      <c r="B2723" s="2" t="s">
        <v>60</v>
      </c>
      <c r="C2723" s="2" t="s">
        <v>22688</v>
      </c>
      <c r="D2723" s="2" t="s">
        <v>22689</v>
      </c>
      <c r="E2723" s="2" t="s">
        <v>22690</v>
      </c>
      <c r="G2723" s="3" t="s">
        <v>63</v>
      </c>
      <c r="I2723" s="3" t="s">
        <v>63</v>
      </c>
      <c r="J2723" s="3" t="s">
        <v>63</v>
      </c>
      <c r="K2723" s="3" t="s">
        <v>64</v>
      </c>
      <c r="L2723" s="2" t="s">
        <v>22680</v>
      </c>
      <c r="M2723" s="2" t="s">
        <v>22691</v>
      </c>
      <c r="N2723" s="3" t="s">
        <v>706</v>
      </c>
      <c r="P2723" s="3" t="s">
        <v>90</v>
      </c>
      <c r="Q2723" s="2" t="s">
        <v>22692</v>
      </c>
      <c r="R2723" s="3" t="s">
        <v>67</v>
      </c>
      <c r="S2723" s="4">
        <v>15</v>
      </c>
      <c r="T2723" s="4">
        <v>15</v>
      </c>
      <c r="U2723" s="5" t="s">
        <v>5434</v>
      </c>
      <c r="V2723" s="5" t="s">
        <v>5434</v>
      </c>
      <c r="W2723" s="5" t="s">
        <v>69</v>
      </c>
      <c r="X2723" s="5" t="s">
        <v>69</v>
      </c>
      <c r="Y2723" s="4">
        <v>15</v>
      </c>
      <c r="Z2723" s="4">
        <v>3</v>
      </c>
      <c r="AA2723" s="4">
        <v>10</v>
      </c>
      <c r="AB2723" s="4">
        <v>2</v>
      </c>
      <c r="AC2723" s="4">
        <v>2</v>
      </c>
      <c r="AD2723" s="4">
        <v>9</v>
      </c>
      <c r="AE2723" s="4">
        <v>51</v>
      </c>
      <c r="AF2723" s="4">
        <v>0</v>
      </c>
      <c r="AG2723" s="4">
        <v>0</v>
      </c>
      <c r="AH2723" s="4">
        <v>7</v>
      </c>
      <c r="AI2723" s="4">
        <v>46</v>
      </c>
      <c r="AJ2723" s="4">
        <v>1</v>
      </c>
      <c r="AK2723" s="4">
        <v>5</v>
      </c>
      <c r="AL2723" s="4">
        <v>7</v>
      </c>
      <c r="AM2723" s="4">
        <v>34</v>
      </c>
      <c r="AN2723" s="4">
        <v>0</v>
      </c>
      <c r="AO2723" s="4">
        <v>0</v>
      </c>
      <c r="AP2723" s="4">
        <v>1</v>
      </c>
      <c r="AQ2723" s="4">
        <v>5</v>
      </c>
      <c r="AR2723" s="3" t="s">
        <v>63</v>
      </c>
      <c r="AS2723" s="3" t="s">
        <v>63</v>
      </c>
      <c r="AT2723" s="3" t="s">
        <v>63</v>
      </c>
      <c r="AV2723" s="6" t="str">
        <f>HYPERLINK("http://mcgill.on.worldcat.org/oclc/16139656","Catalog Record")</f>
        <v>Catalog Record</v>
      </c>
      <c r="AW2723" s="6" t="str">
        <f>HYPERLINK("http://www.worldcat.org/oclc/16139656","WorldCat Record")</f>
        <v>WorldCat Record</v>
      </c>
      <c r="AX2723" s="3" t="s">
        <v>22693</v>
      </c>
      <c r="AY2723" s="3" t="s">
        <v>22694</v>
      </c>
      <c r="AZ2723" s="3" t="s">
        <v>22695</v>
      </c>
      <c r="BA2723" s="3" t="s">
        <v>22695</v>
      </c>
      <c r="BB2723" s="3" t="s">
        <v>22696</v>
      </c>
      <c r="BC2723" s="3" t="s">
        <v>82</v>
      </c>
      <c r="BD2723" s="3" t="s">
        <v>538</v>
      </c>
      <c r="BF2723" s="3" t="s">
        <v>22696</v>
      </c>
      <c r="BG2723" s="3" t="s">
        <v>22697</v>
      </c>
    </row>
    <row r="2724" spans="1:59" ht="60" x14ac:dyDescent="0.25">
      <c r="A2724" s="2" t="s">
        <v>59</v>
      </c>
      <c r="B2724" s="2" t="s">
        <v>60</v>
      </c>
      <c r="C2724" s="2" t="s">
        <v>22720</v>
      </c>
      <c r="D2724" s="2" t="s">
        <v>22721</v>
      </c>
      <c r="E2724" s="2" t="s">
        <v>22722</v>
      </c>
      <c r="G2724" s="3" t="s">
        <v>63</v>
      </c>
      <c r="I2724" s="3" t="s">
        <v>63</v>
      </c>
      <c r="J2724" s="3" t="s">
        <v>63</v>
      </c>
      <c r="K2724" s="3" t="s">
        <v>64</v>
      </c>
      <c r="L2724" s="2" t="s">
        <v>22723</v>
      </c>
      <c r="M2724" s="2" t="s">
        <v>22724</v>
      </c>
      <c r="N2724" s="3" t="s">
        <v>743</v>
      </c>
      <c r="P2724" s="3" t="s">
        <v>66</v>
      </c>
      <c r="R2724" s="3" t="s">
        <v>67</v>
      </c>
      <c r="S2724" s="4">
        <v>11</v>
      </c>
      <c r="T2724" s="4">
        <v>11</v>
      </c>
      <c r="U2724" s="5" t="s">
        <v>16424</v>
      </c>
      <c r="V2724" s="5" t="s">
        <v>16424</v>
      </c>
      <c r="W2724" s="5" t="s">
        <v>69</v>
      </c>
      <c r="X2724" s="5" t="s">
        <v>69</v>
      </c>
      <c r="Y2724" s="4">
        <v>282</v>
      </c>
      <c r="Z2724" s="4">
        <v>25</v>
      </c>
      <c r="AA2724" s="4">
        <v>25</v>
      </c>
      <c r="AB2724" s="4">
        <v>3</v>
      </c>
      <c r="AC2724" s="4">
        <v>3</v>
      </c>
      <c r="AD2724" s="4">
        <v>101</v>
      </c>
      <c r="AE2724" s="4">
        <v>101</v>
      </c>
      <c r="AF2724" s="4">
        <v>1</v>
      </c>
      <c r="AG2724" s="4">
        <v>1</v>
      </c>
      <c r="AH2724" s="4">
        <v>89</v>
      </c>
      <c r="AI2724" s="4">
        <v>89</v>
      </c>
      <c r="AJ2724" s="4">
        <v>17</v>
      </c>
      <c r="AK2724" s="4">
        <v>17</v>
      </c>
      <c r="AL2724" s="4">
        <v>54</v>
      </c>
      <c r="AM2724" s="4">
        <v>54</v>
      </c>
      <c r="AN2724" s="4">
        <v>0</v>
      </c>
      <c r="AO2724" s="4">
        <v>0</v>
      </c>
      <c r="AP2724" s="4">
        <v>19</v>
      </c>
      <c r="AQ2724" s="4">
        <v>19</v>
      </c>
      <c r="AR2724" s="3" t="s">
        <v>63</v>
      </c>
      <c r="AS2724" s="3" t="s">
        <v>63</v>
      </c>
      <c r="AT2724" s="3" t="s">
        <v>62</v>
      </c>
      <c r="AU2724" s="6" t="str">
        <f>HYPERLINK("http://catalog.hathitrust.org/Record/001059713","HathiTrust Record")</f>
        <v>HathiTrust Record</v>
      </c>
      <c r="AV2724" s="6" t="str">
        <f>HYPERLINK("http://mcgill.on.worldcat.org/oclc/532606","Catalog Record")</f>
        <v>Catalog Record</v>
      </c>
      <c r="AW2724" s="6" t="str">
        <f>HYPERLINK("http://www.worldcat.org/oclc/532606","WorldCat Record")</f>
        <v>WorldCat Record</v>
      </c>
      <c r="AX2724" s="3" t="s">
        <v>22725</v>
      </c>
      <c r="AY2724" s="3" t="s">
        <v>22726</v>
      </c>
      <c r="AZ2724" s="3" t="s">
        <v>22727</v>
      </c>
      <c r="BA2724" s="3" t="s">
        <v>22727</v>
      </c>
      <c r="BB2724" s="3" t="s">
        <v>22728</v>
      </c>
      <c r="BC2724" s="3" t="s">
        <v>82</v>
      </c>
      <c r="BD2724" s="3" t="s">
        <v>70</v>
      </c>
      <c r="BE2724" s="3" t="s">
        <v>22729</v>
      </c>
      <c r="BF2724" s="3" t="s">
        <v>22728</v>
      </c>
      <c r="BG2724" s="3" t="s">
        <v>22730</v>
      </c>
    </row>
    <row r="2725" spans="1:59" ht="60" x14ac:dyDescent="0.25">
      <c r="A2725" s="2" t="s">
        <v>59</v>
      </c>
      <c r="B2725" s="2" t="s">
        <v>60</v>
      </c>
      <c r="C2725" s="2" t="s">
        <v>22731</v>
      </c>
      <c r="D2725" s="2" t="s">
        <v>22732</v>
      </c>
      <c r="E2725" s="2" t="s">
        <v>22733</v>
      </c>
      <c r="G2725" s="3" t="s">
        <v>63</v>
      </c>
      <c r="I2725" s="3" t="s">
        <v>63</v>
      </c>
      <c r="J2725" s="3" t="s">
        <v>63</v>
      </c>
      <c r="K2725" s="3" t="s">
        <v>64</v>
      </c>
      <c r="L2725" s="2" t="s">
        <v>22723</v>
      </c>
      <c r="M2725" s="2" t="s">
        <v>22734</v>
      </c>
      <c r="N2725" s="3" t="s">
        <v>2951</v>
      </c>
      <c r="P2725" s="3" t="s">
        <v>66</v>
      </c>
      <c r="R2725" s="3" t="s">
        <v>67</v>
      </c>
      <c r="S2725" s="4">
        <v>5</v>
      </c>
      <c r="T2725" s="4">
        <v>5</v>
      </c>
      <c r="U2725" s="5" t="s">
        <v>22735</v>
      </c>
      <c r="V2725" s="5" t="s">
        <v>22735</v>
      </c>
      <c r="W2725" s="5" t="s">
        <v>69</v>
      </c>
      <c r="X2725" s="5" t="s">
        <v>69</v>
      </c>
      <c r="Y2725" s="4">
        <v>332</v>
      </c>
      <c r="Z2725" s="4">
        <v>26</v>
      </c>
      <c r="AA2725" s="4">
        <v>27</v>
      </c>
      <c r="AB2725" s="4">
        <v>3</v>
      </c>
      <c r="AC2725" s="4">
        <v>4</v>
      </c>
      <c r="AD2725" s="4">
        <v>105</v>
      </c>
      <c r="AE2725" s="4">
        <v>105</v>
      </c>
      <c r="AF2725" s="4">
        <v>1</v>
      </c>
      <c r="AG2725" s="4">
        <v>1</v>
      </c>
      <c r="AH2725" s="4">
        <v>93</v>
      </c>
      <c r="AI2725" s="4">
        <v>93</v>
      </c>
      <c r="AJ2725" s="4">
        <v>19</v>
      </c>
      <c r="AK2725" s="4">
        <v>19</v>
      </c>
      <c r="AL2725" s="4">
        <v>50</v>
      </c>
      <c r="AM2725" s="4">
        <v>50</v>
      </c>
      <c r="AN2725" s="4">
        <v>0</v>
      </c>
      <c r="AO2725" s="4">
        <v>0</v>
      </c>
      <c r="AP2725" s="4">
        <v>19</v>
      </c>
      <c r="AQ2725" s="4">
        <v>19</v>
      </c>
      <c r="AR2725" s="3" t="s">
        <v>63</v>
      </c>
      <c r="AS2725" s="3" t="s">
        <v>63</v>
      </c>
      <c r="AT2725" s="3" t="s">
        <v>62</v>
      </c>
      <c r="AU2725" s="6" t="str">
        <f>HYPERLINK("http://catalog.hathitrust.org/Record/000029023","HathiTrust Record")</f>
        <v>HathiTrust Record</v>
      </c>
      <c r="AV2725" s="6" t="str">
        <f>HYPERLINK("http://mcgill.on.worldcat.org/oclc/6430859","Catalog Record")</f>
        <v>Catalog Record</v>
      </c>
      <c r="AW2725" s="6" t="str">
        <f>HYPERLINK("http://www.worldcat.org/oclc/6430859","WorldCat Record")</f>
        <v>WorldCat Record</v>
      </c>
      <c r="AX2725" s="3" t="s">
        <v>22736</v>
      </c>
      <c r="AY2725" s="3" t="s">
        <v>22737</v>
      </c>
      <c r="AZ2725" s="3" t="s">
        <v>22738</v>
      </c>
      <c r="BA2725" s="3" t="s">
        <v>22738</v>
      </c>
      <c r="BB2725" s="3" t="s">
        <v>22739</v>
      </c>
      <c r="BC2725" s="3" t="s">
        <v>82</v>
      </c>
      <c r="BD2725" s="3" t="s">
        <v>70</v>
      </c>
      <c r="BE2725" s="3" t="s">
        <v>22740</v>
      </c>
      <c r="BF2725" s="3" t="s">
        <v>22739</v>
      </c>
      <c r="BG2725" s="3" t="s">
        <v>22741</v>
      </c>
    </row>
    <row r="2726" spans="1:59" ht="75" x14ac:dyDescent="0.25">
      <c r="A2726" s="2" t="s">
        <v>59</v>
      </c>
      <c r="B2726" s="2" t="s">
        <v>60</v>
      </c>
      <c r="C2726" s="2" t="s">
        <v>22742</v>
      </c>
      <c r="D2726" s="2" t="s">
        <v>22743</v>
      </c>
      <c r="E2726" s="2" t="s">
        <v>22744</v>
      </c>
      <c r="G2726" s="3" t="s">
        <v>63</v>
      </c>
      <c r="I2726" s="3" t="s">
        <v>63</v>
      </c>
      <c r="J2726" s="3" t="s">
        <v>63</v>
      </c>
      <c r="K2726" s="3" t="s">
        <v>64</v>
      </c>
      <c r="L2726" s="2" t="s">
        <v>22723</v>
      </c>
      <c r="M2726" s="2" t="s">
        <v>22745</v>
      </c>
      <c r="N2726" s="3" t="s">
        <v>190</v>
      </c>
      <c r="P2726" s="3" t="s">
        <v>66</v>
      </c>
      <c r="R2726" s="3" t="s">
        <v>67</v>
      </c>
      <c r="S2726" s="4">
        <v>5</v>
      </c>
      <c r="T2726" s="4">
        <v>5</v>
      </c>
      <c r="U2726" s="5" t="s">
        <v>16424</v>
      </c>
      <c r="V2726" s="5" t="s">
        <v>16424</v>
      </c>
      <c r="W2726" s="5" t="s">
        <v>69</v>
      </c>
      <c r="X2726" s="5" t="s">
        <v>69</v>
      </c>
      <c r="Y2726" s="4">
        <v>204</v>
      </c>
      <c r="Z2726" s="4">
        <v>13</v>
      </c>
      <c r="AA2726" s="4">
        <v>13</v>
      </c>
      <c r="AB2726" s="4">
        <v>1</v>
      </c>
      <c r="AC2726" s="4">
        <v>1</v>
      </c>
      <c r="AD2726" s="4">
        <v>92</v>
      </c>
      <c r="AE2726" s="4">
        <v>92</v>
      </c>
      <c r="AF2726" s="4">
        <v>0</v>
      </c>
      <c r="AG2726" s="4">
        <v>0</v>
      </c>
      <c r="AH2726" s="4">
        <v>85</v>
      </c>
      <c r="AI2726" s="4">
        <v>85</v>
      </c>
      <c r="AJ2726" s="4">
        <v>10</v>
      </c>
      <c r="AK2726" s="4">
        <v>10</v>
      </c>
      <c r="AL2726" s="4">
        <v>52</v>
      </c>
      <c r="AM2726" s="4">
        <v>52</v>
      </c>
      <c r="AN2726" s="4">
        <v>0</v>
      </c>
      <c r="AO2726" s="4">
        <v>0</v>
      </c>
      <c r="AP2726" s="4">
        <v>10</v>
      </c>
      <c r="AQ2726" s="4">
        <v>10</v>
      </c>
      <c r="AR2726" s="3" t="s">
        <v>63</v>
      </c>
      <c r="AS2726" s="3" t="s">
        <v>63</v>
      </c>
      <c r="AT2726" s="3" t="s">
        <v>62</v>
      </c>
      <c r="AU2726" s="6" t="str">
        <f>HYPERLINK("http://catalog.hathitrust.org/Record/004980538","HathiTrust Record")</f>
        <v>HathiTrust Record</v>
      </c>
      <c r="AV2726" s="6" t="str">
        <f>HYPERLINK("http://mcgill.on.worldcat.org/oclc/56535014","Catalog Record")</f>
        <v>Catalog Record</v>
      </c>
      <c r="AW2726" s="6" t="str">
        <f>HYPERLINK("http://www.worldcat.org/oclc/56535014","WorldCat Record")</f>
        <v>WorldCat Record</v>
      </c>
      <c r="AX2726" s="3" t="s">
        <v>22746</v>
      </c>
      <c r="AY2726" s="3" t="s">
        <v>22747</v>
      </c>
      <c r="AZ2726" s="3" t="s">
        <v>22748</v>
      </c>
      <c r="BA2726" s="3" t="s">
        <v>22748</v>
      </c>
      <c r="BB2726" s="3" t="s">
        <v>22749</v>
      </c>
      <c r="BC2726" s="3" t="s">
        <v>82</v>
      </c>
      <c r="BD2726" s="3" t="s">
        <v>70</v>
      </c>
      <c r="BE2726" s="3" t="s">
        <v>22750</v>
      </c>
      <c r="BF2726" s="3" t="s">
        <v>22749</v>
      </c>
      <c r="BG2726" s="3" t="s">
        <v>22751</v>
      </c>
    </row>
    <row r="2727" spans="1:59" ht="60" x14ac:dyDescent="0.25">
      <c r="A2727" s="2" t="s">
        <v>59</v>
      </c>
      <c r="B2727" s="2" t="s">
        <v>60</v>
      </c>
      <c r="C2727" s="2" t="s">
        <v>22752</v>
      </c>
      <c r="D2727" s="2" t="s">
        <v>22753</v>
      </c>
      <c r="E2727" s="2" t="s">
        <v>22754</v>
      </c>
      <c r="G2727" s="3" t="s">
        <v>63</v>
      </c>
      <c r="I2727" s="3" t="s">
        <v>63</v>
      </c>
      <c r="J2727" s="3" t="s">
        <v>63</v>
      </c>
      <c r="K2727" s="3" t="s">
        <v>64</v>
      </c>
      <c r="L2727" s="2" t="s">
        <v>22755</v>
      </c>
      <c r="M2727" s="2" t="s">
        <v>22756</v>
      </c>
      <c r="N2727" s="3" t="s">
        <v>274</v>
      </c>
      <c r="P2727" s="3" t="s">
        <v>66</v>
      </c>
      <c r="R2727" s="3" t="s">
        <v>67</v>
      </c>
      <c r="S2727" s="4">
        <v>5</v>
      </c>
      <c r="T2727" s="4">
        <v>5</v>
      </c>
      <c r="U2727" s="5" t="s">
        <v>22735</v>
      </c>
      <c r="V2727" s="5" t="s">
        <v>22735</v>
      </c>
      <c r="W2727" s="5" t="s">
        <v>69</v>
      </c>
      <c r="X2727" s="5" t="s">
        <v>69</v>
      </c>
      <c r="Y2727" s="4">
        <v>305</v>
      </c>
      <c r="Z2727" s="4">
        <v>17</v>
      </c>
      <c r="AA2727" s="4">
        <v>17</v>
      </c>
      <c r="AB2727" s="4">
        <v>1</v>
      </c>
      <c r="AC2727" s="4">
        <v>1</v>
      </c>
      <c r="AD2727" s="4">
        <v>103</v>
      </c>
      <c r="AE2727" s="4">
        <v>103</v>
      </c>
      <c r="AF2727" s="4">
        <v>0</v>
      </c>
      <c r="AG2727" s="4">
        <v>0</v>
      </c>
      <c r="AH2727" s="4">
        <v>94</v>
      </c>
      <c r="AI2727" s="4">
        <v>94</v>
      </c>
      <c r="AJ2727" s="4">
        <v>13</v>
      </c>
      <c r="AK2727" s="4">
        <v>13</v>
      </c>
      <c r="AL2727" s="4">
        <v>53</v>
      </c>
      <c r="AM2727" s="4">
        <v>53</v>
      </c>
      <c r="AN2727" s="4">
        <v>0</v>
      </c>
      <c r="AO2727" s="4">
        <v>0</v>
      </c>
      <c r="AP2727" s="4">
        <v>14</v>
      </c>
      <c r="AQ2727" s="4">
        <v>14</v>
      </c>
      <c r="AR2727" s="3" t="s">
        <v>63</v>
      </c>
      <c r="AS2727" s="3" t="s">
        <v>63</v>
      </c>
      <c r="AT2727" s="3" t="s">
        <v>62</v>
      </c>
      <c r="AU2727" s="6" t="str">
        <f>HYPERLINK("http://catalog.hathitrust.org/Record/004029022","HathiTrust Record")</f>
        <v>HathiTrust Record</v>
      </c>
      <c r="AV2727" s="6" t="str">
        <f>HYPERLINK("http://mcgill.on.worldcat.org/oclc/39849594","Catalog Record")</f>
        <v>Catalog Record</v>
      </c>
      <c r="AW2727" s="6" t="str">
        <f>HYPERLINK("http://www.worldcat.org/oclc/39849594","WorldCat Record")</f>
        <v>WorldCat Record</v>
      </c>
      <c r="AX2727" s="3" t="s">
        <v>22757</v>
      </c>
      <c r="AY2727" s="3" t="s">
        <v>22758</v>
      </c>
      <c r="AZ2727" s="3" t="s">
        <v>22759</v>
      </c>
      <c r="BA2727" s="3" t="s">
        <v>22759</v>
      </c>
      <c r="BB2727" s="3" t="s">
        <v>22760</v>
      </c>
      <c r="BC2727" s="3" t="s">
        <v>82</v>
      </c>
      <c r="BD2727" s="3" t="s">
        <v>70</v>
      </c>
      <c r="BE2727" s="3" t="s">
        <v>22761</v>
      </c>
      <c r="BF2727" s="3" t="s">
        <v>22760</v>
      </c>
      <c r="BG2727" s="3" t="s">
        <v>22762</v>
      </c>
    </row>
    <row r="2728" spans="1:59" ht="90" x14ac:dyDescent="0.25">
      <c r="A2728" s="2" t="s">
        <v>59</v>
      </c>
      <c r="B2728" s="2" t="s">
        <v>60</v>
      </c>
      <c r="C2728" s="2" t="s">
        <v>22763</v>
      </c>
      <c r="D2728" s="2" t="s">
        <v>22764</v>
      </c>
      <c r="E2728" s="2" t="s">
        <v>22765</v>
      </c>
      <c r="G2728" s="3" t="s">
        <v>63</v>
      </c>
      <c r="I2728" s="3" t="s">
        <v>63</v>
      </c>
      <c r="J2728" s="3" t="s">
        <v>63</v>
      </c>
      <c r="K2728" s="3" t="s">
        <v>64</v>
      </c>
      <c r="L2728" s="2" t="s">
        <v>22766</v>
      </c>
      <c r="M2728" s="2" t="s">
        <v>22767</v>
      </c>
      <c r="N2728" s="3" t="s">
        <v>1296</v>
      </c>
      <c r="P2728" s="3" t="s">
        <v>66</v>
      </c>
      <c r="R2728" s="3" t="s">
        <v>67</v>
      </c>
      <c r="S2728" s="4">
        <v>3</v>
      </c>
      <c r="T2728" s="4">
        <v>3</v>
      </c>
      <c r="U2728" s="5" t="s">
        <v>22768</v>
      </c>
      <c r="V2728" s="5" t="s">
        <v>22768</v>
      </c>
      <c r="W2728" s="5" t="s">
        <v>69</v>
      </c>
      <c r="X2728" s="5" t="s">
        <v>69</v>
      </c>
      <c r="Y2728" s="4">
        <v>404</v>
      </c>
      <c r="Z2728" s="4">
        <v>19</v>
      </c>
      <c r="AA2728" s="4">
        <v>21</v>
      </c>
      <c r="AB2728" s="4">
        <v>2</v>
      </c>
      <c r="AC2728" s="4">
        <v>2</v>
      </c>
      <c r="AD2728" s="4">
        <v>99</v>
      </c>
      <c r="AE2728" s="4">
        <v>101</v>
      </c>
      <c r="AF2728" s="4">
        <v>1</v>
      </c>
      <c r="AG2728" s="4">
        <v>1</v>
      </c>
      <c r="AH2728" s="4">
        <v>87</v>
      </c>
      <c r="AI2728" s="4">
        <v>88</v>
      </c>
      <c r="AJ2728" s="4">
        <v>11</v>
      </c>
      <c r="AK2728" s="4">
        <v>13</v>
      </c>
      <c r="AL2728" s="4">
        <v>50</v>
      </c>
      <c r="AM2728" s="4">
        <v>50</v>
      </c>
      <c r="AN2728" s="4">
        <v>0</v>
      </c>
      <c r="AO2728" s="4">
        <v>0</v>
      </c>
      <c r="AP2728" s="4">
        <v>15</v>
      </c>
      <c r="AQ2728" s="4">
        <v>17</v>
      </c>
      <c r="AR2728" s="3" t="s">
        <v>63</v>
      </c>
      <c r="AS2728" s="3" t="s">
        <v>63</v>
      </c>
      <c r="AT2728" s="3" t="s">
        <v>62</v>
      </c>
      <c r="AU2728" s="6" t="str">
        <f>HYPERLINK("http://catalog.hathitrust.org/Record/001059777","HathiTrust Record")</f>
        <v>HathiTrust Record</v>
      </c>
      <c r="AV2728" s="6" t="str">
        <f>HYPERLINK("http://mcgill.on.worldcat.org/oclc/10802","Catalog Record")</f>
        <v>Catalog Record</v>
      </c>
      <c r="AW2728" s="6" t="str">
        <f>HYPERLINK("http://www.worldcat.org/oclc/10802","WorldCat Record")</f>
        <v>WorldCat Record</v>
      </c>
      <c r="AX2728" s="3" t="s">
        <v>22769</v>
      </c>
      <c r="AY2728" s="3" t="s">
        <v>22770</v>
      </c>
      <c r="AZ2728" s="3" t="s">
        <v>22771</v>
      </c>
      <c r="BA2728" s="3" t="s">
        <v>22771</v>
      </c>
      <c r="BB2728" s="3" t="s">
        <v>22772</v>
      </c>
      <c r="BC2728" s="3" t="s">
        <v>82</v>
      </c>
      <c r="BD2728" s="3" t="s">
        <v>70</v>
      </c>
      <c r="BF2728" s="3" t="s">
        <v>22772</v>
      </c>
      <c r="BG2728" s="3" t="s">
        <v>22773</v>
      </c>
    </row>
    <row r="2729" spans="1:59" ht="75" x14ac:dyDescent="0.25">
      <c r="A2729" s="2" t="s">
        <v>59</v>
      </c>
      <c r="B2729" s="2" t="s">
        <v>60</v>
      </c>
      <c r="C2729" s="2" t="s">
        <v>22774</v>
      </c>
      <c r="D2729" s="2" t="s">
        <v>22775</v>
      </c>
      <c r="E2729" s="2" t="s">
        <v>22776</v>
      </c>
      <c r="G2729" s="3" t="s">
        <v>63</v>
      </c>
      <c r="I2729" s="3" t="s">
        <v>63</v>
      </c>
      <c r="J2729" s="3" t="s">
        <v>63</v>
      </c>
      <c r="K2729" s="3" t="s">
        <v>64</v>
      </c>
      <c r="L2729" s="2" t="s">
        <v>22766</v>
      </c>
      <c r="M2729" s="2" t="s">
        <v>22777</v>
      </c>
      <c r="N2729" s="3" t="s">
        <v>1296</v>
      </c>
      <c r="P2729" s="3" t="s">
        <v>66</v>
      </c>
      <c r="R2729" s="3" t="s">
        <v>67</v>
      </c>
      <c r="S2729" s="4">
        <v>2</v>
      </c>
      <c r="T2729" s="4">
        <v>2</v>
      </c>
      <c r="U2729" s="5" t="s">
        <v>22768</v>
      </c>
      <c r="V2729" s="5" t="s">
        <v>22768</v>
      </c>
      <c r="W2729" s="5" t="s">
        <v>69</v>
      </c>
      <c r="X2729" s="5" t="s">
        <v>69</v>
      </c>
      <c r="Y2729" s="4">
        <v>266</v>
      </c>
      <c r="Z2729" s="4">
        <v>10</v>
      </c>
      <c r="AA2729" s="4">
        <v>12</v>
      </c>
      <c r="AB2729" s="4">
        <v>1</v>
      </c>
      <c r="AC2729" s="4">
        <v>1</v>
      </c>
      <c r="AD2729" s="4">
        <v>85</v>
      </c>
      <c r="AE2729" s="4">
        <v>87</v>
      </c>
      <c r="AF2729" s="4">
        <v>0</v>
      </c>
      <c r="AG2729" s="4">
        <v>0</v>
      </c>
      <c r="AH2729" s="4">
        <v>79</v>
      </c>
      <c r="AI2729" s="4">
        <v>80</v>
      </c>
      <c r="AJ2729" s="4">
        <v>9</v>
      </c>
      <c r="AK2729" s="4">
        <v>11</v>
      </c>
      <c r="AL2729" s="4">
        <v>46</v>
      </c>
      <c r="AM2729" s="4">
        <v>46</v>
      </c>
      <c r="AN2729" s="4">
        <v>0</v>
      </c>
      <c r="AO2729" s="4">
        <v>0</v>
      </c>
      <c r="AP2729" s="4">
        <v>8</v>
      </c>
      <c r="AQ2729" s="4">
        <v>10</v>
      </c>
      <c r="AR2729" s="3" t="s">
        <v>63</v>
      </c>
      <c r="AS2729" s="3" t="s">
        <v>63</v>
      </c>
      <c r="AT2729" s="3" t="s">
        <v>62</v>
      </c>
      <c r="AU2729" s="6" t="str">
        <f>HYPERLINK("http://catalog.hathitrust.org/Record/001059778","HathiTrust Record")</f>
        <v>HathiTrust Record</v>
      </c>
      <c r="AV2729" s="6" t="str">
        <f>HYPERLINK("http://mcgill.on.worldcat.org/oclc/10803","Catalog Record")</f>
        <v>Catalog Record</v>
      </c>
      <c r="AW2729" s="6" t="str">
        <f>HYPERLINK("http://www.worldcat.org/oclc/10803","WorldCat Record")</f>
        <v>WorldCat Record</v>
      </c>
      <c r="AX2729" s="3" t="s">
        <v>22778</v>
      </c>
      <c r="AY2729" s="3" t="s">
        <v>22779</v>
      </c>
      <c r="AZ2729" s="3" t="s">
        <v>22780</v>
      </c>
      <c r="BA2729" s="3" t="s">
        <v>22780</v>
      </c>
      <c r="BB2729" s="3" t="s">
        <v>22781</v>
      </c>
      <c r="BC2729" s="3" t="s">
        <v>82</v>
      </c>
      <c r="BD2729" s="3" t="s">
        <v>70</v>
      </c>
      <c r="BF2729" s="3" t="s">
        <v>22781</v>
      </c>
      <c r="BG2729" s="3" t="s">
        <v>22782</v>
      </c>
    </row>
    <row r="2730" spans="1:59" ht="75" x14ac:dyDescent="0.25">
      <c r="A2730" s="2" t="s">
        <v>59</v>
      </c>
      <c r="B2730" s="2" t="s">
        <v>60</v>
      </c>
      <c r="C2730" s="2" t="s">
        <v>22783</v>
      </c>
      <c r="D2730" s="2" t="s">
        <v>22784</v>
      </c>
      <c r="E2730" s="2" t="s">
        <v>22785</v>
      </c>
      <c r="G2730" s="3" t="s">
        <v>63</v>
      </c>
      <c r="I2730" s="3" t="s">
        <v>63</v>
      </c>
      <c r="J2730" s="3" t="s">
        <v>63</v>
      </c>
      <c r="K2730" s="3" t="s">
        <v>64</v>
      </c>
      <c r="L2730" s="2" t="s">
        <v>22786</v>
      </c>
      <c r="M2730" s="2" t="s">
        <v>22787</v>
      </c>
      <c r="N2730" s="3" t="s">
        <v>455</v>
      </c>
      <c r="P2730" s="3" t="s">
        <v>66</v>
      </c>
      <c r="Q2730" s="2" t="s">
        <v>7670</v>
      </c>
      <c r="R2730" s="3" t="s">
        <v>67</v>
      </c>
      <c r="S2730" s="4">
        <v>18</v>
      </c>
      <c r="T2730" s="4">
        <v>18</v>
      </c>
      <c r="U2730" s="5" t="s">
        <v>22788</v>
      </c>
      <c r="V2730" s="5" t="s">
        <v>22788</v>
      </c>
      <c r="W2730" s="5" t="s">
        <v>69</v>
      </c>
      <c r="X2730" s="5" t="s">
        <v>69</v>
      </c>
      <c r="Y2730" s="4">
        <v>475</v>
      </c>
      <c r="Z2730" s="4">
        <v>19</v>
      </c>
      <c r="AA2730" s="4">
        <v>107</v>
      </c>
      <c r="AB2730" s="4">
        <v>1</v>
      </c>
      <c r="AC2730" s="4">
        <v>18</v>
      </c>
      <c r="AD2730" s="4">
        <v>113</v>
      </c>
      <c r="AE2730" s="4">
        <v>150</v>
      </c>
      <c r="AF2730" s="4">
        <v>0</v>
      </c>
      <c r="AG2730" s="4">
        <v>8</v>
      </c>
      <c r="AH2730" s="4">
        <v>105</v>
      </c>
      <c r="AI2730" s="4">
        <v>112</v>
      </c>
      <c r="AJ2730" s="4">
        <v>13</v>
      </c>
      <c r="AK2730" s="4">
        <v>23</v>
      </c>
      <c r="AL2730" s="4">
        <v>58</v>
      </c>
      <c r="AM2730" s="4">
        <v>62</v>
      </c>
      <c r="AN2730" s="4">
        <v>0</v>
      </c>
      <c r="AO2730" s="4">
        <v>0</v>
      </c>
      <c r="AP2730" s="4">
        <v>15</v>
      </c>
      <c r="AQ2730" s="4">
        <v>45</v>
      </c>
      <c r="AR2730" s="3" t="s">
        <v>63</v>
      </c>
      <c r="AS2730" s="3" t="s">
        <v>63</v>
      </c>
      <c r="AT2730" s="3" t="s">
        <v>62</v>
      </c>
      <c r="AU2730" s="6" t="str">
        <f>HYPERLINK("http://catalog.hathitrust.org/Record/000780278","HathiTrust Record")</f>
        <v>HathiTrust Record</v>
      </c>
      <c r="AV2730" s="6" t="str">
        <f>HYPERLINK("http://mcgill.on.worldcat.org/oclc/9970551","Catalog Record")</f>
        <v>Catalog Record</v>
      </c>
      <c r="AW2730" s="6" t="str">
        <f>HYPERLINK("http://www.worldcat.org/oclc/9970551","WorldCat Record")</f>
        <v>WorldCat Record</v>
      </c>
      <c r="AX2730" s="3" t="s">
        <v>22789</v>
      </c>
      <c r="AY2730" s="3" t="s">
        <v>22790</v>
      </c>
      <c r="AZ2730" s="3" t="s">
        <v>22791</v>
      </c>
      <c r="BA2730" s="3" t="s">
        <v>22791</v>
      </c>
      <c r="BB2730" s="3" t="s">
        <v>22792</v>
      </c>
      <c r="BC2730" s="3" t="s">
        <v>82</v>
      </c>
      <c r="BD2730" s="3" t="s">
        <v>70</v>
      </c>
      <c r="BE2730" s="3" t="s">
        <v>22793</v>
      </c>
      <c r="BF2730" s="3" t="s">
        <v>22792</v>
      </c>
      <c r="BG2730" s="3" t="s">
        <v>22794</v>
      </c>
    </row>
    <row r="2731" spans="1:59" ht="75" x14ac:dyDescent="0.25">
      <c r="A2731" s="2" t="s">
        <v>59</v>
      </c>
      <c r="B2731" s="2" t="s">
        <v>60</v>
      </c>
      <c r="C2731" s="2" t="s">
        <v>22795</v>
      </c>
      <c r="D2731" s="2" t="s">
        <v>22796</v>
      </c>
      <c r="E2731" s="2" t="s">
        <v>22797</v>
      </c>
      <c r="G2731" s="3" t="s">
        <v>63</v>
      </c>
      <c r="I2731" s="3" t="s">
        <v>63</v>
      </c>
      <c r="J2731" s="3" t="s">
        <v>63</v>
      </c>
      <c r="K2731" s="3" t="s">
        <v>64</v>
      </c>
      <c r="L2731" s="2" t="s">
        <v>18432</v>
      </c>
      <c r="M2731" s="2" t="s">
        <v>22798</v>
      </c>
      <c r="N2731" s="3" t="s">
        <v>16577</v>
      </c>
      <c r="P2731" s="3" t="s">
        <v>66</v>
      </c>
      <c r="R2731" s="3" t="s">
        <v>67</v>
      </c>
      <c r="S2731" s="4">
        <v>6</v>
      </c>
      <c r="T2731" s="4">
        <v>6</v>
      </c>
      <c r="U2731" s="5" t="s">
        <v>22799</v>
      </c>
      <c r="V2731" s="5" t="s">
        <v>22799</v>
      </c>
      <c r="W2731" s="5" t="s">
        <v>69</v>
      </c>
      <c r="X2731" s="5" t="s">
        <v>69</v>
      </c>
      <c r="Y2731" s="4">
        <v>14</v>
      </c>
      <c r="Z2731" s="4">
        <v>2</v>
      </c>
      <c r="AA2731" s="4">
        <v>12</v>
      </c>
      <c r="AB2731" s="4">
        <v>1</v>
      </c>
      <c r="AC2731" s="4">
        <v>2</v>
      </c>
      <c r="AD2731" s="4">
        <v>6</v>
      </c>
      <c r="AE2731" s="4">
        <v>59</v>
      </c>
      <c r="AF2731" s="4">
        <v>0</v>
      </c>
      <c r="AG2731" s="4">
        <v>0</v>
      </c>
      <c r="AH2731" s="4">
        <v>5</v>
      </c>
      <c r="AI2731" s="4">
        <v>56</v>
      </c>
      <c r="AJ2731" s="4">
        <v>1</v>
      </c>
      <c r="AK2731" s="4">
        <v>7</v>
      </c>
      <c r="AL2731" s="4">
        <v>3</v>
      </c>
      <c r="AM2731" s="4">
        <v>34</v>
      </c>
      <c r="AN2731" s="4">
        <v>0</v>
      </c>
      <c r="AO2731" s="4">
        <v>0</v>
      </c>
      <c r="AP2731" s="4">
        <v>1</v>
      </c>
      <c r="AQ2731" s="4">
        <v>7</v>
      </c>
      <c r="AR2731" s="3" t="s">
        <v>63</v>
      </c>
      <c r="AS2731" s="3" t="s">
        <v>63</v>
      </c>
      <c r="AT2731" s="3" t="s">
        <v>62</v>
      </c>
      <c r="AU2731" s="6" t="str">
        <f>HYPERLINK("http://catalog.hathitrust.org/Record/001728051","HathiTrust Record")</f>
        <v>HathiTrust Record</v>
      </c>
      <c r="AV2731" s="6" t="str">
        <f>HYPERLINK("http://mcgill.on.worldcat.org/oclc/15077175","Catalog Record")</f>
        <v>Catalog Record</v>
      </c>
      <c r="AW2731" s="6" t="str">
        <f>HYPERLINK("http://www.worldcat.org/oclc/15077175","WorldCat Record")</f>
        <v>WorldCat Record</v>
      </c>
      <c r="AX2731" s="3" t="s">
        <v>22800</v>
      </c>
      <c r="AY2731" s="3" t="s">
        <v>22801</v>
      </c>
      <c r="AZ2731" s="3" t="s">
        <v>22802</v>
      </c>
      <c r="BA2731" s="3" t="s">
        <v>22802</v>
      </c>
      <c r="BB2731" s="3" t="s">
        <v>22803</v>
      </c>
      <c r="BC2731" s="3" t="s">
        <v>82</v>
      </c>
      <c r="BD2731" s="3" t="s">
        <v>70</v>
      </c>
      <c r="BF2731" s="3" t="s">
        <v>22803</v>
      </c>
      <c r="BG2731" s="3" t="s">
        <v>22804</v>
      </c>
    </row>
    <row r="2732" spans="1:59" ht="75" x14ac:dyDescent="0.25">
      <c r="A2732" s="2" t="s">
        <v>59</v>
      </c>
      <c r="B2732" s="2" t="s">
        <v>60</v>
      </c>
      <c r="C2732" s="2" t="s">
        <v>22805</v>
      </c>
      <c r="D2732" s="2" t="s">
        <v>22806</v>
      </c>
      <c r="E2732" s="2" t="s">
        <v>22807</v>
      </c>
      <c r="F2732" s="3" t="s">
        <v>22808</v>
      </c>
      <c r="G2732" s="3" t="s">
        <v>62</v>
      </c>
      <c r="I2732" s="3" t="s">
        <v>63</v>
      </c>
      <c r="J2732" s="3" t="s">
        <v>63</v>
      </c>
      <c r="K2732" s="3" t="s">
        <v>64</v>
      </c>
      <c r="L2732" s="2" t="s">
        <v>18432</v>
      </c>
      <c r="M2732" s="2" t="s">
        <v>22809</v>
      </c>
      <c r="N2732" s="3" t="s">
        <v>8667</v>
      </c>
      <c r="P2732" s="3" t="s">
        <v>90</v>
      </c>
      <c r="R2732" s="3" t="s">
        <v>67</v>
      </c>
      <c r="S2732" s="4">
        <v>1</v>
      </c>
      <c r="T2732" s="4">
        <v>5</v>
      </c>
      <c r="U2732" s="5" t="s">
        <v>22810</v>
      </c>
      <c r="V2732" s="5" t="s">
        <v>22810</v>
      </c>
      <c r="W2732" s="5" t="s">
        <v>69</v>
      </c>
      <c r="X2732" s="5" t="s">
        <v>69</v>
      </c>
      <c r="Y2732" s="4">
        <v>8</v>
      </c>
      <c r="Z2732" s="4">
        <v>4</v>
      </c>
      <c r="AA2732" s="4">
        <v>4</v>
      </c>
      <c r="AB2732" s="4">
        <v>1</v>
      </c>
      <c r="AC2732" s="4">
        <v>1</v>
      </c>
      <c r="AD2732" s="4">
        <v>2</v>
      </c>
      <c r="AE2732" s="4">
        <v>2</v>
      </c>
      <c r="AF2732" s="4">
        <v>0</v>
      </c>
      <c r="AG2732" s="4">
        <v>0</v>
      </c>
      <c r="AH2732" s="4">
        <v>2</v>
      </c>
      <c r="AI2732" s="4">
        <v>2</v>
      </c>
      <c r="AJ2732" s="4">
        <v>2</v>
      </c>
      <c r="AK2732" s="4">
        <v>2</v>
      </c>
      <c r="AL2732" s="4">
        <v>1</v>
      </c>
      <c r="AM2732" s="4">
        <v>1</v>
      </c>
      <c r="AN2732" s="4">
        <v>0</v>
      </c>
      <c r="AO2732" s="4">
        <v>0</v>
      </c>
      <c r="AP2732" s="4">
        <v>2</v>
      </c>
      <c r="AQ2732" s="4">
        <v>2</v>
      </c>
      <c r="AR2732" s="3" t="s">
        <v>63</v>
      </c>
      <c r="AS2732" s="3" t="s">
        <v>63</v>
      </c>
      <c r="AT2732" s="3" t="s">
        <v>63</v>
      </c>
      <c r="AV2732" s="6" t="str">
        <f>HYPERLINK("http://mcgill.on.worldcat.org/oclc/7040300","Catalog Record")</f>
        <v>Catalog Record</v>
      </c>
      <c r="AW2732" s="6" t="str">
        <f>HYPERLINK("http://www.worldcat.org/oclc/7040300","WorldCat Record")</f>
        <v>WorldCat Record</v>
      </c>
      <c r="AX2732" s="3" t="s">
        <v>22811</v>
      </c>
      <c r="AY2732" s="3" t="s">
        <v>22812</v>
      </c>
      <c r="AZ2732" s="3" t="s">
        <v>22813</v>
      </c>
      <c r="BA2732" s="3" t="s">
        <v>22813</v>
      </c>
      <c r="BB2732" s="3" t="s">
        <v>22814</v>
      </c>
      <c r="BC2732" s="3" t="s">
        <v>82</v>
      </c>
      <c r="BD2732" s="3" t="s">
        <v>70</v>
      </c>
      <c r="BF2732" s="3" t="s">
        <v>22814</v>
      </c>
      <c r="BG2732" s="3" t="s">
        <v>22815</v>
      </c>
    </row>
    <row r="2733" spans="1:59" ht="75" x14ac:dyDescent="0.25">
      <c r="A2733" s="2" t="s">
        <v>59</v>
      </c>
      <c r="B2733" s="2" t="s">
        <v>60</v>
      </c>
      <c r="C2733" s="2" t="s">
        <v>22805</v>
      </c>
      <c r="D2733" s="2" t="s">
        <v>22806</v>
      </c>
      <c r="E2733" s="2" t="s">
        <v>22807</v>
      </c>
      <c r="F2733" s="3" t="s">
        <v>2601</v>
      </c>
      <c r="G2733" s="3" t="s">
        <v>62</v>
      </c>
      <c r="I2733" s="3" t="s">
        <v>63</v>
      </c>
      <c r="J2733" s="3" t="s">
        <v>63</v>
      </c>
      <c r="K2733" s="3" t="s">
        <v>64</v>
      </c>
      <c r="L2733" s="2" t="s">
        <v>18432</v>
      </c>
      <c r="M2733" s="2" t="s">
        <v>22809</v>
      </c>
      <c r="N2733" s="3" t="s">
        <v>8667</v>
      </c>
      <c r="P2733" s="3" t="s">
        <v>90</v>
      </c>
      <c r="R2733" s="3" t="s">
        <v>67</v>
      </c>
      <c r="S2733" s="4">
        <v>1</v>
      </c>
      <c r="T2733" s="4">
        <v>5</v>
      </c>
      <c r="U2733" s="5" t="s">
        <v>22810</v>
      </c>
      <c r="V2733" s="5" t="s">
        <v>22810</v>
      </c>
      <c r="W2733" s="5" t="s">
        <v>69</v>
      </c>
      <c r="X2733" s="5" t="s">
        <v>69</v>
      </c>
      <c r="Y2733" s="4">
        <v>8</v>
      </c>
      <c r="Z2733" s="4">
        <v>4</v>
      </c>
      <c r="AA2733" s="4">
        <v>4</v>
      </c>
      <c r="AB2733" s="4">
        <v>1</v>
      </c>
      <c r="AC2733" s="4">
        <v>1</v>
      </c>
      <c r="AD2733" s="4">
        <v>2</v>
      </c>
      <c r="AE2733" s="4">
        <v>2</v>
      </c>
      <c r="AF2733" s="4">
        <v>0</v>
      </c>
      <c r="AG2733" s="4">
        <v>0</v>
      </c>
      <c r="AH2733" s="4">
        <v>2</v>
      </c>
      <c r="AI2733" s="4">
        <v>2</v>
      </c>
      <c r="AJ2733" s="4">
        <v>2</v>
      </c>
      <c r="AK2733" s="4">
        <v>2</v>
      </c>
      <c r="AL2733" s="4">
        <v>1</v>
      </c>
      <c r="AM2733" s="4">
        <v>1</v>
      </c>
      <c r="AN2733" s="4">
        <v>0</v>
      </c>
      <c r="AO2733" s="4">
        <v>0</v>
      </c>
      <c r="AP2733" s="4">
        <v>2</v>
      </c>
      <c r="AQ2733" s="4">
        <v>2</v>
      </c>
      <c r="AR2733" s="3" t="s">
        <v>63</v>
      </c>
      <c r="AS2733" s="3" t="s">
        <v>63</v>
      </c>
      <c r="AT2733" s="3" t="s">
        <v>63</v>
      </c>
      <c r="AV2733" s="6" t="str">
        <f>HYPERLINK("http://mcgill.on.worldcat.org/oclc/7040300","Catalog Record")</f>
        <v>Catalog Record</v>
      </c>
      <c r="AW2733" s="6" t="str">
        <f>HYPERLINK("http://www.worldcat.org/oclc/7040300","WorldCat Record")</f>
        <v>WorldCat Record</v>
      </c>
      <c r="AX2733" s="3" t="s">
        <v>22811</v>
      </c>
      <c r="AY2733" s="3" t="s">
        <v>22812</v>
      </c>
      <c r="AZ2733" s="3" t="s">
        <v>22813</v>
      </c>
      <c r="BA2733" s="3" t="s">
        <v>22813</v>
      </c>
      <c r="BB2733" s="3" t="s">
        <v>22816</v>
      </c>
      <c r="BC2733" s="3" t="s">
        <v>82</v>
      </c>
      <c r="BD2733" s="3" t="s">
        <v>70</v>
      </c>
      <c r="BF2733" s="3" t="s">
        <v>22816</v>
      </c>
      <c r="BG2733" s="3" t="s">
        <v>22817</v>
      </c>
    </row>
    <row r="2734" spans="1:59" ht="75" x14ac:dyDescent="0.25">
      <c r="A2734" s="2" t="s">
        <v>59</v>
      </c>
      <c r="B2734" s="2" t="s">
        <v>60</v>
      </c>
      <c r="C2734" s="2" t="s">
        <v>22805</v>
      </c>
      <c r="D2734" s="2" t="s">
        <v>22806</v>
      </c>
      <c r="E2734" s="2" t="s">
        <v>22807</v>
      </c>
      <c r="F2734" s="3" t="s">
        <v>22818</v>
      </c>
      <c r="G2734" s="3" t="s">
        <v>62</v>
      </c>
      <c r="I2734" s="3" t="s">
        <v>63</v>
      </c>
      <c r="J2734" s="3" t="s">
        <v>63</v>
      </c>
      <c r="K2734" s="3" t="s">
        <v>64</v>
      </c>
      <c r="L2734" s="2" t="s">
        <v>18432</v>
      </c>
      <c r="M2734" s="2" t="s">
        <v>22809</v>
      </c>
      <c r="N2734" s="3" t="s">
        <v>8667</v>
      </c>
      <c r="P2734" s="3" t="s">
        <v>90</v>
      </c>
      <c r="R2734" s="3" t="s">
        <v>67</v>
      </c>
      <c r="S2734" s="4">
        <v>1</v>
      </c>
      <c r="T2734" s="4">
        <v>5</v>
      </c>
      <c r="U2734" s="5" t="s">
        <v>22810</v>
      </c>
      <c r="V2734" s="5" t="s">
        <v>22810</v>
      </c>
      <c r="W2734" s="5" t="s">
        <v>69</v>
      </c>
      <c r="X2734" s="5" t="s">
        <v>69</v>
      </c>
      <c r="Y2734" s="4">
        <v>8</v>
      </c>
      <c r="Z2734" s="4">
        <v>4</v>
      </c>
      <c r="AA2734" s="4">
        <v>4</v>
      </c>
      <c r="AB2734" s="4">
        <v>1</v>
      </c>
      <c r="AC2734" s="4">
        <v>1</v>
      </c>
      <c r="AD2734" s="4">
        <v>2</v>
      </c>
      <c r="AE2734" s="4">
        <v>2</v>
      </c>
      <c r="AF2734" s="4">
        <v>0</v>
      </c>
      <c r="AG2734" s="4">
        <v>0</v>
      </c>
      <c r="AH2734" s="4">
        <v>2</v>
      </c>
      <c r="AI2734" s="4">
        <v>2</v>
      </c>
      <c r="AJ2734" s="4">
        <v>2</v>
      </c>
      <c r="AK2734" s="4">
        <v>2</v>
      </c>
      <c r="AL2734" s="4">
        <v>1</v>
      </c>
      <c r="AM2734" s="4">
        <v>1</v>
      </c>
      <c r="AN2734" s="4">
        <v>0</v>
      </c>
      <c r="AO2734" s="4">
        <v>0</v>
      </c>
      <c r="AP2734" s="4">
        <v>2</v>
      </c>
      <c r="AQ2734" s="4">
        <v>2</v>
      </c>
      <c r="AR2734" s="3" t="s">
        <v>63</v>
      </c>
      <c r="AS2734" s="3" t="s">
        <v>63</v>
      </c>
      <c r="AT2734" s="3" t="s">
        <v>63</v>
      </c>
      <c r="AV2734" s="6" t="str">
        <f>HYPERLINK("http://mcgill.on.worldcat.org/oclc/7040300","Catalog Record")</f>
        <v>Catalog Record</v>
      </c>
      <c r="AW2734" s="6" t="str">
        <f>HYPERLINK("http://www.worldcat.org/oclc/7040300","WorldCat Record")</f>
        <v>WorldCat Record</v>
      </c>
      <c r="AX2734" s="3" t="s">
        <v>22811</v>
      </c>
      <c r="AY2734" s="3" t="s">
        <v>22812</v>
      </c>
      <c r="AZ2734" s="3" t="s">
        <v>22813</v>
      </c>
      <c r="BA2734" s="3" t="s">
        <v>22813</v>
      </c>
      <c r="BB2734" s="3" t="s">
        <v>22819</v>
      </c>
      <c r="BC2734" s="3" t="s">
        <v>82</v>
      </c>
      <c r="BD2734" s="3" t="s">
        <v>70</v>
      </c>
      <c r="BF2734" s="3" t="s">
        <v>22819</v>
      </c>
      <c r="BG2734" s="3" t="s">
        <v>22820</v>
      </c>
    </row>
    <row r="2735" spans="1:59" ht="75" x14ac:dyDescent="0.25">
      <c r="A2735" s="2" t="s">
        <v>59</v>
      </c>
      <c r="B2735" s="2" t="s">
        <v>60</v>
      </c>
      <c r="C2735" s="2" t="s">
        <v>22805</v>
      </c>
      <c r="D2735" s="2" t="s">
        <v>22806</v>
      </c>
      <c r="E2735" s="2" t="s">
        <v>22807</v>
      </c>
      <c r="F2735" s="3" t="s">
        <v>22821</v>
      </c>
      <c r="G2735" s="3" t="s">
        <v>62</v>
      </c>
      <c r="I2735" s="3" t="s">
        <v>63</v>
      </c>
      <c r="J2735" s="3" t="s">
        <v>63</v>
      </c>
      <c r="K2735" s="3" t="s">
        <v>64</v>
      </c>
      <c r="L2735" s="2" t="s">
        <v>18432</v>
      </c>
      <c r="M2735" s="2" t="s">
        <v>22809</v>
      </c>
      <c r="N2735" s="3" t="s">
        <v>8667</v>
      </c>
      <c r="P2735" s="3" t="s">
        <v>90</v>
      </c>
      <c r="R2735" s="3" t="s">
        <v>67</v>
      </c>
      <c r="S2735" s="4">
        <v>1</v>
      </c>
      <c r="T2735" s="4">
        <v>5</v>
      </c>
      <c r="U2735" s="5" t="s">
        <v>22810</v>
      </c>
      <c r="V2735" s="5" t="s">
        <v>22810</v>
      </c>
      <c r="W2735" s="5" t="s">
        <v>69</v>
      </c>
      <c r="X2735" s="5" t="s">
        <v>69</v>
      </c>
      <c r="Y2735" s="4">
        <v>8</v>
      </c>
      <c r="Z2735" s="4">
        <v>4</v>
      </c>
      <c r="AA2735" s="4">
        <v>4</v>
      </c>
      <c r="AB2735" s="4">
        <v>1</v>
      </c>
      <c r="AC2735" s="4">
        <v>1</v>
      </c>
      <c r="AD2735" s="4">
        <v>2</v>
      </c>
      <c r="AE2735" s="4">
        <v>2</v>
      </c>
      <c r="AF2735" s="4">
        <v>0</v>
      </c>
      <c r="AG2735" s="4">
        <v>0</v>
      </c>
      <c r="AH2735" s="4">
        <v>2</v>
      </c>
      <c r="AI2735" s="4">
        <v>2</v>
      </c>
      <c r="AJ2735" s="4">
        <v>2</v>
      </c>
      <c r="AK2735" s="4">
        <v>2</v>
      </c>
      <c r="AL2735" s="4">
        <v>1</v>
      </c>
      <c r="AM2735" s="4">
        <v>1</v>
      </c>
      <c r="AN2735" s="4">
        <v>0</v>
      </c>
      <c r="AO2735" s="4">
        <v>0</v>
      </c>
      <c r="AP2735" s="4">
        <v>2</v>
      </c>
      <c r="AQ2735" s="4">
        <v>2</v>
      </c>
      <c r="AR2735" s="3" t="s">
        <v>63</v>
      </c>
      <c r="AS2735" s="3" t="s">
        <v>63</v>
      </c>
      <c r="AT2735" s="3" t="s">
        <v>63</v>
      </c>
      <c r="AV2735" s="6" t="str">
        <f>HYPERLINK("http://mcgill.on.worldcat.org/oclc/7040300","Catalog Record")</f>
        <v>Catalog Record</v>
      </c>
      <c r="AW2735" s="6" t="str">
        <f>HYPERLINK("http://www.worldcat.org/oclc/7040300","WorldCat Record")</f>
        <v>WorldCat Record</v>
      </c>
      <c r="AX2735" s="3" t="s">
        <v>22811</v>
      </c>
      <c r="AY2735" s="3" t="s">
        <v>22812</v>
      </c>
      <c r="AZ2735" s="3" t="s">
        <v>22813</v>
      </c>
      <c r="BA2735" s="3" t="s">
        <v>22813</v>
      </c>
      <c r="BB2735" s="3" t="s">
        <v>22822</v>
      </c>
      <c r="BC2735" s="3" t="s">
        <v>82</v>
      </c>
      <c r="BD2735" s="3" t="s">
        <v>70</v>
      </c>
      <c r="BF2735" s="3" t="s">
        <v>22822</v>
      </c>
      <c r="BG2735" s="3" t="s">
        <v>22823</v>
      </c>
    </row>
    <row r="2736" spans="1:59" ht="75" x14ac:dyDescent="0.25">
      <c r="A2736" s="2" t="s">
        <v>59</v>
      </c>
      <c r="B2736" s="2" t="s">
        <v>60</v>
      </c>
      <c r="C2736" s="2" t="s">
        <v>22805</v>
      </c>
      <c r="D2736" s="2" t="s">
        <v>22806</v>
      </c>
      <c r="E2736" s="2" t="s">
        <v>22807</v>
      </c>
      <c r="F2736" s="3" t="s">
        <v>22824</v>
      </c>
      <c r="G2736" s="3" t="s">
        <v>62</v>
      </c>
      <c r="I2736" s="3" t="s">
        <v>63</v>
      </c>
      <c r="J2736" s="3" t="s">
        <v>63</v>
      </c>
      <c r="K2736" s="3" t="s">
        <v>64</v>
      </c>
      <c r="L2736" s="2" t="s">
        <v>18432</v>
      </c>
      <c r="M2736" s="2" t="s">
        <v>22809</v>
      </c>
      <c r="N2736" s="3" t="s">
        <v>8667</v>
      </c>
      <c r="P2736" s="3" t="s">
        <v>90</v>
      </c>
      <c r="R2736" s="3" t="s">
        <v>67</v>
      </c>
      <c r="S2736" s="4">
        <v>1</v>
      </c>
      <c r="T2736" s="4">
        <v>5</v>
      </c>
      <c r="U2736" s="5" t="s">
        <v>22810</v>
      </c>
      <c r="V2736" s="5" t="s">
        <v>22810</v>
      </c>
      <c r="W2736" s="5" t="s">
        <v>69</v>
      </c>
      <c r="X2736" s="5" t="s">
        <v>69</v>
      </c>
      <c r="Y2736" s="4">
        <v>8</v>
      </c>
      <c r="Z2736" s="4">
        <v>4</v>
      </c>
      <c r="AA2736" s="4">
        <v>4</v>
      </c>
      <c r="AB2736" s="4">
        <v>1</v>
      </c>
      <c r="AC2736" s="4">
        <v>1</v>
      </c>
      <c r="AD2736" s="4">
        <v>2</v>
      </c>
      <c r="AE2736" s="4">
        <v>2</v>
      </c>
      <c r="AF2736" s="4">
        <v>0</v>
      </c>
      <c r="AG2736" s="4">
        <v>0</v>
      </c>
      <c r="AH2736" s="4">
        <v>2</v>
      </c>
      <c r="AI2736" s="4">
        <v>2</v>
      </c>
      <c r="AJ2736" s="4">
        <v>2</v>
      </c>
      <c r="AK2736" s="4">
        <v>2</v>
      </c>
      <c r="AL2736" s="4">
        <v>1</v>
      </c>
      <c r="AM2736" s="4">
        <v>1</v>
      </c>
      <c r="AN2736" s="4">
        <v>0</v>
      </c>
      <c r="AO2736" s="4">
        <v>0</v>
      </c>
      <c r="AP2736" s="4">
        <v>2</v>
      </c>
      <c r="AQ2736" s="4">
        <v>2</v>
      </c>
      <c r="AR2736" s="3" t="s">
        <v>63</v>
      </c>
      <c r="AS2736" s="3" t="s">
        <v>63</v>
      </c>
      <c r="AT2736" s="3" t="s">
        <v>63</v>
      </c>
      <c r="AV2736" s="6" t="str">
        <f>HYPERLINK("http://mcgill.on.worldcat.org/oclc/7040300","Catalog Record")</f>
        <v>Catalog Record</v>
      </c>
      <c r="AW2736" s="6" t="str">
        <f>HYPERLINK("http://www.worldcat.org/oclc/7040300","WorldCat Record")</f>
        <v>WorldCat Record</v>
      </c>
      <c r="AX2736" s="3" t="s">
        <v>22811</v>
      </c>
      <c r="AY2736" s="3" t="s">
        <v>22812</v>
      </c>
      <c r="AZ2736" s="3" t="s">
        <v>22813</v>
      </c>
      <c r="BA2736" s="3" t="s">
        <v>22813</v>
      </c>
      <c r="BB2736" s="3" t="s">
        <v>22825</v>
      </c>
      <c r="BC2736" s="3" t="s">
        <v>82</v>
      </c>
      <c r="BD2736" s="3" t="s">
        <v>70</v>
      </c>
      <c r="BF2736" s="3" t="s">
        <v>22825</v>
      </c>
      <c r="BG2736" s="3" t="s">
        <v>22826</v>
      </c>
    </row>
    <row r="2737" spans="1:59" ht="75" x14ac:dyDescent="0.25">
      <c r="A2737" s="2" t="s">
        <v>59</v>
      </c>
      <c r="B2737" s="2" t="s">
        <v>60</v>
      </c>
      <c r="C2737" s="2" t="s">
        <v>22827</v>
      </c>
      <c r="D2737" s="2" t="s">
        <v>22828</v>
      </c>
      <c r="E2737" s="2" t="s">
        <v>22829</v>
      </c>
      <c r="G2737" s="3" t="s">
        <v>63</v>
      </c>
      <c r="I2737" s="3" t="s">
        <v>63</v>
      </c>
      <c r="J2737" s="3" t="s">
        <v>62</v>
      </c>
      <c r="K2737" s="3" t="s">
        <v>64</v>
      </c>
      <c r="L2737" s="2" t="s">
        <v>18432</v>
      </c>
      <c r="M2737" s="2" t="s">
        <v>22830</v>
      </c>
      <c r="N2737" s="3" t="s">
        <v>12909</v>
      </c>
      <c r="P2737" s="3" t="s">
        <v>66</v>
      </c>
      <c r="Q2737" s="2" t="s">
        <v>9783</v>
      </c>
      <c r="R2737" s="3" t="s">
        <v>67</v>
      </c>
      <c r="S2737" s="4">
        <v>5</v>
      </c>
      <c r="T2737" s="4">
        <v>5</v>
      </c>
      <c r="U2737" s="5" t="s">
        <v>22831</v>
      </c>
      <c r="V2737" s="5" t="s">
        <v>22831</v>
      </c>
      <c r="W2737" s="5" t="s">
        <v>69</v>
      </c>
      <c r="X2737" s="5" t="s">
        <v>69</v>
      </c>
      <c r="Y2737" s="4">
        <v>10</v>
      </c>
      <c r="Z2737" s="4">
        <v>4</v>
      </c>
      <c r="AA2737" s="4">
        <v>22</v>
      </c>
      <c r="AB2737" s="4">
        <v>2</v>
      </c>
      <c r="AC2737" s="4">
        <v>3</v>
      </c>
      <c r="AD2737" s="4">
        <v>5</v>
      </c>
      <c r="AE2737" s="4">
        <v>100</v>
      </c>
      <c r="AF2737" s="4">
        <v>1</v>
      </c>
      <c r="AG2737" s="4">
        <v>2</v>
      </c>
      <c r="AH2737" s="4">
        <v>2</v>
      </c>
      <c r="AI2737" s="4">
        <v>86</v>
      </c>
      <c r="AJ2737" s="4">
        <v>1</v>
      </c>
      <c r="AK2737" s="4">
        <v>13</v>
      </c>
      <c r="AL2737" s="4">
        <v>2</v>
      </c>
      <c r="AM2737" s="4">
        <v>51</v>
      </c>
      <c r="AN2737" s="4">
        <v>0</v>
      </c>
      <c r="AO2737" s="4">
        <v>2</v>
      </c>
      <c r="AP2737" s="4">
        <v>3</v>
      </c>
      <c r="AQ2737" s="4">
        <v>17</v>
      </c>
      <c r="AR2737" s="3" t="s">
        <v>63</v>
      </c>
      <c r="AS2737" s="3" t="s">
        <v>63</v>
      </c>
      <c r="AT2737" s="3" t="s">
        <v>63</v>
      </c>
      <c r="AV2737" s="6" t="str">
        <f>HYPERLINK("http://mcgill.on.worldcat.org/oclc/213549155","Catalog Record")</f>
        <v>Catalog Record</v>
      </c>
      <c r="AW2737" s="6" t="str">
        <f>HYPERLINK("http://www.worldcat.org/oclc/213549155","WorldCat Record")</f>
        <v>WorldCat Record</v>
      </c>
      <c r="AX2737" s="3" t="s">
        <v>22832</v>
      </c>
      <c r="AY2737" s="3" t="s">
        <v>22833</v>
      </c>
      <c r="AZ2737" s="3" t="s">
        <v>22834</v>
      </c>
      <c r="BA2737" s="3" t="s">
        <v>22834</v>
      </c>
      <c r="BB2737" s="3" t="s">
        <v>22835</v>
      </c>
      <c r="BC2737" s="3" t="s">
        <v>82</v>
      </c>
      <c r="BD2737" s="3" t="s">
        <v>70</v>
      </c>
      <c r="BF2737" s="3" t="s">
        <v>22835</v>
      </c>
      <c r="BG2737" s="3" t="s">
        <v>22836</v>
      </c>
    </row>
    <row r="2738" spans="1:59" ht="75" x14ac:dyDescent="0.25">
      <c r="A2738" s="2" t="s">
        <v>59</v>
      </c>
      <c r="B2738" s="2" t="s">
        <v>60</v>
      </c>
      <c r="C2738" s="2" t="s">
        <v>22837</v>
      </c>
      <c r="D2738" s="2" t="s">
        <v>22838</v>
      </c>
      <c r="E2738" s="2" t="s">
        <v>22839</v>
      </c>
      <c r="G2738" s="3" t="s">
        <v>63</v>
      </c>
      <c r="I2738" s="3" t="s">
        <v>63</v>
      </c>
      <c r="J2738" s="3" t="s">
        <v>63</v>
      </c>
      <c r="K2738" s="3" t="s">
        <v>64</v>
      </c>
      <c r="L2738" s="2" t="s">
        <v>18432</v>
      </c>
      <c r="M2738" s="2" t="s">
        <v>22840</v>
      </c>
      <c r="N2738" s="3" t="s">
        <v>4685</v>
      </c>
      <c r="P2738" s="3" t="s">
        <v>442</v>
      </c>
      <c r="R2738" s="3" t="s">
        <v>67</v>
      </c>
      <c r="S2738" s="4">
        <v>1</v>
      </c>
      <c r="T2738" s="4">
        <v>1</v>
      </c>
      <c r="U2738" s="5" t="s">
        <v>12587</v>
      </c>
      <c r="V2738" s="5" t="s">
        <v>12587</v>
      </c>
      <c r="W2738" s="5" t="s">
        <v>69</v>
      </c>
      <c r="X2738" s="5" t="s">
        <v>69</v>
      </c>
      <c r="Y2738" s="4">
        <v>1</v>
      </c>
      <c r="Z2738" s="4">
        <v>1</v>
      </c>
      <c r="AA2738" s="4">
        <v>1</v>
      </c>
      <c r="AB2738" s="4">
        <v>1</v>
      </c>
      <c r="AC2738" s="4">
        <v>1</v>
      </c>
      <c r="AD2738" s="4">
        <v>0</v>
      </c>
      <c r="AE2738" s="4">
        <v>2</v>
      </c>
      <c r="AF2738" s="4">
        <v>0</v>
      </c>
      <c r="AG2738" s="4">
        <v>0</v>
      </c>
      <c r="AH2738" s="4">
        <v>0</v>
      </c>
      <c r="AI2738" s="4">
        <v>2</v>
      </c>
      <c r="AJ2738" s="4">
        <v>0</v>
      </c>
      <c r="AK2738" s="4">
        <v>0</v>
      </c>
      <c r="AL2738" s="4">
        <v>0</v>
      </c>
      <c r="AM2738" s="4">
        <v>2</v>
      </c>
      <c r="AN2738" s="4">
        <v>0</v>
      </c>
      <c r="AO2738" s="4">
        <v>0</v>
      </c>
      <c r="AP2738" s="4">
        <v>0</v>
      </c>
      <c r="AQ2738" s="4">
        <v>0</v>
      </c>
      <c r="AR2738" s="3" t="s">
        <v>63</v>
      </c>
      <c r="AS2738" s="3" t="s">
        <v>63</v>
      </c>
      <c r="AT2738" s="3" t="s">
        <v>63</v>
      </c>
      <c r="AV2738" s="6" t="str">
        <f>HYPERLINK("http://mcgill.on.worldcat.org/oclc/427239274","Catalog Record")</f>
        <v>Catalog Record</v>
      </c>
      <c r="AW2738" s="6" t="str">
        <f>HYPERLINK("http://www.worldcat.org/oclc/427239274","WorldCat Record")</f>
        <v>WorldCat Record</v>
      </c>
      <c r="AX2738" s="3" t="s">
        <v>22841</v>
      </c>
      <c r="AY2738" s="3" t="s">
        <v>22842</v>
      </c>
      <c r="AZ2738" s="3" t="s">
        <v>22843</v>
      </c>
      <c r="BA2738" s="3" t="s">
        <v>22843</v>
      </c>
      <c r="BB2738" s="3" t="s">
        <v>22844</v>
      </c>
      <c r="BC2738" s="3" t="s">
        <v>82</v>
      </c>
      <c r="BD2738" s="3" t="s">
        <v>70</v>
      </c>
      <c r="BF2738" s="3" t="s">
        <v>22844</v>
      </c>
      <c r="BG2738" s="3" t="s">
        <v>22845</v>
      </c>
    </row>
    <row r="2739" spans="1:59" ht="75" x14ac:dyDescent="0.25">
      <c r="A2739" s="2" t="s">
        <v>59</v>
      </c>
      <c r="B2739" s="2" t="s">
        <v>60</v>
      </c>
      <c r="C2739" s="2" t="s">
        <v>22846</v>
      </c>
      <c r="D2739" s="2" t="s">
        <v>22847</v>
      </c>
      <c r="E2739" s="2" t="s">
        <v>22848</v>
      </c>
      <c r="G2739" s="3" t="s">
        <v>63</v>
      </c>
      <c r="I2739" s="3" t="s">
        <v>63</v>
      </c>
      <c r="J2739" s="3" t="s">
        <v>62</v>
      </c>
      <c r="K2739" s="3" t="s">
        <v>64</v>
      </c>
      <c r="L2739" s="2" t="s">
        <v>18432</v>
      </c>
      <c r="M2739" s="2" t="s">
        <v>22849</v>
      </c>
      <c r="N2739" s="3" t="s">
        <v>12500</v>
      </c>
      <c r="P2739" s="3" t="s">
        <v>66</v>
      </c>
      <c r="Q2739" s="2" t="s">
        <v>11492</v>
      </c>
      <c r="R2739" s="3" t="s">
        <v>67</v>
      </c>
      <c r="S2739" s="4">
        <v>5</v>
      </c>
      <c r="T2739" s="4">
        <v>5</v>
      </c>
      <c r="U2739" s="5" t="s">
        <v>9728</v>
      </c>
      <c r="V2739" s="5" t="s">
        <v>9728</v>
      </c>
      <c r="W2739" s="5" t="s">
        <v>69</v>
      </c>
      <c r="X2739" s="5" t="s">
        <v>69</v>
      </c>
      <c r="Y2739" s="4">
        <v>659</v>
      </c>
      <c r="Z2739" s="4">
        <v>22</v>
      </c>
      <c r="AA2739" s="4">
        <v>73</v>
      </c>
      <c r="AB2739" s="4">
        <v>2</v>
      </c>
      <c r="AC2739" s="4">
        <v>7</v>
      </c>
      <c r="AD2739" s="4">
        <v>87</v>
      </c>
      <c r="AE2739" s="4">
        <v>150</v>
      </c>
      <c r="AF2739" s="4">
        <v>1</v>
      </c>
      <c r="AG2739" s="4">
        <v>5</v>
      </c>
      <c r="AH2739" s="4">
        <v>74</v>
      </c>
      <c r="AI2739" s="4">
        <v>111</v>
      </c>
      <c r="AJ2739" s="4">
        <v>10</v>
      </c>
      <c r="AK2739" s="4">
        <v>24</v>
      </c>
      <c r="AL2739" s="4">
        <v>40</v>
      </c>
      <c r="AM2739" s="4">
        <v>61</v>
      </c>
      <c r="AN2739" s="4">
        <v>0</v>
      </c>
      <c r="AO2739" s="4">
        <v>0</v>
      </c>
      <c r="AP2739" s="4">
        <v>14</v>
      </c>
      <c r="AQ2739" s="4">
        <v>44</v>
      </c>
      <c r="AR2739" s="3" t="s">
        <v>63</v>
      </c>
      <c r="AS2739" s="3" t="s">
        <v>63</v>
      </c>
      <c r="AT2739" s="3" t="s">
        <v>62</v>
      </c>
      <c r="AU2739" s="6" t="str">
        <f>HYPERLINK("http://catalog.hathitrust.org/Record/000980904","HathiTrust Record")</f>
        <v>HathiTrust Record</v>
      </c>
      <c r="AV2739" s="6" t="str">
        <f>HYPERLINK("http://mcgill.on.worldcat.org/oclc/620050","Catalog Record")</f>
        <v>Catalog Record</v>
      </c>
      <c r="AW2739" s="6" t="str">
        <f>HYPERLINK("http://www.worldcat.org/oclc/620050","WorldCat Record")</f>
        <v>WorldCat Record</v>
      </c>
      <c r="AX2739" s="3" t="s">
        <v>22850</v>
      </c>
      <c r="AY2739" s="3" t="s">
        <v>22851</v>
      </c>
      <c r="AZ2739" s="3" t="s">
        <v>22852</v>
      </c>
      <c r="BA2739" s="3" t="s">
        <v>22852</v>
      </c>
      <c r="BB2739" s="3" t="s">
        <v>22853</v>
      </c>
      <c r="BC2739" s="3" t="s">
        <v>82</v>
      </c>
      <c r="BD2739" s="3" t="s">
        <v>70</v>
      </c>
      <c r="BF2739" s="3" t="s">
        <v>22853</v>
      </c>
      <c r="BG2739" s="3" t="s">
        <v>22854</v>
      </c>
    </row>
    <row r="2740" spans="1:59" ht="60" x14ac:dyDescent="0.25">
      <c r="A2740" s="2" t="s">
        <v>59</v>
      </c>
      <c r="B2740" s="2" t="s">
        <v>60</v>
      </c>
      <c r="C2740" s="2" t="s">
        <v>22855</v>
      </c>
      <c r="D2740" s="2" t="s">
        <v>22856</v>
      </c>
      <c r="E2740" s="2" t="s">
        <v>22857</v>
      </c>
      <c r="F2740" s="3" t="s">
        <v>1095</v>
      </c>
      <c r="G2740" s="3" t="s">
        <v>62</v>
      </c>
      <c r="I2740" s="3" t="s">
        <v>63</v>
      </c>
      <c r="J2740" s="3" t="s">
        <v>63</v>
      </c>
      <c r="K2740" s="3" t="s">
        <v>64</v>
      </c>
      <c r="L2740" s="2" t="s">
        <v>22858</v>
      </c>
      <c r="M2740" s="2" t="s">
        <v>22859</v>
      </c>
      <c r="N2740" s="3" t="s">
        <v>213</v>
      </c>
      <c r="P2740" s="3" t="s">
        <v>90</v>
      </c>
      <c r="R2740" s="3" t="s">
        <v>67</v>
      </c>
      <c r="S2740" s="4">
        <v>2</v>
      </c>
      <c r="T2740" s="4">
        <v>7</v>
      </c>
      <c r="U2740" s="5" t="s">
        <v>6056</v>
      </c>
      <c r="V2740" s="5" t="s">
        <v>6056</v>
      </c>
      <c r="W2740" s="5" t="s">
        <v>69</v>
      </c>
      <c r="X2740" s="5" t="s">
        <v>69</v>
      </c>
      <c r="Y2740" s="4">
        <v>135</v>
      </c>
      <c r="Z2740" s="4">
        <v>13</v>
      </c>
      <c r="AA2740" s="4">
        <v>16</v>
      </c>
      <c r="AB2740" s="4">
        <v>1</v>
      </c>
      <c r="AC2740" s="4">
        <v>2</v>
      </c>
      <c r="AD2740" s="4">
        <v>77</v>
      </c>
      <c r="AE2740" s="4">
        <v>79</v>
      </c>
      <c r="AF2740" s="4">
        <v>0</v>
      </c>
      <c r="AG2740" s="4">
        <v>1</v>
      </c>
      <c r="AH2740" s="4">
        <v>70</v>
      </c>
      <c r="AI2740" s="4">
        <v>72</v>
      </c>
      <c r="AJ2740" s="4">
        <v>12</v>
      </c>
      <c r="AK2740" s="4">
        <v>14</v>
      </c>
      <c r="AL2740" s="4">
        <v>43</v>
      </c>
      <c r="AM2740" s="4">
        <v>44</v>
      </c>
      <c r="AN2740" s="4">
        <v>0</v>
      </c>
      <c r="AO2740" s="4">
        <v>0</v>
      </c>
      <c r="AP2740" s="4">
        <v>12</v>
      </c>
      <c r="AQ2740" s="4">
        <v>14</v>
      </c>
      <c r="AR2740" s="3" t="s">
        <v>63</v>
      </c>
      <c r="AS2740" s="3" t="s">
        <v>63</v>
      </c>
      <c r="AT2740" s="3" t="s">
        <v>62</v>
      </c>
      <c r="AU2740" s="6" t="str">
        <f>HYPERLINK("http://catalog.hathitrust.org/Record/001728080","HathiTrust Record")</f>
        <v>HathiTrust Record</v>
      </c>
      <c r="AV2740" s="6" t="str">
        <f>HYPERLINK("http://mcgill.on.worldcat.org/oclc/10655627","Catalog Record")</f>
        <v>Catalog Record</v>
      </c>
      <c r="AW2740" s="6" t="str">
        <f>HYPERLINK("http://www.worldcat.org/oclc/10655627","WorldCat Record")</f>
        <v>WorldCat Record</v>
      </c>
      <c r="AX2740" s="3" t="s">
        <v>22860</v>
      </c>
      <c r="AY2740" s="3" t="s">
        <v>22861</v>
      </c>
      <c r="AZ2740" s="3" t="s">
        <v>22862</v>
      </c>
      <c r="BA2740" s="3" t="s">
        <v>22862</v>
      </c>
      <c r="BB2740" s="3" t="s">
        <v>22863</v>
      </c>
      <c r="BC2740" s="3" t="s">
        <v>82</v>
      </c>
      <c r="BD2740" s="3" t="s">
        <v>70</v>
      </c>
      <c r="BF2740" s="3" t="s">
        <v>22863</v>
      </c>
      <c r="BG2740" s="3" t="s">
        <v>22864</v>
      </c>
    </row>
    <row r="2741" spans="1:59" ht="60" x14ac:dyDescent="0.25">
      <c r="A2741" s="2" t="s">
        <v>59</v>
      </c>
      <c r="B2741" s="2" t="s">
        <v>60</v>
      </c>
      <c r="C2741" s="2" t="s">
        <v>22855</v>
      </c>
      <c r="D2741" s="2" t="s">
        <v>22856</v>
      </c>
      <c r="E2741" s="2" t="s">
        <v>22857</v>
      </c>
      <c r="F2741" s="3" t="s">
        <v>61</v>
      </c>
      <c r="G2741" s="3" t="s">
        <v>62</v>
      </c>
      <c r="I2741" s="3" t="s">
        <v>63</v>
      </c>
      <c r="J2741" s="3" t="s">
        <v>63</v>
      </c>
      <c r="K2741" s="3" t="s">
        <v>64</v>
      </c>
      <c r="L2741" s="2" t="s">
        <v>22858</v>
      </c>
      <c r="M2741" s="2" t="s">
        <v>22859</v>
      </c>
      <c r="N2741" s="3" t="s">
        <v>213</v>
      </c>
      <c r="P2741" s="3" t="s">
        <v>90</v>
      </c>
      <c r="R2741" s="3" t="s">
        <v>67</v>
      </c>
      <c r="S2741" s="4">
        <v>3</v>
      </c>
      <c r="T2741" s="4">
        <v>7</v>
      </c>
      <c r="U2741" s="5" t="s">
        <v>22865</v>
      </c>
      <c r="V2741" s="5" t="s">
        <v>6056</v>
      </c>
      <c r="W2741" s="5" t="s">
        <v>69</v>
      </c>
      <c r="X2741" s="5" t="s">
        <v>69</v>
      </c>
      <c r="Y2741" s="4">
        <v>135</v>
      </c>
      <c r="Z2741" s="4">
        <v>13</v>
      </c>
      <c r="AA2741" s="4">
        <v>16</v>
      </c>
      <c r="AB2741" s="4">
        <v>1</v>
      </c>
      <c r="AC2741" s="4">
        <v>2</v>
      </c>
      <c r="AD2741" s="4">
        <v>77</v>
      </c>
      <c r="AE2741" s="4">
        <v>79</v>
      </c>
      <c r="AF2741" s="4">
        <v>0</v>
      </c>
      <c r="AG2741" s="4">
        <v>1</v>
      </c>
      <c r="AH2741" s="4">
        <v>70</v>
      </c>
      <c r="AI2741" s="4">
        <v>72</v>
      </c>
      <c r="AJ2741" s="4">
        <v>12</v>
      </c>
      <c r="AK2741" s="4">
        <v>14</v>
      </c>
      <c r="AL2741" s="4">
        <v>43</v>
      </c>
      <c r="AM2741" s="4">
        <v>44</v>
      </c>
      <c r="AN2741" s="4">
        <v>0</v>
      </c>
      <c r="AO2741" s="4">
        <v>0</v>
      </c>
      <c r="AP2741" s="4">
        <v>12</v>
      </c>
      <c r="AQ2741" s="4">
        <v>14</v>
      </c>
      <c r="AR2741" s="3" t="s">
        <v>63</v>
      </c>
      <c r="AS2741" s="3" t="s">
        <v>63</v>
      </c>
      <c r="AT2741" s="3" t="s">
        <v>62</v>
      </c>
      <c r="AU2741" s="6" t="str">
        <f>HYPERLINK("http://catalog.hathitrust.org/Record/001728080","HathiTrust Record")</f>
        <v>HathiTrust Record</v>
      </c>
      <c r="AV2741" s="6" t="str">
        <f>HYPERLINK("http://mcgill.on.worldcat.org/oclc/10655627","Catalog Record")</f>
        <v>Catalog Record</v>
      </c>
      <c r="AW2741" s="6" t="str">
        <f>HYPERLINK("http://www.worldcat.org/oclc/10655627","WorldCat Record")</f>
        <v>WorldCat Record</v>
      </c>
      <c r="AX2741" s="3" t="s">
        <v>22860</v>
      </c>
      <c r="AY2741" s="3" t="s">
        <v>22861</v>
      </c>
      <c r="AZ2741" s="3" t="s">
        <v>22862</v>
      </c>
      <c r="BA2741" s="3" t="s">
        <v>22862</v>
      </c>
      <c r="BB2741" s="3" t="s">
        <v>22866</v>
      </c>
      <c r="BC2741" s="3" t="s">
        <v>82</v>
      </c>
      <c r="BD2741" s="3" t="s">
        <v>70</v>
      </c>
      <c r="BF2741" s="3" t="s">
        <v>22866</v>
      </c>
      <c r="BG2741" s="3" t="s">
        <v>22867</v>
      </c>
    </row>
    <row r="2742" spans="1:59" ht="60" x14ac:dyDescent="0.25">
      <c r="A2742" s="2" t="s">
        <v>59</v>
      </c>
      <c r="B2742" s="2" t="s">
        <v>60</v>
      </c>
      <c r="C2742" s="2" t="s">
        <v>22855</v>
      </c>
      <c r="D2742" s="2" t="s">
        <v>22856</v>
      </c>
      <c r="E2742" s="2" t="s">
        <v>22857</v>
      </c>
      <c r="F2742" s="3" t="s">
        <v>1390</v>
      </c>
      <c r="G2742" s="3" t="s">
        <v>62</v>
      </c>
      <c r="I2742" s="3" t="s">
        <v>63</v>
      </c>
      <c r="J2742" s="3" t="s">
        <v>63</v>
      </c>
      <c r="K2742" s="3" t="s">
        <v>64</v>
      </c>
      <c r="L2742" s="2" t="s">
        <v>22858</v>
      </c>
      <c r="M2742" s="2" t="s">
        <v>22859</v>
      </c>
      <c r="N2742" s="3" t="s">
        <v>213</v>
      </c>
      <c r="P2742" s="3" t="s">
        <v>90</v>
      </c>
      <c r="R2742" s="3" t="s">
        <v>67</v>
      </c>
      <c r="S2742" s="4">
        <v>0</v>
      </c>
      <c r="T2742" s="4">
        <v>7</v>
      </c>
      <c r="V2742" s="5" t="s">
        <v>6056</v>
      </c>
      <c r="W2742" s="5" t="s">
        <v>69</v>
      </c>
      <c r="X2742" s="5" t="s">
        <v>69</v>
      </c>
      <c r="Y2742" s="4">
        <v>135</v>
      </c>
      <c r="Z2742" s="4">
        <v>13</v>
      </c>
      <c r="AA2742" s="4">
        <v>16</v>
      </c>
      <c r="AB2742" s="4">
        <v>1</v>
      </c>
      <c r="AC2742" s="4">
        <v>2</v>
      </c>
      <c r="AD2742" s="4">
        <v>77</v>
      </c>
      <c r="AE2742" s="4">
        <v>79</v>
      </c>
      <c r="AF2742" s="4">
        <v>0</v>
      </c>
      <c r="AG2742" s="4">
        <v>1</v>
      </c>
      <c r="AH2742" s="4">
        <v>70</v>
      </c>
      <c r="AI2742" s="4">
        <v>72</v>
      </c>
      <c r="AJ2742" s="4">
        <v>12</v>
      </c>
      <c r="AK2742" s="4">
        <v>14</v>
      </c>
      <c r="AL2742" s="4">
        <v>43</v>
      </c>
      <c r="AM2742" s="4">
        <v>44</v>
      </c>
      <c r="AN2742" s="4">
        <v>0</v>
      </c>
      <c r="AO2742" s="4">
        <v>0</v>
      </c>
      <c r="AP2742" s="4">
        <v>12</v>
      </c>
      <c r="AQ2742" s="4">
        <v>14</v>
      </c>
      <c r="AR2742" s="3" t="s">
        <v>63</v>
      </c>
      <c r="AS2742" s="3" t="s">
        <v>63</v>
      </c>
      <c r="AT2742" s="3" t="s">
        <v>62</v>
      </c>
      <c r="AU2742" s="6" t="str">
        <f>HYPERLINK("http://catalog.hathitrust.org/Record/001728080","HathiTrust Record")</f>
        <v>HathiTrust Record</v>
      </c>
      <c r="AV2742" s="6" t="str">
        <f>HYPERLINK("http://mcgill.on.worldcat.org/oclc/10655627","Catalog Record")</f>
        <v>Catalog Record</v>
      </c>
      <c r="AW2742" s="6" t="str">
        <f>HYPERLINK("http://www.worldcat.org/oclc/10655627","WorldCat Record")</f>
        <v>WorldCat Record</v>
      </c>
      <c r="AX2742" s="3" t="s">
        <v>22860</v>
      </c>
      <c r="AY2742" s="3" t="s">
        <v>22861</v>
      </c>
      <c r="AZ2742" s="3" t="s">
        <v>22862</v>
      </c>
      <c r="BA2742" s="3" t="s">
        <v>22862</v>
      </c>
      <c r="BB2742" s="3" t="s">
        <v>22868</v>
      </c>
      <c r="BC2742" s="3" t="s">
        <v>82</v>
      </c>
      <c r="BD2742" s="3" t="s">
        <v>70</v>
      </c>
      <c r="BF2742" s="3" t="s">
        <v>22868</v>
      </c>
      <c r="BG2742" s="3" t="s">
        <v>22869</v>
      </c>
    </row>
    <row r="2743" spans="1:59" ht="60" x14ac:dyDescent="0.25">
      <c r="A2743" s="2" t="s">
        <v>59</v>
      </c>
      <c r="B2743" s="2" t="s">
        <v>60</v>
      </c>
      <c r="C2743" s="2" t="s">
        <v>22855</v>
      </c>
      <c r="D2743" s="2" t="s">
        <v>22856</v>
      </c>
      <c r="E2743" s="2" t="s">
        <v>22857</v>
      </c>
      <c r="F2743" s="3" t="s">
        <v>4184</v>
      </c>
      <c r="G2743" s="3" t="s">
        <v>62</v>
      </c>
      <c r="I2743" s="3" t="s">
        <v>63</v>
      </c>
      <c r="J2743" s="3" t="s">
        <v>63</v>
      </c>
      <c r="K2743" s="3" t="s">
        <v>64</v>
      </c>
      <c r="L2743" s="2" t="s">
        <v>22858</v>
      </c>
      <c r="M2743" s="2" t="s">
        <v>22859</v>
      </c>
      <c r="N2743" s="3" t="s">
        <v>213</v>
      </c>
      <c r="P2743" s="3" t="s">
        <v>90</v>
      </c>
      <c r="R2743" s="3" t="s">
        <v>67</v>
      </c>
      <c r="S2743" s="4">
        <v>0</v>
      </c>
      <c r="T2743" s="4">
        <v>7</v>
      </c>
      <c r="V2743" s="5" t="s">
        <v>6056</v>
      </c>
      <c r="W2743" s="5" t="s">
        <v>69</v>
      </c>
      <c r="X2743" s="5" t="s">
        <v>69</v>
      </c>
      <c r="Y2743" s="4">
        <v>135</v>
      </c>
      <c r="Z2743" s="4">
        <v>13</v>
      </c>
      <c r="AA2743" s="4">
        <v>16</v>
      </c>
      <c r="AB2743" s="4">
        <v>1</v>
      </c>
      <c r="AC2743" s="4">
        <v>2</v>
      </c>
      <c r="AD2743" s="4">
        <v>77</v>
      </c>
      <c r="AE2743" s="4">
        <v>79</v>
      </c>
      <c r="AF2743" s="4">
        <v>0</v>
      </c>
      <c r="AG2743" s="4">
        <v>1</v>
      </c>
      <c r="AH2743" s="4">
        <v>70</v>
      </c>
      <c r="AI2743" s="4">
        <v>72</v>
      </c>
      <c r="AJ2743" s="4">
        <v>12</v>
      </c>
      <c r="AK2743" s="4">
        <v>14</v>
      </c>
      <c r="AL2743" s="4">
        <v>43</v>
      </c>
      <c r="AM2743" s="4">
        <v>44</v>
      </c>
      <c r="AN2743" s="4">
        <v>0</v>
      </c>
      <c r="AO2743" s="4">
        <v>0</v>
      </c>
      <c r="AP2743" s="4">
        <v>12</v>
      </c>
      <c r="AQ2743" s="4">
        <v>14</v>
      </c>
      <c r="AR2743" s="3" t="s">
        <v>63</v>
      </c>
      <c r="AS2743" s="3" t="s">
        <v>63</v>
      </c>
      <c r="AT2743" s="3" t="s">
        <v>62</v>
      </c>
      <c r="AU2743" s="6" t="str">
        <f>HYPERLINK("http://catalog.hathitrust.org/Record/001728080","HathiTrust Record")</f>
        <v>HathiTrust Record</v>
      </c>
      <c r="AV2743" s="6" t="str">
        <f>HYPERLINK("http://mcgill.on.worldcat.org/oclc/10655627","Catalog Record")</f>
        <v>Catalog Record</v>
      </c>
      <c r="AW2743" s="6" t="str">
        <f>HYPERLINK("http://www.worldcat.org/oclc/10655627","WorldCat Record")</f>
        <v>WorldCat Record</v>
      </c>
      <c r="AX2743" s="3" t="s">
        <v>22860</v>
      </c>
      <c r="AY2743" s="3" t="s">
        <v>22861</v>
      </c>
      <c r="AZ2743" s="3" t="s">
        <v>22862</v>
      </c>
      <c r="BA2743" s="3" t="s">
        <v>22862</v>
      </c>
      <c r="BB2743" s="3" t="s">
        <v>22870</v>
      </c>
      <c r="BC2743" s="3" t="s">
        <v>82</v>
      </c>
      <c r="BD2743" s="3" t="s">
        <v>70</v>
      </c>
      <c r="BF2743" s="3" t="s">
        <v>22870</v>
      </c>
      <c r="BG2743" s="3" t="s">
        <v>22871</v>
      </c>
    </row>
    <row r="2744" spans="1:59" ht="60" x14ac:dyDescent="0.25">
      <c r="A2744" s="2" t="s">
        <v>59</v>
      </c>
      <c r="B2744" s="2" t="s">
        <v>60</v>
      </c>
      <c r="C2744" s="2" t="s">
        <v>22855</v>
      </c>
      <c r="D2744" s="2" t="s">
        <v>22856</v>
      </c>
      <c r="E2744" s="2" t="s">
        <v>22857</v>
      </c>
      <c r="F2744" s="3" t="s">
        <v>1366</v>
      </c>
      <c r="G2744" s="3" t="s">
        <v>62</v>
      </c>
      <c r="I2744" s="3" t="s">
        <v>63</v>
      </c>
      <c r="J2744" s="3" t="s">
        <v>63</v>
      </c>
      <c r="K2744" s="3" t="s">
        <v>64</v>
      </c>
      <c r="L2744" s="2" t="s">
        <v>22858</v>
      </c>
      <c r="M2744" s="2" t="s">
        <v>22859</v>
      </c>
      <c r="N2744" s="3" t="s">
        <v>213</v>
      </c>
      <c r="P2744" s="3" t="s">
        <v>90</v>
      </c>
      <c r="R2744" s="3" t="s">
        <v>67</v>
      </c>
      <c r="S2744" s="4">
        <v>2</v>
      </c>
      <c r="T2744" s="4">
        <v>7</v>
      </c>
      <c r="U2744" s="5" t="s">
        <v>6056</v>
      </c>
      <c r="V2744" s="5" t="s">
        <v>6056</v>
      </c>
      <c r="W2744" s="5" t="s">
        <v>69</v>
      </c>
      <c r="X2744" s="5" t="s">
        <v>69</v>
      </c>
      <c r="Y2744" s="4">
        <v>135</v>
      </c>
      <c r="Z2744" s="4">
        <v>13</v>
      </c>
      <c r="AA2744" s="4">
        <v>16</v>
      </c>
      <c r="AB2744" s="4">
        <v>1</v>
      </c>
      <c r="AC2744" s="4">
        <v>2</v>
      </c>
      <c r="AD2744" s="4">
        <v>77</v>
      </c>
      <c r="AE2744" s="4">
        <v>79</v>
      </c>
      <c r="AF2744" s="4">
        <v>0</v>
      </c>
      <c r="AG2744" s="4">
        <v>1</v>
      </c>
      <c r="AH2744" s="4">
        <v>70</v>
      </c>
      <c r="AI2744" s="4">
        <v>72</v>
      </c>
      <c r="AJ2744" s="4">
        <v>12</v>
      </c>
      <c r="AK2744" s="4">
        <v>14</v>
      </c>
      <c r="AL2744" s="4">
        <v>43</v>
      </c>
      <c r="AM2744" s="4">
        <v>44</v>
      </c>
      <c r="AN2744" s="4">
        <v>0</v>
      </c>
      <c r="AO2744" s="4">
        <v>0</v>
      </c>
      <c r="AP2744" s="4">
        <v>12</v>
      </c>
      <c r="AQ2744" s="4">
        <v>14</v>
      </c>
      <c r="AR2744" s="3" t="s">
        <v>63</v>
      </c>
      <c r="AS2744" s="3" t="s">
        <v>63</v>
      </c>
      <c r="AT2744" s="3" t="s">
        <v>62</v>
      </c>
      <c r="AU2744" s="6" t="str">
        <f>HYPERLINK("http://catalog.hathitrust.org/Record/001728080","HathiTrust Record")</f>
        <v>HathiTrust Record</v>
      </c>
      <c r="AV2744" s="6" t="str">
        <f>HYPERLINK("http://mcgill.on.worldcat.org/oclc/10655627","Catalog Record")</f>
        <v>Catalog Record</v>
      </c>
      <c r="AW2744" s="6" t="str">
        <f>HYPERLINK("http://www.worldcat.org/oclc/10655627","WorldCat Record")</f>
        <v>WorldCat Record</v>
      </c>
      <c r="AX2744" s="3" t="s">
        <v>22860</v>
      </c>
      <c r="AY2744" s="3" t="s">
        <v>22861</v>
      </c>
      <c r="AZ2744" s="3" t="s">
        <v>22862</v>
      </c>
      <c r="BA2744" s="3" t="s">
        <v>22862</v>
      </c>
      <c r="BB2744" s="3" t="s">
        <v>22872</v>
      </c>
      <c r="BC2744" s="3" t="s">
        <v>82</v>
      </c>
      <c r="BD2744" s="3" t="s">
        <v>70</v>
      </c>
      <c r="BF2744" s="3" t="s">
        <v>22872</v>
      </c>
      <c r="BG2744" s="3" t="s">
        <v>22873</v>
      </c>
    </row>
    <row r="2745" spans="1:59" ht="60" x14ac:dyDescent="0.25">
      <c r="A2745" s="2" t="s">
        <v>59</v>
      </c>
      <c r="B2745" s="2" t="s">
        <v>60</v>
      </c>
      <c r="C2745" s="2" t="s">
        <v>22874</v>
      </c>
      <c r="D2745" s="2" t="s">
        <v>22875</v>
      </c>
      <c r="E2745" s="2" t="s">
        <v>22876</v>
      </c>
      <c r="G2745" s="3" t="s">
        <v>63</v>
      </c>
      <c r="I2745" s="3" t="s">
        <v>63</v>
      </c>
      <c r="J2745" s="3" t="s">
        <v>63</v>
      </c>
      <c r="K2745" s="3" t="s">
        <v>64</v>
      </c>
      <c r="L2745" s="2" t="s">
        <v>22877</v>
      </c>
      <c r="M2745" s="2" t="s">
        <v>22878</v>
      </c>
      <c r="N2745" s="3" t="s">
        <v>12157</v>
      </c>
      <c r="P2745" s="3" t="s">
        <v>66</v>
      </c>
      <c r="R2745" s="3" t="s">
        <v>67</v>
      </c>
      <c r="S2745" s="4">
        <v>1</v>
      </c>
      <c r="T2745" s="4">
        <v>1</v>
      </c>
      <c r="U2745" s="5" t="s">
        <v>1264</v>
      </c>
      <c r="V2745" s="5" t="s">
        <v>1264</v>
      </c>
      <c r="W2745" s="5" t="s">
        <v>69</v>
      </c>
      <c r="X2745" s="5" t="s">
        <v>69</v>
      </c>
      <c r="Y2745" s="4">
        <v>27</v>
      </c>
      <c r="Z2745" s="4">
        <v>3</v>
      </c>
      <c r="AA2745" s="4">
        <v>7</v>
      </c>
      <c r="AB2745" s="4">
        <v>1</v>
      </c>
      <c r="AC2745" s="4">
        <v>2</v>
      </c>
      <c r="AD2745" s="4">
        <v>9</v>
      </c>
      <c r="AE2745" s="4">
        <v>41</v>
      </c>
      <c r="AF2745" s="4">
        <v>0</v>
      </c>
      <c r="AG2745" s="4">
        <v>0</v>
      </c>
      <c r="AH2745" s="4">
        <v>8</v>
      </c>
      <c r="AI2745" s="4">
        <v>36</v>
      </c>
      <c r="AJ2745" s="4">
        <v>1</v>
      </c>
      <c r="AK2745" s="4">
        <v>3</v>
      </c>
      <c r="AL2745" s="4">
        <v>7</v>
      </c>
      <c r="AM2745" s="4">
        <v>23</v>
      </c>
      <c r="AN2745" s="4">
        <v>0</v>
      </c>
      <c r="AO2745" s="4">
        <v>0</v>
      </c>
      <c r="AP2745" s="4">
        <v>1</v>
      </c>
      <c r="AQ2745" s="4">
        <v>4</v>
      </c>
      <c r="AR2745" s="3" t="s">
        <v>63</v>
      </c>
      <c r="AS2745" s="3" t="s">
        <v>63</v>
      </c>
      <c r="AT2745" s="3" t="s">
        <v>63</v>
      </c>
      <c r="AU2745" s="6" t="str">
        <f>HYPERLINK("http://catalog.hathitrust.org/Record/008542874","HathiTrust Record")</f>
        <v>HathiTrust Record</v>
      </c>
      <c r="AV2745" s="6" t="str">
        <f>HYPERLINK("http://mcgill.on.worldcat.org/oclc/11075169","Catalog Record")</f>
        <v>Catalog Record</v>
      </c>
      <c r="AW2745" s="6" t="str">
        <f>HYPERLINK("http://www.worldcat.org/oclc/11075169","WorldCat Record")</f>
        <v>WorldCat Record</v>
      </c>
      <c r="AX2745" s="3" t="s">
        <v>22879</v>
      </c>
      <c r="AY2745" s="3" t="s">
        <v>22880</v>
      </c>
      <c r="AZ2745" s="3" t="s">
        <v>22881</v>
      </c>
      <c r="BA2745" s="3" t="s">
        <v>22881</v>
      </c>
      <c r="BB2745" s="3" t="s">
        <v>22882</v>
      </c>
      <c r="BC2745" s="3" t="s">
        <v>82</v>
      </c>
      <c r="BD2745" s="3" t="s">
        <v>70</v>
      </c>
      <c r="BF2745" s="3" t="s">
        <v>22882</v>
      </c>
      <c r="BG2745" s="3" t="s">
        <v>22883</v>
      </c>
    </row>
    <row r="2746" spans="1:59" ht="60" x14ac:dyDescent="0.25">
      <c r="A2746" s="2" t="s">
        <v>59</v>
      </c>
      <c r="B2746" s="2" t="s">
        <v>60</v>
      </c>
      <c r="C2746" s="2" t="s">
        <v>22884</v>
      </c>
      <c r="D2746" s="2" t="s">
        <v>22885</v>
      </c>
      <c r="E2746" s="2" t="s">
        <v>22886</v>
      </c>
      <c r="G2746" s="3" t="s">
        <v>63</v>
      </c>
      <c r="I2746" s="3" t="s">
        <v>63</v>
      </c>
      <c r="J2746" s="3" t="s">
        <v>63</v>
      </c>
      <c r="K2746" s="3" t="s">
        <v>64</v>
      </c>
      <c r="L2746" s="2" t="s">
        <v>22887</v>
      </c>
      <c r="M2746" s="2" t="s">
        <v>13933</v>
      </c>
      <c r="N2746" s="3" t="s">
        <v>247</v>
      </c>
      <c r="P2746" s="3" t="s">
        <v>66</v>
      </c>
      <c r="R2746" s="3" t="s">
        <v>67</v>
      </c>
      <c r="S2746" s="4">
        <v>1</v>
      </c>
      <c r="T2746" s="4">
        <v>1</v>
      </c>
      <c r="U2746" s="5" t="s">
        <v>22888</v>
      </c>
      <c r="V2746" s="5" t="s">
        <v>22888</v>
      </c>
      <c r="W2746" s="5" t="s">
        <v>69</v>
      </c>
      <c r="X2746" s="5" t="s">
        <v>69</v>
      </c>
      <c r="Y2746" s="4">
        <v>232</v>
      </c>
      <c r="Z2746" s="4">
        <v>23</v>
      </c>
      <c r="AA2746" s="4">
        <v>25</v>
      </c>
      <c r="AB2746" s="4">
        <v>1</v>
      </c>
      <c r="AC2746" s="4">
        <v>2</v>
      </c>
      <c r="AD2746" s="4">
        <v>92</v>
      </c>
      <c r="AE2746" s="4">
        <v>92</v>
      </c>
      <c r="AF2746" s="4">
        <v>0</v>
      </c>
      <c r="AG2746" s="4">
        <v>0</v>
      </c>
      <c r="AH2746" s="4">
        <v>82</v>
      </c>
      <c r="AI2746" s="4">
        <v>82</v>
      </c>
      <c r="AJ2746" s="4">
        <v>17</v>
      </c>
      <c r="AK2746" s="4">
        <v>17</v>
      </c>
      <c r="AL2746" s="4">
        <v>43</v>
      </c>
      <c r="AM2746" s="4">
        <v>43</v>
      </c>
      <c r="AN2746" s="4">
        <v>0</v>
      </c>
      <c r="AO2746" s="4">
        <v>0</v>
      </c>
      <c r="AP2746" s="4">
        <v>17</v>
      </c>
      <c r="AQ2746" s="4">
        <v>17</v>
      </c>
      <c r="AR2746" s="3" t="s">
        <v>63</v>
      </c>
      <c r="AS2746" s="3" t="s">
        <v>63</v>
      </c>
      <c r="AT2746" s="3" t="s">
        <v>62</v>
      </c>
      <c r="AU2746" s="6" t="str">
        <f>HYPERLINK("http://catalog.hathitrust.org/Record/000763408","HathiTrust Record")</f>
        <v>HathiTrust Record</v>
      </c>
      <c r="AV2746" s="6" t="str">
        <f>HYPERLINK("http://mcgill.on.worldcat.org/oclc/8034181","Catalog Record")</f>
        <v>Catalog Record</v>
      </c>
      <c r="AW2746" s="6" t="str">
        <f>HYPERLINK("http://www.worldcat.org/oclc/8034181","WorldCat Record")</f>
        <v>WorldCat Record</v>
      </c>
      <c r="AX2746" s="3" t="s">
        <v>22889</v>
      </c>
      <c r="AY2746" s="3" t="s">
        <v>22890</v>
      </c>
      <c r="AZ2746" s="3" t="s">
        <v>22891</v>
      </c>
      <c r="BA2746" s="3" t="s">
        <v>22891</v>
      </c>
      <c r="BB2746" s="3" t="s">
        <v>22892</v>
      </c>
      <c r="BC2746" s="3" t="s">
        <v>82</v>
      </c>
      <c r="BD2746" s="3" t="s">
        <v>70</v>
      </c>
      <c r="BE2746" s="3" t="s">
        <v>22893</v>
      </c>
      <c r="BF2746" s="3" t="s">
        <v>22892</v>
      </c>
      <c r="BG2746" s="3" t="s">
        <v>22894</v>
      </c>
    </row>
    <row r="2747" spans="1:59" ht="60" x14ac:dyDescent="0.25">
      <c r="A2747" s="2" t="s">
        <v>59</v>
      </c>
      <c r="B2747" s="2" t="s">
        <v>60</v>
      </c>
      <c r="C2747" s="2" t="s">
        <v>22895</v>
      </c>
      <c r="D2747" s="2" t="s">
        <v>22896</v>
      </c>
      <c r="E2747" s="2" t="s">
        <v>22897</v>
      </c>
      <c r="G2747" s="3" t="s">
        <v>63</v>
      </c>
      <c r="I2747" s="3" t="s">
        <v>63</v>
      </c>
      <c r="J2747" s="3" t="s">
        <v>63</v>
      </c>
      <c r="K2747" s="3" t="s">
        <v>64</v>
      </c>
      <c r="L2747" s="2" t="s">
        <v>22887</v>
      </c>
      <c r="M2747" s="2" t="s">
        <v>22898</v>
      </c>
      <c r="N2747" s="3" t="s">
        <v>531</v>
      </c>
      <c r="P2747" s="3" t="s">
        <v>90</v>
      </c>
      <c r="R2747" s="3" t="s">
        <v>67</v>
      </c>
      <c r="S2747" s="4">
        <v>5</v>
      </c>
      <c r="T2747" s="4">
        <v>5</v>
      </c>
      <c r="U2747" s="5" t="s">
        <v>22899</v>
      </c>
      <c r="V2747" s="5" t="s">
        <v>22899</v>
      </c>
      <c r="W2747" s="5" t="s">
        <v>69</v>
      </c>
      <c r="X2747" s="5" t="s">
        <v>69</v>
      </c>
      <c r="Y2747" s="4">
        <v>61</v>
      </c>
      <c r="Z2747" s="4">
        <v>7</v>
      </c>
      <c r="AA2747" s="4">
        <v>7</v>
      </c>
      <c r="AB2747" s="4">
        <v>1</v>
      </c>
      <c r="AC2747" s="4">
        <v>1</v>
      </c>
      <c r="AD2747" s="4">
        <v>34</v>
      </c>
      <c r="AE2747" s="4">
        <v>34</v>
      </c>
      <c r="AF2747" s="4">
        <v>0</v>
      </c>
      <c r="AG2747" s="4">
        <v>0</v>
      </c>
      <c r="AH2747" s="4">
        <v>31</v>
      </c>
      <c r="AI2747" s="4">
        <v>31</v>
      </c>
      <c r="AJ2747" s="4">
        <v>5</v>
      </c>
      <c r="AK2747" s="4">
        <v>5</v>
      </c>
      <c r="AL2747" s="4">
        <v>26</v>
      </c>
      <c r="AM2747" s="4">
        <v>26</v>
      </c>
      <c r="AN2747" s="4">
        <v>0</v>
      </c>
      <c r="AO2747" s="4">
        <v>0</v>
      </c>
      <c r="AP2747" s="4">
        <v>5</v>
      </c>
      <c r="AQ2747" s="4">
        <v>5</v>
      </c>
      <c r="AR2747" s="3" t="s">
        <v>63</v>
      </c>
      <c r="AS2747" s="3" t="s">
        <v>63</v>
      </c>
      <c r="AT2747" s="3" t="s">
        <v>62</v>
      </c>
      <c r="AU2747" s="6" t="str">
        <f>HYPERLINK("http://catalog.hathitrust.org/Record/002895552","HathiTrust Record")</f>
        <v>HathiTrust Record</v>
      </c>
      <c r="AV2747" s="6" t="str">
        <f>HYPERLINK("http://mcgill.on.worldcat.org/oclc/28132827","Catalog Record")</f>
        <v>Catalog Record</v>
      </c>
      <c r="AW2747" s="6" t="str">
        <f>HYPERLINK("http://www.worldcat.org/oclc/28132827","WorldCat Record")</f>
        <v>WorldCat Record</v>
      </c>
      <c r="AX2747" s="3" t="s">
        <v>22900</v>
      </c>
      <c r="AY2747" s="3" t="s">
        <v>22901</v>
      </c>
      <c r="AZ2747" s="3" t="s">
        <v>22902</v>
      </c>
      <c r="BA2747" s="3" t="s">
        <v>22902</v>
      </c>
      <c r="BB2747" s="3" t="s">
        <v>22903</v>
      </c>
      <c r="BC2747" s="3" t="s">
        <v>82</v>
      </c>
      <c r="BD2747" s="3" t="s">
        <v>70</v>
      </c>
      <c r="BE2747" s="3" t="s">
        <v>22904</v>
      </c>
      <c r="BF2747" s="3" t="s">
        <v>22903</v>
      </c>
      <c r="BG2747" s="3" t="s">
        <v>22905</v>
      </c>
    </row>
    <row r="2748" spans="1:59" ht="60" x14ac:dyDescent="0.25">
      <c r="A2748" s="2" t="s">
        <v>59</v>
      </c>
      <c r="B2748" s="2" t="s">
        <v>60</v>
      </c>
      <c r="C2748" s="2" t="s">
        <v>22906</v>
      </c>
      <c r="D2748" s="2" t="s">
        <v>22907</v>
      </c>
      <c r="E2748" s="2" t="s">
        <v>22908</v>
      </c>
      <c r="G2748" s="3" t="s">
        <v>63</v>
      </c>
      <c r="I2748" s="3" t="s">
        <v>63</v>
      </c>
      <c r="J2748" s="3" t="s">
        <v>63</v>
      </c>
      <c r="K2748" s="3" t="s">
        <v>64</v>
      </c>
      <c r="L2748" s="2" t="s">
        <v>22887</v>
      </c>
      <c r="M2748" s="2" t="s">
        <v>22909</v>
      </c>
      <c r="N2748" s="3" t="s">
        <v>18445</v>
      </c>
      <c r="P2748" s="3" t="s">
        <v>66</v>
      </c>
      <c r="R2748" s="3" t="s">
        <v>67</v>
      </c>
      <c r="S2748" s="4">
        <v>2</v>
      </c>
      <c r="T2748" s="4">
        <v>2</v>
      </c>
      <c r="U2748" s="5" t="s">
        <v>22910</v>
      </c>
      <c r="V2748" s="5" t="s">
        <v>22910</v>
      </c>
      <c r="W2748" s="5" t="s">
        <v>69</v>
      </c>
      <c r="X2748" s="5" t="s">
        <v>69</v>
      </c>
      <c r="Y2748" s="4">
        <v>36</v>
      </c>
      <c r="Z2748" s="4">
        <v>3</v>
      </c>
      <c r="AA2748" s="4">
        <v>15</v>
      </c>
      <c r="AB2748" s="4">
        <v>1</v>
      </c>
      <c r="AC2748" s="4">
        <v>1</v>
      </c>
      <c r="AD2748" s="4">
        <v>7</v>
      </c>
      <c r="AE2748" s="4">
        <v>99</v>
      </c>
      <c r="AF2748" s="4">
        <v>0</v>
      </c>
      <c r="AG2748" s="4">
        <v>0</v>
      </c>
      <c r="AH2748" s="4">
        <v>6</v>
      </c>
      <c r="AI2748" s="4">
        <v>92</v>
      </c>
      <c r="AJ2748" s="4">
        <v>1</v>
      </c>
      <c r="AK2748" s="4">
        <v>10</v>
      </c>
      <c r="AL2748" s="4">
        <v>2</v>
      </c>
      <c r="AM2748" s="4">
        <v>51</v>
      </c>
      <c r="AN2748" s="4">
        <v>0</v>
      </c>
      <c r="AO2748" s="4">
        <v>0</v>
      </c>
      <c r="AP2748" s="4">
        <v>1</v>
      </c>
      <c r="AQ2748" s="4">
        <v>10</v>
      </c>
      <c r="AR2748" s="3" t="s">
        <v>63</v>
      </c>
      <c r="AS2748" s="3" t="s">
        <v>63</v>
      </c>
      <c r="AT2748" s="3" t="s">
        <v>63</v>
      </c>
      <c r="AV2748" s="6" t="str">
        <f>HYPERLINK("http://mcgill.on.worldcat.org/oclc/2170294","Catalog Record")</f>
        <v>Catalog Record</v>
      </c>
      <c r="AW2748" s="6" t="str">
        <f>HYPERLINK("http://www.worldcat.org/oclc/2170294","WorldCat Record")</f>
        <v>WorldCat Record</v>
      </c>
      <c r="AX2748" s="3" t="s">
        <v>22911</v>
      </c>
      <c r="AY2748" s="3" t="s">
        <v>22912</v>
      </c>
      <c r="AZ2748" s="3" t="s">
        <v>22913</v>
      </c>
      <c r="BA2748" s="3" t="s">
        <v>22913</v>
      </c>
      <c r="BB2748" s="3" t="s">
        <v>22914</v>
      </c>
      <c r="BC2748" s="3" t="s">
        <v>82</v>
      </c>
      <c r="BD2748" s="3" t="s">
        <v>70</v>
      </c>
      <c r="BF2748" s="3" t="s">
        <v>22914</v>
      </c>
      <c r="BG2748" s="3" t="s">
        <v>22915</v>
      </c>
    </row>
    <row r="2749" spans="1:59" ht="60" x14ac:dyDescent="0.25">
      <c r="A2749" s="2" t="s">
        <v>59</v>
      </c>
      <c r="B2749" s="2" t="s">
        <v>60</v>
      </c>
      <c r="C2749" s="2" t="s">
        <v>22916</v>
      </c>
      <c r="D2749" s="2" t="s">
        <v>22917</v>
      </c>
      <c r="E2749" s="2" t="s">
        <v>22918</v>
      </c>
      <c r="G2749" s="3" t="s">
        <v>63</v>
      </c>
      <c r="I2749" s="3" t="s">
        <v>63</v>
      </c>
      <c r="J2749" s="3" t="s">
        <v>63</v>
      </c>
      <c r="K2749" s="3" t="s">
        <v>64</v>
      </c>
      <c r="L2749" s="2" t="s">
        <v>22887</v>
      </c>
      <c r="M2749" s="2" t="s">
        <v>22919</v>
      </c>
      <c r="N2749" s="3" t="s">
        <v>531</v>
      </c>
      <c r="P2749" s="3" t="s">
        <v>90</v>
      </c>
      <c r="R2749" s="3" t="s">
        <v>67</v>
      </c>
      <c r="S2749" s="4">
        <v>5</v>
      </c>
      <c r="T2749" s="4">
        <v>5</v>
      </c>
      <c r="U2749" s="5" t="s">
        <v>22899</v>
      </c>
      <c r="V2749" s="5" t="s">
        <v>22899</v>
      </c>
      <c r="W2749" s="5" t="s">
        <v>69</v>
      </c>
      <c r="X2749" s="5" t="s">
        <v>69</v>
      </c>
      <c r="Y2749" s="4">
        <v>14</v>
      </c>
      <c r="Z2749" s="4">
        <v>1</v>
      </c>
      <c r="AA2749" s="4">
        <v>1</v>
      </c>
      <c r="AB2749" s="4">
        <v>1</v>
      </c>
      <c r="AC2749" s="4">
        <v>1</v>
      </c>
      <c r="AD2749" s="4">
        <v>12</v>
      </c>
      <c r="AE2749" s="4">
        <v>12</v>
      </c>
      <c r="AF2749" s="4">
        <v>0</v>
      </c>
      <c r="AG2749" s="4">
        <v>0</v>
      </c>
      <c r="AH2749" s="4">
        <v>11</v>
      </c>
      <c r="AI2749" s="4">
        <v>11</v>
      </c>
      <c r="AJ2749" s="4">
        <v>0</v>
      </c>
      <c r="AK2749" s="4">
        <v>0</v>
      </c>
      <c r="AL2749" s="4">
        <v>10</v>
      </c>
      <c r="AM2749" s="4">
        <v>10</v>
      </c>
      <c r="AN2749" s="4">
        <v>0</v>
      </c>
      <c r="AO2749" s="4">
        <v>0</v>
      </c>
      <c r="AP2749" s="4">
        <v>0</v>
      </c>
      <c r="AQ2749" s="4">
        <v>0</v>
      </c>
      <c r="AR2749" s="3" t="s">
        <v>63</v>
      </c>
      <c r="AS2749" s="3" t="s">
        <v>63</v>
      </c>
      <c r="AT2749" s="3" t="s">
        <v>62</v>
      </c>
      <c r="AU2749" s="6" t="str">
        <f>HYPERLINK("http://catalog.hathitrust.org/Record/002972585","HathiTrust Record")</f>
        <v>HathiTrust Record</v>
      </c>
      <c r="AV2749" s="6" t="str">
        <f>HYPERLINK("http://mcgill.on.worldcat.org/oclc/26846044","Catalog Record")</f>
        <v>Catalog Record</v>
      </c>
      <c r="AW2749" s="6" t="str">
        <f>HYPERLINK("http://www.worldcat.org/oclc/26846044","WorldCat Record")</f>
        <v>WorldCat Record</v>
      </c>
      <c r="AX2749" s="3" t="s">
        <v>22920</v>
      </c>
      <c r="AY2749" s="3" t="s">
        <v>22921</v>
      </c>
      <c r="AZ2749" s="3" t="s">
        <v>22922</v>
      </c>
      <c r="BA2749" s="3" t="s">
        <v>22922</v>
      </c>
      <c r="BB2749" s="3" t="s">
        <v>22923</v>
      </c>
      <c r="BC2749" s="3" t="s">
        <v>82</v>
      </c>
      <c r="BD2749" s="3" t="s">
        <v>70</v>
      </c>
      <c r="BE2749" s="3" t="s">
        <v>22924</v>
      </c>
      <c r="BF2749" s="3" t="s">
        <v>22923</v>
      </c>
      <c r="BG2749" s="3" t="s">
        <v>22925</v>
      </c>
    </row>
    <row r="2750" spans="1:59" ht="60" x14ac:dyDescent="0.25">
      <c r="A2750" s="2" t="s">
        <v>59</v>
      </c>
      <c r="B2750" s="2" t="s">
        <v>60</v>
      </c>
      <c r="C2750" s="2" t="s">
        <v>23061</v>
      </c>
      <c r="D2750" s="2" t="s">
        <v>23052</v>
      </c>
      <c r="E2750" s="2" t="s">
        <v>23053</v>
      </c>
      <c r="F2750" s="3" t="s">
        <v>6558</v>
      </c>
      <c r="G2750" s="3" t="s">
        <v>62</v>
      </c>
      <c r="I2750" s="3" t="s">
        <v>63</v>
      </c>
      <c r="J2750" s="3" t="s">
        <v>63</v>
      </c>
      <c r="K2750" s="3" t="s">
        <v>64</v>
      </c>
      <c r="L2750" s="2" t="s">
        <v>23014</v>
      </c>
      <c r="M2750" s="2" t="s">
        <v>23054</v>
      </c>
      <c r="N2750" s="3" t="s">
        <v>1343</v>
      </c>
      <c r="P2750" s="3" t="s">
        <v>90</v>
      </c>
      <c r="R2750" s="3" t="s">
        <v>67</v>
      </c>
      <c r="S2750" s="4">
        <v>0</v>
      </c>
      <c r="T2750" s="4">
        <v>5</v>
      </c>
      <c r="V2750" s="5" t="s">
        <v>2093</v>
      </c>
      <c r="W2750" s="5" t="s">
        <v>69</v>
      </c>
      <c r="X2750" s="5" t="s">
        <v>69</v>
      </c>
      <c r="Y2750" s="4">
        <v>68</v>
      </c>
      <c r="Z2750" s="4">
        <v>5</v>
      </c>
      <c r="AA2750" s="4">
        <v>5</v>
      </c>
      <c r="AB2750" s="4">
        <v>1</v>
      </c>
      <c r="AC2750" s="4">
        <v>1</v>
      </c>
      <c r="AD2750" s="4">
        <v>42</v>
      </c>
      <c r="AE2750" s="4">
        <v>42</v>
      </c>
      <c r="AF2750" s="4">
        <v>0</v>
      </c>
      <c r="AG2750" s="4">
        <v>0</v>
      </c>
      <c r="AH2750" s="4">
        <v>41</v>
      </c>
      <c r="AI2750" s="4">
        <v>41</v>
      </c>
      <c r="AJ2750" s="4">
        <v>3</v>
      </c>
      <c r="AK2750" s="4">
        <v>3</v>
      </c>
      <c r="AL2750" s="4">
        <v>29</v>
      </c>
      <c r="AM2750" s="4">
        <v>29</v>
      </c>
      <c r="AN2750" s="4">
        <v>0</v>
      </c>
      <c r="AO2750" s="4">
        <v>0</v>
      </c>
      <c r="AP2750" s="4">
        <v>3</v>
      </c>
      <c r="AQ2750" s="4">
        <v>3</v>
      </c>
      <c r="AR2750" s="3" t="s">
        <v>63</v>
      </c>
      <c r="AS2750" s="3" t="s">
        <v>63</v>
      </c>
      <c r="AT2750" s="3" t="s">
        <v>62</v>
      </c>
      <c r="AU2750" s="6" t="str">
        <f>HYPERLINK("http://catalog.hathitrust.org/Record/004168132","HathiTrust Record")</f>
        <v>HathiTrust Record</v>
      </c>
      <c r="AV2750" s="6" t="str">
        <f>HYPERLINK("http://mcgill.on.worldcat.org/oclc/45907758","Catalog Record")</f>
        <v>Catalog Record</v>
      </c>
      <c r="AW2750" s="6" t="str">
        <f>HYPERLINK("http://www.worldcat.org/oclc/45907758","WorldCat Record")</f>
        <v>WorldCat Record</v>
      </c>
      <c r="AX2750" s="3" t="s">
        <v>23055</v>
      </c>
      <c r="AY2750" s="3" t="s">
        <v>23056</v>
      </c>
      <c r="AZ2750" s="3" t="s">
        <v>23057</v>
      </c>
      <c r="BA2750" s="3" t="s">
        <v>23057</v>
      </c>
      <c r="BB2750" s="3" t="s">
        <v>23062</v>
      </c>
      <c r="BC2750" s="3" t="s">
        <v>82</v>
      </c>
      <c r="BD2750" s="3" t="s">
        <v>70</v>
      </c>
      <c r="BE2750" s="3" t="s">
        <v>23059</v>
      </c>
      <c r="BF2750" s="3" t="s">
        <v>23062</v>
      </c>
      <c r="BG2750" s="3" t="s">
        <v>23063</v>
      </c>
    </row>
    <row r="2751" spans="1:59" ht="60" x14ac:dyDescent="0.25">
      <c r="A2751" s="2" t="s">
        <v>59</v>
      </c>
      <c r="B2751" s="2" t="s">
        <v>60</v>
      </c>
      <c r="C2751" s="2" t="s">
        <v>22926</v>
      </c>
      <c r="D2751" s="2" t="s">
        <v>22927</v>
      </c>
      <c r="E2751" s="2" t="s">
        <v>22928</v>
      </c>
      <c r="G2751" s="3" t="s">
        <v>63</v>
      </c>
      <c r="I2751" s="3" t="s">
        <v>63</v>
      </c>
      <c r="J2751" s="3" t="s">
        <v>63</v>
      </c>
      <c r="K2751" s="3" t="s">
        <v>64</v>
      </c>
      <c r="L2751" s="2" t="s">
        <v>22929</v>
      </c>
      <c r="M2751" s="2" t="s">
        <v>22930</v>
      </c>
      <c r="N2751" s="3" t="s">
        <v>1916</v>
      </c>
      <c r="P2751" s="3" t="s">
        <v>66</v>
      </c>
      <c r="R2751" s="3" t="s">
        <v>67</v>
      </c>
      <c r="S2751" s="4">
        <v>11</v>
      </c>
      <c r="T2751" s="4">
        <v>11</v>
      </c>
      <c r="U2751" s="5" t="s">
        <v>22931</v>
      </c>
      <c r="V2751" s="5" t="s">
        <v>22931</v>
      </c>
      <c r="W2751" s="5" t="s">
        <v>69</v>
      </c>
      <c r="X2751" s="5" t="s">
        <v>69</v>
      </c>
      <c r="Y2751" s="4">
        <v>223</v>
      </c>
      <c r="Z2751" s="4">
        <v>18</v>
      </c>
      <c r="AA2751" s="4">
        <v>18</v>
      </c>
      <c r="AB2751" s="4">
        <v>1</v>
      </c>
      <c r="AC2751" s="4">
        <v>1</v>
      </c>
      <c r="AD2751" s="4">
        <v>91</v>
      </c>
      <c r="AE2751" s="4">
        <v>91</v>
      </c>
      <c r="AF2751" s="4">
        <v>0</v>
      </c>
      <c r="AG2751" s="4">
        <v>0</v>
      </c>
      <c r="AH2751" s="4">
        <v>81</v>
      </c>
      <c r="AI2751" s="4">
        <v>81</v>
      </c>
      <c r="AJ2751" s="4">
        <v>16</v>
      </c>
      <c r="AK2751" s="4">
        <v>16</v>
      </c>
      <c r="AL2751" s="4">
        <v>45</v>
      </c>
      <c r="AM2751" s="4">
        <v>45</v>
      </c>
      <c r="AN2751" s="4">
        <v>0</v>
      </c>
      <c r="AO2751" s="4">
        <v>0</v>
      </c>
      <c r="AP2751" s="4">
        <v>15</v>
      </c>
      <c r="AQ2751" s="4">
        <v>15</v>
      </c>
      <c r="AR2751" s="3" t="s">
        <v>63</v>
      </c>
      <c r="AS2751" s="3" t="s">
        <v>63</v>
      </c>
      <c r="AT2751" s="3" t="s">
        <v>62</v>
      </c>
      <c r="AU2751" s="6" t="str">
        <f>HYPERLINK("http://catalog.hathitrust.org/Record/000415064","HathiTrust Record")</f>
        <v>HathiTrust Record</v>
      </c>
      <c r="AV2751" s="6" t="str">
        <f>HYPERLINK("http://mcgill.on.worldcat.org/oclc/11370988","Catalog Record")</f>
        <v>Catalog Record</v>
      </c>
      <c r="AW2751" s="6" t="str">
        <f>HYPERLINK("http://www.worldcat.org/oclc/11370988","WorldCat Record")</f>
        <v>WorldCat Record</v>
      </c>
      <c r="AX2751" s="3" t="s">
        <v>22932</v>
      </c>
      <c r="AY2751" s="3" t="s">
        <v>22933</v>
      </c>
      <c r="AZ2751" s="3" t="s">
        <v>22934</v>
      </c>
      <c r="BA2751" s="3" t="s">
        <v>22934</v>
      </c>
      <c r="BB2751" s="3" t="s">
        <v>22935</v>
      </c>
      <c r="BC2751" s="3" t="s">
        <v>82</v>
      </c>
      <c r="BD2751" s="3" t="s">
        <v>70</v>
      </c>
      <c r="BE2751" s="3" t="s">
        <v>22936</v>
      </c>
      <c r="BF2751" s="3" t="s">
        <v>22935</v>
      </c>
      <c r="BG2751" s="3" t="s">
        <v>22937</v>
      </c>
    </row>
    <row r="2752" spans="1:59" ht="90" x14ac:dyDescent="0.25">
      <c r="A2752" s="2" t="s">
        <v>59</v>
      </c>
      <c r="B2752" s="2" t="s">
        <v>60</v>
      </c>
      <c r="C2752" s="2" t="s">
        <v>22938</v>
      </c>
      <c r="D2752" s="2" t="s">
        <v>22939</v>
      </c>
      <c r="E2752" s="2" t="s">
        <v>22940</v>
      </c>
      <c r="G2752" s="3" t="s">
        <v>63</v>
      </c>
      <c r="I2752" s="3" t="s">
        <v>63</v>
      </c>
      <c r="J2752" s="3" t="s">
        <v>63</v>
      </c>
      <c r="K2752" s="3" t="s">
        <v>64</v>
      </c>
      <c r="L2752" s="2" t="s">
        <v>22929</v>
      </c>
      <c r="M2752" s="2" t="s">
        <v>22941</v>
      </c>
      <c r="N2752" s="3" t="s">
        <v>12500</v>
      </c>
      <c r="P2752" s="3" t="s">
        <v>66</v>
      </c>
      <c r="R2752" s="3" t="s">
        <v>67</v>
      </c>
      <c r="S2752" s="4">
        <v>6</v>
      </c>
      <c r="T2752" s="4">
        <v>6</v>
      </c>
      <c r="U2752" s="5" t="s">
        <v>22931</v>
      </c>
      <c r="V2752" s="5" t="s">
        <v>22931</v>
      </c>
      <c r="W2752" s="5" t="s">
        <v>69</v>
      </c>
      <c r="X2752" s="5" t="s">
        <v>69</v>
      </c>
      <c r="Y2752" s="4">
        <v>1</v>
      </c>
      <c r="Z2752" s="4">
        <v>1</v>
      </c>
      <c r="AA2752" s="4">
        <v>18</v>
      </c>
      <c r="AB2752" s="4">
        <v>1</v>
      </c>
      <c r="AC2752" s="4">
        <v>2</v>
      </c>
      <c r="AD2752" s="4">
        <v>0</v>
      </c>
      <c r="AE2752" s="4">
        <v>90</v>
      </c>
      <c r="AF2752" s="4">
        <v>0</v>
      </c>
      <c r="AG2752" s="4">
        <v>1</v>
      </c>
      <c r="AH2752" s="4">
        <v>0</v>
      </c>
      <c r="AI2752" s="4">
        <v>81</v>
      </c>
      <c r="AJ2752" s="4">
        <v>0</v>
      </c>
      <c r="AK2752" s="4">
        <v>14</v>
      </c>
      <c r="AL2752" s="4">
        <v>0</v>
      </c>
      <c r="AM2752" s="4">
        <v>45</v>
      </c>
      <c r="AN2752" s="4">
        <v>0</v>
      </c>
      <c r="AO2752" s="4">
        <v>0</v>
      </c>
      <c r="AP2752" s="4">
        <v>0</v>
      </c>
      <c r="AQ2752" s="4">
        <v>15</v>
      </c>
      <c r="AR2752" s="3" t="s">
        <v>63</v>
      </c>
      <c r="AS2752" s="3" t="s">
        <v>63</v>
      </c>
      <c r="AT2752" s="3" t="s">
        <v>63</v>
      </c>
      <c r="AV2752" s="6" t="str">
        <f>HYPERLINK("http://mcgill.on.worldcat.org/oclc/427218845","Catalog Record")</f>
        <v>Catalog Record</v>
      </c>
      <c r="AW2752" s="6" t="str">
        <f>HYPERLINK("http://www.worldcat.org/oclc/427218845","WorldCat Record")</f>
        <v>WorldCat Record</v>
      </c>
      <c r="AX2752" s="3" t="s">
        <v>22942</v>
      </c>
      <c r="AY2752" s="3" t="s">
        <v>22943</v>
      </c>
      <c r="AZ2752" s="3" t="s">
        <v>22944</v>
      </c>
      <c r="BA2752" s="3" t="s">
        <v>22944</v>
      </c>
      <c r="BB2752" s="3" t="s">
        <v>22945</v>
      </c>
      <c r="BC2752" s="3" t="s">
        <v>82</v>
      </c>
      <c r="BD2752" s="3" t="s">
        <v>70</v>
      </c>
      <c r="BF2752" s="3" t="s">
        <v>22945</v>
      </c>
      <c r="BG2752" s="3" t="s">
        <v>22946</v>
      </c>
    </row>
    <row r="2753" spans="1:59" ht="60" x14ac:dyDescent="0.25">
      <c r="A2753" s="2" t="s">
        <v>59</v>
      </c>
      <c r="B2753" s="2" t="s">
        <v>60</v>
      </c>
      <c r="C2753" s="2" t="s">
        <v>22947</v>
      </c>
      <c r="D2753" s="2" t="s">
        <v>22948</v>
      </c>
      <c r="E2753" s="2" t="s">
        <v>22949</v>
      </c>
      <c r="G2753" s="3" t="s">
        <v>63</v>
      </c>
      <c r="I2753" s="3" t="s">
        <v>63</v>
      </c>
      <c r="J2753" s="3" t="s">
        <v>63</v>
      </c>
      <c r="K2753" s="3" t="s">
        <v>64</v>
      </c>
      <c r="L2753" s="2" t="s">
        <v>22950</v>
      </c>
      <c r="M2753" s="2" t="s">
        <v>5057</v>
      </c>
      <c r="N2753" s="3" t="s">
        <v>313</v>
      </c>
      <c r="P2753" s="3" t="s">
        <v>90</v>
      </c>
      <c r="Q2753" s="2" t="s">
        <v>22951</v>
      </c>
      <c r="R2753" s="3" t="s">
        <v>67</v>
      </c>
      <c r="S2753" s="4">
        <v>0</v>
      </c>
      <c r="T2753" s="4">
        <v>0</v>
      </c>
      <c r="W2753" s="5" t="s">
        <v>69</v>
      </c>
      <c r="X2753" s="5" t="s">
        <v>69</v>
      </c>
      <c r="Y2753" s="4">
        <v>39</v>
      </c>
      <c r="Z2753" s="4">
        <v>4</v>
      </c>
      <c r="AA2753" s="4">
        <v>4</v>
      </c>
      <c r="AB2753" s="4">
        <v>1</v>
      </c>
      <c r="AC2753" s="4">
        <v>1</v>
      </c>
      <c r="AD2753" s="4">
        <v>27</v>
      </c>
      <c r="AE2753" s="4">
        <v>27</v>
      </c>
      <c r="AF2753" s="4">
        <v>0</v>
      </c>
      <c r="AG2753" s="4">
        <v>0</v>
      </c>
      <c r="AH2753" s="4">
        <v>26</v>
      </c>
      <c r="AI2753" s="4">
        <v>26</v>
      </c>
      <c r="AJ2753" s="4">
        <v>2</v>
      </c>
      <c r="AK2753" s="4">
        <v>2</v>
      </c>
      <c r="AL2753" s="4">
        <v>22</v>
      </c>
      <c r="AM2753" s="4">
        <v>22</v>
      </c>
      <c r="AN2753" s="4">
        <v>0</v>
      </c>
      <c r="AO2753" s="4">
        <v>0</v>
      </c>
      <c r="AP2753" s="4">
        <v>2</v>
      </c>
      <c r="AQ2753" s="4">
        <v>2</v>
      </c>
      <c r="AR2753" s="3" t="s">
        <v>63</v>
      </c>
      <c r="AS2753" s="3" t="s">
        <v>63</v>
      </c>
      <c r="AT2753" s="3" t="s">
        <v>63</v>
      </c>
      <c r="AV2753" s="6" t="str">
        <f>HYPERLINK("http://mcgill.on.worldcat.org/oclc/650974870","Catalog Record")</f>
        <v>Catalog Record</v>
      </c>
      <c r="AW2753" s="6" t="str">
        <f>HYPERLINK("http://www.worldcat.org/oclc/650974870","WorldCat Record")</f>
        <v>WorldCat Record</v>
      </c>
      <c r="AX2753" s="3" t="s">
        <v>22952</v>
      </c>
      <c r="AY2753" s="3" t="s">
        <v>22953</v>
      </c>
      <c r="AZ2753" s="3" t="s">
        <v>22954</v>
      </c>
      <c r="BA2753" s="3" t="s">
        <v>22954</v>
      </c>
      <c r="BB2753" s="3" t="s">
        <v>22955</v>
      </c>
      <c r="BC2753" s="3" t="s">
        <v>82</v>
      </c>
      <c r="BD2753" s="3" t="s">
        <v>70</v>
      </c>
      <c r="BE2753" s="3" t="s">
        <v>22956</v>
      </c>
      <c r="BF2753" s="3" t="s">
        <v>22955</v>
      </c>
      <c r="BG2753" s="3" t="s">
        <v>22957</v>
      </c>
    </row>
    <row r="2754" spans="1:59" ht="75" x14ac:dyDescent="0.25">
      <c r="A2754" s="2" t="s">
        <v>59</v>
      </c>
      <c r="B2754" s="2" t="s">
        <v>60</v>
      </c>
      <c r="C2754" s="2" t="s">
        <v>22958</v>
      </c>
      <c r="D2754" s="2" t="s">
        <v>22959</v>
      </c>
      <c r="E2754" s="2" t="s">
        <v>22960</v>
      </c>
      <c r="G2754" s="3" t="s">
        <v>63</v>
      </c>
      <c r="I2754" s="3" t="s">
        <v>63</v>
      </c>
      <c r="J2754" s="3" t="s">
        <v>63</v>
      </c>
      <c r="K2754" s="3" t="s">
        <v>64</v>
      </c>
      <c r="L2754" s="2" t="s">
        <v>22961</v>
      </c>
      <c r="M2754" s="2" t="s">
        <v>22962</v>
      </c>
      <c r="N2754" s="3" t="s">
        <v>455</v>
      </c>
      <c r="P2754" s="3" t="s">
        <v>548</v>
      </c>
      <c r="Q2754" s="2" t="s">
        <v>22963</v>
      </c>
      <c r="R2754" s="3" t="s">
        <v>67</v>
      </c>
      <c r="S2754" s="4">
        <v>16</v>
      </c>
      <c r="T2754" s="4">
        <v>16</v>
      </c>
      <c r="U2754" s="5" t="s">
        <v>575</v>
      </c>
      <c r="V2754" s="5" t="s">
        <v>575</v>
      </c>
      <c r="W2754" s="5" t="s">
        <v>69</v>
      </c>
      <c r="X2754" s="5" t="s">
        <v>69</v>
      </c>
      <c r="Y2754" s="4">
        <v>13</v>
      </c>
      <c r="Z2754" s="4">
        <v>4</v>
      </c>
      <c r="AA2754" s="4">
        <v>6</v>
      </c>
      <c r="AB2754" s="4">
        <v>1</v>
      </c>
      <c r="AC2754" s="4">
        <v>3</v>
      </c>
      <c r="AD2754" s="4">
        <v>6</v>
      </c>
      <c r="AE2754" s="4">
        <v>8</v>
      </c>
      <c r="AF2754" s="4">
        <v>0</v>
      </c>
      <c r="AG2754" s="4">
        <v>2</v>
      </c>
      <c r="AH2754" s="4">
        <v>6</v>
      </c>
      <c r="AI2754" s="4">
        <v>7</v>
      </c>
      <c r="AJ2754" s="4">
        <v>2</v>
      </c>
      <c r="AK2754" s="4">
        <v>4</v>
      </c>
      <c r="AL2754" s="4">
        <v>5</v>
      </c>
      <c r="AM2754" s="4">
        <v>5</v>
      </c>
      <c r="AN2754" s="4">
        <v>0</v>
      </c>
      <c r="AO2754" s="4">
        <v>0</v>
      </c>
      <c r="AP2754" s="4">
        <v>2</v>
      </c>
      <c r="AQ2754" s="4">
        <v>3</v>
      </c>
      <c r="AR2754" s="3" t="s">
        <v>63</v>
      </c>
      <c r="AS2754" s="3" t="s">
        <v>63</v>
      </c>
      <c r="AT2754" s="3" t="s">
        <v>63</v>
      </c>
      <c r="AV2754" s="6" t="str">
        <f>HYPERLINK("http://mcgill.on.worldcat.org/oclc/17655939","Catalog Record")</f>
        <v>Catalog Record</v>
      </c>
      <c r="AW2754" s="6" t="str">
        <f>HYPERLINK("http://www.worldcat.org/oclc/17655939","WorldCat Record")</f>
        <v>WorldCat Record</v>
      </c>
      <c r="AX2754" s="3" t="s">
        <v>22964</v>
      </c>
      <c r="AY2754" s="3" t="s">
        <v>22965</v>
      </c>
      <c r="AZ2754" s="3" t="s">
        <v>22966</v>
      </c>
      <c r="BA2754" s="3" t="s">
        <v>22966</v>
      </c>
      <c r="BB2754" s="3" t="s">
        <v>22967</v>
      </c>
      <c r="BC2754" s="3" t="s">
        <v>82</v>
      </c>
      <c r="BD2754" s="3" t="s">
        <v>70</v>
      </c>
      <c r="BF2754" s="3" t="s">
        <v>22967</v>
      </c>
      <c r="BG2754" s="3" t="s">
        <v>22968</v>
      </c>
    </row>
    <row r="2755" spans="1:59" ht="75" x14ac:dyDescent="0.25">
      <c r="A2755" s="2" t="s">
        <v>59</v>
      </c>
      <c r="B2755" s="2" t="s">
        <v>60</v>
      </c>
      <c r="C2755" s="2" t="s">
        <v>22969</v>
      </c>
      <c r="D2755" s="2" t="s">
        <v>22970</v>
      </c>
      <c r="E2755" s="2" t="s">
        <v>22971</v>
      </c>
      <c r="G2755" s="3" t="s">
        <v>63</v>
      </c>
      <c r="I2755" s="3" t="s">
        <v>63</v>
      </c>
      <c r="J2755" s="3" t="s">
        <v>63</v>
      </c>
      <c r="K2755" s="3" t="s">
        <v>64</v>
      </c>
      <c r="L2755" s="2" t="s">
        <v>22961</v>
      </c>
      <c r="M2755" s="2" t="s">
        <v>22972</v>
      </c>
      <c r="N2755" s="3" t="s">
        <v>7161</v>
      </c>
      <c r="P2755" s="3" t="s">
        <v>66</v>
      </c>
      <c r="R2755" s="3" t="s">
        <v>67</v>
      </c>
      <c r="S2755" s="4">
        <v>10</v>
      </c>
      <c r="T2755" s="4">
        <v>10</v>
      </c>
      <c r="U2755" s="5" t="s">
        <v>22973</v>
      </c>
      <c r="V2755" s="5" t="s">
        <v>22973</v>
      </c>
      <c r="W2755" s="5" t="s">
        <v>69</v>
      </c>
      <c r="X2755" s="5" t="s">
        <v>69</v>
      </c>
      <c r="Y2755" s="4">
        <v>13</v>
      </c>
      <c r="Z2755" s="4">
        <v>1</v>
      </c>
      <c r="AA2755" s="4">
        <v>3</v>
      </c>
      <c r="AB2755" s="4">
        <v>1</v>
      </c>
      <c r="AC2755" s="4">
        <v>1</v>
      </c>
      <c r="AD2755" s="4">
        <v>7</v>
      </c>
      <c r="AE2755" s="4">
        <v>10</v>
      </c>
      <c r="AF2755" s="4">
        <v>0</v>
      </c>
      <c r="AG2755" s="4">
        <v>0</v>
      </c>
      <c r="AH2755" s="4">
        <v>7</v>
      </c>
      <c r="AI2755" s="4">
        <v>10</v>
      </c>
      <c r="AJ2755" s="4">
        <v>0</v>
      </c>
      <c r="AK2755" s="4">
        <v>2</v>
      </c>
      <c r="AL2755" s="4">
        <v>6</v>
      </c>
      <c r="AM2755" s="4">
        <v>7</v>
      </c>
      <c r="AN2755" s="4">
        <v>0</v>
      </c>
      <c r="AO2755" s="4">
        <v>0</v>
      </c>
      <c r="AP2755" s="4">
        <v>0</v>
      </c>
      <c r="AQ2755" s="4">
        <v>2</v>
      </c>
      <c r="AR2755" s="3" t="s">
        <v>63</v>
      </c>
      <c r="AS2755" s="3" t="s">
        <v>63</v>
      </c>
      <c r="AT2755" s="3" t="s">
        <v>62</v>
      </c>
      <c r="AU2755" s="6" t="str">
        <f>HYPERLINK("http://catalog.hathitrust.org/Record/001729313","HathiTrust Record")</f>
        <v>HathiTrust Record</v>
      </c>
      <c r="AV2755" s="6" t="str">
        <f>HYPERLINK("http://mcgill.on.worldcat.org/oclc/33466786","Catalog Record")</f>
        <v>Catalog Record</v>
      </c>
      <c r="AW2755" s="6" t="str">
        <f>HYPERLINK("http://www.worldcat.org/oclc/33466786","WorldCat Record")</f>
        <v>WorldCat Record</v>
      </c>
      <c r="AX2755" s="3" t="s">
        <v>22974</v>
      </c>
      <c r="AY2755" s="3" t="s">
        <v>22975</v>
      </c>
      <c r="AZ2755" s="3" t="s">
        <v>22976</v>
      </c>
      <c r="BA2755" s="3" t="s">
        <v>22976</v>
      </c>
      <c r="BB2755" s="3" t="s">
        <v>22977</v>
      </c>
      <c r="BC2755" s="3" t="s">
        <v>82</v>
      </c>
      <c r="BD2755" s="3" t="s">
        <v>70</v>
      </c>
      <c r="BF2755" s="3" t="s">
        <v>22977</v>
      </c>
      <c r="BG2755" s="3" t="s">
        <v>22978</v>
      </c>
    </row>
    <row r="2756" spans="1:59" ht="60" x14ac:dyDescent="0.25">
      <c r="A2756" s="2" t="s">
        <v>59</v>
      </c>
      <c r="B2756" s="2" t="s">
        <v>60</v>
      </c>
      <c r="C2756" s="2" t="s">
        <v>22979</v>
      </c>
      <c r="D2756" s="2" t="s">
        <v>22980</v>
      </c>
      <c r="E2756" s="2" t="s">
        <v>22981</v>
      </c>
      <c r="G2756" s="3" t="s">
        <v>63</v>
      </c>
      <c r="I2756" s="3" t="s">
        <v>63</v>
      </c>
      <c r="J2756" s="3" t="s">
        <v>63</v>
      </c>
      <c r="K2756" s="3" t="s">
        <v>64</v>
      </c>
      <c r="L2756" s="2" t="s">
        <v>7406</v>
      </c>
      <c r="M2756" s="2" t="s">
        <v>2972</v>
      </c>
      <c r="N2756" s="3" t="s">
        <v>313</v>
      </c>
      <c r="P2756" s="3" t="s">
        <v>66</v>
      </c>
      <c r="R2756" s="3" t="s">
        <v>67</v>
      </c>
      <c r="S2756" s="4">
        <v>0</v>
      </c>
      <c r="T2756" s="4">
        <v>0</v>
      </c>
      <c r="W2756" s="5" t="s">
        <v>69</v>
      </c>
      <c r="X2756" s="5" t="s">
        <v>69</v>
      </c>
      <c r="Y2756" s="4">
        <v>130</v>
      </c>
      <c r="Z2756" s="4">
        <v>13</v>
      </c>
      <c r="AA2756" s="4">
        <v>15</v>
      </c>
      <c r="AB2756" s="4">
        <v>1</v>
      </c>
      <c r="AC2756" s="4">
        <v>2</v>
      </c>
      <c r="AD2756" s="4">
        <v>66</v>
      </c>
      <c r="AE2756" s="4">
        <v>71</v>
      </c>
      <c r="AF2756" s="4">
        <v>0</v>
      </c>
      <c r="AG2756" s="4">
        <v>1</v>
      </c>
      <c r="AH2756" s="4">
        <v>62</v>
      </c>
      <c r="AI2756" s="4">
        <v>65</v>
      </c>
      <c r="AJ2756" s="4">
        <v>9</v>
      </c>
      <c r="AK2756" s="4">
        <v>10</v>
      </c>
      <c r="AL2756" s="4">
        <v>40</v>
      </c>
      <c r="AM2756" s="4">
        <v>41</v>
      </c>
      <c r="AN2756" s="4">
        <v>0</v>
      </c>
      <c r="AO2756" s="4">
        <v>0</v>
      </c>
      <c r="AP2756" s="4">
        <v>10</v>
      </c>
      <c r="AQ2756" s="4">
        <v>12</v>
      </c>
      <c r="AR2756" s="3" t="s">
        <v>63</v>
      </c>
      <c r="AS2756" s="3" t="s">
        <v>63</v>
      </c>
      <c r="AT2756" s="3" t="s">
        <v>63</v>
      </c>
      <c r="AV2756" s="6" t="str">
        <f>HYPERLINK("http://mcgill.on.worldcat.org/oclc/502304746","Catalog Record")</f>
        <v>Catalog Record</v>
      </c>
      <c r="AW2756" s="6" t="str">
        <f>HYPERLINK("http://www.worldcat.org/oclc/502304746","WorldCat Record")</f>
        <v>WorldCat Record</v>
      </c>
      <c r="AX2756" s="3" t="s">
        <v>22982</v>
      </c>
      <c r="AY2756" s="3" t="s">
        <v>22983</v>
      </c>
      <c r="AZ2756" s="3" t="s">
        <v>22984</v>
      </c>
      <c r="BA2756" s="3" t="s">
        <v>22984</v>
      </c>
      <c r="BB2756" s="3" t="s">
        <v>22985</v>
      </c>
      <c r="BC2756" s="3" t="s">
        <v>82</v>
      </c>
      <c r="BD2756" s="3" t="s">
        <v>70</v>
      </c>
      <c r="BE2756" s="3" t="s">
        <v>22986</v>
      </c>
      <c r="BF2756" s="3" t="s">
        <v>22985</v>
      </c>
      <c r="BG2756" s="3" t="s">
        <v>22987</v>
      </c>
    </row>
    <row r="2757" spans="1:59" ht="60" x14ac:dyDescent="0.25">
      <c r="A2757" s="2" t="s">
        <v>59</v>
      </c>
      <c r="B2757" s="2" t="s">
        <v>60</v>
      </c>
      <c r="C2757" s="2" t="s">
        <v>22988</v>
      </c>
      <c r="D2757" s="2" t="s">
        <v>22989</v>
      </c>
      <c r="E2757" s="2" t="s">
        <v>22990</v>
      </c>
      <c r="G2757" s="3" t="s">
        <v>63</v>
      </c>
      <c r="I2757" s="3" t="s">
        <v>63</v>
      </c>
      <c r="J2757" s="3" t="s">
        <v>63</v>
      </c>
      <c r="K2757" s="3" t="s">
        <v>64</v>
      </c>
      <c r="L2757" s="2" t="s">
        <v>22991</v>
      </c>
      <c r="M2757" s="2" t="s">
        <v>22992</v>
      </c>
      <c r="N2757" s="3" t="s">
        <v>22993</v>
      </c>
      <c r="P2757" s="3" t="s">
        <v>90</v>
      </c>
      <c r="R2757" s="3" t="s">
        <v>67</v>
      </c>
      <c r="S2757" s="4">
        <v>1</v>
      </c>
      <c r="T2757" s="4">
        <v>1</v>
      </c>
      <c r="U2757" s="5" t="s">
        <v>20930</v>
      </c>
      <c r="V2757" s="5" t="s">
        <v>20930</v>
      </c>
      <c r="W2757" s="5" t="s">
        <v>69</v>
      </c>
      <c r="X2757" s="5" t="s">
        <v>69</v>
      </c>
      <c r="Y2757" s="4">
        <v>1</v>
      </c>
      <c r="Z2757" s="4">
        <v>1</v>
      </c>
      <c r="AA2757" s="4">
        <v>5</v>
      </c>
      <c r="AB2757" s="4">
        <v>1</v>
      </c>
      <c r="AC2757" s="4">
        <v>1</v>
      </c>
      <c r="AD2757" s="4">
        <v>0</v>
      </c>
      <c r="AE2757" s="4">
        <v>20</v>
      </c>
      <c r="AF2757" s="4">
        <v>0</v>
      </c>
      <c r="AG2757" s="4">
        <v>0</v>
      </c>
      <c r="AH2757" s="4">
        <v>0</v>
      </c>
      <c r="AI2757" s="4">
        <v>17</v>
      </c>
      <c r="AJ2757" s="4">
        <v>0</v>
      </c>
      <c r="AK2757" s="4">
        <v>3</v>
      </c>
      <c r="AL2757" s="4">
        <v>0</v>
      </c>
      <c r="AM2757" s="4">
        <v>12</v>
      </c>
      <c r="AN2757" s="4">
        <v>0</v>
      </c>
      <c r="AO2757" s="4">
        <v>0</v>
      </c>
      <c r="AP2757" s="4">
        <v>0</v>
      </c>
      <c r="AQ2757" s="4">
        <v>3</v>
      </c>
      <c r="AR2757" s="3" t="s">
        <v>63</v>
      </c>
      <c r="AS2757" s="3" t="s">
        <v>63</v>
      </c>
      <c r="AT2757" s="3" t="s">
        <v>63</v>
      </c>
      <c r="AV2757" s="6" t="str">
        <f>HYPERLINK("http://mcgill.on.worldcat.org/oclc/427218208","Catalog Record")</f>
        <v>Catalog Record</v>
      </c>
      <c r="AW2757" s="6" t="str">
        <f>HYPERLINK("http://www.worldcat.org/oclc/427218208","WorldCat Record")</f>
        <v>WorldCat Record</v>
      </c>
      <c r="AX2757" s="3" t="s">
        <v>22994</v>
      </c>
      <c r="AY2757" s="3" t="s">
        <v>22995</v>
      </c>
      <c r="AZ2757" s="3" t="s">
        <v>22996</v>
      </c>
      <c r="BA2757" s="3" t="s">
        <v>22996</v>
      </c>
      <c r="BB2757" s="3" t="s">
        <v>22997</v>
      </c>
      <c r="BC2757" s="3" t="s">
        <v>82</v>
      </c>
      <c r="BD2757" s="3" t="s">
        <v>70</v>
      </c>
      <c r="BF2757" s="3" t="s">
        <v>22997</v>
      </c>
      <c r="BG2757" s="3" t="s">
        <v>22998</v>
      </c>
    </row>
    <row r="2758" spans="1:59" ht="60" x14ac:dyDescent="0.25">
      <c r="A2758" s="2" t="s">
        <v>59</v>
      </c>
      <c r="B2758" s="2" t="s">
        <v>60</v>
      </c>
      <c r="C2758" s="2" t="s">
        <v>22999</v>
      </c>
      <c r="D2758" s="2" t="s">
        <v>23000</v>
      </c>
      <c r="E2758" s="2" t="s">
        <v>23001</v>
      </c>
      <c r="G2758" s="3" t="s">
        <v>63</v>
      </c>
      <c r="I2758" s="3" t="s">
        <v>63</v>
      </c>
      <c r="J2758" s="3" t="s">
        <v>63</v>
      </c>
      <c r="K2758" s="3" t="s">
        <v>64</v>
      </c>
      <c r="L2758" s="2" t="s">
        <v>22991</v>
      </c>
      <c r="M2758" s="2" t="s">
        <v>23002</v>
      </c>
      <c r="N2758" s="3" t="s">
        <v>668</v>
      </c>
      <c r="P2758" s="3" t="s">
        <v>90</v>
      </c>
      <c r="Q2758" s="2" t="s">
        <v>23003</v>
      </c>
      <c r="R2758" s="3" t="s">
        <v>67</v>
      </c>
      <c r="S2758" s="4">
        <v>3</v>
      </c>
      <c r="T2758" s="4">
        <v>3</v>
      </c>
      <c r="U2758" s="5" t="s">
        <v>23004</v>
      </c>
      <c r="V2758" s="5" t="s">
        <v>23004</v>
      </c>
      <c r="W2758" s="5" t="s">
        <v>69</v>
      </c>
      <c r="X2758" s="5" t="s">
        <v>69</v>
      </c>
      <c r="Y2758" s="4">
        <v>41</v>
      </c>
      <c r="Z2758" s="4">
        <v>4</v>
      </c>
      <c r="AA2758" s="4">
        <v>4</v>
      </c>
      <c r="AB2758" s="4">
        <v>2</v>
      </c>
      <c r="AC2758" s="4">
        <v>2</v>
      </c>
      <c r="AD2758" s="4">
        <v>21</v>
      </c>
      <c r="AE2758" s="4">
        <v>22</v>
      </c>
      <c r="AF2758" s="4">
        <v>0</v>
      </c>
      <c r="AG2758" s="4">
        <v>0</v>
      </c>
      <c r="AH2758" s="4">
        <v>21</v>
      </c>
      <c r="AI2758" s="4">
        <v>22</v>
      </c>
      <c r="AJ2758" s="4">
        <v>1</v>
      </c>
      <c r="AK2758" s="4">
        <v>1</v>
      </c>
      <c r="AL2758" s="4">
        <v>19</v>
      </c>
      <c r="AM2758" s="4">
        <v>19</v>
      </c>
      <c r="AN2758" s="4">
        <v>0</v>
      </c>
      <c r="AO2758" s="4">
        <v>0</v>
      </c>
      <c r="AP2758" s="4">
        <v>1</v>
      </c>
      <c r="AQ2758" s="4">
        <v>1</v>
      </c>
      <c r="AR2758" s="3" t="s">
        <v>63</v>
      </c>
      <c r="AS2758" s="3" t="s">
        <v>63</v>
      </c>
      <c r="AT2758" s="3" t="s">
        <v>63</v>
      </c>
      <c r="AV2758" s="6" t="str">
        <f>HYPERLINK("http://mcgill.on.worldcat.org/oclc/22495375","Catalog Record")</f>
        <v>Catalog Record</v>
      </c>
      <c r="AW2758" s="6" t="str">
        <f>HYPERLINK("http://www.worldcat.org/oclc/22495375","WorldCat Record")</f>
        <v>WorldCat Record</v>
      </c>
      <c r="AX2758" s="3" t="s">
        <v>23005</v>
      </c>
      <c r="AY2758" s="3" t="s">
        <v>23006</v>
      </c>
      <c r="AZ2758" s="3" t="s">
        <v>23007</v>
      </c>
      <c r="BA2758" s="3" t="s">
        <v>23007</v>
      </c>
      <c r="BB2758" s="3" t="s">
        <v>23008</v>
      </c>
      <c r="BC2758" s="3" t="s">
        <v>82</v>
      </c>
      <c r="BD2758" s="3" t="s">
        <v>70</v>
      </c>
      <c r="BE2758" s="3" t="s">
        <v>23009</v>
      </c>
      <c r="BF2758" s="3" t="s">
        <v>23008</v>
      </c>
      <c r="BG2758" s="3" t="s">
        <v>23010</v>
      </c>
    </row>
    <row r="2759" spans="1:59" ht="60" x14ac:dyDescent="0.25">
      <c r="A2759" s="2" t="s">
        <v>59</v>
      </c>
      <c r="B2759" s="2" t="s">
        <v>60</v>
      </c>
      <c r="C2759" s="2" t="s">
        <v>23051</v>
      </c>
      <c r="D2759" s="2" t="s">
        <v>23052</v>
      </c>
      <c r="E2759" s="2" t="s">
        <v>23053</v>
      </c>
      <c r="F2759" s="3" t="s">
        <v>9214</v>
      </c>
      <c r="G2759" s="3" t="s">
        <v>62</v>
      </c>
      <c r="I2759" s="3" t="s">
        <v>63</v>
      </c>
      <c r="J2759" s="3" t="s">
        <v>63</v>
      </c>
      <c r="K2759" s="3" t="s">
        <v>64</v>
      </c>
      <c r="L2759" s="2" t="s">
        <v>23014</v>
      </c>
      <c r="M2759" s="2" t="s">
        <v>23054</v>
      </c>
      <c r="N2759" s="3" t="s">
        <v>1343</v>
      </c>
      <c r="P2759" s="3" t="s">
        <v>90</v>
      </c>
      <c r="R2759" s="3" t="s">
        <v>67</v>
      </c>
      <c r="S2759" s="4">
        <v>0</v>
      </c>
      <c r="T2759" s="4">
        <v>5</v>
      </c>
      <c r="V2759" s="5" t="s">
        <v>2093</v>
      </c>
      <c r="W2759" s="5" t="s">
        <v>69</v>
      </c>
      <c r="X2759" s="5" t="s">
        <v>69</v>
      </c>
      <c r="Y2759" s="4">
        <v>68</v>
      </c>
      <c r="Z2759" s="4">
        <v>5</v>
      </c>
      <c r="AA2759" s="4">
        <v>5</v>
      </c>
      <c r="AB2759" s="4">
        <v>1</v>
      </c>
      <c r="AC2759" s="4">
        <v>1</v>
      </c>
      <c r="AD2759" s="4">
        <v>42</v>
      </c>
      <c r="AE2759" s="4">
        <v>42</v>
      </c>
      <c r="AF2759" s="4">
        <v>0</v>
      </c>
      <c r="AG2759" s="4">
        <v>0</v>
      </c>
      <c r="AH2759" s="4">
        <v>41</v>
      </c>
      <c r="AI2759" s="4">
        <v>41</v>
      </c>
      <c r="AJ2759" s="4">
        <v>3</v>
      </c>
      <c r="AK2759" s="4">
        <v>3</v>
      </c>
      <c r="AL2759" s="4">
        <v>29</v>
      </c>
      <c r="AM2759" s="4">
        <v>29</v>
      </c>
      <c r="AN2759" s="4">
        <v>0</v>
      </c>
      <c r="AO2759" s="4">
        <v>0</v>
      </c>
      <c r="AP2759" s="4">
        <v>3</v>
      </c>
      <c r="AQ2759" s="4">
        <v>3</v>
      </c>
      <c r="AR2759" s="3" t="s">
        <v>63</v>
      </c>
      <c r="AS2759" s="3" t="s">
        <v>63</v>
      </c>
      <c r="AT2759" s="3" t="s">
        <v>62</v>
      </c>
      <c r="AU2759" s="6" t="str">
        <f>HYPERLINK("http://catalog.hathitrust.org/Record/004168132","HathiTrust Record")</f>
        <v>HathiTrust Record</v>
      </c>
      <c r="AV2759" s="6" t="str">
        <f>HYPERLINK("http://mcgill.on.worldcat.org/oclc/45907758","Catalog Record")</f>
        <v>Catalog Record</v>
      </c>
      <c r="AW2759" s="6" t="str">
        <f>HYPERLINK("http://www.worldcat.org/oclc/45907758","WorldCat Record")</f>
        <v>WorldCat Record</v>
      </c>
      <c r="AX2759" s="3" t="s">
        <v>23055</v>
      </c>
      <c r="AY2759" s="3" t="s">
        <v>23056</v>
      </c>
      <c r="AZ2759" s="3" t="s">
        <v>23057</v>
      </c>
      <c r="BA2759" s="3" t="s">
        <v>23057</v>
      </c>
      <c r="BB2759" s="3" t="s">
        <v>23058</v>
      </c>
      <c r="BC2759" s="3" t="s">
        <v>82</v>
      </c>
      <c r="BD2759" s="3" t="s">
        <v>70</v>
      </c>
      <c r="BE2759" s="3" t="s">
        <v>23059</v>
      </c>
      <c r="BF2759" s="3" t="s">
        <v>23058</v>
      </c>
      <c r="BG2759" s="3" t="s">
        <v>23060</v>
      </c>
    </row>
    <row r="2760" spans="1:59" ht="60" x14ac:dyDescent="0.25">
      <c r="A2760" s="2" t="s">
        <v>59</v>
      </c>
      <c r="B2760" s="2" t="s">
        <v>60</v>
      </c>
      <c r="C2760" s="2" t="s">
        <v>23051</v>
      </c>
      <c r="D2760" s="2" t="s">
        <v>23052</v>
      </c>
      <c r="E2760" s="2" t="s">
        <v>23053</v>
      </c>
      <c r="F2760" s="3" t="s">
        <v>4432</v>
      </c>
      <c r="G2760" s="3" t="s">
        <v>62</v>
      </c>
      <c r="I2760" s="3" t="s">
        <v>63</v>
      </c>
      <c r="J2760" s="3" t="s">
        <v>63</v>
      </c>
      <c r="K2760" s="3" t="s">
        <v>64</v>
      </c>
      <c r="L2760" s="2" t="s">
        <v>23014</v>
      </c>
      <c r="M2760" s="2" t="s">
        <v>23054</v>
      </c>
      <c r="N2760" s="3" t="s">
        <v>1343</v>
      </c>
      <c r="P2760" s="3" t="s">
        <v>90</v>
      </c>
      <c r="R2760" s="3" t="s">
        <v>67</v>
      </c>
      <c r="S2760" s="4">
        <v>0</v>
      </c>
      <c r="T2760" s="4">
        <v>5</v>
      </c>
      <c r="V2760" s="5" t="s">
        <v>2093</v>
      </c>
      <c r="W2760" s="5" t="s">
        <v>69</v>
      </c>
      <c r="X2760" s="5" t="s">
        <v>69</v>
      </c>
      <c r="Y2760" s="4">
        <v>68</v>
      </c>
      <c r="Z2760" s="4">
        <v>5</v>
      </c>
      <c r="AA2760" s="4">
        <v>5</v>
      </c>
      <c r="AB2760" s="4">
        <v>1</v>
      </c>
      <c r="AC2760" s="4">
        <v>1</v>
      </c>
      <c r="AD2760" s="4">
        <v>42</v>
      </c>
      <c r="AE2760" s="4">
        <v>42</v>
      </c>
      <c r="AF2760" s="4">
        <v>0</v>
      </c>
      <c r="AG2760" s="4">
        <v>0</v>
      </c>
      <c r="AH2760" s="4">
        <v>41</v>
      </c>
      <c r="AI2760" s="4">
        <v>41</v>
      </c>
      <c r="AJ2760" s="4">
        <v>3</v>
      </c>
      <c r="AK2760" s="4">
        <v>3</v>
      </c>
      <c r="AL2760" s="4">
        <v>29</v>
      </c>
      <c r="AM2760" s="4">
        <v>29</v>
      </c>
      <c r="AN2760" s="4">
        <v>0</v>
      </c>
      <c r="AO2760" s="4">
        <v>0</v>
      </c>
      <c r="AP2760" s="4">
        <v>3</v>
      </c>
      <c r="AQ2760" s="4">
        <v>3</v>
      </c>
      <c r="AR2760" s="3" t="s">
        <v>63</v>
      </c>
      <c r="AS2760" s="3" t="s">
        <v>63</v>
      </c>
      <c r="AT2760" s="3" t="s">
        <v>62</v>
      </c>
      <c r="AU2760" s="6" t="str">
        <f>HYPERLINK("http://catalog.hathitrust.org/Record/004168132","HathiTrust Record")</f>
        <v>HathiTrust Record</v>
      </c>
      <c r="AV2760" s="6" t="str">
        <f>HYPERLINK("http://mcgill.on.worldcat.org/oclc/45907758","Catalog Record")</f>
        <v>Catalog Record</v>
      </c>
      <c r="AW2760" s="6" t="str">
        <f>HYPERLINK("http://www.worldcat.org/oclc/45907758","WorldCat Record")</f>
        <v>WorldCat Record</v>
      </c>
      <c r="AX2760" s="3" t="s">
        <v>23055</v>
      </c>
      <c r="AY2760" s="3" t="s">
        <v>23056</v>
      </c>
      <c r="AZ2760" s="3" t="s">
        <v>23057</v>
      </c>
      <c r="BA2760" s="3" t="s">
        <v>23057</v>
      </c>
      <c r="BB2760" s="3" t="s">
        <v>23064</v>
      </c>
      <c r="BC2760" s="3" t="s">
        <v>82</v>
      </c>
      <c r="BD2760" s="3" t="s">
        <v>70</v>
      </c>
      <c r="BE2760" s="3" t="s">
        <v>23059</v>
      </c>
      <c r="BF2760" s="3" t="s">
        <v>23064</v>
      </c>
      <c r="BG2760" s="3" t="s">
        <v>23065</v>
      </c>
    </row>
    <row r="2761" spans="1:59" ht="60" x14ac:dyDescent="0.25">
      <c r="A2761" s="2" t="s">
        <v>59</v>
      </c>
      <c r="B2761" s="2" t="s">
        <v>60</v>
      </c>
      <c r="C2761" s="2" t="s">
        <v>23051</v>
      </c>
      <c r="D2761" s="2" t="s">
        <v>23052</v>
      </c>
      <c r="E2761" s="2" t="s">
        <v>23053</v>
      </c>
      <c r="F2761" s="3" t="s">
        <v>9200</v>
      </c>
      <c r="G2761" s="3" t="s">
        <v>62</v>
      </c>
      <c r="I2761" s="3" t="s">
        <v>63</v>
      </c>
      <c r="J2761" s="3" t="s">
        <v>63</v>
      </c>
      <c r="K2761" s="3" t="s">
        <v>64</v>
      </c>
      <c r="L2761" s="2" t="s">
        <v>23014</v>
      </c>
      <c r="M2761" s="2" t="s">
        <v>23054</v>
      </c>
      <c r="N2761" s="3" t="s">
        <v>1343</v>
      </c>
      <c r="P2761" s="3" t="s">
        <v>90</v>
      </c>
      <c r="R2761" s="3" t="s">
        <v>67</v>
      </c>
      <c r="S2761" s="4">
        <v>0</v>
      </c>
      <c r="T2761" s="4">
        <v>5</v>
      </c>
      <c r="V2761" s="5" t="s">
        <v>2093</v>
      </c>
      <c r="W2761" s="5" t="s">
        <v>69</v>
      </c>
      <c r="X2761" s="5" t="s">
        <v>69</v>
      </c>
      <c r="Y2761" s="4">
        <v>68</v>
      </c>
      <c r="Z2761" s="4">
        <v>5</v>
      </c>
      <c r="AA2761" s="4">
        <v>5</v>
      </c>
      <c r="AB2761" s="4">
        <v>1</v>
      </c>
      <c r="AC2761" s="4">
        <v>1</v>
      </c>
      <c r="AD2761" s="4">
        <v>42</v>
      </c>
      <c r="AE2761" s="4">
        <v>42</v>
      </c>
      <c r="AF2761" s="4">
        <v>0</v>
      </c>
      <c r="AG2761" s="4">
        <v>0</v>
      </c>
      <c r="AH2761" s="4">
        <v>41</v>
      </c>
      <c r="AI2761" s="4">
        <v>41</v>
      </c>
      <c r="AJ2761" s="4">
        <v>3</v>
      </c>
      <c r="AK2761" s="4">
        <v>3</v>
      </c>
      <c r="AL2761" s="4">
        <v>29</v>
      </c>
      <c r="AM2761" s="4">
        <v>29</v>
      </c>
      <c r="AN2761" s="4">
        <v>0</v>
      </c>
      <c r="AO2761" s="4">
        <v>0</v>
      </c>
      <c r="AP2761" s="4">
        <v>3</v>
      </c>
      <c r="AQ2761" s="4">
        <v>3</v>
      </c>
      <c r="AR2761" s="3" t="s">
        <v>63</v>
      </c>
      <c r="AS2761" s="3" t="s">
        <v>63</v>
      </c>
      <c r="AT2761" s="3" t="s">
        <v>62</v>
      </c>
      <c r="AU2761" s="6" t="str">
        <f>HYPERLINK("http://catalog.hathitrust.org/Record/004168132","HathiTrust Record")</f>
        <v>HathiTrust Record</v>
      </c>
      <c r="AV2761" s="6" t="str">
        <f>HYPERLINK("http://mcgill.on.worldcat.org/oclc/45907758","Catalog Record")</f>
        <v>Catalog Record</v>
      </c>
      <c r="AW2761" s="6" t="str">
        <f>HYPERLINK("http://www.worldcat.org/oclc/45907758","WorldCat Record")</f>
        <v>WorldCat Record</v>
      </c>
      <c r="AX2761" s="3" t="s">
        <v>23055</v>
      </c>
      <c r="AY2761" s="3" t="s">
        <v>23056</v>
      </c>
      <c r="AZ2761" s="3" t="s">
        <v>23057</v>
      </c>
      <c r="BA2761" s="3" t="s">
        <v>23057</v>
      </c>
      <c r="BB2761" s="3" t="s">
        <v>23066</v>
      </c>
      <c r="BC2761" s="3" t="s">
        <v>82</v>
      </c>
      <c r="BD2761" s="3" t="s">
        <v>70</v>
      </c>
      <c r="BE2761" s="3" t="s">
        <v>23059</v>
      </c>
      <c r="BF2761" s="3" t="s">
        <v>23066</v>
      </c>
      <c r="BG2761" s="3" t="s">
        <v>23067</v>
      </c>
    </row>
    <row r="2762" spans="1:59" ht="60" x14ac:dyDescent="0.25">
      <c r="A2762" s="2" t="s">
        <v>59</v>
      </c>
      <c r="B2762" s="2" t="s">
        <v>60</v>
      </c>
      <c r="C2762" s="2" t="s">
        <v>23051</v>
      </c>
      <c r="D2762" s="2" t="s">
        <v>23052</v>
      </c>
      <c r="E2762" s="2" t="s">
        <v>23053</v>
      </c>
      <c r="F2762" s="3" t="s">
        <v>23068</v>
      </c>
      <c r="G2762" s="3" t="s">
        <v>62</v>
      </c>
      <c r="I2762" s="3" t="s">
        <v>63</v>
      </c>
      <c r="J2762" s="3" t="s">
        <v>63</v>
      </c>
      <c r="K2762" s="3" t="s">
        <v>64</v>
      </c>
      <c r="L2762" s="2" t="s">
        <v>23014</v>
      </c>
      <c r="M2762" s="2" t="s">
        <v>23054</v>
      </c>
      <c r="N2762" s="3" t="s">
        <v>1343</v>
      </c>
      <c r="P2762" s="3" t="s">
        <v>90</v>
      </c>
      <c r="R2762" s="3" t="s">
        <v>67</v>
      </c>
      <c r="S2762" s="4">
        <v>0</v>
      </c>
      <c r="T2762" s="4">
        <v>5</v>
      </c>
      <c r="V2762" s="5" t="s">
        <v>2093</v>
      </c>
      <c r="W2762" s="5" t="s">
        <v>69</v>
      </c>
      <c r="X2762" s="5" t="s">
        <v>69</v>
      </c>
      <c r="Y2762" s="4">
        <v>68</v>
      </c>
      <c r="Z2762" s="4">
        <v>5</v>
      </c>
      <c r="AA2762" s="4">
        <v>5</v>
      </c>
      <c r="AB2762" s="4">
        <v>1</v>
      </c>
      <c r="AC2762" s="4">
        <v>1</v>
      </c>
      <c r="AD2762" s="4">
        <v>42</v>
      </c>
      <c r="AE2762" s="4">
        <v>42</v>
      </c>
      <c r="AF2762" s="4">
        <v>0</v>
      </c>
      <c r="AG2762" s="4">
        <v>0</v>
      </c>
      <c r="AH2762" s="4">
        <v>41</v>
      </c>
      <c r="AI2762" s="4">
        <v>41</v>
      </c>
      <c r="AJ2762" s="4">
        <v>3</v>
      </c>
      <c r="AK2762" s="4">
        <v>3</v>
      </c>
      <c r="AL2762" s="4">
        <v>29</v>
      </c>
      <c r="AM2762" s="4">
        <v>29</v>
      </c>
      <c r="AN2762" s="4">
        <v>0</v>
      </c>
      <c r="AO2762" s="4">
        <v>0</v>
      </c>
      <c r="AP2762" s="4">
        <v>3</v>
      </c>
      <c r="AQ2762" s="4">
        <v>3</v>
      </c>
      <c r="AR2762" s="3" t="s">
        <v>63</v>
      </c>
      <c r="AS2762" s="3" t="s">
        <v>63</v>
      </c>
      <c r="AT2762" s="3" t="s">
        <v>62</v>
      </c>
      <c r="AU2762" s="6" t="str">
        <f>HYPERLINK("http://catalog.hathitrust.org/Record/004168132","HathiTrust Record")</f>
        <v>HathiTrust Record</v>
      </c>
      <c r="AV2762" s="6" t="str">
        <f>HYPERLINK("http://mcgill.on.worldcat.org/oclc/45907758","Catalog Record")</f>
        <v>Catalog Record</v>
      </c>
      <c r="AW2762" s="6" t="str">
        <f>HYPERLINK("http://www.worldcat.org/oclc/45907758","WorldCat Record")</f>
        <v>WorldCat Record</v>
      </c>
      <c r="AX2762" s="3" t="s">
        <v>23055</v>
      </c>
      <c r="AY2762" s="3" t="s">
        <v>23056</v>
      </c>
      <c r="AZ2762" s="3" t="s">
        <v>23057</v>
      </c>
      <c r="BA2762" s="3" t="s">
        <v>23057</v>
      </c>
      <c r="BB2762" s="3" t="s">
        <v>23069</v>
      </c>
      <c r="BC2762" s="3" t="s">
        <v>82</v>
      </c>
      <c r="BD2762" s="3" t="s">
        <v>70</v>
      </c>
      <c r="BE2762" s="3" t="s">
        <v>23059</v>
      </c>
      <c r="BF2762" s="3" t="s">
        <v>23069</v>
      </c>
      <c r="BG2762" s="3" t="s">
        <v>23070</v>
      </c>
    </row>
    <row r="2763" spans="1:59" ht="60" x14ac:dyDescent="0.25">
      <c r="A2763" s="2" t="s">
        <v>59</v>
      </c>
      <c r="B2763" s="2" t="s">
        <v>60</v>
      </c>
      <c r="C2763" s="2" t="s">
        <v>23051</v>
      </c>
      <c r="D2763" s="2" t="s">
        <v>23052</v>
      </c>
      <c r="E2763" s="2" t="s">
        <v>23053</v>
      </c>
      <c r="F2763" s="3" t="s">
        <v>8673</v>
      </c>
      <c r="G2763" s="3" t="s">
        <v>62</v>
      </c>
      <c r="I2763" s="3" t="s">
        <v>63</v>
      </c>
      <c r="J2763" s="3" t="s">
        <v>63</v>
      </c>
      <c r="K2763" s="3" t="s">
        <v>64</v>
      </c>
      <c r="L2763" s="2" t="s">
        <v>23014</v>
      </c>
      <c r="M2763" s="2" t="s">
        <v>23054</v>
      </c>
      <c r="N2763" s="3" t="s">
        <v>1343</v>
      </c>
      <c r="P2763" s="3" t="s">
        <v>90</v>
      </c>
      <c r="R2763" s="3" t="s">
        <v>67</v>
      </c>
      <c r="S2763" s="4">
        <v>0</v>
      </c>
      <c r="T2763" s="4">
        <v>5</v>
      </c>
      <c r="V2763" s="5" t="s">
        <v>2093</v>
      </c>
      <c r="W2763" s="5" t="s">
        <v>69</v>
      </c>
      <c r="X2763" s="5" t="s">
        <v>69</v>
      </c>
      <c r="Y2763" s="4">
        <v>68</v>
      </c>
      <c r="Z2763" s="4">
        <v>5</v>
      </c>
      <c r="AA2763" s="4">
        <v>5</v>
      </c>
      <c r="AB2763" s="4">
        <v>1</v>
      </c>
      <c r="AC2763" s="4">
        <v>1</v>
      </c>
      <c r="AD2763" s="4">
        <v>42</v>
      </c>
      <c r="AE2763" s="4">
        <v>42</v>
      </c>
      <c r="AF2763" s="4">
        <v>0</v>
      </c>
      <c r="AG2763" s="4">
        <v>0</v>
      </c>
      <c r="AH2763" s="4">
        <v>41</v>
      </c>
      <c r="AI2763" s="4">
        <v>41</v>
      </c>
      <c r="AJ2763" s="4">
        <v>3</v>
      </c>
      <c r="AK2763" s="4">
        <v>3</v>
      </c>
      <c r="AL2763" s="4">
        <v>29</v>
      </c>
      <c r="AM2763" s="4">
        <v>29</v>
      </c>
      <c r="AN2763" s="4">
        <v>0</v>
      </c>
      <c r="AO2763" s="4">
        <v>0</v>
      </c>
      <c r="AP2763" s="4">
        <v>3</v>
      </c>
      <c r="AQ2763" s="4">
        <v>3</v>
      </c>
      <c r="AR2763" s="3" t="s">
        <v>63</v>
      </c>
      <c r="AS2763" s="3" t="s">
        <v>63</v>
      </c>
      <c r="AT2763" s="3" t="s">
        <v>62</v>
      </c>
      <c r="AU2763" s="6" t="str">
        <f>HYPERLINK("http://catalog.hathitrust.org/Record/004168132","HathiTrust Record")</f>
        <v>HathiTrust Record</v>
      </c>
      <c r="AV2763" s="6" t="str">
        <f>HYPERLINK("http://mcgill.on.worldcat.org/oclc/45907758","Catalog Record")</f>
        <v>Catalog Record</v>
      </c>
      <c r="AW2763" s="6" t="str">
        <f>HYPERLINK("http://www.worldcat.org/oclc/45907758","WorldCat Record")</f>
        <v>WorldCat Record</v>
      </c>
      <c r="AX2763" s="3" t="s">
        <v>23055</v>
      </c>
      <c r="AY2763" s="3" t="s">
        <v>23056</v>
      </c>
      <c r="AZ2763" s="3" t="s">
        <v>23057</v>
      </c>
      <c r="BA2763" s="3" t="s">
        <v>23057</v>
      </c>
      <c r="BB2763" s="3" t="s">
        <v>23071</v>
      </c>
      <c r="BC2763" s="3" t="s">
        <v>82</v>
      </c>
      <c r="BD2763" s="3" t="s">
        <v>70</v>
      </c>
      <c r="BE2763" s="3" t="s">
        <v>23059</v>
      </c>
      <c r="BF2763" s="3" t="s">
        <v>23071</v>
      </c>
      <c r="BG2763" s="3" t="s">
        <v>23072</v>
      </c>
    </row>
    <row r="2764" spans="1:59" ht="60" x14ac:dyDescent="0.25">
      <c r="A2764" s="2" t="s">
        <v>59</v>
      </c>
      <c r="B2764" s="2" t="s">
        <v>60</v>
      </c>
      <c r="C2764" s="2" t="s">
        <v>23051</v>
      </c>
      <c r="D2764" s="2" t="s">
        <v>23052</v>
      </c>
      <c r="E2764" s="2" t="s">
        <v>23053</v>
      </c>
      <c r="F2764" s="3" t="s">
        <v>23073</v>
      </c>
      <c r="G2764" s="3" t="s">
        <v>62</v>
      </c>
      <c r="I2764" s="3" t="s">
        <v>63</v>
      </c>
      <c r="J2764" s="3" t="s">
        <v>63</v>
      </c>
      <c r="K2764" s="3" t="s">
        <v>64</v>
      </c>
      <c r="L2764" s="2" t="s">
        <v>23014</v>
      </c>
      <c r="M2764" s="2" t="s">
        <v>23054</v>
      </c>
      <c r="N2764" s="3" t="s">
        <v>1343</v>
      </c>
      <c r="P2764" s="3" t="s">
        <v>90</v>
      </c>
      <c r="R2764" s="3" t="s">
        <v>67</v>
      </c>
      <c r="S2764" s="4">
        <v>0</v>
      </c>
      <c r="T2764" s="4">
        <v>5</v>
      </c>
      <c r="V2764" s="5" t="s">
        <v>2093</v>
      </c>
      <c r="W2764" s="5" t="s">
        <v>69</v>
      </c>
      <c r="X2764" s="5" t="s">
        <v>69</v>
      </c>
      <c r="Y2764" s="4">
        <v>68</v>
      </c>
      <c r="Z2764" s="4">
        <v>5</v>
      </c>
      <c r="AA2764" s="4">
        <v>5</v>
      </c>
      <c r="AB2764" s="4">
        <v>1</v>
      </c>
      <c r="AC2764" s="4">
        <v>1</v>
      </c>
      <c r="AD2764" s="4">
        <v>42</v>
      </c>
      <c r="AE2764" s="4">
        <v>42</v>
      </c>
      <c r="AF2764" s="4">
        <v>0</v>
      </c>
      <c r="AG2764" s="4">
        <v>0</v>
      </c>
      <c r="AH2764" s="4">
        <v>41</v>
      </c>
      <c r="AI2764" s="4">
        <v>41</v>
      </c>
      <c r="AJ2764" s="4">
        <v>3</v>
      </c>
      <c r="AK2764" s="4">
        <v>3</v>
      </c>
      <c r="AL2764" s="4">
        <v>29</v>
      </c>
      <c r="AM2764" s="4">
        <v>29</v>
      </c>
      <c r="AN2764" s="4">
        <v>0</v>
      </c>
      <c r="AO2764" s="4">
        <v>0</v>
      </c>
      <c r="AP2764" s="4">
        <v>3</v>
      </c>
      <c r="AQ2764" s="4">
        <v>3</v>
      </c>
      <c r="AR2764" s="3" t="s">
        <v>63</v>
      </c>
      <c r="AS2764" s="3" t="s">
        <v>63</v>
      </c>
      <c r="AT2764" s="3" t="s">
        <v>62</v>
      </c>
      <c r="AU2764" s="6" t="str">
        <f>HYPERLINK("http://catalog.hathitrust.org/Record/004168132","HathiTrust Record")</f>
        <v>HathiTrust Record</v>
      </c>
      <c r="AV2764" s="6" t="str">
        <f>HYPERLINK("http://mcgill.on.worldcat.org/oclc/45907758","Catalog Record")</f>
        <v>Catalog Record</v>
      </c>
      <c r="AW2764" s="6" t="str">
        <f>HYPERLINK("http://www.worldcat.org/oclc/45907758","WorldCat Record")</f>
        <v>WorldCat Record</v>
      </c>
      <c r="AX2764" s="3" t="s">
        <v>23055</v>
      </c>
      <c r="AY2764" s="3" t="s">
        <v>23056</v>
      </c>
      <c r="AZ2764" s="3" t="s">
        <v>23057</v>
      </c>
      <c r="BA2764" s="3" t="s">
        <v>23057</v>
      </c>
      <c r="BB2764" s="3" t="s">
        <v>23074</v>
      </c>
      <c r="BC2764" s="3" t="s">
        <v>82</v>
      </c>
      <c r="BD2764" s="3" t="s">
        <v>70</v>
      </c>
      <c r="BE2764" s="3" t="s">
        <v>23059</v>
      </c>
      <c r="BF2764" s="3" t="s">
        <v>23074</v>
      </c>
      <c r="BG2764" s="3" t="s">
        <v>23075</v>
      </c>
    </row>
    <row r="2765" spans="1:59" ht="60" x14ac:dyDescent="0.25">
      <c r="A2765" s="2" t="s">
        <v>59</v>
      </c>
      <c r="B2765" s="2" t="s">
        <v>60</v>
      </c>
      <c r="C2765" s="2" t="s">
        <v>23051</v>
      </c>
      <c r="D2765" s="2" t="s">
        <v>23052</v>
      </c>
      <c r="E2765" s="2" t="s">
        <v>23053</v>
      </c>
      <c r="F2765" s="3" t="s">
        <v>4049</v>
      </c>
      <c r="G2765" s="3" t="s">
        <v>62</v>
      </c>
      <c r="I2765" s="3" t="s">
        <v>63</v>
      </c>
      <c r="J2765" s="3" t="s">
        <v>63</v>
      </c>
      <c r="K2765" s="3" t="s">
        <v>64</v>
      </c>
      <c r="L2765" s="2" t="s">
        <v>23014</v>
      </c>
      <c r="M2765" s="2" t="s">
        <v>23054</v>
      </c>
      <c r="N2765" s="3" t="s">
        <v>1343</v>
      </c>
      <c r="P2765" s="3" t="s">
        <v>90</v>
      </c>
      <c r="R2765" s="3" t="s">
        <v>67</v>
      </c>
      <c r="S2765" s="4">
        <v>0</v>
      </c>
      <c r="T2765" s="4">
        <v>5</v>
      </c>
      <c r="V2765" s="5" t="s">
        <v>2093</v>
      </c>
      <c r="W2765" s="5" t="s">
        <v>69</v>
      </c>
      <c r="X2765" s="5" t="s">
        <v>69</v>
      </c>
      <c r="Y2765" s="4">
        <v>68</v>
      </c>
      <c r="Z2765" s="4">
        <v>5</v>
      </c>
      <c r="AA2765" s="4">
        <v>5</v>
      </c>
      <c r="AB2765" s="4">
        <v>1</v>
      </c>
      <c r="AC2765" s="4">
        <v>1</v>
      </c>
      <c r="AD2765" s="4">
        <v>42</v>
      </c>
      <c r="AE2765" s="4">
        <v>42</v>
      </c>
      <c r="AF2765" s="4">
        <v>0</v>
      </c>
      <c r="AG2765" s="4">
        <v>0</v>
      </c>
      <c r="AH2765" s="4">
        <v>41</v>
      </c>
      <c r="AI2765" s="4">
        <v>41</v>
      </c>
      <c r="AJ2765" s="4">
        <v>3</v>
      </c>
      <c r="AK2765" s="4">
        <v>3</v>
      </c>
      <c r="AL2765" s="4">
        <v>29</v>
      </c>
      <c r="AM2765" s="4">
        <v>29</v>
      </c>
      <c r="AN2765" s="4">
        <v>0</v>
      </c>
      <c r="AO2765" s="4">
        <v>0</v>
      </c>
      <c r="AP2765" s="4">
        <v>3</v>
      </c>
      <c r="AQ2765" s="4">
        <v>3</v>
      </c>
      <c r="AR2765" s="3" t="s">
        <v>63</v>
      </c>
      <c r="AS2765" s="3" t="s">
        <v>63</v>
      </c>
      <c r="AT2765" s="3" t="s">
        <v>62</v>
      </c>
      <c r="AU2765" s="6" t="str">
        <f>HYPERLINK("http://catalog.hathitrust.org/Record/004168132","HathiTrust Record")</f>
        <v>HathiTrust Record</v>
      </c>
      <c r="AV2765" s="6" t="str">
        <f>HYPERLINK("http://mcgill.on.worldcat.org/oclc/45907758","Catalog Record")</f>
        <v>Catalog Record</v>
      </c>
      <c r="AW2765" s="6" t="str">
        <f>HYPERLINK("http://www.worldcat.org/oclc/45907758","WorldCat Record")</f>
        <v>WorldCat Record</v>
      </c>
      <c r="AX2765" s="3" t="s">
        <v>23055</v>
      </c>
      <c r="AY2765" s="3" t="s">
        <v>23056</v>
      </c>
      <c r="AZ2765" s="3" t="s">
        <v>23057</v>
      </c>
      <c r="BA2765" s="3" t="s">
        <v>23057</v>
      </c>
      <c r="BB2765" s="3" t="s">
        <v>23076</v>
      </c>
      <c r="BC2765" s="3" t="s">
        <v>82</v>
      </c>
      <c r="BD2765" s="3" t="s">
        <v>70</v>
      </c>
      <c r="BE2765" s="3" t="s">
        <v>23059</v>
      </c>
      <c r="BF2765" s="3" t="s">
        <v>23076</v>
      </c>
      <c r="BG2765" s="3" t="s">
        <v>23077</v>
      </c>
    </row>
    <row r="2766" spans="1:59" ht="60" x14ac:dyDescent="0.25">
      <c r="A2766" s="2" t="s">
        <v>59</v>
      </c>
      <c r="B2766" s="2" t="s">
        <v>60</v>
      </c>
      <c r="C2766" s="2" t="s">
        <v>23051</v>
      </c>
      <c r="D2766" s="2" t="s">
        <v>23052</v>
      </c>
      <c r="E2766" s="2" t="s">
        <v>23053</v>
      </c>
      <c r="F2766" s="3" t="s">
        <v>8664</v>
      </c>
      <c r="G2766" s="3" t="s">
        <v>62</v>
      </c>
      <c r="I2766" s="3" t="s">
        <v>63</v>
      </c>
      <c r="J2766" s="3" t="s">
        <v>63</v>
      </c>
      <c r="K2766" s="3" t="s">
        <v>64</v>
      </c>
      <c r="L2766" s="2" t="s">
        <v>23014</v>
      </c>
      <c r="M2766" s="2" t="s">
        <v>23054</v>
      </c>
      <c r="N2766" s="3" t="s">
        <v>1343</v>
      </c>
      <c r="P2766" s="3" t="s">
        <v>90</v>
      </c>
      <c r="R2766" s="3" t="s">
        <v>67</v>
      </c>
      <c r="S2766" s="4">
        <v>5</v>
      </c>
      <c r="T2766" s="4">
        <v>5</v>
      </c>
      <c r="U2766" s="5" t="s">
        <v>2093</v>
      </c>
      <c r="V2766" s="5" t="s">
        <v>2093</v>
      </c>
      <c r="W2766" s="5" t="s">
        <v>69</v>
      </c>
      <c r="X2766" s="5" t="s">
        <v>69</v>
      </c>
      <c r="Y2766" s="4">
        <v>68</v>
      </c>
      <c r="Z2766" s="4">
        <v>5</v>
      </c>
      <c r="AA2766" s="4">
        <v>5</v>
      </c>
      <c r="AB2766" s="4">
        <v>1</v>
      </c>
      <c r="AC2766" s="4">
        <v>1</v>
      </c>
      <c r="AD2766" s="4">
        <v>42</v>
      </c>
      <c r="AE2766" s="4">
        <v>42</v>
      </c>
      <c r="AF2766" s="4">
        <v>0</v>
      </c>
      <c r="AG2766" s="4">
        <v>0</v>
      </c>
      <c r="AH2766" s="4">
        <v>41</v>
      </c>
      <c r="AI2766" s="4">
        <v>41</v>
      </c>
      <c r="AJ2766" s="4">
        <v>3</v>
      </c>
      <c r="AK2766" s="4">
        <v>3</v>
      </c>
      <c r="AL2766" s="4">
        <v>29</v>
      </c>
      <c r="AM2766" s="4">
        <v>29</v>
      </c>
      <c r="AN2766" s="4">
        <v>0</v>
      </c>
      <c r="AO2766" s="4">
        <v>0</v>
      </c>
      <c r="AP2766" s="4">
        <v>3</v>
      </c>
      <c r="AQ2766" s="4">
        <v>3</v>
      </c>
      <c r="AR2766" s="3" t="s">
        <v>63</v>
      </c>
      <c r="AS2766" s="3" t="s">
        <v>63</v>
      </c>
      <c r="AT2766" s="3" t="s">
        <v>62</v>
      </c>
      <c r="AU2766" s="6" t="str">
        <f>HYPERLINK("http://catalog.hathitrust.org/Record/004168132","HathiTrust Record")</f>
        <v>HathiTrust Record</v>
      </c>
      <c r="AV2766" s="6" t="str">
        <f>HYPERLINK("http://mcgill.on.worldcat.org/oclc/45907758","Catalog Record")</f>
        <v>Catalog Record</v>
      </c>
      <c r="AW2766" s="6" t="str">
        <f>HYPERLINK("http://www.worldcat.org/oclc/45907758","WorldCat Record")</f>
        <v>WorldCat Record</v>
      </c>
      <c r="AX2766" s="3" t="s">
        <v>23055</v>
      </c>
      <c r="AY2766" s="3" t="s">
        <v>23056</v>
      </c>
      <c r="AZ2766" s="3" t="s">
        <v>23057</v>
      </c>
      <c r="BA2766" s="3" t="s">
        <v>23057</v>
      </c>
      <c r="BB2766" s="3" t="s">
        <v>23078</v>
      </c>
      <c r="BC2766" s="3" t="s">
        <v>82</v>
      </c>
      <c r="BD2766" s="3" t="s">
        <v>70</v>
      </c>
      <c r="BE2766" s="3" t="s">
        <v>23059</v>
      </c>
      <c r="BF2766" s="3" t="s">
        <v>23078</v>
      </c>
      <c r="BG2766" s="3" t="s">
        <v>23079</v>
      </c>
    </row>
    <row r="2767" spans="1:59" ht="60" x14ac:dyDescent="0.25">
      <c r="A2767" s="2" t="s">
        <v>59</v>
      </c>
      <c r="B2767" s="2" t="s">
        <v>60</v>
      </c>
      <c r="C2767" s="2" t="s">
        <v>23011</v>
      </c>
      <c r="D2767" s="2" t="s">
        <v>23012</v>
      </c>
      <c r="E2767" s="2" t="s">
        <v>23013</v>
      </c>
      <c r="G2767" s="3" t="s">
        <v>63</v>
      </c>
      <c r="I2767" s="3" t="s">
        <v>63</v>
      </c>
      <c r="J2767" s="3" t="s">
        <v>63</v>
      </c>
      <c r="K2767" s="3" t="s">
        <v>64</v>
      </c>
      <c r="L2767" s="2" t="s">
        <v>23014</v>
      </c>
      <c r="M2767" s="2" t="s">
        <v>23015</v>
      </c>
      <c r="N2767" s="3" t="s">
        <v>65</v>
      </c>
      <c r="O2767" s="2" t="s">
        <v>590</v>
      </c>
      <c r="P2767" s="3" t="s">
        <v>66</v>
      </c>
      <c r="R2767" s="3" t="s">
        <v>67</v>
      </c>
      <c r="S2767" s="4">
        <v>10</v>
      </c>
      <c r="T2767" s="4">
        <v>10</v>
      </c>
      <c r="U2767" s="5" t="s">
        <v>2239</v>
      </c>
      <c r="V2767" s="5" t="s">
        <v>2239</v>
      </c>
      <c r="W2767" s="5" t="s">
        <v>69</v>
      </c>
      <c r="X2767" s="5" t="s">
        <v>69</v>
      </c>
      <c r="Y2767" s="4">
        <v>402</v>
      </c>
      <c r="Z2767" s="4">
        <v>25</v>
      </c>
      <c r="AA2767" s="4">
        <v>25</v>
      </c>
      <c r="AB2767" s="4">
        <v>2</v>
      </c>
      <c r="AC2767" s="4">
        <v>2</v>
      </c>
      <c r="AD2767" s="4">
        <v>117</v>
      </c>
      <c r="AE2767" s="4">
        <v>117</v>
      </c>
      <c r="AF2767" s="4">
        <v>1</v>
      </c>
      <c r="AG2767" s="4">
        <v>1</v>
      </c>
      <c r="AH2767" s="4">
        <v>105</v>
      </c>
      <c r="AI2767" s="4">
        <v>105</v>
      </c>
      <c r="AJ2767" s="4">
        <v>18</v>
      </c>
      <c r="AK2767" s="4">
        <v>18</v>
      </c>
      <c r="AL2767" s="4">
        <v>57</v>
      </c>
      <c r="AM2767" s="4">
        <v>57</v>
      </c>
      <c r="AN2767" s="4">
        <v>0</v>
      </c>
      <c r="AO2767" s="4">
        <v>0</v>
      </c>
      <c r="AP2767" s="4">
        <v>20</v>
      </c>
      <c r="AQ2767" s="4">
        <v>20</v>
      </c>
      <c r="AR2767" s="3" t="s">
        <v>63</v>
      </c>
      <c r="AS2767" s="3" t="s">
        <v>63</v>
      </c>
      <c r="AT2767" s="3" t="s">
        <v>62</v>
      </c>
      <c r="AU2767" s="6" t="str">
        <f>HYPERLINK("http://catalog.hathitrust.org/Record/000737370","HathiTrust Record")</f>
        <v>HathiTrust Record</v>
      </c>
      <c r="AV2767" s="6" t="str">
        <f>HYPERLINK("http://mcgill.on.worldcat.org/oclc/2388120","Catalog Record")</f>
        <v>Catalog Record</v>
      </c>
      <c r="AW2767" s="6" t="str">
        <f>HYPERLINK("http://www.worldcat.org/oclc/2388120","WorldCat Record")</f>
        <v>WorldCat Record</v>
      </c>
      <c r="AX2767" s="3" t="s">
        <v>23016</v>
      </c>
      <c r="AY2767" s="3" t="s">
        <v>23017</v>
      </c>
      <c r="AZ2767" s="3" t="s">
        <v>23018</v>
      </c>
      <c r="BA2767" s="3" t="s">
        <v>23018</v>
      </c>
      <c r="BB2767" s="3" t="s">
        <v>23019</v>
      </c>
      <c r="BC2767" s="3" t="s">
        <v>82</v>
      </c>
      <c r="BD2767" s="3" t="s">
        <v>70</v>
      </c>
      <c r="BE2767" s="3" t="s">
        <v>23020</v>
      </c>
      <c r="BF2767" s="3" t="s">
        <v>23019</v>
      </c>
      <c r="BG2767" s="3" t="s">
        <v>23021</v>
      </c>
    </row>
    <row r="2768" spans="1:59" ht="60" x14ac:dyDescent="0.25">
      <c r="A2768" s="2" t="s">
        <v>59</v>
      </c>
      <c r="B2768" s="2" t="s">
        <v>60</v>
      </c>
      <c r="C2768" s="2" t="s">
        <v>23022</v>
      </c>
      <c r="D2768" s="2" t="s">
        <v>23023</v>
      </c>
      <c r="E2768" s="2" t="s">
        <v>23024</v>
      </c>
      <c r="G2768" s="3" t="s">
        <v>63</v>
      </c>
      <c r="I2768" s="3" t="s">
        <v>63</v>
      </c>
      <c r="J2768" s="3" t="s">
        <v>63</v>
      </c>
      <c r="K2768" s="3" t="s">
        <v>64</v>
      </c>
      <c r="L2768" s="2" t="s">
        <v>23014</v>
      </c>
      <c r="M2768" s="2" t="s">
        <v>23025</v>
      </c>
      <c r="N2768" s="3" t="s">
        <v>12157</v>
      </c>
      <c r="P2768" s="3" t="s">
        <v>66</v>
      </c>
      <c r="R2768" s="3" t="s">
        <v>67</v>
      </c>
      <c r="S2768" s="4">
        <v>4</v>
      </c>
      <c r="T2768" s="4">
        <v>4</v>
      </c>
      <c r="U2768" s="5" t="s">
        <v>23026</v>
      </c>
      <c r="V2768" s="5" t="s">
        <v>23026</v>
      </c>
      <c r="W2768" s="5" t="s">
        <v>69</v>
      </c>
      <c r="X2768" s="5" t="s">
        <v>69</v>
      </c>
      <c r="Y2768" s="4">
        <v>89</v>
      </c>
      <c r="Z2768" s="4">
        <v>7</v>
      </c>
      <c r="AA2768" s="4">
        <v>32</v>
      </c>
      <c r="AB2768" s="4">
        <v>1</v>
      </c>
      <c r="AC2768" s="4">
        <v>2</v>
      </c>
      <c r="AD2768" s="4">
        <v>37</v>
      </c>
      <c r="AE2768" s="4">
        <v>100</v>
      </c>
      <c r="AF2768" s="4">
        <v>0</v>
      </c>
      <c r="AG2768" s="4">
        <v>0</v>
      </c>
      <c r="AH2768" s="4">
        <v>35</v>
      </c>
      <c r="AI2768" s="4">
        <v>88</v>
      </c>
      <c r="AJ2768" s="4">
        <v>4</v>
      </c>
      <c r="AK2768" s="4">
        <v>14</v>
      </c>
      <c r="AL2768" s="4">
        <v>22</v>
      </c>
      <c r="AM2768" s="4">
        <v>52</v>
      </c>
      <c r="AN2768" s="4">
        <v>0</v>
      </c>
      <c r="AO2768" s="4">
        <v>0</v>
      </c>
      <c r="AP2768" s="4">
        <v>4</v>
      </c>
      <c r="AQ2768" s="4">
        <v>18</v>
      </c>
      <c r="AR2768" s="3" t="s">
        <v>63</v>
      </c>
      <c r="AS2768" s="3" t="s">
        <v>62</v>
      </c>
      <c r="AT2768" s="3" t="s">
        <v>63</v>
      </c>
      <c r="AU2768" s="6" t="str">
        <f>HYPERLINK("http://catalog.hathitrust.org/Record/100365462","HathiTrust Record")</f>
        <v>HathiTrust Record</v>
      </c>
      <c r="AV2768" s="6" t="str">
        <f>HYPERLINK("http://mcgill.on.worldcat.org/oclc/319707","Catalog Record")</f>
        <v>Catalog Record</v>
      </c>
      <c r="AW2768" s="6" t="str">
        <f>HYPERLINK("http://www.worldcat.org/oclc/319707","WorldCat Record")</f>
        <v>WorldCat Record</v>
      </c>
      <c r="AX2768" s="3" t="s">
        <v>23027</v>
      </c>
      <c r="AY2768" s="3" t="s">
        <v>23028</v>
      </c>
      <c r="AZ2768" s="3" t="s">
        <v>23029</v>
      </c>
      <c r="BA2768" s="3" t="s">
        <v>23029</v>
      </c>
      <c r="BB2768" s="3" t="s">
        <v>23030</v>
      </c>
      <c r="BC2768" s="3" t="s">
        <v>82</v>
      </c>
      <c r="BD2768" s="3" t="s">
        <v>70</v>
      </c>
      <c r="BF2768" s="3" t="s">
        <v>23030</v>
      </c>
      <c r="BG2768" s="3" t="s">
        <v>23031</v>
      </c>
    </row>
    <row r="2769" spans="1:59" ht="60" x14ac:dyDescent="0.25">
      <c r="A2769" s="2" t="s">
        <v>59</v>
      </c>
      <c r="B2769" s="2" t="s">
        <v>60</v>
      </c>
      <c r="C2769" s="2" t="s">
        <v>23032</v>
      </c>
      <c r="D2769" s="2" t="s">
        <v>23033</v>
      </c>
      <c r="E2769" s="2" t="s">
        <v>23034</v>
      </c>
      <c r="G2769" s="3" t="s">
        <v>63</v>
      </c>
      <c r="I2769" s="3" t="s">
        <v>63</v>
      </c>
      <c r="J2769" s="3" t="s">
        <v>62</v>
      </c>
      <c r="K2769" s="3" t="s">
        <v>64</v>
      </c>
      <c r="L2769" s="2" t="s">
        <v>23014</v>
      </c>
      <c r="M2769" s="2" t="s">
        <v>19581</v>
      </c>
      <c r="N2769" s="3" t="s">
        <v>3640</v>
      </c>
      <c r="P2769" s="3" t="s">
        <v>66</v>
      </c>
      <c r="R2769" s="3" t="s">
        <v>67</v>
      </c>
      <c r="S2769" s="4">
        <v>30</v>
      </c>
      <c r="T2769" s="4">
        <v>30</v>
      </c>
      <c r="U2769" s="5" t="s">
        <v>23035</v>
      </c>
      <c r="V2769" s="5" t="s">
        <v>23035</v>
      </c>
      <c r="W2769" s="5" t="s">
        <v>69</v>
      </c>
      <c r="X2769" s="5" t="s">
        <v>69</v>
      </c>
      <c r="Y2769" s="4">
        <v>333</v>
      </c>
      <c r="Z2769" s="4">
        <v>23</v>
      </c>
      <c r="AA2769" s="4">
        <v>43</v>
      </c>
      <c r="AB2769" s="4">
        <v>2</v>
      </c>
      <c r="AC2769" s="4">
        <v>6</v>
      </c>
      <c r="AD2769" s="4">
        <v>101</v>
      </c>
      <c r="AE2769" s="4">
        <v>135</v>
      </c>
      <c r="AF2769" s="4">
        <v>1</v>
      </c>
      <c r="AG2769" s="4">
        <v>3</v>
      </c>
      <c r="AH2769" s="4">
        <v>94</v>
      </c>
      <c r="AI2769" s="4">
        <v>112</v>
      </c>
      <c r="AJ2769" s="4">
        <v>14</v>
      </c>
      <c r="AK2769" s="4">
        <v>22</v>
      </c>
      <c r="AL2769" s="4">
        <v>52</v>
      </c>
      <c r="AM2769" s="4">
        <v>59</v>
      </c>
      <c r="AN2769" s="4">
        <v>0</v>
      </c>
      <c r="AO2769" s="4">
        <v>0</v>
      </c>
      <c r="AP2769" s="4">
        <v>15</v>
      </c>
      <c r="AQ2769" s="4">
        <v>29</v>
      </c>
      <c r="AR2769" s="3" t="s">
        <v>63</v>
      </c>
      <c r="AS2769" s="3" t="s">
        <v>63</v>
      </c>
      <c r="AT2769" s="3" t="s">
        <v>62</v>
      </c>
      <c r="AU2769" s="6" t="str">
        <f>HYPERLINK("http://catalog.hathitrust.org/Record/000236500","HathiTrust Record")</f>
        <v>HathiTrust Record</v>
      </c>
      <c r="AV2769" s="6" t="str">
        <f>HYPERLINK("http://mcgill.on.worldcat.org/oclc/9282494","Catalog Record")</f>
        <v>Catalog Record</v>
      </c>
      <c r="AW2769" s="6" t="str">
        <f>HYPERLINK("http://www.worldcat.org/oclc/9282494","WorldCat Record")</f>
        <v>WorldCat Record</v>
      </c>
      <c r="AX2769" s="3" t="s">
        <v>23036</v>
      </c>
      <c r="AY2769" s="3" t="s">
        <v>23037</v>
      </c>
      <c r="AZ2769" s="3" t="s">
        <v>23038</v>
      </c>
      <c r="BA2769" s="3" t="s">
        <v>23038</v>
      </c>
      <c r="BB2769" s="3" t="s">
        <v>23039</v>
      </c>
      <c r="BC2769" s="3" t="s">
        <v>82</v>
      </c>
      <c r="BD2769" s="3" t="s">
        <v>70</v>
      </c>
      <c r="BE2769" s="3" t="s">
        <v>23040</v>
      </c>
      <c r="BF2769" s="3" t="s">
        <v>23039</v>
      </c>
      <c r="BG2769" s="3" t="s">
        <v>23041</v>
      </c>
    </row>
    <row r="2770" spans="1:59" ht="60" x14ac:dyDescent="0.25">
      <c r="A2770" s="2" t="s">
        <v>59</v>
      </c>
      <c r="B2770" s="2" t="s">
        <v>60</v>
      </c>
      <c r="C2770" s="2" t="s">
        <v>23042</v>
      </c>
      <c r="D2770" s="2" t="s">
        <v>23043</v>
      </c>
      <c r="E2770" s="2" t="s">
        <v>23044</v>
      </c>
      <c r="G2770" s="3" t="s">
        <v>63</v>
      </c>
      <c r="I2770" s="3" t="s">
        <v>63</v>
      </c>
      <c r="J2770" s="3" t="s">
        <v>63</v>
      </c>
      <c r="K2770" s="3" t="s">
        <v>64</v>
      </c>
      <c r="L2770" s="2" t="s">
        <v>23014</v>
      </c>
      <c r="M2770" s="2" t="s">
        <v>23045</v>
      </c>
      <c r="N2770" s="3" t="s">
        <v>731</v>
      </c>
      <c r="P2770" s="3" t="s">
        <v>66</v>
      </c>
      <c r="R2770" s="3" t="s">
        <v>67</v>
      </c>
      <c r="S2770" s="4">
        <v>1</v>
      </c>
      <c r="T2770" s="4">
        <v>1</v>
      </c>
      <c r="U2770" s="5" t="s">
        <v>22973</v>
      </c>
      <c r="V2770" s="5" t="s">
        <v>22973</v>
      </c>
      <c r="W2770" s="5" t="s">
        <v>69</v>
      </c>
      <c r="X2770" s="5" t="s">
        <v>69</v>
      </c>
      <c r="Y2770" s="4">
        <v>103</v>
      </c>
      <c r="Z2770" s="4">
        <v>4</v>
      </c>
      <c r="AA2770" s="4">
        <v>40</v>
      </c>
      <c r="AB2770" s="4">
        <v>2</v>
      </c>
      <c r="AC2770" s="4">
        <v>9</v>
      </c>
      <c r="AD2770" s="4">
        <v>29</v>
      </c>
      <c r="AE2770" s="4">
        <v>106</v>
      </c>
      <c r="AF2770" s="4">
        <v>0</v>
      </c>
      <c r="AG2770" s="4">
        <v>4</v>
      </c>
      <c r="AH2770" s="4">
        <v>26</v>
      </c>
      <c r="AI2770" s="4">
        <v>87</v>
      </c>
      <c r="AJ2770" s="4">
        <v>2</v>
      </c>
      <c r="AK2770" s="4">
        <v>16</v>
      </c>
      <c r="AL2770" s="4">
        <v>16</v>
      </c>
      <c r="AM2770" s="4">
        <v>49</v>
      </c>
      <c r="AN2770" s="4">
        <v>0</v>
      </c>
      <c r="AO2770" s="4">
        <v>0</v>
      </c>
      <c r="AP2770" s="4">
        <v>2</v>
      </c>
      <c r="AQ2770" s="4">
        <v>22</v>
      </c>
      <c r="AR2770" s="3" t="s">
        <v>63</v>
      </c>
      <c r="AS2770" s="3" t="s">
        <v>63</v>
      </c>
      <c r="AT2770" s="3" t="s">
        <v>62</v>
      </c>
      <c r="AU2770" s="6" t="str">
        <f>HYPERLINK("http://catalog.hathitrust.org/Record/009905513","HathiTrust Record")</f>
        <v>HathiTrust Record</v>
      </c>
      <c r="AV2770" s="6" t="str">
        <f>HYPERLINK("http://mcgill.on.worldcat.org/oclc/1256797","Catalog Record")</f>
        <v>Catalog Record</v>
      </c>
      <c r="AW2770" s="6" t="str">
        <f>HYPERLINK("http://www.worldcat.org/oclc/1256797","WorldCat Record")</f>
        <v>WorldCat Record</v>
      </c>
      <c r="AX2770" s="3" t="s">
        <v>23046</v>
      </c>
      <c r="AY2770" s="3" t="s">
        <v>23047</v>
      </c>
      <c r="AZ2770" s="3" t="s">
        <v>23048</v>
      </c>
      <c r="BA2770" s="3" t="s">
        <v>23048</v>
      </c>
      <c r="BB2770" s="3" t="s">
        <v>23049</v>
      </c>
      <c r="BC2770" s="3" t="s">
        <v>82</v>
      </c>
      <c r="BD2770" s="3" t="s">
        <v>70</v>
      </c>
      <c r="BF2770" s="3" t="s">
        <v>23049</v>
      </c>
      <c r="BG2770" s="3" t="s">
        <v>23050</v>
      </c>
    </row>
    <row r="2771" spans="1:59" ht="60" x14ac:dyDescent="0.25">
      <c r="A2771" s="2" t="s">
        <v>59</v>
      </c>
      <c r="B2771" s="2" t="s">
        <v>60</v>
      </c>
      <c r="C2771" s="2" t="s">
        <v>23080</v>
      </c>
      <c r="D2771" s="2" t="s">
        <v>23081</v>
      </c>
      <c r="E2771" s="2" t="s">
        <v>23082</v>
      </c>
      <c r="G2771" s="3" t="s">
        <v>63</v>
      </c>
      <c r="I2771" s="3" t="s">
        <v>63</v>
      </c>
      <c r="J2771" s="3" t="s">
        <v>63</v>
      </c>
      <c r="K2771" s="3" t="s">
        <v>64</v>
      </c>
      <c r="L2771" s="2" t="s">
        <v>23083</v>
      </c>
      <c r="M2771" s="2" t="s">
        <v>23084</v>
      </c>
      <c r="N2771" s="3" t="s">
        <v>274</v>
      </c>
      <c r="P2771" s="3" t="s">
        <v>66</v>
      </c>
      <c r="R2771" s="3" t="s">
        <v>67</v>
      </c>
      <c r="S2771" s="4">
        <v>3</v>
      </c>
      <c r="T2771" s="4">
        <v>3</v>
      </c>
      <c r="U2771" s="5" t="s">
        <v>23085</v>
      </c>
      <c r="V2771" s="5" t="s">
        <v>23085</v>
      </c>
      <c r="W2771" s="5" t="s">
        <v>69</v>
      </c>
      <c r="X2771" s="5" t="s">
        <v>69</v>
      </c>
      <c r="Y2771" s="4">
        <v>287</v>
      </c>
      <c r="Z2771" s="4">
        <v>18</v>
      </c>
      <c r="AA2771" s="4">
        <v>18</v>
      </c>
      <c r="AB2771" s="4">
        <v>2</v>
      </c>
      <c r="AC2771" s="4">
        <v>2</v>
      </c>
      <c r="AD2771" s="4">
        <v>101</v>
      </c>
      <c r="AE2771" s="4">
        <v>101</v>
      </c>
      <c r="AF2771" s="4">
        <v>1</v>
      </c>
      <c r="AG2771" s="4">
        <v>1</v>
      </c>
      <c r="AH2771" s="4">
        <v>92</v>
      </c>
      <c r="AI2771" s="4">
        <v>92</v>
      </c>
      <c r="AJ2771" s="4">
        <v>12</v>
      </c>
      <c r="AK2771" s="4">
        <v>12</v>
      </c>
      <c r="AL2771" s="4">
        <v>53</v>
      </c>
      <c r="AM2771" s="4">
        <v>53</v>
      </c>
      <c r="AN2771" s="4">
        <v>0</v>
      </c>
      <c r="AO2771" s="4">
        <v>0</v>
      </c>
      <c r="AP2771" s="4">
        <v>14</v>
      </c>
      <c r="AQ2771" s="4">
        <v>14</v>
      </c>
      <c r="AR2771" s="3" t="s">
        <v>63</v>
      </c>
      <c r="AS2771" s="3" t="s">
        <v>63</v>
      </c>
      <c r="AT2771" s="3" t="s">
        <v>62</v>
      </c>
      <c r="AU2771" s="6" t="str">
        <f>HYPERLINK("http://catalog.hathitrust.org/Record/004042103","HathiTrust Record")</f>
        <v>HathiTrust Record</v>
      </c>
      <c r="AV2771" s="6" t="str">
        <f>HYPERLINK("http://mcgill.on.worldcat.org/oclc/40159130","Catalog Record")</f>
        <v>Catalog Record</v>
      </c>
      <c r="AW2771" s="6" t="str">
        <f>HYPERLINK("http://www.worldcat.org/oclc/40159130","WorldCat Record")</f>
        <v>WorldCat Record</v>
      </c>
      <c r="AX2771" s="3" t="s">
        <v>23086</v>
      </c>
      <c r="AY2771" s="3" t="s">
        <v>23087</v>
      </c>
      <c r="AZ2771" s="3" t="s">
        <v>23088</v>
      </c>
      <c r="BA2771" s="3" t="s">
        <v>23088</v>
      </c>
      <c r="BB2771" s="3" t="s">
        <v>23089</v>
      </c>
      <c r="BC2771" s="3" t="s">
        <v>82</v>
      </c>
      <c r="BD2771" s="3" t="s">
        <v>70</v>
      </c>
      <c r="BE2771" s="3" t="s">
        <v>23090</v>
      </c>
      <c r="BF2771" s="3" t="s">
        <v>23089</v>
      </c>
      <c r="BG2771" s="3" t="s">
        <v>23091</v>
      </c>
    </row>
    <row r="2772" spans="1:59" ht="60" x14ac:dyDescent="0.25">
      <c r="A2772" s="2" t="s">
        <v>59</v>
      </c>
      <c r="B2772" s="2" t="s">
        <v>60</v>
      </c>
      <c r="C2772" s="2" t="s">
        <v>23092</v>
      </c>
      <c r="D2772" s="2" t="s">
        <v>23093</v>
      </c>
      <c r="E2772" s="2" t="s">
        <v>23094</v>
      </c>
      <c r="G2772" s="3" t="s">
        <v>63</v>
      </c>
      <c r="I2772" s="3" t="s">
        <v>63</v>
      </c>
      <c r="J2772" s="3" t="s">
        <v>63</v>
      </c>
      <c r="K2772" s="3" t="s">
        <v>64</v>
      </c>
      <c r="L2772" s="2" t="s">
        <v>23095</v>
      </c>
      <c r="M2772" s="2" t="s">
        <v>23096</v>
      </c>
      <c r="N2772" s="3" t="s">
        <v>1557</v>
      </c>
      <c r="P2772" s="3" t="s">
        <v>90</v>
      </c>
      <c r="R2772" s="3" t="s">
        <v>67</v>
      </c>
      <c r="S2772" s="4">
        <v>0</v>
      </c>
      <c r="T2772" s="4">
        <v>0</v>
      </c>
      <c r="W2772" s="5" t="s">
        <v>69</v>
      </c>
      <c r="X2772" s="5" t="s">
        <v>69</v>
      </c>
      <c r="Y2772" s="4">
        <v>23</v>
      </c>
      <c r="Z2772" s="4">
        <v>1</v>
      </c>
      <c r="AA2772" s="4">
        <v>1</v>
      </c>
      <c r="AB2772" s="4">
        <v>1</v>
      </c>
      <c r="AC2772" s="4">
        <v>1</v>
      </c>
      <c r="AD2772" s="4">
        <v>20</v>
      </c>
      <c r="AE2772" s="4">
        <v>21</v>
      </c>
      <c r="AF2772" s="4">
        <v>0</v>
      </c>
      <c r="AG2772" s="4">
        <v>0</v>
      </c>
      <c r="AH2772" s="4">
        <v>20</v>
      </c>
      <c r="AI2772" s="4">
        <v>21</v>
      </c>
      <c r="AJ2772" s="4">
        <v>0</v>
      </c>
      <c r="AK2772" s="4">
        <v>0</v>
      </c>
      <c r="AL2772" s="4">
        <v>15</v>
      </c>
      <c r="AM2772" s="4">
        <v>16</v>
      </c>
      <c r="AN2772" s="4">
        <v>0</v>
      </c>
      <c r="AO2772" s="4">
        <v>0</v>
      </c>
      <c r="AP2772" s="4">
        <v>0</v>
      </c>
      <c r="AQ2772" s="4">
        <v>0</v>
      </c>
      <c r="AR2772" s="3" t="s">
        <v>63</v>
      </c>
      <c r="AS2772" s="3" t="s">
        <v>63</v>
      </c>
      <c r="AT2772" s="3" t="s">
        <v>63</v>
      </c>
      <c r="AV2772" s="6" t="str">
        <f>HYPERLINK("http://mcgill.on.worldcat.org/oclc/1019621474","Catalog Record")</f>
        <v>Catalog Record</v>
      </c>
      <c r="AW2772" s="6" t="str">
        <f>HYPERLINK("http://www.worldcat.org/oclc/1019621474","WorldCat Record")</f>
        <v>WorldCat Record</v>
      </c>
      <c r="AX2772" s="3" t="s">
        <v>23097</v>
      </c>
      <c r="AY2772" s="3" t="s">
        <v>23098</v>
      </c>
      <c r="AZ2772" s="3" t="s">
        <v>23099</v>
      </c>
      <c r="BA2772" s="3" t="s">
        <v>23099</v>
      </c>
      <c r="BB2772" s="3" t="s">
        <v>23100</v>
      </c>
      <c r="BC2772" s="3" t="s">
        <v>82</v>
      </c>
      <c r="BD2772" s="3" t="s">
        <v>70</v>
      </c>
      <c r="BE2772" s="3" t="s">
        <v>23101</v>
      </c>
      <c r="BF2772" s="3" t="s">
        <v>23100</v>
      </c>
      <c r="BG2772" s="3" t="s">
        <v>23102</v>
      </c>
    </row>
    <row r="2773" spans="1:59" ht="90" x14ac:dyDescent="0.25">
      <c r="A2773" s="2" t="s">
        <v>59</v>
      </c>
      <c r="B2773" s="2" t="s">
        <v>60</v>
      </c>
      <c r="C2773" s="2" t="s">
        <v>23103</v>
      </c>
      <c r="D2773" s="2" t="s">
        <v>23104</v>
      </c>
      <c r="E2773" s="2" t="s">
        <v>23105</v>
      </c>
      <c r="G2773" s="3" t="s">
        <v>63</v>
      </c>
      <c r="I2773" s="3" t="s">
        <v>63</v>
      </c>
      <c r="J2773" s="3" t="s">
        <v>63</v>
      </c>
      <c r="K2773" s="3" t="s">
        <v>64</v>
      </c>
      <c r="L2773" s="2" t="s">
        <v>23106</v>
      </c>
      <c r="M2773" s="2" t="s">
        <v>23107</v>
      </c>
      <c r="N2773" s="3" t="s">
        <v>2765</v>
      </c>
      <c r="O2773" s="2" t="s">
        <v>23108</v>
      </c>
      <c r="P2773" s="3" t="s">
        <v>23109</v>
      </c>
      <c r="Q2773" s="2" t="s">
        <v>23110</v>
      </c>
      <c r="R2773" s="3" t="s">
        <v>67</v>
      </c>
      <c r="S2773" s="4">
        <v>0</v>
      </c>
      <c r="T2773" s="4">
        <v>0</v>
      </c>
      <c r="W2773" s="5" t="s">
        <v>69</v>
      </c>
      <c r="X2773" s="5" t="s">
        <v>69</v>
      </c>
      <c r="Y2773" s="4">
        <v>31</v>
      </c>
      <c r="Z2773" s="4">
        <v>1</v>
      </c>
      <c r="AA2773" s="4">
        <v>2</v>
      </c>
      <c r="AB2773" s="4">
        <v>1</v>
      </c>
      <c r="AC2773" s="4">
        <v>2</v>
      </c>
      <c r="AD2773" s="4">
        <v>24</v>
      </c>
      <c r="AE2773" s="4">
        <v>26</v>
      </c>
      <c r="AF2773" s="4">
        <v>0</v>
      </c>
      <c r="AG2773" s="4">
        <v>0</v>
      </c>
      <c r="AH2773" s="4">
        <v>22</v>
      </c>
      <c r="AI2773" s="4">
        <v>24</v>
      </c>
      <c r="AJ2773" s="4">
        <v>0</v>
      </c>
      <c r="AK2773" s="4">
        <v>0</v>
      </c>
      <c r="AL2773" s="4">
        <v>20</v>
      </c>
      <c r="AM2773" s="4">
        <v>22</v>
      </c>
      <c r="AN2773" s="4">
        <v>0</v>
      </c>
      <c r="AO2773" s="4">
        <v>0</v>
      </c>
      <c r="AP2773" s="4">
        <v>0</v>
      </c>
      <c r="AQ2773" s="4">
        <v>0</v>
      </c>
      <c r="AR2773" s="3" t="s">
        <v>63</v>
      </c>
      <c r="AS2773" s="3" t="s">
        <v>63</v>
      </c>
      <c r="AT2773" s="3" t="s">
        <v>63</v>
      </c>
      <c r="AV2773" s="6" t="str">
        <f>HYPERLINK("http://mcgill.on.worldcat.org/oclc/908439098","Catalog Record")</f>
        <v>Catalog Record</v>
      </c>
      <c r="AW2773" s="6" t="str">
        <f>HYPERLINK("http://www.worldcat.org/oclc/908439098","WorldCat Record")</f>
        <v>WorldCat Record</v>
      </c>
      <c r="AX2773" s="3" t="s">
        <v>23111</v>
      </c>
      <c r="AY2773" s="3" t="s">
        <v>23112</v>
      </c>
      <c r="AZ2773" s="3" t="s">
        <v>23113</v>
      </c>
      <c r="BA2773" s="3" t="s">
        <v>23113</v>
      </c>
      <c r="BB2773" s="3" t="s">
        <v>23114</v>
      </c>
      <c r="BC2773" s="3" t="s">
        <v>82</v>
      </c>
      <c r="BD2773" s="3" t="s">
        <v>70</v>
      </c>
      <c r="BE2773" s="3" t="s">
        <v>23115</v>
      </c>
      <c r="BF2773" s="3" t="s">
        <v>23114</v>
      </c>
      <c r="BG2773" s="3" t="s">
        <v>23116</v>
      </c>
    </row>
    <row r="2774" spans="1:59" ht="75" x14ac:dyDescent="0.25">
      <c r="A2774" s="2" t="s">
        <v>59</v>
      </c>
      <c r="B2774" s="2" t="s">
        <v>60</v>
      </c>
      <c r="C2774" s="2" t="s">
        <v>23117</v>
      </c>
      <c r="D2774" s="2" t="s">
        <v>23118</v>
      </c>
      <c r="E2774" s="2" t="s">
        <v>23119</v>
      </c>
      <c r="G2774" s="3" t="s">
        <v>63</v>
      </c>
      <c r="I2774" s="3" t="s">
        <v>63</v>
      </c>
      <c r="J2774" s="3" t="s">
        <v>63</v>
      </c>
      <c r="K2774" s="3" t="s">
        <v>64</v>
      </c>
      <c r="L2774" s="2" t="s">
        <v>23120</v>
      </c>
      <c r="M2774" s="2" t="s">
        <v>23121</v>
      </c>
      <c r="N2774" s="3" t="s">
        <v>76</v>
      </c>
      <c r="P2774" s="3" t="s">
        <v>66</v>
      </c>
      <c r="R2774" s="3" t="s">
        <v>67</v>
      </c>
      <c r="S2774" s="4">
        <v>3</v>
      </c>
      <c r="T2774" s="4">
        <v>3</v>
      </c>
      <c r="U2774" s="5" t="s">
        <v>23122</v>
      </c>
      <c r="V2774" s="5" t="s">
        <v>23122</v>
      </c>
      <c r="W2774" s="5" t="s">
        <v>69</v>
      </c>
      <c r="X2774" s="5" t="s">
        <v>69</v>
      </c>
      <c r="Y2774" s="4">
        <v>64</v>
      </c>
      <c r="Z2774" s="4">
        <v>8</v>
      </c>
      <c r="AA2774" s="4">
        <v>10</v>
      </c>
      <c r="AB2774" s="4">
        <v>2</v>
      </c>
      <c r="AC2774" s="4">
        <v>4</v>
      </c>
      <c r="AD2774" s="4">
        <v>25</v>
      </c>
      <c r="AE2774" s="4">
        <v>26</v>
      </c>
      <c r="AF2774" s="4">
        <v>0</v>
      </c>
      <c r="AG2774" s="4">
        <v>0</v>
      </c>
      <c r="AH2774" s="4">
        <v>24</v>
      </c>
      <c r="AI2774" s="4">
        <v>25</v>
      </c>
      <c r="AJ2774" s="4">
        <v>3</v>
      </c>
      <c r="AK2774" s="4">
        <v>3</v>
      </c>
      <c r="AL2774" s="4">
        <v>19</v>
      </c>
      <c r="AM2774" s="4">
        <v>20</v>
      </c>
      <c r="AN2774" s="4">
        <v>0</v>
      </c>
      <c r="AO2774" s="4">
        <v>0</v>
      </c>
      <c r="AP2774" s="4">
        <v>3</v>
      </c>
      <c r="AQ2774" s="4">
        <v>3</v>
      </c>
      <c r="AR2774" s="3" t="s">
        <v>63</v>
      </c>
      <c r="AS2774" s="3" t="s">
        <v>63</v>
      </c>
      <c r="AT2774" s="3" t="s">
        <v>63</v>
      </c>
      <c r="AV2774" s="6" t="str">
        <f>HYPERLINK("http://mcgill.on.worldcat.org/oclc/808500049","Catalog Record")</f>
        <v>Catalog Record</v>
      </c>
      <c r="AW2774" s="6" t="str">
        <f>HYPERLINK("http://www.worldcat.org/oclc/808500049","WorldCat Record")</f>
        <v>WorldCat Record</v>
      </c>
      <c r="AX2774" s="3" t="s">
        <v>23123</v>
      </c>
      <c r="AY2774" s="3" t="s">
        <v>23124</v>
      </c>
      <c r="AZ2774" s="3" t="s">
        <v>23125</v>
      </c>
      <c r="BA2774" s="3" t="s">
        <v>23125</v>
      </c>
      <c r="BB2774" s="3" t="s">
        <v>23126</v>
      </c>
      <c r="BC2774" s="3" t="s">
        <v>82</v>
      </c>
      <c r="BD2774" s="3" t="s">
        <v>538</v>
      </c>
      <c r="BE2774" s="3" t="s">
        <v>23127</v>
      </c>
      <c r="BF2774" s="3" t="s">
        <v>23126</v>
      </c>
      <c r="BG2774" s="3" t="s">
        <v>23128</v>
      </c>
    </row>
    <row r="2775" spans="1:59" ht="75" x14ac:dyDescent="0.25">
      <c r="A2775" s="2" t="s">
        <v>59</v>
      </c>
      <c r="B2775" s="2" t="s">
        <v>60</v>
      </c>
      <c r="C2775" s="2" t="s">
        <v>23129</v>
      </c>
      <c r="D2775" s="2" t="s">
        <v>23130</v>
      </c>
      <c r="E2775" s="2" t="s">
        <v>23131</v>
      </c>
      <c r="G2775" s="3" t="s">
        <v>63</v>
      </c>
      <c r="I2775" s="3" t="s">
        <v>63</v>
      </c>
      <c r="J2775" s="3" t="s">
        <v>63</v>
      </c>
      <c r="K2775" s="3" t="s">
        <v>64</v>
      </c>
      <c r="L2775" s="2" t="s">
        <v>23132</v>
      </c>
      <c r="M2775" s="2" t="s">
        <v>23133</v>
      </c>
      <c r="N2775" s="3" t="s">
        <v>176</v>
      </c>
      <c r="P2775" s="3" t="s">
        <v>66</v>
      </c>
      <c r="Q2775" s="2" t="s">
        <v>8874</v>
      </c>
      <c r="R2775" s="3" t="s">
        <v>67</v>
      </c>
      <c r="S2775" s="4">
        <v>1</v>
      </c>
      <c r="T2775" s="4">
        <v>1</v>
      </c>
      <c r="U2775" s="5" t="s">
        <v>18899</v>
      </c>
      <c r="V2775" s="5" t="s">
        <v>18899</v>
      </c>
      <c r="W2775" s="5" t="s">
        <v>69</v>
      </c>
      <c r="X2775" s="5" t="s">
        <v>69</v>
      </c>
      <c r="Y2775" s="4">
        <v>54</v>
      </c>
      <c r="Z2775" s="4">
        <v>5</v>
      </c>
      <c r="AA2775" s="4">
        <v>20</v>
      </c>
      <c r="AB2775" s="4">
        <v>1</v>
      </c>
      <c r="AC2775" s="4">
        <v>1</v>
      </c>
      <c r="AD2775" s="4">
        <v>16</v>
      </c>
      <c r="AE2775" s="4">
        <v>104</v>
      </c>
      <c r="AF2775" s="4">
        <v>0</v>
      </c>
      <c r="AG2775" s="4">
        <v>0</v>
      </c>
      <c r="AH2775" s="4">
        <v>14</v>
      </c>
      <c r="AI2775" s="4">
        <v>95</v>
      </c>
      <c r="AJ2775" s="4">
        <v>1</v>
      </c>
      <c r="AK2775" s="4">
        <v>12</v>
      </c>
      <c r="AL2775" s="4">
        <v>8</v>
      </c>
      <c r="AM2775" s="4">
        <v>54</v>
      </c>
      <c r="AN2775" s="4">
        <v>0</v>
      </c>
      <c r="AO2775" s="4">
        <v>1</v>
      </c>
      <c r="AP2775" s="4">
        <v>2</v>
      </c>
      <c r="AQ2775" s="4">
        <v>14</v>
      </c>
      <c r="AR2775" s="3" t="s">
        <v>63</v>
      </c>
      <c r="AS2775" s="3" t="s">
        <v>63</v>
      </c>
      <c r="AT2775" s="3" t="s">
        <v>63</v>
      </c>
      <c r="AV2775" s="6" t="str">
        <f>HYPERLINK("http://mcgill.on.worldcat.org/oclc/39143078","Catalog Record")</f>
        <v>Catalog Record</v>
      </c>
      <c r="AW2775" s="6" t="str">
        <f>HYPERLINK("http://www.worldcat.org/oclc/39143078","WorldCat Record")</f>
        <v>WorldCat Record</v>
      </c>
      <c r="AX2775" s="3" t="s">
        <v>23134</v>
      </c>
      <c r="AY2775" s="3" t="s">
        <v>23135</v>
      </c>
      <c r="AZ2775" s="3" t="s">
        <v>23136</v>
      </c>
      <c r="BA2775" s="3" t="s">
        <v>23136</v>
      </c>
      <c r="BB2775" s="3" t="s">
        <v>23137</v>
      </c>
      <c r="BC2775" s="3" t="s">
        <v>82</v>
      </c>
      <c r="BD2775" s="3" t="s">
        <v>70</v>
      </c>
      <c r="BE2775" s="3" t="s">
        <v>23138</v>
      </c>
      <c r="BF2775" s="3" t="s">
        <v>23137</v>
      </c>
      <c r="BG2775" s="3" t="s">
        <v>23139</v>
      </c>
    </row>
    <row r="2776" spans="1:59" ht="60" x14ac:dyDescent="0.25">
      <c r="A2776" s="2" t="s">
        <v>59</v>
      </c>
      <c r="B2776" s="2" t="s">
        <v>60</v>
      </c>
      <c r="C2776" s="2" t="s">
        <v>23388</v>
      </c>
      <c r="D2776" s="2" t="s">
        <v>23389</v>
      </c>
      <c r="E2776" s="2" t="s">
        <v>23390</v>
      </c>
      <c r="F2776" s="3" t="s">
        <v>4435</v>
      </c>
      <c r="G2776" s="3" t="s">
        <v>62</v>
      </c>
      <c r="I2776" s="3" t="s">
        <v>63</v>
      </c>
      <c r="J2776" s="3" t="s">
        <v>63</v>
      </c>
      <c r="K2776" s="3" t="s">
        <v>64</v>
      </c>
      <c r="L2776" s="2" t="s">
        <v>23154</v>
      </c>
      <c r="M2776" s="2" t="s">
        <v>23391</v>
      </c>
      <c r="N2776" s="3" t="s">
        <v>176</v>
      </c>
      <c r="P2776" s="3" t="s">
        <v>90</v>
      </c>
      <c r="R2776" s="3" t="s">
        <v>67</v>
      </c>
      <c r="S2776" s="4">
        <v>0</v>
      </c>
      <c r="T2776" s="4">
        <v>3</v>
      </c>
      <c r="V2776" s="5" t="s">
        <v>23392</v>
      </c>
      <c r="W2776" s="5" t="s">
        <v>69</v>
      </c>
      <c r="X2776" s="5" t="s">
        <v>69</v>
      </c>
      <c r="Y2776" s="4">
        <v>93</v>
      </c>
      <c r="Z2776" s="4">
        <v>6</v>
      </c>
      <c r="AA2776" s="4">
        <v>6</v>
      </c>
      <c r="AB2776" s="4">
        <v>1</v>
      </c>
      <c r="AC2776" s="4">
        <v>1</v>
      </c>
      <c r="AD2776" s="4">
        <v>53</v>
      </c>
      <c r="AE2776" s="4">
        <v>57</v>
      </c>
      <c r="AF2776" s="4">
        <v>0</v>
      </c>
      <c r="AG2776" s="4">
        <v>0</v>
      </c>
      <c r="AH2776" s="4">
        <v>49</v>
      </c>
      <c r="AI2776" s="4">
        <v>53</v>
      </c>
      <c r="AJ2776" s="4">
        <v>3</v>
      </c>
      <c r="AK2776" s="4">
        <v>3</v>
      </c>
      <c r="AL2776" s="4">
        <v>39</v>
      </c>
      <c r="AM2776" s="4">
        <v>40</v>
      </c>
      <c r="AN2776" s="4">
        <v>0</v>
      </c>
      <c r="AO2776" s="4">
        <v>0</v>
      </c>
      <c r="AP2776" s="4">
        <v>3</v>
      </c>
      <c r="AQ2776" s="4">
        <v>3</v>
      </c>
      <c r="AR2776" s="3" t="s">
        <v>63</v>
      </c>
      <c r="AS2776" s="3" t="s">
        <v>63</v>
      </c>
      <c r="AT2776" s="3" t="s">
        <v>62</v>
      </c>
      <c r="AU2776" s="6" t="str">
        <f>HYPERLINK("http://catalog.hathitrust.org/Record/004001592","HathiTrust Record")</f>
        <v>HathiTrust Record</v>
      </c>
      <c r="AV2776" s="6" t="str">
        <f>HYPERLINK("http://mcgill.on.worldcat.org/oclc/62872262","Catalog Record")</f>
        <v>Catalog Record</v>
      </c>
      <c r="AW2776" s="6" t="str">
        <f>HYPERLINK("http://www.worldcat.org/oclc/62872262","WorldCat Record")</f>
        <v>WorldCat Record</v>
      </c>
      <c r="AX2776" s="3" t="s">
        <v>23393</v>
      </c>
      <c r="AY2776" s="3" t="s">
        <v>23394</v>
      </c>
      <c r="AZ2776" s="3" t="s">
        <v>23395</v>
      </c>
      <c r="BA2776" s="3" t="s">
        <v>23395</v>
      </c>
      <c r="BB2776" s="3" t="s">
        <v>23396</v>
      </c>
      <c r="BC2776" s="3" t="s">
        <v>82</v>
      </c>
      <c r="BD2776" s="3" t="s">
        <v>70</v>
      </c>
      <c r="BE2776" s="3" t="s">
        <v>23397</v>
      </c>
      <c r="BF2776" s="3" t="s">
        <v>23396</v>
      </c>
      <c r="BG2776" s="3" t="s">
        <v>23398</v>
      </c>
    </row>
    <row r="2777" spans="1:59" ht="60" x14ac:dyDescent="0.25">
      <c r="A2777" s="2" t="s">
        <v>59</v>
      </c>
      <c r="B2777" s="2" t="s">
        <v>60</v>
      </c>
      <c r="C2777" s="2" t="s">
        <v>23388</v>
      </c>
      <c r="D2777" s="2" t="s">
        <v>23389</v>
      </c>
      <c r="E2777" s="2" t="s">
        <v>23390</v>
      </c>
      <c r="F2777" s="3" t="s">
        <v>571</v>
      </c>
      <c r="G2777" s="3" t="s">
        <v>62</v>
      </c>
      <c r="I2777" s="3" t="s">
        <v>63</v>
      </c>
      <c r="J2777" s="3" t="s">
        <v>63</v>
      </c>
      <c r="K2777" s="3" t="s">
        <v>64</v>
      </c>
      <c r="L2777" s="2" t="s">
        <v>23154</v>
      </c>
      <c r="M2777" s="2" t="s">
        <v>23391</v>
      </c>
      <c r="N2777" s="3" t="s">
        <v>176</v>
      </c>
      <c r="P2777" s="3" t="s">
        <v>90</v>
      </c>
      <c r="R2777" s="3" t="s">
        <v>67</v>
      </c>
      <c r="S2777" s="4">
        <v>1</v>
      </c>
      <c r="T2777" s="4">
        <v>3</v>
      </c>
      <c r="U2777" s="5" t="s">
        <v>23392</v>
      </c>
      <c r="V2777" s="5" t="s">
        <v>23392</v>
      </c>
      <c r="W2777" s="5" t="s">
        <v>69</v>
      </c>
      <c r="X2777" s="5" t="s">
        <v>69</v>
      </c>
      <c r="Y2777" s="4">
        <v>93</v>
      </c>
      <c r="Z2777" s="4">
        <v>6</v>
      </c>
      <c r="AA2777" s="4">
        <v>6</v>
      </c>
      <c r="AB2777" s="4">
        <v>1</v>
      </c>
      <c r="AC2777" s="4">
        <v>1</v>
      </c>
      <c r="AD2777" s="4">
        <v>53</v>
      </c>
      <c r="AE2777" s="4">
        <v>57</v>
      </c>
      <c r="AF2777" s="4">
        <v>0</v>
      </c>
      <c r="AG2777" s="4">
        <v>0</v>
      </c>
      <c r="AH2777" s="4">
        <v>49</v>
      </c>
      <c r="AI2777" s="4">
        <v>53</v>
      </c>
      <c r="AJ2777" s="4">
        <v>3</v>
      </c>
      <c r="AK2777" s="4">
        <v>3</v>
      </c>
      <c r="AL2777" s="4">
        <v>39</v>
      </c>
      <c r="AM2777" s="4">
        <v>40</v>
      </c>
      <c r="AN2777" s="4">
        <v>0</v>
      </c>
      <c r="AO2777" s="4">
        <v>0</v>
      </c>
      <c r="AP2777" s="4">
        <v>3</v>
      </c>
      <c r="AQ2777" s="4">
        <v>3</v>
      </c>
      <c r="AR2777" s="3" t="s">
        <v>63</v>
      </c>
      <c r="AS2777" s="3" t="s">
        <v>63</v>
      </c>
      <c r="AT2777" s="3" t="s">
        <v>62</v>
      </c>
      <c r="AU2777" s="6" t="str">
        <f>HYPERLINK("http://catalog.hathitrust.org/Record/004001592","HathiTrust Record")</f>
        <v>HathiTrust Record</v>
      </c>
      <c r="AV2777" s="6" t="str">
        <f>HYPERLINK("http://mcgill.on.worldcat.org/oclc/62872262","Catalog Record")</f>
        <v>Catalog Record</v>
      </c>
      <c r="AW2777" s="6" t="str">
        <f>HYPERLINK("http://www.worldcat.org/oclc/62872262","WorldCat Record")</f>
        <v>WorldCat Record</v>
      </c>
      <c r="AX2777" s="3" t="s">
        <v>23393</v>
      </c>
      <c r="AY2777" s="3" t="s">
        <v>23394</v>
      </c>
      <c r="AZ2777" s="3" t="s">
        <v>23395</v>
      </c>
      <c r="BA2777" s="3" t="s">
        <v>23395</v>
      </c>
      <c r="BB2777" s="3" t="s">
        <v>23399</v>
      </c>
      <c r="BC2777" s="3" t="s">
        <v>82</v>
      </c>
      <c r="BD2777" s="3" t="s">
        <v>70</v>
      </c>
      <c r="BE2777" s="3" t="s">
        <v>23397</v>
      </c>
      <c r="BF2777" s="3" t="s">
        <v>23399</v>
      </c>
      <c r="BG2777" s="3" t="s">
        <v>23400</v>
      </c>
    </row>
    <row r="2778" spans="1:59" ht="60" x14ac:dyDescent="0.25">
      <c r="A2778" s="2" t="s">
        <v>59</v>
      </c>
      <c r="B2778" s="2" t="s">
        <v>60</v>
      </c>
      <c r="C2778" s="2" t="s">
        <v>23388</v>
      </c>
      <c r="D2778" s="2" t="s">
        <v>23389</v>
      </c>
      <c r="E2778" s="2" t="s">
        <v>23390</v>
      </c>
      <c r="F2778" s="3" t="s">
        <v>4432</v>
      </c>
      <c r="G2778" s="3" t="s">
        <v>62</v>
      </c>
      <c r="I2778" s="3" t="s">
        <v>63</v>
      </c>
      <c r="J2778" s="3" t="s">
        <v>63</v>
      </c>
      <c r="K2778" s="3" t="s">
        <v>64</v>
      </c>
      <c r="L2778" s="2" t="s">
        <v>23154</v>
      </c>
      <c r="M2778" s="2" t="s">
        <v>23391</v>
      </c>
      <c r="N2778" s="3" t="s">
        <v>176</v>
      </c>
      <c r="P2778" s="3" t="s">
        <v>90</v>
      </c>
      <c r="R2778" s="3" t="s">
        <v>67</v>
      </c>
      <c r="S2778" s="4">
        <v>0</v>
      </c>
      <c r="T2778" s="4">
        <v>3</v>
      </c>
      <c r="V2778" s="5" t="s">
        <v>23392</v>
      </c>
      <c r="W2778" s="5" t="s">
        <v>69</v>
      </c>
      <c r="X2778" s="5" t="s">
        <v>69</v>
      </c>
      <c r="Y2778" s="4">
        <v>93</v>
      </c>
      <c r="Z2778" s="4">
        <v>6</v>
      </c>
      <c r="AA2778" s="4">
        <v>6</v>
      </c>
      <c r="AB2778" s="4">
        <v>1</v>
      </c>
      <c r="AC2778" s="4">
        <v>1</v>
      </c>
      <c r="AD2778" s="4">
        <v>53</v>
      </c>
      <c r="AE2778" s="4">
        <v>57</v>
      </c>
      <c r="AF2778" s="4">
        <v>0</v>
      </c>
      <c r="AG2778" s="4">
        <v>0</v>
      </c>
      <c r="AH2778" s="4">
        <v>49</v>
      </c>
      <c r="AI2778" s="4">
        <v>53</v>
      </c>
      <c r="AJ2778" s="4">
        <v>3</v>
      </c>
      <c r="AK2778" s="4">
        <v>3</v>
      </c>
      <c r="AL2778" s="4">
        <v>39</v>
      </c>
      <c r="AM2778" s="4">
        <v>40</v>
      </c>
      <c r="AN2778" s="4">
        <v>0</v>
      </c>
      <c r="AO2778" s="4">
        <v>0</v>
      </c>
      <c r="AP2778" s="4">
        <v>3</v>
      </c>
      <c r="AQ2778" s="4">
        <v>3</v>
      </c>
      <c r="AR2778" s="3" t="s">
        <v>63</v>
      </c>
      <c r="AS2778" s="3" t="s">
        <v>63</v>
      </c>
      <c r="AT2778" s="3" t="s">
        <v>62</v>
      </c>
      <c r="AU2778" s="6" t="str">
        <f>HYPERLINK("http://catalog.hathitrust.org/Record/004001592","HathiTrust Record")</f>
        <v>HathiTrust Record</v>
      </c>
      <c r="AV2778" s="6" t="str">
        <f>HYPERLINK("http://mcgill.on.worldcat.org/oclc/62872262","Catalog Record")</f>
        <v>Catalog Record</v>
      </c>
      <c r="AW2778" s="6" t="str">
        <f>HYPERLINK("http://www.worldcat.org/oclc/62872262","WorldCat Record")</f>
        <v>WorldCat Record</v>
      </c>
      <c r="AX2778" s="3" t="s">
        <v>23393</v>
      </c>
      <c r="AY2778" s="3" t="s">
        <v>23394</v>
      </c>
      <c r="AZ2778" s="3" t="s">
        <v>23395</v>
      </c>
      <c r="BA2778" s="3" t="s">
        <v>23395</v>
      </c>
      <c r="BB2778" s="3" t="s">
        <v>23401</v>
      </c>
      <c r="BC2778" s="3" t="s">
        <v>82</v>
      </c>
      <c r="BD2778" s="3" t="s">
        <v>70</v>
      </c>
      <c r="BE2778" s="3" t="s">
        <v>23397</v>
      </c>
      <c r="BF2778" s="3" t="s">
        <v>23401</v>
      </c>
      <c r="BG2778" s="3" t="s">
        <v>23402</v>
      </c>
    </row>
    <row r="2779" spans="1:59" ht="60" x14ac:dyDescent="0.25">
      <c r="A2779" s="2" t="s">
        <v>59</v>
      </c>
      <c r="B2779" s="2" t="s">
        <v>60</v>
      </c>
      <c r="C2779" s="2" t="s">
        <v>23388</v>
      </c>
      <c r="D2779" s="2" t="s">
        <v>23389</v>
      </c>
      <c r="E2779" s="2" t="s">
        <v>23390</v>
      </c>
      <c r="F2779" s="3" t="s">
        <v>4434</v>
      </c>
      <c r="G2779" s="3" t="s">
        <v>62</v>
      </c>
      <c r="I2779" s="3" t="s">
        <v>63</v>
      </c>
      <c r="J2779" s="3" t="s">
        <v>63</v>
      </c>
      <c r="K2779" s="3" t="s">
        <v>64</v>
      </c>
      <c r="L2779" s="2" t="s">
        <v>23154</v>
      </c>
      <c r="M2779" s="2" t="s">
        <v>23391</v>
      </c>
      <c r="N2779" s="3" t="s">
        <v>176</v>
      </c>
      <c r="P2779" s="3" t="s">
        <v>90</v>
      </c>
      <c r="R2779" s="3" t="s">
        <v>67</v>
      </c>
      <c r="S2779" s="4">
        <v>0</v>
      </c>
      <c r="T2779" s="4">
        <v>3</v>
      </c>
      <c r="V2779" s="5" t="s">
        <v>23392</v>
      </c>
      <c r="W2779" s="5" t="s">
        <v>69</v>
      </c>
      <c r="X2779" s="5" t="s">
        <v>69</v>
      </c>
      <c r="Y2779" s="4">
        <v>93</v>
      </c>
      <c r="Z2779" s="4">
        <v>6</v>
      </c>
      <c r="AA2779" s="4">
        <v>6</v>
      </c>
      <c r="AB2779" s="4">
        <v>1</v>
      </c>
      <c r="AC2779" s="4">
        <v>1</v>
      </c>
      <c r="AD2779" s="4">
        <v>53</v>
      </c>
      <c r="AE2779" s="4">
        <v>57</v>
      </c>
      <c r="AF2779" s="4">
        <v>0</v>
      </c>
      <c r="AG2779" s="4">
        <v>0</v>
      </c>
      <c r="AH2779" s="4">
        <v>49</v>
      </c>
      <c r="AI2779" s="4">
        <v>53</v>
      </c>
      <c r="AJ2779" s="4">
        <v>3</v>
      </c>
      <c r="AK2779" s="4">
        <v>3</v>
      </c>
      <c r="AL2779" s="4">
        <v>39</v>
      </c>
      <c r="AM2779" s="4">
        <v>40</v>
      </c>
      <c r="AN2779" s="4">
        <v>0</v>
      </c>
      <c r="AO2779" s="4">
        <v>0</v>
      </c>
      <c r="AP2779" s="4">
        <v>3</v>
      </c>
      <c r="AQ2779" s="4">
        <v>3</v>
      </c>
      <c r="AR2779" s="3" t="s">
        <v>63</v>
      </c>
      <c r="AS2779" s="3" t="s">
        <v>63</v>
      </c>
      <c r="AT2779" s="3" t="s">
        <v>62</v>
      </c>
      <c r="AU2779" s="6" t="str">
        <f>HYPERLINK("http://catalog.hathitrust.org/Record/004001592","HathiTrust Record")</f>
        <v>HathiTrust Record</v>
      </c>
      <c r="AV2779" s="6" t="str">
        <f>HYPERLINK("http://mcgill.on.worldcat.org/oclc/62872262","Catalog Record")</f>
        <v>Catalog Record</v>
      </c>
      <c r="AW2779" s="6" t="str">
        <f>HYPERLINK("http://www.worldcat.org/oclc/62872262","WorldCat Record")</f>
        <v>WorldCat Record</v>
      </c>
      <c r="AX2779" s="3" t="s">
        <v>23393</v>
      </c>
      <c r="AY2779" s="3" t="s">
        <v>23394</v>
      </c>
      <c r="AZ2779" s="3" t="s">
        <v>23395</v>
      </c>
      <c r="BA2779" s="3" t="s">
        <v>23395</v>
      </c>
      <c r="BB2779" s="3" t="s">
        <v>23403</v>
      </c>
      <c r="BC2779" s="3" t="s">
        <v>82</v>
      </c>
      <c r="BD2779" s="3" t="s">
        <v>70</v>
      </c>
      <c r="BE2779" s="3" t="s">
        <v>23397</v>
      </c>
      <c r="BF2779" s="3" t="s">
        <v>23403</v>
      </c>
      <c r="BG2779" s="3" t="s">
        <v>23404</v>
      </c>
    </row>
    <row r="2780" spans="1:59" ht="60" x14ac:dyDescent="0.25">
      <c r="A2780" s="2" t="s">
        <v>59</v>
      </c>
      <c r="B2780" s="2" t="s">
        <v>60</v>
      </c>
      <c r="C2780" s="2" t="s">
        <v>23388</v>
      </c>
      <c r="D2780" s="2" t="s">
        <v>23389</v>
      </c>
      <c r="E2780" s="2" t="s">
        <v>23390</v>
      </c>
      <c r="F2780" s="3" t="s">
        <v>4032</v>
      </c>
      <c r="G2780" s="3" t="s">
        <v>62</v>
      </c>
      <c r="I2780" s="3" t="s">
        <v>63</v>
      </c>
      <c r="J2780" s="3" t="s">
        <v>63</v>
      </c>
      <c r="K2780" s="3" t="s">
        <v>64</v>
      </c>
      <c r="L2780" s="2" t="s">
        <v>23154</v>
      </c>
      <c r="M2780" s="2" t="s">
        <v>23391</v>
      </c>
      <c r="N2780" s="3" t="s">
        <v>176</v>
      </c>
      <c r="P2780" s="3" t="s">
        <v>90</v>
      </c>
      <c r="R2780" s="3" t="s">
        <v>67</v>
      </c>
      <c r="S2780" s="4">
        <v>0</v>
      </c>
      <c r="T2780" s="4">
        <v>3</v>
      </c>
      <c r="V2780" s="5" t="s">
        <v>23392</v>
      </c>
      <c r="W2780" s="5" t="s">
        <v>69</v>
      </c>
      <c r="X2780" s="5" t="s">
        <v>69</v>
      </c>
      <c r="Y2780" s="4">
        <v>93</v>
      </c>
      <c r="Z2780" s="4">
        <v>6</v>
      </c>
      <c r="AA2780" s="4">
        <v>6</v>
      </c>
      <c r="AB2780" s="4">
        <v>1</v>
      </c>
      <c r="AC2780" s="4">
        <v>1</v>
      </c>
      <c r="AD2780" s="4">
        <v>53</v>
      </c>
      <c r="AE2780" s="4">
        <v>57</v>
      </c>
      <c r="AF2780" s="4">
        <v>0</v>
      </c>
      <c r="AG2780" s="4">
        <v>0</v>
      </c>
      <c r="AH2780" s="4">
        <v>49</v>
      </c>
      <c r="AI2780" s="4">
        <v>53</v>
      </c>
      <c r="AJ2780" s="4">
        <v>3</v>
      </c>
      <c r="AK2780" s="4">
        <v>3</v>
      </c>
      <c r="AL2780" s="4">
        <v>39</v>
      </c>
      <c r="AM2780" s="4">
        <v>40</v>
      </c>
      <c r="AN2780" s="4">
        <v>0</v>
      </c>
      <c r="AO2780" s="4">
        <v>0</v>
      </c>
      <c r="AP2780" s="4">
        <v>3</v>
      </c>
      <c r="AQ2780" s="4">
        <v>3</v>
      </c>
      <c r="AR2780" s="3" t="s">
        <v>63</v>
      </c>
      <c r="AS2780" s="3" t="s">
        <v>63</v>
      </c>
      <c r="AT2780" s="3" t="s">
        <v>62</v>
      </c>
      <c r="AU2780" s="6" t="str">
        <f>HYPERLINK("http://catalog.hathitrust.org/Record/004001592","HathiTrust Record")</f>
        <v>HathiTrust Record</v>
      </c>
      <c r="AV2780" s="6" t="str">
        <f>HYPERLINK("http://mcgill.on.worldcat.org/oclc/62872262","Catalog Record")</f>
        <v>Catalog Record</v>
      </c>
      <c r="AW2780" s="6" t="str">
        <f>HYPERLINK("http://www.worldcat.org/oclc/62872262","WorldCat Record")</f>
        <v>WorldCat Record</v>
      </c>
      <c r="AX2780" s="3" t="s">
        <v>23393</v>
      </c>
      <c r="AY2780" s="3" t="s">
        <v>23394</v>
      </c>
      <c r="AZ2780" s="3" t="s">
        <v>23395</v>
      </c>
      <c r="BA2780" s="3" t="s">
        <v>23395</v>
      </c>
      <c r="BB2780" s="3" t="s">
        <v>23405</v>
      </c>
      <c r="BC2780" s="3" t="s">
        <v>82</v>
      </c>
      <c r="BD2780" s="3" t="s">
        <v>70</v>
      </c>
      <c r="BE2780" s="3" t="s">
        <v>23397</v>
      </c>
      <c r="BF2780" s="3" t="s">
        <v>23405</v>
      </c>
      <c r="BG2780" s="3" t="s">
        <v>23406</v>
      </c>
    </row>
    <row r="2781" spans="1:59" ht="60" x14ac:dyDescent="0.25">
      <c r="A2781" s="2" t="s">
        <v>59</v>
      </c>
      <c r="B2781" s="2" t="s">
        <v>60</v>
      </c>
      <c r="C2781" s="2" t="s">
        <v>23388</v>
      </c>
      <c r="D2781" s="2" t="s">
        <v>23389</v>
      </c>
      <c r="E2781" s="2" t="s">
        <v>23390</v>
      </c>
      <c r="F2781" s="3" t="s">
        <v>23407</v>
      </c>
      <c r="G2781" s="3" t="s">
        <v>62</v>
      </c>
      <c r="I2781" s="3" t="s">
        <v>63</v>
      </c>
      <c r="J2781" s="3" t="s">
        <v>63</v>
      </c>
      <c r="K2781" s="3" t="s">
        <v>64</v>
      </c>
      <c r="L2781" s="2" t="s">
        <v>23154</v>
      </c>
      <c r="M2781" s="2" t="s">
        <v>23391</v>
      </c>
      <c r="N2781" s="3" t="s">
        <v>176</v>
      </c>
      <c r="P2781" s="3" t="s">
        <v>90</v>
      </c>
      <c r="R2781" s="3" t="s">
        <v>67</v>
      </c>
      <c r="S2781" s="4">
        <v>0</v>
      </c>
      <c r="T2781" s="4">
        <v>3</v>
      </c>
      <c r="V2781" s="5" t="s">
        <v>23392</v>
      </c>
      <c r="W2781" s="5" t="s">
        <v>69</v>
      </c>
      <c r="X2781" s="5" t="s">
        <v>69</v>
      </c>
      <c r="Y2781" s="4">
        <v>93</v>
      </c>
      <c r="Z2781" s="4">
        <v>6</v>
      </c>
      <c r="AA2781" s="4">
        <v>6</v>
      </c>
      <c r="AB2781" s="4">
        <v>1</v>
      </c>
      <c r="AC2781" s="4">
        <v>1</v>
      </c>
      <c r="AD2781" s="4">
        <v>53</v>
      </c>
      <c r="AE2781" s="4">
        <v>57</v>
      </c>
      <c r="AF2781" s="4">
        <v>0</v>
      </c>
      <c r="AG2781" s="4">
        <v>0</v>
      </c>
      <c r="AH2781" s="4">
        <v>49</v>
      </c>
      <c r="AI2781" s="4">
        <v>53</v>
      </c>
      <c r="AJ2781" s="4">
        <v>3</v>
      </c>
      <c r="AK2781" s="4">
        <v>3</v>
      </c>
      <c r="AL2781" s="4">
        <v>39</v>
      </c>
      <c r="AM2781" s="4">
        <v>40</v>
      </c>
      <c r="AN2781" s="4">
        <v>0</v>
      </c>
      <c r="AO2781" s="4">
        <v>0</v>
      </c>
      <c r="AP2781" s="4">
        <v>3</v>
      </c>
      <c r="AQ2781" s="4">
        <v>3</v>
      </c>
      <c r="AR2781" s="3" t="s">
        <v>63</v>
      </c>
      <c r="AS2781" s="3" t="s">
        <v>63</v>
      </c>
      <c r="AT2781" s="3" t="s">
        <v>62</v>
      </c>
      <c r="AU2781" s="6" t="str">
        <f>HYPERLINK("http://catalog.hathitrust.org/Record/004001592","HathiTrust Record")</f>
        <v>HathiTrust Record</v>
      </c>
      <c r="AV2781" s="6" t="str">
        <f>HYPERLINK("http://mcgill.on.worldcat.org/oclc/62872262","Catalog Record")</f>
        <v>Catalog Record</v>
      </c>
      <c r="AW2781" s="6" t="str">
        <f>HYPERLINK("http://www.worldcat.org/oclc/62872262","WorldCat Record")</f>
        <v>WorldCat Record</v>
      </c>
      <c r="AX2781" s="3" t="s">
        <v>23393</v>
      </c>
      <c r="AY2781" s="3" t="s">
        <v>23394</v>
      </c>
      <c r="AZ2781" s="3" t="s">
        <v>23395</v>
      </c>
      <c r="BA2781" s="3" t="s">
        <v>23395</v>
      </c>
      <c r="BB2781" s="3" t="s">
        <v>23408</v>
      </c>
      <c r="BC2781" s="3" t="s">
        <v>82</v>
      </c>
      <c r="BD2781" s="3" t="s">
        <v>70</v>
      </c>
      <c r="BE2781" s="3" t="s">
        <v>23397</v>
      </c>
      <c r="BF2781" s="3" t="s">
        <v>23408</v>
      </c>
      <c r="BG2781" s="3" t="s">
        <v>23409</v>
      </c>
    </row>
    <row r="2782" spans="1:59" ht="60" x14ac:dyDescent="0.25">
      <c r="A2782" s="2" t="s">
        <v>59</v>
      </c>
      <c r="B2782" s="2" t="s">
        <v>60</v>
      </c>
      <c r="C2782" s="2" t="s">
        <v>23388</v>
      </c>
      <c r="D2782" s="2" t="s">
        <v>23389</v>
      </c>
      <c r="E2782" s="2" t="s">
        <v>23390</v>
      </c>
      <c r="F2782" s="3" t="s">
        <v>4439</v>
      </c>
      <c r="G2782" s="3" t="s">
        <v>62</v>
      </c>
      <c r="I2782" s="3" t="s">
        <v>63</v>
      </c>
      <c r="J2782" s="3" t="s">
        <v>63</v>
      </c>
      <c r="K2782" s="3" t="s">
        <v>64</v>
      </c>
      <c r="L2782" s="2" t="s">
        <v>23154</v>
      </c>
      <c r="M2782" s="2" t="s">
        <v>23391</v>
      </c>
      <c r="N2782" s="3" t="s">
        <v>176</v>
      </c>
      <c r="P2782" s="3" t="s">
        <v>90</v>
      </c>
      <c r="R2782" s="3" t="s">
        <v>67</v>
      </c>
      <c r="S2782" s="4">
        <v>1</v>
      </c>
      <c r="T2782" s="4">
        <v>3</v>
      </c>
      <c r="U2782" s="5" t="s">
        <v>23410</v>
      </c>
      <c r="V2782" s="5" t="s">
        <v>23392</v>
      </c>
      <c r="W2782" s="5" t="s">
        <v>69</v>
      </c>
      <c r="X2782" s="5" t="s">
        <v>69</v>
      </c>
      <c r="Y2782" s="4">
        <v>93</v>
      </c>
      <c r="Z2782" s="4">
        <v>6</v>
      </c>
      <c r="AA2782" s="4">
        <v>6</v>
      </c>
      <c r="AB2782" s="4">
        <v>1</v>
      </c>
      <c r="AC2782" s="4">
        <v>1</v>
      </c>
      <c r="AD2782" s="4">
        <v>53</v>
      </c>
      <c r="AE2782" s="4">
        <v>57</v>
      </c>
      <c r="AF2782" s="4">
        <v>0</v>
      </c>
      <c r="AG2782" s="4">
        <v>0</v>
      </c>
      <c r="AH2782" s="4">
        <v>49</v>
      </c>
      <c r="AI2782" s="4">
        <v>53</v>
      </c>
      <c r="AJ2782" s="4">
        <v>3</v>
      </c>
      <c r="AK2782" s="4">
        <v>3</v>
      </c>
      <c r="AL2782" s="4">
        <v>39</v>
      </c>
      <c r="AM2782" s="4">
        <v>40</v>
      </c>
      <c r="AN2782" s="4">
        <v>0</v>
      </c>
      <c r="AO2782" s="4">
        <v>0</v>
      </c>
      <c r="AP2782" s="4">
        <v>3</v>
      </c>
      <c r="AQ2782" s="4">
        <v>3</v>
      </c>
      <c r="AR2782" s="3" t="s">
        <v>63</v>
      </c>
      <c r="AS2782" s="3" t="s">
        <v>63</v>
      </c>
      <c r="AT2782" s="3" t="s">
        <v>62</v>
      </c>
      <c r="AU2782" s="6" t="str">
        <f>HYPERLINK("http://catalog.hathitrust.org/Record/004001592","HathiTrust Record")</f>
        <v>HathiTrust Record</v>
      </c>
      <c r="AV2782" s="6" t="str">
        <f>HYPERLINK("http://mcgill.on.worldcat.org/oclc/62872262","Catalog Record")</f>
        <v>Catalog Record</v>
      </c>
      <c r="AW2782" s="6" t="str">
        <f>HYPERLINK("http://www.worldcat.org/oclc/62872262","WorldCat Record")</f>
        <v>WorldCat Record</v>
      </c>
      <c r="AX2782" s="3" t="s">
        <v>23393</v>
      </c>
      <c r="AY2782" s="3" t="s">
        <v>23394</v>
      </c>
      <c r="AZ2782" s="3" t="s">
        <v>23395</v>
      </c>
      <c r="BA2782" s="3" t="s">
        <v>23395</v>
      </c>
      <c r="BB2782" s="3" t="s">
        <v>23411</v>
      </c>
      <c r="BC2782" s="3" t="s">
        <v>82</v>
      </c>
      <c r="BD2782" s="3" t="s">
        <v>70</v>
      </c>
      <c r="BE2782" s="3" t="s">
        <v>23397</v>
      </c>
      <c r="BF2782" s="3" t="s">
        <v>23411</v>
      </c>
      <c r="BG2782" s="3" t="s">
        <v>23412</v>
      </c>
    </row>
    <row r="2783" spans="1:59" ht="60" x14ac:dyDescent="0.25">
      <c r="A2783" s="2" t="s">
        <v>59</v>
      </c>
      <c r="B2783" s="2" t="s">
        <v>60</v>
      </c>
      <c r="C2783" s="2" t="s">
        <v>23388</v>
      </c>
      <c r="D2783" s="2" t="s">
        <v>23389</v>
      </c>
      <c r="E2783" s="2" t="s">
        <v>23390</v>
      </c>
      <c r="F2783" s="3" t="s">
        <v>23413</v>
      </c>
      <c r="G2783" s="3" t="s">
        <v>62</v>
      </c>
      <c r="I2783" s="3" t="s">
        <v>63</v>
      </c>
      <c r="J2783" s="3" t="s">
        <v>63</v>
      </c>
      <c r="K2783" s="3" t="s">
        <v>64</v>
      </c>
      <c r="L2783" s="2" t="s">
        <v>23154</v>
      </c>
      <c r="M2783" s="2" t="s">
        <v>23391</v>
      </c>
      <c r="N2783" s="3" t="s">
        <v>176</v>
      </c>
      <c r="P2783" s="3" t="s">
        <v>90</v>
      </c>
      <c r="R2783" s="3" t="s">
        <v>67</v>
      </c>
      <c r="S2783" s="4">
        <v>1</v>
      </c>
      <c r="T2783" s="4">
        <v>3</v>
      </c>
      <c r="U2783" s="5" t="s">
        <v>23410</v>
      </c>
      <c r="V2783" s="5" t="s">
        <v>23392</v>
      </c>
      <c r="W2783" s="5" t="s">
        <v>69</v>
      </c>
      <c r="X2783" s="5" t="s">
        <v>69</v>
      </c>
      <c r="Y2783" s="4">
        <v>93</v>
      </c>
      <c r="Z2783" s="4">
        <v>6</v>
      </c>
      <c r="AA2783" s="4">
        <v>6</v>
      </c>
      <c r="AB2783" s="4">
        <v>1</v>
      </c>
      <c r="AC2783" s="4">
        <v>1</v>
      </c>
      <c r="AD2783" s="4">
        <v>53</v>
      </c>
      <c r="AE2783" s="4">
        <v>57</v>
      </c>
      <c r="AF2783" s="4">
        <v>0</v>
      </c>
      <c r="AG2783" s="4">
        <v>0</v>
      </c>
      <c r="AH2783" s="4">
        <v>49</v>
      </c>
      <c r="AI2783" s="4">
        <v>53</v>
      </c>
      <c r="AJ2783" s="4">
        <v>3</v>
      </c>
      <c r="AK2783" s="4">
        <v>3</v>
      </c>
      <c r="AL2783" s="4">
        <v>39</v>
      </c>
      <c r="AM2783" s="4">
        <v>40</v>
      </c>
      <c r="AN2783" s="4">
        <v>0</v>
      </c>
      <c r="AO2783" s="4">
        <v>0</v>
      </c>
      <c r="AP2783" s="4">
        <v>3</v>
      </c>
      <c r="AQ2783" s="4">
        <v>3</v>
      </c>
      <c r="AR2783" s="3" t="s">
        <v>63</v>
      </c>
      <c r="AS2783" s="3" t="s">
        <v>63</v>
      </c>
      <c r="AT2783" s="3" t="s">
        <v>62</v>
      </c>
      <c r="AU2783" s="6" t="str">
        <f>HYPERLINK("http://catalog.hathitrust.org/Record/004001592","HathiTrust Record")</f>
        <v>HathiTrust Record</v>
      </c>
      <c r="AV2783" s="6" t="str">
        <f>HYPERLINK("http://mcgill.on.worldcat.org/oclc/62872262","Catalog Record")</f>
        <v>Catalog Record</v>
      </c>
      <c r="AW2783" s="6" t="str">
        <f>HYPERLINK("http://www.worldcat.org/oclc/62872262","WorldCat Record")</f>
        <v>WorldCat Record</v>
      </c>
      <c r="AX2783" s="3" t="s">
        <v>23393</v>
      </c>
      <c r="AY2783" s="3" t="s">
        <v>23394</v>
      </c>
      <c r="AZ2783" s="3" t="s">
        <v>23395</v>
      </c>
      <c r="BA2783" s="3" t="s">
        <v>23395</v>
      </c>
      <c r="BB2783" s="3" t="s">
        <v>23414</v>
      </c>
      <c r="BC2783" s="3" t="s">
        <v>82</v>
      </c>
      <c r="BD2783" s="3" t="s">
        <v>70</v>
      </c>
      <c r="BE2783" s="3" t="s">
        <v>23397</v>
      </c>
      <c r="BF2783" s="3" t="s">
        <v>23414</v>
      </c>
      <c r="BG2783" s="3" t="s">
        <v>23415</v>
      </c>
    </row>
    <row r="2784" spans="1:59" ht="60" x14ac:dyDescent="0.25">
      <c r="A2784" s="2" t="s">
        <v>59</v>
      </c>
      <c r="B2784" s="2" t="s">
        <v>60</v>
      </c>
      <c r="C2784" s="2" t="s">
        <v>23388</v>
      </c>
      <c r="D2784" s="2" t="s">
        <v>23389</v>
      </c>
      <c r="E2784" s="2" t="s">
        <v>23390</v>
      </c>
      <c r="F2784" s="3" t="s">
        <v>4437</v>
      </c>
      <c r="G2784" s="3" t="s">
        <v>62</v>
      </c>
      <c r="I2784" s="3" t="s">
        <v>63</v>
      </c>
      <c r="J2784" s="3" t="s">
        <v>63</v>
      </c>
      <c r="K2784" s="3" t="s">
        <v>64</v>
      </c>
      <c r="L2784" s="2" t="s">
        <v>23154</v>
      </c>
      <c r="M2784" s="2" t="s">
        <v>23391</v>
      </c>
      <c r="N2784" s="3" t="s">
        <v>176</v>
      </c>
      <c r="P2784" s="3" t="s">
        <v>90</v>
      </c>
      <c r="R2784" s="3" t="s">
        <v>67</v>
      </c>
      <c r="S2784" s="4">
        <v>0</v>
      </c>
      <c r="T2784" s="4">
        <v>3</v>
      </c>
      <c r="V2784" s="5" t="s">
        <v>23392</v>
      </c>
      <c r="W2784" s="5" t="s">
        <v>69</v>
      </c>
      <c r="X2784" s="5" t="s">
        <v>69</v>
      </c>
      <c r="Y2784" s="4">
        <v>93</v>
      </c>
      <c r="Z2784" s="4">
        <v>6</v>
      </c>
      <c r="AA2784" s="4">
        <v>6</v>
      </c>
      <c r="AB2784" s="4">
        <v>1</v>
      </c>
      <c r="AC2784" s="4">
        <v>1</v>
      </c>
      <c r="AD2784" s="4">
        <v>53</v>
      </c>
      <c r="AE2784" s="4">
        <v>57</v>
      </c>
      <c r="AF2784" s="4">
        <v>0</v>
      </c>
      <c r="AG2784" s="4">
        <v>0</v>
      </c>
      <c r="AH2784" s="4">
        <v>49</v>
      </c>
      <c r="AI2784" s="4">
        <v>53</v>
      </c>
      <c r="AJ2784" s="4">
        <v>3</v>
      </c>
      <c r="AK2784" s="4">
        <v>3</v>
      </c>
      <c r="AL2784" s="4">
        <v>39</v>
      </c>
      <c r="AM2784" s="4">
        <v>40</v>
      </c>
      <c r="AN2784" s="4">
        <v>0</v>
      </c>
      <c r="AO2784" s="4">
        <v>0</v>
      </c>
      <c r="AP2784" s="4">
        <v>3</v>
      </c>
      <c r="AQ2784" s="4">
        <v>3</v>
      </c>
      <c r="AR2784" s="3" t="s">
        <v>63</v>
      </c>
      <c r="AS2784" s="3" t="s">
        <v>63</v>
      </c>
      <c r="AT2784" s="3" t="s">
        <v>62</v>
      </c>
      <c r="AU2784" s="6" t="str">
        <f>HYPERLINK("http://catalog.hathitrust.org/Record/004001592","HathiTrust Record")</f>
        <v>HathiTrust Record</v>
      </c>
      <c r="AV2784" s="6" t="str">
        <f>HYPERLINK("http://mcgill.on.worldcat.org/oclc/62872262","Catalog Record")</f>
        <v>Catalog Record</v>
      </c>
      <c r="AW2784" s="6" t="str">
        <f>HYPERLINK("http://www.worldcat.org/oclc/62872262","WorldCat Record")</f>
        <v>WorldCat Record</v>
      </c>
      <c r="AX2784" s="3" t="s">
        <v>23393</v>
      </c>
      <c r="AY2784" s="3" t="s">
        <v>23394</v>
      </c>
      <c r="AZ2784" s="3" t="s">
        <v>23395</v>
      </c>
      <c r="BA2784" s="3" t="s">
        <v>23395</v>
      </c>
      <c r="BB2784" s="3" t="s">
        <v>23416</v>
      </c>
      <c r="BC2784" s="3" t="s">
        <v>82</v>
      </c>
      <c r="BD2784" s="3" t="s">
        <v>70</v>
      </c>
      <c r="BE2784" s="3" t="s">
        <v>23397</v>
      </c>
      <c r="BF2784" s="3" t="s">
        <v>23416</v>
      </c>
      <c r="BG2784" s="3" t="s">
        <v>23417</v>
      </c>
    </row>
    <row r="2785" spans="1:59" ht="75" x14ac:dyDescent="0.25">
      <c r="A2785" s="2" t="s">
        <v>59</v>
      </c>
      <c r="B2785" s="2" t="s">
        <v>60</v>
      </c>
      <c r="C2785" s="2" t="s">
        <v>23140</v>
      </c>
      <c r="D2785" s="2" t="s">
        <v>23141</v>
      </c>
      <c r="E2785" s="2" t="s">
        <v>23142</v>
      </c>
      <c r="G2785" s="3" t="s">
        <v>63</v>
      </c>
      <c r="I2785" s="3" t="s">
        <v>63</v>
      </c>
      <c r="J2785" s="3" t="s">
        <v>63</v>
      </c>
      <c r="K2785" s="3" t="s">
        <v>64</v>
      </c>
      <c r="L2785" s="2" t="s">
        <v>23143</v>
      </c>
      <c r="M2785" s="2" t="s">
        <v>23144</v>
      </c>
      <c r="N2785" s="3" t="s">
        <v>2535</v>
      </c>
      <c r="O2785" s="2" t="s">
        <v>1605</v>
      </c>
      <c r="P2785" s="3" t="s">
        <v>66</v>
      </c>
      <c r="R2785" s="3" t="s">
        <v>67</v>
      </c>
      <c r="S2785" s="4">
        <v>33</v>
      </c>
      <c r="T2785" s="4">
        <v>33</v>
      </c>
      <c r="U2785" s="5" t="s">
        <v>12624</v>
      </c>
      <c r="V2785" s="5" t="s">
        <v>12624</v>
      </c>
      <c r="W2785" s="5" t="s">
        <v>69</v>
      </c>
      <c r="X2785" s="5" t="s">
        <v>69</v>
      </c>
      <c r="Y2785" s="4">
        <v>781</v>
      </c>
      <c r="Z2785" s="4">
        <v>30</v>
      </c>
      <c r="AA2785" s="4">
        <v>36</v>
      </c>
      <c r="AB2785" s="4">
        <v>1</v>
      </c>
      <c r="AC2785" s="4">
        <v>5</v>
      </c>
      <c r="AD2785" s="4">
        <v>114</v>
      </c>
      <c r="AE2785" s="4">
        <v>120</v>
      </c>
      <c r="AF2785" s="4">
        <v>0</v>
      </c>
      <c r="AG2785" s="4">
        <v>3</v>
      </c>
      <c r="AH2785" s="4">
        <v>102</v>
      </c>
      <c r="AI2785" s="4">
        <v>104</v>
      </c>
      <c r="AJ2785" s="4">
        <v>14</v>
      </c>
      <c r="AK2785" s="4">
        <v>19</v>
      </c>
      <c r="AL2785" s="4">
        <v>56</v>
      </c>
      <c r="AM2785" s="4">
        <v>56</v>
      </c>
      <c r="AN2785" s="4">
        <v>0</v>
      </c>
      <c r="AO2785" s="4">
        <v>0</v>
      </c>
      <c r="AP2785" s="4">
        <v>18</v>
      </c>
      <c r="AQ2785" s="4">
        <v>22</v>
      </c>
      <c r="AR2785" s="3" t="s">
        <v>63</v>
      </c>
      <c r="AS2785" s="3" t="s">
        <v>63</v>
      </c>
      <c r="AT2785" s="3" t="s">
        <v>63</v>
      </c>
      <c r="AV2785" s="6" t="str">
        <f>HYPERLINK("http://mcgill.on.worldcat.org/oclc/539730","Catalog Record")</f>
        <v>Catalog Record</v>
      </c>
      <c r="AW2785" s="6" t="str">
        <f>HYPERLINK("http://www.worldcat.org/oclc/539730","WorldCat Record")</f>
        <v>WorldCat Record</v>
      </c>
      <c r="AX2785" s="3" t="s">
        <v>23145</v>
      </c>
      <c r="AY2785" s="3" t="s">
        <v>23146</v>
      </c>
      <c r="AZ2785" s="3" t="s">
        <v>23147</v>
      </c>
      <c r="BA2785" s="3" t="s">
        <v>23147</v>
      </c>
      <c r="BB2785" s="3" t="s">
        <v>23148</v>
      </c>
      <c r="BC2785" s="3" t="s">
        <v>82</v>
      </c>
      <c r="BD2785" s="3" t="s">
        <v>70</v>
      </c>
      <c r="BE2785" s="3" t="s">
        <v>23149</v>
      </c>
      <c r="BF2785" s="3" t="s">
        <v>23148</v>
      </c>
      <c r="BG2785" s="3" t="s">
        <v>23150</v>
      </c>
    </row>
    <row r="2786" spans="1:59" ht="75" x14ac:dyDescent="0.25">
      <c r="A2786" s="2" t="s">
        <v>59</v>
      </c>
      <c r="B2786" s="2" t="s">
        <v>60</v>
      </c>
      <c r="C2786" s="2" t="s">
        <v>23151</v>
      </c>
      <c r="D2786" s="2" t="s">
        <v>23152</v>
      </c>
      <c r="E2786" s="2" t="s">
        <v>23153</v>
      </c>
      <c r="G2786" s="3" t="s">
        <v>63</v>
      </c>
      <c r="I2786" s="3" t="s">
        <v>63</v>
      </c>
      <c r="J2786" s="3" t="s">
        <v>63</v>
      </c>
      <c r="K2786" s="3" t="s">
        <v>64</v>
      </c>
      <c r="L2786" s="2" t="s">
        <v>23154</v>
      </c>
      <c r="M2786" s="2" t="s">
        <v>23155</v>
      </c>
      <c r="N2786" s="3" t="s">
        <v>3640</v>
      </c>
      <c r="O2786" s="2" t="s">
        <v>590</v>
      </c>
      <c r="P2786" s="3" t="s">
        <v>66</v>
      </c>
      <c r="R2786" s="3" t="s">
        <v>67</v>
      </c>
      <c r="S2786" s="4">
        <v>26</v>
      </c>
      <c r="T2786" s="4">
        <v>26</v>
      </c>
      <c r="U2786" s="5" t="s">
        <v>5971</v>
      </c>
      <c r="V2786" s="5" t="s">
        <v>5971</v>
      </c>
      <c r="W2786" s="5" t="s">
        <v>69</v>
      </c>
      <c r="X2786" s="5" t="s">
        <v>69</v>
      </c>
      <c r="Y2786" s="4">
        <v>648</v>
      </c>
      <c r="Z2786" s="4">
        <v>29</v>
      </c>
      <c r="AA2786" s="4">
        <v>34</v>
      </c>
      <c r="AB2786" s="4">
        <v>1</v>
      </c>
      <c r="AC2786" s="4">
        <v>2</v>
      </c>
      <c r="AD2786" s="4">
        <v>105</v>
      </c>
      <c r="AE2786" s="4">
        <v>116</v>
      </c>
      <c r="AF2786" s="4">
        <v>0</v>
      </c>
      <c r="AG2786" s="4">
        <v>1</v>
      </c>
      <c r="AH2786" s="4">
        <v>95</v>
      </c>
      <c r="AI2786" s="4">
        <v>102</v>
      </c>
      <c r="AJ2786" s="4">
        <v>15</v>
      </c>
      <c r="AK2786" s="4">
        <v>18</v>
      </c>
      <c r="AL2786" s="4">
        <v>51</v>
      </c>
      <c r="AM2786" s="4">
        <v>56</v>
      </c>
      <c r="AN2786" s="4">
        <v>0</v>
      </c>
      <c r="AO2786" s="4">
        <v>0</v>
      </c>
      <c r="AP2786" s="4">
        <v>18</v>
      </c>
      <c r="AQ2786" s="4">
        <v>21</v>
      </c>
      <c r="AR2786" s="3" t="s">
        <v>63</v>
      </c>
      <c r="AS2786" s="3" t="s">
        <v>63</v>
      </c>
      <c r="AT2786" s="3" t="s">
        <v>63</v>
      </c>
      <c r="AV2786" s="6" t="str">
        <f>HYPERLINK("http://mcgill.on.worldcat.org/oclc/8628360","Catalog Record")</f>
        <v>Catalog Record</v>
      </c>
      <c r="AW2786" s="6" t="str">
        <f>HYPERLINK("http://www.worldcat.org/oclc/8628360","WorldCat Record")</f>
        <v>WorldCat Record</v>
      </c>
      <c r="AX2786" s="3" t="s">
        <v>23156</v>
      </c>
      <c r="AY2786" s="3" t="s">
        <v>23157</v>
      </c>
      <c r="AZ2786" s="3" t="s">
        <v>23158</v>
      </c>
      <c r="BA2786" s="3" t="s">
        <v>23158</v>
      </c>
      <c r="BB2786" s="3" t="s">
        <v>23159</v>
      </c>
      <c r="BC2786" s="3" t="s">
        <v>82</v>
      </c>
      <c r="BD2786" s="3" t="s">
        <v>70</v>
      </c>
      <c r="BE2786" s="3" t="s">
        <v>23160</v>
      </c>
      <c r="BF2786" s="3" t="s">
        <v>23159</v>
      </c>
      <c r="BG2786" s="3" t="s">
        <v>23161</v>
      </c>
    </row>
    <row r="2787" spans="1:59" ht="75" x14ac:dyDescent="0.25">
      <c r="A2787" s="2" t="s">
        <v>59</v>
      </c>
      <c r="B2787" s="2" t="s">
        <v>60</v>
      </c>
      <c r="C2787" s="2" t="s">
        <v>23162</v>
      </c>
      <c r="D2787" s="2" t="s">
        <v>23163</v>
      </c>
      <c r="E2787" s="2" t="s">
        <v>23164</v>
      </c>
      <c r="G2787" s="3" t="s">
        <v>63</v>
      </c>
      <c r="I2787" s="3" t="s">
        <v>63</v>
      </c>
      <c r="J2787" s="3" t="s">
        <v>63</v>
      </c>
      <c r="K2787" s="3" t="s">
        <v>64</v>
      </c>
      <c r="L2787" s="2" t="s">
        <v>23154</v>
      </c>
      <c r="M2787" s="2" t="s">
        <v>23165</v>
      </c>
      <c r="N2787" s="3" t="s">
        <v>1343</v>
      </c>
      <c r="P2787" s="3" t="s">
        <v>66</v>
      </c>
      <c r="R2787" s="3" t="s">
        <v>67</v>
      </c>
      <c r="S2787" s="4">
        <v>26</v>
      </c>
      <c r="T2787" s="4">
        <v>26</v>
      </c>
      <c r="U2787" s="5" t="s">
        <v>23004</v>
      </c>
      <c r="V2787" s="5" t="s">
        <v>23004</v>
      </c>
      <c r="W2787" s="5" t="s">
        <v>69</v>
      </c>
      <c r="X2787" s="5" t="s">
        <v>69</v>
      </c>
      <c r="Y2787" s="4">
        <v>176</v>
      </c>
      <c r="Z2787" s="4">
        <v>8</v>
      </c>
      <c r="AA2787" s="4">
        <v>8</v>
      </c>
      <c r="AB2787" s="4">
        <v>1</v>
      </c>
      <c r="AC2787" s="4">
        <v>1</v>
      </c>
      <c r="AD2787" s="4">
        <v>63</v>
      </c>
      <c r="AE2787" s="4">
        <v>63</v>
      </c>
      <c r="AF2787" s="4">
        <v>0</v>
      </c>
      <c r="AG2787" s="4">
        <v>0</v>
      </c>
      <c r="AH2787" s="4">
        <v>61</v>
      </c>
      <c r="AI2787" s="4">
        <v>61</v>
      </c>
      <c r="AJ2787" s="4">
        <v>4</v>
      </c>
      <c r="AK2787" s="4">
        <v>4</v>
      </c>
      <c r="AL2787" s="4">
        <v>36</v>
      </c>
      <c r="AM2787" s="4">
        <v>36</v>
      </c>
      <c r="AN2787" s="4">
        <v>0</v>
      </c>
      <c r="AO2787" s="4">
        <v>0</v>
      </c>
      <c r="AP2787" s="4">
        <v>4</v>
      </c>
      <c r="AQ2787" s="4">
        <v>4</v>
      </c>
      <c r="AR2787" s="3" t="s">
        <v>63</v>
      </c>
      <c r="AS2787" s="3" t="s">
        <v>63</v>
      </c>
      <c r="AT2787" s="3" t="s">
        <v>63</v>
      </c>
      <c r="AV2787" s="6" t="str">
        <f>HYPERLINK("http://mcgill.on.worldcat.org/oclc/46402754","Catalog Record")</f>
        <v>Catalog Record</v>
      </c>
      <c r="AW2787" s="6" t="str">
        <f>HYPERLINK("http://www.worldcat.org/oclc/46402754","WorldCat Record")</f>
        <v>WorldCat Record</v>
      </c>
      <c r="AX2787" s="3" t="s">
        <v>23166</v>
      </c>
      <c r="AY2787" s="3" t="s">
        <v>23167</v>
      </c>
      <c r="AZ2787" s="3" t="s">
        <v>23168</v>
      </c>
      <c r="BA2787" s="3" t="s">
        <v>23168</v>
      </c>
      <c r="BB2787" s="3" t="s">
        <v>23169</v>
      </c>
      <c r="BC2787" s="3" t="s">
        <v>82</v>
      </c>
      <c r="BD2787" s="3" t="s">
        <v>70</v>
      </c>
      <c r="BE2787" s="3" t="s">
        <v>23170</v>
      </c>
      <c r="BF2787" s="3" t="s">
        <v>23169</v>
      </c>
      <c r="BG2787" s="3" t="s">
        <v>23171</v>
      </c>
    </row>
    <row r="2788" spans="1:59" ht="75" x14ac:dyDescent="0.25">
      <c r="A2788" s="2" t="s">
        <v>59</v>
      </c>
      <c r="B2788" s="2" t="s">
        <v>60</v>
      </c>
      <c r="C2788" s="2" t="s">
        <v>23172</v>
      </c>
      <c r="D2788" s="2" t="s">
        <v>23173</v>
      </c>
      <c r="E2788" s="2" t="s">
        <v>23174</v>
      </c>
      <c r="G2788" s="3" t="s">
        <v>63</v>
      </c>
      <c r="I2788" s="3" t="s">
        <v>63</v>
      </c>
      <c r="J2788" s="3" t="s">
        <v>62</v>
      </c>
      <c r="K2788" s="3" t="s">
        <v>64</v>
      </c>
      <c r="L2788" s="2" t="s">
        <v>23143</v>
      </c>
      <c r="M2788" s="2" t="s">
        <v>23175</v>
      </c>
      <c r="N2788" s="3" t="s">
        <v>161</v>
      </c>
      <c r="P2788" s="3" t="s">
        <v>66</v>
      </c>
      <c r="R2788" s="3" t="s">
        <v>67</v>
      </c>
      <c r="S2788" s="4">
        <v>49</v>
      </c>
      <c r="T2788" s="4">
        <v>49</v>
      </c>
      <c r="U2788" s="5" t="s">
        <v>1128</v>
      </c>
      <c r="V2788" s="5" t="s">
        <v>1128</v>
      </c>
      <c r="W2788" s="5" t="s">
        <v>69</v>
      </c>
      <c r="X2788" s="5" t="s">
        <v>69</v>
      </c>
      <c r="Y2788" s="4">
        <v>233</v>
      </c>
      <c r="Z2788" s="4">
        <v>13</v>
      </c>
      <c r="AA2788" s="4">
        <v>47</v>
      </c>
      <c r="AB2788" s="4">
        <v>1</v>
      </c>
      <c r="AC2788" s="4">
        <v>3</v>
      </c>
      <c r="AD2788" s="4">
        <v>60</v>
      </c>
      <c r="AE2788" s="4">
        <v>139</v>
      </c>
      <c r="AF2788" s="4">
        <v>0</v>
      </c>
      <c r="AG2788" s="4">
        <v>1</v>
      </c>
      <c r="AH2788" s="4">
        <v>56</v>
      </c>
      <c r="AI2788" s="4">
        <v>112</v>
      </c>
      <c r="AJ2788" s="4">
        <v>9</v>
      </c>
      <c r="AK2788" s="4">
        <v>22</v>
      </c>
      <c r="AL2788" s="4">
        <v>37</v>
      </c>
      <c r="AM2788" s="4">
        <v>63</v>
      </c>
      <c r="AN2788" s="4">
        <v>4</v>
      </c>
      <c r="AO2788" s="4">
        <v>9</v>
      </c>
      <c r="AP2788" s="4">
        <v>9</v>
      </c>
      <c r="AQ2788" s="4">
        <v>32</v>
      </c>
      <c r="AR2788" s="3" t="s">
        <v>63</v>
      </c>
      <c r="AS2788" s="3" t="s">
        <v>63</v>
      </c>
      <c r="AT2788" s="3" t="s">
        <v>62</v>
      </c>
      <c r="AU2788" s="6" t="str">
        <f>HYPERLINK("http://catalog.hathitrust.org/Record/001823099","HathiTrust Record")</f>
        <v>HathiTrust Record</v>
      </c>
      <c r="AV2788" s="6" t="str">
        <f>HYPERLINK("http://mcgill.on.worldcat.org/oclc/21227982","Catalog Record")</f>
        <v>Catalog Record</v>
      </c>
      <c r="AW2788" s="6" t="str">
        <f>HYPERLINK("http://www.worldcat.org/oclc/21227982","WorldCat Record")</f>
        <v>WorldCat Record</v>
      </c>
      <c r="AX2788" s="3" t="s">
        <v>23176</v>
      </c>
      <c r="AY2788" s="3" t="s">
        <v>23177</v>
      </c>
      <c r="AZ2788" s="3" t="s">
        <v>23178</v>
      </c>
      <c r="BA2788" s="3" t="s">
        <v>23178</v>
      </c>
      <c r="BB2788" s="3" t="s">
        <v>23179</v>
      </c>
      <c r="BC2788" s="3" t="s">
        <v>82</v>
      </c>
      <c r="BD2788" s="3" t="s">
        <v>70</v>
      </c>
      <c r="BE2788" s="3" t="s">
        <v>23180</v>
      </c>
      <c r="BF2788" s="3" t="s">
        <v>23179</v>
      </c>
      <c r="BG2788" s="3" t="s">
        <v>23181</v>
      </c>
    </row>
    <row r="2789" spans="1:59" ht="75" x14ac:dyDescent="0.25">
      <c r="A2789" s="2" t="s">
        <v>59</v>
      </c>
      <c r="B2789" s="2" t="s">
        <v>60</v>
      </c>
      <c r="C2789" s="2" t="s">
        <v>23182</v>
      </c>
      <c r="D2789" s="2" t="s">
        <v>23183</v>
      </c>
      <c r="E2789" s="2" t="s">
        <v>23184</v>
      </c>
      <c r="F2789" s="3" t="s">
        <v>61</v>
      </c>
      <c r="G2789" s="3" t="s">
        <v>62</v>
      </c>
      <c r="I2789" s="3" t="s">
        <v>63</v>
      </c>
      <c r="J2789" s="3" t="s">
        <v>63</v>
      </c>
      <c r="K2789" s="3" t="s">
        <v>64</v>
      </c>
      <c r="L2789" s="2" t="s">
        <v>23154</v>
      </c>
      <c r="M2789" s="2" t="s">
        <v>23185</v>
      </c>
      <c r="N2789" s="3" t="s">
        <v>668</v>
      </c>
      <c r="P2789" s="3" t="s">
        <v>66</v>
      </c>
      <c r="R2789" s="3" t="s">
        <v>67</v>
      </c>
      <c r="S2789" s="4">
        <v>30</v>
      </c>
      <c r="T2789" s="4">
        <v>69</v>
      </c>
      <c r="U2789" s="5" t="s">
        <v>3208</v>
      </c>
      <c r="V2789" s="5" t="s">
        <v>3208</v>
      </c>
      <c r="W2789" s="5" t="s">
        <v>69</v>
      </c>
      <c r="X2789" s="5" t="s">
        <v>69</v>
      </c>
      <c r="Y2789" s="4">
        <v>584</v>
      </c>
      <c r="Z2789" s="4">
        <v>23</v>
      </c>
      <c r="AA2789" s="4">
        <v>41</v>
      </c>
      <c r="AB2789" s="4">
        <v>1</v>
      </c>
      <c r="AC2789" s="4">
        <v>3</v>
      </c>
      <c r="AD2789" s="4">
        <v>107</v>
      </c>
      <c r="AE2789" s="4">
        <v>127</v>
      </c>
      <c r="AF2789" s="4">
        <v>0</v>
      </c>
      <c r="AG2789" s="4">
        <v>1</v>
      </c>
      <c r="AH2789" s="4">
        <v>94</v>
      </c>
      <c r="AI2789" s="4">
        <v>106</v>
      </c>
      <c r="AJ2789" s="4">
        <v>14</v>
      </c>
      <c r="AK2789" s="4">
        <v>19</v>
      </c>
      <c r="AL2789" s="4">
        <v>53</v>
      </c>
      <c r="AM2789" s="4">
        <v>60</v>
      </c>
      <c r="AN2789" s="4">
        <v>0</v>
      </c>
      <c r="AO2789" s="4">
        <v>0</v>
      </c>
      <c r="AP2789" s="4">
        <v>17</v>
      </c>
      <c r="AQ2789" s="4">
        <v>25</v>
      </c>
      <c r="AR2789" s="3" t="s">
        <v>63</v>
      </c>
      <c r="AS2789" s="3" t="s">
        <v>63</v>
      </c>
      <c r="AT2789" s="3" t="s">
        <v>62</v>
      </c>
      <c r="AU2789" s="6" t="str">
        <f>HYPERLINK("http://catalog.hathitrust.org/Record/002233380","HathiTrust Record")</f>
        <v>HathiTrust Record</v>
      </c>
      <c r="AV2789" s="6" t="str">
        <f>HYPERLINK("http://mcgill.on.worldcat.org/oclc/21314761","Catalog Record")</f>
        <v>Catalog Record</v>
      </c>
      <c r="AW2789" s="6" t="str">
        <f>HYPERLINK("http://www.worldcat.org/oclc/21314761","WorldCat Record")</f>
        <v>WorldCat Record</v>
      </c>
      <c r="AX2789" s="3" t="s">
        <v>23186</v>
      </c>
      <c r="AY2789" s="3" t="s">
        <v>23187</v>
      </c>
      <c r="AZ2789" s="3" t="s">
        <v>23188</v>
      </c>
      <c r="BA2789" s="3" t="s">
        <v>23188</v>
      </c>
      <c r="BB2789" s="3" t="s">
        <v>23189</v>
      </c>
      <c r="BC2789" s="3" t="s">
        <v>82</v>
      </c>
      <c r="BD2789" s="3" t="s">
        <v>70</v>
      </c>
      <c r="BE2789" s="3" t="s">
        <v>23190</v>
      </c>
      <c r="BF2789" s="3" t="s">
        <v>23189</v>
      </c>
      <c r="BG2789" s="3" t="s">
        <v>23191</v>
      </c>
    </row>
    <row r="2790" spans="1:59" ht="75" x14ac:dyDescent="0.25">
      <c r="A2790" s="2" t="s">
        <v>59</v>
      </c>
      <c r="B2790" s="2" t="s">
        <v>60</v>
      </c>
      <c r="C2790" s="2" t="s">
        <v>23182</v>
      </c>
      <c r="D2790" s="2" t="s">
        <v>23183</v>
      </c>
      <c r="E2790" s="2" t="s">
        <v>23184</v>
      </c>
      <c r="F2790" s="3" t="s">
        <v>5684</v>
      </c>
      <c r="G2790" s="3" t="s">
        <v>62</v>
      </c>
      <c r="I2790" s="3" t="s">
        <v>63</v>
      </c>
      <c r="J2790" s="3" t="s">
        <v>63</v>
      </c>
      <c r="K2790" s="3" t="s">
        <v>64</v>
      </c>
      <c r="L2790" s="2" t="s">
        <v>23154</v>
      </c>
      <c r="M2790" s="2" t="s">
        <v>23185</v>
      </c>
      <c r="N2790" s="3" t="s">
        <v>668</v>
      </c>
      <c r="P2790" s="3" t="s">
        <v>66</v>
      </c>
      <c r="R2790" s="3" t="s">
        <v>67</v>
      </c>
      <c r="S2790" s="4">
        <v>39</v>
      </c>
      <c r="T2790" s="4">
        <v>69</v>
      </c>
      <c r="U2790" s="5" t="s">
        <v>3208</v>
      </c>
      <c r="V2790" s="5" t="s">
        <v>3208</v>
      </c>
      <c r="W2790" s="5" t="s">
        <v>69</v>
      </c>
      <c r="X2790" s="5" t="s">
        <v>69</v>
      </c>
      <c r="Y2790" s="4">
        <v>584</v>
      </c>
      <c r="Z2790" s="4">
        <v>23</v>
      </c>
      <c r="AA2790" s="4">
        <v>41</v>
      </c>
      <c r="AB2790" s="4">
        <v>1</v>
      </c>
      <c r="AC2790" s="4">
        <v>3</v>
      </c>
      <c r="AD2790" s="4">
        <v>107</v>
      </c>
      <c r="AE2790" s="4">
        <v>127</v>
      </c>
      <c r="AF2790" s="4">
        <v>0</v>
      </c>
      <c r="AG2790" s="4">
        <v>1</v>
      </c>
      <c r="AH2790" s="4">
        <v>94</v>
      </c>
      <c r="AI2790" s="4">
        <v>106</v>
      </c>
      <c r="AJ2790" s="4">
        <v>14</v>
      </c>
      <c r="AK2790" s="4">
        <v>19</v>
      </c>
      <c r="AL2790" s="4">
        <v>53</v>
      </c>
      <c r="AM2790" s="4">
        <v>60</v>
      </c>
      <c r="AN2790" s="4">
        <v>0</v>
      </c>
      <c r="AO2790" s="4">
        <v>0</v>
      </c>
      <c r="AP2790" s="4">
        <v>17</v>
      </c>
      <c r="AQ2790" s="4">
        <v>25</v>
      </c>
      <c r="AR2790" s="3" t="s">
        <v>63</v>
      </c>
      <c r="AS2790" s="3" t="s">
        <v>63</v>
      </c>
      <c r="AT2790" s="3" t="s">
        <v>62</v>
      </c>
      <c r="AU2790" s="6" t="str">
        <f>HYPERLINK("http://catalog.hathitrust.org/Record/002233380","HathiTrust Record")</f>
        <v>HathiTrust Record</v>
      </c>
      <c r="AV2790" s="6" t="str">
        <f>HYPERLINK("http://mcgill.on.worldcat.org/oclc/21314761","Catalog Record")</f>
        <v>Catalog Record</v>
      </c>
      <c r="AW2790" s="6" t="str">
        <f>HYPERLINK("http://www.worldcat.org/oclc/21314761","WorldCat Record")</f>
        <v>WorldCat Record</v>
      </c>
      <c r="AX2790" s="3" t="s">
        <v>23186</v>
      </c>
      <c r="AY2790" s="3" t="s">
        <v>23187</v>
      </c>
      <c r="AZ2790" s="3" t="s">
        <v>23188</v>
      </c>
      <c r="BA2790" s="3" t="s">
        <v>23188</v>
      </c>
      <c r="BB2790" s="3" t="s">
        <v>23192</v>
      </c>
      <c r="BC2790" s="3" t="s">
        <v>82</v>
      </c>
      <c r="BD2790" s="3" t="s">
        <v>70</v>
      </c>
      <c r="BE2790" s="3" t="s">
        <v>23190</v>
      </c>
      <c r="BF2790" s="3" t="s">
        <v>23192</v>
      </c>
      <c r="BG2790" s="3" t="s">
        <v>23193</v>
      </c>
    </row>
    <row r="2791" spans="1:59" ht="75" x14ac:dyDescent="0.25">
      <c r="A2791" s="2" t="s">
        <v>59</v>
      </c>
      <c r="B2791" s="2" t="s">
        <v>60</v>
      </c>
      <c r="C2791" s="2" t="s">
        <v>23194</v>
      </c>
      <c r="D2791" s="2" t="s">
        <v>23195</v>
      </c>
      <c r="E2791" s="2" t="s">
        <v>23196</v>
      </c>
      <c r="G2791" s="3" t="s">
        <v>63</v>
      </c>
      <c r="I2791" s="3" t="s">
        <v>62</v>
      </c>
      <c r="J2791" s="3" t="s">
        <v>63</v>
      </c>
      <c r="K2791" s="3" t="s">
        <v>64</v>
      </c>
      <c r="L2791" s="2" t="s">
        <v>23154</v>
      </c>
      <c r="M2791" s="2" t="s">
        <v>23197</v>
      </c>
      <c r="N2791" s="3" t="s">
        <v>531</v>
      </c>
      <c r="P2791" s="3" t="s">
        <v>66</v>
      </c>
      <c r="R2791" s="3" t="s">
        <v>67</v>
      </c>
      <c r="S2791" s="4">
        <v>16</v>
      </c>
      <c r="T2791" s="4">
        <v>32</v>
      </c>
      <c r="U2791" s="5" t="s">
        <v>23198</v>
      </c>
      <c r="V2791" s="5" t="s">
        <v>4297</v>
      </c>
      <c r="W2791" s="5" t="s">
        <v>69</v>
      </c>
      <c r="X2791" s="5" t="s">
        <v>69</v>
      </c>
      <c r="Y2791" s="4">
        <v>480</v>
      </c>
      <c r="Z2791" s="4">
        <v>24</v>
      </c>
      <c r="AA2791" s="4">
        <v>24</v>
      </c>
      <c r="AB2791" s="4">
        <v>1</v>
      </c>
      <c r="AC2791" s="4">
        <v>1</v>
      </c>
      <c r="AD2791" s="4">
        <v>99</v>
      </c>
      <c r="AE2791" s="4">
        <v>105</v>
      </c>
      <c r="AF2791" s="4">
        <v>0</v>
      </c>
      <c r="AG2791" s="4">
        <v>0</v>
      </c>
      <c r="AH2791" s="4">
        <v>91</v>
      </c>
      <c r="AI2791" s="4">
        <v>97</v>
      </c>
      <c r="AJ2791" s="4">
        <v>14</v>
      </c>
      <c r="AK2791" s="4">
        <v>14</v>
      </c>
      <c r="AL2791" s="4">
        <v>50</v>
      </c>
      <c r="AM2791" s="4">
        <v>52</v>
      </c>
      <c r="AN2791" s="4">
        <v>0</v>
      </c>
      <c r="AO2791" s="4">
        <v>5</v>
      </c>
      <c r="AP2791" s="4">
        <v>17</v>
      </c>
      <c r="AQ2791" s="4">
        <v>17</v>
      </c>
      <c r="AR2791" s="3" t="s">
        <v>63</v>
      </c>
      <c r="AS2791" s="3" t="s">
        <v>63</v>
      </c>
      <c r="AT2791" s="3" t="s">
        <v>63</v>
      </c>
      <c r="AV2791" s="6" t="str">
        <f>HYPERLINK("http://mcgill.on.worldcat.org/oclc/23582648","Catalog Record")</f>
        <v>Catalog Record</v>
      </c>
      <c r="AW2791" s="6" t="str">
        <f>HYPERLINK("http://www.worldcat.org/oclc/23582648","WorldCat Record")</f>
        <v>WorldCat Record</v>
      </c>
      <c r="AX2791" s="3" t="s">
        <v>23199</v>
      </c>
      <c r="AY2791" s="3" t="s">
        <v>23200</v>
      </c>
      <c r="AZ2791" s="3" t="s">
        <v>23201</v>
      </c>
      <c r="BA2791" s="3" t="s">
        <v>23201</v>
      </c>
      <c r="BB2791" s="3" t="s">
        <v>23202</v>
      </c>
      <c r="BC2791" s="3" t="s">
        <v>82</v>
      </c>
      <c r="BD2791" s="3" t="s">
        <v>70</v>
      </c>
      <c r="BE2791" s="3" t="s">
        <v>23203</v>
      </c>
      <c r="BF2791" s="3" t="s">
        <v>23202</v>
      </c>
      <c r="BG2791" s="3" t="s">
        <v>23204</v>
      </c>
    </row>
    <row r="2792" spans="1:59" ht="75" x14ac:dyDescent="0.25">
      <c r="A2792" s="2" t="s">
        <v>59</v>
      </c>
      <c r="B2792" s="2" t="s">
        <v>60</v>
      </c>
      <c r="C2792" s="2" t="s">
        <v>23194</v>
      </c>
      <c r="D2792" s="2" t="s">
        <v>23195</v>
      </c>
      <c r="E2792" s="2" t="s">
        <v>23196</v>
      </c>
      <c r="G2792" s="3" t="s">
        <v>63</v>
      </c>
      <c r="I2792" s="3" t="s">
        <v>62</v>
      </c>
      <c r="J2792" s="3" t="s">
        <v>63</v>
      </c>
      <c r="K2792" s="3" t="s">
        <v>64</v>
      </c>
      <c r="L2792" s="2" t="s">
        <v>23154</v>
      </c>
      <c r="M2792" s="2" t="s">
        <v>23197</v>
      </c>
      <c r="N2792" s="3" t="s">
        <v>531</v>
      </c>
      <c r="P2792" s="3" t="s">
        <v>66</v>
      </c>
      <c r="R2792" s="3" t="s">
        <v>67</v>
      </c>
      <c r="S2792" s="4">
        <v>16</v>
      </c>
      <c r="T2792" s="4">
        <v>32</v>
      </c>
      <c r="U2792" s="5" t="s">
        <v>4297</v>
      </c>
      <c r="V2792" s="5" t="s">
        <v>4297</v>
      </c>
      <c r="W2792" s="5" t="s">
        <v>69</v>
      </c>
      <c r="X2792" s="5" t="s">
        <v>69</v>
      </c>
      <c r="Y2792" s="4">
        <v>480</v>
      </c>
      <c r="Z2792" s="4">
        <v>24</v>
      </c>
      <c r="AA2792" s="4">
        <v>24</v>
      </c>
      <c r="AB2792" s="4">
        <v>1</v>
      </c>
      <c r="AC2792" s="4">
        <v>1</v>
      </c>
      <c r="AD2792" s="4">
        <v>99</v>
      </c>
      <c r="AE2792" s="4">
        <v>105</v>
      </c>
      <c r="AF2792" s="4">
        <v>0</v>
      </c>
      <c r="AG2792" s="4">
        <v>0</v>
      </c>
      <c r="AH2792" s="4">
        <v>91</v>
      </c>
      <c r="AI2792" s="4">
        <v>97</v>
      </c>
      <c r="AJ2792" s="4">
        <v>14</v>
      </c>
      <c r="AK2792" s="4">
        <v>14</v>
      </c>
      <c r="AL2792" s="4">
        <v>50</v>
      </c>
      <c r="AM2792" s="4">
        <v>52</v>
      </c>
      <c r="AN2792" s="4">
        <v>0</v>
      </c>
      <c r="AO2792" s="4">
        <v>5</v>
      </c>
      <c r="AP2792" s="4">
        <v>17</v>
      </c>
      <c r="AQ2792" s="4">
        <v>17</v>
      </c>
      <c r="AR2792" s="3" t="s">
        <v>63</v>
      </c>
      <c r="AS2792" s="3" t="s">
        <v>63</v>
      </c>
      <c r="AT2792" s="3" t="s">
        <v>63</v>
      </c>
      <c r="AV2792" s="6" t="str">
        <f>HYPERLINK("http://mcgill.on.worldcat.org/oclc/23582648","Catalog Record")</f>
        <v>Catalog Record</v>
      </c>
      <c r="AW2792" s="6" t="str">
        <f>HYPERLINK("http://www.worldcat.org/oclc/23582648","WorldCat Record")</f>
        <v>WorldCat Record</v>
      </c>
      <c r="AX2792" s="3" t="s">
        <v>23199</v>
      </c>
      <c r="AY2792" s="3" t="s">
        <v>23200</v>
      </c>
      <c r="AZ2792" s="3" t="s">
        <v>23201</v>
      </c>
      <c r="BA2792" s="3" t="s">
        <v>23201</v>
      </c>
      <c r="BB2792" s="3" t="s">
        <v>23205</v>
      </c>
      <c r="BC2792" s="3" t="s">
        <v>82</v>
      </c>
      <c r="BD2792" s="3" t="s">
        <v>70</v>
      </c>
      <c r="BE2792" s="3" t="s">
        <v>23203</v>
      </c>
      <c r="BF2792" s="3" t="s">
        <v>23205</v>
      </c>
      <c r="BG2792" s="3" t="s">
        <v>23206</v>
      </c>
    </row>
    <row r="2793" spans="1:59" ht="75" x14ac:dyDescent="0.25">
      <c r="A2793" s="2" t="s">
        <v>59</v>
      </c>
      <c r="B2793" s="2" t="s">
        <v>60</v>
      </c>
      <c r="C2793" s="2" t="s">
        <v>23207</v>
      </c>
      <c r="D2793" s="2" t="s">
        <v>23208</v>
      </c>
      <c r="E2793" s="2" t="s">
        <v>23209</v>
      </c>
      <c r="G2793" s="3" t="s">
        <v>63</v>
      </c>
      <c r="I2793" s="3" t="s">
        <v>63</v>
      </c>
      <c r="J2793" s="3" t="s">
        <v>63</v>
      </c>
      <c r="K2793" s="3" t="s">
        <v>64</v>
      </c>
      <c r="L2793" s="2" t="s">
        <v>23154</v>
      </c>
      <c r="M2793" s="2" t="s">
        <v>23210</v>
      </c>
      <c r="N2793" s="3" t="s">
        <v>939</v>
      </c>
      <c r="P2793" s="3" t="s">
        <v>548</v>
      </c>
      <c r="Q2793" s="2" t="s">
        <v>23211</v>
      </c>
      <c r="R2793" s="3" t="s">
        <v>67</v>
      </c>
      <c r="S2793" s="4">
        <v>9</v>
      </c>
      <c r="T2793" s="4">
        <v>9</v>
      </c>
      <c r="U2793" s="5" t="s">
        <v>23212</v>
      </c>
      <c r="V2793" s="5" t="s">
        <v>23212</v>
      </c>
      <c r="W2793" s="5" t="s">
        <v>69</v>
      </c>
      <c r="X2793" s="5" t="s">
        <v>69</v>
      </c>
      <c r="Y2793" s="4">
        <v>66</v>
      </c>
      <c r="Z2793" s="4">
        <v>7</v>
      </c>
      <c r="AA2793" s="4">
        <v>7</v>
      </c>
      <c r="AB2793" s="4">
        <v>1</v>
      </c>
      <c r="AC2793" s="4">
        <v>1</v>
      </c>
      <c r="AD2793" s="4">
        <v>43</v>
      </c>
      <c r="AE2793" s="4">
        <v>43</v>
      </c>
      <c r="AF2793" s="4">
        <v>0</v>
      </c>
      <c r="AG2793" s="4">
        <v>0</v>
      </c>
      <c r="AH2793" s="4">
        <v>38</v>
      </c>
      <c r="AI2793" s="4">
        <v>38</v>
      </c>
      <c r="AJ2793" s="4">
        <v>4</v>
      </c>
      <c r="AK2793" s="4">
        <v>4</v>
      </c>
      <c r="AL2793" s="4">
        <v>25</v>
      </c>
      <c r="AM2793" s="4">
        <v>25</v>
      </c>
      <c r="AN2793" s="4">
        <v>0</v>
      </c>
      <c r="AO2793" s="4">
        <v>0</v>
      </c>
      <c r="AP2793" s="4">
        <v>6</v>
      </c>
      <c r="AQ2793" s="4">
        <v>6</v>
      </c>
      <c r="AR2793" s="3" t="s">
        <v>63</v>
      </c>
      <c r="AS2793" s="3" t="s">
        <v>63</v>
      </c>
      <c r="AT2793" s="3" t="s">
        <v>63</v>
      </c>
      <c r="AV2793" s="6" t="str">
        <f>HYPERLINK("http://mcgill.on.worldcat.org/oclc/229213","Catalog Record")</f>
        <v>Catalog Record</v>
      </c>
      <c r="AW2793" s="6" t="str">
        <f>HYPERLINK("http://www.worldcat.org/oclc/229213","WorldCat Record")</f>
        <v>WorldCat Record</v>
      </c>
      <c r="AX2793" s="3" t="s">
        <v>23213</v>
      </c>
      <c r="AY2793" s="3" t="s">
        <v>23214</v>
      </c>
      <c r="AZ2793" s="3" t="s">
        <v>23215</v>
      </c>
      <c r="BA2793" s="3" t="s">
        <v>23215</v>
      </c>
      <c r="BB2793" s="3" t="s">
        <v>23216</v>
      </c>
      <c r="BC2793" s="3" t="s">
        <v>82</v>
      </c>
      <c r="BD2793" s="3" t="s">
        <v>70</v>
      </c>
      <c r="BF2793" s="3" t="s">
        <v>23216</v>
      </c>
      <c r="BG2793" s="3" t="s">
        <v>23217</v>
      </c>
    </row>
    <row r="2794" spans="1:59" ht="75" x14ac:dyDescent="0.25">
      <c r="A2794" s="2" t="s">
        <v>59</v>
      </c>
      <c r="B2794" s="2" t="s">
        <v>60</v>
      </c>
      <c r="C2794" s="2" t="s">
        <v>23218</v>
      </c>
      <c r="D2794" s="2" t="s">
        <v>23219</v>
      </c>
      <c r="E2794" s="2" t="s">
        <v>23220</v>
      </c>
      <c r="G2794" s="3" t="s">
        <v>63</v>
      </c>
      <c r="I2794" s="3" t="s">
        <v>63</v>
      </c>
      <c r="J2794" s="3" t="s">
        <v>63</v>
      </c>
      <c r="K2794" s="3" t="s">
        <v>64</v>
      </c>
      <c r="L2794" s="2" t="s">
        <v>23154</v>
      </c>
      <c r="M2794" s="2" t="s">
        <v>23221</v>
      </c>
      <c r="N2794" s="3" t="s">
        <v>65</v>
      </c>
      <c r="P2794" s="3" t="s">
        <v>90</v>
      </c>
      <c r="Q2794" s="2" t="s">
        <v>23222</v>
      </c>
      <c r="R2794" s="3" t="s">
        <v>67</v>
      </c>
      <c r="S2794" s="4">
        <v>3</v>
      </c>
      <c r="T2794" s="4">
        <v>3</v>
      </c>
      <c r="U2794" s="5" t="s">
        <v>364</v>
      </c>
      <c r="V2794" s="5" t="s">
        <v>364</v>
      </c>
      <c r="W2794" s="5" t="s">
        <v>69</v>
      </c>
      <c r="X2794" s="5" t="s">
        <v>69</v>
      </c>
      <c r="Y2794" s="4">
        <v>24</v>
      </c>
      <c r="Z2794" s="4">
        <v>2</v>
      </c>
      <c r="AA2794" s="4">
        <v>3</v>
      </c>
      <c r="AB2794" s="4">
        <v>1</v>
      </c>
      <c r="AC2794" s="4">
        <v>1</v>
      </c>
      <c r="AD2794" s="4">
        <v>10</v>
      </c>
      <c r="AE2794" s="4">
        <v>13</v>
      </c>
      <c r="AF2794" s="4">
        <v>0</v>
      </c>
      <c r="AG2794" s="4">
        <v>0</v>
      </c>
      <c r="AH2794" s="4">
        <v>9</v>
      </c>
      <c r="AI2794" s="4">
        <v>12</v>
      </c>
      <c r="AJ2794" s="4">
        <v>0</v>
      </c>
      <c r="AK2794" s="4">
        <v>1</v>
      </c>
      <c r="AL2794" s="4">
        <v>7</v>
      </c>
      <c r="AM2794" s="4">
        <v>9</v>
      </c>
      <c r="AN2794" s="4">
        <v>0</v>
      </c>
      <c r="AO2794" s="4">
        <v>0</v>
      </c>
      <c r="AP2794" s="4">
        <v>0</v>
      </c>
      <c r="AQ2794" s="4">
        <v>1</v>
      </c>
      <c r="AR2794" s="3" t="s">
        <v>63</v>
      </c>
      <c r="AS2794" s="3" t="s">
        <v>63</v>
      </c>
      <c r="AT2794" s="3" t="s">
        <v>63</v>
      </c>
      <c r="AV2794" s="6" t="str">
        <f>HYPERLINK("http://mcgill.on.worldcat.org/oclc/3988985","Catalog Record")</f>
        <v>Catalog Record</v>
      </c>
      <c r="AW2794" s="6" t="str">
        <f>HYPERLINK("http://www.worldcat.org/oclc/3988985","WorldCat Record")</f>
        <v>WorldCat Record</v>
      </c>
      <c r="AX2794" s="3" t="s">
        <v>23223</v>
      </c>
      <c r="AY2794" s="3" t="s">
        <v>23224</v>
      </c>
      <c r="AZ2794" s="3" t="s">
        <v>23225</v>
      </c>
      <c r="BA2794" s="3" t="s">
        <v>23225</v>
      </c>
      <c r="BB2794" s="3" t="s">
        <v>23226</v>
      </c>
      <c r="BC2794" s="3" t="s">
        <v>82</v>
      </c>
      <c r="BD2794" s="3" t="s">
        <v>70</v>
      </c>
      <c r="BF2794" s="3" t="s">
        <v>23226</v>
      </c>
      <c r="BG2794" s="3" t="s">
        <v>23227</v>
      </c>
    </row>
    <row r="2795" spans="1:59" ht="75" x14ac:dyDescent="0.25">
      <c r="A2795" s="2" t="s">
        <v>59</v>
      </c>
      <c r="B2795" s="2" t="s">
        <v>60</v>
      </c>
      <c r="C2795" s="2" t="s">
        <v>23228</v>
      </c>
      <c r="D2795" s="2" t="s">
        <v>23229</v>
      </c>
      <c r="E2795" s="2" t="s">
        <v>23230</v>
      </c>
      <c r="F2795" s="3" t="s">
        <v>582</v>
      </c>
      <c r="G2795" s="3" t="s">
        <v>62</v>
      </c>
      <c r="I2795" s="3" t="s">
        <v>63</v>
      </c>
      <c r="J2795" s="3" t="s">
        <v>63</v>
      </c>
      <c r="K2795" s="3" t="s">
        <v>64</v>
      </c>
      <c r="L2795" s="2" t="s">
        <v>23154</v>
      </c>
      <c r="M2795" s="2" t="s">
        <v>23231</v>
      </c>
      <c r="N2795" s="3" t="s">
        <v>161</v>
      </c>
      <c r="P2795" s="3" t="s">
        <v>90</v>
      </c>
      <c r="Q2795" s="2" t="s">
        <v>23232</v>
      </c>
      <c r="R2795" s="3" t="s">
        <v>67</v>
      </c>
      <c r="S2795" s="4">
        <v>5</v>
      </c>
      <c r="T2795" s="4">
        <v>40</v>
      </c>
      <c r="U2795" s="5" t="s">
        <v>23233</v>
      </c>
      <c r="V2795" s="5" t="s">
        <v>12947</v>
      </c>
      <c r="W2795" s="5" t="s">
        <v>69</v>
      </c>
      <c r="X2795" s="5" t="s">
        <v>69</v>
      </c>
      <c r="Y2795" s="4">
        <v>1</v>
      </c>
      <c r="Z2795" s="4">
        <v>1</v>
      </c>
      <c r="AA2795" s="4">
        <v>1</v>
      </c>
      <c r="AB2795" s="4">
        <v>1</v>
      </c>
      <c r="AC2795" s="4">
        <v>1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3" t="s">
        <v>63</v>
      </c>
      <c r="AS2795" s="3" t="s">
        <v>63</v>
      </c>
      <c r="AT2795" s="3" t="s">
        <v>63</v>
      </c>
      <c r="AV2795" s="6" t="str">
        <f>HYPERLINK("http://mcgill.on.worldcat.org/oclc/61506683","Catalog Record")</f>
        <v>Catalog Record</v>
      </c>
      <c r="AW2795" s="6" t="str">
        <f>HYPERLINK("http://www.worldcat.org/oclc/61506683","WorldCat Record")</f>
        <v>WorldCat Record</v>
      </c>
      <c r="AX2795" s="3" t="s">
        <v>23234</v>
      </c>
      <c r="AY2795" s="3" t="s">
        <v>23235</v>
      </c>
      <c r="AZ2795" s="3" t="s">
        <v>23236</v>
      </c>
      <c r="BA2795" s="3" t="s">
        <v>23236</v>
      </c>
      <c r="BB2795" s="3" t="s">
        <v>23237</v>
      </c>
      <c r="BC2795" s="3" t="s">
        <v>82</v>
      </c>
      <c r="BD2795" s="3" t="s">
        <v>70</v>
      </c>
      <c r="BE2795" s="3" t="s">
        <v>23238</v>
      </c>
      <c r="BF2795" s="3" t="s">
        <v>23237</v>
      </c>
      <c r="BG2795" s="3" t="s">
        <v>23239</v>
      </c>
    </row>
    <row r="2796" spans="1:59" ht="75" x14ac:dyDescent="0.25">
      <c r="A2796" s="2" t="s">
        <v>59</v>
      </c>
      <c r="B2796" s="2" t="s">
        <v>60</v>
      </c>
      <c r="C2796" s="2" t="s">
        <v>23228</v>
      </c>
      <c r="D2796" s="2" t="s">
        <v>23229</v>
      </c>
      <c r="E2796" s="2" t="s">
        <v>23230</v>
      </c>
      <c r="F2796" s="3" t="s">
        <v>4437</v>
      </c>
      <c r="G2796" s="3" t="s">
        <v>62</v>
      </c>
      <c r="I2796" s="3" t="s">
        <v>63</v>
      </c>
      <c r="J2796" s="3" t="s">
        <v>63</v>
      </c>
      <c r="K2796" s="3" t="s">
        <v>64</v>
      </c>
      <c r="L2796" s="2" t="s">
        <v>23154</v>
      </c>
      <c r="M2796" s="2" t="s">
        <v>23231</v>
      </c>
      <c r="N2796" s="3" t="s">
        <v>161</v>
      </c>
      <c r="P2796" s="3" t="s">
        <v>90</v>
      </c>
      <c r="Q2796" s="2" t="s">
        <v>23232</v>
      </c>
      <c r="R2796" s="3" t="s">
        <v>67</v>
      </c>
      <c r="S2796" s="4">
        <v>9</v>
      </c>
      <c r="T2796" s="4">
        <v>40</v>
      </c>
      <c r="U2796" s="5" t="s">
        <v>23240</v>
      </c>
      <c r="V2796" s="5" t="s">
        <v>12947</v>
      </c>
      <c r="W2796" s="5" t="s">
        <v>69</v>
      </c>
      <c r="X2796" s="5" t="s">
        <v>69</v>
      </c>
      <c r="Y2796" s="4">
        <v>1</v>
      </c>
      <c r="Z2796" s="4">
        <v>1</v>
      </c>
      <c r="AA2796" s="4">
        <v>1</v>
      </c>
      <c r="AB2796" s="4">
        <v>1</v>
      </c>
      <c r="AC2796" s="4">
        <v>1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3" t="s">
        <v>63</v>
      </c>
      <c r="AS2796" s="3" t="s">
        <v>63</v>
      </c>
      <c r="AT2796" s="3" t="s">
        <v>63</v>
      </c>
      <c r="AV2796" s="6" t="str">
        <f>HYPERLINK("http://mcgill.on.worldcat.org/oclc/61506683","Catalog Record")</f>
        <v>Catalog Record</v>
      </c>
      <c r="AW2796" s="6" t="str">
        <f>HYPERLINK("http://www.worldcat.org/oclc/61506683","WorldCat Record")</f>
        <v>WorldCat Record</v>
      </c>
      <c r="AX2796" s="3" t="s">
        <v>23234</v>
      </c>
      <c r="AY2796" s="3" t="s">
        <v>23235</v>
      </c>
      <c r="AZ2796" s="3" t="s">
        <v>23236</v>
      </c>
      <c r="BA2796" s="3" t="s">
        <v>23236</v>
      </c>
      <c r="BB2796" s="3" t="s">
        <v>23241</v>
      </c>
      <c r="BC2796" s="3" t="s">
        <v>82</v>
      </c>
      <c r="BD2796" s="3" t="s">
        <v>538</v>
      </c>
      <c r="BE2796" s="3" t="s">
        <v>23238</v>
      </c>
      <c r="BF2796" s="3" t="s">
        <v>23241</v>
      </c>
      <c r="BG2796" s="3" t="s">
        <v>23242</v>
      </c>
    </row>
    <row r="2797" spans="1:59" ht="75" x14ac:dyDescent="0.25">
      <c r="A2797" s="2" t="s">
        <v>59</v>
      </c>
      <c r="B2797" s="2" t="s">
        <v>60</v>
      </c>
      <c r="C2797" s="2" t="s">
        <v>23228</v>
      </c>
      <c r="D2797" s="2" t="s">
        <v>23229</v>
      </c>
      <c r="E2797" s="2" t="s">
        <v>23230</v>
      </c>
      <c r="F2797" s="3" t="s">
        <v>4439</v>
      </c>
      <c r="G2797" s="3" t="s">
        <v>62</v>
      </c>
      <c r="I2797" s="3" t="s">
        <v>63</v>
      </c>
      <c r="J2797" s="3" t="s">
        <v>63</v>
      </c>
      <c r="K2797" s="3" t="s">
        <v>64</v>
      </c>
      <c r="L2797" s="2" t="s">
        <v>23154</v>
      </c>
      <c r="M2797" s="2" t="s">
        <v>23231</v>
      </c>
      <c r="N2797" s="3" t="s">
        <v>161</v>
      </c>
      <c r="P2797" s="3" t="s">
        <v>90</v>
      </c>
      <c r="Q2797" s="2" t="s">
        <v>23232</v>
      </c>
      <c r="R2797" s="3" t="s">
        <v>67</v>
      </c>
      <c r="S2797" s="4">
        <v>8</v>
      </c>
      <c r="T2797" s="4">
        <v>40</v>
      </c>
      <c r="U2797" s="5" t="s">
        <v>12947</v>
      </c>
      <c r="V2797" s="5" t="s">
        <v>12947</v>
      </c>
      <c r="W2797" s="5" t="s">
        <v>69</v>
      </c>
      <c r="X2797" s="5" t="s">
        <v>69</v>
      </c>
      <c r="Y2797" s="4">
        <v>1</v>
      </c>
      <c r="Z2797" s="4">
        <v>1</v>
      </c>
      <c r="AA2797" s="4">
        <v>1</v>
      </c>
      <c r="AB2797" s="4">
        <v>1</v>
      </c>
      <c r="AC2797" s="4">
        <v>1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3" t="s">
        <v>63</v>
      </c>
      <c r="AS2797" s="3" t="s">
        <v>63</v>
      </c>
      <c r="AT2797" s="3" t="s">
        <v>63</v>
      </c>
      <c r="AV2797" s="6" t="str">
        <f>HYPERLINK("http://mcgill.on.worldcat.org/oclc/61506683","Catalog Record")</f>
        <v>Catalog Record</v>
      </c>
      <c r="AW2797" s="6" t="str">
        <f>HYPERLINK("http://www.worldcat.org/oclc/61506683","WorldCat Record")</f>
        <v>WorldCat Record</v>
      </c>
      <c r="AX2797" s="3" t="s">
        <v>23234</v>
      </c>
      <c r="AY2797" s="3" t="s">
        <v>23235</v>
      </c>
      <c r="AZ2797" s="3" t="s">
        <v>23236</v>
      </c>
      <c r="BA2797" s="3" t="s">
        <v>23236</v>
      </c>
      <c r="BB2797" s="3" t="s">
        <v>23243</v>
      </c>
      <c r="BC2797" s="3" t="s">
        <v>82</v>
      </c>
      <c r="BD2797" s="3" t="s">
        <v>70</v>
      </c>
      <c r="BE2797" s="3" t="s">
        <v>23238</v>
      </c>
      <c r="BF2797" s="3" t="s">
        <v>23243</v>
      </c>
      <c r="BG2797" s="3" t="s">
        <v>23244</v>
      </c>
    </row>
    <row r="2798" spans="1:59" ht="75" x14ac:dyDescent="0.25">
      <c r="A2798" s="2" t="s">
        <v>59</v>
      </c>
      <c r="B2798" s="2" t="s">
        <v>60</v>
      </c>
      <c r="C2798" s="2" t="s">
        <v>23228</v>
      </c>
      <c r="D2798" s="2" t="s">
        <v>23229</v>
      </c>
      <c r="E2798" s="2" t="s">
        <v>23230</v>
      </c>
      <c r="F2798" s="3" t="s">
        <v>4032</v>
      </c>
      <c r="G2798" s="3" t="s">
        <v>62</v>
      </c>
      <c r="I2798" s="3" t="s">
        <v>63</v>
      </c>
      <c r="J2798" s="3" t="s">
        <v>63</v>
      </c>
      <c r="K2798" s="3" t="s">
        <v>64</v>
      </c>
      <c r="L2798" s="2" t="s">
        <v>23154</v>
      </c>
      <c r="M2798" s="2" t="s">
        <v>23231</v>
      </c>
      <c r="N2798" s="3" t="s">
        <v>161</v>
      </c>
      <c r="P2798" s="3" t="s">
        <v>90</v>
      </c>
      <c r="Q2798" s="2" t="s">
        <v>23232</v>
      </c>
      <c r="R2798" s="3" t="s">
        <v>67</v>
      </c>
      <c r="S2798" s="4">
        <v>10</v>
      </c>
      <c r="T2798" s="4">
        <v>40</v>
      </c>
      <c r="U2798" s="5" t="s">
        <v>23245</v>
      </c>
      <c r="V2798" s="5" t="s">
        <v>12947</v>
      </c>
      <c r="W2798" s="5" t="s">
        <v>69</v>
      </c>
      <c r="X2798" s="5" t="s">
        <v>69</v>
      </c>
      <c r="Y2798" s="4">
        <v>1</v>
      </c>
      <c r="Z2798" s="4">
        <v>1</v>
      </c>
      <c r="AA2798" s="4">
        <v>1</v>
      </c>
      <c r="AB2798" s="4">
        <v>1</v>
      </c>
      <c r="AC2798" s="4">
        <v>1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3" t="s">
        <v>63</v>
      </c>
      <c r="AS2798" s="3" t="s">
        <v>63</v>
      </c>
      <c r="AT2798" s="3" t="s">
        <v>63</v>
      </c>
      <c r="AV2798" s="6" t="str">
        <f>HYPERLINK("http://mcgill.on.worldcat.org/oclc/61506683","Catalog Record")</f>
        <v>Catalog Record</v>
      </c>
      <c r="AW2798" s="6" t="str">
        <f>HYPERLINK("http://www.worldcat.org/oclc/61506683","WorldCat Record")</f>
        <v>WorldCat Record</v>
      </c>
      <c r="AX2798" s="3" t="s">
        <v>23234</v>
      </c>
      <c r="AY2798" s="3" t="s">
        <v>23235</v>
      </c>
      <c r="AZ2798" s="3" t="s">
        <v>23236</v>
      </c>
      <c r="BA2798" s="3" t="s">
        <v>23236</v>
      </c>
      <c r="BB2798" s="3" t="s">
        <v>23246</v>
      </c>
      <c r="BC2798" s="3" t="s">
        <v>82</v>
      </c>
      <c r="BD2798" s="3" t="s">
        <v>70</v>
      </c>
      <c r="BE2798" s="3" t="s">
        <v>23238</v>
      </c>
      <c r="BF2798" s="3" t="s">
        <v>23246</v>
      </c>
      <c r="BG2798" s="3" t="s">
        <v>23247</v>
      </c>
    </row>
    <row r="2799" spans="1:59" ht="75" x14ac:dyDescent="0.25">
      <c r="A2799" s="2" t="s">
        <v>59</v>
      </c>
      <c r="B2799" s="2" t="s">
        <v>60</v>
      </c>
      <c r="C2799" s="2" t="s">
        <v>23228</v>
      </c>
      <c r="D2799" s="2" t="s">
        <v>23229</v>
      </c>
      <c r="E2799" s="2" t="s">
        <v>23230</v>
      </c>
      <c r="F2799" s="3" t="s">
        <v>571</v>
      </c>
      <c r="G2799" s="3" t="s">
        <v>62</v>
      </c>
      <c r="I2799" s="3" t="s">
        <v>63</v>
      </c>
      <c r="J2799" s="3" t="s">
        <v>63</v>
      </c>
      <c r="K2799" s="3" t="s">
        <v>64</v>
      </c>
      <c r="L2799" s="2" t="s">
        <v>23154</v>
      </c>
      <c r="M2799" s="2" t="s">
        <v>23231</v>
      </c>
      <c r="N2799" s="3" t="s">
        <v>161</v>
      </c>
      <c r="P2799" s="3" t="s">
        <v>90</v>
      </c>
      <c r="Q2799" s="2" t="s">
        <v>23232</v>
      </c>
      <c r="R2799" s="3" t="s">
        <v>67</v>
      </c>
      <c r="S2799" s="4">
        <v>8</v>
      </c>
      <c r="T2799" s="4">
        <v>40</v>
      </c>
      <c r="U2799" s="5" t="s">
        <v>23233</v>
      </c>
      <c r="V2799" s="5" t="s">
        <v>12947</v>
      </c>
      <c r="W2799" s="5" t="s">
        <v>69</v>
      </c>
      <c r="X2799" s="5" t="s">
        <v>69</v>
      </c>
      <c r="Y2799" s="4">
        <v>1</v>
      </c>
      <c r="Z2799" s="4">
        <v>1</v>
      </c>
      <c r="AA2799" s="4">
        <v>1</v>
      </c>
      <c r="AB2799" s="4">
        <v>1</v>
      </c>
      <c r="AC2799" s="4">
        <v>1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3" t="s">
        <v>63</v>
      </c>
      <c r="AS2799" s="3" t="s">
        <v>63</v>
      </c>
      <c r="AT2799" s="3" t="s">
        <v>63</v>
      </c>
      <c r="AV2799" s="6" t="str">
        <f>HYPERLINK("http://mcgill.on.worldcat.org/oclc/61506683","Catalog Record")</f>
        <v>Catalog Record</v>
      </c>
      <c r="AW2799" s="6" t="str">
        <f>HYPERLINK("http://www.worldcat.org/oclc/61506683","WorldCat Record")</f>
        <v>WorldCat Record</v>
      </c>
      <c r="AX2799" s="3" t="s">
        <v>23234</v>
      </c>
      <c r="AY2799" s="3" t="s">
        <v>23235</v>
      </c>
      <c r="AZ2799" s="3" t="s">
        <v>23236</v>
      </c>
      <c r="BA2799" s="3" t="s">
        <v>23236</v>
      </c>
      <c r="BB2799" s="3" t="s">
        <v>23248</v>
      </c>
      <c r="BC2799" s="3" t="s">
        <v>82</v>
      </c>
      <c r="BD2799" s="3" t="s">
        <v>70</v>
      </c>
      <c r="BE2799" s="3" t="s">
        <v>23238</v>
      </c>
      <c r="BF2799" s="3" t="s">
        <v>23248</v>
      </c>
      <c r="BG2799" s="3" t="s">
        <v>23249</v>
      </c>
    </row>
    <row r="2800" spans="1:59" ht="75" x14ac:dyDescent="0.25">
      <c r="A2800" s="2" t="s">
        <v>59</v>
      </c>
      <c r="B2800" s="2" t="s">
        <v>60</v>
      </c>
      <c r="C2800" s="2" t="s">
        <v>23250</v>
      </c>
      <c r="D2800" s="2" t="s">
        <v>23251</v>
      </c>
      <c r="E2800" s="2" t="s">
        <v>23252</v>
      </c>
      <c r="F2800" s="3" t="s">
        <v>582</v>
      </c>
      <c r="G2800" s="3" t="s">
        <v>62</v>
      </c>
      <c r="I2800" s="3" t="s">
        <v>63</v>
      </c>
      <c r="J2800" s="3" t="s">
        <v>62</v>
      </c>
      <c r="K2800" s="3" t="s">
        <v>64</v>
      </c>
      <c r="L2800" s="2" t="s">
        <v>23154</v>
      </c>
      <c r="M2800" s="2" t="s">
        <v>23253</v>
      </c>
      <c r="N2800" s="3" t="s">
        <v>204</v>
      </c>
      <c r="P2800" s="3" t="s">
        <v>90</v>
      </c>
      <c r="R2800" s="3" t="s">
        <v>67</v>
      </c>
      <c r="S2800" s="4">
        <v>0</v>
      </c>
      <c r="T2800" s="4">
        <v>5</v>
      </c>
      <c r="V2800" s="5" t="s">
        <v>23254</v>
      </c>
      <c r="W2800" s="5" t="s">
        <v>69</v>
      </c>
      <c r="X2800" s="5" t="s">
        <v>69</v>
      </c>
      <c r="Y2800" s="4">
        <v>33</v>
      </c>
      <c r="Z2800" s="4">
        <v>2</v>
      </c>
      <c r="AA2800" s="4">
        <v>10</v>
      </c>
      <c r="AB2800" s="4">
        <v>1</v>
      </c>
      <c r="AC2800" s="4">
        <v>1</v>
      </c>
      <c r="AD2800" s="4">
        <v>15</v>
      </c>
      <c r="AE2800" s="4">
        <v>67</v>
      </c>
      <c r="AF2800" s="4">
        <v>0</v>
      </c>
      <c r="AG2800" s="4">
        <v>0</v>
      </c>
      <c r="AH2800" s="4">
        <v>14</v>
      </c>
      <c r="AI2800" s="4">
        <v>65</v>
      </c>
      <c r="AJ2800" s="4">
        <v>1</v>
      </c>
      <c r="AK2800" s="4">
        <v>7</v>
      </c>
      <c r="AL2800" s="4">
        <v>9</v>
      </c>
      <c r="AM2800" s="4">
        <v>46</v>
      </c>
      <c r="AN2800" s="4">
        <v>0</v>
      </c>
      <c r="AO2800" s="4">
        <v>0</v>
      </c>
      <c r="AP2800" s="4">
        <v>1</v>
      </c>
      <c r="AQ2800" s="4">
        <v>7</v>
      </c>
      <c r="AR2800" s="3" t="s">
        <v>63</v>
      </c>
      <c r="AS2800" s="3" t="s">
        <v>63</v>
      </c>
      <c r="AT2800" s="3" t="s">
        <v>62</v>
      </c>
      <c r="AU2800" s="6" t="str">
        <f>HYPERLINK("http://catalog.hathitrust.org/Record/003966005","HathiTrust Record")</f>
        <v>HathiTrust Record</v>
      </c>
      <c r="AV2800" s="6" t="str">
        <f>HYPERLINK("http://mcgill.on.worldcat.org/oclc/35792132","Catalog Record")</f>
        <v>Catalog Record</v>
      </c>
      <c r="AW2800" s="6" t="str">
        <f>HYPERLINK("http://www.worldcat.org/oclc/35792132","WorldCat Record")</f>
        <v>WorldCat Record</v>
      </c>
      <c r="AX2800" s="3" t="s">
        <v>23255</v>
      </c>
      <c r="AY2800" s="3" t="s">
        <v>23256</v>
      </c>
      <c r="AZ2800" s="3" t="s">
        <v>23257</v>
      </c>
      <c r="BA2800" s="3" t="s">
        <v>23257</v>
      </c>
      <c r="BB2800" s="3" t="s">
        <v>23258</v>
      </c>
      <c r="BC2800" s="3" t="s">
        <v>82</v>
      </c>
      <c r="BD2800" s="3" t="s">
        <v>70</v>
      </c>
      <c r="BE2800" s="3" t="s">
        <v>23259</v>
      </c>
      <c r="BF2800" s="3" t="s">
        <v>23258</v>
      </c>
      <c r="BG2800" s="3" t="s">
        <v>23260</v>
      </c>
    </row>
    <row r="2801" spans="1:59" ht="75" x14ac:dyDescent="0.25">
      <c r="A2801" s="2" t="s">
        <v>59</v>
      </c>
      <c r="B2801" s="2" t="s">
        <v>60</v>
      </c>
      <c r="C2801" s="2" t="s">
        <v>23250</v>
      </c>
      <c r="D2801" s="2" t="s">
        <v>23251</v>
      </c>
      <c r="E2801" s="2" t="s">
        <v>23252</v>
      </c>
      <c r="F2801" s="3" t="s">
        <v>571</v>
      </c>
      <c r="G2801" s="3" t="s">
        <v>62</v>
      </c>
      <c r="I2801" s="3" t="s">
        <v>63</v>
      </c>
      <c r="J2801" s="3" t="s">
        <v>62</v>
      </c>
      <c r="K2801" s="3" t="s">
        <v>64</v>
      </c>
      <c r="L2801" s="2" t="s">
        <v>23154</v>
      </c>
      <c r="M2801" s="2" t="s">
        <v>23253</v>
      </c>
      <c r="N2801" s="3" t="s">
        <v>204</v>
      </c>
      <c r="P2801" s="3" t="s">
        <v>90</v>
      </c>
      <c r="R2801" s="3" t="s">
        <v>67</v>
      </c>
      <c r="S2801" s="4">
        <v>5</v>
      </c>
      <c r="T2801" s="4">
        <v>5</v>
      </c>
      <c r="U2801" s="5" t="s">
        <v>23254</v>
      </c>
      <c r="V2801" s="5" t="s">
        <v>23254</v>
      </c>
      <c r="W2801" s="5" t="s">
        <v>69</v>
      </c>
      <c r="X2801" s="5" t="s">
        <v>69</v>
      </c>
      <c r="Y2801" s="4">
        <v>33</v>
      </c>
      <c r="Z2801" s="4">
        <v>2</v>
      </c>
      <c r="AA2801" s="4">
        <v>10</v>
      </c>
      <c r="AB2801" s="4">
        <v>1</v>
      </c>
      <c r="AC2801" s="4">
        <v>1</v>
      </c>
      <c r="AD2801" s="4">
        <v>15</v>
      </c>
      <c r="AE2801" s="4">
        <v>67</v>
      </c>
      <c r="AF2801" s="4">
        <v>0</v>
      </c>
      <c r="AG2801" s="4">
        <v>0</v>
      </c>
      <c r="AH2801" s="4">
        <v>14</v>
      </c>
      <c r="AI2801" s="4">
        <v>65</v>
      </c>
      <c r="AJ2801" s="4">
        <v>1</v>
      </c>
      <c r="AK2801" s="4">
        <v>7</v>
      </c>
      <c r="AL2801" s="4">
        <v>9</v>
      </c>
      <c r="AM2801" s="4">
        <v>46</v>
      </c>
      <c r="AN2801" s="4">
        <v>0</v>
      </c>
      <c r="AO2801" s="4">
        <v>0</v>
      </c>
      <c r="AP2801" s="4">
        <v>1</v>
      </c>
      <c r="AQ2801" s="4">
        <v>7</v>
      </c>
      <c r="AR2801" s="3" t="s">
        <v>63</v>
      </c>
      <c r="AS2801" s="3" t="s">
        <v>63</v>
      </c>
      <c r="AT2801" s="3" t="s">
        <v>62</v>
      </c>
      <c r="AU2801" s="6" t="str">
        <f>HYPERLINK("http://catalog.hathitrust.org/Record/003966005","HathiTrust Record")</f>
        <v>HathiTrust Record</v>
      </c>
      <c r="AV2801" s="6" t="str">
        <f>HYPERLINK("http://mcgill.on.worldcat.org/oclc/35792132","Catalog Record")</f>
        <v>Catalog Record</v>
      </c>
      <c r="AW2801" s="6" t="str">
        <f>HYPERLINK("http://www.worldcat.org/oclc/35792132","WorldCat Record")</f>
        <v>WorldCat Record</v>
      </c>
      <c r="AX2801" s="3" t="s">
        <v>23255</v>
      </c>
      <c r="AY2801" s="3" t="s">
        <v>23256</v>
      </c>
      <c r="AZ2801" s="3" t="s">
        <v>23257</v>
      </c>
      <c r="BA2801" s="3" t="s">
        <v>23257</v>
      </c>
      <c r="BB2801" s="3" t="s">
        <v>23261</v>
      </c>
      <c r="BC2801" s="3" t="s">
        <v>82</v>
      </c>
      <c r="BD2801" s="3" t="s">
        <v>70</v>
      </c>
      <c r="BE2801" s="3" t="s">
        <v>23259</v>
      </c>
      <c r="BF2801" s="3" t="s">
        <v>23261</v>
      </c>
      <c r="BG2801" s="3" t="s">
        <v>23262</v>
      </c>
    </row>
    <row r="2802" spans="1:59" ht="75" x14ac:dyDescent="0.25">
      <c r="A2802" s="2" t="s">
        <v>59</v>
      </c>
      <c r="B2802" s="2" t="s">
        <v>60</v>
      </c>
      <c r="C2802" s="2" t="s">
        <v>23263</v>
      </c>
      <c r="D2802" s="2" t="s">
        <v>23264</v>
      </c>
      <c r="E2802" s="2" t="s">
        <v>23265</v>
      </c>
      <c r="G2802" s="3" t="s">
        <v>63</v>
      </c>
      <c r="I2802" s="3" t="s">
        <v>63</v>
      </c>
      <c r="J2802" s="3" t="s">
        <v>63</v>
      </c>
      <c r="K2802" s="3" t="s">
        <v>64</v>
      </c>
      <c r="L2802" s="2" t="s">
        <v>23154</v>
      </c>
      <c r="M2802" s="2" t="s">
        <v>23266</v>
      </c>
      <c r="N2802" s="3" t="s">
        <v>814</v>
      </c>
      <c r="P2802" s="3" t="s">
        <v>66</v>
      </c>
      <c r="R2802" s="3" t="s">
        <v>67</v>
      </c>
      <c r="S2802" s="4">
        <v>10</v>
      </c>
      <c r="T2802" s="4">
        <v>10</v>
      </c>
      <c r="U2802" s="5" t="s">
        <v>302</v>
      </c>
      <c r="V2802" s="5" t="s">
        <v>302</v>
      </c>
      <c r="W2802" s="5" t="s">
        <v>69</v>
      </c>
      <c r="X2802" s="5" t="s">
        <v>69</v>
      </c>
      <c r="Y2802" s="4">
        <v>26</v>
      </c>
      <c r="Z2802" s="4">
        <v>2</v>
      </c>
      <c r="AA2802" s="4">
        <v>2</v>
      </c>
      <c r="AB2802" s="4">
        <v>1</v>
      </c>
      <c r="AC2802" s="4">
        <v>1</v>
      </c>
      <c r="AD2802" s="4">
        <v>10</v>
      </c>
      <c r="AE2802" s="4">
        <v>10</v>
      </c>
      <c r="AF2802" s="4">
        <v>0</v>
      </c>
      <c r="AG2802" s="4">
        <v>0</v>
      </c>
      <c r="AH2802" s="4">
        <v>9</v>
      </c>
      <c r="AI2802" s="4">
        <v>9</v>
      </c>
      <c r="AJ2802" s="4">
        <v>1</v>
      </c>
      <c r="AK2802" s="4">
        <v>1</v>
      </c>
      <c r="AL2802" s="4">
        <v>6</v>
      </c>
      <c r="AM2802" s="4">
        <v>6</v>
      </c>
      <c r="AN2802" s="4">
        <v>0</v>
      </c>
      <c r="AO2802" s="4">
        <v>0</v>
      </c>
      <c r="AP2802" s="4">
        <v>1</v>
      </c>
      <c r="AQ2802" s="4">
        <v>1</v>
      </c>
      <c r="AR2802" s="3" t="s">
        <v>63</v>
      </c>
      <c r="AS2802" s="3" t="s">
        <v>63</v>
      </c>
      <c r="AT2802" s="3" t="s">
        <v>63</v>
      </c>
      <c r="AV2802" s="6" t="str">
        <f>HYPERLINK("http://mcgill.on.worldcat.org/oclc/5341246","Catalog Record")</f>
        <v>Catalog Record</v>
      </c>
      <c r="AW2802" s="6" t="str">
        <f>HYPERLINK("http://www.worldcat.org/oclc/5341246","WorldCat Record")</f>
        <v>WorldCat Record</v>
      </c>
      <c r="AX2802" s="3" t="s">
        <v>23267</v>
      </c>
      <c r="AY2802" s="3" t="s">
        <v>23268</v>
      </c>
      <c r="AZ2802" s="3" t="s">
        <v>23269</v>
      </c>
      <c r="BA2802" s="3" t="s">
        <v>23269</v>
      </c>
      <c r="BB2802" s="3" t="s">
        <v>23270</v>
      </c>
      <c r="BC2802" s="3" t="s">
        <v>82</v>
      </c>
      <c r="BD2802" s="3" t="s">
        <v>70</v>
      </c>
      <c r="BE2802" s="3" t="s">
        <v>23271</v>
      </c>
      <c r="BF2802" s="3" t="s">
        <v>23270</v>
      </c>
      <c r="BG2802" s="3" t="s">
        <v>23272</v>
      </c>
    </row>
    <row r="2803" spans="1:59" ht="75" x14ac:dyDescent="0.25">
      <c r="A2803" s="2" t="s">
        <v>59</v>
      </c>
      <c r="B2803" s="2" t="s">
        <v>60</v>
      </c>
      <c r="C2803" s="2" t="s">
        <v>23273</v>
      </c>
      <c r="D2803" s="2" t="s">
        <v>23274</v>
      </c>
      <c r="E2803" s="2" t="s">
        <v>23275</v>
      </c>
      <c r="G2803" s="3" t="s">
        <v>63</v>
      </c>
      <c r="I2803" s="3" t="s">
        <v>63</v>
      </c>
      <c r="J2803" s="3" t="s">
        <v>63</v>
      </c>
      <c r="K2803" s="3" t="s">
        <v>64</v>
      </c>
      <c r="L2803" s="2" t="s">
        <v>23154</v>
      </c>
      <c r="M2803" s="2" t="s">
        <v>23276</v>
      </c>
      <c r="N2803" s="3" t="s">
        <v>2535</v>
      </c>
      <c r="P2803" s="3" t="s">
        <v>66</v>
      </c>
      <c r="R2803" s="3" t="s">
        <v>67</v>
      </c>
      <c r="S2803" s="4">
        <v>13</v>
      </c>
      <c r="T2803" s="4">
        <v>13</v>
      </c>
      <c r="U2803" s="5" t="s">
        <v>23277</v>
      </c>
      <c r="V2803" s="5" t="s">
        <v>23277</v>
      </c>
      <c r="W2803" s="5" t="s">
        <v>69</v>
      </c>
      <c r="X2803" s="5" t="s">
        <v>69</v>
      </c>
      <c r="Y2803" s="4">
        <v>366</v>
      </c>
      <c r="Z2803" s="4">
        <v>25</v>
      </c>
      <c r="AA2803" s="4">
        <v>25</v>
      </c>
      <c r="AB2803" s="4">
        <v>2</v>
      </c>
      <c r="AC2803" s="4">
        <v>2</v>
      </c>
      <c r="AD2803" s="4">
        <v>101</v>
      </c>
      <c r="AE2803" s="4">
        <v>101</v>
      </c>
      <c r="AF2803" s="4">
        <v>1</v>
      </c>
      <c r="AG2803" s="4">
        <v>1</v>
      </c>
      <c r="AH2803" s="4">
        <v>89</v>
      </c>
      <c r="AI2803" s="4">
        <v>89</v>
      </c>
      <c r="AJ2803" s="4">
        <v>17</v>
      </c>
      <c r="AK2803" s="4">
        <v>17</v>
      </c>
      <c r="AL2803" s="4">
        <v>50</v>
      </c>
      <c r="AM2803" s="4">
        <v>50</v>
      </c>
      <c r="AN2803" s="4">
        <v>0</v>
      </c>
      <c r="AO2803" s="4">
        <v>0</v>
      </c>
      <c r="AP2803" s="4">
        <v>18</v>
      </c>
      <c r="AQ2803" s="4">
        <v>18</v>
      </c>
      <c r="AR2803" s="3" t="s">
        <v>63</v>
      </c>
      <c r="AS2803" s="3" t="s">
        <v>63</v>
      </c>
      <c r="AT2803" s="3" t="s">
        <v>62</v>
      </c>
      <c r="AU2803" s="6" t="str">
        <f>HYPERLINK("http://catalog.hathitrust.org/Record/001223774","HathiTrust Record")</f>
        <v>HathiTrust Record</v>
      </c>
      <c r="AV2803" s="6" t="str">
        <f>HYPERLINK("http://mcgill.on.worldcat.org/oclc/745587","Catalog Record")</f>
        <v>Catalog Record</v>
      </c>
      <c r="AW2803" s="6" t="str">
        <f>HYPERLINK("http://www.worldcat.org/oclc/745587","WorldCat Record")</f>
        <v>WorldCat Record</v>
      </c>
      <c r="AX2803" s="3" t="s">
        <v>23278</v>
      </c>
      <c r="AY2803" s="3" t="s">
        <v>23279</v>
      </c>
      <c r="AZ2803" s="3" t="s">
        <v>23280</v>
      </c>
      <c r="BA2803" s="3" t="s">
        <v>23280</v>
      </c>
      <c r="BB2803" s="3" t="s">
        <v>23281</v>
      </c>
      <c r="BC2803" s="3" t="s">
        <v>82</v>
      </c>
      <c r="BD2803" s="3" t="s">
        <v>70</v>
      </c>
      <c r="BE2803" s="3" t="s">
        <v>23282</v>
      </c>
      <c r="BF2803" s="3" t="s">
        <v>23281</v>
      </c>
      <c r="BG2803" s="3" t="s">
        <v>23283</v>
      </c>
    </row>
    <row r="2804" spans="1:59" ht="60" x14ac:dyDescent="0.25">
      <c r="A2804" s="2" t="s">
        <v>59</v>
      </c>
      <c r="B2804" s="2" t="s">
        <v>60</v>
      </c>
      <c r="C2804" s="2" t="s">
        <v>23284</v>
      </c>
      <c r="D2804" s="2" t="s">
        <v>23285</v>
      </c>
      <c r="E2804" s="2" t="s">
        <v>23286</v>
      </c>
      <c r="G2804" s="3" t="s">
        <v>63</v>
      </c>
      <c r="I2804" s="3" t="s">
        <v>62</v>
      </c>
      <c r="J2804" s="3" t="s">
        <v>63</v>
      </c>
      <c r="K2804" s="3" t="s">
        <v>64</v>
      </c>
      <c r="L2804" s="2" t="s">
        <v>23154</v>
      </c>
      <c r="M2804" s="2" t="s">
        <v>23287</v>
      </c>
      <c r="N2804" s="3" t="s">
        <v>1916</v>
      </c>
      <c r="P2804" s="3" t="s">
        <v>66</v>
      </c>
      <c r="R2804" s="3" t="s">
        <v>67</v>
      </c>
      <c r="S2804" s="4">
        <v>6</v>
      </c>
      <c r="T2804" s="4">
        <v>11</v>
      </c>
      <c r="U2804" s="5" t="s">
        <v>23288</v>
      </c>
      <c r="V2804" s="5" t="s">
        <v>364</v>
      </c>
      <c r="W2804" s="5" t="s">
        <v>69</v>
      </c>
      <c r="X2804" s="5" t="s">
        <v>69</v>
      </c>
      <c r="Y2804" s="4">
        <v>118</v>
      </c>
      <c r="Z2804" s="4">
        <v>12</v>
      </c>
      <c r="AA2804" s="4">
        <v>78</v>
      </c>
      <c r="AB2804" s="4">
        <v>1</v>
      </c>
      <c r="AC2804" s="4">
        <v>14</v>
      </c>
      <c r="AD2804" s="4">
        <v>49</v>
      </c>
      <c r="AE2804" s="4">
        <v>134</v>
      </c>
      <c r="AF2804" s="4">
        <v>0</v>
      </c>
      <c r="AG2804" s="4">
        <v>8</v>
      </c>
      <c r="AH2804" s="4">
        <v>45</v>
      </c>
      <c r="AI2804" s="4">
        <v>104</v>
      </c>
      <c r="AJ2804" s="4">
        <v>9</v>
      </c>
      <c r="AK2804" s="4">
        <v>24</v>
      </c>
      <c r="AL2804" s="4">
        <v>29</v>
      </c>
      <c r="AM2804" s="4">
        <v>57</v>
      </c>
      <c r="AN2804" s="4">
        <v>0</v>
      </c>
      <c r="AO2804" s="4">
        <v>0</v>
      </c>
      <c r="AP2804" s="4">
        <v>10</v>
      </c>
      <c r="AQ2804" s="4">
        <v>39</v>
      </c>
      <c r="AR2804" s="3" t="s">
        <v>63</v>
      </c>
      <c r="AS2804" s="3" t="s">
        <v>63</v>
      </c>
      <c r="AT2804" s="3" t="s">
        <v>62</v>
      </c>
      <c r="AU2804" s="6" t="str">
        <f>HYPERLINK("http://catalog.hathitrust.org/Record/007103228","HathiTrust Record")</f>
        <v>HathiTrust Record</v>
      </c>
      <c r="AV2804" s="6" t="str">
        <f>HYPERLINK("http://mcgill.on.worldcat.org/oclc/11928748","Catalog Record")</f>
        <v>Catalog Record</v>
      </c>
      <c r="AW2804" s="6" t="str">
        <f>HYPERLINK("http://www.worldcat.org/oclc/11928748","WorldCat Record")</f>
        <v>WorldCat Record</v>
      </c>
      <c r="AX2804" s="3" t="s">
        <v>23289</v>
      </c>
      <c r="AY2804" s="3" t="s">
        <v>23290</v>
      </c>
      <c r="AZ2804" s="3" t="s">
        <v>23291</v>
      </c>
      <c r="BA2804" s="3" t="s">
        <v>23291</v>
      </c>
      <c r="BB2804" s="3" t="s">
        <v>23292</v>
      </c>
      <c r="BC2804" s="3" t="s">
        <v>82</v>
      </c>
      <c r="BD2804" s="3" t="s">
        <v>70</v>
      </c>
      <c r="BE2804" s="3" t="s">
        <v>23293</v>
      </c>
      <c r="BF2804" s="3" t="s">
        <v>23292</v>
      </c>
      <c r="BG2804" s="3" t="s">
        <v>23294</v>
      </c>
    </row>
    <row r="2805" spans="1:59" ht="60" x14ac:dyDescent="0.25">
      <c r="A2805" s="2" t="s">
        <v>59</v>
      </c>
      <c r="B2805" s="2" t="s">
        <v>60</v>
      </c>
      <c r="C2805" s="2" t="s">
        <v>23284</v>
      </c>
      <c r="D2805" s="2" t="s">
        <v>23285</v>
      </c>
      <c r="E2805" s="2" t="s">
        <v>23286</v>
      </c>
      <c r="G2805" s="3" t="s">
        <v>63</v>
      </c>
      <c r="I2805" s="3" t="s">
        <v>62</v>
      </c>
      <c r="J2805" s="3" t="s">
        <v>63</v>
      </c>
      <c r="K2805" s="3" t="s">
        <v>64</v>
      </c>
      <c r="L2805" s="2" t="s">
        <v>23154</v>
      </c>
      <c r="M2805" s="2" t="s">
        <v>23287</v>
      </c>
      <c r="N2805" s="3" t="s">
        <v>1916</v>
      </c>
      <c r="P2805" s="3" t="s">
        <v>66</v>
      </c>
      <c r="R2805" s="3" t="s">
        <v>67</v>
      </c>
      <c r="S2805" s="4">
        <v>5</v>
      </c>
      <c r="T2805" s="4">
        <v>11</v>
      </c>
      <c r="U2805" s="5" t="s">
        <v>364</v>
      </c>
      <c r="V2805" s="5" t="s">
        <v>364</v>
      </c>
      <c r="W2805" s="5" t="s">
        <v>69</v>
      </c>
      <c r="X2805" s="5" t="s">
        <v>69</v>
      </c>
      <c r="Y2805" s="4">
        <v>118</v>
      </c>
      <c r="Z2805" s="4">
        <v>12</v>
      </c>
      <c r="AA2805" s="4">
        <v>78</v>
      </c>
      <c r="AB2805" s="4">
        <v>1</v>
      </c>
      <c r="AC2805" s="4">
        <v>14</v>
      </c>
      <c r="AD2805" s="4">
        <v>49</v>
      </c>
      <c r="AE2805" s="4">
        <v>134</v>
      </c>
      <c r="AF2805" s="4">
        <v>0</v>
      </c>
      <c r="AG2805" s="4">
        <v>8</v>
      </c>
      <c r="AH2805" s="4">
        <v>45</v>
      </c>
      <c r="AI2805" s="4">
        <v>104</v>
      </c>
      <c r="AJ2805" s="4">
        <v>9</v>
      </c>
      <c r="AK2805" s="4">
        <v>24</v>
      </c>
      <c r="AL2805" s="4">
        <v>29</v>
      </c>
      <c r="AM2805" s="4">
        <v>57</v>
      </c>
      <c r="AN2805" s="4">
        <v>0</v>
      </c>
      <c r="AO2805" s="4">
        <v>0</v>
      </c>
      <c r="AP2805" s="4">
        <v>10</v>
      </c>
      <c r="AQ2805" s="4">
        <v>39</v>
      </c>
      <c r="AR2805" s="3" t="s">
        <v>63</v>
      </c>
      <c r="AS2805" s="3" t="s">
        <v>63</v>
      </c>
      <c r="AT2805" s="3" t="s">
        <v>62</v>
      </c>
      <c r="AU2805" s="6" t="str">
        <f>HYPERLINK("http://catalog.hathitrust.org/Record/007103228","HathiTrust Record")</f>
        <v>HathiTrust Record</v>
      </c>
      <c r="AV2805" s="6" t="str">
        <f>HYPERLINK("http://mcgill.on.worldcat.org/oclc/11928748","Catalog Record")</f>
        <v>Catalog Record</v>
      </c>
      <c r="AW2805" s="6" t="str">
        <f>HYPERLINK("http://www.worldcat.org/oclc/11928748","WorldCat Record")</f>
        <v>WorldCat Record</v>
      </c>
      <c r="AX2805" s="3" t="s">
        <v>23289</v>
      </c>
      <c r="AY2805" s="3" t="s">
        <v>23290</v>
      </c>
      <c r="AZ2805" s="3" t="s">
        <v>23291</v>
      </c>
      <c r="BA2805" s="3" t="s">
        <v>23291</v>
      </c>
      <c r="BB2805" s="3" t="s">
        <v>23295</v>
      </c>
      <c r="BC2805" s="3" t="s">
        <v>82</v>
      </c>
      <c r="BD2805" s="3" t="s">
        <v>70</v>
      </c>
      <c r="BE2805" s="3" t="s">
        <v>23293</v>
      </c>
      <c r="BF2805" s="3" t="s">
        <v>23295</v>
      </c>
      <c r="BG2805" s="3" t="s">
        <v>23296</v>
      </c>
    </row>
    <row r="2806" spans="1:59" ht="60" x14ac:dyDescent="0.25">
      <c r="A2806" s="2" t="s">
        <v>59</v>
      </c>
      <c r="B2806" s="2" t="s">
        <v>60</v>
      </c>
      <c r="C2806" s="2" t="s">
        <v>23297</v>
      </c>
      <c r="D2806" s="2" t="s">
        <v>23298</v>
      </c>
      <c r="E2806" s="2" t="s">
        <v>23299</v>
      </c>
      <c r="G2806" s="3" t="s">
        <v>63</v>
      </c>
      <c r="I2806" s="3" t="s">
        <v>63</v>
      </c>
      <c r="J2806" s="3" t="s">
        <v>63</v>
      </c>
      <c r="K2806" s="3" t="s">
        <v>64</v>
      </c>
      <c r="L2806" s="2" t="s">
        <v>23300</v>
      </c>
      <c r="M2806" s="2" t="s">
        <v>6872</v>
      </c>
      <c r="N2806" s="3" t="s">
        <v>531</v>
      </c>
      <c r="P2806" s="3" t="s">
        <v>66</v>
      </c>
      <c r="R2806" s="3" t="s">
        <v>67</v>
      </c>
      <c r="S2806" s="4">
        <v>12</v>
      </c>
      <c r="T2806" s="4">
        <v>12</v>
      </c>
      <c r="U2806" s="5" t="s">
        <v>4106</v>
      </c>
      <c r="V2806" s="5" t="s">
        <v>4106</v>
      </c>
      <c r="W2806" s="5" t="s">
        <v>69</v>
      </c>
      <c r="X2806" s="5" t="s">
        <v>69</v>
      </c>
      <c r="Y2806" s="4">
        <v>390</v>
      </c>
      <c r="Z2806" s="4">
        <v>22</v>
      </c>
      <c r="AA2806" s="4">
        <v>22</v>
      </c>
      <c r="AB2806" s="4">
        <v>1</v>
      </c>
      <c r="AC2806" s="4">
        <v>1</v>
      </c>
      <c r="AD2806" s="4">
        <v>114</v>
      </c>
      <c r="AE2806" s="4">
        <v>114</v>
      </c>
      <c r="AF2806" s="4">
        <v>0</v>
      </c>
      <c r="AG2806" s="4">
        <v>0</v>
      </c>
      <c r="AH2806" s="4">
        <v>104</v>
      </c>
      <c r="AI2806" s="4">
        <v>104</v>
      </c>
      <c r="AJ2806" s="4">
        <v>14</v>
      </c>
      <c r="AK2806" s="4">
        <v>14</v>
      </c>
      <c r="AL2806" s="4">
        <v>56</v>
      </c>
      <c r="AM2806" s="4">
        <v>56</v>
      </c>
      <c r="AN2806" s="4">
        <v>0</v>
      </c>
      <c r="AO2806" s="4">
        <v>0</v>
      </c>
      <c r="AP2806" s="4">
        <v>17</v>
      </c>
      <c r="AQ2806" s="4">
        <v>17</v>
      </c>
      <c r="AR2806" s="3" t="s">
        <v>63</v>
      </c>
      <c r="AS2806" s="3" t="s">
        <v>63</v>
      </c>
      <c r="AT2806" s="3" t="s">
        <v>62</v>
      </c>
      <c r="AU2806" s="6" t="str">
        <f>HYPERLINK("http://catalog.hathitrust.org/Record/002573595","HathiTrust Record")</f>
        <v>HathiTrust Record</v>
      </c>
      <c r="AV2806" s="6" t="str">
        <f>HYPERLINK("http://mcgill.on.worldcat.org/oclc/24246374","Catalog Record")</f>
        <v>Catalog Record</v>
      </c>
      <c r="AW2806" s="6" t="str">
        <f>HYPERLINK("http://www.worldcat.org/oclc/24246374","WorldCat Record")</f>
        <v>WorldCat Record</v>
      </c>
      <c r="AX2806" s="3" t="s">
        <v>23301</v>
      </c>
      <c r="AY2806" s="3" t="s">
        <v>23302</v>
      </c>
      <c r="AZ2806" s="3" t="s">
        <v>23303</v>
      </c>
      <c r="BA2806" s="3" t="s">
        <v>23303</v>
      </c>
      <c r="BB2806" s="3" t="s">
        <v>23304</v>
      </c>
      <c r="BC2806" s="3" t="s">
        <v>82</v>
      </c>
      <c r="BD2806" s="3" t="s">
        <v>70</v>
      </c>
      <c r="BE2806" s="3" t="s">
        <v>23305</v>
      </c>
      <c r="BF2806" s="3" t="s">
        <v>23304</v>
      </c>
      <c r="BG2806" s="3" t="s">
        <v>23306</v>
      </c>
    </row>
    <row r="2807" spans="1:59" ht="75" x14ac:dyDescent="0.25">
      <c r="A2807" s="2" t="s">
        <v>59</v>
      </c>
      <c r="B2807" s="2" t="s">
        <v>60</v>
      </c>
      <c r="C2807" s="2" t="s">
        <v>23307</v>
      </c>
      <c r="D2807" s="2" t="s">
        <v>23308</v>
      </c>
      <c r="E2807" s="2" t="s">
        <v>23309</v>
      </c>
      <c r="G2807" s="3" t="s">
        <v>63</v>
      </c>
      <c r="I2807" s="3" t="s">
        <v>63</v>
      </c>
      <c r="J2807" s="3" t="s">
        <v>63</v>
      </c>
      <c r="K2807" s="3" t="s">
        <v>64</v>
      </c>
      <c r="L2807" s="2" t="s">
        <v>23310</v>
      </c>
      <c r="M2807" s="2" t="s">
        <v>23311</v>
      </c>
      <c r="N2807" s="3" t="s">
        <v>1023</v>
      </c>
      <c r="P2807" s="3" t="s">
        <v>66</v>
      </c>
      <c r="R2807" s="3" t="s">
        <v>67</v>
      </c>
      <c r="S2807" s="4">
        <v>26</v>
      </c>
      <c r="T2807" s="4">
        <v>26</v>
      </c>
      <c r="U2807" s="5" t="s">
        <v>12232</v>
      </c>
      <c r="V2807" s="5" t="s">
        <v>12232</v>
      </c>
      <c r="W2807" s="5" t="s">
        <v>69</v>
      </c>
      <c r="X2807" s="5" t="s">
        <v>69</v>
      </c>
      <c r="Y2807" s="4">
        <v>307</v>
      </c>
      <c r="Z2807" s="4">
        <v>16</v>
      </c>
      <c r="AA2807" s="4">
        <v>17</v>
      </c>
      <c r="AB2807" s="4">
        <v>1</v>
      </c>
      <c r="AC2807" s="4">
        <v>1</v>
      </c>
      <c r="AD2807" s="4">
        <v>96</v>
      </c>
      <c r="AE2807" s="4">
        <v>98</v>
      </c>
      <c r="AF2807" s="4">
        <v>0</v>
      </c>
      <c r="AG2807" s="4">
        <v>0</v>
      </c>
      <c r="AH2807" s="4">
        <v>89</v>
      </c>
      <c r="AI2807" s="4">
        <v>91</v>
      </c>
      <c r="AJ2807" s="4">
        <v>10</v>
      </c>
      <c r="AK2807" s="4">
        <v>11</v>
      </c>
      <c r="AL2807" s="4">
        <v>51</v>
      </c>
      <c r="AM2807" s="4">
        <v>52</v>
      </c>
      <c r="AN2807" s="4">
        <v>0</v>
      </c>
      <c r="AO2807" s="4">
        <v>0</v>
      </c>
      <c r="AP2807" s="4">
        <v>11</v>
      </c>
      <c r="AQ2807" s="4">
        <v>12</v>
      </c>
      <c r="AR2807" s="3" t="s">
        <v>63</v>
      </c>
      <c r="AS2807" s="3" t="s">
        <v>63</v>
      </c>
      <c r="AT2807" s="3" t="s">
        <v>62</v>
      </c>
      <c r="AU2807" s="6" t="str">
        <f>HYPERLINK("http://catalog.hathitrust.org/Record/002800063","HathiTrust Record")</f>
        <v>HathiTrust Record</v>
      </c>
      <c r="AV2807" s="6" t="str">
        <f>HYPERLINK("http://mcgill.on.worldcat.org/oclc/28888800","Catalog Record")</f>
        <v>Catalog Record</v>
      </c>
      <c r="AW2807" s="6" t="str">
        <f>HYPERLINK("http://www.worldcat.org/oclc/28888800","WorldCat Record")</f>
        <v>WorldCat Record</v>
      </c>
      <c r="AX2807" s="3" t="s">
        <v>23312</v>
      </c>
      <c r="AY2807" s="3" t="s">
        <v>23313</v>
      </c>
      <c r="AZ2807" s="3" t="s">
        <v>23314</v>
      </c>
      <c r="BA2807" s="3" t="s">
        <v>23314</v>
      </c>
      <c r="BB2807" s="3" t="s">
        <v>23315</v>
      </c>
      <c r="BC2807" s="3" t="s">
        <v>82</v>
      </c>
      <c r="BD2807" s="3" t="s">
        <v>70</v>
      </c>
      <c r="BE2807" s="3" t="s">
        <v>23316</v>
      </c>
      <c r="BF2807" s="3" t="s">
        <v>23315</v>
      </c>
      <c r="BG2807" s="3" t="s">
        <v>23317</v>
      </c>
    </row>
    <row r="2808" spans="1:59" ht="75" x14ac:dyDescent="0.25">
      <c r="A2808" s="2" t="s">
        <v>59</v>
      </c>
      <c r="B2808" s="2" t="s">
        <v>60</v>
      </c>
      <c r="C2808" s="2" t="s">
        <v>23318</v>
      </c>
      <c r="D2808" s="2" t="s">
        <v>23319</v>
      </c>
      <c r="E2808" s="2" t="s">
        <v>23320</v>
      </c>
      <c r="F2808" s="3" t="s">
        <v>2601</v>
      </c>
      <c r="G2808" s="3" t="s">
        <v>62</v>
      </c>
      <c r="I2808" s="3" t="s">
        <v>63</v>
      </c>
      <c r="J2808" s="3" t="s">
        <v>63</v>
      </c>
      <c r="K2808" s="3" t="s">
        <v>64</v>
      </c>
      <c r="L2808" s="2" t="s">
        <v>23321</v>
      </c>
      <c r="M2808" s="2" t="s">
        <v>23322</v>
      </c>
      <c r="N2808" s="3" t="s">
        <v>1023</v>
      </c>
      <c r="O2808" s="2" t="s">
        <v>23323</v>
      </c>
      <c r="P2808" s="3" t="s">
        <v>66</v>
      </c>
      <c r="R2808" s="3" t="s">
        <v>67</v>
      </c>
      <c r="S2808" s="4">
        <v>16</v>
      </c>
      <c r="T2808" s="4">
        <v>16</v>
      </c>
      <c r="U2808" s="5" t="s">
        <v>23198</v>
      </c>
      <c r="V2808" s="5" t="s">
        <v>23198</v>
      </c>
      <c r="W2808" s="5" t="s">
        <v>69</v>
      </c>
      <c r="X2808" s="5" t="s">
        <v>69</v>
      </c>
      <c r="Y2808" s="4">
        <v>347</v>
      </c>
      <c r="Z2808" s="4">
        <v>19</v>
      </c>
      <c r="AA2808" s="4">
        <v>21</v>
      </c>
      <c r="AB2808" s="4">
        <v>1</v>
      </c>
      <c r="AC2808" s="4">
        <v>1</v>
      </c>
      <c r="AD2808" s="4">
        <v>85</v>
      </c>
      <c r="AE2808" s="4">
        <v>103</v>
      </c>
      <c r="AF2808" s="4">
        <v>0</v>
      </c>
      <c r="AG2808" s="4">
        <v>0</v>
      </c>
      <c r="AH2808" s="4">
        <v>76</v>
      </c>
      <c r="AI2808" s="4">
        <v>92</v>
      </c>
      <c r="AJ2808" s="4">
        <v>12</v>
      </c>
      <c r="AK2808" s="4">
        <v>14</v>
      </c>
      <c r="AL2808" s="4">
        <v>40</v>
      </c>
      <c r="AM2808" s="4">
        <v>52</v>
      </c>
      <c r="AN2808" s="4">
        <v>0</v>
      </c>
      <c r="AO2808" s="4">
        <v>0</v>
      </c>
      <c r="AP2808" s="4">
        <v>15</v>
      </c>
      <c r="AQ2808" s="4">
        <v>17</v>
      </c>
      <c r="AR2808" s="3" t="s">
        <v>63</v>
      </c>
      <c r="AS2808" s="3" t="s">
        <v>63</v>
      </c>
      <c r="AT2808" s="3" t="s">
        <v>63</v>
      </c>
      <c r="AV2808" s="6" t="str">
        <f>HYPERLINK("http://mcgill.on.worldcat.org/oclc/28675024","Catalog Record")</f>
        <v>Catalog Record</v>
      </c>
      <c r="AW2808" s="6" t="str">
        <f>HYPERLINK("http://www.worldcat.org/oclc/28675024","WorldCat Record")</f>
        <v>WorldCat Record</v>
      </c>
      <c r="AX2808" s="3" t="s">
        <v>23324</v>
      </c>
      <c r="AY2808" s="3" t="s">
        <v>23325</v>
      </c>
      <c r="AZ2808" s="3" t="s">
        <v>23326</v>
      </c>
      <c r="BA2808" s="3" t="s">
        <v>23326</v>
      </c>
      <c r="BB2808" s="3" t="s">
        <v>23327</v>
      </c>
      <c r="BC2808" s="3" t="s">
        <v>82</v>
      </c>
      <c r="BD2808" s="3" t="s">
        <v>70</v>
      </c>
      <c r="BE2808" s="3" t="s">
        <v>23328</v>
      </c>
      <c r="BF2808" s="3" t="s">
        <v>23327</v>
      </c>
      <c r="BG2808" s="3" t="s">
        <v>23329</v>
      </c>
    </row>
    <row r="2809" spans="1:59" ht="60" x14ac:dyDescent="0.25">
      <c r="A2809" s="2" t="s">
        <v>59</v>
      </c>
      <c r="B2809" s="2" t="s">
        <v>60</v>
      </c>
      <c r="C2809" s="2" t="s">
        <v>23330</v>
      </c>
      <c r="D2809" s="2" t="s">
        <v>23331</v>
      </c>
      <c r="E2809" s="2" t="s">
        <v>23332</v>
      </c>
      <c r="G2809" s="3" t="s">
        <v>63</v>
      </c>
      <c r="I2809" s="3" t="s">
        <v>63</v>
      </c>
      <c r="J2809" s="3" t="s">
        <v>63</v>
      </c>
      <c r="K2809" s="3" t="s">
        <v>64</v>
      </c>
      <c r="L2809" s="2" t="s">
        <v>23333</v>
      </c>
      <c r="M2809" s="2" t="s">
        <v>23334</v>
      </c>
      <c r="N2809" s="3" t="s">
        <v>427</v>
      </c>
      <c r="P2809" s="3" t="s">
        <v>66</v>
      </c>
      <c r="R2809" s="3" t="s">
        <v>67</v>
      </c>
      <c r="S2809" s="4">
        <v>27</v>
      </c>
      <c r="T2809" s="4">
        <v>27</v>
      </c>
      <c r="U2809" s="5" t="s">
        <v>364</v>
      </c>
      <c r="V2809" s="5" t="s">
        <v>364</v>
      </c>
      <c r="W2809" s="5" t="s">
        <v>69</v>
      </c>
      <c r="X2809" s="5" t="s">
        <v>69</v>
      </c>
      <c r="Y2809" s="4">
        <v>120</v>
      </c>
      <c r="Z2809" s="4">
        <v>13</v>
      </c>
      <c r="AA2809" s="4">
        <v>13</v>
      </c>
      <c r="AB2809" s="4">
        <v>1</v>
      </c>
      <c r="AC2809" s="4">
        <v>1</v>
      </c>
      <c r="AD2809" s="4">
        <v>63</v>
      </c>
      <c r="AE2809" s="4">
        <v>63</v>
      </c>
      <c r="AF2809" s="4">
        <v>0</v>
      </c>
      <c r="AG2809" s="4">
        <v>0</v>
      </c>
      <c r="AH2809" s="4">
        <v>61</v>
      </c>
      <c r="AI2809" s="4">
        <v>61</v>
      </c>
      <c r="AJ2809" s="4">
        <v>9</v>
      </c>
      <c r="AK2809" s="4">
        <v>9</v>
      </c>
      <c r="AL2809" s="4">
        <v>38</v>
      </c>
      <c r="AM2809" s="4">
        <v>38</v>
      </c>
      <c r="AN2809" s="4">
        <v>5</v>
      </c>
      <c r="AO2809" s="4">
        <v>5</v>
      </c>
      <c r="AP2809" s="4">
        <v>9</v>
      </c>
      <c r="AQ2809" s="4">
        <v>9</v>
      </c>
      <c r="AR2809" s="3" t="s">
        <v>63</v>
      </c>
      <c r="AS2809" s="3" t="s">
        <v>63</v>
      </c>
      <c r="AT2809" s="3" t="s">
        <v>62</v>
      </c>
      <c r="AU2809" s="6" t="str">
        <f>HYPERLINK("http://catalog.hathitrust.org/Record/002059147","HathiTrust Record")</f>
        <v>HathiTrust Record</v>
      </c>
      <c r="AV2809" s="6" t="str">
        <f>HYPERLINK("http://mcgill.on.worldcat.org/oclc/24953072","Catalog Record")</f>
        <v>Catalog Record</v>
      </c>
      <c r="AW2809" s="6" t="str">
        <f>HYPERLINK("http://www.worldcat.org/oclc/24953072","WorldCat Record")</f>
        <v>WorldCat Record</v>
      </c>
      <c r="AX2809" s="3" t="s">
        <v>23335</v>
      </c>
      <c r="AY2809" s="3" t="s">
        <v>23336</v>
      </c>
      <c r="AZ2809" s="3" t="s">
        <v>23337</v>
      </c>
      <c r="BA2809" s="3" t="s">
        <v>23337</v>
      </c>
      <c r="BB2809" s="3" t="s">
        <v>23338</v>
      </c>
      <c r="BC2809" s="3" t="s">
        <v>82</v>
      </c>
      <c r="BD2809" s="3" t="s">
        <v>70</v>
      </c>
      <c r="BE2809" s="3" t="s">
        <v>23339</v>
      </c>
      <c r="BF2809" s="3" t="s">
        <v>23338</v>
      </c>
      <c r="BG2809" s="3" t="s">
        <v>23340</v>
      </c>
    </row>
    <row r="2810" spans="1:59" ht="60" x14ac:dyDescent="0.25">
      <c r="A2810" s="2" t="s">
        <v>59</v>
      </c>
      <c r="B2810" s="2" t="s">
        <v>60</v>
      </c>
      <c r="C2810" s="2" t="s">
        <v>23341</v>
      </c>
      <c r="D2810" s="2" t="s">
        <v>23342</v>
      </c>
      <c r="E2810" s="2" t="s">
        <v>23343</v>
      </c>
      <c r="G2810" s="3" t="s">
        <v>63</v>
      </c>
      <c r="I2810" s="3" t="s">
        <v>63</v>
      </c>
      <c r="J2810" s="3" t="s">
        <v>63</v>
      </c>
      <c r="K2810" s="3" t="s">
        <v>64</v>
      </c>
      <c r="L2810" s="2" t="s">
        <v>23344</v>
      </c>
      <c r="M2810" s="2" t="s">
        <v>23345</v>
      </c>
      <c r="N2810" s="3" t="s">
        <v>190</v>
      </c>
      <c r="P2810" s="3" t="s">
        <v>66</v>
      </c>
      <c r="R2810" s="3" t="s">
        <v>67</v>
      </c>
      <c r="S2810" s="4">
        <v>10</v>
      </c>
      <c r="T2810" s="4">
        <v>10</v>
      </c>
      <c r="U2810" s="5" t="s">
        <v>12232</v>
      </c>
      <c r="V2810" s="5" t="s">
        <v>12232</v>
      </c>
      <c r="W2810" s="5" t="s">
        <v>69</v>
      </c>
      <c r="X2810" s="5" t="s">
        <v>69</v>
      </c>
      <c r="Y2810" s="4">
        <v>152</v>
      </c>
      <c r="Z2810" s="4">
        <v>23</v>
      </c>
      <c r="AA2810" s="4">
        <v>35</v>
      </c>
      <c r="AB2810" s="4">
        <v>2</v>
      </c>
      <c r="AC2810" s="4">
        <v>3</v>
      </c>
      <c r="AD2810" s="4">
        <v>47</v>
      </c>
      <c r="AE2810" s="4">
        <v>101</v>
      </c>
      <c r="AF2810" s="4">
        <v>0</v>
      </c>
      <c r="AG2810" s="4">
        <v>0</v>
      </c>
      <c r="AH2810" s="4">
        <v>42</v>
      </c>
      <c r="AI2810" s="4">
        <v>91</v>
      </c>
      <c r="AJ2810" s="4">
        <v>7</v>
      </c>
      <c r="AK2810" s="4">
        <v>14</v>
      </c>
      <c r="AL2810" s="4">
        <v>33</v>
      </c>
      <c r="AM2810" s="4">
        <v>52</v>
      </c>
      <c r="AN2810" s="4">
        <v>0</v>
      </c>
      <c r="AO2810" s="4">
        <v>5</v>
      </c>
      <c r="AP2810" s="4">
        <v>8</v>
      </c>
      <c r="AQ2810" s="4">
        <v>17</v>
      </c>
      <c r="AR2810" s="3" t="s">
        <v>63</v>
      </c>
      <c r="AS2810" s="3" t="s">
        <v>63</v>
      </c>
      <c r="AT2810" s="3" t="s">
        <v>63</v>
      </c>
      <c r="AV2810" s="6" t="str">
        <f>HYPERLINK("http://mcgill.on.worldcat.org/oclc/57381260","Catalog Record")</f>
        <v>Catalog Record</v>
      </c>
      <c r="AW2810" s="6" t="str">
        <f>HYPERLINK("http://www.worldcat.org/oclc/57381260","WorldCat Record")</f>
        <v>WorldCat Record</v>
      </c>
      <c r="AX2810" s="3" t="s">
        <v>23346</v>
      </c>
      <c r="AY2810" s="3" t="s">
        <v>23347</v>
      </c>
      <c r="AZ2810" s="3" t="s">
        <v>23348</v>
      </c>
      <c r="BA2810" s="3" t="s">
        <v>23348</v>
      </c>
      <c r="BB2810" s="3" t="s">
        <v>23349</v>
      </c>
      <c r="BC2810" s="3" t="s">
        <v>82</v>
      </c>
      <c r="BD2810" s="3" t="s">
        <v>70</v>
      </c>
      <c r="BE2810" s="3" t="s">
        <v>23350</v>
      </c>
      <c r="BF2810" s="3" t="s">
        <v>23349</v>
      </c>
      <c r="BG2810" s="3" t="s">
        <v>23351</v>
      </c>
    </row>
    <row r="2811" spans="1:59" ht="75" x14ac:dyDescent="0.25">
      <c r="A2811" s="2" t="s">
        <v>59</v>
      </c>
      <c r="B2811" s="2" t="s">
        <v>60</v>
      </c>
      <c r="C2811" s="2" t="s">
        <v>23352</v>
      </c>
      <c r="D2811" s="2" t="s">
        <v>23353</v>
      </c>
      <c r="E2811" s="2" t="s">
        <v>23354</v>
      </c>
      <c r="G2811" s="3" t="s">
        <v>63</v>
      </c>
      <c r="I2811" s="3" t="s">
        <v>63</v>
      </c>
      <c r="J2811" s="3" t="s">
        <v>63</v>
      </c>
      <c r="K2811" s="3" t="s">
        <v>64</v>
      </c>
      <c r="L2811" s="2" t="s">
        <v>23355</v>
      </c>
      <c r="M2811" s="2" t="s">
        <v>23356</v>
      </c>
      <c r="N2811" s="3" t="s">
        <v>480</v>
      </c>
      <c r="O2811" s="2" t="s">
        <v>23323</v>
      </c>
      <c r="P2811" s="3" t="s">
        <v>66</v>
      </c>
      <c r="R2811" s="3" t="s">
        <v>67</v>
      </c>
      <c r="S2811" s="4">
        <v>17</v>
      </c>
      <c r="T2811" s="4">
        <v>17</v>
      </c>
      <c r="U2811" s="5" t="s">
        <v>4297</v>
      </c>
      <c r="V2811" s="5" t="s">
        <v>4297</v>
      </c>
      <c r="W2811" s="5" t="s">
        <v>69</v>
      </c>
      <c r="X2811" s="5" t="s">
        <v>69</v>
      </c>
      <c r="Y2811" s="4">
        <v>268</v>
      </c>
      <c r="Z2811" s="4">
        <v>14</v>
      </c>
      <c r="AA2811" s="4">
        <v>23</v>
      </c>
      <c r="AB2811" s="4">
        <v>1</v>
      </c>
      <c r="AC2811" s="4">
        <v>1</v>
      </c>
      <c r="AD2811" s="4">
        <v>66</v>
      </c>
      <c r="AE2811" s="4">
        <v>102</v>
      </c>
      <c r="AF2811" s="4">
        <v>0</v>
      </c>
      <c r="AG2811" s="4">
        <v>0</v>
      </c>
      <c r="AH2811" s="4">
        <v>57</v>
      </c>
      <c r="AI2811" s="4">
        <v>92</v>
      </c>
      <c r="AJ2811" s="4">
        <v>8</v>
      </c>
      <c r="AK2811" s="4">
        <v>15</v>
      </c>
      <c r="AL2811" s="4">
        <v>35</v>
      </c>
      <c r="AM2811" s="4">
        <v>57</v>
      </c>
      <c r="AN2811" s="4">
        <v>0</v>
      </c>
      <c r="AO2811" s="4">
        <v>0</v>
      </c>
      <c r="AP2811" s="4">
        <v>8</v>
      </c>
      <c r="AQ2811" s="4">
        <v>15</v>
      </c>
      <c r="AR2811" s="3" t="s">
        <v>63</v>
      </c>
      <c r="AS2811" s="3" t="s">
        <v>63</v>
      </c>
      <c r="AT2811" s="3" t="s">
        <v>63</v>
      </c>
      <c r="AV2811" s="6" t="str">
        <f>HYPERLINK("http://mcgill.on.worldcat.org/oclc/23694255","Catalog Record")</f>
        <v>Catalog Record</v>
      </c>
      <c r="AW2811" s="6" t="str">
        <f>HYPERLINK("http://www.worldcat.org/oclc/23694255","WorldCat Record")</f>
        <v>WorldCat Record</v>
      </c>
      <c r="AX2811" s="3" t="s">
        <v>23357</v>
      </c>
      <c r="AY2811" s="3" t="s">
        <v>23358</v>
      </c>
      <c r="AZ2811" s="3" t="s">
        <v>23359</v>
      </c>
      <c r="BA2811" s="3" t="s">
        <v>23359</v>
      </c>
      <c r="BB2811" s="3" t="s">
        <v>23360</v>
      </c>
      <c r="BC2811" s="3" t="s">
        <v>82</v>
      </c>
      <c r="BD2811" s="3" t="s">
        <v>70</v>
      </c>
      <c r="BE2811" s="3" t="s">
        <v>23361</v>
      </c>
      <c r="BF2811" s="3" t="s">
        <v>23360</v>
      </c>
      <c r="BG2811" s="3" t="s">
        <v>23362</v>
      </c>
    </row>
    <row r="2812" spans="1:59" ht="60" x14ac:dyDescent="0.25">
      <c r="A2812" s="2" t="s">
        <v>59</v>
      </c>
      <c r="B2812" s="2" t="s">
        <v>60</v>
      </c>
      <c r="C2812" s="2" t="s">
        <v>23363</v>
      </c>
      <c r="D2812" s="2" t="s">
        <v>23364</v>
      </c>
      <c r="E2812" s="2" t="s">
        <v>23365</v>
      </c>
      <c r="G2812" s="3" t="s">
        <v>63</v>
      </c>
      <c r="I2812" s="3" t="s">
        <v>63</v>
      </c>
      <c r="J2812" s="3" t="s">
        <v>63</v>
      </c>
      <c r="K2812" s="3" t="s">
        <v>64</v>
      </c>
      <c r="L2812" s="2" t="s">
        <v>23366</v>
      </c>
      <c r="M2812" s="2" t="s">
        <v>13681</v>
      </c>
      <c r="N2812" s="3" t="s">
        <v>1023</v>
      </c>
      <c r="O2812" s="2" t="s">
        <v>590</v>
      </c>
      <c r="P2812" s="3" t="s">
        <v>66</v>
      </c>
      <c r="R2812" s="3" t="s">
        <v>67</v>
      </c>
      <c r="S2812" s="4">
        <v>27</v>
      </c>
      <c r="T2812" s="4">
        <v>27</v>
      </c>
      <c r="U2812" s="5" t="s">
        <v>4297</v>
      </c>
      <c r="V2812" s="5" t="s">
        <v>4297</v>
      </c>
      <c r="W2812" s="5" t="s">
        <v>69</v>
      </c>
      <c r="X2812" s="5" t="s">
        <v>69</v>
      </c>
      <c r="Y2812" s="4">
        <v>663</v>
      </c>
      <c r="Z2812" s="4">
        <v>29</v>
      </c>
      <c r="AA2812" s="4">
        <v>35</v>
      </c>
      <c r="AB2812" s="4">
        <v>2</v>
      </c>
      <c r="AC2812" s="4">
        <v>3</v>
      </c>
      <c r="AD2812" s="4">
        <v>94</v>
      </c>
      <c r="AE2812" s="4">
        <v>111</v>
      </c>
      <c r="AF2812" s="4">
        <v>1</v>
      </c>
      <c r="AG2812" s="4">
        <v>1</v>
      </c>
      <c r="AH2812" s="4">
        <v>83</v>
      </c>
      <c r="AI2812" s="4">
        <v>98</v>
      </c>
      <c r="AJ2812" s="4">
        <v>13</v>
      </c>
      <c r="AK2812" s="4">
        <v>14</v>
      </c>
      <c r="AL2812" s="4">
        <v>46</v>
      </c>
      <c r="AM2812" s="4">
        <v>56</v>
      </c>
      <c r="AN2812" s="4">
        <v>0</v>
      </c>
      <c r="AO2812" s="4">
        <v>0</v>
      </c>
      <c r="AP2812" s="4">
        <v>17</v>
      </c>
      <c r="AQ2812" s="4">
        <v>19</v>
      </c>
      <c r="AR2812" s="3" t="s">
        <v>63</v>
      </c>
      <c r="AS2812" s="3" t="s">
        <v>63</v>
      </c>
      <c r="AT2812" s="3" t="s">
        <v>63</v>
      </c>
      <c r="AV2812" s="6" t="str">
        <f>HYPERLINK("http://mcgill.on.worldcat.org/oclc/30667910","Catalog Record")</f>
        <v>Catalog Record</v>
      </c>
      <c r="AW2812" s="6" t="str">
        <f>HYPERLINK("http://www.worldcat.org/oclc/30667910","WorldCat Record")</f>
        <v>WorldCat Record</v>
      </c>
      <c r="AX2812" s="3" t="s">
        <v>23367</v>
      </c>
      <c r="AY2812" s="3" t="s">
        <v>23368</v>
      </c>
      <c r="AZ2812" s="3" t="s">
        <v>23369</v>
      </c>
      <c r="BA2812" s="3" t="s">
        <v>23369</v>
      </c>
      <c r="BB2812" s="3" t="s">
        <v>23370</v>
      </c>
      <c r="BC2812" s="3" t="s">
        <v>82</v>
      </c>
      <c r="BD2812" s="3" t="s">
        <v>70</v>
      </c>
      <c r="BE2812" s="3" t="s">
        <v>23371</v>
      </c>
      <c r="BF2812" s="3" t="s">
        <v>23370</v>
      </c>
      <c r="BG2812" s="3" t="s">
        <v>23372</v>
      </c>
    </row>
    <row r="2813" spans="1:59" ht="90" x14ac:dyDescent="0.25">
      <c r="A2813" s="2" t="s">
        <v>59</v>
      </c>
      <c r="B2813" s="2" t="s">
        <v>60</v>
      </c>
      <c r="C2813" s="2" t="s">
        <v>23373</v>
      </c>
      <c r="D2813" s="2" t="s">
        <v>23374</v>
      </c>
      <c r="E2813" s="2" t="s">
        <v>23375</v>
      </c>
      <c r="F2813" s="3" t="s">
        <v>571</v>
      </c>
      <c r="G2813" s="3" t="s">
        <v>62</v>
      </c>
      <c r="I2813" s="3" t="s">
        <v>63</v>
      </c>
      <c r="J2813" s="3" t="s">
        <v>63</v>
      </c>
      <c r="K2813" s="3" t="s">
        <v>64</v>
      </c>
      <c r="L2813" s="2" t="s">
        <v>23376</v>
      </c>
      <c r="M2813" s="2" t="s">
        <v>23377</v>
      </c>
      <c r="N2813" s="3" t="s">
        <v>143</v>
      </c>
      <c r="O2813" s="2" t="s">
        <v>23378</v>
      </c>
      <c r="P2813" s="3" t="s">
        <v>90</v>
      </c>
      <c r="Q2813" s="2" t="s">
        <v>23379</v>
      </c>
      <c r="R2813" s="3" t="s">
        <v>67</v>
      </c>
      <c r="S2813" s="4">
        <v>0</v>
      </c>
      <c r="T2813" s="4">
        <v>0</v>
      </c>
      <c r="W2813" s="5" t="s">
        <v>69</v>
      </c>
      <c r="X2813" s="5" t="s">
        <v>69</v>
      </c>
      <c r="Y2813" s="4">
        <v>40</v>
      </c>
      <c r="Z2813" s="4">
        <v>2</v>
      </c>
      <c r="AA2813" s="4">
        <v>2</v>
      </c>
      <c r="AB2813" s="4">
        <v>1</v>
      </c>
      <c r="AC2813" s="4">
        <v>1</v>
      </c>
      <c r="AD2813" s="4">
        <v>28</v>
      </c>
      <c r="AE2813" s="4">
        <v>28</v>
      </c>
      <c r="AF2813" s="4">
        <v>0</v>
      </c>
      <c r="AG2813" s="4">
        <v>0</v>
      </c>
      <c r="AH2813" s="4">
        <v>27</v>
      </c>
      <c r="AI2813" s="4">
        <v>27</v>
      </c>
      <c r="AJ2813" s="4">
        <v>1</v>
      </c>
      <c r="AK2813" s="4">
        <v>1</v>
      </c>
      <c r="AL2813" s="4">
        <v>21</v>
      </c>
      <c r="AM2813" s="4">
        <v>21</v>
      </c>
      <c r="AN2813" s="4">
        <v>0</v>
      </c>
      <c r="AO2813" s="4">
        <v>0</v>
      </c>
      <c r="AP2813" s="4">
        <v>1</v>
      </c>
      <c r="AQ2813" s="4">
        <v>1</v>
      </c>
      <c r="AR2813" s="3" t="s">
        <v>63</v>
      </c>
      <c r="AS2813" s="3" t="s">
        <v>63</v>
      </c>
      <c r="AT2813" s="3" t="s">
        <v>63</v>
      </c>
      <c r="AV2813" s="6" t="str">
        <f>HYPERLINK("http://mcgill.on.worldcat.org/oclc/900162666","Catalog Record")</f>
        <v>Catalog Record</v>
      </c>
      <c r="AW2813" s="6" t="str">
        <f>HYPERLINK("http://www.worldcat.org/oclc/900162666","WorldCat Record")</f>
        <v>WorldCat Record</v>
      </c>
      <c r="AX2813" s="3" t="s">
        <v>23380</v>
      </c>
      <c r="AY2813" s="3" t="s">
        <v>23381</v>
      </c>
      <c r="AZ2813" s="3" t="s">
        <v>23382</v>
      </c>
      <c r="BA2813" s="3" t="s">
        <v>23382</v>
      </c>
      <c r="BB2813" s="3" t="s">
        <v>23383</v>
      </c>
      <c r="BC2813" s="3" t="s">
        <v>82</v>
      </c>
      <c r="BD2813" s="3" t="s">
        <v>70</v>
      </c>
      <c r="BE2813" s="3" t="s">
        <v>23384</v>
      </c>
      <c r="BF2813" s="3" t="s">
        <v>23383</v>
      </c>
      <c r="BG2813" s="3" t="s">
        <v>23385</v>
      </c>
    </row>
    <row r="2814" spans="1:59" ht="90" x14ac:dyDescent="0.25">
      <c r="A2814" s="2" t="s">
        <v>59</v>
      </c>
      <c r="B2814" s="2" t="s">
        <v>60</v>
      </c>
      <c r="C2814" s="2" t="s">
        <v>23373</v>
      </c>
      <c r="D2814" s="2" t="s">
        <v>23374</v>
      </c>
      <c r="E2814" s="2" t="s">
        <v>23375</v>
      </c>
      <c r="F2814" s="3" t="s">
        <v>582</v>
      </c>
      <c r="G2814" s="3" t="s">
        <v>62</v>
      </c>
      <c r="I2814" s="3" t="s">
        <v>63</v>
      </c>
      <c r="J2814" s="3" t="s">
        <v>63</v>
      </c>
      <c r="K2814" s="3" t="s">
        <v>64</v>
      </c>
      <c r="L2814" s="2" t="s">
        <v>23376</v>
      </c>
      <c r="M2814" s="2" t="s">
        <v>23377</v>
      </c>
      <c r="N2814" s="3" t="s">
        <v>143</v>
      </c>
      <c r="O2814" s="2" t="s">
        <v>23378</v>
      </c>
      <c r="P2814" s="3" t="s">
        <v>90</v>
      </c>
      <c r="Q2814" s="2" t="s">
        <v>23379</v>
      </c>
      <c r="R2814" s="3" t="s">
        <v>67</v>
      </c>
      <c r="S2814" s="4">
        <v>0</v>
      </c>
      <c r="T2814" s="4">
        <v>0</v>
      </c>
      <c r="W2814" s="5" t="s">
        <v>69</v>
      </c>
      <c r="X2814" s="5" t="s">
        <v>69</v>
      </c>
      <c r="Y2814" s="4">
        <v>40</v>
      </c>
      <c r="Z2814" s="4">
        <v>2</v>
      </c>
      <c r="AA2814" s="4">
        <v>2</v>
      </c>
      <c r="AB2814" s="4">
        <v>1</v>
      </c>
      <c r="AC2814" s="4">
        <v>1</v>
      </c>
      <c r="AD2814" s="4">
        <v>28</v>
      </c>
      <c r="AE2814" s="4">
        <v>28</v>
      </c>
      <c r="AF2814" s="4">
        <v>0</v>
      </c>
      <c r="AG2814" s="4">
        <v>0</v>
      </c>
      <c r="AH2814" s="4">
        <v>27</v>
      </c>
      <c r="AI2814" s="4">
        <v>27</v>
      </c>
      <c r="AJ2814" s="4">
        <v>1</v>
      </c>
      <c r="AK2814" s="4">
        <v>1</v>
      </c>
      <c r="AL2814" s="4">
        <v>21</v>
      </c>
      <c r="AM2814" s="4">
        <v>21</v>
      </c>
      <c r="AN2814" s="4">
        <v>0</v>
      </c>
      <c r="AO2814" s="4">
        <v>0</v>
      </c>
      <c r="AP2814" s="4">
        <v>1</v>
      </c>
      <c r="AQ2814" s="4">
        <v>1</v>
      </c>
      <c r="AR2814" s="3" t="s">
        <v>63</v>
      </c>
      <c r="AS2814" s="3" t="s">
        <v>63</v>
      </c>
      <c r="AT2814" s="3" t="s">
        <v>63</v>
      </c>
      <c r="AV2814" s="6" t="str">
        <f>HYPERLINK("http://mcgill.on.worldcat.org/oclc/900162666","Catalog Record")</f>
        <v>Catalog Record</v>
      </c>
      <c r="AW2814" s="6" t="str">
        <f>HYPERLINK("http://www.worldcat.org/oclc/900162666","WorldCat Record")</f>
        <v>WorldCat Record</v>
      </c>
      <c r="AX2814" s="3" t="s">
        <v>23380</v>
      </c>
      <c r="AY2814" s="3" t="s">
        <v>23381</v>
      </c>
      <c r="AZ2814" s="3" t="s">
        <v>23382</v>
      </c>
      <c r="BA2814" s="3" t="s">
        <v>23382</v>
      </c>
      <c r="BB2814" s="3" t="s">
        <v>23386</v>
      </c>
      <c r="BC2814" s="3" t="s">
        <v>82</v>
      </c>
      <c r="BD2814" s="3" t="s">
        <v>70</v>
      </c>
      <c r="BE2814" s="3" t="s">
        <v>23384</v>
      </c>
      <c r="BF2814" s="3" t="s">
        <v>23386</v>
      </c>
      <c r="BG2814" s="3" t="s">
        <v>23387</v>
      </c>
    </row>
    <row r="2815" spans="1:59" ht="60" x14ac:dyDescent="0.25">
      <c r="A2815" s="2" t="s">
        <v>59</v>
      </c>
      <c r="B2815" s="2" t="s">
        <v>60</v>
      </c>
      <c r="C2815" s="2" t="s">
        <v>23418</v>
      </c>
      <c r="D2815" s="2" t="s">
        <v>23419</v>
      </c>
      <c r="E2815" s="2" t="s">
        <v>23420</v>
      </c>
      <c r="G2815" s="3" t="s">
        <v>63</v>
      </c>
      <c r="I2815" s="3" t="s">
        <v>63</v>
      </c>
      <c r="J2815" s="3" t="s">
        <v>63</v>
      </c>
      <c r="K2815" s="3" t="s">
        <v>64</v>
      </c>
      <c r="M2815" s="2" t="s">
        <v>23421</v>
      </c>
      <c r="N2815" s="3" t="s">
        <v>401</v>
      </c>
      <c r="P2815" s="3" t="s">
        <v>548</v>
      </c>
      <c r="R2815" s="3" t="s">
        <v>67</v>
      </c>
      <c r="S2815" s="4">
        <v>1</v>
      </c>
      <c r="T2815" s="4">
        <v>1</v>
      </c>
      <c r="U2815" s="5" t="s">
        <v>23422</v>
      </c>
      <c r="V2815" s="5" t="s">
        <v>23422</v>
      </c>
      <c r="W2815" s="5" t="s">
        <v>69</v>
      </c>
      <c r="X2815" s="5" t="s">
        <v>69</v>
      </c>
      <c r="Y2815" s="4">
        <v>21</v>
      </c>
      <c r="Z2815" s="4">
        <v>1</v>
      </c>
      <c r="AA2815" s="4">
        <v>7</v>
      </c>
      <c r="AB2815" s="4">
        <v>1</v>
      </c>
      <c r="AC2815" s="4">
        <v>4</v>
      </c>
      <c r="AD2815" s="4">
        <v>11</v>
      </c>
      <c r="AE2815" s="4">
        <v>19</v>
      </c>
      <c r="AF2815" s="4">
        <v>0</v>
      </c>
      <c r="AG2815" s="4">
        <v>1</v>
      </c>
      <c r="AH2815" s="4">
        <v>11</v>
      </c>
      <c r="AI2815" s="4">
        <v>17</v>
      </c>
      <c r="AJ2815" s="4">
        <v>0</v>
      </c>
      <c r="AK2815" s="4">
        <v>4</v>
      </c>
      <c r="AL2815" s="4">
        <v>6</v>
      </c>
      <c r="AM2815" s="4">
        <v>7</v>
      </c>
      <c r="AN2815" s="4">
        <v>0</v>
      </c>
      <c r="AO2815" s="4">
        <v>0</v>
      </c>
      <c r="AP2815" s="4">
        <v>0</v>
      </c>
      <c r="AQ2815" s="4">
        <v>4</v>
      </c>
      <c r="AR2815" s="3" t="s">
        <v>63</v>
      </c>
      <c r="AS2815" s="3" t="s">
        <v>63</v>
      </c>
      <c r="AT2815" s="3" t="s">
        <v>63</v>
      </c>
      <c r="AV2815" s="6" t="str">
        <f>HYPERLINK("http://mcgill.on.worldcat.org/oclc/6540731","Catalog Record")</f>
        <v>Catalog Record</v>
      </c>
      <c r="AW2815" s="6" t="str">
        <f>HYPERLINK("http://www.worldcat.org/oclc/6540731","WorldCat Record")</f>
        <v>WorldCat Record</v>
      </c>
      <c r="AX2815" s="3" t="s">
        <v>23423</v>
      </c>
      <c r="AY2815" s="3" t="s">
        <v>23424</v>
      </c>
      <c r="AZ2815" s="3" t="s">
        <v>23425</v>
      </c>
      <c r="BA2815" s="3" t="s">
        <v>23425</v>
      </c>
      <c r="BB2815" s="3" t="s">
        <v>23426</v>
      </c>
      <c r="BC2815" s="3" t="s">
        <v>82</v>
      </c>
      <c r="BD2815" s="3" t="s">
        <v>70</v>
      </c>
      <c r="BF2815" s="3" t="s">
        <v>23426</v>
      </c>
      <c r="BG2815" s="3" t="s">
        <v>23427</v>
      </c>
    </row>
    <row r="2816" spans="1:59" ht="75" x14ac:dyDescent="0.25">
      <c r="A2816" s="2" t="s">
        <v>59</v>
      </c>
      <c r="B2816" s="2" t="s">
        <v>60</v>
      </c>
      <c r="C2816" s="2" t="s">
        <v>23428</v>
      </c>
      <c r="D2816" s="2" t="s">
        <v>23429</v>
      </c>
      <c r="E2816" s="2" t="s">
        <v>23430</v>
      </c>
      <c r="G2816" s="3" t="s">
        <v>63</v>
      </c>
      <c r="I2816" s="3" t="s">
        <v>63</v>
      </c>
      <c r="J2816" s="3" t="s">
        <v>63</v>
      </c>
      <c r="K2816" s="3" t="s">
        <v>64</v>
      </c>
      <c r="L2816" s="2" t="s">
        <v>23431</v>
      </c>
      <c r="M2816" s="2" t="s">
        <v>23432</v>
      </c>
      <c r="N2816" s="3" t="s">
        <v>918</v>
      </c>
      <c r="P2816" s="3" t="s">
        <v>66</v>
      </c>
      <c r="Q2816" s="2" t="s">
        <v>23433</v>
      </c>
      <c r="R2816" s="3" t="s">
        <v>67</v>
      </c>
      <c r="S2816" s="4">
        <v>1</v>
      </c>
      <c r="T2816" s="4">
        <v>1</v>
      </c>
      <c r="U2816" s="5" t="s">
        <v>23422</v>
      </c>
      <c r="V2816" s="5" t="s">
        <v>23422</v>
      </c>
      <c r="W2816" s="5" t="s">
        <v>69</v>
      </c>
      <c r="X2816" s="5" t="s">
        <v>69</v>
      </c>
      <c r="Y2816" s="4">
        <v>309</v>
      </c>
      <c r="Z2816" s="4">
        <v>17</v>
      </c>
      <c r="AA2816" s="4">
        <v>27</v>
      </c>
      <c r="AB2816" s="4">
        <v>1</v>
      </c>
      <c r="AC2816" s="4">
        <v>2</v>
      </c>
      <c r="AD2816" s="4">
        <v>76</v>
      </c>
      <c r="AE2816" s="4">
        <v>94</v>
      </c>
      <c r="AF2816" s="4">
        <v>0</v>
      </c>
      <c r="AG2816" s="4">
        <v>1</v>
      </c>
      <c r="AH2816" s="4">
        <v>61</v>
      </c>
      <c r="AI2816" s="4">
        <v>77</v>
      </c>
      <c r="AJ2816" s="4">
        <v>10</v>
      </c>
      <c r="AK2816" s="4">
        <v>15</v>
      </c>
      <c r="AL2816" s="4">
        <v>43</v>
      </c>
      <c r="AM2816" s="4">
        <v>51</v>
      </c>
      <c r="AN2816" s="4">
        <v>0</v>
      </c>
      <c r="AO2816" s="4">
        <v>0</v>
      </c>
      <c r="AP2816" s="4">
        <v>13</v>
      </c>
      <c r="AQ2816" s="4">
        <v>19</v>
      </c>
      <c r="AR2816" s="3" t="s">
        <v>63</v>
      </c>
      <c r="AS2816" s="3" t="s">
        <v>63</v>
      </c>
      <c r="AT2816" s="3" t="s">
        <v>63</v>
      </c>
      <c r="AV2816" s="6" t="str">
        <f>HYPERLINK("http://mcgill.on.worldcat.org/oclc/3486601","Catalog Record")</f>
        <v>Catalog Record</v>
      </c>
      <c r="AW2816" s="6" t="str">
        <f>HYPERLINK("http://www.worldcat.org/oclc/3486601","WorldCat Record")</f>
        <v>WorldCat Record</v>
      </c>
      <c r="AX2816" s="3" t="s">
        <v>23434</v>
      </c>
      <c r="AY2816" s="3" t="s">
        <v>23435</v>
      </c>
      <c r="AZ2816" s="3" t="s">
        <v>23436</v>
      </c>
      <c r="BA2816" s="3" t="s">
        <v>23436</v>
      </c>
      <c r="BB2816" s="3" t="s">
        <v>23437</v>
      </c>
      <c r="BC2816" s="3" t="s">
        <v>82</v>
      </c>
      <c r="BD2816" s="3" t="s">
        <v>70</v>
      </c>
      <c r="BF2816" s="3" t="s">
        <v>23437</v>
      </c>
      <c r="BG2816" s="3" t="s">
        <v>23438</v>
      </c>
    </row>
    <row r="2817" spans="1:59" ht="60" x14ac:dyDescent="0.25">
      <c r="A2817" s="2" t="s">
        <v>59</v>
      </c>
      <c r="B2817" s="2" t="s">
        <v>60</v>
      </c>
      <c r="C2817" s="2" t="s">
        <v>23439</v>
      </c>
      <c r="D2817" s="2" t="s">
        <v>23440</v>
      </c>
      <c r="E2817" s="2" t="s">
        <v>23441</v>
      </c>
      <c r="G2817" s="3" t="s">
        <v>63</v>
      </c>
      <c r="I2817" s="3" t="s">
        <v>63</v>
      </c>
      <c r="J2817" s="3" t="s">
        <v>63</v>
      </c>
      <c r="K2817" s="3" t="s">
        <v>64</v>
      </c>
      <c r="L2817" s="2" t="s">
        <v>23442</v>
      </c>
      <c r="M2817" s="2" t="s">
        <v>23443</v>
      </c>
      <c r="N2817" s="3" t="s">
        <v>326</v>
      </c>
      <c r="P2817" s="3" t="s">
        <v>90</v>
      </c>
      <c r="R2817" s="3" t="s">
        <v>67</v>
      </c>
      <c r="S2817" s="4">
        <v>1</v>
      </c>
      <c r="T2817" s="4">
        <v>1</v>
      </c>
      <c r="U2817" s="5" t="s">
        <v>23444</v>
      </c>
      <c r="V2817" s="5" t="s">
        <v>23444</v>
      </c>
      <c r="W2817" s="5" t="s">
        <v>69</v>
      </c>
      <c r="X2817" s="5" t="s">
        <v>69</v>
      </c>
      <c r="Y2817" s="4">
        <v>21</v>
      </c>
      <c r="Z2817" s="4">
        <v>2</v>
      </c>
      <c r="AA2817" s="4">
        <v>6</v>
      </c>
      <c r="AB2817" s="4">
        <v>2</v>
      </c>
      <c r="AC2817" s="4">
        <v>2</v>
      </c>
      <c r="AD2817" s="4">
        <v>16</v>
      </c>
      <c r="AE2817" s="4">
        <v>19</v>
      </c>
      <c r="AF2817" s="4">
        <v>0</v>
      </c>
      <c r="AG2817" s="4">
        <v>0</v>
      </c>
      <c r="AH2817" s="4">
        <v>16</v>
      </c>
      <c r="AI2817" s="4">
        <v>19</v>
      </c>
      <c r="AJ2817" s="4">
        <v>0</v>
      </c>
      <c r="AK2817" s="4">
        <v>3</v>
      </c>
      <c r="AL2817" s="4">
        <v>13</v>
      </c>
      <c r="AM2817" s="4">
        <v>14</v>
      </c>
      <c r="AN2817" s="4">
        <v>0</v>
      </c>
      <c r="AO2817" s="4">
        <v>0</v>
      </c>
      <c r="AP2817" s="4">
        <v>0</v>
      </c>
      <c r="AQ2817" s="4">
        <v>3</v>
      </c>
      <c r="AR2817" s="3" t="s">
        <v>63</v>
      </c>
      <c r="AS2817" s="3" t="s">
        <v>63</v>
      </c>
      <c r="AT2817" s="3" t="s">
        <v>63</v>
      </c>
      <c r="AV2817" s="6" t="str">
        <f>HYPERLINK("http://mcgill.on.worldcat.org/oclc/427679533","Catalog Record")</f>
        <v>Catalog Record</v>
      </c>
      <c r="AW2817" s="6" t="str">
        <f>HYPERLINK("http://www.worldcat.org/oclc/427679533","WorldCat Record")</f>
        <v>WorldCat Record</v>
      </c>
      <c r="AX2817" s="3" t="s">
        <v>23445</v>
      </c>
      <c r="AY2817" s="3" t="s">
        <v>23446</v>
      </c>
      <c r="AZ2817" s="3" t="s">
        <v>23447</v>
      </c>
      <c r="BA2817" s="3" t="s">
        <v>23447</v>
      </c>
      <c r="BB2817" s="3" t="s">
        <v>23448</v>
      </c>
      <c r="BC2817" s="3" t="s">
        <v>82</v>
      </c>
      <c r="BD2817" s="3" t="s">
        <v>70</v>
      </c>
      <c r="BE2817" s="3" t="s">
        <v>23449</v>
      </c>
      <c r="BF2817" s="3" t="s">
        <v>23448</v>
      </c>
      <c r="BG2817" s="3" t="s">
        <v>23450</v>
      </c>
    </row>
    <row r="2818" spans="1:59" ht="60" x14ac:dyDescent="0.25">
      <c r="A2818" s="2" t="s">
        <v>59</v>
      </c>
      <c r="B2818" s="2" t="s">
        <v>60</v>
      </c>
      <c r="C2818" s="2" t="s">
        <v>23451</v>
      </c>
      <c r="D2818" s="2" t="s">
        <v>23452</v>
      </c>
      <c r="E2818" s="2" t="s">
        <v>23453</v>
      </c>
      <c r="G2818" s="3" t="s">
        <v>63</v>
      </c>
      <c r="I2818" s="3" t="s">
        <v>63</v>
      </c>
      <c r="J2818" s="3" t="s">
        <v>63</v>
      </c>
      <c r="K2818" s="3" t="s">
        <v>64</v>
      </c>
      <c r="L2818" s="2" t="s">
        <v>23454</v>
      </c>
      <c r="M2818" s="2" t="s">
        <v>23455</v>
      </c>
      <c r="N2818" s="3" t="s">
        <v>1113</v>
      </c>
      <c r="P2818" s="3" t="s">
        <v>66</v>
      </c>
      <c r="R2818" s="3" t="s">
        <v>67</v>
      </c>
      <c r="S2818" s="4">
        <v>9</v>
      </c>
      <c r="T2818" s="4">
        <v>9</v>
      </c>
      <c r="U2818" s="5" t="s">
        <v>14315</v>
      </c>
      <c r="V2818" s="5" t="s">
        <v>14315</v>
      </c>
      <c r="W2818" s="5" t="s">
        <v>69</v>
      </c>
      <c r="X2818" s="5" t="s">
        <v>69</v>
      </c>
      <c r="Y2818" s="4">
        <v>383</v>
      </c>
      <c r="Z2818" s="4">
        <v>22</v>
      </c>
      <c r="AA2818" s="4">
        <v>39</v>
      </c>
      <c r="AB2818" s="4">
        <v>3</v>
      </c>
      <c r="AC2818" s="4">
        <v>8</v>
      </c>
      <c r="AD2818" s="4">
        <v>114</v>
      </c>
      <c r="AE2818" s="4">
        <v>126</v>
      </c>
      <c r="AF2818" s="4">
        <v>1</v>
      </c>
      <c r="AG2818" s="4">
        <v>3</v>
      </c>
      <c r="AH2818" s="4">
        <v>104</v>
      </c>
      <c r="AI2818" s="4">
        <v>105</v>
      </c>
      <c r="AJ2818" s="4">
        <v>15</v>
      </c>
      <c r="AK2818" s="4">
        <v>19</v>
      </c>
      <c r="AL2818" s="4">
        <v>56</v>
      </c>
      <c r="AM2818" s="4">
        <v>57</v>
      </c>
      <c r="AN2818" s="4">
        <v>0</v>
      </c>
      <c r="AO2818" s="4">
        <v>0</v>
      </c>
      <c r="AP2818" s="4">
        <v>18</v>
      </c>
      <c r="AQ2818" s="4">
        <v>28</v>
      </c>
      <c r="AR2818" s="3" t="s">
        <v>63</v>
      </c>
      <c r="AS2818" s="3" t="s">
        <v>63</v>
      </c>
      <c r="AT2818" s="3" t="s">
        <v>62</v>
      </c>
      <c r="AU2818" s="6" t="str">
        <f>HYPERLINK("http://catalog.hathitrust.org/Record/003945734","HathiTrust Record")</f>
        <v>HathiTrust Record</v>
      </c>
      <c r="AV2818" s="6" t="str">
        <f>HYPERLINK("http://mcgill.on.worldcat.org/oclc/36783936","Catalog Record")</f>
        <v>Catalog Record</v>
      </c>
      <c r="AW2818" s="6" t="str">
        <f>HYPERLINK("http://www.worldcat.org/oclc/36783936","WorldCat Record")</f>
        <v>WorldCat Record</v>
      </c>
      <c r="AX2818" s="3" t="s">
        <v>23456</v>
      </c>
      <c r="AY2818" s="3" t="s">
        <v>23457</v>
      </c>
      <c r="AZ2818" s="3" t="s">
        <v>23458</v>
      </c>
      <c r="BA2818" s="3" t="s">
        <v>23458</v>
      </c>
      <c r="BB2818" s="3" t="s">
        <v>23459</v>
      </c>
      <c r="BC2818" s="3" t="s">
        <v>82</v>
      </c>
      <c r="BD2818" s="3" t="s">
        <v>70</v>
      </c>
      <c r="BE2818" s="3" t="s">
        <v>23460</v>
      </c>
      <c r="BF2818" s="3" t="s">
        <v>23459</v>
      </c>
      <c r="BG2818" s="3" t="s">
        <v>23461</v>
      </c>
    </row>
    <row r="2819" spans="1:59" ht="60" x14ac:dyDescent="0.25">
      <c r="A2819" s="2" t="s">
        <v>59</v>
      </c>
      <c r="B2819" s="2" t="s">
        <v>60</v>
      </c>
      <c r="C2819" s="2" t="s">
        <v>23462</v>
      </c>
      <c r="D2819" s="2" t="s">
        <v>23463</v>
      </c>
      <c r="E2819" s="2" t="s">
        <v>23464</v>
      </c>
      <c r="G2819" s="3" t="s">
        <v>63</v>
      </c>
      <c r="I2819" s="3" t="s">
        <v>63</v>
      </c>
      <c r="J2819" s="3" t="s">
        <v>63</v>
      </c>
      <c r="K2819" s="3" t="s">
        <v>64</v>
      </c>
      <c r="L2819" s="2" t="s">
        <v>23465</v>
      </c>
      <c r="M2819" s="2" t="s">
        <v>23466</v>
      </c>
      <c r="N2819" s="3" t="s">
        <v>2103</v>
      </c>
      <c r="P2819" s="3" t="s">
        <v>66</v>
      </c>
      <c r="R2819" s="3" t="s">
        <v>67</v>
      </c>
      <c r="S2819" s="4">
        <v>30</v>
      </c>
      <c r="T2819" s="4">
        <v>30</v>
      </c>
      <c r="U2819" s="5" t="s">
        <v>9590</v>
      </c>
      <c r="V2819" s="5" t="s">
        <v>9590</v>
      </c>
      <c r="W2819" s="5" t="s">
        <v>69</v>
      </c>
      <c r="X2819" s="5" t="s">
        <v>69</v>
      </c>
      <c r="Y2819" s="4">
        <v>232</v>
      </c>
      <c r="Z2819" s="4">
        <v>13</v>
      </c>
      <c r="AA2819" s="4">
        <v>13</v>
      </c>
      <c r="AB2819" s="4">
        <v>2</v>
      </c>
      <c r="AC2819" s="4">
        <v>2</v>
      </c>
      <c r="AD2819" s="4">
        <v>46</v>
      </c>
      <c r="AE2819" s="4">
        <v>49</v>
      </c>
      <c r="AF2819" s="4">
        <v>0</v>
      </c>
      <c r="AG2819" s="4">
        <v>0</v>
      </c>
      <c r="AH2819" s="4">
        <v>43</v>
      </c>
      <c r="AI2819" s="4">
        <v>46</v>
      </c>
      <c r="AJ2819" s="4">
        <v>5</v>
      </c>
      <c r="AK2819" s="4">
        <v>5</v>
      </c>
      <c r="AL2819" s="4">
        <v>26</v>
      </c>
      <c r="AM2819" s="4">
        <v>28</v>
      </c>
      <c r="AN2819" s="4">
        <v>0</v>
      </c>
      <c r="AO2819" s="4">
        <v>0</v>
      </c>
      <c r="AP2819" s="4">
        <v>5</v>
      </c>
      <c r="AQ2819" s="4">
        <v>5</v>
      </c>
      <c r="AR2819" s="3" t="s">
        <v>63</v>
      </c>
      <c r="AS2819" s="3" t="s">
        <v>63</v>
      </c>
      <c r="AT2819" s="3" t="s">
        <v>63</v>
      </c>
      <c r="AV2819" s="6" t="str">
        <f>HYPERLINK("http://mcgill.on.worldcat.org/oclc/50291078","Catalog Record")</f>
        <v>Catalog Record</v>
      </c>
      <c r="AW2819" s="6" t="str">
        <f>HYPERLINK("http://www.worldcat.org/oclc/50291078","WorldCat Record")</f>
        <v>WorldCat Record</v>
      </c>
      <c r="AX2819" s="3" t="s">
        <v>23467</v>
      </c>
      <c r="AY2819" s="3" t="s">
        <v>23468</v>
      </c>
      <c r="AZ2819" s="3" t="s">
        <v>23469</v>
      </c>
      <c r="BA2819" s="3" t="s">
        <v>23469</v>
      </c>
      <c r="BB2819" s="3" t="s">
        <v>23470</v>
      </c>
      <c r="BC2819" s="3" t="s">
        <v>82</v>
      </c>
      <c r="BD2819" s="3" t="s">
        <v>538</v>
      </c>
      <c r="BE2819" s="3" t="s">
        <v>23471</v>
      </c>
      <c r="BF2819" s="3" t="s">
        <v>23470</v>
      </c>
      <c r="BG2819" s="3" t="s">
        <v>23472</v>
      </c>
    </row>
    <row r="2820" spans="1:59" ht="60" x14ac:dyDescent="0.25">
      <c r="A2820" s="2" t="s">
        <v>59</v>
      </c>
      <c r="B2820" s="2" t="s">
        <v>60</v>
      </c>
      <c r="C2820" s="2" t="s">
        <v>23462</v>
      </c>
      <c r="D2820" s="2" t="s">
        <v>23463</v>
      </c>
      <c r="E2820" s="2" t="s">
        <v>23473</v>
      </c>
      <c r="G2820" s="3" t="s">
        <v>63</v>
      </c>
      <c r="I2820" s="3" t="s">
        <v>63</v>
      </c>
      <c r="J2820" s="3" t="s">
        <v>63</v>
      </c>
      <c r="K2820" s="3" t="s">
        <v>64</v>
      </c>
      <c r="L2820" s="2" t="s">
        <v>23465</v>
      </c>
      <c r="M2820" s="2" t="s">
        <v>23474</v>
      </c>
      <c r="N2820" s="3" t="s">
        <v>2103</v>
      </c>
      <c r="O2820" s="2" t="s">
        <v>1605</v>
      </c>
      <c r="P2820" s="3" t="s">
        <v>66</v>
      </c>
      <c r="R2820" s="3" t="s">
        <v>67</v>
      </c>
      <c r="S2820" s="4">
        <v>21</v>
      </c>
      <c r="T2820" s="4">
        <v>21</v>
      </c>
      <c r="U2820" s="5" t="s">
        <v>23475</v>
      </c>
      <c r="V2820" s="5" t="s">
        <v>23475</v>
      </c>
      <c r="W2820" s="5" t="s">
        <v>69</v>
      </c>
      <c r="X2820" s="5" t="s">
        <v>69</v>
      </c>
      <c r="Y2820" s="4">
        <v>1253</v>
      </c>
      <c r="Z2820" s="4">
        <v>34</v>
      </c>
      <c r="AA2820" s="4">
        <v>43</v>
      </c>
      <c r="AB2820" s="4">
        <v>3</v>
      </c>
      <c r="AC2820" s="4">
        <v>5</v>
      </c>
      <c r="AD2820" s="4">
        <v>114</v>
      </c>
      <c r="AE2820" s="4">
        <v>118</v>
      </c>
      <c r="AF2820" s="4">
        <v>0</v>
      </c>
      <c r="AG2820" s="4">
        <v>0</v>
      </c>
      <c r="AH2820" s="4">
        <v>102</v>
      </c>
      <c r="AI2820" s="4">
        <v>103</v>
      </c>
      <c r="AJ2820" s="4">
        <v>10</v>
      </c>
      <c r="AK2820" s="4">
        <v>11</v>
      </c>
      <c r="AL2820" s="4">
        <v>59</v>
      </c>
      <c r="AM2820" s="4">
        <v>59</v>
      </c>
      <c r="AN2820" s="4">
        <v>0</v>
      </c>
      <c r="AO2820" s="4">
        <v>0</v>
      </c>
      <c r="AP2820" s="4">
        <v>15</v>
      </c>
      <c r="AQ2820" s="4">
        <v>19</v>
      </c>
      <c r="AR2820" s="3" t="s">
        <v>63</v>
      </c>
      <c r="AS2820" s="3" t="s">
        <v>63</v>
      </c>
      <c r="AT2820" s="3" t="s">
        <v>63</v>
      </c>
      <c r="AV2820" s="6" t="str">
        <f>HYPERLINK("http://mcgill.on.worldcat.org/oclc/47254278","Catalog Record")</f>
        <v>Catalog Record</v>
      </c>
      <c r="AW2820" s="6" t="str">
        <f>HYPERLINK("http://www.worldcat.org/oclc/47254278","WorldCat Record")</f>
        <v>WorldCat Record</v>
      </c>
      <c r="AX2820" s="3" t="s">
        <v>23476</v>
      </c>
      <c r="AY2820" s="3" t="s">
        <v>23477</v>
      </c>
      <c r="AZ2820" s="3" t="s">
        <v>23478</v>
      </c>
      <c r="BA2820" s="3" t="s">
        <v>23478</v>
      </c>
      <c r="BB2820" s="3" t="s">
        <v>23479</v>
      </c>
      <c r="BC2820" s="3" t="s">
        <v>82</v>
      </c>
      <c r="BD2820" s="3" t="s">
        <v>70</v>
      </c>
      <c r="BE2820" s="3" t="s">
        <v>23480</v>
      </c>
      <c r="BF2820" s="3" t="s">
        <v>23479</v>
      </c>
      <c r="BG2820" s="3" t="s">
        <v>23481</v>
      </c>
    </row>
    <row r="2821" spans="1:59" ht="60" x14ac:dyDescent="0.25">
      <c r="A2821" s="2" t="s">
        <v>59</v>
      </c>
      <c r="B2821" s="2" t="s">
        <v>60</v>
      </c>
      <c r="C2821" s="2" t="s">
        <v>23482</v>
      </c>
      <c r="D2821" s="2" t="s">
        <v>23483</v>
      </c>
      <c r="E2821" s="2" t="s">
        <v>23484</v>
      </c>
      <c r="G2821" s="3" t="s">
        <v>63</v>
      </c>
      <c r="I2821" s="3" t="s">
        <v>63</v>
      </c>
      <c r="J2821" s="3" t="s">
        <v>63</v>
      </c>
      <c r="K2821" s="3" t="s">
        <v>64</v>
      </c>
      <c r="L2821" s="2" t="s">
        <v>23485</v>
      </c>
      <c r="M2821" s="2" t="s">
        <v>23486</v>
      </c>
      <c r="N2821" s="3" t="s">
        <v>918</v>
      </c>
      <c r="P2821" s="3" t="s">
        <v>548</v>
      </c>
      <c r="R2821" s="3" t="s">
        <v>67</v>
      </c>
      <c r="S2821" s="4">
        <v>16</v>
      </c>
      <c r="T2821" s="4">
        <v>16</v>
      </c>
      <c r="U2821" s="5" t="s">
        <v>23487</v>
      </c>
      <c r="V2821" s="5" t="s">
        <v>23487</v>
      </c>
      <c r="W2821" s="5" t="s">
        <v>69</v>
      </c>
      <c r="X2821" s="5" t="s">
        <v>69</v>
      </c>
      <c r="Y2821" s="4">
        <v>1</v>
      </c>
      <c r="Z2821" s="4">
        <v>1</v>
      </c>
      <c r="AA2821" s="4">
        <v>3</v>
      </c>
      <c r="AB2821" s="4">
        <v>1</v>
      </c>
      <c r="AC2821" s="4">
        <v>1</v>
      </c>
      <c r="AD2821" s="4">
        <v>0</v>
      </c>
      <c r="AE2821" s="4">
        <v>7</v>
      </c>
      <c r="AF2821" s="4">
        <v>0</v>
      </c>
      <c r="AG2821" s="4">
        <v>0</v>
      </c>
      <c r="AH2821" s="4">
        <v>0</v>
      </c>
      <c r="AI2821" s="4">
        <v>6</v>
      </c>
      <c r="AJ2821" s="4">
        <v>0</v>
      </c>
      <c r="AK2821" s="4">
        <v>2</v>
      </c>
      <c r="AL2821" s="4">
        <v>0</v>
      </c>
      <c r="AM2821" s="4">
        <v>5</v>
      </c>
      <c r="AN2821" s="4">
        <v>0</v>
      </c>
      <c r="AO2821" s="4">
        <v>0</v>
      </c>
      <c r="AP2821" s="4">
        <v>0</v>
      </c>
      <c r="AQ2821" s="4">
        <v>2</v>
      </c>
      <c r="AR2821" s="3" t="s">
        <v>63</v>
      </c>
      <c r="AS2821" s="3" t="s">
        <v>63</v>
      </c>
      <c r="AT2821" s="3" t="s">
        <v>63</v>
      </c>
      <c r="AV2821" s="6" t="str">
        <f>HYPERLINK("http://mcgill.on.worldcat.org/oclc/61591651","Catalog Record")</f>
        <v>Catalog Record</v>
      </c>
      <c r="AW2821" s="6" t="str">
        <f>HYPERLINK("http://www.worldcat.org/oclc/61591651","WorldCat Record")</f>
        <v>WorldCat Record</v>
      </c>
      <c r="AX2821" s="3" t="s">
        <v>23488</v>
      </c>
      <c r="AY2821" s="3" t="s">
        <v>23489</v>
      </c>
      <c r="AZ2821" s="3" t="s">
        <v>23490</v>
      </c>
      <c r="BA2821" s="3" t="s">
        <v>23490</v>
      </c>
      <c r="BB2821" s="3" t="s">
        <v>23491</v>
      </c>
      <c r="BC2821" s="3" t="s">
        <v>82</v>
      </c>
      <c r="BD2821" s="3" t="s">
        <v>70</v>
      </c>
      <c r="BF2821" s="3" t="s">
        <v>23491</v>
      </c>
      <c r="BG2821" s="3" t="s">
        <v>23492</v>
      </c>
    </row>
    <row r="2822" spans="1:59" ht="75" x14ac:dyDescent="0.25">
      <c r="A2822" s="2" t="s">
        <v>59</v>
      </c>
      <c r="B2822" s="2" t="s">
        <v>60</v>
      </c>
      <c r="C2822" s="2" t="s">
        <v>23493</v>
      </c>
      <c r="D2822" s="2" t="s">
        <v>23494</v>
      </c>
      <c r="E2822" s="2" t="s">
        <v>23495</v>
      </c>
      <c r="F2822" s="3" t="s">
        <v>582</v>
      </c>
      <c r="G2822" s="3" t="s">
        <v>62</v>
      </c>
      <c r="I2822" s="3" t="s">
        <v>63</v>
      </c>
      <c r="J2822" s="3" t="s">
        <v>62</v>
      </c>
      <c r="K2822" s="3" t="s">
        <v>64</v>
      </c>
      <c r="L2822" s="2" t="s">
        <v>23496</v>
      </c>
      <c r="M2822" s="2" t="s">
        <v>23497</v>
      </c>
      <c r="N2822" s="3" t="s">
        <v>668</v>
      </c>
      <c r="P2822" s="3" t="s">
        <v>90</v>
      </c>
      <c r="R2822" s="3" t="s">
        <v>67</v>
      </c>
      <c r="S2822" s="4">
        <v>28</v>
      </c>
      <c r="T2822" s="4">
        <v>67</v>
      </c>
      <c r="U2822" s="5" t="s">
        <v>23498</v>
      </c>
      <c r="V2822" s="5" t="s">
        <v>6873</v>
      </c>
      <c r="W2822" s="5" t="s">
        <v>69</v>
      </c>
      <c r="X2822" s="5" t="s">
        <v>69</v>
      </c>
      <c r="Y2822" s="4">
        <v>104</v>
      </c>
      <c r="Z2822" s="4">
        <v>5</v>
      </c>
      <c r="AA2822" s="4">
        <v>12</v>
      </c>
      <c r="AB2822" s="4">
        <v>1</v>
      </c>
      <c r="AC2822" s="4">
        <v>1</v>
      </c>
      <c r="AD2822" s="4">
        <v>47</v>
      </c>
      <c r="AE2822" s="4">
        <v>72</v>
      </c>
      <c r="AF2822" s="4">
        <v>0</v>
      </c>
      <c r="AG2822" s="4">
        <v>0</v>
      </c>
      <c r="AH2822" s="4">
        <v>44</v>
      </c>
      <c r="AI2822" s="4">
        <v>68</v>
      </c>
      <c r="AJ2822" s="4">
        <v>3</v>
      </c>
      <c r="AK2822" s="4">
        <v>8</v>
      </c>
      <c r="AL2822" s="4">
        <v>31</v>
      </c>
      <c r="AM2822" s="4">
        <v>46</v>
      </c>
      <c r="AN2822" s="4">
        <v>0</v>
      </c>
      <c r="AO2822" s="4">
        <v>0</v>
      </c>
      <c r="AP2822" s="4">
        <v>3</v>
      </c>
      <c r="AQ2822" s="4">
        <v>8</v>
      </c>
      <c r="AR2822" s="3" t="s">
        <v>63</v>
      </c>
      <c r="AS2822" s="3" t="s">
        <v>63</v>
      </c>
      <c r="AT2822" s="3" t="s">
        <v>62</v>
      </c>
      <c r="AU2822" s="6" t="str">
        <f>HYPERLINK("http://catalog.hathitrust.org/Record/002521844","HathiTrust Record")</f>
        <v>HathiTrust Record</v>
      </c>
      <c r="AV2822" s="6" t="str">
        <f>HYPERLINK("http://mcgill.on.worldcat.org/oclc/23980548","Catalog Record")</f>
        <v>Catalog Record</v>
      </c>
      <c r="AW2822" s="6" t="str">
        <f>HYPERLINK("http://www.worldcat.org/oclc/23980548","WorldCat Record")</f>
        <v>WorldCat Record</v>
      </c>
      <c r="AX2822" s="3" t="s">
        <v>23499</v>
      </c>
      <c r="AY2822" s="3" t="s">
        <v>23500</v>
      </c>
      <c r="AZ2822" s="3" t="s">
        <v>23501</v>
      </c>
      <c r="BA2822" s="3" t="s">
        <v>23501</v>
      </c>
      <c r="BB2822" s="3" t="s">
        <v>23502</v>
      </c>
      <c r="BC2822" s="3" t="s">
        <v>82</v>
      </c>
      <c r="BD2822" s="3" t="s">
        <v>70</v>
      </c>
      <c r="BE2822" s="3" t="s">
        <v>23503</v>
      </c>
      <c r="BF2822" s="3" t="s">
        <v>23502</v>
      </c>
      <c r="BG2822" s="3" t="s">
        <v>23504</v>
      </c>
    </row>
    <row r="2823" spans="1:59" ht="75" x14ac:dyDescent="0.25">
      <c r="A2823" s="2" t="s">
        <v>59</v>
      </c>
      <c r="B2823" s="2" t="s">
        <v>60</v>
      </c>
      <c r="C2823" s="2" t="s">
        <v>23493</v>
      </c>
      <c r="D2823" s="2" t="s">
        <v>23494</v>
      </c>
      <c r="E2823" s="2" t="s">
        <v>23495</v>
      </c>
      <c r="F2823" s="3" t="s">
        <v>571</v>
      </c>
      <c r="G2823" s="3" t="s">
        <v>62</v>
      </c>
      <c r="I2823" s="3" t="s">
        <v>63</v>
      </c>
      <c r="J2823" s="3" t="s">
        <v>62</v>
      </c>
      <c r="K2823" s="3" t="s">
        <v>64</v>
      </c>
      <c r="L2823" s="2" t="s">
        <v>23496</v>
      </c>
      <c r="M2823" s="2" t="s">
        <v>23497</v>
      </c>
      <c r="N2823" s="3" t="s">
        <v>668</v>
      </c>
      <c r="P2823" s="3" t="s">
        <v>90</v>
      </c>
      <c r="R2823" s="3" t="s">
        <v>67</v>
      </c>
      <c r="S2823" s="4">
        <v>39</v>
      </c>
      <c r="T2823" s="4">
        <v>67</v>
      </c>
      <c r="U2823" s="5" t="s">
        <v>6873</v>
      </c>
      <c r="V2823" s="5" t="s">
        <v>6873</v>
      </c>
      <c r="W2823" s="5" t="s">
        <v>69</v>
      </c>
      <c r="X2823" s="5" t="s">
        <v>69</v>
      </c>
      <c r="Y2823" s="4">
        <v>104</v>
      </c>
      <c r="Z2823" s="4">
        <v>5</v>
      </c>
      <c r="AA2823" s="4">
        <v>12</v>
      </c>
      <c r="AB2823" s="4">
        <v>1</v>
      </c>
      <c r="AC2823" s="4">
        <v>1</v>
      </c>
      <c r="AD2823" s="4">
        <v>47</v>
      </c>
      <c r="AE2823" s="4">
        <v>72</v>
      </c>
      <c r="AF2823" s="4">
        <v>0</v>
      </c>
      <c r="AG2823" s="4">
        <v>0</v>
      </c>
      <c r="AH2823" s="4">
        <v>44</v>
      </c>
      <c r="AI2823" s="4">
        <v>68</v>
      </c>
      <c r="AJ2823" s="4">
        <v>3</v>
      </c>
      <c r="AK2823" s="4">
        <v>8</v>
      </c>
      <c r="AL2823" s="4">
        <v>31</v>
      </c>
      <c r="AM2823" s="4">
        <v>46</v>
      </c>
      <c r="AN2823" s="4">
        <v>0</v>
      </c>
      <c r="AO2823" s="4">
        <v>0</v>
      </c>
      <c r="AP2823" s="4">
        <v>3</v>
      </c>
      <c r="AQ2823" s="4">
        <v>8</v>
      </c>
      <c r="AR2823" s="3" t="s">
        <v>63</v>
      </c>
      <c r="AS2823" s="3" t="s">
        <v>63</v>
      </c>
      <c r="AT2823" s="3" t="s">
        <v>62</v>
      </c>
      <c r="AU2823" s="6" t="str">
        <f>HYPERLINK("http://catalog.hathitrust.org/Record/002521844","HathiTrust Record")</f>
        <v>HathiTrust Record</v>
      </c>
      <c r="AV2823" s="6" t="str">
        <f>HYPERLINK("http://mcgill.on.worldcat.org/oclc/23980548","Catalog Record")</f>
        <v>Catalog Record</v>
      </c>
      <c r="AW2823" s="6" t="str">
        <f>HYPERLINK("http://www.worldcat.org/oclc/23980548","WorldCat Record")</f>
        <v>WorldCat Record</v>
      </c>
      <c r="AX2823" s="3" t="s">
        <v>23499</v>
      </c>
      <c r="AY2823" s="3" t="s">
        <v>23500</v>
      </c>
      <c r="AZ2823" s="3" t="s">
        <v>23501</v>
      </c>
      <c r="BA2823" s="3" t="s">
        <v>23501</v>
      </c>
      <c r="BB2823" s="3" t="s">
        <v>23505</v>
      </c>
      <c r="BC2823" s="3" t="s">
        <v>82</v>
      </c>
      <c r="BD2823" s="3" t="s">
        <v>70</v>
      </c>
      <c r="BE2823" s="3" t="s">
        <v>23503</v>
      </c>
      <c r="BF2823" s="3" t="s">
        <v>23505</v>
      </c>
      <c r="BG2823" s="3" t="s">
        <v>23506</v>
      </c>
    </row>
    <row r="2824" spans="1:59" ht="60" x14ac:dyDescent="0.25">
      <c r="A2824" s="2" t="s">
        <v>59</v>
      </c>
      <c r="B2824" s="2" t="s">
        <v>60</v>
      </c>
      <c r="C2824" s="2" t="s">
        <v>23507</v>
      </c>
      <c r="D2824" s="2" t="s">
        <v>23508</v>
      </c>
      <c r="E2824" s="2" t="s">
        <v>23509</v>
      </c>
      <c r="G2824" s="3" t="s">
        <v>63</v>
      </c>
      <c r="I2824" s="3" t="s">
        <v>63</v>
      </c>
      <c r="J2824" s="3" t="s">
        <v>62</v>
      </c>
      <c r="K2824" s="3" t="s">
        <v>64</v>
      </c>
      <c r="L2824" s="2" t="s">
        <v>23485</v>
      </c>
      <c r="M2824" s="2" t="s">
        <v>23510</v>
      </c>
      <c r="N2824" s="3" t="s">
        <v>1226</v>
      </c>
      <c r="P2824" s="3" t="s">
        <v>66</v>
      </c>
      <c r="R2824" s="3" t="s">
        <v>67</v>
      </c>
      <c r="S2824" s="4">
        <v>14</v>
      </c>
      <c r="T2824" s="4">
        <v>14</v>
      </c>
      <c r="U2824" s="5" t="s">
        <v>17885</v>
      </c>
      <c r="V2824" s="5" t="s">
        <v>17885</v>
      </c>
      <c r="W2824" s="5" t="s">
        <v>69</v>
      </c>
      <c r="X2824" s="5" t="s">
        <v>69</v>
      </c>
      <c r="Y2824" s="4">
        <v>233</v>
      </c>
      <c r="Z2824" s="4">
        <v>14</v>
      </c>
      <c r="AA2824" s="4">
        <v>28</v>
      </c>
      <c r="AB2824" s="4">
        <v>2</v>
      </c>
      <c r="AC2824" s="4">
        <v>4</v>
      </c>
      <c r="AD2824" s="4">
        <v>55</v>
      </c>
      <c r="AE2824" s="4">
        <v>104</v>
      </c>
      <c r="AF2824" s="4">
        <v>0</v>
      </c>
      <c r="AG2824" s="4">
        <v>0</v>
      </c>
      <c r="AH2824" s="4">
        <v>53</v>
      </c>
      <c r="AI2824" s="4">
        <v>95</v>
      </c>
      <c r="AJ2824" s="4">
        <v>7</v>
      </c>
      <c r="AK2824" s="4">
        <v>15</v>
      </c>
      <c r="AL2824" s="4">
        <v>28</v>
      </c>
      <c r="AM2824" s="4">
        <v>53</v>
      </c>
      <c r="AN2824" s="4">
        <v>0</v>
      </c>
      <c r="AO2824" s="4">
        <v>0</v>
      </c>
      <c r="AP2824" s="4">
        <v>7</v>
      </c>
      <c r="AQ2824" s="4">
        <v>16</v>
      </c>
      <c r="AR2824" s="3" t="s">
        <v>63</v>
      </c>
      <c r="AS2824" s="3" t="s">
        <v>63</v>
      </c>
      <c r="AT2824" s="3" t="s">
        <v>63</v>
      </c>
      <c r="AV2824" s="6" t="str">
        <f>HYPERLINK("http://mcgill.on.worldcat.org/oclc/51454502","Catalog Record")</f>
        <v>Catalog Record</v>
      </c>
      <c r="AW2824" s="6" t="str">
        <f>HYPERLINK("http://www.worldcat.org/oclc/51454502","WorldCat Record")</f>
        <v>WorldCat Record</v>
      </c>
      <c r="AX2824" s="3" t="s">
        <v>23511</v>
      </c>
      <c r="AY2824" s="3" t="s">
        <v>23512</v>
      </c>
      <c r="AZ2824" s="3" t="s">
        <v>23513</v>
      </c>
      <c r="BA2824" s="3" t="s">
        <v>23513</v>
      </c>
      <c r="BB2824" s="3" t="s">
        <v>23514</v>
      </c>
      <c r="BC2824" s="3" t="s">
        <v>82</v>
      </c>
      <c r="BD2824" s="3" t="s">
        <v>70</v>
      </c>
      <c r="BE2824" s="3" t="s">
        <v>23515</v>
      </c>
      <c r="BF2824" s="3" t="s">
        <v>23514</v>
      </c>
      <c r="BG2824" s="3" t="s">
        <v>23516</v>
      </c>
    </row>
    <row r="2825" spans="1:59" ht="60" x14ac:dyDescent="0.25">
      <c r="A2825" s="2" t="s">
        <v>59</v>
      </c>
      <c r="B2825" s="2" t="s">
        <v>60</v>
      </c>
      <c r="C2825" s="2" t="s">
        <v>23517</v>
      </c>
      <c r="D2825" s="2" t="s">
        <v>23518</v>
      </c>
      <c r="E2825" s="2" t="s">
        <v>23519</v>
      </c>
      <c r="G2825" s="3" t="s">
        <v>63</v>
      </c>
      <c r="I2825" s="3" t="s">
        <v>63</v>
      </c>
      <c r="J2825" s="3" t="s">
        <v>63</v>
      </c>
      <c r="K2825" s="3" t="s">
        <v>64</v>
      </c>
      <c r="M2825" s="2" t="s">
        <v>23520</v>
      </c>
      <c r="N2825" s="3" t="s">
        <v>204</v>
      </c>
      <c r="P2825" s="3" t="s">
        <v>66</v>
      </c>
      <c r="Q2825" s="2" t="s">
        <v>10845</v>
      </c>
      <c r="R2825" s="3" t="s">
        <v>67</v>
      </c>
      <c r="S2825" s="4">
        <v>27</v>
      </c>
      <c r="T2825" s="4">
        <v>27</v>
      </c>
      <c r="U2825" s="5" t="s">
        <v>13971</v>
      </c>
      <c r="V2825" s="5" t="s">
        <v>13971</v>
      </c>
      <c r="W2825" s="5" t="s">
        <v>69</v>
      </c>
      <c r="X2825" s="5" t="s">
        <v>69</v>
      </c>
      <c r="Y2825" s="4">
        <v>171</v>
      </c>
      <c r="Z2825" s="4">
        <v>13</v>
      </c>
      <c r="AA2825" s="4">
        <v>13</v>
      </c>
      <c r="AB2825" s="4">
        <v>1</v>
      </c>
      <c r="AC2825" s="4">
        <v>1</v>
      </c>
      <c r="AD2825" s="4">
        <v>82</v>
      </c>
      <c r="AE2825" s="4">
        <v>82</v>
      </c>
      <c r="AF2825" s="4">
        <v>0</v>
      </c>
      <c r="AG2825" s="4">
        <v>0</v>
      </c>
      <c r="AH2825" s="4">
        <v>78</v>
      </c>
      <c r="AI2825" s="4">
        <v>78</v>
      </c>
      <c r="AJ2825" s="4">
        <v>11</v>
      </c>
      <c r="AK2825" s="4">
        <v>11</v>
      </c>
      <c r="AL2825" s="4">
        <v>45</v>
      </c>
      <c r="AM2825" s="4">
        <v>45</v>
      </c>
      <c r="AN2825" s="4">
        <v>0</v>
      </c>
      <c r="AO2825" s="4">
        <v>0</v>
      </c>
      <c r="AP2825" s="4">
        <v>11</v>
      </c>
      <c r="AQ2825" s="4">
        <v>11</v>
      </c>
      <c r="AR2825" s="3" t="s">
        <v>63</v>
      </c>
      <c r="AS2825" s="3" t="s">
        <v>63</v>
      </c>
      <c r="AT2825" s="3" t="s">
        <v>62</v>
      </c>
      <c r="AU2825" s="6" t="str">
        <f>HYPERLINK("http://catalog.hathitrust.org/Record/003100855","HathiTrust Record")</f>
        <v>HathiTrust Record</v>
      </c>
      <c r="AV2825" s="6" t="str">
        <f>HYPERLINK("http://mcgill.on.worldcat.org/oclc/34640702","Catalog Record")</f>
        <v>Catalog Record</v>
      </c>
      <c r="AW2825" s="6" t="str">
        <f>HYPERLINK("http://www.worldcat.org/oclc/34640702","WorldCat Record")</f>
        <v>WorldCat Record</v>
      </c>
      <c r="AX2825" s="3" t="s">
        <v>23521</v>
      </c>
      <c r="AY2825" s="3" t="s">
        <v>23522</v>
      </c>
      <c r="AZ2825" s="3" t="s">
        <v>23523</v>
      </c>
      <c r="BA2825" s="3" t="s">
        <v>23523</v>
      </c>
      <c r="BB2825" s="3" t="s">
        <v>23524</v>
      </c>
      <c r="BC2825" s="3" t="s">
        <v>82</v>
      </c>
      <c r="BD2825" s="3" t="s">
        <v>70</v>
      </c>
      <c r="BE2825" s="3" t="s">
        <v>23525</v>
      </c>
      <c r="BF2825" s="3" t="s">
        <v>23524</v>
      </c>
      <c r="BG2825" s="3" t="s">
        <v>23526</v>
      </c>
    </row>
    <row r="2826" spans="1:59" ht="75" x14ac:dyDescent="0.25">
      <c r="A2826" s="2" t="s">
        <v>59</v>
      </c>
      <c r="B2826" s="2" t="s">
        <v>60</v>
      </c>
      <c r="C2826" s="2" t="s">
        <v>23527</v>
      </c>
      <c r="D2826" s="2" t="s">
        <v>23528</v>
      </c>
      <c r="E2826" s="2" t="s">
        <v>23529</v>
      </c>
      <c r="G2826" s="3" t="s">
        <v>63</v>
      </c>
      <c r="I2826" s="3" t="s">
        <v>63</v>
      </c>
      <c r="J2826" s="3" t="s">
        <v>63</v>
      </c>
      <c r="K2826" s="3" t="s">
        <v>64</v>
      </c>
      <c r="L2826" s="2" t="s">
        <v>23530</v>
      </c>
      <c r="M2826" s="2" t="s">
        <v>23531</v>
      </c>
      <c r="N2826" s="3" t="s">
        <v>849</v>
      </c>
      <c r="P2826" s="3" t="s">
        <v>66</v>
      </c>
      <c r="Q2826" s="2" t="s">
        <v>23532</v>
      </c>
      <c r="R2826" s="3" t="s">
        <v>67</v>
      </c>
      <c r="S2826" s="4">
        <v>26</v>
      </c>
      <c r="T2826" s="4">
        <v>26</v>
      </c>
      <c r="U2826" s="5" t="s">
        <v>23533</v>
      </c>
      <c r="V2826" s="5" t="s">
        <v>23533</v>
      </c>
      <c r="W2826" s="5" t="s">
        <v>69</v>
      </c>
      <c r="X2826" s="5" t="s">
        <v>69</v>
      </c>
      <c r="Y2826" s="4">
        <v>129</v>
      </c>
      <c r="Z2826" s="4">
        <v>13</v>
      </c>
      <c r="AA2826" s="4">
        <v>14</v>
      </c>
      <c r="AB2826" s="4">
        <v>1</v>
      </c>
      <c r="AC2826" s="4">
        <v>1</v>
      </c>
      <c r="AD2826" s="4">
        <v>57</v>
      </c>
      <c r="AE2826" s="4">
        <v>58</v>
      </c>
      <c r="AF2826" s="4">
        <v>0</v>
      </c>
      <c r="AG2826" s="4">
        <v>0</v>
      </c>
      <c r="AH2826" s="4">
        <v>52</v>
      </c>
      <c r="AI2826" s="4">
        <v>53</v>
      </c>
      <c r="AJ2826" s="4">
        <v>10</v>
      </c>
      <c r="AK2826" s="4">
        <v>11</v>
      </c>
      <c r="AL2826" s="4">
        <v>33</v>
      </c>
      <c r="AM2826" s="4">
        <v>33</v>
      </c>
      <c r="AN2826" s="4">
        <v>1</v>
      </c>
      <c r="AO2826" s="4">
        <v>1</v>
      </c>
      <c r="AP2826" s="4">
        <v>10</v>
      </c>
      <c r="AQ2826" s="4">
        <v>11</v>
      </c>
      <c r="AR2826" s="3" t="s">
        <v>63</v>
      </c>
      <c r="AS2826" s="3" t="s">
        <v>63</v>
      </c>
      <c r="AT2826" s="3" t="s">
        <v>62</v>
      </c>
      <c r="AU2826" s="6" t="str">
        <f>HYPERLINK("http://catalog.hathitrust.org/Record/000249333","HathiTrust Record")</f>
        <v>HathiTrust Record</v>
      </c>
      <c r="AV2826" s="6" t="str">
        <f>HYPERLINK("http://mcgill.on.worldcat.org/oclc/7667131","Catalog Record")</f>
        <v>Catalog Record</v>
      </c>
      <c r="AW2826" s="6" t="str">
        <f>HYPERLINK("http://www.worldcat.org/oclc/7667131","WorldCat Record")</f>
        <v>WorldCat Record</v>
      </c>
      <c r="AX2826" s="3" t="s">
        <v>23534</v>
      </c>
      <c r="AY2826" s="3" t="s">
        <v>23535</v>
      </c>
      <c r="AZ2826" s="3" t="s">
        <v>23536</v>
      </c>
      <c r="BA2826" s="3" t="s">
        <v>23536</v>
      </c>
      <c r="BB2826" s="3" t="s">
        <v>23537</v>
      </c>
      <c r="BC2826" s="3" t="s">
        <v>82</v>
      </c>
      <c r="BD2826" s="3" t="s">
        <v>70</v>
      </c>
      <c r="BE2826" s="3" t="s">
        <v>23538</v>
      </c>
      <c r="BF2826" s="3" t="s">
        <v>23537</v>
      </c>
      <c r="BG2826" s="3" t="s">
        <v>23539</v>
      </c>
    </row>
    <row r="2827" spans="1:59" ht="60" x14ac:dyDescent="0.25">
      <c r="A2827" s="2" t="s">
        <v>59</v>
      </c>
      <c r="B2827" s="2" t="s">
        <v>60</v>
      </c>
      <c r="C2827" s="2" t="s">
        <v>23540</v>
      </c>
      <c r="D2827" s="2" t="s">
        <v>23541</v>
      </c>
      <c r="E2827" s="2" t="s">
        <v>23542</v>
      </c>
      <c r="G2827" s="3" t="s">
        <v>63</v>
      </c>
      <c r="I2827" s="3" t="s">
        <v>63</v>
      </c>
      <c r="J2827" s="3" t="s">
        <v>63</v>
      </c>
      <c r="K2827" s="3" t="s">
        <v>64</v>
      </c>
      <c r="L2827" s="2" t="s">
        <v>23543</v>
      </c>
      <c r="M2827" s="2" t="s">
        <v>11567</v>
      </c>
      <c r="N2827" s="3" t="s">
        <v>247</v>
      </c>
      <c r="P2827" s="3" t="s">
        <v>66</v>
      </c>
      <c r="R2827" s="3" t="s">
        <v>67</v>
      </c>
      <c r="S2827" s="4">
        <v>36</v>
      </c>
      <c r="T2827" s="4">
        <v>36</v>
      </c>
      <c r="U2827" s="5" t="s">
        <v>328</v>
      </c>
      <c r="V2827" s="5" t="s">
        <v>328</v>
      </c>
      <c r="W2827" s="5" t="s">
        <v>69</v>
      </c>
      <c r="X2827" s="5" t="s">
        <v>69</v>
      </c>
      <c r="Y2827" s="4">
        <v>270</v>
      </c>
      <c r="Z2827" s="4">
        <v>25</v>
      </c>
      <c r="AA2827" s="4">
        <v>25</v>
      </c>
      <c r="AB2827" s="4">
        <v>2</v>
      </c>
      <c r="AC2827" s="4">
        <v>2</v>
      </c>
      <c r="AD2827" s="4">
        <v>105</v>
      </c>
      <c r="AE2827" s="4">
        <v>105</v>
      </c>
      <c r="AF2827" s="4">
        <v>1</v>
      </c>
      <c r="AG2827" s="4">
        <v>1</v>
      </c>
      <c r="AH2827" s="4">
        <v>95</v>
      </c>
      <c r="AI2827" s="4">
        <v>95</v>
      </c>
      <c r="AJ2827" s="4">
        <v>20</v>
      </c>
      <c r="AK2827" s="4">
        <v>20</v>
      </c>
      <c r="AL2827" s="4">
        <v>49</v>
      </c>
      <c r="AM2827" s="4">
        <v>49</v>
      </c>
      <c r="AN2827" s="4">
        <v>0</v>
      </c>
      <c r="AO2827" s="4">
        <v>0</v>
      </c>
      <c r="AP2827" s="4">
        <v>20</v>
      </c>
      <c r="AQ2827" s="4">
        <v>20</v>
      </c>
      <c r="AR2827" s="3" t="s">
        <v>63</v>
      </c>
      <c r="AS2827" s="3" t="s">
        <v>63</v>
      </c>
      <c r="AT2827" s="3" t="s">
        <v>62</v>
      </c>
      <c r="AU2827" s="6" t="str">
        <f>HYPERLINK("http://catalog.hathitrust.org/Record/000149036","HathiTrust Record")</f>
        <v>HathiTrust Record</v>
      </c>
      <c r="AV2827" s="6" t="str">
        <f>HYPERLINK("http://mcgill.on.worldcat.org/oclc/8221472","Catalog Record")</f>
        <v>Catalog Record</v>
      </c>
      <c r="AW2827" s="6" t="str">
        <f>HYPERLINK("http://www.worldcat.org/oclc/8221472","WorldCat Record")</f>
        <v>WorldCat Record</v>
      </c>
      <c r="AX2827" s="3" t="s">
        <v>23544</v>
      </c>
      <c r="AY2827" s="3" t="s">
        <v>23545</v>
      </c>
      <c r="AZ2827" s="3" t="s">
        <v>23546</v>
      </c>
      <c r="BA2827" s="3" t="s">
        <v>23546</v>
      </c>
      <c r="BB2827" s="3" t="s">
        <v>23547</v>
      </c>
      <c r="BC2827" s="3" t="s">
        <v>82</v>
      </c>
      <c r="BD2827" s="3" t="s">
        <v>70</v>
      </c>
      <c r="BE2827" s="3" t="s">
        <v>23548</v>
      </c>
      <c r="BF2827" s="3" t="s">
        <v>23547</v>
      </c>
      <c r="BG2827" s="3" t="s">
        <v>23549</v>
      </c>
    </row>
    <row r="2828" spans="1:59" ht="60" x14ac:dyDescent="0.25">
      <c r="A2828" s="2" t="s">
        <v>59</v>
      </c>
      <c r="B2828" s="2" t="s">
        <v>60</v>
      </c>
      <c r="C2828" s="2" t="s">
        <v>23560</v>
      </c>
      <c r="D2828" s="2" t="s">
        <v>23561</v>
      </c>
      <c r="E2828" s="2" t="s">
        <v>23562</v>
      </c>
      <c r="G2828" s="3" t="s">
        <v>63</v>
      </c>
      <c r="I2828" s="3" t="s">
        <v>63</v>
      </c>
      <c r="J2828" s="3" t="s">
        <v>63</v>
      </c>
      <c r="K2828" s="3" t="s">
        <v>64</v>
      </c>
      <c r="L2828" s="2" t="s">
        <v>23485</v>
      </c>
      <c r="M2828" s="2" t="s">
        <v>23563</v>
      </c>
      <c r="N2828" s="3" t="s">
        <v>427</v>
      </c>
      <c r="P2828" s="3" t="s">
        <v>90</v>
      </c>
      <c r="Q2828" s="2" t="s">
        <v>23564</v>
      </c>
      <c r="R2828" s="3" t="s">
        <v>67</v>
      </c>
      <c r="S2828" s="4">
        <v>40</v>
      </c>
      <c r="T2828" s="4">
        <v>40</v>
      </c>
      <c r="U2828" s="5" t="s">
        <v>23565</v>
      </c>
      <c r="V2828" s="5" t="s">
        <v>23565</v>
      </c>
      <c r="W2828" s="5" t="s">
        <v>69</v>
      </c>
      <c r="X2828" s="5" t="s">
        <v>69</v>
      </c>
      <c r="Y2828" s="4">
        <v>35</v>
      </c>
      <c r="Z2828" s="4">
        <v>5</v>
      </c>
      <c r="AA2828" s="4">
        <v>5</v>
      </c>
      <c r="AB2828" s="4">
        <v>1</v>
      </c>
      <c r="AC2828" s="4">
        <v>1</v>
      </c>
      <c r="AD2828" s="4">
        <v>20</v>
      </c>
      <c r="AE2828" s="4">
        <v>20</v>
      </c>
      <c r="AF2828" s="4">
        <v>0</v>
      </c>
      <c r="AG2828" s="4">
        <v>0</v>
      </c>
      <c r="AH2828" s="4">
        <v>18</v>
      </c>
      <c r="AI2828" s="4">
        <v>18</v>
      </c>
      <c r="AJ2828" s="4">
        <v>3</v>
      </c>
      <c r="AK2828" s="4">
        <v>3</v>
      </c>
      <c r="AL2828" s="4">
        <v>14</v>
      </c>
      <c r="AM2828" s="4">
        <v>14</v>
      </c>
      <c r="AN2828" s="4">
        <v>1</v>
      </c>
      <c r="AO2828" s="4">
        <v>1</v>
      </c>
      <c r="AP2828" s="4">
        <v>3</v>
      </c>
      <c r="AQ2828" s="4">
        <v>3</v>
      </c>
      <c r="AR2828" s="3" t="s">
        <v>63</v>
      </c>
      <c r="AS2828" s="3" t="s">
        <v>63</v>
      </c>
      <c r="AT2828" s="3" t="s">
        <v>62</v>
      </c>
      <c r="AU2828" s="6" t="str">
        <f>HYPERLINK("http://catalog.hathitrust.org/Record/002186333","HathiTrust Record")</f>
        <v>HathiTrust Record</v>
      </c>
      <c r="AV2828" s="6" t="str">
        <f>HYPERLINK("http://mcgill.on.worldcat.org/oclc/18224742","Catalog Record")</f>
        <v>Catalog Record</v>
      </c>
      <c r="AW2828" s="6" t="str">
        <f>HYPERLINK("http://www.worldcat.org/oclc/18224742","WorldCat Record")</f>
        <v>WorldCat Record</v>
      </c>
      <c r="AX2828" s="3" t="s">
        <v>23566</v>
      </c>
      <c r="AY2828" s="3" t="s">
        <v>23567</v>
      </c>
      <c r="AZ2828" s="3" t="s">
        <v>23568</v>
      </c>
      <c r="BA2828" s="3" t="s">
        <v>23568</v>
      </c>
      <c r="BB2828" s="3" t="s">
        <v>23569</v>
      </c>
      <c r="BC2828" s="3" t="s">
        <v>82</v>
      </c>
      <c r="BD2828" s="3" t="s">
        <v>70</v>
      </c>
      <c r="BF2828" s="3" t="s">
        <v>23569</v>
      </c>
      <c r="BG2828" s="3" t="s">
        <v>23570</v>
      </c>
    </row>
    <row r="2829" spans="1:59" ht="60" x14ac:dyDescent="0.25">
      <c r="A2829" s="2" t="s">
        <v>59</v>
      </c>
      <c r="B2829" s="2" t="s">
        <v>60</v>
      </c>
      <c r="C2829" s="2" t="s">
        <v>23571</v>
      </c>
      <c r="D2829" s="2" t="s">
        <v>23572</v>
      </c>
      <c r="E2829" s="2" t="s">
        <v>23573</v>
      </c>
      <c r="G2829" s="3" t="s">
        <v>63</v>
      </c>
      <c r="I2829" s="3" t="s">
        <v>63</v>
      </c>
      <c r="J2829" s="3" t="s">
        <v>63</v>
      </c>
      <c r="K2829" s="3" t="s">
        <v>64</v>
      </c>
      <c r="L2829" s="2" t="s">
        <v>23465</v>
      </c>
      <c r="M2829" s="2" t="s">
        <v>9956</v>
      </c>
      <c r="N2829" s="3" t="s">
        <v>190</v>
      </c>
      <c r="P2829" s="3" t="s">
        <v>66</v>
      </c>
      <c r="Q2829" s="2" t="s">
        <v>9341</v>
      </c>
      <c r="R2829" s="3" t="s">
        <v>67</v>
      </c>
      <c r="S2829" s="4">
        <v>16</v>
      </c>
      <c r="T2829" s="4">
        <v>16</v>
      </c>
      <c r="U2829" s="5" t="s">
        <v>23574</v>
      </c>
      <c r="V2829" s="5" t="s">
        <v>23574</v>
      </c>
      <c r="W2829" s="5" t="s">
        <v>69</v>
      </c>
      <c r="X2829" s="5" t="s">
        <v>69</v>
      </c>
      <c r="Y2829" s="4">
        <v>157</v>
      </c>
      <c r="Z2829" s="4">
        <v>2</v>
      </c>
      <c r="AA2829" s="4">
        <v>4</v>
      </c>
      <c r="AB2829" s="4">
        <v>1</v>
      </c>
      <c r="AC2829" s="4">
        <v>1</v>
      </c>
      <c r="AD2829" s="4">
        <v>29</v>
      </c>
      <c r="AE2829" s="4">
        <v>30</v>
      </c>
      <c r="AF2829" s="4">
        <v>0</v>
      </c>
      <c r="AG2829" s="4">
        <v>0</v>
      </c>
      <c r="AH2829" s="4">
        <v>27</v>
      </c>
      <c r="AI2829" s="4">
        <v>27</v>
      </c>
      <c r="AJ2829" s="4">
        <v>0</v>
      </c>
      <c r="AK2829" s="4">
        <v>1</v>
      </c>
      <c r="AL2829" s="4">
        <v>20</v>
      </c>
      <c r="AM2829" s="4">
        <v>20</v>
      </c>
      <c r="AN2829" s="4">
        <v>0</v>
      </c>
      <c r="AO2829" s="4">
        <v>0</v>
      </c>
      <c r="AP2829" s="4">
        <v>1</v>
      </c>
      <c r="AQ2829" s="4">
        <v>2</v>
      </c>
      <c r="AR2829" s="3" t="s">
        <v>63</v>
      </c>
      <c r="AS2829" s="3" t="s">
        <v>63</v>
      </c>
      <c r="AT2829" s="3" t="s">
        <v>63</v>
      </c>
      <c r="AV2829" s="6" t="str">
        <f>HYPERLINK("http://mcgill.on.worldcat.org/oclc/224292824","Catalog Record")</f>
        <v>Catalog Record</v>
      </c>
      <c r="AW2829" s="6" t="str">
        <f>HYPERLINK("http://www.worldcat.org/oclc/224292824","WorldCat Record")</f>
        <v>WorldCat Record</v>
      </c>
      <c r="AX2829" s="3" t="s">
        <v>23575</v>
      </c>
      <c r="AY2829" s="3" t="s">
        <v>23576</v>
      </c>
      <c r="AZ2829" s="3" t="s">
        <v>23577</v>
      </c>
      <c r="BA2829" s="3" t="s">
        <v>23577</v>
      </c>
      <c r="BB2829" s="3" t="s">
        <v>23578</v>
      </c>
      <c r="BC2829" s="3" t="s">
        <v>82</v>
      </c>
      <c r="BD2829" s="3" t="s">
        <v>70</v>
      </c>
      <c r="BE2829" s="3" t="s">
        <v>23579</v>
      </c>
      <c r="BF2829" s="3" t="s">
        <v>23578</v>
      </c>
      <c r="BG2829" s="3" t="s">
        <v>23580</v>
      </c>
    </row>
    <row r="2830" spans="1:59" ht="60" x14ac:dyDescent="0.25">
      <c r="A2830" s="2" t="s">
        <v>59</v>
      </c>
      <c r="B2830" s="2" t="s">
        <v>60</v>
      </c>
      <c r="C2830" s="2" t="s">
        <v>23581</v>
      </c>
      <c r="D2830" s="2" t="s">
        <v>23582</v>
      </c>
      <c r="E2830" s="2" t="s">
        <v>23583</v>
      </c>
      <c r="G2830" s="3" t="s">
        <v>63</v>
      </c>
      <c r="I2830" s="3" t="s">
        <v>63</v>
      </c>
      <c r="J2830" s="3" t="s">
        <v>63</v>
      </c>
      <c r="K2830" s="3" t="s">
        <v>64</v>
      </c>
      <c r="L2830" s="2" t="s">
        <v>23584</v>
      </c>
      <c r="M2830" s="2" t="s">
        <v>23585</v>
      </c>
      <c r="N2830" s="3" t="s">
        <v>706</v>
      </c>
      <c r="P2830" s="3" t="s">
        <v>66</v>
      </c>
      <c r="R2830" s="3" t="s">
        <v>67</v>
      </c>
      <c r="S2830" s="4">
        <v>9</v>
      </c>
      <c r="T2830" s="4">
        <v>9</v>
      </c>
      <c r="U2830" s="5" t="s">
        <v>23475</v>
      </c>
      <c r="V2830" s="5" t="s">
        <v>23475</v>
      </c>
      <c r="W2830" s="5" t="s">
        <v>69</v>
      </c>
      <c r="X2830" s="5" t="s">
        <v>69</v>
      </c>
      <c r="Y2830" s="4">
        <v>270</v>
      </c>
      <c r="Z2830" s="4">
        <v>21</v>
      </c>
      <c r="AA2830" s="4">
        <v>22</v>
      </c>
      <c r="AB2830" s="4">
        <v>1</v>
      </c>
      <c r="AC2830" s="4">
        <v>2</v>
      </c>
      <c r="AD2830" s="4">
        <v>99</v>
      </c>
      <c r="AE2830" s="4">
        <v>100</v>
      </c>
      <c r="AF2830" s="4">
        <v>0</v>
      </c>
      <c r="AG2830" s="4">
        <v>1</v>
      </c>
      <c r="AH2830" s="4">
        <v>90</v>
      </c>
      <c r="AI2830" s="4">
        <v>90</v>
      </c>
      <c r="AJ2830" s="4">
        <v>17</v>
      </c>
      <c r="AK2830" s="4">
        <v>18</v>
      </c>
      <c r="AL2830" s="4">
        <v>53</v>
      </c>
      <c r="AM2830" s="4">
        <v>53</v>
      </c>
      <c r="AN2830" s="4">
        <v>3</v>
      </c>
      <c r="AO2830" s="4">
        <v>3</v>
      </c>
      <c r="AP2830" s="4">
        <v>17</v>
      </c>
      <c r="AQ2830" s="4">
        <v>17</v>
      </c>
      <c r="AR2830" s="3" t="s">
        <v>63</v>
      </c>
      <c r="AS2830" s="3" t="s">
        <v>63</v>
      </c>
      <c r="AT2830" s="3" t="s">
        <v>62</v>
      </c>
      <c r="AU2830" s="6" t="str">
        <f>HYPERLINK("http://catalog.hathitrust.org/Record/000828046","HathiTrust Record")</f>
        <v>HathiTrust Record</v>
      </c>
      <c r="AV2830" s="6" t="str">
        <f>HYPERLINK("http://mcgill.on.worldcat.org/oclc/16352408","Catalog Record")</f>
        <v>Catalog Record</v>
      </c>
      <c r="AW2830" s="6" t="str">
        <f>HYPERLINK("http://www.worldcat.org/oclc/16352408","WorldCat Record")</f>
        <v>WorldCat Record</v>
      </c>
      <c r="AX2830" s="3" t="s">
        <v>23586</v>
      </c>
      <c r="AY2830" s="3" t="s">
        <v>23587</v>
      </c>
      <c r="AZ2830" s="3" t="s">
        <v>23588</v>
      </c>
      <c r="BA2830" s="3" t="s">
        <v>23588</v>
      </c>
      <c r="BB2830" s="3" t="s">
        <v>23589</v>
      </c>
      <c r="BC2830" s="3" t="s">
        <v>82</v>
      </c>
      <c r="BD2830" s="3" t="s">
        <v>70</v>
      </c>
      <c r="BE2830" s="3" t="s">
        <v>23590</v>
      </c>
      <c r="BF2830" s="3" t="s">
        <v>23589</v>
      </c>
      <c r="BG2830" s="3" t="s">
        <v>23591</v>
      </c>
    </row>
    <row r="2831" spans="1:59" ht="60" x14ac:dyDescent="0.25">
      <c r="A2831" s="2" t="s">
        <v>59</v>
      </c>
      <c r="B2831" s="2" t="s">
        <v>60</v>
      </c>
      <c r="C2831" s="2" t="s">
        <v>23592</v>
      </c>
      <c r="D2831" s="2" t="s">
        <v>23593</v>
      </c>
      <c r="E2831" s="2" t="s">
        <v>23594</v>
      </c>
      <c r="G2831" s="3" t="s">
        <v>63</v>
      </c>
      <c r="I2831" s="3" t="s">
        <v>63</v>
      </c>
      <c r="J2831" s="3" t="s">
        <v>63</v>
      </c>
      <c r="K2831" s="3" t="s">
        <v>64</v>
      </c>
      <c r="L2831" s="2" t="s">
        <v>23595</v>
      </c>
      <c r="M2831" s="2" t="s">
        <v>23596</v>
      </c>
      <c r="N2831" s="3" t="s">
        <v>743</v>
      </c>
      <c r="P2831" s="3" t="s">
        <v>66</v>
      </c>
      <c r="R2831" s="3" t="s">
        <v>67</v>
      </c>
      <c r="S2831" s="4">
        <v>13</v>
      </c>
      <c r="T2831" s="4">
        <v>13</v>
      </c>
      <c r="U2831" s="5" t="s">
        <v>23475</v>
      </c>
      <c r="V2831" s="5" t="s">
        <v>23475</v>
      </c>
      <c r="W2831" s="5" t="s">
        <v>69</v>
      </c>
      <c r="X2831" s="5" t="s">
        <v>69</v>
      </c>
      <c r="Y2831" s="4">
        <v>678</v>
      </c>
      <c r="Z2831" s="4">
        <v>33</v>
      </c>
      <c r="AA2831" s="4">
        <v>34</v>
      </c>
      <c r="AB2831" s="4">
        <v>4</v>
      </c>
      <c r="AC2831" s="4">
        <v>5</v>
      </c>
      <c r="AD2831" s="4">
        <v>120</v>
      </c>
      <c r="AE2831" s="4">
        <v>121</v>
      </c>
      <c r="AF2831" s="4">
        <v>2</v>
      </c>
      <c r="AG2831" s="4">
        <v>3</v>
      </c>
      <c r="AH2831" s="4">
        <v>101</v>
      </c>
      <c r="AI2831" s="4">
        <v>101</v>
      </c>
      <c r="AJ2831" s="4">
        <v>18</v>
      </c>
      <c r="AK2831" s="4">
        <v>19</v>
      </c>
      <c r="AL2831" s="4">
        <v>57</v>
      </c>
      <c r="AM2831" s="4">
        <v>57</v>
      </c>
      <c r="AN2831" s="4">
        <v>0</v>
      </c>
      <c r="AO2831" s="4">
        <v>0</v>
      </c>
      <c r="AP2831" s="4">
        <v>23</v>
      </c>
      <c r="AQ2831" s="4">
        <v>24</v>
      </c>
      <c r="AR2831" s="3" t="s">
        <v>63</v>
      </c>
      <c r="AS2831" s="3" t="s">
        <v>63</v>
      </c>
      <c r="AT2831" s="3" t="s">
        <v>62</v>
      </c>
      <c r="AU2831" s="6" t="str">
        <f>HYPERLINK("http://catalog.hathitrust.org/Record/001223926","HathiTrust Record")</f>
        <v>HathiTrust Record</v>
      </c>
      <c r="AV2831" s="6" t="str">
        <f>HYPERLINK("http://mcgill.on.worldcat.org/oclc/314233","Catalog Record")</f>
        <v>Catalog Record</v>
      </c>
      <c r="AW2831" s="6" t="str">
        <f>HYPERLINK("http://www.worldcat.org/oclc/314233","WorldCat Record")</f>
        <v>WorldCat Record</v>
      </c>
      <c r="AX2831" s="3" t="s">
        <v>23597</v>
      </c>
      <c r="AY2831" s="3" t="s">
        <v>23598</v>
      </c>
      <c r="AZ2831" s="3" t="s">
        <v>23599</v>
      </c>
      <c r="BA2831" s="3" t="s">
        <v>23599</v>
      </c>
      <c r="BB2831" s="3" t="s">
        <v>23600</v>
      </c>
      <c r="BC2831" s="3" t="s">
        <v>82</v>
      </c>
      <c r="BD2831" s="3" t="s">
        <v>70</v>
      </c>
      <c r="BE2831" s="3" t="s">
        <v>23601</v>
      </c>
      <c r="BF2831" s="3" t="s">
        <v>23600</v>
      </c>
      <c r="BG2831" s="3" t="s">
        <v>23602</v>
      </c>
    </row>
    <row r="2832" spans="1:59" ht="60" x14ac:dyDescent="0.25">
      <c r="A2832" s="2" t="s">
        <v>59</v>
      </c>
      <c r="B2832" s="2" t="s">
        <v>60</v>
      </c>
      <c r="C2832" s="2" t="s">
        <v>23603</v>
      </c>
      <c r="D2832" s="2" t="s">
        <v>23604</v>
      </c>
      <c r="E2832" s="2" t="s">
        <v>23605</v>
      </c>
      <c r="G2832" s="3" t="s">
        <v>63</v>
      </c>
      <c r="I2832" s="3" t="s">
        <v>62</v>
      </c>
      <c r="J2832" s="3" t="s">
        <v>63</v>
      </c>
      <c r="K2832" s="3" t="s">
        <v>64</v>
      </c>
      <c r="L2832" s="2" t="s">
        <v>23606</v>
      </c>
      <c r="M2832" s="2" t="s">
        <v>23607</v>
      </c>
      <c r="N2832" s="3" t="s">
        <v>2393</v>
      </c>
      <c r="P2832" s="3" t="s">
        <v>66</v>
      </c>
      <c r="R2832" s="3" t="s">
        <v>67</v>
      </c>
      <c r="S2832" s="4">
        <v>47</v>
      </c>
      <c r="T2832" s="4">
        <v>57</v>
      </c>
      <c r="U2832" s="5" t="s">
        <v>23608</v>
      </c>
      <c r="V2832" s="5" t="s">
        <v>23475</v>
      </c>
      <c r="W2832" s="5" t="s">
        <v>69</v>
      </c>
      <c r="X2832" s="5" t="s">
        <v>69</v>
      </c>
      <c r="Y2832" s="4">
        <v>671</v>
      </c>
      <c r="Z2832" s="4">
        <v>28</v>
      </c>
      <c r="AA2832" s="4">
        <v>28</v>
      </c>
      <c r="AB2832" s="4">
        <v>1</v>
      </c>
      <c r="AC2832" s="4">
        <v>1</v>
      </c>
      <c r="AD2832" s="4">
        <v>120</v>
      </c>
      <c r="AE2832" s="4">
        <v>120</v>
      </c>
      <c r="AF2832" s="4">
        <v>0</v>
      </c>
      <c r="AG2832" s="4">
        <v>0</v>
      </c>
      <c r="AH2832" s="4">
        <v>106</v>
      </c>
      <c r="AI2832" s="4">
        <v>106</v>
      </c>
      <c r="AJ2832" s="4">
        <v>19</v>
      </c>
      <c r="AK2832" s="4">
        <v>19</v>
      </c>
      <c r="AL2832" s="4">
        <v>57</v>
      </c>
      <c r="AM2832" s="4">
        <v>57</v>
      </c>
      <c r="AN2832" s="4">
        <v>0</v>
      </c>
      <c r="AO2832" s="4">
        <v>0</v>
      </c>
      <c r="AP2832" s="4">
        <v>22</v>
      </c>
      <c r="AQ2832" s="4">
        <v>22</v>
      </c>
      <c r="AR2832" s="3" t="s">
        <v>63</v>
      </c>
      <c r="AS2832" s="3" t="s">
        <v>63</v>
      </c>
      <c r="AT2832" s="3" t="s">
        <v>63</v>
      </c>
      <c r="AV2832" s="6" t="str">
        <f>HYPERLINK("http://mcgill.on.worldcat.org/oclc/897897","Catalog Record")</f>
        <v>Catalog Record</v>
      </c>
      <c r="AW2832" s="6" t="str">
        <f>HYPERLINK("http://www.worldcat.org/oclc/897897","WorldCat Record")</f>
        <v>WorldCat Record</v>
      </c>
      <c r="AX2832" s="3" t="s">
        <v>23609</v>
      </c>
      <c r="AY2832" s="3" t="s">
        <v>23610</v>
      </c>
      <c r="AZ2832" s="3" t="s">
        <v>23611</v>
      </c>
      <c r="BA2832" s="3" t="s">
        <v>23611</v>
      </c>
      <c r="BB2832" s="3" t="s">
        <v>23612</v>
      </c>
      <c r="BC2832" s="3" t="s">
        <v>82</v>
      </c>
      <c r="BD2832" s="3" t="s">
        <v>70</v>
      </c>
      <c r="BE2832" s="3" t="s">
        <v>23613</v>
      </c>
      <c r="BF2832" s="3" t="s">
        <v>23612</v>
      </c>
      <c r="BG2832" s="3" t="s">
        <v>23614</v>
      </c>
    </row>
    <row r="2833" spans="1:59" ht="60" x14ac:dyDescent="0.25">
      <c r="A2833" s="2" t="s">
        <v>59</v>
      </c>
      <c r="B2833" s="2" t="s">
        <v>60</v>
      </c>
      <c r="C2833" s="2" t="s">
        <v>23603</v>
      </c>
      <c r="D2833" s="2" t="s">
        <v>23604</v>
      </c>
      <c r="E2833" s="2" t="s">
        <v>23605</v>
      </c>
      <c r="G2833" s="3" t="s">
        <v>63</v>
      </c>
      <c r="I2833" s="3" t="s">
        <v>62</v>
      </c>
      <c r="J2833" s="3" t="s">
        <v>63</v>
      </c>
      <c r="K2833" s="3" t="s">
        <v>64</v>
      </c>
      <c r="L2833" s="2" t="s">
        <v>23606</v>
      </c>
      <c r="M2833" s="2" t="s">
        <v>23607</v>
      </c>
      <c r="N2833" s="3" t="s">
        <v>2393</v>
      </c>
      <c r="P2833" s="3" t="s">
        <v>66</v>
      </c>
      <c r="R2833" s="3" t="s">
        <v>67</v>
      </c>
      <c r="S2833" s="4">
        <v>10</v>
      </c>
      <c r="T2833" s="4">
        <v>57</v>
      </c>
      <c r="U2833" s="5" t="s">
        <v>23475</v>
      </c>
      <c r="V2833" s="5" t="s">
        <v>23475</v>
      </c>
      <c r="W2833" s="5" t="s">
        <v>69</v>
      </c>
      <c r="X2833" s="5" t="s">
        <v>69</v>
      </c>
      <c r="Y2833" s="4">
        <v>671</v>
      </c>
      <c r="Z2833" s="4">
        <v>28</v>
      </c>
      <c r="AA2833" s="4">
        <v>28</v>
      </c>
      <c r="AB2833" s="4">
        <v>1</v>
      </c>
      <c r="AC2833" s="4">
        <v>1</v>
      </c>
      <c r="AD2833" s="4">
        <v>120</v>
      </c>
      <c r="AE2833" s="4">
        <v>120</v>
      </c>
      <c r="AF2833" s="4">
        <v>0</v>
      </c>
      <c r="AG2833" s="4">
        <v>0</v>
      </c>
      <c r="AH2833" s="4">
        <v>106</v>
      </c>
      <c r="AI2833" s="4">
        <v>106</v>
      </c>
      <c r="AJ2833" s="4">
        <v>19</v>
      </c>
      <c r="AK2833" s="4">
        <v>19</v>
      </c>
      <c r="AL2833" s="4">
        <v>57</v>
      </c>
      <c r="AM2833" s="4">
        <v>57</v>
      </c>
      <c r="AN2833" s="4">
        <v>0</v>
      </c>
      <c r="AO2833" s="4">
        <v>0</v>
      </c>
      <c r="AP2833" s="4">
        <v>22</v>
      </c>
      <c r="AQ2833" s="4">
        <v>22</v>
      </c>
      <c r="AR2833" s="3" t="s">
        <v>63</v>
      </c>
      <c r="AS2833" s="3" t="s">
        <v>63</v>
      </c>
      <c r="AT2833" s="3" t="s">
        <v>63</v>
      </c>
      <c r="AV2833" s="6" t="str">
        <f>HYPERLINK("http://mcgill.on.worldcat.org/oclc/897897","Catalog Record")</f>
        <v>Catalog Record</v>
      </c>
      <c r="AW2833" s="6" t="str">
        <f>HYPERLINK("http://www.worldcat.org/oclc/897897","WorldCat Record")</f>
        <v>WorldCat Record</v>
      </c>
      <c r="AX2833" s="3" t="s">
        <v>23609</v>
      </c>
      <c r="AY2833" s="3" t="s">
        <v>23610</v>
      </c>
      <c r="AZ2833" s="3" t="s">
        <v>23611</v>
      </c>
      <c r="BA2833" s="3" t="s">
        <v>23611</v>
      </c>
      <c r="BB2833" s="3" t="s">
        <v>23615</v>
      </c>
      <c r="BC2833" s="3" t="s">
        <v>82</v>
      </c>
      <c r="BD2833" s="3" t="s">
        <v>70</v>
      </c>
      <c r="BE2833" s="3" t="s">
        <v>23613</v>
      </c>
      <c r="BF2833" s="3" t="s">
        <v>23615</v>
      </c>
      <c r="BG2833" s="3" t="s">
        <v>23616</v>
      </c>
    </row>
    <row r="2834" spans="1:59" ht="60" x14ac:dyDescent="0.25">
      <c r="A2834" s="2" t="s">
        <v>59</v>
      </c>
      <c r="B2834" s="2" t="s">
        <v>60</v>
      </c>
      <c r="C2834" s="2" t="s">
        <v>23617</v>
      </c>
      <c r="D2834" s="2" t="s">
        <v>23618</v>
      </c>
      <c r="E2834" s="2" t="s">
        <v>23619</v>
      </c>
      <c r="G2834" s="3" t="s">
        <v>63</v>
      </c>
      <c r="I2834" s="3" t="s">
        <v>63</v>
      </c>
      <c r="J2834" s="3" t="s">
        <v>63</v>
      </c>
      <c r="K2834" s="3" t="s">
        <v>64</v>
      </c>
      <c r="L2834" s="2" t="s">
        <v>23584</v>
      </c>
      <c r="M2834" s="2" t="s">
        <v>23620</v>
      </c>
      <c r="N2834" s="3" t="s">
        <v>76</v>
      </c>
      <c r="P2834" s="3" t="s">
        <v>66</v>
      </c>
      <c r="Q2834" s="2" t="s">
        <v>23621</v>
      </c>
      <c r="R2834" s="3" t="s">
        <v>67</v>
      </c>
      <c r="S2834" s="4">
        <v>4</v>
      </c>
      <c r="T2834" s="4">
        <v>4</v>
      </c>
      <c r="U2834" s="5" t="s">
        <v>23622</v>
      </c>
      <c r="V2834" s="5" t="s">
        <v>23622</v>
      </c>
      <c r="W2834" s="5" t="s">
        <v>69</v>
      </c>
      <c r="X2834" s="5" t="s">
        <v>69</v>
      </c>
      <c r="Y2834" s="4">
        <v>114</v>
      </c>
      <c r="Z2834" s="4">
        <v>9</v>
      </c>
      <c r="AA2834" s="4">
        <v>90</v>
      </c>
      <c r="AB2834" s="4">
        <v>1</v>
      </c>
      <c r="AC2834" s="4">
        <v>17</v>
      </c>
      <c r="AD2834" s="4">
        <v>38</v>
      </c>
      <c r="AE2834" s="4">
        <v>124</v>
      </c>
      <c r="AF2834" s="4">
        <v>0</v>
      </c>
      <c r="AG2834" s="4">
        <v>8</v>
      </c>
      <c r="AH2834" s="4">
        <v>35</v>
      </c>
      <c r="AI2834" s="4">
        <v>87</v>
      </c>
      <c r="AJ2834" s="4">
        <v>6</v>
      </c>
      <c r="AK2834" s="4">
        <v>21</v>
      </c>
      <c r="AL2834" s="4">
        <v>29</v>
      </c>
      <c r="AM2834" s="4">
        <v>50</v>
      </c>
      <c r="AN2834" s="4">
        <v>0</v>
      </c>
      <c r="AO2834" s="4">
        <v>0</v>
      </c>
      <c r="AP2834" s="4">
        <v>6</v>
      </c>
      <c r="AQ2834" s="4">
        <v>42</v>
      </c>
      <c r="AR2834" s="3" t="s">
        <v>63</v>
      </c>
      <c r="AS2834" s="3" t="s">
        <v>63</v>
      </c>
      <c r="AT2834" s="3" t="s">
        <v>63</v>
      </c>
      <c r="AV2834" s="6" t="str">
        <f>HYPERLINK("http://mcgill.on.worldcat.org/oclc/744287183","Catalog Record")</f>
        <v>Catalog Record</v>
      </c>
      <c r="AW2834" s="6" t="str">
        <f>HYPERLINK("http://www.worldcat.org/oclc/744287183","WorldCat Record")</f>
        <v>WorldCat Record</v>
      </c>
      <c r="AX2834" s="3" t="s">
        <v>23623</v>
      </c>
      <c r="AY2834" s="3" t="s">
        <v>23624</v>
      </c>
      <c r="AZ2834" s="3" t="s">
        <v>23625</v>
      </c>
      <c r="BA2834" s="3" t="s">
        <v>23625</v>
      </c>
      <c r="BB2834" s="3" t="s">
        <v>23626</v>
      </c>
      <c r="BC2834" s="3" t="s">
        <v>82</v>
      </c>
      <c r="BD2834" s="3" t="s">
        <v>70</v>
      </c>
      <c r="BE2834" s="3" t="s">
        <v>23627</v>
      </c>
      <c r="BF2834" s="3" t="s">
        <v>23626</v>
      </c>
      <c r="BG2834" s="3" t="s">
        <v>23628</v>
      </c>
    </row>
    <row r="2835" spans="1:59" ht="60" x14ac:dyDescent="0.25">
      <c r="A2835" s="2" t="s">
        <v>59</v>
      </c>
      <c r="B2835" s="2" t="s">
        <v>60</v>
      </c>
      <c r="C2835" s="2" t="s">
        <v>23629</v>
      </c>
      <c r="D2835" s="2" t="s">
        <v>23630</v>
      </c>
      <c r="E2835" s="2" t="s">
        <v>23631</v>
      </c>
      <c r="G2835" s="3" t="s">
        <v>63</v>
      </c>
      <c r="I2835" s="3" t="s">
        <v>63</v>
      </c>
      <c r="J2835" s="3" t="s">
        <v>63</v>
      </c>
      <c r="K2835" s="3" t="s">
        <v>64</v>
      </c>
      <c r="L2835" s="2" t="s">
        <v>23632</v>
      </c>
      <c r="M2835" s="2" t="s">
        <v>1284</v>
      </c>
      <c r="N2835" s="3" t="s">
        <v>76</v>
      </c>
      <c r="P2835" s="3" t="s">
        <v>66</v>
      </c>
      <c r="Q2835" s="2" t="s">
        <v>23633</v>
      </c>
      <c r="R2835" s="3" t="s">
        <v>67</v>
      </c>
      <c r="S2835" s="4">
        <v>2</v>
      </c>
      <c r="T2835" s="4">
        <v>2</v>
      </c>
      <c r="U2835" s="5" t="s">
        <v>8446</v>
      </c>
      <c r="V2835" s="5" t="s">
        <v>8446</v>
      </c>
      <c r="W2835" s="5" t="s">
        <v>69</v>
      </c>
      <c r="X2835" s="5" t="s">
        <v>69</v>
      </c>
      <c r="Y2835" s="4">
        <v>139</v>
      </c>
      <c r="Z2835" s="4">
        <v>11</v>
      </c>
      <c r="AA2835" s="4">
        <v>17</v>
      </c>
      <c r="AB2835" s="4">
        <v>1</v>
      </c>
      <c r="AC2835" s="4">
        <v>5</v>
      </c>
      <c r="AD2835" s="4">
        <v>70</v>
      </c>
      <c r="AE2835" s="4">
        <v>79</v>
      </c>
      <c r="AF2835" s="4">
        <v>0</v>
      </c>
      <c r="AG2835" s="4">
        <v>1</v>
      </c>
      <c r="AH2835" s="4">
        <v>66</v>
      </c>
      <c r="AI2835" s="4">
        <v>72</v>
      </c>
      <c r="AJ2835" s="4">
        <v>7</v>
      </c>
      <c r="AK2835" s="4">
        <v>9</v>
      </c>
      <c r="AL2835" s="4">
        <v>47</v>
      </c>
      <c r="AM2835" s="4">
        <v>51</v>
      </c>
      <c r="AN2835" s="4">
        <v>0</v>
      </c>
      <c r="AO2835" s="4">
        <v>0</v>
      </c>
      <c r="AP2835" s="4">
        <v>7</v>
      </c>
      <c r="AQ2835" s="4">
        <v>10</v>
      </c>
      <c r="AR2835" s="3" t="s">
        <v>63</v>
      </c>
      <c r="AS2835" s="3" t="s">
        <v>63</v>
      </c>
      <c r="AT2835" s="3" t="s">
        <v>63</v>
      </c>
      <c r="AV2835" s="6" t="str">
        <f>HYPERLINK("http://mcgill.on.worldcat.org/oclc/764361117","Catalog Record")</f>
        <v>Catalog Record</v>
      </c>
      <c r="AW2835" s="6" t="str">
        <f>HYPERLINK("http://www.worldcat.org/oclc/764361117","WorldCat Record")</f>
        <v>WorldCat Record</v>
      </c>
      <c r="AX2835" s="3" t="s">
        <v>23634</v>
      </c>
      <c r="AY2835" s="3" t="s">
        <v>23635</v>
      </c>
      <c r="AZ2835" s="3" t="s">
        <v>23636</v>
      </c>
      <c r="BA2835" s="3" t="s">
        <v>23636</v>
      </c>
      <c r="BB2835" s="3" t="s">
        <v>23637</v>
      </c>
      <c r="BC2835" s="3" t="s">
        <v>82</v>
      </c>
      <c r="BD2835" s="3" t="s">
        <v>70</v>
      </c>
      <c r="BE2835" s="3" t="s">
        <v>23638</v>
      </c>
      <c r="BF2835" s="3" t="s">
        <v>23637</v>
      </c>
      <c r="BG2835" s="3" t="s">
        <v>23639</v>
      </c>
    </row>
    <row r="2836" spans="1:59" ht="75" x14ac:dyDescent="0.25">
      <c r="A2836" s="2" t="s">
        <v>59</v>
      </c>
      <c r="B2836" s="2" t="s">
        <v>60</v>
      </c>
      <c r="C2836" s="2" t="s">
        <v>23640</v>
      </c>
      <c r="D2836" s="2" t="s">
        <v>23641</v>
      </c>
      <c r="E2836" s="2" t="s">
        <v>23642</v>
      </c>
      <c r="G2836" s="3" t="s">
        <v>63</v>
      </c>
      <c r="I2836" s="3" t="s">
        <v>63</v>
      </c>
      <c r="J2836" s="3" t="s">
        <v>63</v>
      </c>
      <c r="K2836" s="3" t="s">
        <v>64</v>
      </c>
      <c r="L2836" s="2" t="s">
        <v>23643</v>
      </c>
      <c r="M2836" s="2" t="s">
        <v>23644</v>
      </c>
      <c r="N2836" s="3" t="s">
        <v>546</v>
      </c>
      <c r="P2836" s="3" t="s">
        <v>90</v>
      </c>
      <c r="R2836" s="3" t="s">
        <v>67</v>
      </c>
      <c r="S2836" s="4">
        <v>5</v>
      </c>
      <c r="T2836" s="4">
        <v>5</v>
      </c>
      <c r="U2836" s="5" t="s">
        <v>23645</v>
      </c>
      <c r="V2836" s="5" t="s">
        <v>23645</v>
      </c>
      <c r="W2836" s="5" t="s">
        <v>69</v>
      </c>
      <c r="X2836" s="5" t="s">
        <v>69</v>
      </c>
      <c r="Y2836" s="4">
        <v>3</v>
      </c>
      <c r="Z2836" s="4">
        <v>1</v>
      </c>
      <c r="AA2836" s="4">
        <v>1</v>
      </c>
      <c r="AB2836" s="4">
        <v>1</v>
      </c>
      <c r="AC2836" s="4">
        <v>1</v>
      </c>
      <c r="AD2836" s="4">
        <v>1</v>
      </c>
      <c r="AE2836" s="4">
        <v>1</v>
      </c>
      <c r="AF2836" s="4">
        <v>0</v>
      </c>
      <c r="AG2836" s="4">
        <v>0</v>
      </c>
      <c r="AH2836" s="4">
        <v>1</v>
      </c>
      <c r="AI2836" s="4">
        <v>1</v>
      </c>
      <c r="AJ2836" s="4">
        <v>0</v>
      </c>
      <c r="AK2836" s="4">
        <v>0</v>
      </c>
      <c r="AL2836" s="4">
        <v>1</v>
      </c>
      <c r="AM2836" s="4">
        <v>1</v>
      </c>
      <c r="AN2836" s="4">
        <v>0</v>
      </c>
      <c r="AO2836" s="4">
        <v>2</v>
      </c>
      <c r="AP2836" s="4">
        <v>0</v>
      </c>
      <c r="AQ2836" s="4">
        <v>0</v>
      </c>
      <c r="AR2836" s="3" t="s">
        <v>63</v>
      </c>
      <c r="AS2836" s="3" t="s">
        <v>63</v>
      </c>
      <c r="AT2836" s="3" t="s">
        <v>63</v>
      </c>
      <c r="AV2836" s="6" t="str">
        <f>HYPERLINK("http://mcgill.on.worldcat.org/oclc/3602621","Catalog Record")</f>
        <v>Catalog Record</v>
      </c>
      <c r="AW2836" s="6" t="str">
        <f>HYPERLINK("http://www.worldcat.org/oclc/3602621","WorldCat Record")</f>
        <v>WorldCat Record</v>
      </c>
      <c r="AX2836" s="3" t="s">
        <v>23646</v>
      </c>
      <c r="AY2836" s="3" t="s">
        <v>23647</v>
      </c>
      <c r="AZ2836" s="3" t="s">
        <v>23648</v>
      </c>
      <c r="BA2836" s="3" t="s">
        <v>23648</v>
      </c>
      <c r="BB2836" s="3" t="s">
        <v>23649</v>
      </c>
      <c r="BC2836" s="3" t="s">
        <v>82</v>
      </c>
      <c r="BD2836" s="3" t="s">
        <v>70</v>
      </c>
      <c r="BF2836" s="3" t="s">
        <v>23649</v>
      </c>
      <c r="BG2836" s="3" t="s">
        <v>23650</v>
      </c>
    </row>
    <row r="2837" spans="1:59" ht="75" x14ac:dyDescent="0.25">
      <c r="A2837" s="2" t="s">
        <v>59</v>
      </c>
      <c r="B2837" s="2" t="s">
        <v>60</v>
      </c>
      <c r="C2837" s="2" t="s">
        <v>23651</v>
      </c>
      <c r="D2837" s="2" t="s">
        <v>23652</v>
      </c>
      <c r="E2837" s="2" t="s">
        <v>23653</v>
      </c>
      <c r="G2837" s="3" t="s">
        <v>63</v>
      </c>
      <c r="I2837" s="3" t="s">
        <v>63</v>
      </c>
      <c r="J2837" s="3" t="s">
        <v>63</v>
      </c>
      <c r="K2837" s="3" t="s">
        <v>64</v>
      </c>
      <c r="L2837" s="2" t="s">
        <v>23654</v>
      </c>
      <c r="M2837" s="2" t="s">
        <v>23655</v>
      </c>
      <c r="N2837" s="3" t="s">
        <v>130</v>
      </c>
      <c r="P2837" s="3" t="s">
        <v>66</v>
      </c>
      <c r="R2837" s="3" t="s">
        <v>67</v>
      </c>
      <c r="S2837" s="4">
        <v>1</v>
      </c>
      <c r="T2837" s="4">
        <v>1</v>
      </c>
      <c r="U2837" s="5" t="s">
        <v>23656</v>
      </c>
      <c r="V2837" s="5" t="s">
        <v>23656</v>
      </c>
      <c r="W2837" s="5" t="s">
        <v>69</v>
      </c>
      <c r="X2837" s="5" t="s">
        <v>69</v>
      </c>
      <c r="Y2837" s="4">
        <v>3</v>
      </c>
      <c r="Z2837" s="4">
        <v>1</v>
      </c>
      <c r="AA2837" s="4">
        <v>1</v>
      </c>
      <c r="AB2837" s="4">
        <v>1</v>
      </c>
      <c r="AC2837" s="4">
        <v>1</v>
      </c>
      <c r="AD2837" s="4">
        <v>1</v>
      </c>
      <c r="AE2837" s="4">
        <v>1</v>
      </c>
      <c r="AF2837" s="4">
        <v>0</v>
      </c>
      <c r="AG2837" s="4">
        <v>0</v>
      </c>
      <c r="AH2837" s="4">
        <v>1</v>
      </c>
      <c r="AI2837" s="4">
        <v>1</v>
      </c>
      <c r="AJ2837" s="4">
        <v>0</v>
      </c>
      <c r="AK2837" s="4">
        <v>0</v>
      </c>
      <c r="AL2837" s="4">
        <v>1</v>
      </c>
      <c r="AM2837" s="4">
        <v>1</v>
      </c>
      <c r="AN2837" s="4">
        <v>0</v>
      </c>
      <c r="AO2837" s="4">
        <v>0</v>
      </c>
      <c r="AP2837" s="4">
        <v>0</v>
      </c>
      <c r="AQ2837" s="4">
        <v>0</v>
      </c>
      <c r="AR2837" s="3" t="s">
        <v>63</v>
      </c>
      <c r="AS2837" s="3" t="s">
        <v>63</v>
      </c>
      <c r="AT2837" s="3" t="s">
        <v>63</v>
      </c>
      <c r="AV2837" s="6" t="str">
        <f>HYPERLINK("http://mcgill.on.worldcat.org/oclc/910079316","Catalog Record")</f>
        <v>Catalog Record</v>
      </c>
      <c r="AW2837" s="6" t="str">
        <f>HYPERLINK("http://www.worldcat.org/oclc/910079316","WorldCat Record")</f>
        <v>WorldCat Record</v>
      </c>
      <c r="AX2837" s="3" t="s">
        <v>23657</v>
      </c>
      <c r="AY2837" s="3" t="s">
        <v>23658</v>
      </c>
      <c r="AZ2837" s="3" t="s">
        <v>23659</v>
      </c>
      <c r="BA2837" s="3" t="s">
        <v>23659</v>
      </c>
      <c r="BB2837" s="3" t="s">
        <v>23660</v>
      </c>
      <c r="BC2837" s="3" t="s">
        <v>82</v>
      </c>
      <c r="BD2837" s="3" t="s">
        <v>70</v>
      </c>
      <c r="BE2837" s="3" t="s">
        <v>23661</v>
      </c>
      <c r="BF2837" s="3" t="s">
        <v>23660</v>
      </c>
      <c r="BG2837" s="3" t="s">
        <v>23662</v>
      </c>
    </row>
    <row r="2838" spans="1:59" ht="60" x14ac:dyDescent="0.25">
      <c r="A2838" s="2" t="s">
        <v>59</v>
      </c>
      <c r="B2838" s="2" t="s">
        <v>60</v>
      </c>
      <c r="C2838" s="2" t="s">
        <v>23663</v>
      </c>
      <c r="D2838" s="2" t="s">
        <v>23664</v>
      </c>
      <c r="E2838" s="2" t="s">
        <v>23665</v>
      </c>
      <c r="G2838" s="3" t="s">
        <v>63</v>
      </c>
      <c r="I2838" s="3" t="s">
        <v>63</v>
      </c>
      <c r="J2838" s="3" t="s">
        <v>63</v>
      </c>
      <c r="K2838" s="3" t="s">
        <v>64</v>
      </c>
      <c r="L2838" s="2" t="s">
        <v>23654</v>
      </c>
      <c r="M2838" s="2" t="s">
        <v>23666</v>
      </c>
      <c r="N2838" s="3" t="s">
        <v>2043</v>
      </c>
      <c r="O2838" s="2" t="s">
        <v>23667</v>
      </c>
      <c r="P2838" s="3" t="s">
        <v>66</v>
      </c>
      <c r="Q2838" s="2" t="s">
        <v>23668</v>
      </c>
      <c r="R2838" s="3" t="s">
        <v>67</v>
      </c>
      <c r="S2838" s="4">
        <v>3</v>
      </c>
      <c r="T2838" s="4">
        <v>3</v>
      </c>
      <c r="U2838" s="5" t="s">
        <v>23669</v>
      </c>
      <c r="V2838" s="5" t="s">
        <v>23669</v>
      </c>
      <c r="W2838" s="5" t="s">
        <v>69</v>
      </c>
      <c r="X2838" s="5" t="s">
        <v>69</v>
      </c>
      <c r="Y2838" s="4">
        <v>39</v>
      </c>
      <c r="Z2838" s="4">
        <v>6</v>
      </c>
      <c r="AA2838" s="4">
        <v>16</v>
      </c>
      <c r="AB2838" s="4">
        <v>1</v>
      </c>
      <c r="AC2838" s="4">
        <v>1</v>
      </c>
      <c r="AD2838" s="4">
        <v>15</v>
      </c>
      <c r="AE2838" s="4">
        <v>74</v>
      </c>
      <c r="AF2838" s="4">
        <v>0</v>
      </c>
      <c r="AG2838" s="4">
        <v>0</v>
      </c>
      <c r="AH2838" s="4">
        <v>14</v>
      </c>
      <c r="AI2838" s="4">
        <v>70</v>
      </c>
      <c r="AJ2838" s="4">
        <v>3</v>
      </c>
      <c r="AK2838" s="4">
        <v>9</v>
      </c>
      <c r="AL2838" s="4">
        <v>10</v>
      </c>
      <c r="AM2838" s="4">
        <v>39</v>
      </c>
      <c r="AN2838" s="4">
        <v>0</v>
      </c>
      <c r="AO2838" s="4">
        <v>0</v>
      </c>
      <c r="AP2838" s="4">
        <v>4</v>
      </c>
      <c r="AQ2838" s="4">
        <v>11</v>
      </c>
      <c r="AR2838" s="3" t="s">
        <v>63</v>
      </c>
      <c r="AS2838" s="3" t="s">
        <v>63</v>
      </c>
      <c r="AT2838" s="3" t="s">
        <v>63</v>
      </c>
      <c r="AV2838" s="6" t="str">
        <f>HYPERLINK("http://mcgill.on.worldcat.org/oclc/6487676","Catalog Record")</f>
        <v>Catalog Record</v>
      </c>
      <c r="AW2838" s="6" t="str">
        <f>HYPERLINK("http://www.worldcat.org/oclc/6487676","WorldCat Record")</f>
        <v>WorldCat Record</v>
      </c>
      <c r="AX2838" s="3" t="s">
        <v>23670</v>
      </c>
      <c r="AY2838" s="3" t="s">
        <v>23671</v>
      </c>
      <c r="AZ2838" s="3" t="s">
        <v>23672</v>
      </c>
      <c r="BA2838" s="3" t="s">
        <v>23672</v>
      </c>
      <c r="BB2838" s="3" t="s">
        <v>23673</v>
      </c>
      <c r="BC2838" s="3" t="s">
        <v>82</v>
      </c>
      <c r="BD2838" s="3" t="s">
        <v>70</v>
      </c>
      <c r="BF2838" s="3" t="s">
        <v>23673</v>
      </c>
      <c r="BG2838" s="3" t="s">
        <v>23674</v>
      </c>
    </row>
    <row r="2839" spans="1:59" ht="75" x14ac:dyDescent="0.25">
      <c r="A2839" s="2" t="s">
        <v>59</v>
      </c>
      <c r="B2839" s="2" t="s">
        <v>60</v>
      </c>
      <c r="C2839" s="2" t="s">
        <v>23675</v>
      </c>
      <c r="D2839" s="2" t="s">
        <v>23676</v>
      </c>
      <c r="E2839" s="2" t="s">
        <v>23677</v>
      </c>
      <c r="G2839" s="3" t="s">
        <v>63</v>
      </c>
      <c r="I2839" s="3" t="s">
        <v>63</v>
      </c>
      <c r="J2839" s="3" t="s">
        <v>63</v>
      </c>
      <c r="K2839" s="3" t="s">
        <v>64</v>
      </c>
      <c r="L2839" s="2" t="s">
        <v>23678</v>
      </c>
      <c r="M2839" s="2" t="s">
        <v>23679</v>
      </c>
      <c r="N2839" s="3" t="s">
        <v>2765</v>
      </c>
      <c r="P2839" s="3" t="s">
        <v>90</v>
      </c>
      <c r="Q2839" s="2" t="s">
        <v>23680</v>
      </c>
      <c r="R2839" s="3" t="s">
        <v>67</v>
      </c>
      <c r="S2839" s="4">
        <v>0</v>
      </c>
      <c r="T2839" s="4">
        <v>0</v>
      </c>
      <c r="W2839" s="5" t="s">
        <v>69</v>
      </c>
      <c r="X2839" s="5" t="s">
        <v>69</v>
      </c>
      <c r="Y2839" s="4">
        <v>13</v>
      </c>
      <c r="Z2839" s="4">
        <v>3</v>
      </c>
      <c r="AA2839" s="4">
        <v>3</v>
      </c>
      <c r="AB2839" s="4">
        <v>1</v>
      </c>
      <c r="AC2839" s="4">
        <v>1</v>
      </c>
      <c r="AD2839" s="4">
        <v>8</v>
      </c>
      <c r="AE2839" s="4">
        <v>8</v>
      </c>
      <c r="AF2839" s="4">
        <v>0</v>
      </c>
      <c r="AG2839" s="4">
        <v>0</v>
      </c>
      <c r="AH2839" s="4">
        <v>7</v>
      </c>
      <c r="AI2839" s="4">
        <v>7</v>
      </c>
      <c r="AJ2839" s="4">
        <v>1</v>
      </c>
      <c r="AK2839" s="4">
        <v>1</v>
      </c>
      <c r="AL2839" s="4">
        <v>7</v>
      </c>
      <c r="AM2839" s="4">
        <v>7</v>
      </c>
      <c r="AN2839" s="4">
        <v>0</v>
      </c>
      <c r="AO2839" s="4">
        <v>0</v>
      </c>
      <c r="AP2839" s="4">
        <v>1</v>
      </c>
      <c r="AQ2839" s="4">
        <v>1</v>
      </c>
      <c r="AR2839" s="3" t="s">
        <v>63</v>
      </c>
      <c r="AS2839" s="3" t="s">
        <v>63</v>
      </c>
      <c r="AT2839" s="3" t="s">
        <v>63</v>
      </c>
      <c r="AV2839" s="6" t="str">
        <f>HYPERLINK("http://mcgill.on.worldcat.org/oclc/911305762","Catalog Record")</f>
        <v>Catalog Record</v>
      </c>
      <c r="AW2839" s="6" t="str">
        <f>HYPERLINK("http://www.worldcat.org/oclc/911305762","WorldCat Record")</f>
        <v>WorldCat Record</v>
      </c>
      <c r="AX2839" s="3" t="s">
        <v>23681</v>
      </c>
      <c r="AY2839" s="3" t="s">
        <v>23682</v>
      </c>
      <c r="AZ2839" s="3" t="s">
        <v>23683</v>
      </c>
      <c r="BA2839" s="3" t="s">
        <v>23683</v>
      </c>
      <c r="BB2839" s="3" t="s">
        <v>23684</v>
      </c>
      <c r="BC2839" s="3" t="s">
        <v>82</v>
      </c>
      <c r="BD2839" s="3" t="s">
        <v>70</v>
      </c>
      <c r="BE2839" s="3" t="s">
        <v>23685</v>
      </c>
      <c r="BF2839" s="3" t="s">
        <v>23684</v>
      </c>
      <c r="BG2839" s="3" t="s">
        <v>23686</v>
      </c>
    </row>
    <row r="2840" spans="1:59" ht="60" x14ac:dyDescent="0.25">
      <c r="A2840" s="2" t="s">
        <v>59</v>
      </c>
      <c r="B2840" s="2" t="s">
        <v>60</v>
      </c>
      <c r="C2840" s="2" t="s">
        <v>23687</v>
      </c>
      <c r="D2840" s="2" t="s">
        <v>23688</v>
      </c>
      <c r="E2840" s="2" t="s">
        <v>23689</v>
      </c>
      <c r="G2840" s="3" t="s">
        <v>63</v>
      </c>
      <c r="I2840" s="3" t="s">
        <v>63</v>
      </c>
      <c r="J2840" s="3" t="s">
        <v>63</v>
      </c>
      <c r="K2840" s="3" t="s">
        <v>64</v>
      </c>
      <c r="L2840" s="2" t="s">
        <v>23690</v>
      </c>
      <c r="M2840" s="2" t="s">
        <v>5959</v>
      </c>
      <c r="N2840" s="3" t="s">
        <v>313</v>
      </c>
      <c r="P2840" s="3" t="s">
        <v>90</v>
      </c>
      <c r="R2840" s="3" t="s">
        <v>67</v>
      </c>
      <c r="S2840" s="4">
        <v>4</v>
      </c>
      <c r="T2840" s="4">
        <v>4</v>
      </c>
      <c r="U2840" s="5" t="s">
        <v>18612</v>
      </c>
      <c r="V2840" s="5" t="s">
        <v>18612</v>
      </c>
      <c r="W2840" s="5" t="s">
        <v>69</v>
      </c>
      <c r="X2840" s="5" t="s">
        <v>69</v>
      </c>
      <c r="Y2840" s="4">
        <v>36</v>
      </c>
      <c r="Z2840" s="4">
        <v>4</v>
      </c>
      <c r="AA2840" s="4">
        <v>4</v>
      </c>
      <c r="AB2840" s="4">
        <v>1</v>
      </c>
      <c r="AC2840" s="4">
        <v>1</v>
      </c>
      <c r="AD2840" s="4">
        <v>20</v>
      </c>
      <c r="AE2840" s="4">
        <v>20</v>
      </c>
      <c r="AF2840" s="4">
        <v>0</v>
      </c>
      <c r="AG2840" s="4">
        <v>0</v>
      </c>
      <c r="AH2840" s="4">
        <v>17</v>
      </c>
      <c r="AI2840" s="4">
        <v>17</v>
      </c>
      <c r="AJ2840" s="4">
        <v>2</v>
      </c>
      <c r="AK2840" s="4">
        <v>2</v>
      </c>
      <c r="AL2840" s="4">
        <v>15</v>
      </c>
      <c r="AM2840" s="4">
        <v>15</v>
      </c>
      <c r="AN2840" s="4">
        <v>0</v>
      </c>
      <c r="AO2840" s="4">
        <v>0</v>
      </c>
      <c r="AP2840" s="4">
        <v>2</v>
      </c>
      <c r="AQ2840" s="4">
        <v>2</v>
      </c>
      <c r="AR2840" s="3" t="s">
        <v>63</v>
      </c>
      <c r="AS2840" s="3" t="s">
        <v>63</v>
      </c>
      <c r="AT2840" s="3" t="s">
        <v>63</v>
      </c>
      <c r="AV2840" s="6" t="str">
        <f>HYPERLINK("http://mcgill.on.worldcat.org/oclc/635865880","Catalog Record")</f>
        <v>Catalog Record</v>
      </c>
      <c r="AW2840" s="6" t="str">
        <f>HYPERLINK("http://www.worldcat.org/oclc/635865880","WorldCat Record")</f>
        <v>WorldCat Record</v>
      </c>
      <c r="AX2840" s="3" t="s">
        <v>23691</v>
      </c>
      <c r="AY2840" s="3" t="s">
        <v>23692</v>
      </c>
      <c r="AZ2840" s="3" t="s">
        <v>23693</v>
      </c>
      <c r="BA2840" s="3" t="s">
        <v>23693</v>
      </c>
      <c r="BB2840" s="3" t="s">
        <v>23694</v>
      </c>
      <c r="BC2840" s="3" t="s">
        <v>82</v>
      </c>
      <c r="BD2840" s="3" t="s">
        <v>70</v>
      </c>
      <c r="BE2840" s="3" t="s">
        <v>23695</v>
      </c>
      <c r="BF2840" s="3" t="s">
        <v>23694</v>
      </c>
      <c r="BG2840" s="3" t="s">
        <v>23696</v>
      </c>
    </row>
    <row r="2841" spans="1:59" ht="60" x14ac:dyDescent="0.25">
      <c r="A2841" s="2" t="s">
        <v>59</v>
      </c>
      <c r="B2841" s="2" t="s">
        <v>60</v>
      </c>
      <c r="C2841" s="2" t="s">
        <v>23697</v>
      </c>
      <c r="D2841" s="2" t="s">
        <v>23698</v>
      </c>
      <c r="E2841" s="2" t="s">
        <v>23699</v>
      </c>
      <c r="G2841" s="3" t="s">
        <v>63</v>
      </c>
      <c r="I2841" s="3" t="s">
        <v>63</v>
      </c>
      <c r="J2841" s="3" t="s">
        <v>63</v>
      </c>
      <c r="K2841" s="3" t="s">
        <v>64</v>
      </c>
      <c r="L2841" s="2" t="s">
        <v>23690</v>
      </c>
      <c r="M2841" s="2" t="s">
        <v>23700</v>
      </c>
      <c r="N2841" s="3" t="s">
        <v>826</v>
      </c>
      <c r="P2841" s="3" t="s">
        <v>90</v>
      </c>
      <c r="R2841" s="3" t="s">
        <v>67</v>
      </c>
      <c r="S2841" s="4">
        <v>2</v>
      </c>
      <c r="T2841" s="4">
        <v>2</v>
      </c>
      <c r="U2841" s="5" t="s">
        <v>16631</v>
      </c>
      <c r="V2841" s="5" t="s">
        <v>16631</v>
      </c>
      <c r="W2841" s="5" t="s">
        <v>69</v>
      </c>
      <c r="X2841" s="5" t="s">
        <v>69</v>
      </c>
      <c r="Y2841" s="4">
        <v>57</v>
      </c>
      <c r="Z2841" s="4">
        <v>3</v>
      </c>
      <c r="AA2841" s="4">
        <v>17</v>
      </c>
      <c r="AB2841" s="4">
        <v>1</v>
      </c>
      <c r="AC2841" s="4">
        <v>3</v>
      </c>
      <c r="AD2841" s="4">
        <v>38</v>
      </c>
      <c r="AE2841" s="4">
        <v>82</v>
      </c>
      <c r="AF2841" s="4">
        <v>0</v>
      </c>
      <c r="AG2841" s="4">
        <v>1</v>
      </c>
      <c r="AH2841" s="4">
        <v>37</v>
      </c>
      <c r="AI2841" s="4">
        <v>76</v>
      </c>
      <c r="AJ2841" s="4">
        <v>2</v>
      </c>
      <c r="AK2841" s="4">
        <v>12</v>
      </c>
      <c r="AL2841" s="4">
        <v>24</v>
      </c>
      <c r="AM2841" s="4">
        <v>45</v>
      </c>
      <c r="AN2841" s="4">
        <v>0</v>
      </c>
      <c r="AO2841" s="4">
        <v>5</v>
      </c>
      <c r="AP2841" s="4">
        <v>2</v>
      </c>
      <c r="AQ2841" s="4">
        <v>12</v>
      </c>
      <c r="AR2841" s="3" t="s">
        <v>63</v>
      </c>
      <c r="AS2841" s="3" t="s">
        <v>63</v>
      </c>
      <c r="AT2841" s="3" t="s">
        <v>62</v>
      </c>
      <c r="AU2841" s="6" t="str">
        <f>HYPERLINK("http://catalog.hathitrust.org/Record/009384717","HathiTrust Record")</f>
        <v>HathiTrust Record</v>
      </c>
      <c r="AV2841" s="6" t="str">
        <f>HYPERLINK("http://mcgill.on.worldcat.org/oclc/6673118","Catalog Record")</f>
        <v>Catalog Record</v>
      </c>
      <c r="AW2841" s="6" t="str">
        <f>HYPERLINK("http://www.worldcat.org/oclc/6673118","WorldCat Record")</f>
        <v>WorldCat Record</v>
      </c>
      <c r="AX2841" s="3" t="s">
        <v>23701</v>
      </c>
      <c r="AY2841" s="3" t="s">
        <v>23702</v>
      </c>
      <c r="AZ2841" s="3" t="s">
        <v>23703</v>
      </c>
      <c r="BA2841" s="3" t="s">
        <v>23703</v>
      </c>
      <c r="BB2841" s="3" t="s">
        <v>23704</v>
      </c>
      <c r="BC2841" s="3" t="s">
        <v>82</v>
      </c>
      <c r="BD2841" s="3" t="s">
        <v>70</v>
      </c>
      <c r="BF2841" s="3" t="s">
        <v>23704</v>
      </c>
      <c r="BG2841" s="3" t="s">
        <v>23705</v>
      </c>
    </row>
    <row r="2842" spans="1:59" ht="75" x14ac:dyDescent="0.25">
      <c r="A2842" s="2" t="s">
        <v>59</v>
      </c>
      <c r="B2842" s="2" t="s">
        <v>60</v>
      </c>
      <c r="C2842" s="2" t="s">
        <v>23706</v>
      </c>
      <c r="D2842" s="2" t="s">
        <v>23707</v>
      </c>
      <c r="E2842" s="2" t="s">
        <v>23708</v>
      </c>
      <c r="G2842" s="3" t="s">
        <v>63</v>
      </c>
      <c r="I2842" s="3" t="s">
        <v>63</v>
      </c>
      <c r="J2842" s="3" t="s">
        <v>63</v>
      </c>
      <c r="K2842" s="3" t="s">
        <v>64</v>
      </c>
      <c r="L2842" s="2" t="s">
        <v>23709</v>
      </c>
      <c r="M2842" s="2" t="s">
        <v>23710</v>
      </c>
      <c r="N2842" s="3" t="s">
        <v>668</v>
      </c>
      <c r="P2842" s="3" t="s">
        <v>90</v>
      </c>
      <c r="R2842" s="3" t="s">
        <v>67</v>
      </c>
      <c r="S2842" s="4">
        <v>1</v>
      </c>
      <c r="T2842" s="4">
        <v>1</v>
      </c>
      <c r="U2842" s="5" t="s">
        <v>1524</v>
      </c>
      <c r="V2842" s="5" t="s">
        <v>1524</v>
      </c>
      <c r="W2842" s="5" t="s">
        <v>69</v>
      </c>
      <c r="X2842" s="5" t="s">
        <v>69</v>
      </c>
      <c r="Y2842" s="4">
        <v>22</v>
      </c>
      <c r="Z2842" s="4">
        <v>2</v>
      </c>
      <c r="AA2842" s="4">
        <v>2</v>
      </c>
      <c r="AB2842" s="4">
        <v>1</v>
      </c>
      <c r="AC2842" s="4">
        <v>1</v>
      </c>
      <c r="AD2842" s="4">
        <v>18</v>
      </c>
      <c r="AE2842" s="4">
        <v>19</v>
      </c>
      <c r="AF2842" s="4">
        <v>0</v>
      </c>
      <c r="AG2842" s="4">
        <v>0</v>
      </c>
      <c r="AH2842" s="4">
        <v>17</v>
      </c>
      <c r="AI2842" s="4">
        <v>18</v>
      </c>
      <c r="AJ2842" s="4">
        <v>1</v>
      </c>
      <c r="AK2842" s="4">
        <v>1</v>
      </c>
      <c r="AL2842" s="4">
        <v>13</v>
      </c>
      <c r="AM2842" s="4">
        <v>14</v>
      </c>
      <c r="AN2842" s="4">
        <v>0</v>
      </c>
      <c r="AO2842" s="4">
        <v>0</v>
      </c>
      <c r="AP2842" s="4">
        <v>1</v>
      </c>
      <c r="AQ2842" s="4">
        <v>1</v>
      </c>
      <c r="AR2842" s="3" t="s">
        <v>63</v>
      </c>
      <c r="AS2842" s="3" t="s">
        <v>63</v>
      </c>
      <c r="AT2842" s="3" t="s">
        <v>62</v>
      </c>
      <c r="AU2842" s="6" t="str">
        <f>HYPERLINK("http://catalog.hathitrust.org/Record/002472138","HathiTrust Record")</f>
        <v>HathiTrust Record</v>
      </c>
      <c r="AV2842" s="6" t="str">
        <f>HYPERLINK("http://mcgill.on.worldcat.org/oclc/23248456","Catalog Record")</f>
        <v>Catalog Record</v>
      </c>
      <c r="AW2842" s="6" t="str">
        <f>HYPERLINK("http://www.worldcat.org/oclc/23248456","WorldCat Record")</f>
        <v>WorldCat Record</v>
      </c>
      <c r="AX2842" s="3" t="s">
        <v>23711</v>
      </c>
      <c r="AY2842" s="3" t="s">
        <v>23712</v>
      </c>
      <c r="AZ2842" s="3" t="s">
        <v>23713</v>
      </c>
      <c r="BA2842" s="3" t="s">
        <v>23713</v>
      </c>
      <c r="BB2842" s="3" t="s">
        <v>23714</v>
      </c>
      <c r="BC2842" s="3" t="s">
        <v>82</v>
      </c>
      <c r="BD2842" s="3" t="s">
        <v>70</v>
      </c>
      <c r="BE2842" s="3" t="s">
        <v>23715</v>
      </c>
      <c r="BF2842" s="3" t="s">
        <v>23714</v>
      </c>
      <c r="BG2842" s="3" t="s">
        <v>23716</v>
      </c>
    </row>
    <row r="2843" spans="1:59" ht="60" x14ac:dyDescent="0.25">
      <c r="A2843" s="2" t="s">
        <v>59</v>
      </c>
      <c r="B2843" s="2" t="s">
        <v>60</v>
      </c>
      <c r="C2843" s="2" t="s">
        <v>23717</v>
      </c>
      <c r="D2843" s="2" t="s">
        <v>23718</v>
      </c>
      <c r="E2843" s="2" t="s">
        <v>23719</v>
      </c>
      <c r="G2843" s="3" t="s">
        <v>63</v>
      </c>
      <c r="I2843" s="3" t="s">
        <v>63</v>
      </c>
      <c r="J2843" s="3" t="s">
        <v>63</v>
      </c>
      <c r="K2843" s="3" t="s">
        <v>64</v>
      </c>
      <c r="L2843" s="2" t="s">
        <v>23709</v>
      </c>
      <c r="M2843" s="2" t="s">
        <v>23720</v>
      </c>
      <c r="N2843" s="3" t="s">
        <v>480</v>
      </c>
      <c r="P2843" s="3" t="s">
        <v>90</v>
      </c>
      <c r="R2843" s="3" t="s">
        <v>67</v>
      </c>
      <c r="S2843" s="4">
        <v>2</v>
      </c>
      <c r="T2843" s="4">
        <v>2</v>
      </c>
      <c r="U2843" s="5" t="s">
        <v>1524</v>
      </c>
      <c r="V2843" s="5" t="s">
        <v>1524</v>
      </c>
      <c r="W2843" s="5" t="s">
        <v>69</v>
      </c>
      <c r="X2843" s="5" t="s">
        <v>69</v>
      </c>
      <c r="Y2843" s="4">
        <v>59</v>
      </c>
      <c r="Z2843" s="4">
        <v>4</v>
      </c>
      <c r="AA2843" s="4">
        <v>4</v>
      </c>
      <c r="AB2843" s="4">
        <v>1</v>
      </c>
      <c r="AC2843" s="4">
        <v>1</v>
      </c>
      <c r="AD2843" s="4">
        <v>44</v>
      </c>
      <c r="AE2843" s="4">
        <v>44</v>
      </c>
      <c r="AF2843" s="4">
        <v>0</v>
      </c>
      <c r="AG2843" s="4">
        <v>0</v>
      </c>
      <c r="AH2843" s="4">
        <v>42</v>
      </c>
      <c r="AI2843" s="4">
        <v>42</v>
      </c>
      <c r="AJ2843" s="4">
        <v>2</v>
      </c>
      <c r="AK2843" s="4">
        <v>2</v>
      </c>
      <c r="AL2843" s="4">
        <v>34</v>
      </c>
      <c r="AM2843" s="4">
        <v>34</v>
      </c>
      <c r="AN2843" s="4">
        <v>0</v>
      </c>
      <c r="AO2843" s="4">
        <v>0</v>
      </c>
      <c r="AP2843" s="4">
        <v>2</v>
      </c>
      <c r="AQ2843" s="4">
        <v>2</v>
      </c>
      <c r="AR2843" s="3" t="s">
        <v>63</v>
      </c>
      <c r="AS2843" s="3" t="s">
        <v>63</v>
      </c>
      <c r="AT2843" s="3" t="s">
        <v>62</v>
      </c>
      <c r="AU2843" s="6" t="str">
        <f>HYPERLINK("http://catalog.hathitrust.org/Record/003141518","HathiTrust Record")</f>
        <v>HathiTrust Record</v>
      </c>
      <c r="AV2843" s="6" t="str">
        <f>HYPERLINK("http://mcgill.on.worldcat.org/oclc/25863335","Catalog Record")</f>
        <v>Catalog Record</v>
      </c>
      <c r="AW2843" s="6" t="str">
        <f>HYPERLINK("http://www.worldcat.org/oclc/25863335","WorldCat Record")</f>
        <v>WorldCat Record</v>
      </c>
      <c r="AX2843" s="3" t="s">
        <v>23721</v>
      </c>
      <c r="AY2843" s="3" t="s">
        <v>23722</v>
      </c>
      <c r="AZ2843" s="3" t="s">
        <v>23723</v>
      </c>
      <c r="BA2843" s="3" t="s">
        <v>23723</v>
      </c>
      <c r="BB2843" s="3" t="s">
        <v>23724</v>
      </c>
      <c r="BC2843" s="3" t="s">
        <v>82</v>
      </c>
      <c r="BD2843" s="3" t="s">
        <v>70</v>
      </c>
      <c r="BE2843" s="3" t="s">
        <v>23725</v>
      </c>
      <c r="BF2843" s="3" t="s">
        <v>23724</v>
      </c>
      <c r="BG2843" s="3" t="s">
        <v>23726</v>
      </c>
    </row>
    <row r="2844" spans="1:59" ht="60" x14ac:dyDescent="0.25">
      <c r="A2844" s="2" t="s">
        <v>59</v>
      </c>
      <c r="B2844" s="2" t="s">
        <v>60</v>
      </c>
      <c r="C2844" s="2" t="s">
        <v>24264</v>
      </c>
      <c r="D2844" s="2" t="s">
        <v>24265</v>
      </c>
      <c r="E2844" s="2" t="s">
        <v>24266</v>
      </c>
      <c r="F2844" s="3" t="s">
        <v>1095</v>
      </c>
      <c r="G2844" s="3" t="s">
        <v>62</v>
      </c>
      <c r="I2844" s="3" t="s">
        <v>63</v>
      </c>
      <c r="J2844" s="3" t="s">
        <v>63</v>
      </c>
      <c r="K2844" s="3" t="s">
        <v>64</v>
      </c>
      <c r="L2844" s="2" t="s">
        <v>23745</v>
      </c>
      <c r="M2844" s="2" t="s">
        <v>24267</v>
      </c>
      <c r="N2844" s="3" t="s">
        <v>247</v>
      </c>
      <c r="P2844" s="3" t="s">
        <v>90</v>
      </c>
      <c r="R2844" s="3" t="s">
        <v>67</v>
      </c>
      <c r="S2844" s="4">
        <v>18</v>
      </c>
      <c r="T2844" s="4">
        <v>69</v>
      </c>
      <c r="U2844" s="5" t="s">
        <v>24268</v>
      </c>
      <c r="V2844" s="5" t="s">
        <v>24269</v>
      </c>
      <c r="W2844" s="5" t="s">
        <v>69</v>
      </c>
      <c r="X2844" s="5" t="s">
        <v>69</v>
      </c>
      <c r="Y2844" s="4">
        <v>202</v>
      </c>
      <c r="Z2844" s="4">
        <v>17</v>
      </c>
      <c r="AA2844" s="4">
        <v>17</v>
      </c>
      <c r="AB2844" s="4">
        <v>1</v>
      </c>
      <c r="AC2844" s="4">
        <v>1</v>
      </c>
      <c r="AD2844" s="4">
        <v>90</v>
      </c>
      <c r="AE2844" s="4">
        <v>90</v>
      </c>
      <c r="AF2844" s="4">
        <v>0</v>
      </c>
      <c r="AG2844" s="4">
        <v>0</v>
      </c>
      <c r="AH2844" s="4">
        <v>83</v>
      </c>
      <c r="AI2844" s="4">
        <v>83</v>
      </c>
      <c r="AJ2844" s="4">
        <v>13</v>
      </c>
      <c r="AK2844" s="4">
        <v>13</v>
      </c>
      <c r="AL2844" s="4">
        <v>50</v>
      </c>
      <c r="AM2844" s="4">
        <v>50</v>
      </c>
      <c r="AN2844" s="4">
        <v>0</v>
      </c>
      <c r="AO2844" s="4">
        <v>0</v>
      </c>
      <c r="AP2844" s="4">
        <v>13</v>
      </c>
      <c r="AQ2844" s="4">
        <v>13</v>
      </c>
      <c r="AR2844" s="3" t="s">
        <v>63</v>
      </c>
      <c r="AS2844" s="3" t="s">
        <v>63</v>
      </c>
      <c r="AT2844" s="3" t="s">
        <v>62</v>
      </c>
      <c r="AU2844" s="6" t="str">
        <f>HYPERLINK("http://catalog.hathitrust.org/Record/000101332","HathiTrust Record")</f>
        <v>HathiTrust Record</v>
      </c>
      <c r="AV2844" s="6" t="str">
        <f>HYPERLINK("http://mcgill.on.worldcat.org/oclc/8283494","Catalog Record")</f>
        <v>Catalog Record</v>
      </c>
      <c r="AW2844" s="6" t="str">
        <f>HYPERLINK("http://www.worldcat.org/oclc/8283494","WorldCat Record")</f>
        <v>WorldCat Record</v>
      </c>
      <c r="AX2844" s="3" t="s">
        <v>24270</v>
      </c>
      <c r="AY2844" s="3" t="s">
        <v>24271</v>
      </c>
      <c r="AZ2844" s="3" t="s">
        <v>24272</v>
      </c>
      <c r="BA2844" s="3" t="s">
        <v>24272</v>
      </c>
      <c r="BB2844" s="3" t="s">
        <v>24273</v>
      </c>
      <c r="BC2844" s="3" t="s">
        <v>82</v>
      </c>
      <c r="BD2844" s="3" t="s">
        <v>70</v>
      </c>
      <c r="BE2844" s="3" t="s">
        <v>24274</v>
      </c>
      <c r="BF2844" s="3" t="s">
        <v>24273</v>
      </c>
      <c r="BG2844" s="3" t="s">
        <v>24275</v>
      </c>
    </row>
    <row r="2845" spans="1:59" ht="60" x14ac:dyDescent="0.25">
      <c r="A2845" s="2" t="s">
        <v>59</v>
      </c>
      <c r="B2845" s="2" t="s">
        <v>60</v>
      </c>
      <c r="C2845" s="2" t="s">
        <v>24264</v>
      </c>
      <c r="D2845" s="2" t="s">
        <v>24265</v>
      </c>
      <c r="E2845" s="2" t="s">
        <v>24266</v>
      </c>
      <c r="F2845" s="3" t="s">
        <v>1379</v>
      </c>
      <c r="G2845" s="3" t="s">
        <v>62</v>
      </c>
      <c r="I2845" s="3" t="s">
        <v>63</v>
      </c>
      <c r="J2845" s="3" t="s">
        <v>63</v>
      </c>
      <c r="K2845" s="3" t="s">
        <v>64</v>
      </c>
      <c r="L2845" s="2" t="s">
        <v>23745</v>
      </c>
      <c r="M2845" s="2" t="s">
        <v>24267</v>
      </c>
      <c r="N2845" s="3" t="s">
        <v>247</v>
      </c>
      <c r="P2845" s="3" t="s">
        <v>90</v>
      </c>
      <c r="R2845" s="3" t="s">
        <v>67</v>
      </c>
      <c r="S2845" s="4">
        <v>27</v>
      </c>
      <c r="T2845" s="4">
        <v>69</v>
      </c>
      <c r="U2845" s="5" t="s">
        <v>24269</v>
      </c>
      <c r="V2845" s="5" t="s">
        <v>24269</v>
      </c>
      <c r="W2845" s="5" t="s">
        <v>69</v>
      </c>
      <c r="X2845" s="5" t="s">
        <v>69</v>
      </c>
      <c r="Y2845" s="4">
        <v>202</v>
      </c>
      <c r="Z2845" s="4">
        <v>17</v>
      </c>
      <c r="AA2845" s="4">
        <v>17</v>
      </c>
      <c r="AB2845" s="4">
        <v>1</v>
      </c>
      <c r="AC2845" s="4">
        <v>1</v>
      </c>
      <c r="AD2845" s="4">
        <v>90</v>
      </c>
      <c r="AE2845" s="4">
        <v>90</v>
      </c>
      <c r="AF2845" s="4">
        <v>0</v>
      </c>
      <c r="AG2845" s="4">
        <v>0</v>
      </c>
      <c r="AH2845" s="4">
        <v>83</v>
      </c>
      <c r="AI2845" s="4">
        <v>83</v>
      </c>
      <c r="AJ2845" s="4">
        <v>13</v>
      </c>
      <c r="AK2845" s="4">
        <v>13</v>
      </c>
      <c r="AL2845" s="4">
        <v>50</v>
      </c>
      <c r="AM2845" s="4">
        <v>50</v>
      </c>
      <c r="AN2845" s="4">
        <v>0</v>
      </c>
      <c r="AO2845" s="4">
        <v>0</v>
      </c>
      <c r="AP2845" s="4">
        <v>13</v>
      </c>
      <c r="AQ2845" s="4">
        <v>13</v>
      </c>
      <c r="AR2845" s="3" t="s">
        <v>63</v>
      </c>
      <c r="AS2845" s="3" t="s">
        <v>63</v>
      </c>
      <c r="AT2845" s="3" t="s">
        <v>62</v>
      </c>
      <c r="AU2845" s="6" t="str">
        <f>HYPERLINK("http://catalog.hathitrust.org/Record/000101332","HathiTrust Record")</f>
        <v>HathiTrust Record</v>
      </c>
      <c r="AV2845" s="6" t="str">
        <f>HYPERLINK("http://mcgill.on.worldcat.org/oclc/8283494","Catalog Record")</f>
        <v>Catalog Record</v>
      </c>
      <c r="AW2845" s="6" t="str">
        <f>HYPERLINK("http://www.worldcat.org/oclc/8283494","WorldCat Record")</f>
        <v>WorldCat Record</v>
      </c>
      <c r="AX2845" s="3" t="s">
        <v>24270</v>
      </c>
      <c r="AY2845" s="3" t="s">
        <v>24271</v>
      </c>
      <c r="AZ2845" s="3" t="s">
        <v>24272</v>
      </c>
      <c r="BA2845" s="3" t="s">
        <v>24272</v>
      </c>
      <c r="BB2845" s="3" t="s">
        <v>24276</v>
      </c>
      <c r="BC2845" s="3" t="s">
        <v>82</v>
      </c>
      <c r="BD2845" s="3" t="s">
        <v>70</v>
      </c>
      <c r="BE2845" s="3" t="s">
        <v>24274</v>
      </c>
      <c r="BF2845" s="3" t="s">
        <v>24276</v>
      </c>
      <c r="BG2845" s="3" t="s">
        <v>24277</v>
      </c>
    </row>
    <row r="2846" spans="1:59" ht="60" x14ac:dyDescent="0.25">
      <c r="A2846" s="2" t="s">
        <v>59</v>
      </c>
      <c r="B2846" s="2" t="s">
        <v>60</v>
      </c>
      <c r="C2846" s="2" t="s">
        <v>24264</v>
      </c>
      <c r="D2846" s="2" t="s">
        <v>24265</v>
      </c>
      <c r="E2846" s="2" t="s">
        <v>24266</v>
      </c>
      <c r="F2846" s="3" t="s">
        <v>61</v>
      </c>
      <c r="G2846" s="3" t="s">
        <v>62</v>
      </c>
      <c r="I2846" s="3" t="s">
        <v>63</v>
      </c>
      <c r="J2846" s="3" t="s">
        <v>63</v>
      </c>
      <c r="K2846" s="3" t="s">
        <v>64</v>
      </c>
      <c r="L2846" s="2" t="s">
        <v>23745</v>
      </c>
      <c r="M2846" s="2" t="s">
        <v>24267</v>
      </c>
      <c r="N2846" s="3" t="s">
        <v>247</v>
      </c>
      <c r="P2846" s="3" t="s">
        <v>90</v>
      </c>
      <c r="R2846" s="3" t="s">
        <v>67</v>
      </c>
      <c r="S2846" s="4">
        <v>11</v>
      </c>
      <c r="T2846" s="4">
        <v>69</v>
      </c>
      <c r="U2846" s="5" t="s">
        <v>24278</v>
      </c>
      <c r="V2846" s="5" t="s">
        <v>24269</v>
      </c>
      <c r="W2846" s="5" t="s">
        <v>69</v>
      </c>
      <c r="X2846" s="5" t="s">
        <v>69</v>
      </c>
      <c r="Y2846" s="4">
        <v>202</v>
      </c>
      <c r="Z2846" s="4">
        <v>17</v>
      </c>
      <c r="AA2846" s="4">
        <v>17</v>
      </c>
      <c r="AB2846" s="4">
        <v>1</v>
      </c>
      <c r="AC2846" s="4">
        <v>1</v>
      </c>
      <c r="AD2846" s="4">
        <v>90</v>
      </c>
      <c r="AE2846" s="4">
        <v>90</v>
      </c>
      <c r="AF2846" s="4">
        <v>0</v>
      </c>
      <c r="AG2846" s="4">
        <v>0</v>
      </c>
      <c r="AH2846" s="4">
        <v>83</v>
      </c>
      <c r="AI2846" s="4">
        <v>83</v>
      </c>
      <c r="AJ2846" s="4">
        <v>13</v>
      </c>
      <c r="AK2846" s="4">
        <v>13</v>
      </c>
      <c r="AL2846" s="4">
        <v>50</v>
      </c>
      <c r="AM2846" s="4">
        <v>50</v>
      </c>
      <c r="AN2846" s="4">
        <v>0</v>
      </c>
      <c r="AO2846" s="4">
        <v>0</v>
      </c>
      <c r="AP2846" s="4">
        <v>13</v>
      </c>
      <c r="AQ2846" s="4">
        <v>13</v>
      </c>
      <c r="AR2846" s="3" t="s">
        <v>63</v>
      </c>
      <c r="AS2846" s="3" t="s">
        <v>63</v>
      </c>
      <c r="AT2846" s="3" t="s">
        <v>62</v>
      </c>
      <c r="AU2846" s="6" t="str">
        <f>HYPERLINK("http://catalog.hathitrust.org/Record/000101332","HathiTrust Record")</f>
        <v>HathiTrust Record</v>
      </c>
      <c r="AV2846" s="6" t="str">
        <f>HYPERLINK("http://mcgill.on.worldcat.org/oclc/8283494","Catalog Record")</f>
        <v>Catalog Record</v>
      </c>
      <c r="AW2846" s="6" t="str">
        <f>HYPERLINK("http://www.worldcat.org/oclc/8283494","WorldCat Record")</f>
        <v>WorldCat Record</v>
      </c>
      <c r="AX2846" s="3" t="s">
        <v>24270</v>
      </c>
      <c r="AY2846" s="3" t="s">
        <v>24271</v>
      </c>
      <c r="AZ2846" s="3" t="s">
        <v>24272</v>
      </c>
      <c r="BA2846" s="3" t="s">
        <v>24272</v>
      </c>
      <c r="BB2846" s="3" t="s">
        <v>24279</v>
      </c>
      <c r="BC2846" s="3" t="s">
        <v>82</v>
      </c>
      <c r="BD2846" s="3" t="s">
        <v>70</v>
      </c>
      <c r="BE2846" s="3" t="s">
        <v>24274</v>
      </c>
      <c r="BF2846" s="3" t="s">
        <v>24279</v>
      </c>
      <c r="BG2846" s="3" t="s">
        <v>24280</v>
      </c>
    </row>
    <row r="2847" spans="1:59" ht="60" x14ac:dyDescent="0.25">
      <c r="A2847" s="2" t="s">
        <v>59</v>
      </c>
      <c r="B2847" s="2" t="s">
        <v>60</v>
      </c>
      <c r="C2847" s="2" t="s">
        <v>24264</v>
      </c>
      <c r="D2847" s="2" t="s">
        <v>24265</v>
      </c>
      <c r="E2847" s="2" t="s">
        <v>24266</v>
      </c>
      <c r="F2847" s="3" t="s">
        <v>1366</v>
      </c>
      <c r="G2847" s="3" t="s">
        <v>62</v>
      </c>
      <c r="I2847" s="3" t="s">
        <v>63</v>
      </c>
      <c r="J2847" s="3" t="s">
        <v>63</v>
      </c>
      <c r="K2847" s="3" t="s">
        <v>64</v>
      </c>
      <c r="L2847" s="2" t="s">
        <v>23745</v>
      </c>
      <c r="M2847" s="2" t="s">
        <v>24267</v>
      </c>
      <c r="N2847" s="3" t="s">
        <v>247</v>
      </c>
      <c r="P2847" s="3" t="s">
        <v>90</v>
      </c>
      <c r="R2847" s="3" t="s">
        <v>67</v>
      </c>
      <c r="S2847" s="4">
        <v>13</v>
      </c>
      <c r="T2847" s="4">
        <v>69</v>
      </c>
      <c r="U2847" s="5" t="s">
        <v>24281</v>
      </c>
      <c r="V2847" s="5" t="s">
        <v>24269</v>
      </c>
      <c r="W2847" s="5" t="s">
        <v>69</v>
      </c>
      <c r="X2847" s="5" t="s">
        <v>69</v>
      </c>
      <c r="Y2847" s="4">
        <v>202</v>
      </c>
      <c r="Z2847" s="4">
        <v>17</v>
      </c>
      <c r="AA2847" s="4">
        <v>17</v>
      </c>
      <c r="AB2847" s="4">
        <v>1</v>
      </c>
      <c r="AC2847" s="4">
        <v>1</v>
      </c>
      <c r="AD2847" s="4">
        <v>90</v>
      </c>
      <c r="AE2847" s="4">
        <v>90</v>
      </c>
      <c r="AF2847" s="4">
        <v>0</v>
      </c>
      <c r="AG2847" s="4">
        <v>0</v>
      </c>
      <c r="AH2847" s="4">
        <v>83</v>
      </c>
      <c r="AI2847" s="4">
        <v>83</v>
      </c>
      <c r="AJ2847" s="4">
        <v>13</v>
      </c>
      <c r="AK2847" s="4">
        <v>13</v>
      </c>
      <c r="AL2847" s="4">
        <v>50</v>
      </c>
      <c r="AM2847" s="4">
        <v>50</v>
      </c>
      <c r="AN2847" s="4">
        <v>0</v>
      </c>
      <c r="AO2847" s="4">
        <v>0</v>
      </c>
      <c r="AP2847" s="4">
        <v>13</v>
      </c>
      <c r="AQ2847" s="4">
        <v>13</v>
      </c>
      <c r="AR2847" s="3" t="s">
        <v>63</v>
      </c>
      <c r="AS2847" s="3" t="s">
        <v>63</v>
      </c>
      <c r="AT2847" s="3" t="s">
        <v>62</v>
      </c>
      <c r="AU2847" s="6" t="str">
        <f>HYPERLINK("http://catalog.hathitrust.org/Record/000101332","HathiTrust Record")</f>
        <v>HathiTrust Record</v>
      </c>
      <c r="AV2847" s="6" t="str">
        <f>HYPERLINK("http://mcgill.on.worldcat.org/oclc/8283494","Catalog Record")</f>
        <v>Catalog Record</v>
      </c>
      <c r="AW2847" s="6" t="str">
        <f>HYPERLINK("http://www.worldcat.org/oclc/8283494","WorldCat Record")</f>
        <v>WorldCat Record</v>
      </c>
      <c r="AX2847" s="3" t="s">
        <v>24270</v>
      </c>
      <c r="AY2847" s="3" t="s">
        <v>24271</v>
      </c>
      <c r="AZ2847" s="3" t="s">
        <v>24272</v>
      </c>
      <c r="BA2847" s="3" t="s">
        <v>24272</v>
      </c>
      <c r="BB2847" s="3" t="s">
        <v>24282</v>
      </c>
      <c r="BC2847" s="3" t="s">
        <v>82</v>
      </c>
      <c r="BD2847" s="3" t="s">
        <v>70</v>
      </c>
      <c r="BE2847" s="3" t="s">
        <v>24274</v>
      </c>
      <c r="BF2847" s="3" t="s">
        <v>24282</v>
      </c>
      <c r="BG2847" s="3" t="s">
        <v>24283</v>
      </c>
    </row>
    <row r="2848" spans="1:59" ht="60" x14ac:dyDescent="0.25">
      <c r="A2848" s="2" t="s">
        <v>59</v>
      </c>
      <c r="B2848" s="2" t="s">
        <v>60</v>
      </c>
      <c r="C2848" s="2" t="s">
        <v>23727</v>
      </c>
      <c r="D2848" s="2" t="s">
        <v>23728</v>
      </c>
      <c r="E2848" s="2" t="s">
        <v>23729</v>
      </c>
      <c r="G2848" s="3" t="s">
        <v>63</v>
      </c>
      <c r="I2848" s="3" t="s">
        <v>62</v>
      </c>
      <c r="J2848" s="3" t="s">
        <v>63</v>
      </c>
      <c r="K2848" s="3" t="s">
        <v>64</v>
      </c>
      <c r="L2848" s="2" t="s">
        <v>23730</v>
      </c>
      <c r="M2848" s="2" t="s">
        <v>23731</v>
      </c>
      <c r="N2848" s="3" t="s">
        <v>743</v>
      </c>
      <c r="P2848" s="3" t="s">
        <v>66</v>
      </c>
      <c r="R2848" s="3" t="s">
        <v>67</v>
      </c>
      <c r="S2848" s="4">
        <v>3</v>
      </c>
      <c r="T2848" s="4">
        <v>10</v>
      </c>
      <c r="U2848" s="5" t="s">
        <v>23732</v>
      </c>
      <c r="V2848" s="5" t="s">
        <v>23733</v>
      </c>
      <c r="W2848" s="5" t="s">
        <v>415</v>
      </c>
      <c r="X2848" s="5" t="s">
        <v>415</v>
      </c>
      <c r="Y2848" s="4">
        <v>813</v>
      </c>
      <c r="Z2848" s="4">
        <v>41</v>
      </c>
      <c r="AA2848" s="4">
        <v>41</v>
      </c>
      <c r="AB2848" s="4">
        <v>3</v>
      </c>
      <c r="AC2848" s="4">
        <v>3</v>
      </c>
      <c r="AD2848" s="4">
        <v>125</v>
      </c>
      <c r="AE2848" s="4">
        <v>125</v>
      </c>
      <c r="AF2848" s="4">
        <v>1</v>
      </c>
      <c r="AG2848" s="4">
        <v>1</v>
      </c>
      <c r="AH2848" s="4">
        <v>106</v>
      </c>
      <c r="AI2848" s="4">
        <v>106</v>
      </c>
      <c r="AJ2848" s="4">
        <v>22</v>
      </c>
      <c r="AK2848" s="4">
        <v>22</v>
      </c>
      <c r="AL2848" s="4">
        <v>55</v>
      </c>
      <c r="AM2848" s="4">
        <v>55</v>
      </c>
      <c r="AN2848" s="4">
        <v>0</v>
      </c>
      <c r="AO2848" s="4">
        <v>0</v>
      </c>
      <c r="AP2848" s="4">
        <v>26</v>
      </c>
      <c r="AQ2848" s="4">
        <v>26</v>
      </c>
      <c r="AR2848" s="3" t="s">
        <v>63</v>
      </c>
      <c r="AS2848" s="3" t="s">
        <v>63</v>
      </c>
      <c r="AT2848" s="3" t="s">
        <v>62</v>
      </c>
      <c r="AU2848" s="6" t="str">
        <f>HYPERLINK("http://catalog.hathitrust.org/Record/001227823","HathiTrust Record")</f>
        <v>HathiTrust Record</v>
      </c>
      <c r="AV2848" s="6" t="str">
        <f>HYPERLINK("http://mcgill.on.worldcat.org/oclc/303545","Catalog Record")</f>
        <v>Catalog Record</v>
      </c>
      <c r="AW2848" s="6" t="str">
        <f>HYPERLINK("http://www.worldcat.org/oclc/303545","WorldCat Record")</f>
        <v>WorldCat Record</v>
      </c>
      <c r="AX2848" s="3" t="s">
        <v>23734</v>
      </c>
      <c r="AY2848" s="3" t="s">
        <v>23735</v>
      </c>
      <c r="AZ2848" s="3" t="s">
        <v>23736</v>
      </c>
      <c r="BA2848" s="3" t="s">
        <v>23736</v>
      </c>
      <c r="BB2848" s="3" t="s">
        <v>23737</v>
      </c>
      <c r="BC2848" s="3" t="s">
        <v>82</v>
      </c>
      <c r="BD2848" s="3" t="s">
        <v>70</v>
      </c>
      <c r="BE2848" s="3" t="s">
        <v>23738</v>
      </c>
      <c r="BF2848" s="3" t="s">
        <v>23737</v>
      </c>
      <c r="BG2848" s="3" t="s">
        <v>23739</v>
      </c>
    </row>
    <row r="2849" spans="1:59" ht="60" x14ac:dyDescent="0.25">
      <c r="A2849" s="2" t="s">
        <v>59</v>
      </c>
      <c r="B2849" s="2" t="s">
        <v>60</v>
      </c>
      <c r="C2849" s="2" t="s">
        <v>23727</v>
      </c>
      <c r="D2849" s="2" t="s">
        <v>23728</v>
      </c>
      <c r="E2849" s="2" t="s">
        <v>23729</v>
      </c>
      <c r="G2849" s="3" t="s">
        <v>63</v>
      </c>
      <c r="I2849" s="3" t="s">
        <v>62</v>
      </c>
      <c r="J2849" s="3" t="s">
        <v>63</v>
      </c>
      <c r="K2849" s="3" t="s">
        <v>64</v>
      </c>
      <c r="L2849" s="2" t="s">
        <v>23730</v>
      </c>
      <c r="M2849" s="2" t="s">
        <v>23731</v>
      </c>
      <c r="N2849" s="3" t="s">
        <v>743</v>
      </c>
      <c r="P2849" s="3" t="s">
        <v>66</v>
      </c>
      <c r="R2849" s="3" t="s">
        <v>67</v>
      </c>
      <c r="S2849" s="4">
        <v>7</v>
      </c>
      <c r="T2849" s="4">
        <v>10</v>
      </c>
      <c r="U2849" s="5" t="s">
        <v>23733</v>
      </c>
      <c r="V2849" s="5" t="s">
        <v>23733</v>
      </c>
      <c r="W2849" s="5" t="s">
        <v>415</v>
      </c>
      <c r="X2849" s="5" t="s">
        <v>415</v>
      </c>
      <c r="Y2849" s="4">
        <v>813</v>
      </c>
      <c r="Z2849" s="4">
        <v>41</v>
      </c>
      <c r="AA2849" s="4">
        <v>41</v>
      </c>
      <c r="AB2849" s="4">
        <v>3</v>
      </c>
      <c r="AC2849" s="4">
        <v>3</v>
      </c>
      <c r="AD2849" s="4">
        <v>125</v>
      </c>
      <c r="AE2849" s="4">
        <v>125</v>
      </c>
      <c r="AF2849" s="4">
        <v>1</v>
      </c>
      <c r="AG2849" s="4">
        <v>1</v>
      </c>
      <c r="AH2849" s="4">
        <v>106</v>
      </c>
      <c r="AI2849" s="4">
        <v>106</v>
      </c>
      <c r="AJ2849" s="4">
        <v>22</v>
      </c>
      <c r="AK2849" s="4">
        <v>22</v>
      </c>
      <c r="AL2849" s="4">
        <v>55</v>
      </c>
      <c r="AM2849" s="4">
        <v>55</v>
      </c>
      <c r="AN2849" s="4">
        <v>0</v>
      </c>
      <c r="AO2849" s="4">
        <v>0</v>
      </c>
      <c r="AP2849" s="4">
        <v>26</v>
      </c>
      <c r="AQ2849" s="4">
        <v>26</v>
      </c>
      <c r="AR2849" s="3" t="s">
        <v>63</v>
      </c>
      <c r="AS2849" s="3" t="s">
        <v>63</v>
      </c>
      <c r="AT2849" s="3" t="s">
        <v>62</v>
      </c>
      <c r="AU2849" s="6" t="str">
        <f>HYPERLINK("http://catalog.hathitrust.org/Record/001227823","HathiTrust Record")</f>
        <v>HathiTrust Record</v>
      </c>
      <c r="AV2849" s="6" t="str">
        <f>HYPERLINK("http://mcgill.on.worldcat.org/oclc/303545","Catalog Record")</f>
        <v>Catalog Record</v>
      </c>
      <c r="AW2849" s="6" t="str">
        <f>HYPERLINK("http://www.worldcat.org/oclc/303545","WorldCat Record")</f>
        <v>WorldCat Record</v>
      </c>
      <c r="AX2849" s="3" t="s">
        <v>23734</v>
      </c>
      <c r="AY2849" s="3" t="s">
        <v>23735</v>
      </c>
      <c r="AZ2849" s="3" t="s">
        <v>23736</v>
      </c>
      <c r="BA2849" s="3" t="s">
        <v>23736</v>
      </c>
      <c r="BB2849" s="3" t="s">
        <v>23740</v>
      </c>
      <c r="BC2849" s="3" t="s">
        <v>82</v>
      </c>
      <c r="BD2849" s="3" t="s">
        <v>70</v>
      </c>
      <c r="BE2849" s="3" t="s">
        <v>23738</v>
      </c>
      <c r="BF2849" s="3" t="s">
        <v>23740</v>
      </c>
      <c r="BG2849" s="3" t="s">
        <v>23741</v>
      </c>
    </row>
    <row r="2850" spans="1:59" ht="60" x14ac:dyDescent="0.25">
      <c r="A2850" s="2" t="s">
        <v>59</v>
      </c>
      <c r="B2850" s="2" t="s">
        <v>60</v>
      </c>
      <c r="C2850" s="2" t="s">
        <v>23742</v>
      </c>
      <c r="D2850" s="2" t="s">
        <v>23743</v>
      </c>
      <c r="E2850" s="2" t="s">
        <v>23744</v>
      </c>
      <c r="G2850" s="3" t="s">
        <v>63</v>
      </c>
      <c r="I2850" s="3" t="s">
        <v>63</v>
      </c>
      <c r="J2850" s="3" t="s">
        <v>62</v>
      </c>
      <c r="K2850" s="3" t="s">
        <v>64</v>
      </c>
      <c r="L2850" s="2" t="s">
        <v>23745</v>
      </c>
      <c r="M2850" s="2" t="s">
        <v>23746</v>
      </c>
      <c r="N2850" s="3" t="s">
        <v>480</v>
      </c>
      <c r="P2850" s="3" t="s">
        <v>90</v>
      </c>
      <c r="R2850" s="3" t="s">
        <v>67</v>
      </c>
      <c r="S2850" s="4">
        <v>7</v>
      </c>
      <c r="T2850" s="4">
        <v>7</v>
      </c>
      <c r="U2850" s="5" t="s">
        <v>23747</v>
      </c>
      <c r="V2850" s="5" t="s">
        <v>23747</v>
      </c>
      <c r="W2850" s="5" t="s">
        <v>69</v>
      </c>
      <c r="X2850" s="5" t="s">
        <v>69</v>
      </c>
      <c r="Y2850" s="4">
        <v>48</v>
      </c>
      <c r="Z2850" s="4">
        <v>6</v>
      </c>
      <c r="AA2850" s="4">
        <v>14</v>
      </c>
      <c r="AB2850" s="4">
        <v>1</v>
      </c>
      <c r="AC2850" s="4">
        <v>3</v>
      </c>
      <c r="AD2850" s="4">
        <v>26</v>
      </c>
      <c r="AE2850" s="4">
        <v>73</v>
      </c>
      <c r="AF2850" s="4">
        <v>0</v>
      </c>
      <c r="AG2850" s="4">
        <v>1</v>
      </c>
      <c r="AH2850" s="4">
        <v>25</v>
      </c>
      <c r="AI2850" s="4">
        <v>68</v>
      </c>
      <c r="AJ2850" s="4">
        <v>4</v>
      </c>
      <c r="AK2850" s="4">
        <v>9</v>
      </c>
      <c r="AL2850" s="4">
        <v>21</v>
      </c>
      <c r="AM2850" s="4">
        <v>46</v>
      </c>
      <c r="AN2850" s="4">
        <v>0</v>
      </c>
      <c r="AO2850" s="4">
        <v>5</v>
      </c>
      <c r="AP2850" s="4">
        <v>4</v>
      </c>
      <c r="AQ2850" s="4">
        <v>8</v>
      </c>
      <c r="AR2850" s="3" t="s">
        <v>63</v>
      </c>
      <c r="AS2850" s="3" t="s">
        <v>63</v>
      </c>
      <c r="AT2850" s="3" t="s">
        <v>62</v>
      </c>
      <c r="AU2850" s="6" t="str">
        <f>HYPERLINK("http://catalog.hathitrust.org/Record/002975562","HathiTrust Record")</f>
        <v>HathiTrust Record</v>
      </c>
      <c r="AV2850" s="6" t="str">
        <f>HYPERLINK("http://mcgill.on.worldcat.org/oclc/24478673","Catalog Record")</f>
        <v>Catalog Record</v>
      </c>
      <c r="AW2850" s="6" t="str">
        <f>HYPERLINK("http://www.worldcat.org/oclc/24478673","WorldCat Record")</f>
        <v>WorldCat Record</v>
      </c>
      <c r="AX2850" s="3" t="s">
        <v>23748</v>
      </c>
      <c r="AY2850" s="3" t="s">
        <v>23749</v>
      </c>
      <c r="AZ2850" s="3" t="s">
        <v>23750</v>
      </c>
      <c r="BA2850" s="3" t="s">
        <v>23750</v>
      </c>
      <c r="BB2850" s="3" t="s">
        <v>23751</v>
      </c>
      <c r="BC2850" s="3" t="s">
        <v>82</v>
      </c>
      <c r="BD2850" s="3" t="s">
        <v>70</v>
      </c>
      <c r="BE2850" s="3" t="s">
        <v>23752</v>
      </c>
      <c r="BF2850" s="3" t="s">
        <v>23751</v>
      </c>
      <c r="BG2850" s="3" t="s">
        <v>23753</v>
      </c>
    </row>
    <row r="2851" spans="1:59" ht="60" x14ac:dyDescent="0.25">
      <c r="A2851" s="2" t="s">
        <v>59</v>
      </c>
      <c r="B2851" s="2" t="s">
        <v>60</v>
      </c>
      <c r="C2851" s="2" t="s">
        <v>23754</v>
      </c>
      <c r="D2851" s="2" t="s">
        <v>23755</v>
      </c>
      <c r="E2851" s="2" t="s">
        <v>23756</v>
      </c>
      <c r="G2851" s="3" t="s">
        <v>63</v>
      </c>
      <c r="I2851" s="3" t="s">
        <v>63</v>
      </c>
      <c r="J2851" s="3" t="s">
        <v>62</v>
      </c>
      <c r="K2851" s="3" t="s">
        <v>64</v>
      </c>
      <c r="L2851" s="2" t="s">
        <v>23730</v>
      </c>
      <c r="M2851" s="2" t="s">
        <v>23757</v>
      </c>
      <c r="N2851" s="3" t="s">
        <v>143</v>
      </c>
      <c r="P2851" s="3" t="s">
        <v>66</v>
      </c>
      <c r="R2851" s="3" t="s">
        <v>67</v>
      </c>
      <c r="S2851" s="4">
        <v>1</v>
      </c>
      <c r="T2851" s="4">
        <v>1</v>
      </c>
      <c r="U2851" s="5" t="s">
        <v>23758</v>
      </c>
      <c r="V2851" s="5" t="s">
        <v>23758</v>
      </c>
      <c r="W2851" s="5" t="s">
        <v>69</v>
      </c>
      <c r="X2851" s="5" t="s">
        <v>69</v>
      </c>
      <c r="Y2851" s="4">
        <v>16</v>
      </c>
      <c r="Z2851" s="4">
        <v>1</v>
      </c>
      <c r="AA2851" s="4">
        <v>26</v>
      </c>
      <c r="AB2851" s="4">
        <v>1</v>
      </c>
      <c r="AC2851" s="4">
        <v>2</v>
      </c>
      <c r="AD2851" s="4">
        <v>2</v>
      </c>
      <c r="AE2851" s="4">
        <v>102</v>
      </c>
      <c r="AF2851" s="4">
        <v>0</v>
      </c>
      <c r="AG2851" s="4">
        <v>0</v>
      </c>
      <c r="AH2851" s="4">
        <v>2</v>
      </c>
      <c r="AI2851" s="4">
        <v>92</v>
      </c>
      <c r="AJ2851" s="4">
        <v>0</v>
      </c>
      <c r="AK2851" s="4">
        <v>18</v>
      </c>
      <c r="AL2851" s="4">
        <v>1</v>
      </c>
      <c r="AM2851" s="4">
        <v>52</v>
      </c>
      <c r="AN2851" s="4">
        <v>0</v>
      </c>
      <c r="AO2851" s="4">
        <v>0</v>
      </c>
      <c r="AP2851" s="4">
        <v>0</v>
      </c>
      <c r="AQ2851" s="4">
        <v>19</v>
      </c>
      <c r="AR2851" s="3" t="s">
        <v>63</v>
      </c>
      <c r="AS2851" s="3" t="s">
        <v>63</v>
      </c>
      <c r="AT2851" s="3" t="s">
        <v>63</v>
      </c>
      <c r="AV2851" s="6" t="str">
        <f>HYPERLINK("http://mcgill.on.worldcat.org/oclc/897502546","Catalog Record")</f>
        <v>Catalog Record</v>
      </c>
      <c r="AW2851" s="6" t="str">
        <f>HYPERLINK("http://www.worldcat.org/oclc/897502546","WorldCat Record")</f>
        <v>WorldCat Record</v>
      </c>
      <c r="AX2851" s="3" t="s">
        <v>23759</v>
      </c>
      <c r="AY2851" s="3" t="s">
        <v>23760</v>
      </c>
      <c r="AZ2851" s="3" t="s">
        <v>23761</v>
      </c>
      <c r="BA2851" s="3" t="s">
        <v>23761</v>
      </c>
      <c r="BB2851" s="3" t="s">
        <v>23762</v>
      </c>
      <c r="BC2851" s="3" t="s">
        <v>82</v>
      </c>
      <c r="BD2851" s="3" t="s">
        <v>70</v>
      </c>
      <c r="BE2851" s="3" t="s">
        <v>23763</v>
      </c>
      <c r="BF2851" s="3" t="s">
        <v>23762</v>
      </c>
      <c r="BG2851" s="3" t="s">
        <v>23764</v>
      </c>
    </row>
    <row r="2852" spans="1:59" ht="60" x14ac:dyDescent="0.25">
      <c r="A2852" s="2" t="s">
        <v>59</v>
      </c>
      <c r="B2852" s="2" t="s">
        <v>60</v>
      </c>
      <c r="C2852" s="2" t="s">
        <v>23765</v>
      </c>
      <c r="D2852" s="2" t="s">
        <v>23766</v>
      </c>
      <c r="E2852" s="2" t="s">
        <v>23767</v>
      </c>
      <c r="G2852" s="3" t="s">
        <v>63</v>
      </c>
      <c r="I2852" s="3" t="s">
        <v>63</v>
      </c>
      <c r="J2852" s="3" t="s">
        <v>63</v>
      </c>
      <c r="K2852" s="3" t="s">
        <v>64</v>
      </c>
      <c r="L2852" s="2" t="s">
        <v>23730</v>
      </c>
      <c r="M2852" s="2" t="s">
        <v>23768</v>
      </c>
      <c r="N2852" s="3" t="s">
        <v>480</v>
      </c>
      <c r="P2852" s="3" t="s">
        <v>66</v>
      </c>
      <c r="Q2852" s="2" t="s">
        <v>23769</v>
      </c>
      <c r="R2852" s="3" t="s">
        <v>67</v>
      </c>
      <c r="S2852" s="4">
        <v>20</v>
      </c>
      <c r="T2852" s="4">
        <v>20</v>
      </c>
      <c r="U2852" s="5" t="s">
        <v>10608</v>
      </c>
      <c r="V2852" s="5" t="s">
        <v>10608</v>
      </c>
      <c r="W2852" s="5" t="s">
        <v>69</v>
      </c>
      <c r="X2852" s="5" t="s">
        <v>69</v>
      </c>
      <c r="Y2852" s="4">
        <v>181</v>
      </c>
      <c r="Z2852" s="4">
        <v>19</v>
      </c>
      <c r="AA2852" s="4">
        <v>27</v>
      </c>
      <c r="AB2852" s="4">
        <v>1</v>
      </c>
      <c r="AC2852" s="4">
        <v>2</v>
      </c>
      <c r="AD2852" s="4">
        <v>61</v>
      </c>
      <c r="AE2852" s="4">
        <v>70</v>
      </c>
      <c r="AF2852" s="4">
        <v>0</v>
      </c>
      <c r="AG2852" s="4">
        <v>1</v>
      </c>
      <c r="AH2852" s="4">
        <v>56</v>
      </c>
      <c r="AI2852" s="4">
        <v>61</v>
      </c>
      <c r="AJ2852" s="4">
        <v>9</v>
      </c>
      <c r="AK2852" s="4">
        <v>15</v>
      </c>
      <c r="AL2852" s="4">
        <v>33</v>
      </c>
      <c r="AM2852" s="4">
        <v>35</v>
      </c>
      <c r="AN2852" s="4">
        <v>5</v>
      </c>
      <c r="AO2852" s="4">
        <v>5</v>
      </c>
      <c r="AP2852" s="4">
        <v>10</v>
      </c>
      <c r="AQ2852" s="4">
        <v>16</v>
      </c>
      <c r="AR2852" s="3" t="s">
        <v>63</v>
      </c>
      <c r="AS2852" s="3" t="s">
        <v>63</v>
      </c>
      <c r="AT2852" s="3" t="s">
        <v>62</v>
      </c>
      <c r="AU2852" s="6" t="str">
        <f>HYPERLINK("http://catalog.hathitrust.org/Record/002474130","HathiTrust Record")</f>
        <v>HathiTrust Record</v>
      </c>
      <c r="AV2852" s="6" t="str">
        <f>HYPERLINK("http://mcgill.on.worldcat.org/oclc/33859340","Catalog Record")</f>
        <v>Catalog Record</v>
      </c>
      <c r="AW2852" s="6" t="str">
        <f>HYPERLINK("http://www.worldcat.org/oclc/33859340","WorldCat Record")</f>
        <v>WorldCat Record</v>
      </c>
      <c r="AX2852" s="3" t="s">
        <v>23770</v>
      </c>
      <c r="AY2852" s="3" t="s">
        <v>23771</v>
      </c>
      <c r="AZ2852" s="3" t="s">
        <v>23772</v>
      </c>
      <c r="BA2852" s="3" t="s">
        <v>23772</v>
      </c>
      <c r="BB2852" s="3" t="s">
        <v>23773</v>
      </c>
      <c r="BC2852" s="3" t="s">
        <v>82</v>
      </c>
      <c r="BD2852" s="3" t="s">
        <v>70</v>
      </c>
      <c r="BE2852" s="3" t="s">
        <v>23774</v>
      </c>
      <c r="BF2852" s="3" t="s">
        <v>23773</v>
      </c>
      <c r="BG2852" s="3" t="s">
        <v>23775</v>
      </c>
    </row>
    <row r="2853" spans="1:59" ht="60" x14ac:dyDescent="0.25">
      <c r="A2853" s="2" t="s">
        <v>59</v>
      </c>
      <c r="B2853" s="2" t="s">
        <v>60</v>
      </c>
      <c r="C2853" s="2" t="s">
        <v>23776</v>
      </c>
      <c r="D2853" s="2" t="s">
        <v>23777</v>
      </c>
      <c r="E2853" s="2" t="s">
        <v>23778</v>
      </c>
      <c r="G2853" s="3" t="s">
        <v>63</v>
      </c>
      <c r="I2853" s="3" t="s">
        <v>63</v>
      </c>
      <c r="J2853" s="3" t="s">
        <v>63</v>
      </c>
      <c r="K2853" s="3" t="s">
        <v>64</v>
      </c>
      <c r="L2853" s="2" t="s">
        <v>23745</v>
      </c>
      <c r="M2853" s="2" t="s">
        <v>23779</v>
      </c>
      <c r="N2853" s="3" t="s">
        <v>743</v>
      </c>
      <c r="P2853" s="3" t="s">
        <v>66</v>
      </c>
      <c r="R2853" s="3" t="s">
        <v>67</v>
      </c>
      <c r="S2853" s="4">
        <v>46</v>
      </c>
      <c r="T2853" s="4">
        <v>46</v>
      </c>
      <c r="U2853" s="5" t="s">
        <v>20429</v>
      </c>
      <c r="V2853" s="5" t="s">
        <v>20429</v>
      </c>
      <c r="W2853" s="5" t="s">
        <v>69</v>
      </c>
      <c r="X2853" s="5" t="s">
        <v>69</v>
      </c>
      <c r="Y2853" s="4">
        <v>760</v>
      </c>
      <c r="Z2853" s="4">
        <v>40</v>
      </c>
      <c r="AA2853" s="4">
        <v>46</v>
      </c>
      <c r="AB2853" s="4">
        <v>3</v>
      </c>
      <c r="AC2853" s="4">
        <v>5</v>
      </c>
      <c r="AD2853" s="4">
        <v>126</v>
      </c>
      <c r="AE2853" s="4">
        <v>129</v>
      </c>
      <c r="AF2853" s="4">
        <v>1</v>
      </c>
      <c r="AG2853" s="4">
        <v>2</v>
      </c>
      <c r="AH2853" s="4">
        <v>104</v>
      </c>
      <c r="AI2853" s="4">
        <v>105</v>
      </c>
      <c r="AJ2853" s="4">
        <v>21</v>
      </c>
      <c r="AK2853" s="4">
        <v>23</v>
      </c>
      <c r="AL2853" s="4">
        <v>58</v>
      </c>
      <c r="AM2853" s="4">
        <v>58</v>
      </c>
      <c r="AN2853" s="4">
        <v>0</v>
      </c>
      <c r="AO2853" s="4">
        <v>0</v>
      </c>
      <c r="AP2853" s="4">
        <v>28</v>
      </c>
      <c r="AQ2853" s="4">
        <v>29</v>
      </c>
      <c r="AR2853" s="3" t="s">
        <v>63</v>
      </c>
      <c r="AS2853" s="3" t="s">
        <v>63</v>
      </c>
      <c r="AT2853" s="3" t="s">
        <v>62</v>
      </c>
      <c r="AU2853" s="6" t="str">
        <f>HYPERLINK("http://catalog.hathitrust.org/Record/001227824","HathiTrust Record")</f>
        <v>HathiTrust Record</v>
      </c>
      <c r="AV2853" s="6" t="str">
        <f>HYPERLINK("http://mcgill.on.worldcat.org/oclc/315317","Catalog Record")</f>
        <v>Catalog Record</v>
      </c>
      <c r="AW2853" s="6" t="str">
        <f>HYPERLINK("http://www.worldcat.org/oclc/315317","WorldCat Record")</f>
        <v>WorldCat Record</v>
      </c>
      <c r="AX2853" s="3" t="s">
        <v>23780</v>
      </c>
      <c r="AY2853" s="3" t="s">
        <v>23781</v>
      </c>
      <c r="AZ2853" s="3" t="s">
        <v>23782</v>
      </c>
      <c r="BA2853" s="3" t="s">
        <v>23782</v>
      </c>
      <c r="BB2853" s="3" t="s">
        <v>23783</v>
      </c>
      <c r="BC2853" s="3" t="s">
        <v>82</v>
      </c>
      <c r="BD2853" s="3" t="s">
        <v>70</v>
      </c>
      <c r="BE2853" s="3" t="s">
        <v>23784</v>
      </c>
      <c r="BF2853" s="3" t="s">
        <v>23783</v>
      </c>
      <c r="BG2853" s="3" t="s">
        <v>23785</v>
      </c>
    </row>
    <row r="2854" spans="1:59" ht="60" x14ac:dyDescent="0.25">
      <c r="A2854" s="2" t="s">
        <v>59</v>
      </c>
      <c r="B2854" s="2" t="s">
        <v>60</v>
      </c>
      <c r="C2854" s="2" t="s">
        <v>23786</v>
      </c>
      <c r="D2854" s="2" t="s">
        <v>23787</v>
      </c>
      <c r="E2854" s="2" t="s">
        <v>23788</v>
      </c>
      <c r="G2854" s="3" t="s">
        <v>63</v>
      </c>
      <c r="I2854" s="3" t="s">
        <v>63</v>
      </c>
      <c r="J2854" s="3" t="s">
        <v>63</v>
      </c>
      <c r="K2854" s="3" t="s">
        <v>64</v>
      </c>
      <c r="L2854" s="2" t="s">
        <v>23745</v>
      </c>
      <c r="M2854" s="2" t="s">
        <v>23789</v>
      </c>
      <c r="N2854" s="3" t="s">
        <v>2459</v>
      </c>
      <c r="P2854" s="3" t="s">
        <v>90</v>
      </c>
      <c r="Q2854" s="2" t="s">
        <v>23790</v>
      </c>
      <c r="R2854" s="3" t="s">
        <v>67</v>
      </c>
      <c r="S2854" s="4">
        <v>2</v>
      </c>
      <c r="T2854" s="4">
        <v>2</v>
      </c>
      <c r="U2854" s="5" t="s">
        <v>10579</v>
      </c>
      <c r="V2854" s="5" t="s">
        <v>10579</v>
      </c>
      <c r="W2854" s="5" t="s">
        <v>69</v>
      </c>
      <c r="X2854" s="5" t="s">
        <v>69</v>
      </c>
      <c r="Y2854" s="4">
        <v>1</v>
      </c>
      <c r="Z2854" s="4">
        <v>1</v>
      </c>
      <c r="AA2854" s="4">
        <v>1</v>
      </c>
      <c r="AB2854" s="4">
        <v>1</v>
      </c>
      <c r="AC2854" s="4">
        <v>1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3" t="s">
        <v>63</v>
      </c>
      <c r="AS2854" s="3" t="s">
        <v>63</v>
      </c>
      <c r="AT2854" s="3" t="s">
        <v>63</v>
      </c>
      <c r="AV2854" s="6" t="str">
        <f>HYPERLINK("http://mcgill.on.worldcat.org/oclc/728657146","Catalog Record")</f>
        <v>Catalog Record</v>
      </c>
      <c r="AW2854" s="6" t="str">
        <f>HYPERLINK("http://www.worldcat.org/oclc/728657146","WorldCat Record")</f>
        <v>WorldCat Record</v>
      </c>
      <c r="AX2854" s="3" t="s">
        <v>23791</v>
      </c>
      <c r="AY2854" s="3" t="s">
        <v>23792</v>
      </c>
      <c r="AZ2854" s="3" t="s">
        <v>23793</v>
      </c>
      <c r="BA2854" s="3" t="s">
        <v>23793</v>
      </c>
      <c r="BB2854" s="3" t="s">
        <v>23794</v>
      </c>
      <c r="BC2854" s="3" t="s">
        <v>82</v>
      </c>
      <c r="BD2854" s="3" t="s">
        <v>70</v>
      </c>
      <c r="BE2854" s="3" t="s">
        <v>23795</v>
      </c>
      <c r="BF2854" s="3" t="s">
        <v>23794</v>
      </c>
      <c r="BG2854" s="3" t="s">
        <v>23796</v>
      </c>
    </row>
    <row r="2855" spans="1:59" ht="60" x14ac:dyDescent="0.25">
      <c r="A2855" s="2" t="s">
        <v>59</v>
      </c>
      <c r="B2855" s="2" t="s">
        <v>60</v>
      </c>
      <c r="C2855" s="2" t="s">
        <v>23786</v>
      </c>
      <c r="D2855" s="2" t="s">
        <v>23787</v>
      </c>
      <c r="E2855" s="2" t="s">
        <v>23797</v>
      </c>
      <c r="F2855" s="3" t="s">
        <v>23798</v>
      </c>
      <c r="G2855" s="3" t="s">
        <v>63</v>
      </c>
      <c r="I2855" s="3" t="s">
        <v>63</v>
      </c>
      <c r="J2855" s="3" t="s">
        <v>63</v>
      </c>
      <c r="K2855" s="3" t="s">
        <v>64</v>
      </c>
      <c r="L2855" s="2" t="s">
        <v>23745</v>
      </c>
      <c r="M2855" s="2" t="s">
        <v>23799</v>
      </c>
      <c r="N2855" s="3" t="s">
        <v>2459</v>
      </c>
      <c r="P2855" s="3" t="s">
        <v>90</v>
      </c>
      <c r="R2855" s="3" t="s">
        <v>67</v>
      </c>
      <c r="S2855" s="4">
        <v>10</v>
      </c>
      <c r="T2855" s="4">
        <v>10</v>
      </c>
      <c r="U2855" s="5" t="s">
        <v>21052</v>
      </c>
      <c r="V2855" s="5" t="s">
        <v>21052</v>
      </c>
      <c r="W2855" s="5" t="s">
        <v>69</v>
      </c>
      <c r="X2855" s="5" t="s">
        <v>69</v>
      </c>
      <c r="Y2855" s="4">
        <v>7</v>
      </c>
      <c r="Z2855" s="4">
        <v>3</v>
      </c>
      <c r="AA2855" s="4">
        <v>3</v>
      </c>
      <c r="AB2855" s="4">
        <v>2</v>
      </c>
      <c r="AC2855" s="4">
        <v>2</v>
      </c>
      <c r="AD2855" s="4">
        <v>0</v>
      </c>
      <c r="AE2855" s="4">
        <v>3</v>
      </c>
      <c r="AF2855" s="4">
        <v>0</v>
      </c>
      <c r="AG2855" s="4">
        <v>0</v>
      </c>
      <c r="AH2855" s="4">
        <v>0</v>
      </c>
      <c r="AI2855" s="4">
        <v>3</v>
      </c>
      <c r="AJ2855" s="4">
        <v>0</v>
      </c>
      <c r="AK2855" s="4">
        <v>0</v>
      </c>
      <c r="AL2855" s="4">
        <v>0</v>
      </c>
      <c r="AM2855" s="4">
        <v>1</v>
      </c>
      <c r="AN2855" s="4">
        <v>0</v>
      </c>
      <c r="AO2855" s="4">
        <v>0</v>
      </c>
      <c r="AP2855" s="4">
        <v>0</v>
      </c>
      <c r="AQ2855" s="4">
        <v>0</v>
      </c>
      <c r="AR2855" s="3" t="s">
        <v>63</v>
      </c>
      <c r="AS2855" s="3" t="s">
        <v>63</v>
      </c>
      <c r="AT2855" s="3" t="s">
        <v>63</v>
      </c>
      <c r="AV2855" s="6" t="str">
        <f>HYPERLINK("http://mcgill.on.worldcat.org/oclc/301973407","Catalog Record")</f>
        <v>Catalog Record</v>
      </c>
      <c r="AW2855" s="6" t="str">
        <f>HYPERLINK("http://www.worldcat.org/oclc/301973407","WorldCat Record")</f>
        <v>WorldCat Record</v>
      </c>
      <c r="AX2855" s="3" t="s">
        <v>23800</v>
      </c>
      <c r="AY2855" s="3" t="s">
        <v>23801</v>
      </c>
      <c r="AZ2855" s="3" t="s">
        <v>23802</v>
      </c>
      <c r="BA2855" s="3" t="s">
        <v>23802</v>
      </c>
      <c r="BB2855" s="3" t="s">
        <v>23803</v>
      </c>
      <c r="BC2855" s="3" t="s">
        <v>82</v>
      </c>
      <c r="BD2855" s="3" t="s">
        <v>70</v>
      </c>
      <c r="BE2855" s="3" t="s">
        <v>23804</v>
      </c>
      <c r="BF2855" s="3" t="s">
        <v>23803</v>
      </c>
      <c r="BG2855" s="3" t="s">
        <v>23805</v>
      </c>
    </row>
    <row r="2856" spans="1:59" ht="120" x14ac:dyDescent="0.25">
      <c r="A2856" s="2" t="s">
        <v>59</v>
      </c>
      <c r="B2856" s="2" t="s">
        <v>60</v>
      </c>
      <c r="C2856" s="2" t="s">
        <v>23806</v>
      </c>
      <c r="D2856" s="2" t="s">
        <v>23807</v>
      </c>
      <c r="E2856" s="2" t="s">
        <v>23808</v>
      </c>
      <c r="G2856" s="3" t="s">
        <v>63</v>
      </c>
      <c r="I2856" s="3" t="s">
        <v>63</v>
      </c>
      <c r="J2856" s="3" t="s">
        <v>63</v>
      </c>
      <c r="K2856" s="3" t="s">
        <v>64</v>
      </c>
      <c r="L2856" s="2" t="s">
        <v>23809</v>
      </c>
      <c r="M2856" s="2" t="s">
        <v>23810</v>
      </c>
      <c r="N2856" s="3" t="s">
        <v>1113</v>
      </c>
      <c r="P2856" s="3" t="s">
        <v>548</v>
      </c>
      <c r="Q2856" s="2" t="s">
        <v>23811</v>
      </c>
      <c r="R2856" s="3" t="s">
        <v>67</v>
      </c>
      <c r="S2856" s="4">
        <v>10</v>
      </c>
      <c r="T2856" s="4">
        <v>10</v>
      </c>
      <c r="U2856" s="5" t="s">
        <v>14237</v>
      </c>
      <c r="V2856" s="5" t="s">
        <v>14237</v>
      </c>
      <c r="W2856" s="5" t="s">
        <v>69</v>
      </c>
      <c r="X2856" s="5" t="s">
        <v>69</v>
      </c>
      <c r="Y2856" s="4">
        <v>12</v>
      </c>
      <c r="Z2856" s="4">
        <v>2</v>
      </c>
      <c r="AA2856" s="4">
        <v>2</v>
      </c>
      <c r="AB2856" s="4">
        <v>2</v>
      </c>
      <c r="AC2856" s="4">
        <v>2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3" t="s">
        <v>63</v>
      </c>
      <c r="AS2856" s="3" t="s">
        <v>63</v>
      </c>
      <c r="AT2856" s="3" t="s">
        <v>63</v>
      </c>
      <c r="AV2856" s="6" t="str">
        <f>HYPERLINK("http://mcgill.on.worldcat.org/oclc/37879565","Catalog Record")</f>
        <v>Catalog Record</v>
      </c>
      <c r="AW2856" s="6" t="str">
        <f>HYPERLINK("http://www.worldcat.org/oclc/37879565","WorldCat Record")</f>
        <v>WorldCat Record</v>
      </c>
      <c r="AX2856" s="3" t="s">
        <v>23812</v>
      </c>
      <c r="AY2856" s="3" t="s">
        <v>23813</v>
      </c>
      <c r="AZ2856" s="3" t="s">
        <v>23814</v>
      </c>
      <c r="BA2856" s="3" t="s">
        <v>23814</v>
      </c>
      <c r="BB2856" s="3" t="s">
        <v>23815</v>
      </c>
      <c r="BC2856" s="3" t="s">
        <v>82</v>
      </c>
      <c r="BD2856" s="3" t="s">
        <v>70</v>
      </c>
      <c r="BE2856" s="3" t="s">
        <v>23816</v>
      </c>
      <c r="BF2856" s="3" t="s">
        <v>23815</v>
      </c>
      <c r="BG2856" s="3" t="s">
        <v>23817</v>
      </c>
    </row>
    <row r="2857" spans="1:59" ht="60" x14ac:dyDescent="0.25">
      <c r="A2857" s="2" t="s">
        <v>59</v>
      </c>
      <c r="B2857" s="2" t="s">
        <v>60</v>
      </c>
      <c r="C2857" s="2" t="s">
        <v>23818</v>
      </c>
      <c r="D2857" s="2" t="s">
        <v>23819</v>
      </c>
      <c r="E2857" s="2" t="s">
        <v>23820</v>
      </c>
      <c r="G2857" s="3" t="s">
        <v>63</v>
      </c>
      <c r="I2857" s="3" t="s">
        <v>62</v>
      </c>
      <c r="J2857" s="3" t="s">
        <v>63</v>
      </c>
      <c r="K2857" s="3" t="s">
        <v>64</v>
      </c>
      <c r="L2857" s="2" t="s">
        <v>23745</v>
      </c>
      <c r="M2857" s="2" t="s">
        <v>23821</v>
      </c>
      <c r="N2857" s="3" t="s">
        <v>826</v>
      </c>
      <c r="P2857" s="3" t="s">
        <v>66</v>
      </c>
      <c r="R2857" s="3" t="s">
        <v>67</v>
      </c>
      <c r="S2857" s="4">
        <v>23</v>
      </c>
      <c r="T2857" s="4">
        <v>52</v>
      </c>
      <c r="U2857" s="5" t="s">
        <v>7967</v>
      </c>
      <c r="V2857" s="5" t="s">
        <v>7967</v>
      </c>
      <c r="W2857" s="5" t="s">
        <v>69</v>
      </c>
      <c r="X2857" s="5" t="s">
        <v>69</v>
      </c>
      <c r="Y2857" s="4">
        <v>554</v>
      </c>
      <c r="Z2857" s="4">
        <v>23</v>
      </c>
      <c r="AA2857" s="4">
        <v>133</v>
      </c>
      <c r="AB2857" s="4">
        <v>3</v>
      </c>
      <c r="AC2857" s="4">
        <v>20</v>
      </c>
      <c r="AD2857" s="4">
        <v>88</v>
      </c>
      <c r="AE2857" s="4">
        <v>159</v>
      </c>
      <c r="AF2857" s="4">
        <v>1</v>
      </c>
      <c r="AG2857" s="4">
        <v>8</v>
      </c>
      <c r="AH2857" s="4">
        <v>78</v>
      </c>
      <c r="AI2857" s="4">
        <v>114</v>
      </c>
      <c r="AJ2857" s="4">
        <v>11</v>
      </c>
      <c r="AK2857" s="4">
        <v>27</v>
      </c>
      <c r="AL2857" s="4">
        <v>44</v>
      </c>
      <c r="AM2857" s="4">
        <v>62</v>
      </c>
      <c r="AN2857" s="4">
        <v>0</v>
      </c>
      <c r="AO2857" s="4">
        <v>6</v>
      </c>
      <c r="AP2857" s="4">
        <v>15</v>
      </c>
      <c r="AQ2857" s="4">
        <v>52</v>
      </c>
      <c r="AR2857" s="3" t="s">
        <v>63</v>
      </c>
      <c r="AS2857" s="3" t="s">
        <v>63</v>
      </c>
      <c r="AT2857" s="3" t="s">
        <v>62</v>
      </c>
      <c r="AU2857" s="6" t="str">
        <f>HYPERLINK("http://catalog.hathitrust.org/Record/000980921","HathiTrust Record")</f>
        <v>HathiTrust Record</v>
      </c>
      <c r="AV2857" s="6" t="str">
        <f>HYPERLINK("http://mcgill.on.worldcat.org/oclc/143684","Catalog Record")</f>
        <v>Catalog Record</v>
      </c>
      <c r="AW2857" s="6" t="str">
        <f>HYPERLINK("http://www.worldcat.org/oclc/143684","WorldCat Record")</f>
        <v>WorldCat Record</v>
      </c>
      <c r="AX2857" s="3" t="s">
        <v>23822</v>
      </c>
      <c r="AY2857" s="3" t="s">
        <v>23823</v>
      </c>
      <c r="AZ2857" s="3" t="s">
        <v>23824</v>
      </c>
      <c r="BA2857" s="3" t="s">
        <v>23824</v>
      </c>
      <c r="BB2857" s="3" t="s">
        <v>23825</v>
      </c>
      <c r="BC2857" s="3" t="s">
        <v>82</v>
      </c>
      <c r="BD2857" s="3" t="s">
        <v>70</v>
      </c>
      <c r="BE2857" s="3" t="s">
        <v>23826</v>
      </c>
      <c r="BF2857" s="3" t="s">
        <v>23825</v>
      </c>
      <c r="BG2857" s="3" t="s">
        <v>23827</v>
      </c>
    </row>
    <row r="2858" spans="1:59" ht="60" x14ac:dyDescent="0.25">
      <c r="A2858" s="2" t="s">
        <v>59</v>
      </c>
      <c r="B2858" s="2" t="s">
        <v>60</v>
      </c>
      <c r="C2858" s="2" t="s">
        <v>23818</v>
      </c>
      <c r="D2858" s="2" t="s">
        <v>23819</v>
      </c>
      <c r="E2858" s="2" t="s">
        <v>23820</v>
      </c>
      <c r="G2858" s="3" t="s">
        <v>63</v>
      </c>
      <c r="I2858" s="3" t="s">
        <v>62</v>
      </c>
      <c r="J2858" s="3" t="s">
        <v>63</v>
      </c>
      <c r="K2858" s="3" t="s">
        <v>64</v>
      </c>
      <c r="L2858" s="2" t="s">
        <v>23745</v>
      </c>
      <c r="M2858" s="2" t="s">
        <v>23821</v>
      </c>
      <c r="N2858" s="3" t="s">
        <v>826</v>
      </c>
      <c r="P2858" s="3" t="s">
        <v>66</v>
      </c>
      <c r="R2858" s="3" t="s">
        <v>67</v>
      </c>
      <c r="S2858" s="4">
        <v>29</v>
      </c>
      <c r="T2858" s="4">
        <v>52</v>
      </c>
      <c r="U2858" s="5" t="s">
        <v>23828</v>
      </c>
      <c r="V2858" s="5" t="s">
        <v>7967</v>
      </c>
      <c r="W2858" s="5" t="s">
        <v>69</v>
      </c>
      <c r="X2858" s="5" t="s">
        <v>69</v>
      </c>
      <c r="Y2858" s="4">
        <v>554</v>
      </c>
      <c r="Z2858" s="4">
        <v>23</v>
      </c>
      <c r="AA2858" s="4">
        <v>133</v>
      </c>
      <c r="AB2858" s="4">
        <v>3</v>
      </c>
      <c r="AC2858" s="4">
        <v>20</v>
      </c>
      <c r="AD2858" s="4">
        <v>88</v>
      </c>
      <c r="AE2858" s="4">
        <v>159</v>
      </c>
      <c r="AF2858" s="4">
        <v>1</v>
      </c>
      <c r="AG2858" s="4">
        <v>8</v>
      </c>
      <c r="AH2858" s="4">
        <v>78</v>
      </c>
      <c r="AI2858" s="4">
        <v>114</v>
      </c>
      <c r="AJ2858" s="4">
        <v>11</v>
      </c>
      <c r="AK2858" s="4">
        <v>27</v>
      </c>
      <c r="AL2858" s="4">
        <v>44</v>
      </c>
      <c r="AM2858" s="4">
        <v>62</v>
      </c>
      <c r="AN2858" s="4">
        <v>0</v>
      </c>
      <c r="AO2858" s="4">
        <v>6</v>
      </c>
      <c r="AP2858" s="4">
        <v>15</v>
      </c>
      <c r="AQ2858" s="4">
        <v>52</v>
      </c>
      <c r="AR2858" s="3" t="s">
        <v>63</v>
      </c>
      <c r="AS2858" s="3" t="s">
        <v>63</v>
      </c>
      <c r="AT2858" s="3" t="s">
        <v>62</v>
      </c>
      <c r="AU2858" s="6" t="str">
        <f>HYPERLINK("http://catalog.hathitrust.org/Record/000980921","HathiTrust Record")</f>
        <v>HathiTrust Record</v>
      </c>
      <c r="AV2858" s="6" t="str">
        <f>HYPERLINK("http://mcgill.on.worldcat.org/oclc/143684","Catalog Record")</f>
        <v>Catalog Record</v>
      </c>
      <c r="AW2858" s="6" t="str">
        <f>HYPERLINK("http://www.worldcat.org/oclc/143684","WorldCat Record")</f>
        <v>WorldCat Record</v>
      </c>
      <c r="AX2858" s="3" t="s">
        <v>23822</v>
      </c>
      <c r="AY2858" s="3" t="s">
        <v>23823</v>
      </c>
      <c r="AZ2858" s="3" t="s">
        <v>23824</v>
      </c>
      <c r="BA2858" s="3" t="s">
        <v>23824</v>
      </c>
      <c r="BB2858" s="3" t="s">
        <v>23829</v>
      </c>
      <c r="BC2858" s="3" t="s">
        <v>82</v>
      </c>
      <c r="BD2858" s="3" t="s">
        <v>70</v>
      </c>
      <c r="BE2858" s="3" t="s">
        <v>23826</v>
      </c>
      <c r="BF2858" s="3" t="s">
        <v>23829</v>
      </c>
      <c r="BG2858" s="3" t="s">
        <v>23830</v>
      </c>
    </row>
    <row r="2859" spans="1:59" ht="60" x14ac:dyDescent="0.25">
      <c r="A2859" s="2" t="s">
        <v>59</v>
      </c>
      <c r="B2859" s="2" t="s">
        <v>60</v>
      </c>
      <c r="C2859" s="2" t="s">
        <v>23831</v>
      </c>
      <c r="D2859" s="2" t="s">
        <v>23832</v>
      </c>
      <c r="E2859" s="2" t="s">
        <v>23833</v>
      </c>
      <c r="G2859" s="3" t="s">
        <v>63</v>
      </c>
      <c r="I2859" s="3" t="s">
        <v>63</v>
      </c>
      <c r="J2859" s="3" t="s">
        <v>63</v>
      </c>
      <c r="K2859" s="3" t="s">
        <v>64</v>
      </c>
      <c r="L2859" s="2" t="s">
        <v>23745</v>
      </c>
      <c r="M2859" s="2" t="s">
        <v>23834</v>
      </c>
      <c r="N2859" s="3" t="s">
        <v>176</v>
      </c>
      <c r="P2859" s="3" t="s">
        <v>90</v>
      </c>
      <c r="R2859" s="3" t="s">
        <v>67</v>
      </c>
      <c r="S2859" s="4">
        <v>20</v>
      </c>
      <c r="T2859" s="4">
        <v>20</v>
      </c>
      <c r="U2859" s="5" t="s">
        <v>22647</v>
      </c>
      <c r="V2859" s="5" t="s">
        <v>22647</v>
      </c>
      <c r="W2859" s="5" t="s">
        <v>69</v>
      </c>
      <c r="X2859" s="5" t="s">
        <v>69</v>
      </c>
      <c r="Y2859" s="4">
        <v>63</v>
      </c>
      <c r="Z2859" s="4">
        <v>4</v>
      </c>
      <c r="AA2859" s="4">
        <v>24</v>
      </c>
      <c r="AB2859" s="4">
        <v>1</v>
      </c>
      <c r="AC2859" s="4">
        <v>4</v>
      </c>
      <c r="AD2859" s="4">
        <v>39</v>
      </c>
      <c r="AE2859" s="4">
        <v>99</v>
      </c>
      <c r="AF2859" s="4">
        <v>0</v>
      </c>
      <c r="AG2859" s="4">
        <v>0</v>
      </c>
      <c r="AH2859" s="4">
        <v>38</v>
      </c>
      <c r="AI2859" s="4">
        <v>90</v>
      </c>
      <c r="AJ2859" s="4">
        <v>2</v>
      </c>
      <c r="AK2859" s="4">
        <v>16</v>
      </c>
      <c r="AL2859" s="4">
        <v>31</v>
      </c>
      <c r="AM2859" s="4">
        <v>54</v>
      </c>
      <c r="AN2859" s="4">
        <v>0</v>
      </c>
      <c r="AO2859" s="4">
        <v>0</v>
      </c>
      <c r="AP2859" s="4">
        <v>2</v>
      </c>
      <c r="AQ2859" s="4">
        <v>17</v>
      </c>
      <c r="AR2859" s="3" t="s">
        <v>63</v>
      </c>
      <c r="AS2859" s="3" t="s">
        <v>63</v>
      </c>
      <c r="AT2859" s="3" t="s">
        <v>62</v>
      </c>
      <c r="AU2859" s="6" t="str">
        <f>HYPERLINK("http://catalog.hathitrust.org/Record/004001463","HathiTrust Record")</f>
        <v>HathiTrust Record</v>
      </c>
      <c r="AV2859" s="6" t="str">
        <f>HYPERLINK("http://mcgill.on.worldcat.org/oclc/39763515","Catalog Record")</f>
        <v>Catalog Record</v>
      </c>
      <c r="AW2859" s="6" t="str">
        <f>HYPERLINK("http://www.worldcat.org/oclc/39763515","WorldCat Record")</f>
        <v>WorldCat Record</v>
      </c>
      <c r="AX2859" s="3" t="s">
        <v>23835</v>
      </c>
      <c r="AY2859" s="3" t="s">
        <v>23836</v>
      </c>
      <c r="AZ2859" s="3" t="s">
        <v>23837</v>
      </c>
      <c r="BA2859" s="3" t="s">
        <v>23837</v>
      </c>
      <c r="BB2859" s="3" t="s">
        <v>23838</v>
      </c>
      <c r="BC2859" s="3" t="s">
        <v>82</v>
      </c>
      <c r="BD2859" s="3" t="s">
        <v>70</v>
      </c>
      <c r="BE2859" s="3" t="s">
        <v>23839</v>
      </c>
      <c r="BF2859" s="3" t="s">
        <v>23838</v>
      </c>
      <c r="BG2859" s="3" t="s">
        <v>23840</v>
      </c>
    </row>
    <row r="2860" spans="1:59" ht="60" x14ac:dyDescent="0.25">
      <c r="A2860" s="2" t="s">
        <v>59</v>
      </c>
      <c r="B2860" s="2" t="s">
        <v>60</v>
      </c>
      <c r="C2860" s="2" t="s">
        <v>23841</v>
      </c>
      <c r="D2860" s="2" t="s">
        <v>23842</v>
      </c>
      <c r="E2860" s="2" t="s">
        <v>23843</v>
      </c>
      <c r="G2860" s="3" t="s">
        <v>63</v>
      </c>
      <c r="I2860" s="3" t="s">
        <v>63</v>
      </c>
      <c r="J2860" s="3" t="s">
        <v>63</v>
      </c>
      <c r="K2860" s="3" t="s">
        <v>64</v>
      </c>
      <c r="L2860" s="2" t="s">
        <v>23745</v>
      </c>
      <c r="M2860" s="2" t="s">
        <v>23844</v>
      </c>
      <c r="N2860" s="3" t="s">
        <v>918</v>
      </c>
      <c r="P2860" s="3" t="s">
        <v>66</v>
      </c>
      <c r="R2860" s="3" t="s">
        <v>67</v>
      </c>
      <c r="S2860" s="4">
        <v>16</v>
      </c>
      <c r="T2860" s="4">
        <v>16</v>
      </c>
      <c r="U2860" s="5" t="s">
        <v>15471</v>
      </c>
      <c r="V2860" s="5" t="s">
        <v>15471</v>
      </c>
      <c r="W2860" s="5" t="s">
        <v>69</v>
      </c>
      <c r="X2860" s="5" t="s">
        <v>69</v>
      </c>
      <c r="Y2860" s="4">
        <v>19</v>
      </c>
      <c r="Z2860" s="4">
        <v>5</v>
      </c>
      <c r="AA2860" s="4">
        <v>20</v>
      </c>
      <c r="AB2860" s="4">
        <v>1</v>
      </c>
      <c r="AC2860" s="4">
        <v>2</v>
      </c>
      <c r="AD2860" s="4">
        <v>7</v>
      </c>
      <c r="AE2860" s="4">
        <v>91</v>
      </c>
      <c r="AF2860" s="4">
        <v>0</v>
      </c>
      <c r="AG2860" s="4">
        <v>0</v>
      </c>
      <c r="AH2860" s="4">
        <v>4</v>
      </c>
      <c r="AI2860" s="4">
        <v>81</v>
      </c>
      <c r="AJ2860" s="4">
        <v>3</v>
      </c>
      <c r="AK2860" s="4">
        <v>14</v>
      </c>
      <c r="AL2860" s="4">
        <v>0</v>
      </c>
      <c r="AM2860" s="4">
        <v>43</v>
      </c>
      <c r="AN2860" s="4">
        <v>0</v>
      </c>
      <c r="AO2860" s="4">
        <v>0</v>
      </c>
      <c r="AP2860" s="4">
        <v>4</v>
      </c>
      <c r="AQ2860" s="4">
        <v>16</v>
      </c>
      <c r="AR2860" s="3" t="s">
        <v>63</v>
      </c>
      <c r="AS2860" s="3" t="s">
        <v>63</v>
      </c>
      <c r="AT2860" s="3" t="s">
        <v>62</v>
      </c>
      <c r="AU2860" s="6" t="str">
        <f>HYPERLINK("http://catalog.hathitrust.org/Record/001224134","HathiTrust Record")</f>
        <v>HathiTrust Record</v>
      </c>
      <c r="AV2860" s="6" t="str">
        <f>HYPERLINK("http://mcgill.on.worldcat.org/oclc/428074475","Catalog Record")</f>
        <v>Catalog Record</v>
      </c>
      <c r="AW2860" s="6" t="str">
        <f>HYPERLINK("http://www.worldcat.org/oclc/428074475","WorldCat Record")</f>
        <v>WorldCat Record</v>
      </c>
      <c r="AX2860" s="3" t="s">
        <v>23845</v>
      </c>
      <c r="AY2860" s="3" t="s">
        <v>23846</v>
      </c>
      <c r="AZ2860" s="3" t="s">
        <v>23847</v>
      </c>
      <c r="BA2860" s="3" t="s">
        <v>23847</v>
      </c>
      <c r="BB2860" s="3" t="s">
        <v>23848</v>
      </c>
      <c r="BC2860" s="3" t="s">
        <v>82</v>
      </c>
      <c r="BD2860" s="3" t="s">
        <v>70</v>
      </c>
      <c r="BF2860" s="3" t="s">
        <v>23848</v>
      </c>
      <c r="BG2860" s="3" t="s">
        <v>23849</v>
      </c>
    </row>
    <row r="2861" spans="1:59" ht="60" x14ac:dyDescent="0.25">
      <c r="A2861" s="2" t="s">
        <v>59</v>
      </c>
      <c r="B2861" s="2" t="s">
        <v>60</v>
      </c>
      <c r="C2861" s="2" t="s">
        <v>23850</v>
      </c>
      <c r="D2861" s="2" t="s">
        <v>23851</v>
      </c>
      <c r="E2861" s="2" t="s">
        <v>23852</v>
      </c>
      <c r="G2861" s="3" t="s">
        <v>63</v>
      </c>
      <c r="I2861" s="3" t="s">
        <v>63</v>
      </c>
      <c r="J2861" s="3" t="s">
        <v>62</v>
      </c>
      <c r="K2861" s="3" t="s">
        <v>64</v>
      </c>
      <c r="L2861" s="2" t="s">
        <v>23730</v>
      </c>
      <c r="M2861" s="2" t="s">
        <v>23853</v>
      </c>
      <c r="N2861" s="3" t="s">
        <v>143</v>
      </c>
      <c r="P2861" s="3" t="s">
        <v>90</v>
      </c>
      <c r="Q2861" s="2" t="s">
        <v>23854</v>
      </c>
      <c r="R2861" s="3" t="s">
        <v>67</v>
      </c>
      <c r="S2861" s="4">
        <v>0</v>
      </c>
      <c r="T2861" s="4">
        <v>0</v>
      </c>
      <c r="W2861" s="5" t="s">
        <v>69</v>
      </c>
      <c r="X2861" s="5" t="s">
        <v>69</v>
      </c>
      <c r="Y2861" s="4">
        <v>57</v>
      </c>
      <c r="Z2861" s="4">
        <v>4</v>
      </c>
      <c r="AA2861" s="4">
        <v>17</v>
      </c>
      <c r="AB2861" s="4">
        <v>1</v>
      </c>
      <c r="AC2861" s="4">
        <v>1</v>
      </c>
      <c r="AD2861" s="4">
        <v>32</v>
      </c>
      <c r="AE2861" s="4">
        <v>81</v>
      </c>
      <c r="AF2861" s="4">
        <v>0</v>
      </c>
      <c r="AG2861" s="4">
        <v>0</v>
      </c>
      <c r="AH2861" s="4">
        <v>32</v>
      </c>
      <c r="AI2861" s="4">
        <v>74</v>
      </c>
      <c r="AJ2861" s="4">
        <v>2</v>
      </c>
      <c r="AK2861" s="4">
        <v>13</v>
      </c>
      <c r="AL2861" s="4">
        <v>21</v>
      </c>
      <c r="AM2861" s="4">
        <v>45</v>
      </c>
      <c r="AN2861" s="4">
        <v>0</v>
      </c>
      <c r="AO2861" s="4">
        <v>0</v>
      </c>
      <c r="AP2861" s="4">
        <v>2</v>
      </c>
      <c r="AQ2861" s="4">
        <v>13</v>
      </c>
      <c r="AR2861" s="3" t="s">
        <v>63</v>
      </c>
      <c r="AS2861" s="3" t="s">
        <v>63</v>
      </c>
      <c r="AT2861" s="3" t="s">
        <v>63</v>
      </c>
      <c r="AV2861" s="6" t="str">
        <f>HYPERLINK("http://mcgill.on.worldcat.org/oclc/881386884","Catalog Record")</f>
        <v>Catalog Record</v>
      </c>
      <c r="AW2861" s="6" t="str">
        <f>HYPERLINK("http://www.worldcat.org/oclc/881386884","WorldCat Record")</f>
        <v>WorldCat Record</v>
      </c>
      <c r="AX2861" s="3" t="s">
        <v>23855</v>
      </c>
      <c r="AY2861" s="3" t="s">
        <v>23856</v>
      </c>
      <c r="AZ2861" s="3" t="s">
        <v>23857</v>
      </c>
      <c r="BA2861" s="3" t="s">
        <v>23857</v>
      </c>
      <c r="BB2861" s="3" t="s">
        <v>23858</v>
      </c>
      <c r="BC2861" s="3" t="s">
        <v>82</v>
      </c>
      <c r="BD2861" s="3" t="s">
        <v>70</v>
      </c>
      <c r="BE2861" s="3" t="s">
        <v>23859</v>
      </c>
      <c r="BF2861" s="3" t="s">
        <v>23858</v>
      </c>
      <c r="BG2861" s="3" t="s">
        <v>23860</v>
      </c>
    </row>
    <row r="2862" spans="1:59" ht="75" x14ac:dyDescent="0.25">
      <c r="A2862" s="2" t="s">
        <v>59</v>
      </c>
      <c r="B2862" s="2" t="s">
        <v>60</v>
      </c>
      <c r="C2862" s="2" t="s">
        <v>23861</v>
      </c>
      <c r="D2862" s="2" t="s">
        <v>23862</v>
      </c>
      <c r="E2862" s="2" t="s">
        <v>23863</v>
      </c>
      <c r="G2862" s="3" t="s">
        <v>63</v>
      </c>
      <c r="I2862" s="3" t="s">
        <v>63</v>
      </c>
      <c r="J2862" s="3" t="s">
        <v>62</v>
      </c>
      <c r="K2862" s="3" t="s">
        <v>64</v>
      </c>
      <c r="L2862" s="2" t="s">
        <v>23745</v>
      </c>
      <c r="M2862" s="2" t="s">
        <v>23864</v>
      </c>
      <c r="N2862" s="3" t="s">
        <v>1023</v>
      </c>
      <c r="P2862" s="3" t="s">
        <v>90</v>
      </c>
      <c r="R2862" s="3" t="s">
        <v>67</v>
      </c>
      <c r="S2862" s="4">
        <v>27</v>
      </c>
      <c r="T2862" s="4">
        <v>27</v>
      </c>
      <c r="U2862" s="5" t="s">
        <v>23865</v>
      </c>
      <c r="V2862" s="5" t="s">
        <v>23865</v>
      </c>
      <c r="W2862" s="5" t="s">
        <v>69</v>
      </c>
      <c r="X2862" s="5" t="s">
        <v>69</v>
      </c>
      <c r="Y2862" s="4">
        <v>9</v>
      </c>
      <c r="Z2862" s="4">
        <v>1</v>
      </c>
      <c r="AA2862" s="4">
        <v>31</v>
      </c>
      <c r="AB2862" s="4">
        <v>1</v>
      </c>
      <c r="AC2862" s="4">
        <v>4</v>
      </c>
      <c r="AD2862" s="4">
        <v>3</v>
      </c>
      <c r="AE2862" s="4">
        <v>113</v>
      </c>
      <c r="AF2862" s="4">
        <v>0</v>
      </c>
      <c r="AG2862" s="4">
        <v>0</v>
      </c>
      <c r="AH2862" s="4">
        <v>3</v>
      </c>
      <c r="AI2862" s="4">
        <v>104</v>
      </c>
      <c r="AJ2862" s="4">
        <v>0</v>
      </c>
      <c r="AK2862" s="4">
        <v>16</v>
      </c>
      <c r="AL2862" s="4">
        <v>2</v>
      </c>
      <c r="AM2862" s="4">
        <v>58</v>
      </c>
      <c r="AN2862" s="4">
        <v>3</v>
      </c>
      <c r="AO2862" s="4">
        <v>7</v>
      </c>
      <c r="AP2862" s="4">
        <v>0</v>
      </c>
      <c r="AQ2862" s="4">
        <v>17</v>
      </c>
      <c r="AR2862" s="3" t="s">
        <v>63</v>
      </c>
      <c r="AS2862" s="3" t="s">
        <v>63</v>
      </c>
      <c r="AT2862" s="3" t="s">
        <v>62</v>
      </c>
      <c r="AU2862" s="6" t="str">
        <f>HYPERLINK("http://catalog.hathitrust.org/Record/101962319","HathiTrust Record")</f>
        <v>HathiTrust Record</v>
      </c>
      <c r="AV2862" s="6" t="str">
        <f>HYPERLINK("http://mcgill.on.worldcat.org/oclc/32623442","Catalog Record")</f>
        <v>Catalog Record</v>
      </c>
      <c r="AW2862" s="6" t="str">
        <f>HYPERLINK("http://www.worldcat.org/oclc/32623442","WorldCat Record")</f>
        <v>WorldCat Record</v>
      </c>
      <c r="AX2862" s="3" t="s">
        <v>23866</v>
      </c>
      <c r="AY2862" s="3" t="s">
        <v>23867</v>
      </c>
      <c r="AZ2862" s="3" t="s">
        <v>23868</v>
      </c>
      <c r="BA2862" s="3" t="s">
        <v>23868</v>
      </c>
      <c r="BB2862" s="3" t="s">
        <v>23869</v>
      </c>
      <c r="BC2862" s="3" t="s">
        <v>82</v>
      </c>
      <c r="BD2862" s="3" t="s">
        <v>70</v>
      </c>
      <c r="BE2862" s="3" t="s">
        <v>23870</v>
      </c>
      <c r="BF2862" s="3" t="s">
        <v>23869</v>
      </c>
      <c r="BG2862" s="3" t="s">
        <v>23871</v>
      </c>
    </row>
    <row r="2863" spans="1:59" ht="75" x14ac:dyDescent="0.25">
      <c r="A2863" s="2" t="s">
        <v>59</v>
      </c>
      <c r="B2863" s="2" t="s">
        <v>60</v>
      </c>
      <c r="C2863" s="2" t="s">
        <v>23872</v>
      </c>
      <c r="D2863" s="2" t="s">
        <v>23873</v>
      </c>
      <c r="E2863" s="2" t="s">
        <v>23874</v>
      </c>
      <c r="G2863" s="3" t="s">
        <v>63</v>
      </c>
      <c r="I2863" s="3" t="s">
        <v>62</v>
      </c>
      <c r="J2863" s="3" t="s">
        <v>62</v>
      </c>
      <c r="K2863" s="3" t="s">
        <v>64</v>
      </c>
      <c r="L2863" s="2" t="s">
        <v>23745</v>
      </c>
      <c r="M2863" s="2" t="s">
        <v>12091</v>
      </c>
      <c r="N2863" s="3" t="s">
        <v>531</v>
      </c>
      <c r="P2863" s="3" t="s">
        <v>66</v>
      </c>
      <c r="Q2863" s="2" t="s">
        <v>23875</v>
      </c>
      <c r="R2863" s="3" t="s">
        <v>67</v>
      </c>
      <c r="S2863" s="4">
        <v>13</v>
      </c>
      <c r="T2863" s="4">
        <v>47</v>
      </c>
      <c r="U2863" s="5" t="s">
        <v>23876</v>
      </c>
      <c r="V2863" s="5" t="s">
        <v>17885</v>
      </c>
      <c r="W2863" s="5" t="s">
        <v>69</v>
      </c>
      <c r="X2863" s="5" t="s">
        <v>69</v>
      </c>
      <c r="Y2863" s="4">
        <v>412</v>
      </c>
      <c r="Z2863" s="4">
        <v>13</v>
      </c>
      <c r="AA2863" s="4">
        <v>113</v>
      </c>
      <c r="AB2863" s="4">
        <v>2</v>
      </c>
      <c r="AC2863" s="4">
        <v>11</v>
      </c>
      <c r="AD2863" s="4">
        <v>34</v>
      </c>
      <c r="AE2863" s="4">
        <v>154</v>
      </c>
      <c r="AF2863" s="4">
        <v>0</v>
      </c>
      <c r="AG2863" s="4">
        <v>3</v>
      </c>
      <c r="AH2863" s="4">
        <v>31</v>
      </c>
      <c r="AI2863" s="4">
        <v>114</v>
      </c>
      <c r="AJ2863" s="4">
        <v>2</v>
      </c>
      <c r="AK2863" s="4">
        <v>24</v>
      </c>
      <c r="AL2863" s="4">
        <v>20</v>
      </c>
      <c r="AM2863" s="4">
        <v>63</v>
      </c>
      <c r="AN2863" s="4">
        <v>0</v>
      </c>
      <c r="AO2863" s="4">
        <v>2</v>
      </c>
      <c r="AP2863" s="4">
        <v>3</v>
      </c>
      <c r="AQ2863" s="4">
        <v>45</v>
      </c>
      <c r="AR2863" s="3" t="s">
        <v>63</v>
      </c>
      <c r="AS2863" s="3" t="s">
        <v>63</v>
      </c>
      <c r="AT2863" s="3" t="s">
        <v>63</v>
      </c>
      <c r="AV2863" s="6" t="str">
        <f>HYPERLINK("http://mcgill.on.worldcat.org/oclc/24503392","Catalog Record")</f>
        <v>Catalog Record</v>
      </c>
      <c r="AW2863" s="6" t="str">
        <f>HYPERLINK("http://www.worldcat.org/oclc/24503392","WorldCat Record")</f>
        <v>WorldCat Record</v>
      </c>
      <c r="AX2863" s="3" t="s">
        <v>23877</v>
      </c>
      <c r="AY2863" s="3" t="s">
        <v>23878</v>
      </c>
      <c r="AZ2863" s="3" t="s">
        <v>23879</v>
      </c>
      <c r="BA2863" s="3" t="s">
        <v>23879</v>
      </c>
      <c r="BB2863" s="3" t="s">
        <v>23880</v>
      </c>
      <c r="BC2863" s="3" t="s">
        <v>82</v>
      </c>
      <c r="BD2863" s="3" t="s">
        <v>538</v>
      </c>
      <c r="BE2863" s="3" t="s">
        <v>23881</v>
      </c>
      <c r="BF2863" s="3" t="s">
        <v>23880</v>
      </c>
      <c r="BG2863" s="3" t="s">
        <v>23882</v>
      </c>
    </row>
    <row r="2864" spans="1:59" ht="75" x14ac:dyDescent="0.25">
      <c r="A2864" s="2" t="s">
        <v>59</v>
      </c>
      <c r="B2864" s="2" t="s">
        <v>60</v>
      </c>
      <c r="C2864" s="2" t="s">
        <v>23872</v>
      </c>
      <c r="D2864" s="2" t="s">
        <v>23873</v>
      </c>
      <c r="E2864" s="2" t="s">
        <v>23874</v>
      </c>
      <c r="G2864" s="3" t="s">
        <v>63</v>
      </c>
      <c r="I2864" s="3" t="s">
        <v>62</v>
      </c>
      <c r="J2864" s="3" t="s">
        <v>62</v>
      </c>
      <c r="K2864" s="3" t="s">
        <v>64</v>
      </c>
      <c r="L2864" s="2" t="s">
        <v>23745</v>
      </c>
      <c r="M2864" s="2" t="s">
        <v>12091</v>
      </c>
      <c r="N2864" s="3" t="s">
        <v>531</v>
      </c>
      <c r="P2864" s="3" t="s">
        <v>66</v>
      </c>
      <c r="Q2864" s="2" t="s">
        <v>23875</v>
      </c>
      <c r="R2864" s="3" t="s">
        <v>67</v>
      </c>
      <c r="S2864" s="4">
        <v>16</v>
      </c>
      <c r="T2864" s="4">
        <v>47</v>
      </c>
      <c r="U2864" s="5" t="s">
        <v>17885</v>
      </c>
      <c r="V2864" s="5" t="s">
        <v>17885</v>
      </c>
      <c r="W2864" s="5" t="s">
        <v>69</v>
      </c>
      <c r="X2864" s="5" t="s">
        <v>69</v>
      </c>
      <c r="Y2864" s="4">
        <v>412</v>
      </c>
      <c r="Z2864" s="4">
        <v>13</v>
      </c>
      <c r="AA2864" s="4">
        <v>113</v>
      </c>
      <c r="AB2864" s="4">
        <v>2</v>
      </c>
      <c r="AC2864" s="4">
        <v>11</v>
      </c>
      <c r="AD2864" s="4">
        <v>34</v>
      </c>
      <c r="AE2864" s="4">
        <v>154</v>
      </c>
      <c r="AF2864" s="4">
        <v>0</v>
      </c>
      <c r="AG2864" s="4">
        <v>3</v>
      </c>
      <c r="AH2864" s="4">
        <v>31</v>
      </c>
      <c r="AI2864" s="4">
        <v>114</v>
      </c>
      <c r="AJ2864" s="4">
        <v>2</v>
      </c>
      <c r="AK2864" s="4">
        <v>24</v>
      </c>
      <c r="AL2864" s="4">
        <v>20</v>
      </c>
      <c r="AM2864" s="4">
        <v>63</v>
      </c>
      <c r="AN2864" s="4">
        <v>0</v>
      </c>
      <c r="AO2864" s="4">
        <v>2</v>
      </c>
      <c r="AP2864" s="4">
        <v>3</v>
      </c>
      <c r="AQ2864" s="4">
        <v>45</v>
      </c>
      <c r="AR2864" s="3" t="s">
        <v>63</v>
      </c>
      <c r="AS2864" s="3" t="s">
        <v>63</v>
      </c>
      <c r="AT2864" s="3" t="s">
        <v>63</v>
      </c>
      <c r="AV2864" s="6" t="str">
        <f>HYPERLINK("http://mcgill.on.worldcat.org/oclc/24503392","Catalog Record")</f>
        <v>Catalog Record</v>
      </c>
      <c r="AW2864" s="6" t="str">
        <f>HYPERLINK("http://www.worldcat.org/oclc/24503392","WorldCat Record")</f>
        <v>WorldCat Record</v>
      </c>
      <c r="AX2864" s="3" t="s">
        <v>23877</v>
      </c>
      <c r="AY2864" s="3" t="s">
        <v>23878</v>
      </c>
      <c r="AZ2864" s="3" t="s">
        <v>23879</v>
      </c>
      <c r="BA2864" s="3" t="s">
        <v>23879</v>
      </c>
      <c r="BB2864" s="3" t="s">
        <v>23883</v>
      </c>
      <c r="BC2864" s="3" t="s">
        <v>82</v>
      </c>
      <c r="BD2864" s="3" t="s">
        <v>70</v>
      </c>
      <c r="BE2864" s="3" t="s">
        <v>23881</v>
      </c>
      <c r="BF2864" s="3" t="s">
        <v>23883</v>
      </c>
      <c r="BG2864" s="3" t="s">
        <v>23884</v>
      </c>
    </row>
    <row r="2865" spans="1:59" ht="75" x14ac:dyDescent="0.25">
      <c r="A2865" s="2" t="s">
        <v>59</v>
      </c>
      <c r="B2865" s="2" t="s">
        <v>60</v>
      </c>
      <c r="C2865" s="2" t="s">
        <v>23872</v>
      </c>
      <c r="D2865" s="2" t="s">
        <v>23873</v>
      </c>
      <c r="E2865" s="2" t="s">
        <v>23874</v>
      </c>
      <c r="G2865" s="3" t="s">
        <v>63</v>
      </c>
      <c r="I2865" s="3" t="s">
        <v>62</v>
      </c>
      <c r="J2865" s="3" t="s">
        <v>62</v>
      </c>
      <c r="K2865" s="3" t="s">
        <v>64</v>
      </c>
      <c r="L2865" s="2" t="s">
        <v>23745</v>
      </c>
      <c r="M2865" s="2" t="s">
        <v>12091</v>
      </c>
      <c r="N2865" s="3" t="s">
        <v>531</v>
      </c>
      <c r="P2865" s="3" t="s">
        <v>66</v>
      </c>
      <c r="Q2865" s="2" t="s">
        <v>23875</v>
      </c>
      <c r="R2865" s="3" t="s">
        <v>67</v>
      </c>
      <c r="S2865" s="4">
        <v>18</v>
      </c>
      <c r="T2865" s="4">
        <v>47</v>
      </c>
      <c r="U2865" s="5" t="s">
        <v>2493</v>
      </c>
      <c r="V2865" s="5" t="s">
        <v>17885</v>
      </c>
      <c r="W2865" s="5" t="s">
        <v>69</v>
      </c>
      <c r="X2865" s="5" t="s">
        <v>69</v>
      </c>
      <c r="Y2865" s="4">
        <v>412</v>
      </c>
      <c r="Z2865" s="4">
        <v>13</v>
      </c>
      <c r="AA2865" s="4">
        <v>113</v>
      </c>
      <c r="AB2865" s="4">
        <v>2</v>
      </c>
      <c r="AC2865" s="4">
        <v>11</v>
      </c>
      <c r="AD2865" s="4">
        <v>34</v>
      </c>
      <c r="AE2865" s="4">
        <v>154</v>
      </c>
      <c r="AF2865" s="4">
        <v>0</v>
      </c>
      <c r="AG2865" s="4">
        <v>3</v>
      </c>
      <c r="AH2865" s="4">
        <v>31</v>
      </c>
      <c r="AI2865" s="4">
        <v>114</v>
      </c>
      <c r="AJ2865" s="4">
        <v>2</v>
      </c>
      <c r="AK2865" s="4">
        <v>24</v>
      </c>
      <c r="AL2865" s="4">
        <v>20</v>
      </c>
      <c r="AM2865" s="4">
        <v>63</v>
      </c>
      <c r="AN2865" s="4">
        <v>0</v>
      </c>
      <c r="AO2865" s="4">
        <v>2</v>
      </c>
      <c r="AP2865" s="4">
        <v>3</v>
      </c>
      <c r="AQ2865" s="4">
        <v>45</v>
      </c>
      <c r="AR2865" s="3" t="s">
        <v>63</v>
      </c>
      <c r="AS2865" s="3" t="s">
        <v>63</v>
      </c>
      <c r="AT2865" s="3" t="s">
        <v>63</v>
      </c>
      <c r="AV2865" s="6" t="str">
        <f>HYPERLINK("http://mcgill.on.worldcat.org/oclc/24503392","Catalog Record")</f>
        <v>Catalog Record</v>
      </c>
      <c r="AW2865" s="6" t="str">
        <f>HYPERLINK("http://www.worldcat.org/oclc/24503392","WorldCat Record")</f>
        <v>WorldCat Record</v>
      </c>
      <c r="AX2865" s="3" t="s">
        <v>23877</v>
      </c>
      <c r="AY2865" s="3" t="s">
        <v>23878</v>
      </c>
      <c r="AZ2865" s="3" t="s">
        <v>23879</v>
      </c>
      <c r="BA2865" s="3" t="s">
        <v>23879</v>
      </c>
      <c r="BB2865" s="3" t="s">
        <v>23885</v>
      </c>
      <c r="BC2865" s="3" t="s">
        <v>82</v>
      </c>
      <c r="BD2865" s="3" t="s">
        <v>538</v>
      </c>
      <c r="BE2865" s="3" t="s">
        <v>23881</v>
      </c>
      <c r="BF2865" s="3" t="s">
        <v>23885</v>
      </c>
      <c r="BG2865" s="3" t="s">
        <v>23886</v>
      </c>
    </row>
    <row r="2866" spans="1:59" ht="90" x14ac:dyDescent="0.25">
      <c r="A2866" s="2" t="s">
        <v>59</v>
      </c>
      <c r="B2866" s="2" t="s">
        <v>60</v>
      </c>
      <c r="C2866" s="2" t="s">
        <v>23887</v>
      </c>
      <c r="D2866" s="2" t="s">
        <v>23888</v>
      </c>
      <c r="E2866" s="2" t="s">
        <v>23889</v>
      </c>
      <c r="G2866" s="3" t="s">
        <v>63</v>
      </c>
      <c r="H2866" s="3" t="s">
        <v>215</v>
      </c>
      <c r="I2866" s="3" t="s">
        <v>63</v>
      </c>
      <c r="J2866" s="3" t="s">
        <v>62</v>
      </c>
      <c r="K2866" s="3" t="s">
        <v>64</v>
      </c>
      <c r="L2866" s="2" t="s">
        <v>23730</v>
      </c>
      <c r="M2866" s="2" t="s">
        <v>23890</v>
      </c>
      <c r="N2866" s="3" t="s">
        <v>106</v>
      </c>
      <c r="P2866" s="3" t="s">
        <v>66</v>
      </c>
      <c r="Q2866" s="2" t="s">
        <v>9341</v>
      </c>
      <c r="R2866" s="3" t="s">
        <v>67</v>
      </c>
      <c r="S2866" s="4">
        <v>0</v>
      </c>
      <c r="T2866" s="4">
        <v>0</v>
      </c>
      <c r="W2866" s="5" t="s">
        <v>1546</v>
      </c>
      <c r="X2866" s="5" t="s">
        <v>1546</v>
      </c>
      <c r="Y2866" s="4">
        <v>251</v>
      </c>
      <c r="Z2866" s="4">
        <v>7</v>
      </c>
      <c r="AA2866" s="4">
        <v>113</v>
      </c>
      <c r="AB2866" s="4">
        <v>1</v>
      </c>
      <c r="AC2866" s="4">
        <v>11</v>
      </c>
      <c r="AD2866" s="4">
        <v>23</v>
      </c>
      <c r="AE2866" s="4">
        <v>154</v>
      </c>
      <c r="AF2866" s="4">
        <v>0</v>
      </c>
      <c r="AG2866" s="4">
        <v>3</v>
      </c>
      <c r="AH2866" s="4">
        <v>21</v>
      </c>
      <c r="AI2866" s="4">
        <v>114</v>
      </c>
      <c r="AJ2866" s="4">
        <v>2</v>
      </c>
      <c r="AK2866" s="4">
        <v>24</v>
      </c>
      <c r="AL2866" s="4">
        <v>14</v>
      </c>
      <c r="AM2866" s="4">
        <v>63</v>
      </c>
      <c r="AN2866" s="4">
        <v>0</v>
      </c>
      <c r="AO2866" s="4">
        <v>2</v>
      </c>
      <c r="AP2866" s="4">
        <v>3</v>
      </c>
      <c r="AQ2866" s="4">
        <v>45</v>
      </c>
      <c r="AR2866" s="3" t="s">
        <v>63</v>
      </c>
      <c r="AS2866" s="3" t="s">
        <v>63</v>
      </c>
      <c r="AT2866" s="3" t="s">
        <v>63</v>
      </c>
      <c r="AV2866" s="6" t="str">
        <f>HYPERLINK("http://mcgill.on.worldcat.org/oclc/910412975","Catalog Record")</f>
        <v>Catalog Record</v>
      </c>
      <c r="AW2866" s="6" t="str">
        <f>HYPERLINK("http://www.worldcat.org/oclc/910412975","WorldCat Record")</f>
        <v>WorldCat Record</v>
      </c>
      <c r="AX2866" s="3" t="s">
        <v>23877</v>
      </c>
      <c r="AY2866" s="3" t="s">
        <v>23891</v>
      </c>
      <c r="AZ2866" s="3" t="s">
        <v>23892</v>
      </c>
      <c r="BA2866" s="3" t="s">
        <v>23892</v>
      </c>
      <c r="BB2866" s="3" t="s">
        <v>23893</v>
      </c>
      <c r="BC2866" s="3" t="s">
        <v>82</v>
      </c>
      <c r="BD2866" s="3" t="s">
        <v>70</v>
      </c>
      <c r="BE2866" s="3" t="s">
        <v>23894</v>
      </c>
      <c r="BF2866" s="3" t="s">
        <v>23893</v>
      </c>
      <c r="BG2866" s="3" t="s">
        <v>23895</v>
      </c>
    </row>
    <row r="2867" spans="1:59" ht="60" x14ac:dyDescent="0.25">
      <c r="A2867" s="2" t="s">
        <v>59</v>
      </c>
      <c r="B2867" s="2" t="s">
        <v>60</v>
      </c>
      <c r="C2867" s="2" t="s">
        <v>23896</v>
      </c>
      <c r="D2867" s="2" t="s">
        <v>23897</v>
      </c>
      <c r="E2867" s="2" t="s">
        <v>23898</v>
      </c>
      <c r="G2867" s="3" t="s">
        <v>63</v>
      </c>
      <c r="I2867" s="3" t="s">
        <v>63</v>
      </c>
      <c r="J2867" s="3" t="s">
        <v>62</v>
      </c>
      <c r="K2867" s="3" t="s">
        <v>64</v>
      </c>
      <c r="L2867" s="2" t="s">
        <v>23745</v>
      </c>
      <c r="M2867" s="2" t="s">
        <v>23899</v>
      </c>
      <c r="N2867" s="3" t="s">
        <v>918</v>
      </c>
      <c r="O2867" s="2" t="s">
        <v>9903</v>
      </c>
      <c r="P2867" s="3" t="s">
        <v>66</v>
      </c>
      <c r="R2867" s="3" t="s">
        <v>67</v>
      </c>
      <c r="S2867" s="4">
        <v>56</v>
      </c>
      <c r="T2867" s="4">
        <v>56</v>
      </c>
      <c r="U2867" s="5" t="s">
        <v>11547</v>
      </c>
      <c r="V2867" s="5" t="s">
        <v>11547</v>
      </c>
      <c r="W2867" s="5" t="s">
        <v>69</v>
      </c>
      <c r="X2867" s="5" t="s">
        <v>69</v>
      </c>
      <c r="Y2867" s="4">
        <v>895</v>
      </c>
      <c r="Z2867" s="4">
        <v>26</v>
      </c>
      <c r="AA2867" s="4">
        <v>113</v>
      </c>
      <c r="AB2867" s="4">
        <v>1</v>
      </c>
      <c r="AC2867" s="4">
        <v>11</v>
      </c>
      <c r="AD2867" s="4">
        <v>96</v>
      </c>
      <c r="AE2867" s="4">
        <v>154</v>
      </c>
      <c r="AF2867" s="4">
        <v>0</v>
      </c>
      <c r="AG2867" s="4">
        <v>3</v>
      </c>
      <c r="AH2867" s="4">
        <v>83</v>
      </c>
      <c r="AI2867" s="4">
        <v>114</v>
      </c>
      <c r="AJ2867" s="4">
        <v>9</v>
      </c>
      <c r="AK2867" s="4">
        <v>24</v>
      </c>
      <c r="AL2867" s="4">
        <v>43</v>
      </c>
      <c r="AM2867" s="4">
        <v>63</v>
      </c>
      <c r="AN2867" s="4">
        <v>0</v>
      </c>
      <c r="AO2867" s="4">
        <v>2</v>
      </c>
      <c r="AP2867" s="4">
        <v>16</v>
      </c>
      <c r="AQ2867" s="4">
        <v>45</v>
      </c>
      <c r="AR2867" s="3" t="s">
        <v>63</v>
      </c>
      <c r="AS2867" s="3" t="s">
        <v>63</v>
      </c>
      <c r="AT2867" s="3" t="s">
        <v>62</v>
      </c>
      <c r="AU2867" s="6" t="str">
        <f>HYPERLINK("http://catalog.hathitrust.org/Record/001847252","HathiTrust Record")</f>
        <v>HathiTrust Record</v>
      </c>
      <c r="AV2867" s="6" t="str">
        <f>HYPERLINK("http://mcgill.on.worldcat.org/oclc/321339","Catalog Record")</f>
        <v>Catalog Record</v>
      </c>
      <c r="AW2867" s="6" t="str">
        <f>HYPERLINK("http://www.worldcat.org/oclc/321339","WorldCat Record")</f>
        <v>WorldCat Record</v>
      </c>
      <c r="AX2867" s="3" t="s">
        <v>23877</v>
      </c>
      <c r="AY2867" s="3" t="s">
        <v>23900</v>
      </c>
      <c r="AZ2867" s="3" t="s">
        <v>23901</v>
      </c>
      <c r="BA2867" s="3" t="s">
        <v>23901</v>
      </c>
      <c r="BB2867" s="3" t="s">
        <v>23902</v>
      </c>
      <c r="BC2867" s="3" t="s">
        <v>82</v>
      </c>
      <c r="BD2867" s="3" t="s">
        <v>538</v>
      </c>
      <c r="BF2867" s="3" t="s">
        <v>23902</v>
      </c>
      <c r="BG2867" s="3" t="s">
        <v>23903</v>
      </c>
    </row>
    <row r="2868" spans="1:59" ht="75" x14ac:dyDescent="0.25">
      <c r="A2868" s="2" t="s">
        <v>59</v>
      </c>
      <c r="B2868" s="2" t="s">
        <v>60</v>
      </c>
      <c r="C2868" s="2" t="s">
        <v>23904</v>
      </c>
      <c r="D2868" s="2" t="s">
        <v>23905</v>
      </c>
      <c r="E2868" s="2" t="s">
        <v>23906</v>
      </c>
      <c r="G2868" s="3" t="s">
        <v>63</v>
      </c>
      <c r="I2868" s="3" t="s">
        <v>63</v>
      </c>
      <c r="J2868" s="3" t="s">
        <v>62</v>
      </c>
      <c r="K2868" s="3" t="s">
        <v>64</v>
      </c>
      <c r="L2868" s="2" t="s">
        <v>23745</v>
      </c>
      <c r="M2868" s="2" t="s">
        <v>23907</v>
      </c>
      <c r="N2868" s="3" t="s">
        <v>1418</v>
      </c>
      <c r="O2868" s="2" t="s">
        <v>19895</v>
      </c>
      <c r="P2868" s="3" t="s">
        <v>66</v>
      </c>
      <c r="R2868" s="3" t="s">
        <v>67</v>
      </c>
      <c r="S2868" s="4">
        <v>129</v>
      </c>
      <c r="T2868" s="4">
        <v>129</v>
      </c>
      <c r="U2868" s="5" t="s">
        <v>3183</v>
      </c>
      <c r="V2868" s="5" t="s">
        <v>3183</v>
      </c>
      <c r="W2868" s="5" t="s">
        <v>69</v>
      </c>
      <c r="X2868" s="5" t="s">
        <v>69</v>
      </c>
      <c r="Y2868" s="4">
        <v>254</v>
      </c>
      <c r="Z2868" s="4">
        <v>14</v>
      </c>
      <c r="AA2868" s="4">
        <v>112</v>
      </c>
      <c r="AB2868" s="4">
        <v>0</v>
      </c>
      <c r="AC2868" s="4">
        <v>11</v>
      </c>
      <c r="AD2868" s="4">
        <v>36</v>
      </c>
      <c r="AE2868" s="4">
        <v>154</v>
      </c>
      <c r="AF2868" s="4">
        <v>0</v>
      </c>
      <c r="AG2868" s="4">
        <v>3</v>
      </c>
      <c r="AH2868" s="4">
        <v>28</v>
      </c>
      <c r="AI2868" s="4">
        <v>114</v>
      </c>
      <c r="AJ2868" s="4">
        <v>6</v>
      </c>
      <c r="AK2868" s="4">
        <v>24</v>
      </c>
      <c r="AL2868" s="4">
        <v>19</v>
      </c>
      <c r="AM2868" s="4">
        <v>63</v>
      </c>
      <c r="AN2868" s="4">
        <v>0</v>
      </c>
      <c r="AO2868" s="4">
        <v>2</v>
      </c>
      <c r="AP2868" s="4">
        <v>8</v>
      </c>
      <c r="AQ2868" s="4">
        <v>45</v>
      </c>
      <c r="AR2868" s="3" t="s">
        <v>63</v>
      </c>
      <c r="AS2868" s="3" t="s">
        <v>63</v>
      </c>
      <c r="AT2868" s="3" t="s">
        <v>63</v>
      </c>
      <c r="AV2868" s="6" t="str">
        <f>HYPERLINK("http://mcgill.on.worldcat.org/oclc/15315464","Catalog Record")</f>
        <v>Catalog Record</v>
      </c>
      <c r="AW2868" s="6" t="str">
        <f>HYPERLINK("http://www.worldcat.org/oclc/15315464","WorldCat Record")</f>
        <v>WorldCat Record</v>
      </c>
      <c r="AX2868" s="3" t="s">
        <v>23877</v>
      </c>
      <c r="AY2868" s="3" t="s">
        <v>23908</v>
      </c>
      <c r="AZ2868" s="3" t="s">
        <v>23909</v>
      </c>
      <c r="BA2868" s="3" t="s">
        <v>23909</v>
      </c>
      <c r="BB2868" s="3" t="s">
        <v>23910</v>
      </c>
      <c r="BC2868" s="3" t="s">
        <v>82</v>
      </c>
      <c r="BD2868" s="3" t="s">
        <v>23911</v>
      </c>
      <c r="BE2868" s="3" t="s">
        <v>23912</v>
      </c>
      <c r="BF2868" s="3" t="s">
        <v>23910</v>
      </c>
      <c r="BG2868" s="3" t="s">
        <v>23913</v>
      </c>
    </row>
    <row r="2869" spans="1:59" ht="75" x14ac:dyDescent="0.25">
      <c r="A2869" s="2" t="s">
        <v>59</v>
      </c>
      <c r="B2869" s="2" t="s">
        <v>60</v>
      </c>
      <c r="C2869" s="2" t="s">
        <v>23914</v>
      </c>
      <c r="D2869" s="2" t="s">
        <v>23915</v>
      </c>
      <c r="E2869" s="2" t="s">
        <v>23916</v>
      </c>
      <c r="G2869" s="3" t="s">
        <v>63</v>
      </c>
      <c r="I2869" s="3" t="s">
        <v>63</v>
      </c>
      <c r="J2869" s="3" t="s">
        <v>63</v>
      </c>
      <c r="K2869" s="3" t="s">
        <v>64</v>
      </c>
      <c r="L2869" s="2" t="s">
        <v>23917</v>
      </c>
      <c r="M2869" s="2" t="s">
        <v>23918</v>
      </c>
      <c r="N2869" s="3" t="s">
        <v>480</v>
      </c>
      <c r="P2869" s="3" t="s">
        <v>66</v>
      </c>
      <c r="Q2869" s="2" t="s">
        <v>23919</v>
      </c>
      <c r="R2869" s="3" t="s">
        <v>67</v>
      </c>
      <c r="S2869" s="4">
        <v>45</v>
      </c>
      <c r="T2869" s="4">
        <v>45</v>
      </c>
      <c r="U2869" s="5" t="s">
        <v>7577</v>
      </c>
      <c r="V2869" s="5" t="s">
        <v>7577</v>
      </c>
      <c r="W2869" s="5" t="s">
        <v>69</v>
      </c>
      <c r="X2869" s="5" t="s">
        <v>69</v>
      </c>
      <c r="Y2869" s="4">
        <v>154</v>
      </c>
      <c r="Z2869" s="4">
        <v>15</v>
      </c>
      <c r="AA2869" s="4">
        <v>16</v>
      </c>
      <c r="AB2869" s="4">
        <v>1</v>
      </c>
      <c r="AC2869" s="4">
        <v>2</v>
      </c>
      <c r="AD2869" s="4">
        <v>67</v>
      </c>
      <c r="AE2869" s="4">
        <v>68</v>
      </c>
      <c r="AF2869" s="4">
        <v>0</v>
      </c>
      <c r="AG2869" s="4">
        <v>1</v>
      </c>
      <c r="AH2869" s="4">
        <v>60</v>
      </c>
      <c r="AI2869" s="4">
        <v>61</v>
      </c>
      <c r="AJ2869" s="4">
        <v>13</v>
      </c>
      <c r="AK2869" s="4">
        <v>14</v>
      </c>
      <c r="AL2869" s="4">
        <v>36</v>
      </c>
      <c r="AM2869" s="4">
        <v>36</v>
      </c>
      <c r="AN2869" s="4">
        <v>0</v>
      </c>
      <c r="AO2869" s="4">
        <v>0</v>
      </c>
      <c r="AP2869" s="4">
        <v>13</v>
      </c>
      <c r="AQ2869" s="4">
        <v>14</v>
      </c>
      <c r="AR2869" s="3" t="s">
        <v>63</v>
      </c>
      <c r="AS2869" s="3" t="s">
        <v>63</v>
      </c>
      <c r="AT2869" s="3" t="s">
        <v>62</v>
      </c>
      <c r="AU2869" s="6" t="str">
        <f>HYPERLINK("http://catalog.hathitrust.org/Record/002545025","HathiTrust Record")</f>
        <v>HathiTrust Record</v>
      </c>
      <c r="AV2869" s="6" t="str">
        <f>HYPERLINK("http://mcgill.on.worldcat.org/oclc/23900895","Catalog Record")</f>
        <v>Catalog Record</v>
      </c>
      <c r="AW2869" s="6" t="str">
        <f>HYPERLINK("http://www.worldcat.org/oclc/23900895","WorldCat Record")</f>
        <v>WorldCat Record</v>
      </c>
      <c r="AX2869" s="3" t="s">
        <v>23920</v>
      </c>
      <c r="AY2869" s="3" t="s">
        <v>23921</v>
      </c>
      <c r="AZ2869" s="3" t="s">
        <v>23922</v>
      </c>
      <c r="BA2869" s="3" t="s">
        <v>23922</v>
      </c>
      <c r="BB2869" s="3" t="s">
        <v>23923</v>
      </c>
      <c r="BC2869" s="3" t="s">
        <v>82</v>
      </c>
      <c r="BD2869" s="3" t="s">
        <v>70</v>
      </c>
      <c r="BE2869" s="3" t="s">
        <v>23924</v>
      </c>
      <c r="BF2869" s="3" t="s">
        <v>23923</v>
      </c>
      <c r="BG2869" s="3" t="s">
        <v>23925</v>
      </c>
    </row>
    <row r="2870" spans="1:59" ht="75" x14ac:dyDescent="0.25">
      <c r="A2870" s="2" t="s">
        <v>59</v>
      </c>
      <c r="B2870" s="2" t="s">
        <v>60</v>
      </c>
      <c r="C2870" s="2" t="s">
        <v>23926</v>
      </c>
      <c r="D2870" s="2" t="s">
        <v>23927</v>
      </c>
      <c r="E2870" s="2" t="s">
        <v>23928</v>
      </c>
      <c r="G2870" s="3" t="s">
        <v>63</v>
      </c>
      <c r="I2870" s="3" t="s">
        <v>63</v>
      </c>
      <c r="J2870" s="3" t="s">
        <v>63</v>
      </c>
      <c r="K2870" s="3" t="s">
        <v>64</v>
      </c>
      <c r="L2870" s="2" t="s">
        <v>23929</v>
      </c>
      <c r="M2870" s="2" t="s">
        <v>23930</v>
      </c>
      <c r="N2870" s="3" t="s">
        <v>629</v>
      </c>
      <c r="P2870" s="3" t="s">
        <v>90</v>
      </c>
      <c r="R2870" s="3" t="s">
        <v>67</v>
      </c>
      <c r="S2870" s="4">
        <v>0</v>
      </c>
      <c r="T2870" s="4">
        <v>0</v>
      </c>
      <c r="W2870" s="5" t="s">
        <v>69</v>
      </c>
      <c r="X2870" s="5" t="s">
        <v>69</v>
      </c>
      <c r="Y2870" s="4">
        <v>27</v>
      </c>
      <c r="Z2870" s="4">
        <v>5</v>
      </c>
      <c r="AA2870" s="4">
        <v>5</v>
      </c>
      <c r="AB2870" s="4">
        <v>1</v>
      </c>
      <c r="AC2870" s="4">
        <v>1</v>
      </c>
      <c r="AD2870" s="4">
        <v>17</v>
      </c>
      <c r="AE2870" s="4">
        <v>17</v>
      </c>
      <c r="AF2870" s="4">
        <v>0</v>
      </c>
      <c r="AG2870" s="4">
        <v>0</v>
      </c>
      <c r="AH2870" s="4">
        <v>17</v>
      </c>
      <c r="AI2870" s="4">
        <v>17</v>
      </c>
      <c r="AJ2870" s="4">
        <v>3</v>
      </c>
      <c r="AK2870" s="4">
        <v>3</v>
      </c>
      <c r="AL2870" s="4">
        <v>13</v>
      </c>
      <c r="AM2870" s="4">
        <v>13</v>
      </c>
      <c r="AN2870" s="4">
        <v>0</v>
      </c>
      <c r="AO2870" s="4">
        <v>0</v>
      </c>
      <c r="AP2870" s="4">
        <v>3</v>
      </c>
      <c r="AQ2870" s="4">
        <v>3</v>
      </c>
      <c r="AR2870" s="3" t="s">
        <v>63</v>
      </c>
      <c r="AS2870" s="3" t="s">
        <v>63</v>
      </c>
      <c r="AT2870" s="3" t="s">
        <v>63</v>
      </c>
      <c r="AV2870" s="6" t="str">
        <f>HYPERLINK("http://mcgill.on.worldcat.org/oclc/739837274","Catalog Record")</f>
        <v>Catalog Record</v>
      </c>
      <c r="AW2870" s="6" t="str">
        <f>HYPERLINK("http://www.worldcat.org/oclc/739837274","WorldCat Record")</f>
        <v>WorldCat Record</v>
      </c>
      <c r="AX2870" s="3" t="s">
        <v>23931</v>
      </c>
      <c r="AY2870" s="3" t="s">
        <v>23932</v>
      </c>
      <c r="AZ2870" s="3" t="s">
        <v>23933</v>
      </c>
      <c r="BA2870" s="3" t="s">
        <v>23933</v>
      </c>
      <c r="BB2870" s="3" t="s">
        <v>23934</v>
      </c>
      <c r="BC2870" s="3" t="s">
        <v>82</v>
      </c>
      <c r="BD2870" s="3" t="s">
        <v>70</v>
      </c>
      <c r="BE2870" s="3" t="s">
        <v>23935</v>
      </c>
      <c r="BF2870" s="3" t="s">
        <v>23934</v>
      </c>
      <c r="BG2870" s="3" t="s">
        <v>23936</v>
      </c>
    </row>
    <row r="2871" spans="1:59" ht="75" x14ac:dyDescent="0.25">
      <c r="A2871" s="2" t="s">
        <v>59</v>
      </c>
      <c r="B2871" s="2" t="s">
        <v>60</v>
      </c>
      <c r="C2871" s="2" t="s">
        <v>23937</v>
      </c>
      <c r="D2871" s="2" t="s">
        <v>23938</v>
      </c>
      <c r="E2871" s="2" t="s">
        <v>23939</v>
      </c>
      <c r="G2871" s="3" t="s">
        <v>63</v>
      </c>
      <c r="I2871" s="3" t="s">
        <v>63</v>
      </c>
      <c r="J2871" s="3" t="s">
        <v>63</v>
      </c>
      <c r="K2871" s="3" t="s">
        <v>64</v>
      </c>
      <c r="L2871" s="2" t="s">
        <v>23940</v>
      </c>
      <c r="M2871" s="2" t="s">
        <v>23941</v>
      </c>
      <c r="N2871" s="3" t="s">
        <v>261</v>
      </c>
      <c r="P2871" s="3" t="s">
        <v>90</v>
      </c>
      <c r="R2871" s="3" t="s">
        <v>67</v>
      </c>
      <c r="S2871" s="4">
        <v>1</v>
      </c>
      <c r="T2871" s="4">
        <v>1</v>
      </c>
      <c r="U2871" s="5" t="s">
        <v>23645</v>
      </c>
      <c r="V2871" s="5" t="s">
        <v>23645</v>
      </c>
      <c r="W2871" s="5" t="s">
        <v>69</v>
      </c>
      <c r="X2871" s="5" t="s">
        <v>69</v>
      </c>
      <c r="Y2871" s="4">
        <v>60</v>
      </c>
      <c r="Z2871" s="4">
        <v>4</v>
      </c>
      <c r="AA2871" s="4">
        <v>4</v>
      </c>
      <c r="AB2871" s="4">
        <v>1</v>
      </c>
      <c r="AC2871" s="4">
        <v>1</v>
      </c>
      <c r="AD2871" s="4">
        <v>28</v>
      </c>
      <c r="AE2871" s="4">
        <v>28</v>
      </c>
      <c r="AF2871" s="4">
        <v>0</v>
      </c>
      <c r="AG2871" s="4">
        <v>0</v>
      </c>
      <c r="AH2871" s="4">
        <v>27</v>
      </c>
      <c r="AI2871" s="4">
        <v>27</v>
      </c>
      <c r="AJ2871" s="4">
        <v>2</v>
      </c>
      <c r="AK2871" s="4">
        <v>2</v>
      </c>
      <c r="AL2871" s="4">
        <v>22</v>
      </c>
      <c r="AM2871" s="4">
        <v>22</v>
      </c>
      <c r="AN2871" s="4">
        <v>0</v>
      </c>
      <c r="AO2871" s="4">
        <v>0</v>
      </c>
      <c r="AP2871" s="4">
        <v>2</v>
      </c>
      <c r="AQ2871" s="4">
        <v>2</v>
      </c>
      <c r="AR2871" s="3" t="s">
        <v>63</v>
      </c>
      <c r="AS2871" s="3" t="s">
        <v>63</v>
      </c>
      <c r="AT2871" s="3" t="s">
        <v>63</v>
      </c>
      <c r="AV2871" s="6" t="str">
        <f>HYPERLINK("http://mcgill.on.worldcat.org/oclc/181006906","Catalog Record")</f>
        <v>Catalog Record</v>
      </c>
      <c r="AW2871" s="6" t="str">
        <f>HYPERLINK("http://www.worldcat.org/oclc/181006906","WorldCat Record")</f>
        <v>WorldCat Record</v>
      </c>
      <c r="AX2871" s="3" t="s">
        <v>23942</v>
      </c>
      <c r="AY2871" s="3" t="s">
        <v>23943</v>
      </c>
      <c r="AZ2871" s="3" t="s">
        <v>23944</v>
      </c>
      <c r="BA2871" s="3" t="s">
        <v>23944</v>
      </c>
      <c r="BB2871" s="3" t="s">
        <v>23945</v>
      </c>
      <c r="BC2871" s="3" t="s">
        <v>82</v>
      </c>
      <c r="BD2871" s="3" t="s">
        <v>70</v>
      </c>
      <c r="BE2871" s="3" t="s">
        <v>23946</v>
      </c>
      <c r="BF2871" s="3" t="s">
        <v>23945</v>
      </c>
      <c r="BG2871" s="3" t="s">
        <v>23947</v>
      </c>
    </row>
    <row r="2872" spans="1:59" ht="60" x14ac:dyDescent="0.25">
      <c r="A2872" s="2" t="s">
        <v>59</v>
      </c>
      <c r="B2872" s="2" t="s">
        <v>60</v>
      </c>
      <c r="C2872" s="2" t="s">
        <v>23948</v>
      </c>
      <c r="D2872" s="2" t="s">
        <v>23949</v>
      </c>
      <c r="E2872" s="2" t="s">
        <v>23950</v>
      </c>
      <c r="G2872" s="3" t="s">
        <v>63</v>
      </c>
      <c r="I2872" s="3" t="s">
        <v>63</v>
      </c>
      <c r="J2872" s="3" t="s">
        <v>63</v>
      </c>
      <c r="K2872" s="3" t="s">
        <v>64</v>
      </c>
      <c r="L2872" s="2" t="s">
        <v>23951</v>
      </c>
      <c r="M2872" s="2" t="s">
        <v>23952</v>
      </c>
      <c r="N2872" s="3" t="s">
        <v>731</v>
      </c>
      <c r="O2872" s="2" t="s">
        <v>590</v>
      </c>
      <c r="P2872" s="3" t="s">
        <v>66</v>
      </c>
      <c r="R2872" s="3" t="s">
        <v>67</v>
      </c>
      <c r="S2872" s="4">
        <v>45</v>
      </c>
      <c r="T2872" s="4">
        <v>45</v>
      </c>
      <c r="U2872" s="5" t="s">
        <v>9684</v>
      </c>
      <c r="V2872" s="5" t="s">
        <v>9684</v>
      </c>
      <c r="W2872" s="5" t="s">
        <v>69</v>
      </c>
      <c r="X2872" s="5" t="s">
        <v>69</v>
      </c>
      <c r="Y2872" s="4">
        <v>108</v>
      </c>
      <c r="Z2872" s="4">
        <v>13</v>
      </c>
      <c r="AA2872" s="4">
        <v>13</v>
      </c>
      <c r="AB2872" s="4">
        <v>1</v>
      </c>
      <c r="AC2872" s="4">
        <v>1</v>
      </c>
      <c r="AD2872" s="4">
        <v>49</v>
      </c>
      <c r="AE2872" s="4">
        <v>49</v>
      </c>
      <c r="AF2872" s="4">
        <v>0</v>
      </c>
      <c r="AG2872" s="4">
        <v>0</v>
      </c>
      <c r="AH2872" s="4">
        <v>46</v>
      </c>
      <c r="AI2872" s="4">
        <v>46</v>
      </c>
      <c r="AJ2872" s="4">
        <v>11</v>
      </c>
      <c r="AK2872" s="4">
        <v>11</v>
      </c>
      <c r="AL2872" s="4">
        <v>28</v>
      </c>
      <c r="AM2872" s="4">
        <v>28</v>
      </c>
      <c r="AN2872" s="4">
        <v>0</v>
      </c>
      <c r="AO2872" s="4">
        <v>0</v>
      </c>
      <c r="AP2872" s="4">
        <v>11</v>
      </c>
      <c r="AQ2872" s="4">
        <v>11</v>
      </c>
      <c r="AR2872" s="3" t="s">
        <v>63</v>
      </c>
      <c r="AS2872" s="3" t="s">
        <v>63</v>
      </c>
      <c r="AT2872" s="3" t="s">
        <v>62</v>
      </c>
      <c r="AU2872" s="6" t="str">
        <f>HYPERLINK("http://catalog.hathitrust.org/Record/000692648","HathiTrust Record")</f>
        <v>HathiTrust Record</v>
      </c>
      <c r="AV2872" s="6" t="str">
        <f>HYPERLINK("http://mcgill.on.worldcat.org/oclc/1990992","Catalog Record")</f>
        <v>Catalog Record</v>
      </c>
      <c r="AW2872" s="6" t="str">
        <f>HYPERLINK("http://www.worldcat.org/oclc/1990992","WorldCat Record")</f>
        <v>WorldCat Record</v>
      </c>
      <c r="AX2872" s="3" t="s">
        <v>23953</v>
      </c>
      <c r="AY2872" s="3" t="s">
        <v>23954</v>
      </c>
      <c r="AZ2872" s="3" t="s">
        <v>23955</v>
      </c>
      <c r="BA2872" s="3" t="s">
        <v>23955</v>
      </c>
      <c r="BB2872" s="3" t="s">
        <v>23956</v>
      </c>
      <c r="BC2872" s="3" t="s">
        <v>82</v>
      </c>
      <c r="BD2872" s="3" t="s">
        <v>70</v>
      </c>
      <c r="BE2872" s="3" t="s">
        <v>23957</v>
      </c>
      <c r="BF2872" s="3" t="s">
        <v>23956</v>
      </c>
      <c r="BG2872" s="3" t="s">
        <v>23958</v>
      </c>
    </row>
    <row r="2873" spans="1:59" ht="75" x14ac:dyDescent="0.25">
      <c r="A2873" s="2" t="s">
        <v>59</v>
      </c>
      <c r="B2873" s="2" t="s">
        <v>60</v>
      </c>
      <c r="C2873" s="2" t="s">
        <v>23959</v>
      </c>
      <c r="D2873" s="2" t="s">
        <v>23960</v>
      </c>
      <c r="E2873" s="2" t="s">
        <v>23961</v>
      </c>
      <c r="G2873" s="3" t="s">
        <v>63</v>
      </c>
      <c r="I2873" s="3" t="s">
        <v>63</v>
      </c>
      <c r="J2873" s="3" t="s">
        <v>63</v>
      </c>
      <c r="K2873" s="3" t="s">
        <v>64</v>
      </c>
      <c r="M2873" s="2" t="s">
        <v>23520</v>
      </c>
      <c r="N2873" s="3" t="s">
        <v>204</v>
      </c>
      <c r="P2873" s="3" t="s">
        <v>66</v>
      </c>
      <c r="Q2873" s="2" t="s">
        <v>10845</v>
      </c>
      <c r="R2873" s="3" t="s">
        <v>67</v>
      </c>
      <c r="S2873" s="4">
        <v>45</v>
      </c>
      <c r="T2873" s="4">
        <v>45</v>
      </c>
      <c r="U2873" s="5" t="s">
        <v>23962</v>
      </c>
      <c r="V2873" s="5" t="s">
        <v>23962</v>
      </c>
      <c r="W2873" s="5" t="s">
        <v>69</v>
      </c>
      <c r="X2873" s="5" t="s">
        <v>69</v>
      </c>
      <c r="Y2873" s="4">
        <v>257</v>
      </c>
      <c r="Z2873" s="4">
        <v>19</v>
      </c>
      <c r="AA2873" s="4">
        <v>19</v>
      </c>
      <c r="AB2873" s="4">
        <v>2</v>
      </c>
      <c r="AC2873" s="4">
        <v>2</v>
      </c>
      <c r="AD2873" s="4">
        <v>92</v>
      </c>
      <c r="AE2873" s="4">
        <v>92</v>
      </c>
      <c r="AF2873" s="4">
        <v>1</v>
      </c>
      <c r="AG2873" s="4">
        <v>1</v>
      </c>
      <c r="AH2873" s="4">
        <v>84</v>
      </c>
      <c r="AI2873" s="4">
        <v>84</v>
      </c>
      <c r="AJ2873" s="4">
        <v>13</v>
      </c>
      <c r="AK2873" s="4">
        <v>13</v>
      </c>
      <c r="AL2873" s="4">
        <v>48</v>
      </c>
      <c r="AM2873" s="4">
        <v>48</v>
      </c>
      <c r="AN2873" s="4">
        <v>0</v>
      </c>
      <c r="AO2873" s="4">
        <v>0</v>
      </c>
      <c r="AP2873" s="4">
        <v>16</v>
      </c>
      <c r="AQ2873" s="4">
        <v>16</v>
      </c>
      <c r="AR2873" s="3" t="s">
        <v>63</v>
      </c>
      <c r="AS2873" s="3" t="s">
        <v>63</v>
      </c>
      <c r="AT2873" s="3" t="s">
        <v>62</v>
      </c>
      <c r="AU2873" s="6" t="str">
        <f>HYPERLINK("http://catalog.hathitrust.org/Record/003057164","HathiTrust Record")</f>
        <v>HathiTrust Record</v>
      </c>
      <c r="AV2873" s="6" t="str">
        <f>HYPERLINK("http://mcgill.on.worldcat.org/oclc/33407157","Catalog Record")</f>
        <v>Catalog Record</v>
      </c>
      <c r="AW2873" s="6" t="str">
        <f>HYPERLINK("http://www.worldcat.org/oclc/33407157","WorldCat Record")</f>
        <v>WorldCat Record</v>
      </c>
      <c r="AX2873" s="3" t="s">
        <v>23963</v>
      </c>
      <c r="AY2873" s="3" t="s">
        <v>23964</v>
      </c>
      <c r="AZ2873" s="3" t="s">
        <v>23965</v>
      </c>
      <c r="BA2873" s="3" t="s">
        <v>23965</v>
      </c>
      <c r="BB2873" s="3" t="s">
        <v>23966</v>
      </c>
      <c r="BC2873" s="3" t="s">
        <v>82</v>
      </c>
      <c r="BD2873" s="3" t="s">
        <v>70</v>
      </c>
      <c r="BE2873" s="3" t="s">
        <v>23967</v>
      </c>
      <c r="BF2873" s="3" t="s">
        <v>23966</v>
      </c>
      <c r="BG2873" s="3" t="s">
        <v>23968</v>
      </c>
    </row>
    <row r="2874" spans="1:59" ht="75" x14ac:dyDescent="0.25">
      <c r="A2874" s="2" t="s">
        <v>59</v>
      </c>
      <c r="B2874" s="2" t="s">
        <v>60</v>
      </c>
      <c r="C2874" s="2" t="s">
        <v>23969</v>
      </c>
      <c r="D2874" s="2" t="s">
        <v>23970</v>
      </c>
      <c r="E2874" s="2" t="s">
        <v>23971</v>
      </c>
      <c r="G2874" s="3" t="s">
        <v>63</v>
      </c>
      <c r="I2874" s="3" t="s">
        <v>63</v>
      </c>
      <c r="J2874" s="3" t="s">
        <v>63</v>
      </c>
      <c r="K2874" s="3" t="s">
        <v>64</v>
      </c>
      <c r="L2874" s="2" t="s">
        <v>23972</v>
      </c>
      <c r="M2874" s="2" t="s">
        <v>23973</v>
      </c>
      <c r="N2874" s="3" t="s">
        <v>480</v>
      </c>
      <c r="P2874" s="3" t="s">
        <v>66</v>
      </c>
      <c r="R2874" s="3" t="s">
        <v>67</v>
      </c>
      <c r="S2874" s="4">
        <v>36</v>
      </c>
      <c r="T2874" s="4">
        <v>36</v>
      </c>
      <c r="U2874" s="5" t="s">
        <v>7577</v>
      </c>
      <c r="V2874" s="5" t="s">
        <v>7577</v>
      </c>
      <c r="W2874" s="5" t="s">
        <v>69</v>
      </c>
      <c r="X2874" s="5" t="s">
        <v>69</v>
      </c>
      <c r="Y2874" s="4">
        <v>238</v>
      </c>
      <c r="Z2874" s="4">
        <v>13</v>
      </c>
      <c r="AA2874" s="4">
        <v>22</v>
      </c>
      <c r="AB2874" s="4">
        <v>1</v>
      </c>
      <c r="AC2874" s="4">
        <v>2</v>
      </c>
      <c r="AD2874" s="4">
        <v>75</v>
      </c>
      <c r="AE2874" s="4">
        <v>96</v>
      </c>
      <c r="AF2874" s="4">
        <v>0</v>
      </c>
      <c r="AG2874" s="4">
        <v>0</v>
      </c>
      <c r="AH2874" s="4">
        <v>68</v>
      </c>
      <c r="AI2874" s="4">
        <v>86</v>
      </c>
      <c r="AJ2874" s="4">
        <v>10</v>
      </c>
      <c r="AK2874" s="4">
        <v>17</v>
      </c>
      <c r="AL2874" s="4">
        <v>40</v>
      </c>
      <c r="AM2874" s="4">
        <v>49</v>
      </c>
      <c r="AN2874" s="4">
        <v>0</v>
      </c>
      <c r="AO2874" s="4">
        <v>0</v>
      </c>
      <c r="AP2874" s="4">
        <v>11</v>
      </c>
      <c r="AQ2874" s="4">
        <v>18</v>
      </c>
      <c r="AR2874" s="3" t="s">
        <v>63</v>
      </c>
      <c r="AS2874" s="3" t="s">
        <v>63</v>
      </c>
      <c r="AT2874" s="3" t="s">
        <v>63</v>
      </c>
      <c r="AV2874" s="6" t="str">
        <f>HYPERLINK("http://mcgill.on.worldcat.org/oclc/23144322","Catalog Record")</f>
        <v>Catalog Record</v>
      </c>
      <c r="AW2874" s="6" t="str">
        <f>HYPERLINK("http://www.worldcat.org/oclc/23144322","WorldCat Record")</f>
        <v>WorldCat Record</v>
      </c>
      <c r="AX2874" s="3" t="s">
        <v>23974</v>
      </c>
      <c r="AY2874" s="3" t="s">
        <v>23975</v>
      </c>
      <c r="AZ2874" s="3" t="s">
        <v>23976</v>
      </c>
      <c r="BA2874" s="3" t="s">
        <v>23976</v>
      </c>
      <c r="BB2874" s="3" t="s">
        <v>23977</v>
      </c>
      <c r="BC2874" s="3" t="s">
        <v>82</v>
      </c>
      <c r="BD2874" s="3" t="s">
        <v>70</v>
      </c>
      <c r="BE2874" s="3" t="s">
        <v>23978</v>
      </c>
      <c r="BF2874" s="3" t="s">
        <v>23977</v>
      </c>
      <c r="BG2874" s="3" t="s">
        <v>23979</v>
      </c>
    </row>
    <row r="2875" spans="1:59" ht="75" x14ac:dyDescent="0.25">
      <c r="A2875" s="2" t="s">
        <v>59</v>
      </c>
      <c r="B2875" s="2" t="s">
        <v>60</v>
      </c>
      <c r="C2875" s="2" t="s">
        <v>23980</v>
      </c>
      <c r="D2875" s="2" t="s">
        <v>23981</v>
      </c>
      <c r="E2875" s="2" t="s">
        <v>23982</v>
      </c>
      <c r="G2875" s="3" t="s">
        <v>63</v>
      </c>
      <c r="I2875" s="3" t="s">
        <v>63</v>
      </c>
      <c r="J2875" s="3" t="s">
        <v>63</v>
      </c>
      <c r="K2875" s="3" t="s">
        <v>64</v>
      </c>
      <c r="L2875" s="2" t="s">
        <v>23983</v>
      </c>
      <c r="M2875" s="2" t="s">
        <v>23984</v>
      </c>
      <c r="N2875" s="3" t="s">
        <v>234</v>
      </c>
      <c r="P2875" s="3" t="s">
        <v>90</v>
      </c>
      <c r="R2875" s="3" t="s">
        <v>67</v>
      </c>
      <c r="S2875" s="4">
        <v>4</v>
      </c>
      <c r="T2875" s="4">
        <v>4</v>
      </c>
      <c r="U2875" s="5" t="s">
        <v>2272</v>
      </c>
      <c r="V2875" s="5" t="s">
        <v>2272</v>
      </c>
      <c r="W2875" s="5" t="s">
        <v>69</v>
      </c>
      <c r="X2875" s="5" t="s">
        <v>69</v>
      </c>
      <c r="Y2875" s="4">
        <v>72</v>
      </c>
      <c r="Z2875" s="4">
        <v>6</v>
      </c>
      <c r="AA2875" s="4">
        <v>6</v>
      </c>
      <c r="AB2875" s="4">
        <v>1</v>
      </c>
      <c r="AC2875" s="4">
        <v>1</v>
      </c>
      <c r="AD2875" s="4">
        <v>47</v>
      </c>
      <c r="AE2875" s="4">
        <v>47</v>
      </c>
      <c r="AF2875" s="4">
        <v>0</v>
      </c>
      <c r="AG2875" s="4">
        <v>0</v>
      </c>
      <c r="AH2875" s="4">
        <v>46</v>
      </c>
      <c r="AI2875" s="4">
        <v>46</v>
      </c>
      <c r="AJ2875" s="4">
        <v>4</v>
      </c>
      <c r="AK2875" s="4">
        <v>4</v>
      </c>
      <c r="AL2875" s="4">
        <v>34</v>
      </c>
      <c r="AM2875" s="4">
        <v>34</v>
      </c>
      <c r="AN2875" s="4">
        <v>0</v>
      </c>
      <c r="AO2875" s="4">
        <v>0</v>
      </c>
      <c r="AP2875" s="4">
        <v>4</v>
      </c>
      <c r="AQ2875" s="4">
        <v>4</v>
      </c>
      <c r="AR2875" s="3" t="s">
        <v>63</v>
      </c>
      <c r="AS2875" s="3" t="s">
        <v>63</v>
      </c>
      <c r="AT2875" s="3" t="s">
        <v>63</v>
      </c>
      <c r="AV2875" s="6" t="str">
        <f>HYPERLINK("http://mcgill.on.worldcat.org/oclc/63666409","Catalog Record")</f>
        <v>Catalog Record</v>
      </c>
      <c r="AW2875" s="6" t="str">
        <f>HYPERLINK("http://www.worldcat.org/oclc/63666409","WorldCat Record")</f>
        <v>WorldCat Record</v>
      </c>
      <c r="AX2875" s="3" t="s">
        <v>23985</v>
      </c>
      <c r="AY2875" s="3" t="s">
        <v>23986</v>
      </c>
      <c r="AZ2875" s="3" t="s">
        <v>23987</v>
      </c>
      <c r="BA2875" s="3" t="s">
        <v>23987</v>
      </c>
      <c r="BB2875" s="3" t="s">
        <v>23988</v>
      </c>
      <c r="BC2875" s="3" t="s">
        <v>82</v>
      </c>
      <c r="BD2875" s="3" t="s">
        <v>70</v>
      </c>
      <c r="BE2875" s="3" t="s">
        <v>23989</v>
      </c>
      <c r="BF2875" s="3" t="s">
        <v>23988</v>
      </c>
      <c r="BG2875" s="3" t="s">
        <v>23990</v>
      </c>
    </row>
    <row r="2876" spans="1:59" ht="75" x14ac:dyDescent="0.25">
      <c r="A2876" s="2" t="s">
        <v>59</v>
      </c>
      <c r="B2876" s="2" t="s">
        <v>60</v>
      </c>
      <c r="C2876" s="2" t="s">
        <v>23991</v>
      </c>
      <c r="D2876" s="2" t="s">
        <v>23992</v>
      </c>
      <c r="E2876" s="2" t="s">
        <v>23993</v>
      </c>
      <c r="G2876" s="3" t="s">
        <v>63</v>
      </c>
      <c r="I2876" s="3" t="s">
        <v>63</v>
      </c>
      <c r="J2876" s="3" t="s">
        <v>63</v>
      </c>
      <c r="K2876" s="3" t="s">
        <v>64</v>
      </c>
      <c r="L2876" s="2" t="s">
        <v>23994</v>
      </c>
      <c r="M2876" s="2" t="s">
        <v>8803</v>
      </c>
      <c r="N2876" s="3" t="s">
        <v>455</v>
      </c>
      <c r="P2876" s="3" t="s">
        <v>90</v>
      </c>
      <c r="R2876" s="3" t="s">
        <v>67</v>
      </c>
      <c r="S2876" s="4">
        <v>11</v>
      </c>
      <c r="T2876" s="4">
        <v>11</v>
      </c>
      <c r="U2876" s="5" t="s">
        <v>2272</v>
      </c>
      <c r="V2876" s="5" t="s">
        <v>2272</v>
      </c>
      <c r="W2876" s="5" t="s">
        <v>69</v>
      </c>
      <c r="X2876" s="5" t="s">
        <v>69</v>
      </c>
      <c r="Y2876" s="4">
        <v>145</v>
      </c>
      <c r="Z2876" s="4">
        <v>16</v>
      </c>
      <c r="AA2876" s="4">
        <v>17</v>
      </c>
      <c r="AB2876" s="4">
        <v>1</v>
      </c>
      <c r="AC2876" s="4">
        <v>2</v>
      </c>
      <c r="AD2876" s="4">
        <v>80</v>
      </c>
      <c r="AE2876" s="4">
        <v>81</v>
      </c>
      <c r="AF2876" s="4">
        <v>0</v>
      </c>
      <c r="AG2876" s="4">
        <v>1</v>
      </c>
      <c r="AH2876" s="4">
        <v>75</v>
      </c>
      <c r="AI2876" s="4">
        <v>75</v>
      </c>
      <c r="AJ2876" s="4">
        <v>13</v>
      </c>
      <c r="AK2876" s="4">
        <v>14</v>
      </c>
      <c r="AL2876" s="4">
        <v>47</v>
      </c>
      <c r="AM2876" s="4">
        <v>47</v>
      </c>
      <c r="AN2876" s="4">
        <v>0</v>
      </c>
      <c r="AO2876" s="4">
        <v>0</v>
      </c>
      <c r="AP2876" s="4">
        <v>13</v>
      </c>
      <c r="AQ2876" s="4">
        <v>13</v>
      </c>
      <c r="AR2876" s="3" t="s">
        <v>63</v>
      </c>
      <c r="AS2876" s="3" t="s">
        <v>63</v>
      </c>
      <c r="AT2876" s="3" t="s">
        <v>63</v>
      </c>
      <c r="AV2876" s="6" t="str">
        <f>HYPERLINK("http://mcgill.on.worldcat.org/oclc/11456510","Catalog Record")</f>
        <v>Catalog Record</v>
      </c>
      <c r="AW2876" s="6" t="str">
        <f>HYPERLINK("http://www.worldcat.org/oclc/11456510","WorldCat Record")</f>
        <v>WorldCat Record</v>
      </c>
      <c r="AX2876" s="3" t="s">
        <v>23995</v>
      </c>
      <c r="AY2876" s="3" t="s">
        <v>23996</v>
      </c>
      <c r="AZ2876" s="3" t="s">
        <v>23997</v>
      </c>
      <c r="BA2876" s="3" t="s">
        <v>23997</v>
      </c>
      <c r="BB2876" s="3" t="s">
        <v>23998</v>
      </c>
      <c r="BC2876" s="3" t="s">
        <v>82</v>
      </c>
      <c r="BD2876" s="3" t="s">
        <v>70</v>
      </c>
      <c r="BE2876" s="3" t="s">
        <v>23999</v>
      </c>
      <c r="BF2876" s="3" t="s">
        <v>23998</v>
      </c>
      <c r="BG2876" s="3" t="s">
        <v>24000</v>
      </c>
    </row>
    <row r="2877" spans="1:59" ht="75" x14ac:dyDescent="0.25">
      <c r="A2877" s="2" t="s">
        <v>59</v>
      </c>
      <c r="B2877" s="2" t="s">
        <v>60</v>
      </c>
      <c r="C2877" s="2" t="s">
        <v>24001</v>
      </c>
      <c r="D2877" s="2" t="s">
        <v>24002</v>
      </c>
      <c r="E2877" s="2" t="s">
        <v>24003</v>
      </c>
      <c r="G2877" s="3" t="s">
        <v>63</v>
      </c>
      <c r="I2877" s="3" t="s">
        <v>63</v>
      </c>
      <c r="J2877" s="3" t="s">
        <v>63</v>
      </c>
      <c r="K2877" s="3" t="s">
        <v>64</v>
      </c>
      <c r="L2877" s="2" t="s">
        <v>23745</v>
      </c>
      <c r="M2877" s="2" t="s">
        <v>24004</v>
      </c>
      <c r="N2877" s="3" t="s">
        <v>939</v>
      </c>
      <c r="P2877" s="3" t="s">
        <v>548</v>
      </c>
      <c r="Q2877" s="2" t="s">
        <v>24005</v>
      </c>
      <c r="R2877" s="3" t="s">
        <v>67</v>
      </c>
      <c r="S2877" s="4">
        <v>50</v>
      </c>
      <c r="T2877" s="4">
        <v>50</v>
      </c>
      <c r="U2877" s="5" t="s">
        <v>24006</v>
      </c>
      <c r="V2877" s="5" t="s">
        <v>24006</v>
      </c>
      <c r="W2877" s="5" t="s">
        <v>69</v>
      </c>
      <c r="X2877" s="5" t="s">
        <v>69</v>
      </c>
      <c r="Y2877" s="4">
        <v>20</v>
      </c>
      <c r="Z2877" s="4">
        <v>4</v>
      </c>
      <c r="AA2877" s="4">
        <v>19</v>
      </c>
      <c r="AB2877" s="4">
        <v>1</v>
      </c>
      <c r="AC2877" s="4">
        <v>11</v>
      </c>
      <c r="AD2877" s="4">
        <v>9</v>
      </c>
      <c r="AE2877" s="4">
        <v>19</v>
      </c>
      <c r="AF2877" s="4">
        <v>0</v>
      </c>
      <c r="AG2877" s="4">
        <v>5</v>
      </c>
      <c r="AH2877" s="4">
        <v>6</v>
      </c>
      <c r="AI2877" s="4">
        <v>11</v>
      </c>
      <c r="AJ2877" s="4">
        <v>2</v>
      </c>
      <c r="AK2877" s="4">
        <v>8</v>
      </c>
      <c r="AL2877" s="4">
        <v>5</v>
      </c>
      <c r="AM2877" s="4">
        <v>6</v>
      </c>
      <c r="AN2877" s="4">
        <v>0</v>
      </c>
      <c r="AO2877" s="4">
        <v>0</v>
      </c>
      <c r="AP2877" s="4">
        <v>3</v>
      </c>
      <c r="AQ2877" s="4">
        <v>9</v>
      </c>
      <c r="AR2877" s="3" t="s">
        <v>63</v>
      </c>
      <c r="AS2877" s="3" t="s">
        <v>63</v>
      </c>
      <c r="AT2877" s="3" t="s">
        <v>63</v>
      </c>
      <c r="AV2877" s="6" t="str">
        <f>HYPERLINK("http://mcgill.on.worldcat.org/oclc/6381192","Catalog Record")</f>
        <v>Catalog Record</v>
      </c>
      <c r="AW2877" s="6" t="str">
        <f>HYPERLINK("http://www.worldcat.org/oclc/6381192","WorldCat Record")</f>
        <v>WorldCat Record</v>
      </c>
      <c r="AX2877" s="3" t="s">
        <v>24007</v>
      </c>
      <c r="AY2877" s="3" t="s">
        <v>24008</v>
      </c>
      <c r="AZ2877" s="3" t="s">
        <v>24009</v>
      </c>
      <c r="BA2877" s="3" t="s">
        <v>24009</v>
      </c>
      <c r="BB2877" s="3" t="s">
        <v>24010</v>
      </c>
      <c r="BC2877" s="3" t="s">
        <v>82</v>
      </c>
      <c r="BD2877" s="3" t="s">
        <v>1611</v>
      </c>
      <c r="BF2877" s="3" t="s">
        <v>24010</v>
      </c>
      <c r="BG2877" s="3" t="s">
        <v>24011</v>
      </c>
    </row>
    <row r="2878" spans="1:59" ht="75" x14ac:dyDescent="0.25">
      <c r="A2878" s="2" t="s">
        <v>59</v>
      </c>
      <c r="B2878" s="2" t="s">
        <v>60</v>
      </c>
      <c r="C2878" s="2" t="s">
        <v>24012</v>
      </c>
      <c r="D2878" s="2" t="s">
        <v>24013</v>
      </c>
      <c r="E2878" s="2" t="s">
        <v>24014</v>
      </c>
      <c r="G2878" s="3" t="s">
        <v>63</v>
      </c>
      <c r="I2878" s="3" t="s">
        <v>63</v>
      </c>
      <c r="J2878" s="3" t="s">
        <v>63</v>
      </c>
      <c r="K2878" s="3" t="s">
        <v>64</v>
      </c>
      <c r="L2878" s="2" t="s">
        <v>23730</v>
      </c>
      <c r="M2878" s="2" t="s">
        <v>24015</v>
      </c>
      <c r="N2878" s="3" t="s">
        <v>130</v>
      </c>
      <c r="P2878" s="3" t="s">
        <v>66</v>
      </c>
      <c r="Q2878" s="2" t="s">
        <v>24016</v>
      </c>
      <c r="R2878" s="3" t="s">
        <v>67</v>
      </c>
      <c r="S2878" s="4">
        <v>1</v>
      </c>
      <c r="T2878" s="4">
        <v>1</v>
      </c>
      <c r="U2878" s="5" t="s">
        <v>24017</v>
      </c>
      <c r="V2878" s="5" t="s">
        <v>24017</v>
      </c>
      <c r="W2878" s="5" t="s">
        <v>69</v>
      </c>
      <c r="X2878" s="5" t="s">
        <v>69</v>
      </c>
      <c r="Y2878" s="4">
        <v>168</v>
      </c>
      <c r="Z2878" s="4">
        <v>13</v>
      </c>
      <c r="AA2878" s="4">
        <v>13</v>
      </c>
      <c r="AB2878" s="4">
        <v>2</v>
      </c>
      <c r="AC2878" s="4">
        <v>2</v>
      </c>
      <c r="AD2878" s="4">
        <v>38</v>
      </c>
      <c r="AE2878" s="4">
        <v>38</v>
      </c>
      <c r="AF2878" s="4">
        <v>0</v>
      </c>
      <c r="AG2878" s="4">
        <v>0</v>
      </c>
      <c r="AH2878" s="4">
        <v>35</v>
      </c>
      <c r="AI2878" s="4">
        <v>35</v>
      </c>
      <c r="AJ2878" s="4">
        <v>4</v>
      </c>
      <c r="AK2878" s="4">
        <v>4</v>
      </c>
      <c r="AL2878" s="4">
        <v>25</v>
      </c>
      <c r="AM2878" s="4">
        <v>25</v>
      </c>
      <c r="AN2878" s="4">
        <v>0</v>
      </c>
      <c r="AO2878" s="4">
        <v>0</v>
      </c>
      <c r="AP2878" s="4">
        <v>4</v>
      </c>
      <c r="AQ2878" s="4">
        <v>4</v>
      </c>
      <c r="AR2878" s="3" t="s">
        <v>63</v>
      </c>
      <c r="AS2878" s="3" t="s">
        <v>63</v>
      </c>
      <c r="AT2878" s="3" t="s">
        <v>63</v>
      </c>
      <c r="AV2878" s="6" t="str">
        <f>HYPERLINK("http://mcgill.on.worldcat.org/oclc/829988862","Catalog Record")</f>
        <v>Catalog Record</v>
      </c>
      <c r="AW2878" s="6" t="str">
        <f>HYPERLINK("http://www.worldcat.org/oclc/829988862","WorldCat Record")</f>
        <v>WorldCat Record</v>
      </c>
      <c r="AX2878" s="3" t="s">
        <v>24018</v>
      </c>
      <c r="AY2878" s="3" t="s">
        <v>24019</v>
      </c>
      <c r="AZ2878" s="3" t="s">
        <v>24020</v>
      </c>
      <c r="BA2878" s="3" t="s">
        <v>24020</v>
      </c>
      <c r="BB2878" s="3" t="s">
        <v>24021</v>
      </c>
      <c r="BC2878" s="3" t="s">
        <v>82</v>
      </c>
      <c r="BD2878" s="3" t="s">
        <v>70</v>
      </c>
      <c r="BE2878" s="3" t="s">
        <v>24022</v>
      </c>
      <c r="BF2878" s="3" t="s">
        <v>24021</v>
      </c>
      <c r="BG2878" s="3" t="s">
        <v>24023</v>
      </c>
    </row>
    <row r="2879" spans="1:59" ht="60" x14ac:dyDescent="0.25">
      <c r="A2879" s="2" t="s">
        <v>59</v>
      </c>
      <c r="B2879" s="2" t="s">
        <v>60</v>
      </c>
      <c r="C2879" s="2" t="s">
        <v>24024</v>
      </c>
      <c r="D2879" s="2" t="s">
        <v>24025</v>
      </c>
      <c r="E2879" s="2" t="s">
        <v>24026</v>
      </c>
      <c r="G2879" s="3" t="s">
        <v>63</v>
      </c>
      <c r="I2879" s="3" t="s">
        <v>63</v>
      </c>
      <c r="J2879" s="3" t="s">
        <v>63</v>
      </c>
      <c r="K2879" s="3" t="s">
        <v>64</v>
      </c>
      <c r="L2879" s="2" t="s">
        <v>23745</v>
      </c>
      <c r="M2879" s="2" t="s">
        <v>24027</v>
      </c>
      <c r="N2879" s="3" t="s">
        <v>629</v>
      </c>
      <c r="P2879" s="3" t="s">
        <v>66</v>
      </c>
      <c r="R2879" s="3" t="s">
        <v>67</v>
      </c>
      <c r="S2879" s="4">
        <v>9</v>
      </c>
      <c r="T2879" s="4">
        <v>9</v>
      </c>
      <c r="U2879" s="5" t="s">
        <v>17885</v>
      </c>
      <c r="V2879" s="5" t="s">
        <v>17885</v>
      </c>
      <c r="W2879" s="5" t="s">
        <v>69</v>
      </c>
      <c r="X2879" s="5" t="s">
        <v>69</v>
      </c>
      <c r="Y2879" s="4">
        <v>72</v>
      </c>
      <c r="Z2879" s="4">
        <v>8</v>
      </c>
      <c r="AA2879" s="4">
        <v>17</v>
      </c>
      <c r="AB2879" s="4">
        <v>1</v>
      </c>
      <c r="AC2879" s="4">
        <v>3</v>
      </c>
      <c r="AD2879" s="4">
        <v>34</v>
      </c>
      <c r="AE2879" s="4">
        <v>72</v>
      </c>
      <c r="AF2879" s="4">
        <v>0</v>
      </c>
      <c r="AG2879" s="4">
        <v>0</v>
      </c>
      <c r="AH2879" s="4">
        <v>31</v>
      </c>
      <c r="AI2879" s="4">
        <v>65</v>
      </c>
      <c r="AJ2879" s="4">
        <v>6</v>
      </c>
      <c r="AK2879" s="4">
        <v>11</v>
      </c>
      <c r="AL2879" s="4">
        <v>26</v>
      </c>
      <c r="AM2879" s="4">
        <v>45</v>
      </c>
      <c r="AN2879" s="4">
        <v>0</v>
      </c>
      <c r="AO2879" s="4">
        <v>0</v>
      </c>
      <c r="AP2879" s="4">
        <v>6</v>
      </c>
      <c r="AQ2879" s="4">
        <v>10</v>
      </c>
      <c r="AR2879" s="3" t="s">
        <v>63</v>
      </c>
      <c r="AS2879" s="3" t="s">
        <v>63</v>
      </c>
      <c r="AT2879" s="3" t="s">
        <v>63</v>
      </c>
      <c r="AV2879" s="6" t="str">
        <f>HYPERLINK("http://mcgill.on.worldcat.org/oclc/694600669","Catalog Record")</f>
        <v>Catalog Record</v>
      </c>
      <c r="AW2879" s="6" t="str">
        <f>HYPERLINK("http://www.worldcat.org/oclc/694600669","WorldCat Record")</f>
        <v>WorldCat Record</v>
      </c>
      <c r="AX2879" s="3" t="s">
        <v>24028</v>
      </c>
      <c r="AY2879" s="3" t="s">
        <v>24029</v>
      </c>
      <c r="AZ2879" s="3" t="s">
        <v>24030</v>
      </c>
      <c r="BA2879" s="3" t="s">
        <v>24030</v>
      </c>
      <c r="BB2879" s="3" t="s">
        <v>24031</v>
      </c>
      <c r="BC2879" s="3" t="s">
        <v>82</v>
      </c>
      <c r="BD2879" s="3" t="s">
        <v>70</v>
      </c>
      <c r="BE2879" s="3" t="s">
        <v>24032</v>
      </c>
      <c r="BF2879" s="3" t="s">
        <v>24031</v>
      </c>
      <c r="BG2879" s="3" t="s">
        <v>24033</v>
      </c>
    </row>
    <row r="2880" spans="1:59" ht="60" x14ac:dyDescent="0.25">
      <c r="A2880" s="2" t="s">
        <v>59</v>
      </c>
      <c r="B2880" s="2" t="s">
        <v>60</v>
      </c>
      <c r="C2880" s="2" t="s">
        <v>24034</v>
      </c>
      <c r="D2880" s="2" t="s">
        <v>24035</v>
      </c>
      <c r="E2880" s="2" t="s">
        <v>24036</v>
      </c>
      <c r="G2880" s="3" t="s">
        <v>63</v>
      </c>
      <c r="I2880" s="3" t="s">
        <v>63</v>
      </c>
      <c r="J2880" s="3" t="s">
        <v>63</v>
      </c>
      <c r="K2880" s="3" t="s">
        <v>64</v>
      </c>
      <c r="L2880" s="2" t="s">
        <v>23745</v>
      </c>
      <c r="M2880" s="2" t="s">
        <v>24037</v>
      </c>
      <c r="N2880" s="3" t="s">
        <v>1296</v>
      </c>
      <c r="O2880" s="2" t="s">
        <v>2403</v>
      </c>
      <c r="P2880" s="3" t="s">
        <v>90</v>
      </c>
      <c r="R2880" s="3" t="s">
        <v>67</v>
      </c>
      <c r="S2880" s="4">
        <v>37</v>
      </c>
      <c r="T2880" s="4">
        <v>37</v>
      </c>
      <c r="U2880" s="5" t="s">
        <v>24038</v>
      </c>
      <c r="V2880" s="5" t="s">
        <v>24038</v>
      </c>
      <c r="W2880" s="5" t="s">
        <v>69</v>
      </c>
      <c r="X2880" s="5" t="s">
        <v>69</v>
      </c>
      <c r="Y2880" s="4">
        <v>5</v>
      </c>
      <c r="Z2880" s="4">
        <v>2</v>
      </c>
      <c r="AA2880" s="4">
        <v>19</v>
      </c>
      <c r="AB2880" s="4">
        <v>2</v>
      </c>
      <c r="AC2880" s="4">
        <v>3</v>
      </c>
      <c r="AD2880" s="4">
        <v>1</v>
      </c>
      <c r="AE2880" s="4">
        <v>88</v>
      </c>
      <c r="AF2880" s="4">
        <v>1</v>
      </c>
      <c r="AG2880" s="4">
        <v>1</v>
      </c>
      <c r="AH2880" s="4">
        <v>0</v>
      </c>
      <c r="AI2880" s="4">
        <v>81</v>
      </c>
      <c r="AJ2880" s="4">
        <v>1</v>
      </c>
      <c r="AK2880" s="4">
        <v>11</v>
      </c>
      <c r="AL2880" s="4">
        <v>0</v>
      </c>
      <c r="AM2880" s="4">
        <v>50</v>
      </c>
      <c r="AN2880" s="4">
        <v>0</v>
      </c>
      <c r="AO2880" s="4">
        <v>0</v>
      </c>
      <c r="AP2880" s="4">
        <v>1</v>
      </c>
      <c r="AQ2880" s="4">
        <v>11</v>
      </c>
      <c r="AR2880" s="3" t="s">
        <v>63</v>
      </c>
      <c r="AS2880" s="3" t="s">
        <v>63</v>
      </c>
      <c r="AT2880" s="3" t="s">
        <v>63</v>
      </c>
      <c r="AV2880" s="6" t="str">
        <f>HYPERLINK("http://mcgill.on.worldcat.org/oclc/221743135","Catalog Record")</f>
        <v>Catalog Record</v>
      </c>
      <c r="AW2880" s="6" t="str">
        <f>HYPERLINK("http://www.worldcat.org/oclc/221743135","WorldCat Record")</f>
        <v>WorldCat Record</v>
      </c>
      <c r="AX2880" s="3" t="s">
        <v>24039</v>
      </c>
      <c r="AY2880" s="3" t="s">
        <v>24040</v>
      </c>
      <c r="AZ2880" s="3" t="s">
        <v>24041</v>
      </c>
      <c r="BA2880" s="3" t="s">
        <v>24041</v>
      </c>
      <c r="BB2880" s="3" t="s">
        <v>24042</v>
      </c>
      <c r="BC2880" s="3" t="s">
        <v>82</v>
      </c>
      <c r="BD2880" s="3" t="s">
        <v>70</v>
      </c>
      <c r="BF2880" s="3" t="s">
        <v>24042</v>
      </c>
      <c r="BG2880" s="3" t="s">
        <v>24043</v>
      </c>
    </row>
    <row r="2881" spans="1:59" ht="60" x14ac:dyDescent="0.25">
      <c r="A2881" s="2" t="s">
        <v>59</v>
      </c>
      <c r="B2881" s="2" t="s">
        <v>60</v>
      </c>
      <c r="C2881" s="2" t="s">
        <v>24044</v>
      </c>
      <c r="D2881" s="2" t="s">
        <v>24045</v>
      </c>
      <c r="E2881" s="2" t="s">
        <v>24046</v>
      </c>
      <c r="G2881" s="3" t="s">
        <v>63</v>
      </c>
      <c r="I2881" s="3" t="s">
        <v>63</v>
      </c>
      <c r="J2881" s="3" t="s">
        <v>62</v>
      </c>
      <c r="K2881" s="3" t="s">
        <v>64</v>
      </c>
      <c r="L2881" s="2" t="s">
        <v>23745</v>
      </c>
      <c r="M2881" s="2" t="s">
        <v>24047</v>
      </c>
      <c r="N2881" s="3" t="s">
        <v>1418</v>
      </c>
      <c r="P2881" s="3" t="s">
        <v>66</v>
      </c>
      <c r="R2881" s="3" t="s">
        <v>67</v>
      </c>
      <c r="S2881" s="4">
        <v>3</v>
      </c>
      <c r="T2881" s="4">
        <v>3</v>
      </c>
      <c r="U2881" s="5" t="s">
        <v>14104</v>
      </c>
      <c r="V2881" s="5" t="s">
        <v>14104</v>
      </c>
      <c r="W2881" s="5" t="s">
        <v>69</v>
      </c>
      <c r="X2881" s="5" t="s">
        <v>69</v>
      </c>
      <c r="Y2881" s="4">
        <v>237</v>
      </c>
      <c r="Z2881" s="4">
        <v>10</v>
      </c>
      <c r="AA2881" s="4">
        <v>56</v>
      </c>
      <c r="AB2881" s="4">
        <v>1</v>
      </c>
      <c r="AC2881" s="4">
        <v>4</v>
      </c>
      <c r="AD2881" s="4">
        <v>37</v>
      </c>
      <c r="AE2881" s="4">
        <v>132</v>
      </c>
      <c r="AF2881" s="4">
        <v>0</v>
      </c>
      <c r="AG2881" s="4">
        <v>1</v>
      </c>
      <c r="AH2881" s="4">
        <v>34</v>
      </c>
      <c r="AI2881" s="4">
        <v>112</v>
      </c>
      <c r="AJ2881" s="4">
        <v>3</v>
      </c>
      <c r="AK2881" s="4">
        <v>19</v>
      </c>
      <c r="AL2881" s="4">
        <v>24</v>
      </c>
      <c r="AM2881" s="4">
        <v>61</v>
      </c>
      <c r="AN2881" s="4">
        <v>0</v>
      </c>
      <c r="AO2881" s="4">
        <v>0</v>
      </c>
      <c r="AP2881" s="4">
        <v>4</v>
      </c>
      <c r="AQ2881" s="4">
        <v>27</v>
      </c>
      <c r="AR2881" s="3" t="s">
        <v>63</v>
      </c>
      <c r="AS2881" s="3" t="s">
        <v>63</v>
      </c>
      <c r="AT2881" s="3" t="s">
        <v>63</v>
      </c>
      <c r="AV2881" s="6" t="str">
        <f>HYPERLINK("http://mcgill.on.worldcat.org/oclc/15592316","Catalog Record")</f>
        <v>Catalog Record</v>
      </c>
      <c r="AW2881" s="6" t="str">
        <f>HYPERLINK("http://www.worldcat.org/oclc/15592316","WorldCat Record")</f>
        <v>WorldCat Record</v>
      </c>
      <c r="AX2881" s="3" t="s">
        <v>24048</v>
      </c>
      <c r="AY2881" s="3" t="s">
        <v>24049</v>
      </c>
      <c r="AZ2881" s="3" t="s">
        <v>24050</v>
      </c>
      <c r="BA2881" s="3" t="s">
        <v>24050</v>
      </c>
      <c r="BB2881" s="3" t="s">
        <v>24051</v>
      </c>
      <c r="BC2881" s="3" t="s">
        <v>82</v>
      </c>
      <c r="BD2881" s="3" t="s">
        <v>70</v>
      </c>
      <c r="BE2881" s="3" t="s">
        <v>24052</v>
      </c>
      <c r="BF2881" s="3" t="s">
        <v>24051</v>
      </c>
      <c r="BG2881" s="3" t="s">
        <v>24053</v>
      </c>
    </row>
    <row r="2882" spans="1:59" ht="60" x14ac:dyDescent="0.25">
      <c r="A2882" s="2" t="s">
        <v>59</v>
      </c>
      <c r="B2882" s="2" t="s">
        <v>60</v>
      </c>
      <c r="C2882" s="2" t="s">
        <v>24054</v>
      </c>
      <c r="D2882" s="2" t="s">
        <v>24055</v>
      </c>
      <c r="E2882" s="2" t="s">
        <v>24056</v>
      </c>
      <c r="G2882" s="3" t="s">
        <v>63</v>
      </c>
      <c r="I2882" s="3" t="s">
        <v>63</v>
      </c>
      <c r="J2882" s="3" t="s">
        <v>62</v>
      </c>
      <c r="K2882" s="3" t="s">
        <v>64</v>
      </c>
      <c r="L2882" s="2" t="s">
        <v>23745</v>
      </c>
      <c r="M2882" s="2" t="s">
        <v>24057</v>
      </c>
      <c r="N2882" s="3" t="s">
        <v>190</v>
      </c>
      <c r="P2882" s="3" t="s">
        <v>66</v>
      </c>
      <c r="Q2882" s="2" t="s">
        <v>24058</v>
      </c>
      <c r="R2882" s="3" t="s">
        <v>67</v>
      </c>
      <c r="S2882" s="4">
        <v>2</v>
      </c>
      <c r="T2882" s="4">
        <v>2</v>
      </c>
      <c r="U2882" s="5" t="s">
        <v>214</v>
      </c>
      <c r="V2882" s="5" t="s">
        <v>214</v>
      </c>
      <c r="W2882" s="5" t="s">
        <v>69</v>
      </c>
      <c r="X2882" s="5" t="s">
        <v>69</v>
      </c>
      <c r="Y2882" s="4">
        <v>112</v>
      </c>
      <c r="Z2882" s="4">
        <v>11</v>
      </c>
      <c r="AA2882" s="4">
        <v>18</v>
      </c>
      <c r="AB2882" s="4">
        <v>1</v>
      </c>
      <c r="AC2882" s="4">
        <v>2</v>
      </c>
      <c r="AD2882" s="4">
        <v>49</v>
      </c>
      <c r="AE2882" s="4">
        <v>65</v>
      </c>
      <c r="AF2882" s="4">
        <v>0</v>
      </c>
      <c r="AG2882" s="4">
        <v>0</v>
      </c>
      <c r="AH2882" s="4">
        <v>44</v>
      </c>
      <c r="AI2882" s="4">
        <v>59</v>
      </c>
      <c r="AJ2882" s="4">
        <v>7</v>
      </c>
      <c r="AK2882" s="4">
        <v>10</v>
      </c>
      <c r="AL2882" s="4">
        <v>35</v>
      </c>
      <c r="AM2882" s="4">
        <v>42</v>
      </c>
      <c r="AN2882" s="4">
        <v>0</v>
      </c>
      <c r="AO2882" s="4">
        <v>0</v>
      </c>
      <c r="AP2882" s="4">
        <v>7</v>
      </c>
      <c r="AQ2882" s="4">
        <v>10</v>
      </c>
      <c r="AR2882" s="3" t="s">
        <v>63</v>
      </c>
      <c r="AS2882" s="3" t="s">
        <v>63</v>
      </c>
      <c r="AT2882" s="3" t="s">
        <v>62</v>
      </c>
      <c r="AU2882" s="6" t="str">
        <f>HYPERLINK("http://catalog.hathitrust.org/Record/004983027","HathiTrust Record")</f>
        <v>HathiTrust Record</v>
      </c>
      <c r="AV2882" s="6" t="str">
        <f>HYPERLINK("http://mcgill.on.worldcat.org/oclc/57574509","Catalog Record")</f>
        <v>Catalog Record</v>
      </c>
      <c r="AW2882" s="6" t="str">
        <f>HYPERLINK("http://www.worldcat.org/oclc/57574509","WorldCat Record")</f>
        <v>WorldCat Record</v>
      </c>
      <c r="AX2882" s="3" t="s">
        <v>24059</v>
      </c>
      <c r="AY2882" s="3" t="s">
        <v>24060</v>
      </c>
      <c r="AZ2882" s="3" t="s">
        <v>24061</v>
      </c>
      <c r="BA2882" s="3" t="s">
        <v>24061</v>
      </c>
      <c r="BB2882" s="3" t="s">
        <v>24062</v>
      </c>
      <c r="BC2882" s="3" t="s">
        <v>82</v>
      </c>
      <c r="BD2882" s="3" t="s">
        <v>70</v>
      </c>
      <c r="BE2882" s="3" t="s">
        <v>24063</v>
      </c>
      <c r="BF2882" s="3" t="s">
        <v>24062</v>
      </c>
      <c r="BG2882" s="3" t="s">
        <v>24064</v>
      </c>
    </row>
    <row r="2883" spans="1:59" ht="75" x14ac:dyDescent="0.25">
      <c r="A2883" s="2" t="s">
        <v>59</v>
      </c>
      <c r="B2883" s="2" t="s">
        <v>60</v>
      </c>
      <c r="C2883" s="2" t="s">
        <v>24065</v>
      </c>
      <c r="D2883" s="2" t="s">
        <v>24066</v>
      </c>
      <c r="E2883" s="2" t="s">
        <v>24067</v>
      </c>
      <c r="G2883" s="3" t="s">
        <v>63</v>
      </c>
      <c r="I2883" s="3" t="s">
        <v>63</v>
      </c>
      <c r="J2883" s="3" t="s">
        <v>62</v>
      </c>
      <c r="K2883" s="3" t="s">
        <v>64</v>
      </c>
      <c r="L2883" s="2" t="s">
        <v>23745</v>
      </c>
      <c r="M2883" s="2" t="s">
        <v>24068</v>
      </c>
      <c r="N2883" s="3" t="s">
        <v>261</v>
      </c>
      <c r="P2883" s="3" t="s">
        <v>66</v>
      </c>
      <c r="Q2883" s="2" t="s">
        <v>9341</v>
      </c>
      <c r="R2883" s="3" t="s">
        <v>67</v>
      </c>
      <c r="S2883" s="4">
        <v>18</v>
      </c>
      <c r="T2883" s="4">
        <v>18</v>
      </c>
      <c r="U2883" s="5" t="s">
        <v>24069</v>
      </c>
      <c r="V2883" s="5" t="s">
        <v>24069</v>
      </c>
      <c r="W2883" s="5" t="s">
        <v>69</v>
      </c>
      <c r="X2883" s="5" t="s">
        <v>69</v>
      </c>
      <c r="Y2883" s="4">
        <v>83</v>
      </c>
      <c r="Z2883" s="4">
        <v>14</v>
      </c>
      <c r="AA2883" s="4">
        <v>18</v>
      </c>
      <c r="AB2883" s="4">
        <v>2</v>
      </c>
      <c r="AC2883" s="4">
        <v>2</v>
      </c>
      <c r="AD2883" s="4">
        <v>36</v>
      </c>
      <c r="AE2883" s="4">
        <v>65</v>
      </c>
      <c r="AF2883" s="4">
        <v>0</v>
      </c>
      <c r="AG2883" s="4">
        <v>0</v>
      </c>
      <c r="AH2883" s="4">
        <v>31</v>
      </c>
      <c r="AI2883" s="4">
        <v>59</v>
      </c>
      <c r="AJ2883" s="4">
        <v>7</v>
      </c>
      <c r="AK2883" s="4">
        <v>10</v>
      </c>
      <c r="AL2883" s="4">
        <v>26</v>
      </c>
      <c r="AM2883" s="4">
        <v>42</v>
      </c>
      <c r="AN2883" s="4">
        <v>0</v>
      </c>
      <c r="AO2883" s="4">
        <v>0</v>
      </c>
      <c r="AP2883" s="4">
        <v>7</v>
      </c>
      <c r="AQ2883" s="4">
        <v>10</v>
      </c>
      <c r="AR2883" s="3" t="s">
        <v>63</v>
      </c>
      <c r="AS2883" s="3" t="s">
        <v>63</v>
      </c>
      <c r="AT2883" s="3" t="s">
        <v>62</v>
      </c>
      <c r="AU2883" s="6" t="str">
        <f>HYPERLINK("http://catalog.hathitrust.org/Record/005623296","HathiTrust Record")</f>
        <v>HathiTrust Record</v>
      </c>
      <c r="AV2883" s="6" t="str">
        <f>HYPERLINK("http://mcgill.on.worldcat.org/oclc/124025269","Catalog Record")</f>
        <v>Catalog Record</v>
      </c>
      <c r="AW2883" s="6" t="str">
        <f>HYPERLINK("http://www.worldcat.org/oclc/124025269","WorldCat Record")</f>
        <v>WorldCat Record</v>
      </c>
      <c r="AX2883" s="3" t="s">
        <v>24059</v>
      </c>
      <c r="AY2883" s="3" t="s">
        <v>24070</v>
      </c>
      <c r="AZ2883" s="3" t="s">
        <v>24071</v>
      </c>
      <c r="BA2883" s="3" t="s">
        <v>24071</v>
      </c>
      <c r="BB2883" s="3" t="s">
        <v>24072</v>
      </c>
      <c r="BC2883" s="3" t="s">
        <v>82</v>
      </c>
      <c r="BD2883" s="3" t="s">
        <v>70</v>
      </c>
      <c r="BE2883" s="3" t="s">
        <v>24073</v>
      </c>
      <c r="BF2883" s="3" t="s">
        <v>24072</v>
      </c>
      <c r="BG2883" s="3" t="s">
        <v>24074</v>
      </c>
    </row>
    <row r="2884" spans="1:59" ht="60" x14ac:dyDescent="0.25">
      <c r="A2884" s="2" t="s">
        <v>59</v>
      </c>
      <c r="B2884" s="2" t="s">
        <v>60</v>
      </c>
      <c r="C2884" s="2" t="s">
        <v>24075</v>
      </c>
      <c r="D2884" s="2" t="s">
        <v>24076</v>
      </c>
      <c r="E2884" s="2" t="s">
        <v>24077</v>
      </c>
      <c r="G2884" s="3" t="s">
        <v>63</v>
      </c>
      <c r="I2884" s="3" t="s">
        <v>63</v>
      </c>
      <c r="J2884" s="3" t="s">
        <v>62</v>
      </c>
      <c r="K2884" s="3" t="s">
        <v>64</v>
      </c>
      <c r="L2884" s="2" t="s">
        <v>23745</v>
      </c>
      <c r="M2884" s="2" t="s">
        <v>11599</v>
      </c>
      <c r="N2884" s="3" t="s">
        <v>629</v>
      </c>
      <c r="P2884" s="3" t="s">
        <v>66</v>
      </c>
      <c r="R2884" s="3" t="s">
        <v>67</v>
      </c>
      <c r="S2884" s="4">
        <v>8</v>
      </c>
      <c r="T2884" s="4">
        <v>8</v>
      </c>
      <c r="U2884" s="5" t="s">
        <v>5434</v>
      </c>
      <c r="V2884" s="5" t="s">
        <v>5434</v>
      </c>
      <c r="W2884" s="5" t="s">
        <v>69</v>
      </c>
      <c r="X2884" s="5" t="s">
        <v>69</v>
      </c>
      <c r="Y2884" s="4">
        <v>39</v>
      </c>
      <c r="Z2884" s="4">
        <v>4</v>
      </c>
      <c r="AA2884" s="4">
        <v>18</v>
      </c>
      <c r="AB2884" s="4">
        <v>1</v>
      </c>
      <c r="AC2884" s="4">
        <v>2</v>
      </c>
      <c r="AD2884" s="4">
        <v>20</v>
      </c>
      <c r="AE2884" s="4">
        <v>65</v>
      </c>
      <c r="AF2884" s="4">
        <v>0</v>
      </c>
      <c r="AG2884" s="4">
        <v>0</v>
      </c>
      <c r="AH2884" s="4">
        <v>20</v>
      </c>
      <c r="AI2884" s="4">
        <v>59</v>
      </c>
      <c r="AJ2884" s="4">
        <v>3</v>
      </c>
      <c r="AK2884" s="4">
        <v>10</v>
      </c>
      <c r="AL2884" s="4">
        <v>15</v>
      </c>
      <c r="AM2884" s="4">
        <v>42</v>
      </c>
      <c r="AN2884" s="4">
        <v>0</v>
      </c>
      <c r="AO2884" s="4">
        <v>0</v>
      </c>
      <c r="AP2884" s="4">
        <v>3</v>
      </c>
      <c r="AQ2884" s="4">
        <v>10</v>
      </c>
      <c r="AR2884" s="3" t="s">
        <v>63</v>
      </c>
      <c r="AS2884" s="3" t="s">
        <v>63</v>
      </c>
      <c r="AT2884" s="3" t="s">
        <v>63</v>
      </c>
      <c r="AV2884" s="6" t="str">
        <f>HYPERLINK("http://mcgill.on.worldcat.org/oclc/747008402","Catalog Record")</f>
        <v>Catalog Record</v>
      </c>
      <c r="AW2884" s="6" t="str">
        <f>HYPERLINK("http://www.worldcat.org/oclc/747008402","WorldCat Record")</f>
        <v>WorldCat Record</v>
      </c>
      <c r="AX2884" s="3" t="s">
        <v>24059</v>
      </c>
      <c r="AY2884" s="3" t="s">
        <v>24078</v>
      </c>
      <c r="AZ2884" s="3" t="s">
        <v>24079</v>
      </c>
      <c r="BA2884" s="3" t="s">
        <v>24079</v>
      </c>
      <c r="BB2884" s="3" t="s">
        <v>24080</v>
      </c>
      <c r="BC2884" s="3" t="s">
        <v>82</v>
      </c>
      <c r="BD2884" s="3" t="s">
        <v>70</v>
      </c>
      <c r="BE2884" s="3" t="s">
        <v>24081</v>
      </c>
      <c r="BF2884" s="3" t="s">
        <v>24080</v>
      </c>
      <c r="BG2884" s="3" t="s">
        <v>24082</v>
      </c>
    </row>
    <row r="2885" spans="1:59" ht="60" x14ac:dyDescent="0.25">
      <c r="A2885" s="2" t="s">
        <v>59</v>
      </c>
      <c r="B2885" s="2" t="s">
        <v>60</v>
      </c>
      <c r="C2885" s="2" t="s">
        <v>24083</v>
      </c>
      <c r="D2885" s="2" t="s">
        <v>24084</v>
      </c>
      <c r="E2885" s="2" t="s">
        <v>24085</v>
      </c>
      <c r="G2885" s="3" t="s">
        <v>63</v>
      </c>
      <c r="I2885" s="3" t="s">
        <v>63</v>
      </c>
      <c r="J2885" s="3" t="s">
        <v>62</v>
      </c>
      <c r="K2885" s="3" t="s">
        <v>64</v>
      </c>
      <c r="L2885" s="2" t="s">
        <v>23745</v>
      </c>
      <c r="M2885" s="2" t="s">
        <v>24086</v>
      </c>
      <c r="N2885" s="3" t="s">
        <v>939</v>
      </c>
      <c r="O2885" s="2" t="s">
        <v>590</v>
      </c>
      <c r="P2885" s="3" t="s">
        <v>66</v>
      </c>
      <c r="R2885" s="3" t="s">
        <v>67</v>
      </c>
      <c r="S2885" s="4">
        <v>38</v>
      </c>
      <c r="T2885" s="4">
        <v>38</v>
      </c>
      <c r="U2885" s="5" t="s">
        <v>15471</v>
      </c>
      <c r="V2885" s="5" t="s">
        <v>15471</v>
      </c>
      <c r="W2885" s="5" t="s">
        <v>69</v>
      </c>
      <c r="X2885" s="5" t="s">
        <v>69</v>
      </c>
      <c r="Y2885" s="4">
        <v>618</v>
      </c>
      <c r="Z2885" s="4">
        <v>19</v>
      </c>
      <c r="AA2885" s="4">
        <v>56</v>
      </c>
      <c r="AB2885" s="4">
        <v>2</v>
      </c>
      <c r="AC2885" s="4">
        <v>4</v>
      </c>
      <c r="AD2885" s="4">
        <v>92</v>
      </c>
      <c r="AE2885" s="4">
        <v>132</v>
      </c>
      <c r="AF2885" s="4">
        <v>0</v>
      </c>
      <c r="AG2885" s="4">
        <v>1</v>
      </c>
      <c r="AH2885" s="4">
        <v>83</v>
      </c>
      <c r="AI2885" s="4">
        <v>112</v>
      </c>
      <c r="AJ2885" s="4">
        <v>6</v>
      </c>
      <c r="AK2885" s="4">
        <v>19</v>
      </c>
      <c r="AL2885" s="4">
        <v>49</v>
      </c>
      <c r="AM2885" s="4">
        <v>61</v>
      </c>
      <c r="AN2885" s="4">
        <v>0</v>
      </c>
      <c r="AO2885" s="4">
        <v>0</v>
      </c>
      <c r="AP2885" s="4">
        <v>11</v>
      </c>
      <c r="AQ2885" s="4">
        <v>27</v>
      </c>
      <c r="AR2885" s="3" t="s">
        <v>63</v>
      </c>
      <c r="AS2885" s="3" t="s">
        <v>63</v>
      </c>
      <c r="AT2885" s="3" t="s">
        <v>62</v>
      </c>
      <c r="AU2885" s="6" t="str">
        <f>HYPERLINK("http://catalog.hathitrust.org/Record/001224133","HathiTrust Record")</f>
        <v>HathiTrust Record</v>
      </c>
      <c r="AV2885" s="6" t="str">
        <f>HYPERLINK("http://mcgill.on.worldcat.org/oclc/449884","Catalog Record")</f>
        <v>Catalog Record</v>
      </c>
      <c r="AW2885" s="6" t="str">
        <f>HYPERLINK("http://www.worldcat.org/oclc/449884","WorldCat Record")</f>
        <v>WorldCat Record</v>
      </c>
      <c r="AX2885" s="3" t="s">
        <v>24048</v>
      </c>
      <c r="AY2885" s="3" t="s">
        <v>24087</v>
      </c>
      <c r="AZ2885" s="3" t="s">
        <v>24088</v>
      </c>
      <c r="BA2885" s="3" t="s">
        <v>24088</v>
      </c>
      <c r="BB2885" s="3" t="s">
        <v>24089</v>
      </c>
      <c r="BC2885" s="3" t="s">
        <v>82</v>
      </c>
      <c r="BD2885" s="3" t="s">
        <v>70</v>
      </c>
      <c r="BF2885" s="3" t="s">
        <v>24089</v>
      </c>
      <c r="BG2885" s="3" t="s">
        <v>24090</v>
      </c>
    </row>
    <row r="2886" spans="1:59" ht="60" x14ac:dyDescent="0.25">
      <c r="A2886" s="2" t="s">
        <v>59</v>
      </c>
      <c r="B2886" s="2" t="s">
        <v>60</v>
      </c>
      <c r="C2886" s="2" t="s">
        <v>24091</v>
      </c>
      <c r="D2886" s="2" t="s">
        <v>24092</v>
      </c>
      <c r="E2886" s="2" t="s">
        <v>24093</v>
      </c>
      <c r="G2886" s="3" t="s">
        <v>63</v>
      </c>
      <c r="I2886" s="3" t="s">
        <v>63</v>
      </c>
      <c r="J2886" s="3" t="s">
        <v>62</v>
      </c>
      <c r="K2886" s="3" t="s">
        <v>64</v>
      </c>
      <c r="L2886" s="2" t="s">
        <v>23745</v>
      </c>
      <c r="M2886" s="2" t="s">
        <v>24094</v>
      </c>
      <c r="N2886" s="3" t="s">
        <v>939</v>
      </c>
      <c r="P2886" s="3" t="s">
        <v>66</v>
      </c>
      <c r="R2886" s="3" t="s">
        <v>67</v>
      </c>
      <c r="S2886" s="4">
        <v>4</v>
      </c>
      <c r="T2886" s="4">
        <v>4</v>
      </c>
      <c r="U2886" s="5" t="s">
        <v>24095</v>
      </c>
      <c r="V2886" s="5" t="s">
        <v>24095</v>
      </c>
      <c r="W2886" s="5" t="s">
        <v>69</v>
      </c>
      <c r="X2886" s="5" t="s">
        <v>69</v>
      </c>
      <c r="Y2886" s="4">
        <v>250</v>
      </c>
      <c r="Z2886" s="4">
        <v>17</v>
      </c>
      <c r="AA2886" s="4">
        <v>56</v>
      </c>
      <c r="AB2886" s="4">
        <v>1</v>
      </c>
      <c r="AC2886" s="4">
        <v>4</v>
      </c>
      <c r="AD2886" s="4">
        <v>57</v>
      </c>
      <c r="AE2886" s="4">
        <v>132</v>
      </c>
      <c r="AF2886" s="4">
        <v>0</v>
      </c>
      <c r="AG2886" s="4">
        <v>1</v>
      </c>
      <c r="AH2886" s="4">
        <v>52</v>
      </c>
      <c r="AI2886" s="4">
        <v>112</v>
      </c>
      <c r="AJ2886" s="4">
        <v>9</v>
      </c>
      <c r="AK2886" s="4">
        <v>19</v>
      </c>
      <c r="AL2886" s="4">
        <v>29</v>
      </c>
      <c r="AM2886" s="4">
        <v>61</v>
      </c>
      <c r="AN2886" s="4">
        <v>0</v>
      </c>
      <c r="AO2886" s="4">
        <v>0</v>
      </c>
      <c r="AP2886" s="4">
        <v>10</v>
      </c>
      <c r="AQ2886" s="4">
        <v>27</v>
      </c>
      <c r="AR2886" s="3" t="s">
        <v>63</v>
      </c>
      <c r="AS2886" s="3" t="s">
        <v>63</v>
      </c>
      <c r="AT2886" s="3" t="s">
        <v>62</v>
      </c>
      <c r="AU2886" s="6" t="str">
        <f>HYPERLINK("http://catalog.hathitrust.org/Record/000003385","HathiTrust Record")</f>
        <v>HathiTrust Record</v>
      </c>
      <c r="AV2886" s="6" t="str">
        <f>HYPERLINK("http://mcgill.on.worldcat.org/oclc/232756","Catalog Record")</f>
        <v>Catalog Record</v>
      </c>
      <c r="AW2886" s="6" t="str">
        <f>HYPERLINK("http://www.worldcat.org/oclc/232756","WorldCat Record")</f>
        <v>WorldCat Record</v>
      </c>
      <c r="AX2886" s="3" t="s">
        <v>24048</v>
      </c>
      <c r="AY2886" s="3" t="s">
        <v>24096</v>
      </c>
      <c r="AZ2886" s="3" t="s">
        <v>24097</v>
      </c>
      <c r="BA2886" s="3" t="s">
        <v>24097</v>
      </c>
      <c r="BB2886" s="3" t="s">
        <v>24098</v>
      </c>
      <c r="BC2886" s="3" t="s">
        <v>82</v>
      </c>
      <c r="BD2886" s="3" t="s">
        <v>70</v>
      </c>
      <c r="BE2886" s="3" t="s">
        <v>24099</v>
      </c>
      <c r="BF2886" s="3" t="s">
        <v>24098</v>
      </c>
      <c r="BG2886" s="3" t="s">
        <v>24100</v>
      </c>
    </row>
    <row r="2887" spans="1:59" ht="75" x14ac:dyDescent="0.25">
      <c r="A2887" s="2" t="s">
        <v>59</v>
      </c>
      <c r="B2887" s="2" t="s">
        <v>60</v>
      </c>
      <c r="C2887" s="2" t="s">
        <v>24101</v>
      </c>
      <c r="D2887" s="2" t="s">
        <v>24102</v>
      </c>
      <c r="E2887" s="2" t="s">
        <v>24103</v>
      </c>
      <c r="G2887" s="3" t="s">
        <v>63</v>
      </c>
      <c r="I2887" s="3" t="s">
        <v>63</v>
      </c>
      <c r="J2887" s="3" t="s">
        <v>62</v>
      </c>
      <c r="K2887" s="3" t="s">
        <v>64</v>
      </c>
      <c r="L2887" s="2" t="s">
        <v>23745</v>
      </c>
      <c r="M2887" s="2" t="s">
        <v>24068</v>
      </c>
      <c r="N2887" s="3" t="s">
        <v>261</v>
      </c>
      <c r="P2887" s="3" t="s">
        <v>66</v>
      </c>
      <c r="Q2887" s="2" t="s">
        <v>9341</v>
      </c>
      <c r="R2887" s="3" t="s">
        <v>67</v>
      </c>
      <c r="S2887" s="4">
        <v>7</v>
      </c>
      <c r="T2887" s="4">
        <v>7</v>
      </c>
      <c r="U2887" s="5" t="s">
        <v>10608</v>
      </c>
      <c r="V2887" s="5" t="s">
        <v>10608</v>
      </c>
      <c r="W2887" s="5" t="s">
        <v>69</v>
      </c>
      <c r="X2887" s="5" t="s">
        <v>69</v>
      </c>
      <c r="Y2887" s="4">
        <v>210</v>
      </c>
      <c r="Z2887" s="4">
        <v>14</v>
      </c>
      <c r="AA2887" s="4">
        <v>24</v>
      </c>
      <c r="AB2887" s="4">
        <v>1</v>
      </c>
      <c r="AC2887" s="4">
        <v>1</v>
      </c>
      <c r="AD2887" s="4">
        <v>74</v>
      </c>
      <c r="AE2887" s="4">
        <v>97</v>
      </c>
      <c r="AF2887" s="4">
        <v>0</v>
      </c>
      <c r="AG2887" s="4">
        <v>0</v>
      </c>
      <c r="AH2887" s="4">
        <v>68</v>
      </c>
      <c r="AI2887" s="4">
        <v>88</v>
      </c>
      <c r="AJ2887" s="4">
        <v>9</v>
      </c>
      <c r="AK2887" s="4">
        <v>13</v>
      </c>
      <c r="AL2887" s="4">
        <v>42</v>
      </c>
      <c r="AM2887" s="4">
        <v>50</v>
      </c>
      <c r="AN2887" s="4">
        <v>0</v>
      </c>
      <c r="AO2887" s="4">
        <v>9</v>
      </c>
      <c r="AP2887" s="4">
        <v>10</v>
      </c>
      <c r="AQ2887" s="4">
        <v>14</v>
      </c>
      <c r="AR2887" s="3" t="s">
        <v>63</v>
      </c>
      <c r="AS2887" s="3" t="s">
        <v>63</v>
      </c>
      <c r="AT2887" s="3" t="s">
        <v>62</v>
      </c>
      <c r="AU2887" s="6" t="str">
        <f>HYPERLINK("http://catalog.hathitrust.org/Record/005624461","HathiTrust Record")</f>
        <v>HathiTrust Record</v>
      </c>
      <c r="AV2887" s="6" t="str">
        <f>HYPERLINK("http://mcgill.on.worldcat.org/oclc/124025268","Catalog Record")</f>
        <v>Catalog Record</v>
      </c>
      <c r="AW2887" s="6" t="str">
        <f>HYPERLINK("http://www.worldcat.org/oclc/124025268","WorldCat Record")</f>
        <v>WorldCat Record</v>
      </c>
      <c r="AX2887" s="3" t="s">
        <v>24104</v>
      </c>
      <c r="AY2887" s="3" t="s">
        <v>24105</v>
      </c>
      <c r="AZ2887" s="3" t="s">
        <v>24106</v>
      </c>
      <c r="BA2887" s="3" t="s">
        <v>24106</v>
      </c>
      <c r="BB2887" s="3" t="s">
        <v>24107</v>
      </c>
      <c r="BC2887" s="3" t="s">
        <v>82</v>
      </c>
      <c r="BD2887" s="3" t="s">
        <v>70</v>
      </c>
      <c r="BE2887" s="3" t="s">
        <v>24108</v>
      </c>
      <c r="BF2887" s="3" t="s">
        <v>24107</v>
      </c>
      <c r="BG2887" s="3" t="s">
        <v>24109</v>
      </c>
    </row>
    <row r="2888" spans="1:59" ht="60" x14ac:dyDescent="0.25">
      <c r="A2888" s="2" t="s">
        <v>59</v>
      </c>
      <c r="B2888" s="2" t="s">
        <v>60</v>
      </c>
      <c r="C2888" s="2" t="s">
        <v>24110</v>
      </c>
      <c r="D2888" s="2" t="s">
        <v>24111</v>
      </c>
      <c r="E2888" s="2" t="s">
        <v>24112</v>
      </c>
      <c r="G2888" s="3" t="s">
        <v>63</v>
      </c>
      <c r="I2888" s="3" t="s">
        <v>63</v>
      </c>
      <c r="J2888" s="3" t="s">
        <v>63</v>
      </c>
      <c r="K2888" s="3" t="s">
        <v>64</v>
      </c>
      <c r="L2888" s="2" t="s">
        <v>23745</v>
      </c>
      <c r="M2888" s="2" t="s">
        <v>14052</v>
      </c>
      <c r="N2888" s="3" t="s">
        <v>629</v>
      </c>
      <c r="P2888" s="3" t="s">
        <v>66</v>
      </c>
      <c r="Q2888" s="2" t="s">
        <v>12126</v>
      </c>
      <c r="R2888" s="3" t="s">
        <v>67</v>
      </c>
      <c r="S2888" s="4">
        <v>8</v>
      </c>
      <c r="T2888" s="4">
        <v>8</v>
      </c>
      <c r="U2888" s="5" t="s">
        <v>24113</v>
      </c>
      <c r="V2888" s="5" t="s">
        <v>24113</v>
      </c>
      <c r="W2888" s="5" t="s">
        <v>69</v>
      </c>
      <c r="X2888" s="5" t="s">
        <v>69</v>
      </c>
      <c r="Y2888" s="4">
        <v>56</v>
      </c>
      <c r="Z2888" s="4">
        <v>7</v>
      </c>
      <c r="AA2888" s="4">
        <v>8</v>
      </c>
      <c r="AB2888" s="4">
        <v>1</v>
      </c>
      <c r="AC2888" s="4">
        <v>1</v>
      </c>
      <c r="AD2888" s="4">
        <v>26</v>
      </c>
      <c r="AE2888" s="4">
        <v>31</v>
      </c>
      <c r="AF2888" s="4">
        <v>0</v>
      </c>
      <c r="AG2888" s="4">
        <v>0</v>
      </c>
      <c r="AH2888" s="4">
        <v>25</v>
      </c>
      <c r="AI2888" s="4">
        <v>29</v>
      </c>
      <c r="AJ2888" s="4">
        <v>4</v>
      </c>
      <c r="AK2888" s="4">
        <v>5</v>
      </c>
      <c r="AL2888" s="4">
        <v>19</v>
      </c>
      <c r="AM2888" s="4">
        <v>22</v>
      </c>
      <c r="AN2888" s="4">
        <v>0</v>
      </c>
      <c r="AO2888" s="4">
        <v>0</v>
      </c>
      <c r="AP2888" s="4">
        <v>4</v>
      </c>
      <c r="AQ2888" s="4">
        <v>5</v>
      </c>
      <c r="AR2888" s="3" t="s">
        <v>63</v>
      </c>
      <c r="AS2888" s="3" t="s">
        <v>63</v>
      </c>
      <c r="AT2888" s="3" t="s">
        <v>63</v>
      </c>
      <c r="AV2888" s="6" t="str">
        <f>HYPERLINK("http://mcgill.on.worldcat.org/oclc/711872040","Catalog Record")</f>
        <v>Catalog Record</v>
      </c>
      <c r="AW2888" s="6" t="str">
        <f>HYPERLINK("http://www.worldcat.org/oclc/711872040","WorldCat Record")</f>
        <v>WorldCat Record</v>
      </c>
      <c r="AX2888" s="3" t="s">
        <v>24114</v>
      </c>
      <c r="AY2888" s="3" t="s">
        <v>24115</v>
      </c>
      <c r="AZ2888" s="3" t="s">
        <v>24116</v>
      </c>
      <c r="BA2888" s="3" t="s">
        <v>24116</v>
      </c>
      <c r="BB2888" s="3" t="s">
        <v>24117</v>
      </c>
      <c r="BC2888" s="3" t="s">
        <v>82</v>
      </c>
      <c r="BD2888" s="3" t="s">
        <v>70</v>
      </c>
      <c r="BE2888" s="3" t="s">
        <v>24118</v>
      </c>
      <c r="BF2888" s="3" t="s">
        <v>24117</v>
      </c>
      <c r="BG2888" s="3" t="s">
        <v>24119</v>
      </c>
    </row>
    <row r="2889" spans="1:59" ht="60" x14ac:dyDescent="0.25">
      <c r="A2889" s="2" t="s">
        <v>59</v>
      </c>
      <c r="B2889" s="2" t="s">
        <v>60</v>
      </c>
      <c r="C2889" s="2" t="s">
        <v>24120</v>
      </c>
      <c r="D2889" s="2" t="s">
        <v>24121</v>
      </c>
      <c r="E2889" s="2" t="s">
        <v>24122</v>
      </c>
      <c r="G2889" s="3" t="s">
        <v>63</v>
      </c>
      <c r="I2889" s="3" t="s">
        <v>63</v>
      </c>
      <c r="J2889" s="3" t="s">
        <v>63</v>
      </c>
      <c r="K2889" s="3" t="s">
        <v>64</v>
      </c>
      <c r="L2889" s="2" t="s">
        <v>23730</v>
      </c>
      <c r="M2889" s="2" t="s">
        <v>24123</v>
      </c>
      <c r="N2889" s="3" t="s">
        <v>130</v>
      </c>
      <c r="P2889" s="3" t="s">
        <v>66</v>
      </c>
      <c r="R2889" s="3" t="s">
        <v>67</v>
      </c>
      <c r="S2889" s="4">
        <v>5</v>
      </c>
      <c r="T2889" s="4">
        <v>5</v>
      </c>
      <c r="U2889" s="5" t="s">
        <v>24124</v>
      </c>
      <c r="V2889" s="5" t="s">
        <v>24124</v>
      </c>
      <c r="W2889" s="5" t="s">
        <v>69</v>
      </c>
      <c r="X2889" s="5" t="s">
        <v>69</v>
      </c>
      <c r="Y2889" s="4">
        <v>114</v>
      </c>
      <c r="Z2889" s="4">
        <v>8</v>
      </c>
      <c r="AA2889" s="4">
        <v>8</v>
      </c>
      <c r="AB2889" s="4">
        <v>1</v>
      </c>
      <c r="AC2889" s="4">
        <v>1</v>
      </c>
      <c r="AD2889" s="4">
        <v>31</v>
      </c>
      <c r="AE2889" s="4">
        <v>31</v>
      </c>
      <c r="AF2889" s="4">
        <v>0</v>
      </c>
      <c r="AG2889" s="4">
        <v>0</v>
      </c>
      <c r="AH2889" s="4">
        <v>29</v>
      </c>
      <c r="AI2889" s="4">
        <v>29</v>
      </c>
      <c r="AJ2889" s="4">
        <v>5</v>
      </c>
      <c r="AK2889" s="4">
        <v>5</v>
      </c>
      <c r="AL2889" s="4">
        <v>22</v>
      </c>
      <c r="AM2889" s="4">
        <v>22</v>
      </c>
      <c r="AN2889" s="4">
        <v>0</v>
      </c>
      <c r="AO2889" s="4">
        <v>0</v>
      </c>
      <c r="AP2889" s="4">
        <v>5</v>
      </c>
      <c r="AQ2889" s="4">
        <v>5</v>
      </c>
      <c r="AR2889" s="3" t="s">
        <v>63</v>
      </c>
      <c r="AS2889" s="3" t="s">
        <v>63</v>
      </c>
      <c r="AT2889" s="3" t="s">
        <v>63</v>
      </c>
      <c r="AV2889" s="6" t="str">
        <f>HYPERLINK("http://mcgill.on.worldcat.org/oclc/825559696","Catalog Record")</f>
        <v>Catalog Record</v>
      </c>
      <c r="AW2889" s="6" t="str">
        <f>HYPERLINK("http://www.worldcat.org/oclc/825559696","WorldCat Record")</f>
        <v>WorldCat Record</v>
      </c>
      <c r="AX2889" s="3" t="s">
        <v>24125</v>
      </c>
      <c r="AY2889" s="3" t="s">
        <v>24126</v>
      </c>
      <c r="AZ2889" s="3" t="s">
        <v>24127</v>
      </c>
      <c r="BA2889" s="3" t="s">
        <v>24127</v>
      </c>
      <c r="BB2889" s="3" t="s">
        <v>24128</v>
      </c>
      <c r="BC2889" s="3" t="s">
        <v>82</v>
      </c>
      <c r="BD2889" s="3" t="s">
        <v>70</v>
      </c>
      <c r="BE2889" s="3" t="s">
        <v>24129</v>
      </c>
      <c r="BF2889" s="3" t="s">
        <v>24128</v>
      </c>
      <c r="BG2889" s="3" t="s">
        <v>24130</v>
      </c>
    </row>
    <row r="2890" spans="1:59" ht="60" x14ac:dyDescent="0.25">
      <c r="A2890" s="2" t="s">
        <v>59</v>
      </c>
      <c r="B2890" s="2" t="s">
        <v>60</v>
      </c>
      <c r="C2890" s="2" t="s">
        <v>24131</v>
      </c>
      <c r="D2890" s="2" t="s">
        <v>24132</v>
      </c>
      <c r="E2890" s="2" t="s">
        <v>24133</v>
      </c>
      <c r="G2890" s="3" t="s">
        <v>63</v>
      </c>
      <c r="I2890" s="3" t="s">
        <v>63</v>
      </c>
      <c r="J2890" s="3" t="s">
        <v>63</v>
      </c>
      <c r="K2890" s="3" t="s">
        <v>64</v>
      </c>
      <c r="M2890" s="2" t="s">
        <v>24134</v>
      </c>
      <c r="N2890" s="3" t="s">
        <v>374</v>
      </c>
      <c r="P2890" s="3" t="s">
        <v>66</v>
      </c>
      <c r="Q2890" s="2" t="s">
        <v>24135</v>
      </c>
      <c r="R2890" s="3" t="s">
        <v>67</v>
      </c>
      <c r="S2890" s="4">
        <v>11</v>
      </c>
      <c r="T2890" s="4">
        <v>11</v>
      </c>
      <c r="U2890" s="5" t="s">
        <v>7577</v>
      </c>
      <c r="V2890" s="5" t="s">
        <v>7577</v>
      </c>
      <c r="W2890" s="5" t="s">
        <v>69</v>
      </c>
      <c r="X2890" s="5" t="s">
        <v>69</v>
      </c>
      <c r="Y2890" s="4">
        <v>4</v>
      </c>
      <c r="Z2890" s="4">
        <v>1</v>
      </c>
      <c r="AA2890" s="4">
        <v>119</v>
      </c>
      <c r="AB2890" s="4">
        <v>1</v>
      </c>
      <c r="AC2890" s="4">
        <v>21</v>
      </c>
      <c r="AD2890" s="4">
        <v>1</v>
      </c>
      <c r="AE2890" s="4">
        <v>136</v>
      </c>
      <c r="AF2890" s="4">
        <v>0</v>
      </c>
      <c r="AG2890" s="4">
        <v>8</v>
      </c>
      <c r="AH2890" s="4">
        <v>1</v>
      </c>
      <c r="AI2890" s="4">
        <v>90</v>
      </c>
      <c r="AJ2890" s="4">
        <v>0</v>
      </c>
      <c r="AK2890" s="4">
        <v>26</v>
      </c>
      <c r="AL2890" s="4">
        <v>1</v>
      </c>
      <c r="AM2890" s="4">
        <v>47</v>
      </c>
      <c r="AN2890" s="4">
        <v>0</v>
      </c>
      <c r="AO2890" s="4">
        <v>0</v>
      </c>
      <c r="AP2890" s="4">
        <v>0</v>
      </c>
      <c r="AQ2890" s="4">
        <v>54</v>
      </c>
      <c r="AR2890" s="3" t="s">
        <v>63</v>
      </c>
      <c r="AS2890" s="3" t="s">
        <v>63</v>
      </c>
      <c r="AT2890" s="3" t="s">
        <v>63</v>
      </c>
      <c r="AV2890" s="6" t="str">
        <f>HYPERLINK("http://mcgill.on.worldcat.org/oclc/44620651","Catalog Record")</f>
        <v>Catalog Record</v>
      </c>
      <c r="AW2890" s="6" t="str">
        <f>HYPERLINK("http://www.worldcat.org/oclc/44620651","WorldCat Record")</f>
        <v>WorldCat Record</v>
      </c>
      <c r="AX2890" s="3" t="s">
        <v>24136</v>
      </c>
      <c r="AY2890" s="3" t="s">
        <v>24137</v>
      </c>
      <c r="AZ2890" s="3" t="s">
        <v>24138</v>
      </c>
      <c r="BA2890" s="3" t="s">
        <v>24138</v>
      </c>
      <c r="BB2890" s="3" t="s">
        <v>24139</v>
      </c>
      <c r="BC2890" s="3" t="s">
        <v>82</v>
      </c>
      <c r="BD2890" s="3" t="s">
        <v>70</v>
      </c>
      <c r="BE2890" s="3" t="s">
        <v>24140</v>
      </c>
      <c r="BF2890" s="3" t="s">
        <v>24139</v>
      </c>
      <c r="BG2890" s="3" t="s">
        <v>24141</v>
      </c>
    </row>
    <row r="2891" spans="1:59" ht="60" x14ac:dyDescent="0.25">
      <c r="A2891" s="2" t="s">
        <v>59</v>
      </c>
      <c r="B2891" s="2" t="s">
        <v>60</v>
      </c>
      <c r="C2891" s="2" t="s">
        <v>24142</v>
      </c>
      <c r="D2891" s="2" t="s">
        <v>24143</v>
      </c>
      <c r="E2891" s="2" t="s">
        <v>24144</v>
      </c>
      <c r="G2891" s="3" t="s">
        <v>63</v>
      </c>
      <c r="I2891" s="3" t="s">
        <v>63</v>
      </c>
      <c r="J2891" s="3" t="s">
        <v>63</v>
      </c>
      <c r="K2891" s="3" t="s">
        <v>64</v>
      </c>
      <c r="L2891" s="2" t="s">
        <v>24145</v>
      </c>
      <c r="M2891" s="2" t="s">
        <v>24146</v>
      </c>
      <c r="N2891" s="3" t="s">
        <v>480</v>
      </c>
      <c r="P2891" s="3" t="s">
        <v>66</v>
      </c>
      <c r="R2891" s="3" t="s">
        <v>67</v>
      </c>
      <c r="S2891" s="4">
        <v>24</v>
      </c>
      <c r="T2891" s="4">
        <v>24</v>
      </c>
      <c r="U2891" s="5" t="s">
        <v>3057</v>
      </c>
      <c r="V2891" s="5" t="s">
        <v>3057</v>
      </c>
      <c r="W2891" s="5" t="s">
        <v>69</v>
      </c>
      <c r="X2891" s="5" t="s">
        <v>69</v>
      </c>
      <c r="Y2891" s="4">
        <v>164</v>
      </c>
      <c r="Z2891" s="4">
        <v>19</v>
      </c>
      <c r="AA2891" s="4">
        <v>31</v>
      </c>
      <c r="AB2891" s="4">
        <v>2</v>
      </c>
      <c r="AC2891" s="4">
        <v>3</v>
      </c>
      <c r="AD2891" s="4">
        <v>63</v>
      </c>
      <c r="AE2891" s="4">
        <v>114</v>
      </c>
      <c r="AF2891" s="4">
        <v>0</v>
      </c>
      <c r="AG2891" s="4">
        <v>0</v>
      </c>
      <c r="AH2891" s="4">
        <v>57</v>
      </c>
      <c r="AI2891" s="4">
        <v>100</v>
      </c>
      <c r="AJ2891" s="4">
        <v>12</v>
      </c>
      <c r="AK2891" s="4">
        <v>16</v>
      </c>
      <c r="AL2891" s="4">
        <v>39</v>
      </c>
      <c r="AM2891" s="4">
        <v>57</v>
      </c>
      <c r="AN2891" s="4">
        <v>0</v>
      </c>
      <c r="AO2891" s="4">
        <v>1</v>
      </c>
      <c r="AP2891" s="4">
        <v>12</v>
      </c>
      <c r="AQ2891" s="4">
        <v>20</v>
      </c>
      <c r="AR2891" s="3" t="s">
        <v>63</v>
      </c>
      <c r="AS2891" s="3" t="s">
        <v>63</v>
      </c>
      <c r="AT2891" s="3" t="s">
        <v>62</v>
      </c>
      <c r="AU2891" s="6" t="str">
        <f>HYPERLINK("http://catalog.hathitrust.org/Record/002461826","HathiTrust Record")</f>
        <v>HathiTrust Record</v>
      </c>
      <c r="AV2891" s="6" t="str">
        <f>HYPERLINK("http://mcgill.on.worldcat.org/oclc/23997464","Catalog Record")</f>
        <v>Catalog Record</v>
      </c>
      <c r="AW2891" s="6" t="str">
        <f>HYPERLINK("http://www.worldcat.org/oclc/23997464","WorldCat Record")</f>
        <v>WorldCat Record</v>
      </c>
      <c r="AX2891" s="3" t="s">
        <v>24147</v>
      </c>
      <c r="AY2891" s="3" t="s">
        <v>24148</v>
      </c>
      <c r="AZ2891" s="3" t="s">
        <v>24149</v>
      </c>
      <c r="BA2891" s="3" t="s">
        <v>24149</v>
      </c>
      <c r="BB2891" s="3" t="s">
        <v>24150</v>
      </c>
      <c r="BC2891" s="3" t="s">
        <v>82</v>
      </c>
      <c r="BD2891" s="3" t="s">
        <v>70</v>
      </c>
      <c r="BE2891" s="3" t="s">
        <v>24151</v>
      </c>
      <c r="BF2891" s="3" t="s">
        <v>24150</v>
      </c>
      <c r="BG2891" s="3" t="s">
        <v>24152</v>
      </c>
    </row>
    <row r="2892" spans="1:59" ht="60" x14ac:dyDescent="0.25">
      <c r="A2892" s="2" t="s">
        <v>59</v>
      </c>
      <c r="B2892" s="2" t="s">
        <v>60</v>
      </c>
      <c r="C2892" s="2" t="s">
        <v>24153</v>
      </c>
      <c r="D2892" s="2" t="s">
        <v>24154</v>
      </c>
      <c r="E2892" s="2" t="s">
        <v>24155</v>
      </c>
      <c r="G2892" s="3" t="s">
        <v>63</v>
      </c>
      <c r="I2892" s="3" t="s">
        <v>63</v>
      </c>
      <c r="J2892" s="3" t="s">
        <v>63</v>
      </c>
      <c r="K2892" s="3" t="s">
        <v>64</v>
      </c>
      <c r="L2892" s="2" t="s">
        <v>24156</v>
      </c>
      <c r="M2892" s="2" t="s">
        <v>24157</v>
      </c>
      <c r="N2892" s="3" t="s">
        <v>1557</v>
      </c>
      <c r="P2892" s="3" t="s">
        <v>66</v>
      </c>
      <c r="Q2892" s="2" t="s">
        <v>12476</v>
      </c>
      <c r="R2892" s="3" t="s">
        <v>67</v>
      </c>
      <c r="S2892" s="4">
        <v>2</v>
      </c>
      <c r="T2892" s="4">
        <v>2</v>
      </c>
      <c r="U2892" s="5" t="s">
        <v>10608</v>
      </c>
      <c r="V2892" s="5" t="s">
        <v>10608</v>
      </c>
      <c r="W2892" s="5" t="s">
        <v>69</v>
      </c>
      <c r="X2892" s="5" t="s">
        <v>69</v>
      </c>
      <c r="Y2892" s="4">
        <v>104</v>
      </c>
      <c r="Z2892" s="4">
        <v>11</v>
      </c>
      <c r="AA2892" s="4">
        <v>15</v>
      </c>
      <c r="AB2892" s="4">
        <v>1</v>
      </c>
      <c r="AC2892" s="4">
        <v>4</v>
      </c>
      <c r="AD2892" s="4">
        <v>50</v>
      </c>
      <c r="AE2892" s="4">
        <v>54</v>
      </c>
      <c r="AF2892" s="4">
        <v>0</v>
      </c>
      <c r="AG2892" s="4">
        <v>1</v>
      </c>
      <c r="AH2892" s="4">
        <v>44</v>
      </c>
      <c r="AI2892" s="4">
        <v>46</v>
      </c>
      <c r="AJ2892" s="4">
        <v>8</v>
      </c>
      <c r="AK2892" s="4">
        <v>9</v>
      </c>
      <c r="AL2892" s="4">
        <v>29</v>
      </c>
      <c r="AM2892" s="4">
        <v>30</v>
      </c>
      <c r="AN2892" s="4">
        <v>0</v>
      </c>
      <c r="AO2892" s="4">
        <v>0</v>
      </c>
      <c r="AP2892" s="4">
        <v>8</v>
      </c>
      <c r="AQ2892" s="4">
        <v>10</v>
      </c>
      <c r="AR2892" s="3" t="s">
        <v>63</v>
      </c>
      <c r="AS2892" s="3" t="s">
        <v>63</v>
      </c>
      <c r="AT2892" s="3" t="s">
        <v>63</v>
      </c>
      <c r="AV2892" s="6" t="str">
        <f>HYPERLINK("http://mcgill.on.worldcat.org/oclc/951753713","Catalog Record")</f>
        <v>Catalog Record</v>
      </c>
      <c r="AW2892" s="6" t="str">
        <f>HYPERLINK("http://www.worldcat.org/oclc/951753713","WorldCat Record")</f>
        <v>WorldCat Record</v>
      </c>
      <c r="AX2892" s="3" t="s">
        <v>24158</v>
      </c>
      <c r="AY2892" s="3" t="s">
        <v>24159</v>
      </c>
      <c r="AZ2892" s="3" t="s">
        <v>24160</v>
      </c>
      <c r="BA2892" s="3" t="s">
        <v>24160</v>
      </c>
      <c r="BB2892" s="3" t="s">
        <v>24161</v>
      </c>
      <c r="BC2892" s="3" t="s">
        <v>82</v>
      </c>
      <c r="BD2892" s="3" t="s">
        <v>70</v>
      </c>
      <c r="BE2892" s="3" t="s">
        <v>24162</v>
      </c>
      <c r="BF2892" s="3" t="s">
        <v>24161</v>
      </c>
      <c r="BG2892" s="3" t="s">
        <v>24163</v>
      </c>
    </row>
    <row r="2893" spans="1:59" ht="75" x14ac:dyDescent="0.25">
      <c r="A2893" s="2" t="s">
        <v>59</v>
      </c>
      <c r="B2893" s="2" t="s">
        <v>60</v>
      </c>
      <c r="C2893" s="2" t="s">
        <v>24164</v>
      </c>
      <c r="D2893" s="2" t="s">
        <v>24165</v>
      </c>
      <c r="E2893" s="2" t="s">
        <v>24166</v>
      </c>
      <c r="G2893" s="3" t="s">
        <v>63</v>
      </c>
      <c r="I2893" s="3" t="s">
        <v>63</v>
      </c>
      <c r="J2893" s="3" t="s">
        <v>63</v>
      </c>
      <c r="K2893" s="3" t="s">
        <v>64</v>
      </c>
      <c r="M2893" s="2" t="s">
        <v>24167</v>
      </c>
      <c r="N2893" s="3" t="s">
        <v>629</v>
      </c>
      <c r="P2893" s="3" t="s">
        <v>90</v>
      </c>
      <c r="R2893" s="3" t="s">
        <v>67</v>
      </c>
      <c r="S2893" s="4">
        <v>0</v>
      </c>
      <c r="T2893" s="4">
        <v>0</v>
      </c>
      <c r="W2893" s="5" t="s">
        <v>69</v>
      </c>
      <c r="X2893" s="5" t="s">
        <v>69</v>
      </c>
      <c r="Y2893" s="4">
        <v>10</v>
      </c>
      <c r="Z2893" s="4">
        <v>2</v>
      </c>
      <c r="AA2893" s="4">
        <v>2</v>
      </c>
      <c r="AB2893" s="4">
        <v>1</v>
      </c>
      <c r="AC2893" s="4">
        <v>1</v>
      </c>
      <c r="AD2893" s="4">
        <v>9</v>
      </c>
      <c r="AE2893" s="4">
        <v>9</v>
      </c>
      <c r="AF2893" s="4">
        <v>0</v>
      </c>
      <c r="AG2893" s="4">
        <v>0</v>
      </c>
      <c r="AH2893" s="4">
        <v>9</v>
      </c>
      <c r="AI2893" s="4">
        <v>9</v>
      </c>
      <c r="AJ2893" s="4">
        <v>1</v>
      </c>
      <c r="AK2893" s="4">
        <v>1</v>
      </c>
      <c r="AL2893" s="4">
        <v>5</v>
      </c>
      <c r="AM2893" s="4">
        <v>5</v>
      </c>
      <c r="AN2893" s="4">
        <v>0</v>
      </c>
      <c r="AO2893" s="4">
        <v>0</v>
      </c>
      <c r="AP2893" s="4">
        <v>1</v>
      </c>
      <c r="AQ2893" s="4">
        <v>1</v>
      </c>
      <c r="AR2893" s="3" t="s">
        <v>63</v>
      </c>
      <c r="AS2893" s="3" t="s">
        <v>63</v>
      </c>
      <c r="AT2893" s="3" t="s">
        <v>63</v>
      </c>
      <c r="AV2893" s="6" t="str">
        <f>HYPERLINK("http://mcgill.on.worldcat.org/oclc/795531323","Catalog Record")</f>
        <v>Catalog Record</v>
      </c>
      <c r="AW2893" s="6" t="str">
        <f>HYPERLINK("http://www.worldcat.org/oclc/795531323","WorldCat Record")</f>
        <v>WorldCat Record</v>
      </c>
      <c r="AX2893" s="3" t="s">
        <v>24168</v>
      </c>
      <c r="AY2893" s="3" t="s">
        <v>24169</v>
      </c>
      <c r="AZ2893" s="3" t="s">
        <v>24170</v>
      </c>
      <c r="BA2893" s="3" t="s">
        <v>24170</v>
      </c>
      <c r="BB2893" s="3" t="s">
        <v>24171</v>
      </c>
      <c r="BC2893" s="3" t="s">
        <v>82</v>
      </c>
      <c r="BD2893" s="3" t="s">
        <v>70</v>
      </c>
      <c r="BE2893" s="3" t="s">
        <v>24172</v>
      </c>
      <c r="BF2893" s="3" t="s">
        <v>24171</v>
      </c>
      <c r="BG2893" s="3" t="s">
        <v>24173</v>
      </c>
    </row>
    <row r="2894" spans="1:59" ht="75" x14ac:dyDescent="0.25">
      <c r="A2894" s="2" t="s">
        <v>59</v>
      </c>
      <c r="B2894" s="2" t="s">
        <v>60</v>
      </c>
      <c r="C2894" s="2" t="s">
        <v>24174</v>
      </c>
      <c r="D2894" s="2" t="s">
        <v>24175</v>
      </c>
      <c r="E2894" s="2" t="s">
        <v>24176</v>
      </c>
      <c r="G2894" s="3" t="s">
        <v>63</v>
      </c>
      <c r="I2894" s="3" t="s">
        <v>63</v>
      </c>
      <c r="J2894" s="3" t="s">
        <v>63</v>
      </c>
      <c r="K2894" s="3" t="s">
        <v>64</v>
      </c>
      <c r="L2894" s="2" t="s">
        <v>24177</v>
      </c>
      <c r="M2894" s="2" t="s">
        <v>24178</v>
      </c>
      <c r="N2894" s="3" t="s">
        <v>76</v>
      </c>
      <c r="P2894" s="3" t="s">
        <v>90</v>
      </c>
      <c r="Q2894" s="2" t="s">
        <v>24179</v>
      </c>
      <c r="R2894" s="3" t="s">
        <v>67</v>
      </c>
      <c r="S2894" s="4">
        <v>0</v>
      </c>
      <c r="T2894" s="4">
        <v>0</v>
      </c>
      <c r="W2894" s="5" t="s">
        <v>69</v>
      </c>
      <c r="X2894" s="5" t="s">
        <v>69</v>
      </c>
      <c r="Y2894" s="4">
        <v>33</v>
      </c>
      <c r="Z2894" s="4">
        <v>4</v>
      </c>
      <c r="AA2894" s="4">
        <v>4</v>
      </c>
      <c r="AB2894" s="4">
        <v>1</v>
      </c>
      <c r="AC2894" s="4">
        <v>1</v>
      </c>
      <c r="AD2894" s="4">
        <v>24</v>
      </c>
      <c r="AE2894" s="4">
        <v>24</v>
      </c>
      <c r="AF2894" s="4">
        <v>0</v>
      </c>
      <c r="AG2894" s="4">
        <v>0</v>
      </c>
      <c r="AH2894" s="4">
        <v>23</v>
      </c>
      <c r="AI2894" s="4">
        <v>23</v>
      </c>
      <c r="AJ2894" s="4">
        <v>2</v>
      </c>
      <c r="AK2894" s="4">
        <v>2</v>
      </c>
      <c r="AL2894" s="4">
        <v>19</v>
      </c>
      <c r="AM2894" s="4">
        <v>19</v>
      </c>
      <c r="AN2894" s="4">
        <v>0</v>
      </c>
      <c r="AO2894" s="4">
        <v>0</v>
      </c>
      <c r="AP2894" s="4">
        <v>2</v>
      </c>
      <c r="AQ2894" s="4">
        <v>2</v>
      </c>
      <c r="AR2894" s="3" t="s">
        <v>63</v>
      </c>
      <c r="AS2894" s="3" t="s">
        <v>63</v>
      </c>
      <c r="AT2894" s="3" t="s">
        <v>63</v>
      </c>
      <c r="AV2894" s="6" t="str">
        <f>HYPERLINK("http://mcgill.on.worldcat.org/oclc/791648682","Catalog Record")</f>
        <v>Catalog Record</v>
      </c>
      <c r="AW2894" s="6" t="str">
        <f>HYPERLINK("http://www.worldcat.org/oclc/791648682","WorldCat Record")</f>
        <v>WorldCat Record</v>
      </c>
      <c r="AX2894" s="3" t="s">
        <v>24180</v>
      </c>
      <c r="AY2894" s="3" t="s">
        <v>24181</v>
      </c>
      <c r="AZ2894" s="3" t="s">
        <v>24182</v>
      </c>
      <c r="BA2894" s="3" t="s">
        <v>24182</v>
      </c>
      <c r="BB2894" s="3" t="s">
        <v>24183</v>
      </c>
      <c r="BC2894" s="3" t="s">
        <v>82</v>
      </c>
      <c r="BD2894" s="3" t="s">
        <v>70</v>
      </c>
      <c r="BE2894" s="3" t="s">
        <v>24184</v>
      </c>
      <c r="BF2894" s="3" t="s">
        <v>24183</v>
      </c>
      <c r="BG2894" s="3" t="s">
        <v>24185</v>
      </c>
    </row>
    <row r="2895" spans="1:59" ht="60" x14ac:dyDescent="0.25">
      <c r="A2895" s="2" t="s">
        <v>59</v>
      </c>
      <c r="B2895" s="2" t="s">
        <v>60</v>
      </c>
      <c r="C2895" s="2" t="s">
        <v>24186</v>
      </c>
      <c r="D2895" s="2" t="s">
        <v>24187</v>
      </c>
      <c r="E2895" s="2" t="s">
        <v>24188</v>
      </c>
      <c r="G2895" s="3" t="s">
        <v>63</v>
      </c>
      <c r="I2895" s="3" t="s">
        <v>63</v>
      </c>
      <c r="J2895" s="3" t="s">
        <v>63</v>
      </c>
      <c r="K2895" s="3" t="s">
        <v>64</v>
      </c>
      <c r="L2895" s="2" t="s">
        <v>24189</v>
      </c>
      <c r="M2895" s="2" t="s">
        <v>24190</v>
      </c>
      <c r="N2895" s="3" t="s">
        <v>176</v>
      </c>
      <c r="P2895" s="3" t="s">
        <v>90</v>
      </c>
      <c r="Q2895" s="2" t="s">
        <v>24191</v>
      </c>
      <c r="R2895" s="3" t="s">
        <v>67</v>
      </c>
      <c r="S2895" s="4">
        <v>3</v>
      </c>
      <c r="T2895" s="4">
        <v>3</v>
      </c>
      <c r="U2895" s="5" t="s">
        <v>23865</v>
      </c>
      <c r="V2895" s="5" t="s">
        <v>23865</v>
      </c>
      <c r="W2895" s="5" t="s">
        <v>69</v>
      </c>
      <c r="X2895" s="5" t="s">
        <v>69</v>
      </c>
      <c r="Y2895" s="4">
        <v>46</v>
      </c>
      <c r="Z2895" s="4">
        <v>4</v>
      </c>
      <c r="AA2895" s="4">
        <v>4</v>
      </c>
      <c r="AB2895" s="4">
        <v>1</v>
      </c>
      <c r="AC2895" s="4">
        <v>1</v>
      </c>
      <c r="AD2895" s="4">
        <v>32</v>
      </c>
      <c r="AE2895" s="4">
        <v>32</v>
      </c>
      <c r="AF2895" s="4">
        <v>0</v>
      </c>
      <c r="AG2895" s="4">
        <v>0</v>
      </c>
      <c r="AH2895" s="4">
        <v>31</v>
      </c>
      <c r="AI2895" s="4">
        <v>31</v>
      </c>
      <c r="AJ2895" s="4">
        <v>2</v>
      </c>
      <c r="AK2895" s="4">
        <v>2</v>
      </c>
      <c r="AL2895" s="4">
        <v>25</v>
      </c>
      <c r="AM2895" s="4">
        <v>25</v>
      </c>
      <c r="AN2895" s="4">
        <v>0</v>
      </c>
      <c r="AO2895" s="4">
        <v>0</v>
      </c>
      <c r="AP2895" s="4">
        <v>2</v>
      </c>
      <c r="AQ2895" s="4">
        <v>2</v>
      </c>
      <c r="AR2895" s="3" t="s">
        <v>63</v>
      </c>
      <c r="AS2895" s="3" t="s">
        <v>63</v>
      </c>
      <c r="AT2895" s="3" t="s">
        <v>63</v>
      </c>
      <c r="AV2895" s="6" t="str">
        <f>HYPERLINK("http://mcgill.on.worldcat.org/oclc/39616376","Catalog Record")</f>
        <v>Catalog Record</v>
      </c>
      <c r="AW2895" s="6" t="str">
        <f>HYPERLINK("http://www.worldcat.org/oclc/39616376","WorldCat Record")</f>
        <v>WorldCat Record</v>
      </c>
      <c r="AX2895" s="3" t="s">
        <v>24192</v>
      </c>
      <c r="AY2895" s="3" t="s">
        <v>24193</v>
      </c>
      <c r="AZ2895" s="3" t="s">
        <v>24194</v>
      </c>
      <c r="BA2895" s="3" t="s">
        <v>24194</v>
      </c>
      <c r="BB2895" s="3" t="s">
        <v>24195</v>
      </c>
      <c r="BC2895" s="3" t="s">
        <v>82</v>
      </c>
      <c r="BD2895" s="3" t="s">
        <v>70</v>
      </c>
      <c r="BE2895" s="3" t="s">
        <v>24196</v>
      </c>
      <c r="BF2895" s="3" t="s">
        <v>24195</v>
      </c>
      <c r="BG2895" s="3" t="s">
        <v>24197</v>
      </c>
    </row>
    <row r="2896" spans="1:59" ht="60" x14ac:dyDescent="0.25">
      <c r="A2896" s="2" t="s">
        <v>59</v>
      </c>
      <c r="B2896" s="2" t="s">
        <v>60</v>
      </c>
      <c r="C2896" s="2" t="s">
        <v>24198</v>
      </c>
      <c r="D2896" s="2" t="s">
        <v>24199</v>
      </c>
      <c r="E2896" s="2" t="s">
        <v>24200</v>
      </c>
      <c r="G2896" s="3" t="s">
        <v>63</v>
      </c>
      <c r="I2896" s="3" t="s">
        <v>63</v>
      </c>
      <c r="J2896" s="3" t="s">
        <v>63</v>
      </c>
      <c r="K2896" s="3" t="s">
        <v>64</v>
      </c>
      <c r="L2896" s="2" t="s">
        <v>24201</v>
      </c>
      <c r="M2896" s="2" t="s">
        <v>24202</v>
      </c>
      <c r="N2896" s="3" t="s">
        <v>668</v>
      </c>
      <c r="P2896" s="3" t="s">
        <v>66</v>
      </c>
      <c r="R2896" s="3" t="s">
        <v>67</v>
      </c>
      <c r="S2896" s="4">
        <v>45</v>
      </c>
      <c r="T2896" s="4">
        <v>45</v>
      </c>
      <c r="U2896" s="5" t="s">
        <v>15965</v>
      </c>
      <c r="V2896" s="5" t="s">
        <v>15965</v>
      </c>
      <c r="W2896" s="5" t="s">
        <v>69</v>
      </c>
      <c r="X2896" s="5" t="s">
        <v>69</v>
      </c>
      <c r="Y2896" s="4">
        <v>423</v>
      </c>
      <c r="Z2896" s="4">
        <v>25</v>
      </c>
      <c r="AA2896" s="4">
        <v>26</v>
      </c>
      <c r="AB2896" s="4">
        <v>1</v>
      </c>
      <c r="AC2896" s="4">
        <v>2</v>
      </c>
      <c r="AD2896" s="4">
        <v>115</v>
      </c>
      <c r="AE2896" s="4">
        <v>116</v>
      </c>
      <c r="AF2896" s="4">
        <v>0</v>
      </c>
      <c r="AG2896" s="4">
        <v>1</v>
      </c>
      <c r="AH2896" s="4">
        <v>104</v>
      </c>
      <c r="AI2896" s="4">
        <v>105</v>
      </c>
      <c r="AJ2896" s="4">
        <v>17</v>
      </c>
      <c r="AK2896" s="4">
        <v>18</v>
      </c>
      <c r="AL2896" s="4">
        <v>59</v>
      </c>
      <c r="AM2896" s="4">
        <v>59</v>
      </c>
      <c r="AN2896" s="4">
        <v>0</v>
      </c>
      <c r="AO2896" s="4">
        <v>0</v>
      </c>
      <c r="AP2896" s="4">
        <v>19</v>
      </c>
      <c r="AQ2896" s="4">
        <v>20</v>
      </c>
      <c r="AR2896" s="3" t="s">
        <v>63</v>
      </c>
      <c r="AS2896" s="3" t="s">
        <v>63</v>
      </c>
      <c r="AT2896" s="3" t="s">
        <v>62</v>
      </c>
      <c r="AU2896" s="6" t="str">
        <f>HYPERLINK("http://catalog.hathitrust.org/Record/002441201","HathiTrust Record")</f>
        <v>HathiTrust Record</v>
      </c>
      <c r="AV2896" s="6" t="str">
        <f>HYPERLINK("http://mcgill.on.worldcat.org/oclc/20930832","Catalog Record")</f>
        <v>Catalog Record</v>
      </c>
      <c r="AW2896" s="6" t="str">
        <f>HYPERLINK("http://www.worldcat.org/oclc/20930832","WorldCat Record")</f>
        <v>WorldCat Record</v>
      </c>
      <c r="AX2896" s="3" t="s">
        <v>24203</v>
      </c>
      <c r="AY2896" s="3" t="s">
        <v>24204</v>
      </c>
      <c r="AZ2896" s="3" t="s">
        <v>24205</v>
      </c>
      <c r="BA2896" s="3" t="s">
        <v>24205</v>
      </c>
      <c r="BB2896" s="3" t="s">
        <v>24206</v>
      </c>
      <c r="BC2896" s="3" t="s">
        <v>82</v>
      </c>
      <c r="BD2896" s="3" t="s">
        <v>70</v>
      </c>
      <c r="BE2896" s="3" t="s">
        <v>24207</v>
      </c>
      <c r="BF2896" s="3" t="s">
        <v>24206</v>
      </c>
      <c r="BG2896" s="3" t="s">
        <v>24208</v>
      </c>
    </row>
    <row r="2897" spans="1:59" ht="60" x14ac:dyDescent="0.25">
      <c r="A2897" s="2" t="s">
        <v>59</v>
      </c>
      <c r="B2897" s="2" t="s">
        <v>60</v>
      </c>
      <c r="C2897" s="2" t="s">
        <v>24209</v>
      </c>
      <c r="D2897" s="2" t="s">
        <v>24210</v>
      </c>
      <c r="E2897" s="2" t="s">
        <v>24211</v>
      </c>
      <c r="G2897" s="3" t="s">
        <v>63</v>
      </c>
      <c r="I2897" s="3" t="s">
        <v>63</v>
      </c>
      <c r="J2897" s="3" t="s">
        <v>63</v>
      </c>
      <c r="K2897" s="3" t="s">
        <v>64</v>
      </c>
      <c r="L2897" s="2" t="s">
        <v>24212</v>
      </c>
      <c r="M2897" s="2" t="s">
        <v>24213</v>
      </c>
      <c r="N2897" s="3" t="s">
        <v>1916</v>
      </c>
      <c r="P2897" s="3" t="s">
        <v>66</v>
      </c>
      <c r="Q2897" s="2" t="s">
        <v>24214</v>
      </c>
      <c r="R2897" s="3" t="s">
        <v>67</v>
      </c>
      <c r="S2897" s="4">
        <v>36</v>
      </c>
      <c r="T2897" s="4">
        <v>36</v>
      </c>
      <c r="U2897" s="5" t="s">
        <v>3057</v>
      </c>
      <c r="V2897" s="5" t="s">
        <v>3057</v>
      </c>
      <c r="W2897" s="5" t="s">
        <v>69</v>
      </c>
      <c r="X2897" s="5" t="s">
        <v>69</v>
      </c>
      <c r="Y2897" s="4">
        <v>481</v>
      </c>
      <c r="Z2897" s="4">
        <v>27</v>
      </c>
      <c r="AA2897" s="4">
        <v>32</v>
      </c>
      <c r="AB2897" s="4">
        <v>1</v>
      </c>
      <c r="AC2897" s="4">
        <v>2</v>
      </c>
      <c r="AD2897" s="4">
        <v>117</v>
      </c>
      <c r="AE2897" s="4">
        <v>120</v>
      </c>
      <c r="AF2897" s="4">
        <v>0</v>
      </c>
      <c r="AG2897" s="4">
        <v>0</v>
      </c>
      <c r="AH2897" s="4">
        <v>102</v>
      </c>
      <c r="AI2897" s="4">
        <v>104</v>
      </c>
      <c r="AJ2897" s="4">
        <v>18</v>
      </c>
      <c r="AK2897" s="4">
        <v>20</v>
      </c>
      <c r="AL2897" s="4">
        <v>56</v>
      </c>
      <c r="AM2897" s="4">
        <v>56</v>
      </c>
      <c r="AN2897" s="4">
        <v>0</v>
      </c>
      <c r="AO2897" s="4">
        <v>0</v>
      </c>
      <c r="AP2897" s="4">
        <v>21</v>
      </c>
      <c r="AQ2897" s="4">
        <v>24</v>
      </c>
      <c r="AR2897" s="3" t="s">
        <v>63</v>
      </c>
      <c r="AS2897" s="3" t="s">
        <v>63</v>
      </c>
      <c r="AT2897" s="3" t="s">
        <v>62</v>
      </c>
      <c r="AU2897" s="6" t="str">
        <f>HYPERLINK("http://catalog.hathitrust.org/Record/000457966","HathiTrust Record")</f>
        <v>HathiTrust Record</v>
      </c>
      <c r="AV2897" s="6" t="str">
        <f>HYPERLINK("http://mcgill.on.worldcat.org/oclc/11134565","Catalog Record")</f>
        <v>Catalog Record</v>
      </c>
      <c r="AW2897" s="6" t="str">
        <f>HYPERLINK("http://www.worldcat.org/oclc/11134565","WorldCat Record")</f>
        <v>WorldCat Record</v>
      </c>
      <c r="AX2897" s="3" t="s">
        <v>24215</v>
      </c>
      <c r="AY2897" s="3" t="s">
        <v>24216</v>
      </c>
      <c r="AZ2897" s="3" t="s">
        <v>24217</v>
      </c>
      <c r="BA2897" s="3" t="s">
        <v>24217</v>
      </c>
      <c r="BB2897" s="3" t="s">
        <v>24218</v>
      </c>
      <c r="BC2897" s="3" t="s">
        <v>82</v>
      </c>
      <c r="BD2897" s="3" t="s">
        <v>70</v>
      </c>
      <c r="BE2897" s="3" t="s">
        <v>24219</v>
      </c>
      <c r="BF2897" s="3" t="s">
        <v>24218</v>
      </c>
      <c r="BG2897" s="3" t="s">
        <v>24220</v>
      </c>
    </row>
    <row r="2898" spans="1:59" ht="60" x14ac:dyDescent="0.25">
      <c r="A2898" s="2" t="s">
        <v>59</v>
      </c>
      <c r="B2898" s="2" t="s">
        <v>60</v>
      </c>
      <c r="C2898" s="2" t="s">
        <v>24221</v>
      </c>
      <c r="D2898" s="2" t="s">
        <v>24222</v>
      </c>
      <c r="E2898" s="2" t="s">
        <v>24223</v>
      </c>
      <c r="G2898" s="3" t="s">
        <v>63</v>
      </c>
      <c r="I2898" s="3" t="s">
        <v>63</v>
      </c>
      <c r="J2898" s="3" t="s">
        <v>63</v>
      </c>
      <c r="K2898" s="3" t="s">
        <v>64</v>
      </c>
      <c r="L2898" s="2" t="s">
        <v>24224</v>
      </c>
      <c r="M2898" s="2" t="s">
        <v>24225</v>
      </c>
      <c r="N2898" s="3" t="s">
        <v>130</v>
      </c>
      <c r="P2898" s="3" t="s">
        <v>90</v>
      </c>
      <c r="R2898" s="3" t="s">
        <v>67</v>
      </c>
      <c r="S2898" s="4">
        <v>5</v>
      </c>
      <c r="T2898" s="4">
        <v>5</v>
      </c>
      <c r="U2898" s="5" t="s">
        <v>7212</v>
      </c>
      <c r="V2898" s="5" t="s">
        <v>7212</v>
      </c>
      <c r="W2898" s="5" t="s">
        <v>69</v>
      </c>
      <c r="X2898" s="5" t="s">
        <v>69</v>
      </c>
      <c r="Y2898" s="4">
        <v>36</v>
      </c>
      <c r="Z2898" s="4">
        <v>4</v>
      </c>
      <c r="AA2898" s="4">
        <v>4</v>
      </c>
      <c r="AB2898" s="4">
        <v>1</v>
      </c>
      <c r="AC2898" s="4">
        <v>1</v>
      </c>
      <c r="AD2898" s="4">
        <v>25</v>
      </c>
      <c r="AE2898" s="4">
        <v>26</v>
      </c>
      <c r="AF2898" s="4">
        <v>0</v>
      </c>
      <c r="AG2898" s="4">
        <v>0</v>
      </c>
      <c r="AH2898" s="4">
        <v>25</v>
      </c>
      <c r="AI2898" s="4">
        <v>26</v>
      </c>
      <c r="AJ2898" s="4">
        <v>2</v>
      </c>
      <c r="AK2898" s="4">
        <v>2</v>
      </c>
      <c r="AL2898" s="4">
        <v>21</v>
      </c>
      <c r="AM2898" s="4">
        <v>21</v>
      </c>
      <c r="AN2898" s="4">
        <v>0</v>
      </c>
      <c r="AO2898" s="4">
        <v>0</v>
      </c>
      <c r="AP2898" s="4">
        <v>2</v>
      </c>
      <c r="AQ2898" s="4">
        <v>2</v>
      </c>
      <c r="AR2898" s="3" t="s">
        <v>63</v>
      </c>
      <c r="AS2898" s="3" t="s">
        <v>63</v>
      </c>
      <c r="AT2898" s="3" t="s">
        <v>63</v>
      </c>
      <c r="AV2898" s="6" t="str">
        <f>HYPERLINK("http://mcgill.on.worldcat.org/oclc/869262731","Catalog Record")</f>
        <v>Catalog Record</v>
      </c>
      <c r="AW2898" s="6" t="str">
        <f>HYPERLINK("http://www.worldcat.org/oclc/869262731","WorldCat Record")</f>
        <v>WorldCat Record</v>
      </c>
      <c r="AX2898" s="3" t="s">
        <v>24226</v>
      </c>
      <c r="AY2898" s="3" t="s">
        <v>24227</v>
      </c>
      <c r="AZ2898" s="3" t="s">
        <v>24228</v>
      </c>
      <c r="BA2898" s="3" t="s">
        <v>24228</v>
      </c>
      <c r="BB2898" s="3" t="s">
        <v>24229</v>
      </c>
      <c r="BC2898" s="3" t="s">
        <v>82</v>
      </c>
      <c r="BD2898" s="3" t="s">
        <v>70</v>
      </c>
      <c r="BE2898" s="3" t="s">
        <v>24230</v>
      </c>
      <c r="BF2898" s="3" t="s">
        <v>24229</v>
      </c>
      <c r="BG2898" s="3" t="s">
        <v>24231</v>
      </c>
    </row>
    <row r="2899" spans="1:59" ht="75" x14ac:dyDescent="0.25">
      <c r="A2899" s="2" t="s">
        <v>59</v>
      </c>
      <c r="B2899" s="2" t="s">
        <v>60</v>
      </c>
      <c r="C2899" s="2" t="s">
        <v>24243</v>
      </c>
      <c r="D2899" s="2" t="s">
        <v>24244</v>
      </c>
      <c r="E2899" s="2" t="s">
        <v>24245</v>
      </c>
      <c r="G2899" s="3" t="s">
        <v>63</v>
      </c>
      <c r="I2899" s="3" t="s">
        <v>63</v>
      </c>
      <c r="J2899" s="3" t="s">
        <v>63</v>
      </c>
      <c r="K2899" s="3" t="s">
        <v>64</v>
      </c>
      <c r="L2899" s="2" t="s">
        <v>24246</v>
      </c>
      <c r="M2899" s="2" t="s">
        <v>22532</v>
      </c>
      <c r="N2899" s="3" t="s">
        <v>629</v>
      </c>
      <c r="P2899" s="3" t="s">
        <v>90</v>
      </c>
      <c r="Q2899" s="2" t="s">
        <v>16246</v>
      </c>
      <c r="R2899" s="3" t="s">
        <v>67</v>
      </c>
      <c r="S2899" s="4">
        <v>0</v>
      </c>
      <c r="T2899" s="4">
        <v>0</v>
      </c>
      <c r="W2899" s="5" t="s">
        <v>69</v>
      </c>
      <c r="X2899" s="5" t="s">
        <v>69</v>
      </c>
      <c r="Y2899" s="4">
        <v>12</v>
      </c>
      <c r="Z2899" s="4">
        <v>1</v>
      </c>
      <c r="AA2899" s="4">
        <v>1</v>
      </c>
      <c r="AB2899" s="4">
        <v>1</v>
      </c>
      <c r="AC2899" s="4">
        <v>1</v>
      </c>
      <c r="AD2899" s="4">
        <v>5</v>
      </c>
      <c r="AE2899" s="4">
        <v>5</v>
      </c>
      <c r="AF2899" s="4">
        <v>0</v>
      </c>
      <c r="AG2899" s="4">
        <v>0</v>
      </c>
      <c r="AH2899" s="4">
        <v>4</v>
      </c>
      <c r="AI2899" s="4">
        <v>4</v>
      </c>
      <c r="AJ2899" s="4">
        <v>0</v>
      </c>
      <c r="AK2899" s="4">
        <v>0</v>
      </c>
      <c r="AL2899" s="4">
        <v>4</v>
      </c>
      <c r="AM2899" s="4">
        <v>4</v>
      </c>
      <c r="AN2899" s="4">
        <v>0</v>
      </c>
      <c r="AO2899" s="4">
        <v>0</v>
      </c>
      <c r="AP2899" s="4">
        <v>0</v>
      </c>
      <c r="AQ2899" s="4">
        <v>0</v>
      </c>
      <c r="AR2899" s="3" t="s">
        <v>63</v>
      </c>
      <c r="AS2899" s="3" t="s">
        <v>63</v>
      </c>
      <c r="AT2899" s="3" t="s">
        <v>63</v>
      </c>
      <c r="AV2899" s="6" t="str">
        <f>HYPERLINK("http://mcgill.on.worldcat.org/oclc/713494455","Catalog Record")</f>
        <v>Catalog Record</v>
      </c>
      <c r="AW2899" s="6" t="str">
        <f>HYPERLINK("http://www.worldcat.org/oclc/713494455","WorldCat Record")</f>
        <v>WorldCat Record</v>
      </c>
      <c r="AX2899" s="3" t="s">
        <v>24247</v>
      </c>
      <c r="AY2899" s="3" t="s">
        <v>24248</v>
      </c>
      <c r="AZ2899" s="3" t="s">
        <v>24249</v>
      </c>
      <c r="BA2899" s="3" t="s">
        <v>24249</v>
      </c>
      <c r="BB2899" s="3" t="s">
        <v>24250</v>
      </c>
      <c r="BC2899" s="3" t="s">
        <v>82</v>
      </c>
      <c r="BD2899" s="3" t="s">
        <v>70</v>
      </c>
      <c r="BE2899" s="3" t="s">
        <v>24251</v>
      </c>
      <c r="BF2899" s="3" t="s">
        <v>24250</v>
      </c>
      <c r="BG2899" s="3" t="s">
        <v>24252</v>
      </c>
    </row>
    <row r="2900" spans="1:59" ht="60" x14ac:dyDescent="0.25">
      <c r="A2900" s="2" t="s">
        <v>59</v>
      </c>
      <c r="B2900" s="2" t="s">
        <v>60</v>
      </c>
      <c r="C2900" s="2" t="s">
        <v>24253</v>
      </c>
      <c r="D2900" s="2" t="s">
        <v>24254</v>
      </c>
      <c r="E2900" s="2" t="s">
        <v>24255</v>
      </c>
      <c r="G2900" s="3" t="s">
        <v>63</v>
      </c>
      <c r="I2900" s="3" t="s">
        <v>63</v>
      </c>
      <c r="J2900" s="3" t="s">
        <v>63</v>
      </c>
      <c r="K2900" s="3" t="s">
        <v>64</v>
      </c>
      <c r="L2900" s="2" t="s">
        <v>24256</v>
      </c>
      <c r="M2900" s="2" t="s">
        <v>24257</v>
      </c>
      <c r="N2900" s="3" t="s">
        <v>814</v>
      </c>
      <c r="P2900" s="3" t="s">
        <v>66</v>
      </c>
      <c r="R2900" s="3" t="s">
        <v>67</v>
      </c>
      <c r="S2900" s="4">
        <v>33</v>
      </c>
      <c r="T2900" s="4">
        <v>33</v>
      </c>
      <c r="U2900" s="5" t="s">
        <v>3057</v>
      </c>
      <c r="V2900" s="5" t="s">
        <v>3057</v>
      </c>
      <c r="W2900" s="5" t="s">
        <v>69</v>
      </c>
      <c r="X2900" s="5" t="s">
        <v>69</v>
      </c>
      <c r="Y2900" s="4">
        <v>499</v>
      </c>
      <c r="Z2900" s="4">
        <v>41</v>
      </c>
      <c r="AA2900" s="4">
        <v>43</v>
      </c>
      <c r="AB2900" s="4">
        <v>2</v>
      </c>
      <c r="AC2900" s="4">
        <v>4</v>
      </c>
      <c r="AD2900" s="4">
        <v>127</v>
      </c>
      <c r="AE2900" s="4">
        <v>130</v>
      </c>
      <c r="AF2900" s="4">
        <v>1</v>
      </c>
      <c r="AG2900" s="4">
        <v>3</v>
      </c>
      <c r="AH2900" s="4">
        <v>107</v>
      </c>
      <c r="AI2900" s="4">
        <v>108</v>
      </c>
      <c r="AJ2900" s="4">
        <v>22</v>
      </c>
      <c r="AK2900" s="4">
        <v>24</v>
      </c>
      <c r="AL2900" s="4">
        <v>55</v>
      </c>
      <c r="AM2900" s="4">
        <v>56</v>
      </c>
      <c r="AN2900" s="4">
        <v>0</v>
      </c>
      <c r="AO2900" s="4">
        <v>0</v>
      </c>
      <c r="AP2900" s="4">
        <v>30</v>
      </c>
      <c r="AQ2900" s="4">
        <v>31</v>
      </c>
      <c r="AR2900" s="3" t="s">
        <v>62</v>
      </c>
      <c r="AS2900" s="3" t="s">
        <v>63</v>
      </c>
      <c r="AT2900" s="3" t="s">
        <v>62</v>
      </c>
      <c r="AU2900" s="6" t="str">
        <f>HYPERLINK("http://catalog.hathitrust.org/Record/000132722","HathiTrust Record")</f>
        <v>HathiTrust Record</v>
      </c>
      <c r="AV2900" s="6" t="str">
        <f>HYPERLINK("http://mcgill.on.worldcat.org/oclc/3748698","Catalog Record")</f>
        <v>Catalog Record</v>
      </c>
      <c r="AW2900" s="6" t="str">
        <f>HYPERLINK("http://www.worldcat.org/oclc/3748698","WorldCat Record")</f>
        <v>WorldCat Record</v>
      </c>
      <c r="AX2900" s="3" t="s">
        <v>24258</v>
      </c>
      <c r="AY2900" s="3" t="s">
        <v>24259</v>
      </c>
      <c r="AZ2900" s="3" t="s">
        <v>24260</v>
      </c>
      <c r="BA2900" s="3" t="s">
        <v>24260</v>
      </c>
      <c r="BB2900" s="3" t="s">
        <v>24261</v>
      </c>
      <c r="BC2900" s="3" t="s">
        <v>82</v>
      </c>
      <c r="BD2900" s="3" t="s">
        <v>70</v>
      </c>
      <c r="BE2900" s="3" t="s">
        <v>24262</v>
      </c>
      <c r="BF2900" s="3" t="s">
        <v>24261</v>
      </c>
      <c r="BG2900" s="3" t="s">
        <v>24263</v>
      </c>
    </row>
    <row r="2901" spans="1:59" ht="105" x14ac:dyDescent="0.25">
      <c r="A2901" s="2" t="s">
        <v>59</v>
      </c>
      <c r="B2901" s="2" t="s">
        <v>24284</v>
      </c>
      <c r="C2901" s="2" t="s">
        <v>24285</v>
      </c>
      <c r="D2901" s="2" t="s">
        <v>24286</v>
      </c>
      <c r="E2901" s="2" t="s">
        <v>24287</v>
      </c>
      <c r="G2901" s="3" t="s">
        <v>63</v>
      </c>
      <c r="I2901" s="3" t="s">
        <v>63</v>
      </c>
      <c r="J2901" s="3" t="s">
        <v>63</v>
      </c>
      <c r="K2901" s="3" t="s">
        <v>64</v>
      </c>
      <c r="L2901" s="2" t="s">
        <v>24288</v>
      </c>
      <c r="M2901" s="2" t="s">
        <v>24289</v>
      </c>
      <c r="N2901" s="3" t="s">
        <v>731</v>
      </c>
      <c r="P2901" s="3" t="s">
        <v>548</v>
      </c>
      <c r="R2901" s="3" t="s">
        <v>67</v>
      </c>
      <c r="S2901" s="4">
        <v>4</v>
      </c>
      <c r="T2901" s="4">
        <v>4</v>
      </c>
      <c r="U2901" s="5" t="s">
        <v>12298</v>
      </c>
      <c r="V2901" s="5" t="s">
        <v>12298</v>
      </c>
      <c r="W2901" s="5" t="s">
        <v>69</v>
      </c>
      <c r="X2901" s="5" t="s">
        <v>69</v>
      </c>
      <c r="Y2901" s="4">
        <v>37</v>
      </c>
      <c r="Z2901" s="4">
        <v>4</v>
      </c>
      <c r="AA2901" s="4">
        <v>6</v>
      </c>
      <c r="AB2901" s="4">
        <v>1</v>
      </c>
      <c r="AC2901" s="4">
        <v>1</v>
      </c>
      <c r="AD2901" s="4">
        <v>15</v>
      </c>
      <c r="AE2901" s="4">
        <v>20</v>
      </c>
      <c r="AF2901" s="4">
        <v>0</v>
      </c>
      <c r="AG2901" s="4">
        <v>0</v>
      </c>
      <c r="AH2901" s="4">
        <v>14</v>
      </c>
      <c r="AI2901" s="4">
        <v>18</v>
      </c>
      <c r="AJ2901" s="4">
        <v>2</v>
      </c>
      <c r="AK2901" s="4">
        <v>4</v>
      </c>
      <c r="AL2901" s="4">
        <v>7</v>
      </c>
      <c r="AM2901" s="4">
        <v>9</v>
      </c>
      <c r="AN2901" s="4">
        <v>0</v>
      </c>
      <c r="AO2901" s="4">
        <v>0</v>
      </c>
      <c r="AP2901" s="4">
        <v>2</v>
      </c>
      <c r="AQ2901" s="4">
        <v>4</v>
      </c>
      <c r="AR2901" s="3" t="s">
        <v>63</v>
      </c>
      <c r="AS2901" s="3" t="s">
        <v>63</v>
      </c>
      <c r="AT2901" s="3" t="s">
        <v>63</v>
      </c>
      <c r="AV2901" s="6" t="str">
        <f>HYPERLINK("http://mcgill.on.worldcat.org/oclc/2393081","Catalog Record")</f>
        <v>Catalog Record</v>
      </c>
      <c r="AW2901" s="6" t="str">
        <f>HYPERLINK("http://www.worldcat.org/oclc/2393081","WorldCat Record")</f>
        <v>WorldCat Record</v>
      </c>
      <c r="AX2901" s="3" t="s">
        <v>24290</v>
      </c>
      <c r="AY2901" s="3" t="s">
        <v>24291</v>
      </c>
      <c r="AZ2901" s="3" t="s">
        <v>24292</v>
      </c>
      <c r="BA2901" s="3" t="s">
        <v>24292</v>
      </c>
      <c r="BB2901" s="3" t="s">
        <v>24293</v>
      </c>
      <c r="BC2901" s="3" t="s">
        <v>82</v>
      </c>
      <c r="BD2901" s="3" t="s">
        <v>70</v>
      </c>
      <c r="BF2901" s="3" t="s">
        <v>24293</v>
      </c>
      <c r="BG2901" s="3" t="s">
        <v>24294</v>
      </c>
    </row>
    <row r="2902" spans="1:59" ht="75" x14ac:dyDescent="0.25">
      <c r="A2902" s="2" t="s">
        <v>59</v>
      </c>
      <c r="B2902" s="2" t="s">
        <v>60</v>
      </c>
      <c r="C2902" s="2" t="s">
        <v>24295</v>
      </c>
      <c r="D2902" s="2" t="s">
        <v>24296</v>
      </c>
      <c r="E2902" s="2" t="s">
        <v>24297</v>
      </c>
      <c r="G2902" s="3" t="s">
        <v>63</v>
      </c>
      <c r="I2902" s="3" t="s">
        <v>63</v>
      </c>
      <c r="J2902" s="3" t="s">
        <v>63</v>
      </c>
      <c r="K2902" s="3" t="s">
        <v>64</v>
      </c>
      <c r="L2902" s="2" t="s">
        <v>24298</v>
      </c>
      <c r="M2902" s="2" t="s">
        <v>11769</v>
      </c>
      <c r="N2902" s="3" t="s">
        <v>161</v>
      </c>
      <c r="O2902" s="2" t="s">
        <v>718</v>
      </c>
      <c r="P2902" s="3" t="s">
        <v>66</v>
      </c>
      <c r="R2902" s="3" t="s">
        <v>67</v>
      </c>
      <c r="S2902" s="4">
        <v>9</v>
      </c>
      <c r="T2902" s="4">
        <v>9</v>
      </c>
      <c r="U2902" s="5" t="s">
        <v>14104</v>
      </c>
      <c r="V2902" s="5" t="s">
        <v>14104</v>
      </c>
      <c r="W2902" s="5" t="s">
        <v>69</v>
      </c>
      <c r="X2902" s="5" t="s">
        <v>69</v>
      </c>
      <c r="Y2902" s="4">
        <v>35</v>
      </c>
      <c r="Z2902" s="4">
        <v>3</v>
      </c>
      <c r="AA2902" s="4">
        <v>23</v>
      </c>
      <c r="AB2902" s="4">
        <v>1</v>
      </c>
      <c r="AC2902" s="4">
        <v>2</v>
      </c>
      <c r="AD2902" s="4">
        <v>9</v>
      </c>
      <c r="AE2902" s="4">
        <v>103</v>
      </c>
      <c r="AF2902" s="4">
        <v>0</v>
      </c>
      <c r="AG2902" s="4">
        <v>1</v>
      </c>
      <c r="AH2902" s="4">
        <v>9</v>
      </c>
      <c r="AI2902" s="4">
        <v>93</v>
      </c>
      <c r="AJ2902" s="4">
        <v>1</v>
      </c>
      <c r="AK2902" s="4">
        <v>16</v>
      </c>
      <c r="AL2902" s="4">
        <v>7</v>
      </c>
      <c r="AM2902" s="4">
        <v>52</v>
      </c>
      <c r="AN2902" s="4">
        <v>0</v>
      </c>
      <c r="AO2902" s="4">
        <v>0</v>
      </c>
      <c r="AP2902" s="4">
        <v>1</v>
      </c>
      <c r="AQ2902" s="4">
        <v>17</v>
      </c>
      <c r="AR2902" s="3" t="s">
        <v>63</v>
      </c>
      <c r="AS2902" s="3" t="s">
        <v>63</v>
      </c>
      <c r="AT2902" s="3" t="s">
        <v>62</v>
      </c>
      <c r="AU2902" s="6" t="str">
        <f>HYPERLINK("http://catalog.hathitrust.org/Record/007021885","HathiTrust Record")</f>
        <v>HathiTrust Record</v>
      </c>
      <c r="AV2902" s="6" t="str">
        <f>HYPERLINK("http://mcgill.on.worldcat.org/oclc/18815973","Catalog Record")</f>
        <v>Catalog Record</v>
      </c>
      <c r="AW2902" s="6" t="str">
        <f>HYPERLINK("http://www.worldcat.org/oclc/18815973","WorldCat Record")</f>
        <v>WorldCat Record</v>
      </c>
      <c r="AX2902" s="3" t="s">
        <v>24299</v>
      </c>
      <c r="AY2902" s="3" t="s">
        <v>24300</v>
      </c>
      <c r="AZ2902" s="3" t="s">
        <v>24301</v>
      </c>
      <c r="BA2902" s="3" t="s">
        <v>24301</v>
      </c>
      <c r="BB2902" s="3" t="s">
        <v>24302</v>
      </c>
      <c r="BC2902" s="3" t="s">
        <v>82</v>
      </c>
      <c r="BD2902" s="3" t="s">
        <v>70</v>
      </c>
      <c r="BE2902" s="3" t="s">
        <v>24303</v>
      </c>
      <c r="BF2902" s="3" t="s">
        <v>24302</v>
      </c>
      <c r="BG2902" s="3" t="s">
        <v>24304</v>
      </c>
    </row>
    <row r="2903" spans="1:59" ht="60" x14ac:dyDescent="0.25">
      <c r="A2903" s="2" t="s">
        <v>59</v>
      </c>
      <c r="B2903" s="2" t="s">
        <v>60</v>
      </c>
      <c r="C2903" s="2" t="s">
        <v>24305</v>
      </c>
      <c r="D2903" s="2" t="s">
        <v>24306</v>
      </c>
      <c r="E2903" s="2" t="s">
        <v>24307</v>
      </c>
      <c r="G2903" s="3" t="s">
        <v>63</v>
      </c>
      <c r="I2903" s="3" t="s">
        <v>63</v>
      </c>
      <c r="J2903" s="3" t="s">
        <v>63</v>
      </c>
      <c r="K2903" s="3" t="s">
        <v>64</v>
      </c>
      <c r="L2903" s="2" t="s">
        <v>23321</v>
      </c>
      <c r="M2903" s="2" t="s">
        <v>8897</v>
      </c>
      <c r="N2903" s="3" t="s">
        <v>918</v>
      </c>
      <c r="O2903" s="2" t="s">
        <v>24308</v>
      </c>
      <c r="P2903" s="3" t="s">
        <v>66</v>
      </c>
      <c r="R2903" s="3" t="s">
        <v>67</v>
      </c>
      <c r="S2903" s="4">
        <v>4</v>
      </c>
      <c r="T2903" s="4">
        <v>4</v>
      </c>
      <c r="U2903" s="5" t="s">
        <v>23198</v>
      </c>
      <c r="V2903" s="5" t="s">
        <v>23198</v>
      </c>
      <c r="W2903" s="5" t="s">
        <v>69</v>
      </c>
      <c r="X2903" s="5" t="s">
        <v>69</v>
      </c>
      <c r="Y2903" s="4">
        <v>609</v>
      </c>
      <c r="Z2903" s="4">
        <v>12</v>
      </c>
      <c r="AA2903" s="4">
        <v>27</v>
      </c>
      <c r="AB2903" s="4">
        <v>2</v>
      </c>
      <c r="AC2903" s="4">
        <v>2</v>
      </c>
      <c r="AD2903" s="4">
        <v>87</v>
      </c>
      <c r="AE2903" s="4">
        <v>116</v>
      </c>
      <c r="AF2903" s="4">
        <v>0</v>
      </c>
      <c r="AG2903" s="4">
        <v>0</v>
      </c>
      <c r="AH2903" s="4">
        <v>82</v>
      </c>
      <c r="AI2903" s="4">
        <v>101</v>
      </c>
      <c r="AJ2903" s="4">
        <v>6</v>
      </c>
      <c r="AK2903" s="4">
        <v>15</v>
      </c>
      <c r="AL2903" s="4">
        <v>45</v>
      </c>
      <c r="AM2903" s="4">
        <v>58</v>
      </c>
      <c r="AN2903" s="4">
        <v>0</v>
      </c>
      <c r="AO2903" s="4">
        <v>0</v>
      </c>
      <c r="AP2903" s="4">
        <v>7</v>
      </c>
      <c r="AQ2903" s="4">
        <v>18</v>
      </c>
      <c r="AR2903" s="3" t="s">
        <v>63</v>
      </c>
      <c r="AS2903" s="3" t="s">
        <v>63</v>
      </c>
      <c r="AT2903" s="3" t="s">
        <v>62</v>
      </c>
      <c r="AU2903" s="6" t="str">
        <f>HYPERLINK("http://catalog.hathitrust.org/Record/000980956","HathiTrust Record")</f>
        <v>HathiTrust Record</v>
      </c>
      <c r="AV2903" s="6" t="str">
        <f>HYPERLINK("http://mcgill.on.worldcat.org/oclc/712580","Catalog Record")</f>
        <v>Catalog Record</v>
      </c>
      <c r="AW2903" s="6" t="str">
        <f>HYPERLINK("http://www.worldcat.org/oclc/712580","WorldCat Record")</f>
        <v>WorldCat Record</v>
      </c>
      <c r="AX2903" s="3" t="s">
        <v>24309</v>
      </c>
      <c r="AY2903" s="3" t="s">
        <v>24310</v>
      </c>
      <c r="AZ2903" s="3" t="s">
        <v>24311</v>
      </c>
      <c r="BA2903" s="3" t="s">
        <v>24311</v>
      </c>
      <c r="BB2903" s="3" t="s">
        <v>24312</v>
      </c>
      <c r="BC2903" s="3" t="s">
        <v>82</v>
      </c>
      <c r="BD2903" s="3" t="s">
        <v>70</v>
      </c>
      <c r="BF2903" s="3" t="s">
        <v>24312</v>
      </c>
      <c r="BG2903" s="3" t="s">
        <v>24313</v>
      </c>
    </row>
    <row r="2904" spans="1:59" ht="60" x14ac:dyDescent="0.25">
      <c r="A2904" s="2" t="s">
        <v>59</v>
      </c>
      <c r="B2904" s="2" t="s">
        <v>60</v>
      </c>
      <c r="C2904" s="2" t="s">
        <v>24314</v>
      </c>
      <c r="D2904" s="2" t="s">
        <v>24315</v>
      </c>
      <c r="E2904" s="2" t="s">
        <v>24316</v>
      </c>
      <c r="G2904" s="3" t="s">
        <v>63</v>
      </c>
      <c r="I2904" s="3" t="s">
        <v>63</v>
      </c>
      <c r="J2904" s="3" t="s">
        <v>63</v>
      </c>
      <c r="K2904" s="3" t="s">
        <v>64</v>
      </c>
      <c r="L2904" s="2" t="s">
        <v>23321</v>
      </c>
      <c r="M2904" s="2" t="s">
        <v>24317</v>
      </c>
      <c r="N2904" s="3" t="s">
        <v>743</v>
      </c>
      <c r="P2904" s="3" t="s">
        <v>66</v>
      </c>
      <c r="R2904" s="3" t="s">
        <v>67</v>
      </c>
      <c r="S2904" s="4">
        <v>8</v>
      </c>
      <c r="T2904" s="4">
        <v>8</v>
      </c>
      <c r="U2904" s="5" t="s">
        <v>3466</v>
      </c>
      <c r="V2904" s="5" t="s">
        <v>3466</v>
      </c>
      <c r="W2904" s="5" t="s">
        <v>69</v>
      </c>
      <c r="X2904" s="5" t="s">
        <v>69</v>
      </c>
      <c r="Y2904" s="4">
        <v>137</v>
      </c>
      <c r="Z2904" s="4">
        <v>7</v>
      </c>
      <c r="AA2904" s="4">
        <v>15</v>
      </c>
      <c r="AB2904" s="4">
        <v>1</v>
      </c>
      <c r="AC2904" s="4">
        <v>1</v>
      </c>
      <c r="AD2904" s="4">
        <v>51</v>
      </c>
      <c r="AE2904" s="4">
        <v>82</v>
      </c>
      <c r="AF2904" s="4">
        <v>0</v>
      </c>
      <c r="AG2904" s="4">
        <v>0</v>
      </c>
      <c r="AH2904" s="4">
        <v>46</v>
      </c>
      <c r="AI2904" s="4">
        <v>75</v>
      </c>
      <c r="AJ2904" s="4">
        <v>5</v>
      </c>
      <c r="AK2904" s="4">
        <v>9</v>
      </c>
      <c r="AL2904" s="4">
        <v>32</v>
      </c>
      <c r="AM2904" s="4">
        <v>45</v>
      </c>
      <c r="AN2904" s="4">
        <v>0</v>
      </c>
      <c r="AO2904" s="4">
        <v>0</v>
      </c>
      <c r="AP2904" s="4">
        <v>4</v>
      </c>
      <c r="AQ2904" s="4">
        <v>9</v>
      </c>
      <c r="AR2904" s="3" t="s">
        <v>63</v>
      </c>
      <c r="AS2904" s="3" t="s">
        <v>63</v>
      </c>
      <c r="AT2904" s="3" t="s">
        <v>62</v>
      </c>
      <c r="AU2904" s="6" t="str">
        <f>HYPERLINK("http://catalog.hathitrust.org/Record/001227839","HathiTrust Record")</f>
        <v>HathiTrust Record</v>
      </c>
      <c r="AV2904" s="6" t="str">
        <f>HYPERLINK("http://mcgill.on.worldcat.org/oclc/549048","Catalog Record")</f>
        <v>Catalog Record</v>
      </c>
      <c r="AW2904" s="6" t="str">
        <f>HYPERLINK("http://www.worldcat.org/oclc/549048","WorldCat Record")</f>
        <v>WorldCat Record</v>
      </c>
      <c r="AX2904" s="3" t="s">
        <v>24318</v>
      </c>
      <c r="AY2904" s="3" t="s">
        <v>24319</v>
      </c>
      <c r="AZ2904" s="3" t="s">
        <v>24320</v>
      </c>
      <c r="BA2904" s="3" t="s">
        <v>24320</v>
      </c>
      <c r="BB2904" s="3" t="s">
        <v>24321</v>
      </c>
      <c r="BC2904" s="3" t="s">
        <v>82</v>
      </c>
      <c r="BD2904" s="3" t="s">
        <v>70</v>
      </c>
      <c r="BE2904" s="3" t="s">
        <v>24322</v>
      </c>
      <c r="BF2904" s="3" t="s">
        <v>24321</v>
      </c>
      <c r="BG2904" s="3" t="s">
        <v>24323</v>
      </c>
    </row>
    <row r="2905" spans="1:59" ht="75" x14ac:dyDescent="0.25">
      <c r="A2905" s="2" t="s">
        <v>59</v>
      </c>
      <c r="B2905" s="2" t="s">
        <v>60</v>
      </c>
      <c r="C2905" s="2" t="s">
        <v>24324</v>
      </c>
      <c r="D2905" s="2" t="s">
        <v>24325</v>
      </c>
      <c r="E2905" s="2" t="s">
        <v>24326</v>
      </c>
      <c r="G2905" s="3" t="s">
        <v>63</v>
      </c>
      <c r="I2905" s="3" t="s">
        <v>63</v>
      </c>
      <c r="J2905" s="3" t="s">
        <v>63</v>
      </c>
      <c r="K2905" s="3" t="s">
        <v>64</v>
      </c>
      <c r="L2905" s="2" t="s">
        <v>24327</v>
      </c>
      <c r="M2905" s="2" t="s">
        <v>24328</v>
      </c>
      <c r="N2905" s="3" t="s">
        <v>427</v>
      </c>
      <c r="P2905" s="3" t="s">
        <v>66</v>
      </c>
      <c r="R2905" s="3" t="s">
        <v>67</v>
      </c>
      <c r="S2905" s="4">
        <v>3</v>
      </c>
      <c r="T2905" s="4">
        <v>3</v>
      </c>
      <c r="U2905" s="5" t="s">
        <v>3466</v>
      </c>
      <c r="V2905" s="5" t="s">
        <v>3466</v>
      </c>
      <c r="W2905" s="5" t="s">
        <v>69</v>
      </c>
      <c r="X2905" s="5" t="s">
        <v>69</v>
      </c>
      <c r="Y2905" s="4">
        <v>382</v>
      </c>
      <c r="Z2905" s="4">
        <v>21</v>
      </c>
      <c r="AA2905" s="4">
        <v>21</v>
      </c>
      <c r="AB2905" s="4">
        <v>1</v>
      </c>
      <c r="AC2905" s="4">
        <v>1</v>
      </c>
      <c r="AD2905" s="4">
        <v>108</v>
      </c>
      <c r="AE2905" s="4">
        <v>108</v>
      </c>
      <c r="AF2905" s="4">
        <v>0</v>
      </c>
      <c r="AG2905" s="4">
        <v>0</v>
      </c>
      <c r="AH2905" s="4">
        <v>96</v>
      </c>
      <c r="AI2905" s="4">
        <v>96</v>
      </c>
      <c r="AJ2905" s="4">
        <v>13</v>
      </c>
      <c r="AK2905" s="4">
        <v>13</v>
      </c>
      <c r="AL2905" s="4">
        <v>56</v>
      </c>
      <c r="AM2905" s="4">
        <v>56</v>
      </c>
      <c r="AN2905" s="4">
        <v>0</v>
      </c>
      <c r="AO2905" s="4">
        <v>0</v>
      </c>
      <c r="AP2905" s="4">
        <v>16</v>
      </c>
      <c r="AQ2905" s="4">
        <v>16</v>
      </c>
      <c r="AR2905" s="3" t="s">
        <v>63</v>
      </c>
      <c r="AS2905" s="3" t="s">
        <v>63</v>
      </c>
      <c r="AT2905" s="3" t="s">
        <v>62</v>
      </c>
      <c r="AU2905" s="6" t="str">
        <f>HYPERLINK("http://catalog.hathitrust.org/Record/000918945","HathiTrust Record")</f>
        <v>HathiTrust Record</v>
      </c>
      <c r="AV2905" s="6" t="str">
        <f>HYPERLINK("http://mcgill.on.worldcat.org/oclc/17841873","Catalog Record")</f>
        <v>Catalog Record</v>
      </c>
      <c r="AW2905" s="6" t="str">
        <f>HYPERLINK("http://www.worldcat.org/oclc/17841873","WorldCat Record")</f>
        <v>WorldCat Record</v>
      </c>
      <c r="AX2905" s="3" t="s">
        <v>24329</v>
      </c>
      <c r="AY2905" s="3" t="s">
        <v>24330</v>
      </c>
      <c r="AZ2905" s="3" t="s">
        <v>24331</v>
      </c>
      <c r="BA2905" s="3" t="s">
        <v>24331</v>
      </c>
      <c r="BB2905" s="3" t="s">
        <v>24332</v>
      </c>
      <c r="BC2905" s="3" t="s">
        <v>82</v>
      </c>
      <c r="BD2905" s="3" t="s">
        <v>70</v>
      </c>
      <c r="BE2905" s="3" t="s">
        <v>24333</v>
      </c>
      <c r="BF2905" s="3" t="s">
        <v>24332</v>
      </c>
      <c r="BG2905" s="3" t="s">
        <v>24334</v>
      </c>
    </row>
    <row r="2906" spans="1:59" ht="60" x14ac:dyDescent="0.25">
      <c r="A2906" s="2" t="s">
        <v>59</v>
      </c>
      <c r="B2906" s="2" t="s">
        <v>60</v>
      </c>
      <c r="C2906" s="2" t="s">
        <v>24335</v>
      </c>
      <c r="D2906" s="2" t="s">
        <v>24336</v>
      </c>
      <c r="E2906" s="2" t="s">
        <v>24337</v>
      </c>
      <c r="G2906" s="3" t="s">
        <v>63</v>
      </c>
      <c r="I2906" s="3" t="s">
        <v>63</v>
      </c>
      <c r="J2906" s="3" t="s">
        <v>62</v>
      </c>
      <c r="K2906" s="3" t="s">
        <v>64</v>
      </c>
      <c r="L2906" s="2" t="s">
        <v>23321</v>
      </c>
      <c r="M2906" s="2" t="s">
        <v>4552</v>
      </c>
      <c r="N2906" s="3" t="s">
        <v>313</v>
      </c>
      <c r="P2906" s="3" t="s">
        <v>90</v>
      </c>
      <c r="R2906" s="3" t="s">
        <v>67</v>
      </c>
      <c r="S2906" s="4">
        <v>0</v>
      </c>
      <c r="T2906" s="4">
        <v>0</v>
      </c>
      <c r="W2906" s="5" t="s">
        <v>69</v>
      </c>
      <c r="X2906" s="5" t="s">
        <v>69</v>
      </c>
      <c r="Y2906" s="4">
        <v>15</v>
      </c>
      <c r="Z2906" s="4">
        <v>1</v>
      </c>
      <c r="AA2906" s="4">
        <v>15</v>
      </c>
      <c r="AB2906" s="4">
        <v>1</v>
      </c>
      <c r="AC2906" s="4">
        <v>1</v>
      </c>
      <c r="AD2906" s="4">
        <v>7</v>
      </c>
      <c r="AE2906" s="4">
        <v>72</v>
      </c>
      <c r="AF2906" s="4">
        <v>0</v>
      </c>
      <c r="AG2906" s="4">
        <v>0</v>
      </c>
      <c r="AH2906" s="4">
        <v>6</v>
      </c>
      <c r="AI2906" s="4">
        <v>66</v>
      </c>
      <c r="AJ2906" s="4">
        <v>0</v>
      </c>
      <c r="AK2906" s="4">
        <v>11</v>
      </c>
      <c r="AL2906" s="4">
        <v>6</v>
      </c>
      <c r="AM2906" s="4">
        <v>43</v>
      </c>
      <c r="AN2906" s="4">
        <v>0</v>
      </c>
      <c r="AO2906" s="4">
        <v>0</v>
      </c>
      <c r="AP2906" s="4">
        <v>0</v>
      </c>
      <c r="AQ2906" s="4">
        <v>11</v>
      </c>
      <c r="AR2906" s="3" t="s">
        <v>63</v>
      </c>
      <c r="AS2906" s="3" t="s">
        <v>63</v>
      </c>
      <c r="AT2906" s="3" t="s">
        <v>63</v>
      </c>
      <c r="AV2906" s="6" t="str">
        <f>HYPERLINK("http://mcgill.on.worldcat.org/oclc/670281273","Catalog Record")</f>
        <v>Catalog Record</v>
      </c>
      <c r="AW2906" s="6" t="str">
        <f>HYPERLINK("http://www.worldcat.org/oclc/670281273","WorldCat Record")</f>
        <v>WorldCat Record</v>
      </c>
      <c r="AX2906" s="3" t="s">
        <v>24338</v>
      </c>
      <c r="AY2906" s="3" t="s">
        <v>24339</v>
      </c>
      <c r="AZ2906" s="3" t="s">
        <v>24340</v>
      </c>
      <c r="BA2906" s="3" t="s">
        <v>24340</v>
      </c>
      <c r="BB2906" s="3" t="s">
        <v>24341</v>
      </c>
      <c r="BC2906" s="3" t="s">
        <v>82</v>
      </c>
      <c r="BD2906" s="3" t="s">
        <v>70</v>
      </c>
      <c r="BE2906" s="3" t="s">
        <v>24342</v>
      </c>
      <c r="BF2906" s="3" t="s">
        <v>24341</v>
      </c>
      <c r="BG2906" s="3" t="s">
        <v>24343</v>
      </c>
    </row>
    <row r="2907" spans="1:59" ht="60" x14ac:dyDescent="0.25">
      <c r="A2907" s="2" t="s">
        <v>59</v>
      </c>
      <c r="B2907" s="2" t="s">
        <v>60</v>
      </c>
      <c r="C2907" s="2" t="s">
        <v>24344</v>
      </c>
      <c r="D2907" s="2" t="s">
        <v>24345</v>
      </c>
      <c r="E2907" s="2" t="s">
        <v>24346</v>
      </c>
      <c r="G2907" s="3" t="s">
        <v>63</v>
      </c>
      <c r="I2907" s="3" t="s">
        <v>63</v>
      </c>
      <c r="J2907" s="3" t="s">
        <v>63</v>
      </c>
      <c r="K2907" s="3" t="s">
        <v>64</v>
      </c>
      <c r="L2907" s="2" t="s">
        <v>23321</v>
      </c>
      <c r="M2907" s="2" t="s">
        <v>24347</v>
      </c>
      <c r="N2907" s="3" t="s">
        <v>2951</v>
      </c>
      <c r="P2907" s="3" t="s">
        <v>548</v>
      </c>
      <c r="Q2907" s="2" t="s">
        <v>24348</v>
      </c>
      <c r="R2907" s="3" t="s">
        <v>67</v>
      </c>
      <c r="S2907" s="4">
        <v>1</v>
      </c>
      <c r="T2907" s="4">
        <v>1</v>
      </c>
      <c r="U2907" s="5" t="s">
        <v>3466</v>
      </c>
      <c r="V2907" s="5" t="s">
        <v>3466</v>
      </c>
      <c r="W2907" s="5" t="s">
        <v>69</v>
      </c>
      <c r="X2907" s="5" t="s">
        <v>69</v>
      </c>
      <c r="Y2907" s="4">
        <v>9</v>
      </c>
      <c r="Z2907" s="4">
        <v>3</v>
      </c>
      <c r="AA2907" s="4">
        <v>5</v>
      </c>
      <c r="AB2907" s="4">
        <v>1</v>
      </c>
      <c r="AC2907" s="4">
        <v>2</v>
      </c>
      <c r="AD2907" s="4">
        <v>1</v>
      </c>
      <c r="AE2907" s="4">
        <v>5</v>
      </c>
      <c r="AF2907" s="4">
        <v>0</v>
      </c>
      <c r="AG2907" s="4">
        <v>1</v>
      </c>
      <c r="AH2907" s="4">
        <v>1</v>
      </c>
      <c r="AI2907" s="4">
        <v>4</v>
      </c>
      <c r="AJ2907" s="4">
        <v>1</v>
      </c>
      <c r="AK2907" s="4">
        <v>3</v>
      </c>
      <c r="AL2907" s="4">
        <v>1</v>
      </c>
      <c r="AM2907" s="4">
        <v>3</v>
      </c>
      <c r="AN2907" s="4">
        <v>0</v>
      </c>
      <c r="AO2907" s="4">
        <v>0</v>
      </c>
      <c r="AP2907" s="4">
        <v>1</v>
      </c>
      <c r="AQ2907" s="4">
        <v>3</v>
      </c>
      <c r="AR2907" s="3" t="s">
        <v>63</v>
      </c>
      <c r="AS2907" s="3" t="s">
        <v>63</v>
      </c>
      <c r="AT2907" s="3" t="s">
        <v>63</v>
      </c>
      <c r="AV2907" s="6" t="str">
        <f>HYPERLINK("http://mcgill.on.worldcat.org/oclc/8135403","Catalog Record")</f>
        <v>Catalog Record</v>
      </c>
      <c r="AW2907" s="6" t="str">
        <f>HYPERLINK("http://www.worldcat.org/oclc/8135403","WorldCat Record")</f>
        <v>WorldCat Record</v>
      </c>
      <c r="AX2907" s="3" t="s">
        <v>24349</v>
      </c>
      <c r="AY2907" s="3" t="s">
        <v>24350</v>
      </c>
      <c r="AZ2907" s="3" t="s">
        <v>24351</v>
      </c>
      <c r="BA2907" s="3" t="s">
        <v>24351</v>
      </c>
      <c r="BB2907" s="3" t="s">
        <v>24352</v>
      </c>
      <c r="BC2907" s="3" t="s">
        <v>82</v>
      </c>
      <c r="BD2907" s="3" t="s">
        <v>70</v>
      </c>
      <c r="BF2907" s="3" t="s">
        <v>24352</v>
      </c>
      <c r="BG2907" s="3" t="s">
        <v>24353</v>
      </c>
    </row>
    <row r="2908" spans="1:59" ht="60" x14ac:dyDescent="0.25">
      <c r="A2908" s="2" t="s">
        <v>59</v>
      </c>
      <c r="B2908" s="2" t="s">
        <v>60</v>
      </c>
      <c r="C2908" s="2" t="s">
        <v>24354</v>
      </c>
      <c r="D2908" s="2" t="s">
        <v>24355</v>
      </c>
      <c r="E2908" s="2" t="s">
        <v>24356</v>
      </c>
      <c r="G2908" s="3" t="s">
        <v>63</v>
      </c>
      <c r="I2908" s="3" t="s">
        <v>63</v>
      </c>
      <c r="J2908" s="3" t="s">
        <v>63</v>
      </c>
      <c r="K2908" s="3" t="s">
        <v>64</v>
      </c>
      <c r="L2908" s="2" t="s">
        <v>24357</v>
      </c>
      <c r="M2908" s="2" t="s">
        <v>24358</v>
      </c>
      <c r="N2908" s="3" t="s">
        <v>143</v>
      </c>
      <c r="P2908" s="3" t="s">
        <v>90</v>
      </c>
      <c r="Q2908" s="2" t="s">
        <v>24359</v>
      </c>
      <c r="R2908" s="3" t="s">
        <v>67</v>
      </c>
      <c r="S2908" s="4">
        <v>1</v>
      </c>
      <c r="T2908" s="4">
        <v>1</v>
      </c>
      <c r="W2908" s="5" t="s">
        <v>69</v>
      </c>
      <c r="X2908" s="5" t="s">
        <v>69</v>
      </c>
      <c r="Y2908" s="4">
        <v>2</v>
      </c>
      <c r="Z2908" s="4">
        <v>1</v>
      </c>
      <c r="AA2908" s="4">
        <v>1</v>
      </c>
      <c r="AB2908" s="4">
        <v>1</v>
      </c>
      <c r="AC2908" s="4">
        <v>1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3" t="s">
        <v>63</v>
      </c>
      <c r="AS2908" s="3" t="s">
        <v>63</v>
      </c>
      <c r="AT2908" s="3" t="s">
        <v>63</v>
      </c>
      <c r="AV2908" s="6" t="str">
        <f>HYPERLINK("http://mcgill.on.worldcat.org/oclc/905350814","Catalog Record")</f>
        <v>Catalog Record</v>
      </c>
      <c r="AW2908" s="6" t="str">
        <f>HYPERLINK("http://www.worldcat.org/oclc/905350814","WorldCat Record")</f>
        <v>WorldCat Record</v>
      </c>
      <c r="AX2908" s="3" t="s">
        <v>24360</v>
      </c>
      <c r="AY2908" s="3" t="s">
        <v>24361</v>
      </c>
      <c r="AZ2908" s="3" t="s">
        <v>24362</v>
      </c>
      <c r="BA2908" s="3" t="s">
        <v>24362</v>
      </c>
      <c r="BB2908" s="3" t="s">
        <v>24363</v>
      </c>
      <c r="BC2908" s="3" t="s">
        <v>82</v>
      </c>
      <c r="BD2908" s="3" t="s">
        <v>538</v>
      </c>
      <c r="BE2908" s="3" t="s">
        <v>24364</v>
      </c>
      <c r="BF2908" s="3" t="s">
        <v>24363</v>
      </c>
      <c r="BG2908" s="3" t="s">
        <v>24365</v>
      </c>
    </row>
    <row r="2909" spans="1:59" ht="75" x14ac:dyDescent="0.25">
      <c r="A2909" s="2" t="s">
        <v>59</v>
      </c>
      <c r="B2909" s="2" t="s">
        <v>60</v>
      </c>
      <c r="C2909" s="2" t="s">
        <v>24366</v>
      </c>
      <c r="D2909" s="2" t="s">
        <v>24367</v>
      </c>
      <c r="E2909" s="2" t="s">
        <v>24368</v>
      </c>
      <c r="G2909" s="3" t="s">
        <v>63</v>
      </c>
      <c r="I2909" s="3" t="s">
        <v>63</v>
      </c>
      <c r="J2909" s="3" t="s">
        <v>63</v>
      </c>
      <c r="K2909" s="3" t="s">
        <v>64</v>
      </c>
      <c r="L2909" s="2" t="s">
        <v>24369</v>
      </c>
      <c r="M2909" s="2" t="s">
        <v>24370</v>
      </c>
      <c r="N2909" s="3" t="s">
        <v>190</v>
      </c>
      <c r="P2909" s="3" t="s">
        <v>66</v>
      </c>
      <c r="R2909" s="3" t="s">
        <v>67</v>
      </c>
      <c r="S2909" s="4">
        <v>4</v>
      </c>
      <c r="T2909" s="4">
        <v>4</v>
      </c>
      <c r="U2909" s="5" t="s">
        <v>22463</v>
      </c>
      <c r="V2909" s="5" t="s">
        <v>22463</v>
      </c>
      <c r="W2909" s="5" t="s">
        <v>69</v>
      </c>
      <c r="X2909" s="5" t="s">
        <v>69</v>
      </c>
      <c r="Y2909" s="4">
        <v>310</v>
      </c>
      <c r="Z2909" s="4">
        <v>14</v>
      </c>
      <c r="AA2909" s="4">
        <v>108</v>
      </c>
      <c r="AB2909" s="4">
        <v>1</v>
      </c>
      <c r="AC2909" s="4">
        <v>18</v>
      </c>
      <c r="AD2909" s="4">
        <v>96</v>
      </c>
      <c r="AE2909" s="4">
        <v>142</v>
      </c>
      <c r="AF2909" s="4">
        <v>0</v>
      </c>
      <c r="AG2909" s="4">
        <v>8</v>
      </c>
      <c r="AH2909" s="4">
        <v>88</v>
      </c>
      <c r="AI2909" s="4">
        <v>103</v>
      </c>
      <c r="AJ2909" s="4">
        <v>9</v>
      </c>
      <c r="AK2909" s="4">
        <v>23</v>
      </c>
      <c r="AL2909" s="4">
        <v>54</v>
      </c>
      <c r="AM2909" s="4">
        <v>58</v>
      </c>
      <c r="AN2909" s="4">
        <v>0</v>
      </c>
      <c r="AO2909" s="4">
        <v>0</v>
      </c>
      <c r="AP2909" s="4">
        <v>9</v>
      </c>
      <c r="AQ2909" s="4">
        <v>45</v>
      </c>
      <c r="AR2909" s="3" t="s">
        <v>63</v>
      </c>
      <c r="AS2909" s="3" t="s">
        <v>63</v>
      </c>
      <c r="AT2909" s="3" t="s">
        <v>63</v>
      </c>
      <c r="AV2909" s="6" t="str">
        <f>HYPERLINK("http://mcgill.on.worldcat.org/oclc/56880283","Catalog Record")</f>
        <v>Catalog Record</v>
      </c>
      <c r="AW2909" s="6" t="str">
        <f>HYPERLINK("http://www.worldcat.org/oclc/56880283","WorldCat Record")</f>
        <v>WorldCat Record</v>
      </c>
      <c r="AX2909" s="3" t="s">
        <v>24371</v>
      </c>
      <c r="AY2909" s="3" t="s">
        <v>24372</v>
      </c>
      <c r="AZ2909" s="3" t="s">
        <v>24373</v>
      </c>
      <c r="BA2909" s="3" t="s">
        <v>24373</v>
      </c>
      <c r="BB2909" s="3" t="s">
        <v>24374</v>
      </c>
      <c r="BC2909" s="3" t="s">
        <v>82</v>
      </c>
      <c r="BD2909" s="3" t="s">
        <v>70</v>
      </c>
      <c r="BE2909" s="3" t="s">
        <v>24375</v>
      </c>
      <c r="BF2909" s="3" t="s">
        <v>24374</v>
      </c>
      <c r="BG2909" s="3" t="s">
        <v>24376</v>
      </c>
    </row>
    <row r="2910" spans="1:59" ht="75" x14ac:dyDescent="0.25">
      <c r="A2910" s="2" t="s">
        <v>59</v>
      </c>
      <c r="B2910" s="2" t="s">
        <v>60</v>
      </c>
      <c r="C2910" s="2" t="s">
        <v>24377</v>
      </c>
      <c r="D2910" s="2" t="s">
        <v>24378</v>
      </c>
      <c r="E2910" s="2" t="s">
        <v>24379</v>
      </c>
      <c r="G2910" s="3" t="s">
        <v>63</v>
      </c>
      <c r="I2910" s="3" t="s">
        <v>63</v>
      </c>
      <c r="J2910" s="3" t="s">
        <v>63</v>
      </c>
      <c r="K2910" s="3" t="s">
        <v>64</v>
      </c>
      <c r="L2910" s="2" t="s">
        <v>24380</v>
      </c>
      <c r="M2910" s="2" t="s">
        <v>24381</v>
      </c>
      <c r="N2910" s="3" t="s">
        <v>480</v>
      </c>
      <c r="P2910" s="3" t="s">
        <v>90</v>
      </c>
      <c r="R2910" s="3" t="s">
        <v>67</v>
      </c>
      <c r="S2910" s="4">
        <v>4</v>
      </c>
      <c r="T2910" s="4">
        <v>4</v>
      </c>
      <c r="U2910" s="5" t="s">
        <v>8116</v>
      </c>
      <c r="V2910" s="5" t="s">
        <v>8116</v>
      </c>
      <c r="W2910" s="5" t="s">
        <v>69</v>
      </c>
      <c r="X2910" s="5" t="s">
        <v>69</v>
      </c>
      <c r="Y2910" s="4">
        <v>83</v>
      </c>
      <c r="Z2910" s="4">
        <v>7</v>
      </c>
      <c r="AA2910" s="4">
        <v>8</v>
      </c>
      <c r="AB2910" s="4">
        <v>1</v>
      </c>
      <c r="AC2910" s="4">
        <v>2</v>
      </c>
      <c r="AD2910" s="4">
        <v>37</v>
      </c>
      <c r="AE2910" s="4">
        <v>38</v>
      </c>
      <c r="AF2910" s="4">
        <v>0</v>
      </c>
      <c r="AG2910" s="4">
        <v>1</v>
      </c>
      <c r="AH2910" s="4">
        <v>35</v>
      </c>
      <c r="AI2910" s="4">
        <v>35</v>
      </c>
      <c r="AJ2910" s="4">
        <v>5</v>
      </c>
      <c r="AK2910" s="4">
        <v>6</v>
      </c>
      <c r="AL2910" s="4">
        <v>24</v>
      </c>
      <c r="AM2910" s="4">
        <v>24</v>
      </c>
      <c r="AN2910" s="4">
        <v>0</v>
      </c>
      <c r="AO2910" s="4">
        <v>0</v>
      </c>
      <c r="AP2910" s="4">
        <v>5</v>
      </c>
      <c r="AQ2910" s="4">
        <v>5</v>
      </c>
      <c r="AR2910" s="3" t="s">
        <v>63</v>
      </c>
      <c r="AS2910" s="3" t="s">
        <v>63</v>
      </c>
      <c r="AT2910" s="3" t="s">
        <v>62</v>
      </c>
      <c r="AU2910" s="6" t="str">
        <f>HYPERLINK("http://catalog.hathitrust.org/Record/003139350","HathiTrust Record")</f>
        <v>HathiTrust Record</v>
      </c>
      <c r="AV2910" s="6" t="str">
        <f>HYPERLINK("http://mcgill.on.worldcat.org/oclc/26055562","Catalog Record")</f>
        <v>Catalog Record</v>
      </c>
      <c r="AW2910" s="6" t="str">
        <f>HYPERLINK("http://www.worldcat.org/oclc/26055562","WorldCat Record")</f>
        <v>WorldCat Record</v>
      </c>
      <c r="AX2910" s="3" t="s">
        <v>24382</v>
      </c>
      <c r="AY2910" s="3" t="s">
        <v>24383</v>
      </c>
      <c r="AZ2910" s="3" t="s">
        <v>24384</v>
      </c>
      <c r="BA2910" s="3" t="s">
        <v>24384</v>
      </c>
      <c r="BB2910" s="3" t="s">
        <v>24385</v>
      </c>
      <c r="BC2910" s="3" t="s">
        <v>82</v>
      </c>
      <c r="BD2910" s="3" t="s">
        <v>70</v>
      </c>
      <c r="BE2910" s="3" t="s">
        <v>24386</v>
      </c>
      <c r="BF2910" s="3" t="s">
        <v>24385</v>
      </c>
      <c r="BG2910" s="3" t="s">
        <v>24387</v>
      </c>
    </row>
    <row r="2911" spans="1:59" ht="60" x14ac:dyDescent="0.25">
      <c r="A2911" s="2" t="s">
        <v>59</v>
      </c>
      <c r="B2911" s="2" t="s">
        <v>60</v>
      </c>
      <c r="C2911" s="2" t="s">
        <v>24388</v>
      </c>
      <c r="D2911" s="2" t="s">
        <v>24389</v>
      </c>
      <c r="E2911" s="2" t="s">
        <v>24390</v>
      </c>
      <c r="G2911" s="3" t="s">
        <v>63</v>
      </c>
      <c r="I2911" s="3" t="s">
        <v>63</v>
      </c>
      <c r="J2911" s="3" t="s">
        <v>63</v>
      </c>
      <c r="K2911" s="3" t="s">
        <v>64</v>
      </c>
      <c r="L2911" s="2" t="s">
        <v>24391</v>
      </c>
      <c r="M2911" s="2" t="s">
        <v>24392</v>
      </c>
      <c r="N2911" s="3" t="s">
        <v>76</v>
      </c>
      <c r="P2911" s="3" t="s">
        <v>90</v>
      </c>
      <c r="R2911" s="3" t="s">
        <v>67</v>
      </c>
      <c r="S2911" s="4">
        <v>0</v>
      </c>
      <c r="T2911" s="4">
        <v>0</v>
      </c>
      <c r="W2911" s="5" t="s">
        <v>69</v>
      </c>
      <c r="X2911" s="5" t="s">
        <v>69</v>
      </c>
      <c r="Y2911" s="4">
        <v>23</v>
      </c>
      <c r="Z2911" s="4">
        <v>4</v>
      </c>
      <c r="AA2911" s="4">
        <v>4</v>
      </c>
      <c r="AB2911" s="4">
        <v>1</v>
      </c>
      <c r="AC2911" s="4">
        <v>1</v>
      </c>
      <c r="AD2911" s="4">
        <v>14</v>
      </c>
      <c r="AE2911" s="4">
        <v>16</v>
      </c>
      <c r="AF2911" s="4">
        <v>0</v>
      </c>
      <c r="AG2911" s="4">
        <v>0</v>
      </c>
      <c r="AH2911" s="4">
        <v>13</v>
      </c>
      <c r="AI2911" s="4">
        <v>15</v>
      </c>
      <c r="AJ2911" s="4">
        <v>2</v>
      </c>
      <c r="AK2911" s="4">
        <v>2</v>
      </c>
      <c r="AL2911" s="4">
        <v>9</v>
      </c>
      <c r="AM2911" s="4">
        <v>11</v>
      </c>
      <c r="AN2911" s="4">
        <v>0</v>
      </c>
      <c r="AO2911" s="4">
        <v>0</v>
      </c>
      <c r="AP2911" s="4">
        <v>2</v>
      </c>
      <c r="AQ2911" s="4">
        <v>2</v>
      </c>
      <c r="AR2911" s="3" t="s">
        <v>63</v>
      </c>
      <c r="AS2911" s="3" t="s">
        <v>63</v>
      </c>
      <c r="AT2911" s="3" t="s">
        <v>63</v>
      </c>
      <c r="AV2911" s="6" t="str">
        <f>HYPERLINK("http://mcgill.on.worldcat.org/oclc/828532576","Catalog Record")</f>
        <v>Catalog Record</v>
      </c>
      <c r="AW2911" s="6" t="str">
        <f>HYPERLINK("http://www.worldcat.org/oclc/828532576","WorldCat Record")</f>
        <v>WorldCat Record</v>
      </c>
      <c r="AX2911" s="3" t="s">
        <v>24393</v>
      </c>
      <c r="AY2911" s="3" t="s">
        <v>24394</v>
      </c>
      <c r="AZ2911" s="3" t="s">
        <v>24395</v>
      </c>
      <c r="BA2911" s="3" t="s">
        <v>24395</v>
      </c>
      <c r="BB2911" s="3" t="s">
        <v>24396</v>
      </c>
      <c r="BC2911" s="3" t="s">
        <v>82</v>
      </c>
      <c r="BD2911" s="3" t="s">
        <v>70</v>
      </c>
      <c r="BE2911" s="3" t="s">
        <v>24397</v>
      </c>
      <c r="BF2911" s="3" t="s">
        <v>24396</v>
      </c>
      <c r="BG2911" s="3" t="s">
        <v>24398</v>
      </c>
    </row>
    <row r="2912" spans="1:59" ht="60" x14ac:dyDescent="0.25">
      <c r="A2912" s="2" t="s">
        <v>59</v>
      </c>
      <c r="B2912" s="2" t="s">
        <v>60</v>
      </c>
      <c r="C2912" s="2" t="s">
        <v>24421</v>
      </c>
      <c r="D2912" s="2" t="s">
        <v>24422</v>
      </c>
      <c r="E2912" s="2" t="s">
        <v>16848</v>
      </c>
      <c r="F2912" s="3" t="s">
        <v>1095</v>
      </c>
      <c r="G2912" s="3" t="s">
        <v>62</v>
      </c>
      <c r="I2912" s="3" t="s">
        <v>63</v>
      </c>
      <c r="J2912" s="3" t="s">
        <v>63</v>
      </c>
      <c r="K2912" s="3" t="s">
        <v>64</v>
      </c>
      <c r="L2912" s="2" t="s">
        <v>24402</v>
      </c>
      <c r="M2912" s="2" t="s">
        <v>24423</v>
      </c>
      <c r="N2912" s="3" t="s">
        <v>1046</v>
      </c>
      <c r="P2912" s="3" t="s">
        <v>90</v>
      </c>
      <c r="R2912" s="3" t="s">
        <v>67</v>
      </c>
      <c r="S2912" s="4">
        <v>4</v>
      </c>
      <c r="T2912" s="4">
        <v>8</v>
      </c>
      <c r="U2912" s="5" t="s">
        <v>24424</v>
      </c>
      <c r="V2912" s="5" t="s">
        <v>8116</v>
      </c>
      <c r="W2912" s="5" t="s">
        <v>69</v>
      </c>
      <c r="X2912" s="5" t="s">
        <v>69</v>
      </c>
      <c r="Y2912" s="4">
        <v>257</v>
      </c>
      <c r="Z2912" s="4">
        <v>16</v>
      </c>
      <c r="AA2912" s="4">
        <v>18</v>
      </c>
      <c r="AB2912" s="4">
        <v>1</v>
      </c>
      <c r="AC2912" s="4">
        <v>1</v>
      </c>
      <c r="AD2912" s="4">
        <v>103</v>
      </c>
      <c r="AE2912" s="4">
        <v>104</v>
      </c>
      <c r="AF2912" s="4">
        <v>0</v>
      </c>
      <c r="AG2912" s="4">
        <v>0</v>
      </c>
      <c r="AH2912" s="4">
        <v>92</v>
      </c>
      <c r="AI2912" s="4">
        <v>93</v>
      </c>
      <c r="AJ2912" s="4">
        <v>14</v>
      </c>
      <c r="AK2912" s="4">
        <v>15</v>
      </c>
      <c r="AL2912" s="4">
        <v>53</v>
      </c>
      <c r="AM2912" s="4">
        <v>54</v>
      </c>
      <c r="AN2912" s="4">
        <v>0</v>
      </c>
      <c r="AO2912" s="4">
        <v>0</v>
      </c>
      <c r="AP2912" s="4">
        <v>15</v>
      </c>
      <c r="AQ2912" s="4">
        <v>16</v>
      </c>
      <c r="AR2912" s="3" t="s">
        <v>63</v>
      </c>
      <c r="AS2912" s="3" t="s">
        <v>63</v>
      </c>
      <c r="AT2912" s="3" t="s">
        <v>62</v>
      </c>
      <c r="AU2912" s="6" t="str">
        <f>HYPERLINK("http://catalog.hathitrust.org/Record/001847840","HathiTrust Record")</f>
        <v>HathiTrust Record</v>
      </c>
      <c r="AV2912" s="6" t="str">
        <f>HYPERLINK("http://mcgill.on.worldcat.org/oclc/2604134","Catalog Record")</f>
        <v>Catalog Record</v>
      </c>
      <c r="AW2912" s="6" t="str">
        <f>HYPERLINK("http://www.worldcat.org/oclc/2604134","WorldCat Record")</f>
        <v>WorldCat Record</v>
      </c>
      <c r="AX2912" s="3" t="s">
        <v>24425</v>
      </c>
      <c r="AY2912" s="3" t="s">
        <v>24426</v>
      </c>
      <c r="AZ2912" s="3" t="s">
        <v>24427</v>
      </c>
      <c r="BA2912" s="3" t="s">
        <v>24427</v>
      </c>
      <c r="BB2912" s="3" t="s">
        <v>24428</v>
      </c>
      <c r="BC2912" s="3" t="s">
        <v>82</v>
      </c>
      <c r="BD2912" s="3" t="s">
        <v>70</v>
      </c>
      <c r="BF2912" s="3" t="s">
        <v>24428</v>
      </c>
      <c r="BG2912" s="3" t="s">
        <v>24429</v>
      </c>
    </row>
    <row r="2913" spans="1:59" ht="60" x14ac:dyDescent="0.25">
      <c r="A2913" s="2" t="s">
        <v>59</v>
      </c>
      <c r="B2913" s="2" t="s">
        <v>60</v>
      </c>
      <c r="C2913" s="2" t="s">
        <v>24421</v>
      </c>
      <c r="D2913" s="2" t="s">
        <v>24422</v>
      </c>
      <c r="E2913" s="2" t="s">
        <v>16848</v>
      </c>
      <c r="F2913" s="3" t="s">
        <v>1105</v>
      </c>
      <c r="G2913" s="3" t="s">
        <v>62</v>
      </c>
      <c r="I2913" s="3" t="s">
        <v>63</v>
      </c>
      <c r="J2913" s="3" t="s">
        <v>63</v>
      </c>
      <c r="K2913" s="3" t="s">
        <v>64</v>
      </c>
      <c r="L2913" s="2" t="s">
        <v>24402</v>
      </c>
      <c r="M2913" s="2" t="s">
        <v>24423</v>
      </c>
      <c r="N2913" s="3" t="s">
        <v>1046</v>
      </c>
      <c r="P2913" s="3" t="s">
        <v>90</v>
      </c>
      <c r="R2913" s="3" t="s">
        <v>67</v>
      </c>
      <c r="S2913" s="4">
        <v>4</v>
      </c>
      <c r="T2913" s="4">
        <v>8</v>
      </c>
      <c r="U2913" s="5" t="s">
        <v>8116</v>
      </c>
      <c r="V2913" s="5" t="s">
        <v>8116</v>
      </c>
      <c r="W2913" s="5" t="s">
        <v>69</v>
      </c>
      <c r="X2913" s="5" t="s">
        <v>69</v>
      </c>
      <c r="Y2913" s="4">
        <v>257</v>
      </c>
      <c r="Z2913" s="4">
        <v>16</v>
      </c>
      <c r="AA2913" s="4">
        <v>18</v>
      </c>
      <c r="AB2913" s="4">
        <v>1</v>
      </c>
      <c r="AC2913" s="4">
        <v>1</v>
      </c>
      <c r="AD2913" s="4">
        <v>103</v>
      </c>
      <c r="AE2913" s="4">
        <v>104</v>
      </c>
      <c r="AF2913" s="4">
        <v>0</v>
      </c>
      <c r="AG2913" s="4">
        <v>0</v>
      </c>
      <c r="AH2913" s="4">
        <v>92</v>
      </c>
      <c r="AI2913" s="4">
        <v>93</v>
      </c>
      <c r="AJ2913" s="4">
        <v>14</v>
      </c>
      <c r="AK2913" s="4">
        <v>15</v>
      </c>
      <c r="AL2913" s="4">
        <v>53</v>
      </c>
      <c r="AM2913" s="4">
        <v>54</v>
      </c>
      <c r="AN2913" s="4">
        <v>0</v>
      </c>
      <c r="AO2913" s="4">
        <v>0</v>
      </c>
      <c r="AP2913" s="4">
        <v>15</v>
      </c>
      <c r="AQ2913" s="4">
        <v>16</v>
      </c>
      <c r="AR2913" s="3" t="s">
        <v>63</v>
      </c>
      <c r="AS2913" s="3" t="s">
        <v>63</v>
      </c>
      <c r="AT2913" s="3" t="s">
        <v>62</v>
      </c>
      <c r="AU2913" s="6" t="str">
        <f>HYPERLINK("http://catalog.hathitrust.org/Record/001847840","HathiTrust Record")</f>
        <v>HathiTrust Record</v>
      </c>
      <c r="AV2913" s="6" t="str">
        <f>HYPERLINK("http://mcgill.on.worldcat.org/oclc/2604134","Catalog Record")</f>
        <v>Catalog Record</v>
      </c>
      <c r="AW2913" s="6" t="str">
        <f>HYPERLINK("http://www.worldcat.org/oclc/2604134","WorldCat Record")</f>
        <v>WorldCat Record</v>
      </c>
      <c r="AX2913" s="3" t="s">
        <v>24425</v>
      </c>
      <c r="AY2913" s="3" t="s">
        <v>24426</v>
      </c>
      <c r="AZ2913" s="3" t="s">
        <v>24427</v>
      </c>
      <c r="BA2913" s="3" t="s">
        <v>24427</v>
      </c>
      <c r="BB2913" s="3" t="s">
        <v>24430</v>
      </c>
      <c r="BC2913" s="3" t="s">
        <v>82</v>
      </c>
      <c r="BD2913" s="3" t="s">
        <v>70</v>
      </c>
      <c r="BF2913" s="3" t="s">
        <v>24430</v>
      </c>
      <c r="BG2913" s="3" t="s">
        <v>24431</v>
      </c>
    </row>
    <row r="2914" spans="1:59" ht="60" x14ac:dyDescent="0.25">
      <c r="A2914" s="2" t="s">
        <v>59</v>
      </c>
      <c r="B2914" s="2" t="s">
        <v>60</v>
      </c>
      <c r="C2914" s="2" t="s">
        <v>24421</v>
      </c>
      <c r="D2914" s="2" t="s">
        <v>24422</v>
      </c>
      <c r="E2914" s="2" t="s">
        <v>16848</v>
      </c>
      <c r="F2914" s="3" t="s">
        <v>1366</v>
      </c>
      <c r="G2914" s="3" t="s">
        <v>62</v>
      </c>
      <c r="I2914" s="3" t="s">
        <v>63</v>
      </c>
      <c r="J2914" s="3" t="s">
        <v>63</v>
      </c>
      <c r="K2914" s="3" t="s">
        <v>64</v>
      </c>
      <c r="L2914" s="2" t="s">
        <v>24402</v>
      </c>
      <c r="M2914" s="2" t="s">
        <v>24423</v>
      </c>
      <c r="N2914" s="3" t="s">
        <v>1046</v>
      </c>
      <c r="P2914" s="3" t="s">
        <v>90</v>
      </c>
      <c r="R2914" s="3" t="s">
        <v>67</v>
      </c>
      <c r="S2914" s="4">
        <v>0</v>
      </c>
      <c r="T2914" s="4">
        <v>8</v>
      </c>
      <c r="V2914" s="5" t="s">
        <v>8116</v>
      </c>
      <c r="W2914" s="5" t="s">
        <v>69</v>
      </c>
      <c r="X2914" s="5" t="s">
        <v>69</v>
      </c>
      <c r="Y2914" s="4">
        <v>257</v>
      </c>
      <c r="Z2914" s="4">
        <v>16</v>
      </c>
      <c r="AA2914" s="4">
        <v>18</v>
      </c>
      <c r="AB2914" s="4">
        <v>1</v>
      </c>
      <c r="AC2914" s="4">
        <v>1</v>
      </c>
      <c r="AD2914" s="4">
        <v>103</v>
      </c>
      <c r="AE2914" s="4">
        <v>104</v>
      </c>
      <c r="AF2914" s="4">
        <v>0</v>
      </c>
      <c r="AG2914" s="4">
        <v>0</v>
      </c>
      <c r="AH2914" s="4">
        <v>92</v>
      </c>
      <c r="AI2914" s="4">
        <v>93</v>
      </c>
      <c r="AJ2914" s="4">
        <v>14</v>
      </c>
      <c r="AK2914" s="4">
        <v>15</v>
      </c>
      <c r="AL2914" s="4">
        <v>53</v>
      </c>
      <c r="AM2914" s="4">
        <v>54</v>
      </c>
      <c r="AN2914" s="4">
        <v>0</v>
      </c>
      <c r="AO2914" s="4">
        <v>0</v>
      </c>
      <c r="AP2914" s="4">
        <v>15</v>
      </c>
      <c r="AQ2914" s="4">
        <v>16</v>
      </c>
      <c r="AR2914" s="3" t="s">
        <v>63</v>
      </c>
      <c r="AS2914" s="3" t="s">
        <v>63</v>
      </c>
      <c r="AT2914" s="3" t="s">
        <v>62</v>
      </c>
      <c r="AU2914" s="6" t="str">
        <f>HYPERLINK("http://catalog.hathitrust.org/Record/001847840","HathiTrust Record")</f>
        <v>HathiTrust Record</v>
      </c>
      <c r="AV2914" s="6" t="str">
        <f>HYPERLINK("http://mcgill.on.worldcat.org/oclc/2604134","Catalog Record")</f>
        <v>Catalog Record</v>
      </c>
      <c r="AW2914" s="6" t="str">
        <f>HYPERLINK("http://www.worldcat.org/oclc/2604134","WorldCat Record")</f>
        <v>WorldCat Record</v>
      </c>
      <c r="AX2914" s="3" t="s">
        <v>24425</v>
      </c>
      <c r="AY2914" s="3" t="s">
        <v>24426</v>
      </c>
      <c r="AZ2914" s="3" t="s">
        <v>24427</v>
      </c>
      <c r="BA2914" s="3" t="s">
        <v>24427</v>
      </c>
      <c r="BB2914" s="3" t="s">
        <v>24432</v>
      </c>
      <c r="BC2914" s="3" t="s">
        <v>82</v>
      </c>
      <c r="BD2914" s="3" t="s">
        <v>70</v>
      </c>
      <c r="BF2914" s="3" t="s">
        <v>24432</v>
      </c>
      <c r="BG2914" s="3" t="s">
        <v>24433</v>
      </c>
    </row>
    <row r="2915" spans="1:59" ht="60" x14ac:dyDescent="0.25">
      <c r="A2915" s="2" t="s">
        <v>59</v>
      </c>
      <c r="B2915" s="2" t="s">
        <v>60</v>
      </c>
      <c r="C2915" s="2" t="s">
        <v>24421</v>
      </c>
      <c r="D2915" s="2" t="s">
        <v>24422</v>
      </c>
      <c r="E2915" s="2" t="s">
        <v>16848</v>
      </c>
      <c r="F2915" s="3" t="s">
        <v>1395</v>
      </c>
      <c r="G2915" s="3" t="s">
        <v>62</v>
      </c>
      <c r="I2915" s="3" t="s">
        <v>63</v>
      </c>
      <c r="J2915" s="3" t="s">
        <v>63</v>
      </c>
      <c r="K2915" s="3" t="s">
        <v>64</v>
      </c>
      <c r="L2915" s="2" t="s">
        <v>24402</v>
      </c>
      <c r="M2915" s="2" t="s">
        <v>24423</v>
      </c>
      <c r="N2915" s="3" t="s">
        <v>1046</v>
      </c>
      <c r="P2915" s="3" t="s">
        <v>90</v>
      </c>
      <c r="R2915" s="3" t="s">
        <v>67</v>
      </c>
      <c r="S2915" s="4">
        <v>0</v>
      </c>
      <c r="T2915" s="4">
        <v>8</v>
      </c>
      <c r="V2915" s="5" t="s">
        <v>8116</v>
      </c>
      <c r="W2915" s="5" t="s">
        <v>69</v>
      </c>
      <c r="X2915" s="5" t="s">
        <v>69</v>
      </c>
      <c r="Y2915" s="4">
        <v>257</v>
      </c>
      <c r="Z2915" s="4">
        <v>16</v>
      </c>
      <c r="AA2915" s="4">
        <v>18</v>
      </c>
      <c r="AB2915" s="4">
        <v>1</v>
      </c>
      <c r="AC2915" s="4">
        <v>1</v>
      </c>
      <c r="AD2915" s="4">
        <v>103</v>
      </c>
      <c r="AE2915" s="4">
        <v>104</v>
      </c>
      <c r="AF2915" s="4">
        <v>0</v>
      </c>
      <c r="AG2915" s="4">
        <v>0</v>
      </c>
      <c r="AH2915" s="4">
        <v>92</v>
      </c>
      <c r="AI2915" s="4">
        <v>93</v>
      </c>
      <c r="AJ2915" s="4">
        <v>14</v>
      </c>
      <c r="AK2915" s="4">
        <v>15</v>
      </c>
      <c r="AL2915" s="4">
        <v>53</v>
      </c>
      <c r="AM2915" s="4">
        <v>54</v>
      </c>
      <c r="AN2915" s="4">
        <v>0</v>
      </c>
      <c r="AO2915" s="4">
        <v>0</v>
      </c>
      <c r="AP2915" s="4">
        <v>15</v>
      </c>
      <c r="AQ2915" s="4">
        <v>16</v>
      </c>
      <c r="AR2915" s="3" t="s">
        <v>63</v>
      </c>
      <c r="AS2915" s="3" t="s">
        <v>63</v>
      </c>
      <c r="AT2915" s="3" t="s">
        <v>62</v>
      </c>
      <c r="AU2915" s="6" t="str">
        <f>HYPERLINK("http://catalog.hathitrust.org/Record/001847840","HathiTrust Record")</f>
        <v>HathiTrust Record</v>
      </c>
      <c r="AV2915" s="6" t="str">
        <f>HYPERLINK("http://mcgill.on.worldcat.org/oclc/2604134","Catalog Record")</f>
        <v>Catalog Record</v>
      </c>
      <c r="AW2915" s="6" t="str">
        <f>HYPERLINK("http://www.worldcat.org/oclc/2604134","WorldCat Record")</f>
        <v>WorldCat Record</v>
      </c>
      <c r="AX2915" s="3" t="s">
        <v>24425</v>
      </c>
      <c r="AY2915" s="3" t="s">
        <v>24426</v>
      </c>
      <c r="AZ2915" s="3" t="s">
        <v>24427</v>
      </c>
      <c r="BA2915" s="3" t="s">
        <v>24427</v>
      </c>
      <c r="BB2915" s="3" t="s">
        <v>24434</v>
      </c>
      <c r="BC2915" s="3" t="s">
        <v>82</v>
      </c>
      <c r="BD2915" s="3" t="s">
        <v>70</v>
      </c>
      <c r="BF2915" s="3" t="s">
        <v>24434</v>
      </c>
      <c r="BG2915" s="3" t="s">
        <v>24435</v>
      </c>
    </row>
    <row r="2916" spans="1:59" ht="60" x14ac:dyDescent="0.25">
      <c r="A2916" s="2" t="s">
        <v>59</v>
      </c>
      <c r="B2916" s="2" t="s">
        <v>60</v>
      </c>
      <c r="C2916" s="2" t="s">
        <v>24421</v>
      </c>
      <c r="D2916" s="2" t="s">
        <v>24422</v>
      </c>
      <c r="E2916" s="2" t="s">
        <v>16848</v>
      </c>
      <c r="F2916" s="3" t="s">
        <v>1390</v>
      </c>
      <c r="G2916" s="3" t="s">
        <v>62</v>
      </c>
      <c r="I2916" s="3" t="s">
        <v>63</v>
      </c>
      <c r="J2916" s="3" t="s">
        <v>63</v>
      </c>
      <c r="K2916" s="3" t="s">
        <v>64</v>
      </c>
      <c r="L2916" s="2" t="s">
        <v>24402</v>
      </c>
      <c r="M2916" s="2" t="s">
        <v>24423</v>
      </c>
      <c r="N2916" s="3" t="s">
        <v>1046</v>
      </c>
      <c r="P2916" s="3" t="s">
        <v>90</v>
      </c>
      <c r="R2916" s="3" t="s">
        <v>67</v>
      </c>
      <c r="S2916" s="4">
        <v>0</v>
      </c>
      <c r="T2916" s="4">
        <v>8</v>
      </c>
      <c r="V2916" s="5" t="s">
        <v>8116</v>
      </c>
      <c r="W2916" s="5" t="s">
        <v>69</v>
      </c>
      <c r="X2916" s="5" t="s">
        <v>69</v>
      </c>
      <c r="Y2916" s="4">
        <v>257</v>
      </c>
      <c r="Z2916" s="4">
        <v>16</v>
      </c>
      <c r="AA2916" s="4">
        <v>18</v>
      </c>
      <c r="AB2916" s="4">
        <v>1</v>
      </c>
      <c r="AC2916" s="4">
        <v>1</v>
      </c>
      <c r="AD2916" s="4">
        <v>103</v>
      </c>
      <c r="AE2916" s="4">
        <v>104</v>
      </c>
      <c r="AF2916" s="4">
        <v>0</v>
      </c>
      <c r="AG2916" s="4">
        <v>0</v>
      </c>
      <c r="AH2916" s="4">
        <v>92</v>
      </c>
      <c r="AI2916" s="4">
        <v>93</v>
      </c>
      <c r="AJ2916" s="4">
        <v>14</v>
      </c>
      <c r="AK2916" s="4">
        <v>15</v>
      </c>
      <c r="AL2916" s="4">
        <v>53</v>
      </c>
      <c r="AM2916" s="4">
        <v>54</v>
      </c>
      <c r="AN2916" s="4">
        <v>0</v>
      </c>
      <c r="AO2916" s="4">
        <v>0</v>
      </c>
      <c r="AP2916" s="4">
        <v>15</v>
      </c>
      <c r="AQ2916" s="4">
        <v>16</v>
      </c>
      <c r="AR2916" s="3" t="s">
        <v>63</v>
      </c>
      <c r="AS2916" s="3" t="s">
        <v>63</v>
      </c>
      <c r="AT2916" s="3" t="s">
        <v>62</v>
      </c>
      <c r="AU2916" s="6" t="str">
        <f>HYPERLINK("http://catalog.hathitrust.org/Record/001847840","HathiTrust Record")</f>
        <v>HathiTrust Record</v>
      </c>
      <c r="AV2916" s="6" t="str">
        <f>HYPERLINK("http://mcgill.on.worldcat.org/oclc/2604134","Catalog Record")</f>
        <v>Catalog Record</v>
      </c>
      <c r="AW2916" s="6" t="str">
        <f>HYPERLINK("http://www.worldcat.org/oclc/2604134","WorldCat Record")</f>
        <v>WorldCat Record</v>
      </c>
      <c r="AX2916" s="3" t="s">
        <v>24425</v>
      </c>
      <c r="AY2916" s="3" t="s">
        <v>24426</v>
      </c>
      <c r="AZ2916" s="3" t="s">
        <v>24427</v>
      </c>
      <c r="BA2916" s="3" t="s">
        <v>24427</v>
      </c>
      <c r="BB2916" s="3" t="s">
        <v>24436</v>
      </c>
      <c r="BC2916" s="3" t="s">
        <v>82</v>
      </c>
      <c r="BD2916" s="3" t="s">
        <v>70</v>
      </c>
      <c r="BF2916" s="3" t="s">
        <v>24436</v>
      </c>
      <c r="BG2916" s="3" t="s">
        <v>24437</v>
      </c>
    </row>
    <row r="2917" spans="1:59" ht="60" x14ac:dyDescent="0.25">
      <c r="A2917" s="2" t="s">
        <v>59</v>
      </c>
      <c r="B2917" s="2" t="s">
        <v>60</v>
      </c>
      <c r="C2917" s="2" t="s">
        <v>24421</v>
      </c>
      <c r="D2917" s="2" t="s">
        <v>24422</v>
      </c>
      <c r="E2917" s="2" t="s">
        <v>16848</v>
      </c>
      <c r="F2917" s="3" t="s">
        <v>61</v>
      </c>
      <c r="G2917" s="3" t="s">
        <v>62</v>
      </c>
      <c r="I2917" s="3" t="s">
        <v>63</v>
      </c>
      <c r="J2917" s="3" t="s">
        <v>63</v>
      </c>
      <c r="K2917" s="3" t="s">
        <v>64</v>
      </c>
      <c r="L2917" s="2" t="s">
        <v>24402</v>
      </c>
      <c r="M2917" s="2" t="s">
        <v>24423</v>
      </c>
      <c r="N2917" s="3" t="s">
        <v>1046</v>
      </c>
      <c r="P2917" s="3" t="s">
        <v>90</v>
      </c>
      <c r="R2917" s="3" t="s">
        <v>67</v>
      </c>
      <c r="S2917" s="4">
        <v>0</v>
      </c>
      <c r="T2917" s="4">
        <v>8</v>
      </c>
      <c r="V2917" s="5" t="s">
        <v>8116</v>
      </c>
      <c r="W2917" s="5" t="s">
        <v>69</v>
      </c>
      <c r="X2917" s="5" t="s">
        <v>69</v>
      </c>
      <c r="Y2917" s="4">
        <v>257</v>
      </c>
      <c r="Z2917" s="4">
        <v>16</v>
      </c>
      <c r="AA2917" s="4">
        <v>18</v>
      </c>
      <c r="AB2917" s="4">
        <v>1</v>
      </c>
      <c r="AC2917" s="4">
        <v>1</v>
      </c>
      <c r="AD2917" s="4">
        <v>103</v>
      </c>
      <c r="AE2917" s="4">
        <v>104</v>
      </c>
      <c r="AF2917" s="4">
        <v>0</v>
      </c>
      <c r="AG2917" s="4">
        <v>0</v>
      </c>
      <c r="AH2917" s="4">
        <v>92</v>
      </c>
      <c r="AI2917" s="4">
        <v>93</v>
      </c>
      <c r="AJ2917" s="4">
        <v>14</v>
      </c>
      <c r="AK2917" s="4">
        <v>15</v>
      </c>
      <c r="AL2917" s="4">
        <v>53</v>
      </c>
      <c r="AM2917" s="4">
        <v>54</v>
      </c>
      <c r="AN2917" s="4">
        <v>0</v>
      </c>
      <c r="AO2917" s="4">
        <v>0</v>
      </c>
      <c r="AP2917" s="4">
        <v>15</v>
      </c>
      <c r="AQ2917" s="4">
        <v>16</v>
      </c>
      <c r="AR2917" s="3" t="s">
        <v>63</v>
      </c>
      <c r="AS2917" s="3" t="s">
        <v>63</v>
      </c>
      <c r="AT2917" s="3" t="s">
        <v>62</v>
      </c>
      <c r="AU2917" s="6" t="str">
        <f>HYPERLINK("http://catalog.hathitrust.org/Record/001847840","HathiTrust Record")</f>
        <v>HathiTrust Record</v>
      </c>
      <c r="AV2917" s="6" t="str">
        <f>HYPERLINK("http://mcgill.on.worldcat.org/oclc/2604134","Catalog Record")</f>
        <v>Catalog Record</v>
      </c>
      <c r="AW2917" s="6" t="str">
        <f>HYPERLINK("http://www.worldcat.org/oclc/2604134","WorldCat Record")</f>
        <v>WorldCat Record</v>
      </c>
      <c r="AX2917" s="3" t="s">
        <v>24425</v>
      </c>
      <c r="AY2917" s="3" t="s">
        <v>24426</v>
      </c>
      <c r="AZ2917" s="3" t="s">
        <v>24427</v>
      </c>
      <c r="BA2917" s="3" t="s">
        <v>24427</v>
      </c>
      <c r="BB2917" s="3" t="s">
        <v>24438</v>
      </c>
      <c r="BC2917" s="3" t="s">
        <v>82</v>
      </c>
      <c r="BD2917" s="3" t="s">
        <v>70</v>
      </c>
      <c r="BF2917" s="3" t="s">
        <v>24438</v>
      </c>
      <c r="BG2917" s="3" t="s">
        <v>24439</v>
      </c>
    </row>
    <row r="2918" spans="1:59" ht="60" x14ac:dyDescent="0.25">
      <c r="A2918" s="2" t="s">
        <v>59</v>
      </c>
      <c r="B2918" s="2" t="s">
        <v>60</v>
      </c>
      <c r="C2918" s="2" t="s">
        <v>24421</v>
      </c>
      <c r="D2918" s="2" t="s">
        <v>24422</v>
      </c>
      <c r="E2918" s="2" t="s">
        <v>16848</v>
      </c>
      <c r="F2918" s="3" t="s">
        <v>1387</v>
      </c>
      <c r="G2918" s="3" t="s">
        <v>62</v>
      </c>
      <c r="I2918" s="3" t="s">
        <v>63</v>
      </c>
      <c r="J2918" s="3" t="s">
        <v>63</v>
      </c>
      <c r="K2918" s="3" t="s">
        <v>64</v>
      </c>
      <c r="L2918" s="2" t="s">
        <v>24402</v>
      </c>
      <c r="M2918" s="2" t="s">
        <v>24423</v>
      </c>
      <c r="N2918" s="3" t="s">
        <v>1046</v>
      </c>
      <c r="P2918" s="3" t="s">
        <v>90</v>
      </c>
      <c r="R2918" s="3" t="s">
        <v>67</v>
      </c>
      <c r="S2918" s="4">
        <v>0</v>
      </c>
      <c r="T2918" s="4">
        <v>8</v>
      </c>
      <c r="V2918" s="5" t="s">
        <v>8116</v>
      </c>
      <c r="W2918" s="5" t="s">
        <v>69</v>
      </c>
      <c r="X2918" s="5" t="s">
        <v>69</v>
      </c>
      <c r="Y2918" s="4">
        <v>257</v>
      </c>
      <c r="Z2918" s="4">
        <v>16</v>
      </c>
      <c r="AA2918" s="4">
        <v>18</v>
      </c>
      <c r="AB2918" s="4">
        <v>1</v>
      </c>
      <c r="AC2918" s="4">
        <v>1</v>
      </c>
      <c r="AD2918" s="4">
        <v>103</v>
      </c>
      <c r="AE2918" s="4">
        <v>104</v>
      </c>
      <c r="AF2918" s="4">
        <v>0</v>
      </c>
      <c r="AG2918" s="4">
        <v>0</v>
      </c>
      <c r="AH2918" s="4">
        <v>92</v>
      </c>
      <c r="AI2918" s="4">
        <v>93</v>
      </c>
      <c r="AJ2918" s="4">
        <v>14</v>
      </c>
      <c r="AK2918" s="4">
        <v>15</v>
      </c>
      <c r="AL2918" s="4">
        <v>53</v>
      </c>
      <c r="AM2918" s="4">
        <v>54</v>
      </c>
      <c r="AN2918" s="4">
        <v>0</v>
      </c>
      <c r="AO2918" s="4">
        <v>0</v>
      </c>
      <c r="AP2918" s="4">
        <v>15</v>
      </c>
      <c r="AQ2918" s="4">
        <v>16</v>
      </c>
      <c r="AR2918" s="3" t="s">
        <v>63</v>
      </c>
      <c r="AS2918" s="3" t="s">
        <v>63</v>
      </c>
      <c r="AT2918" s="3" t="s">
        <v>62</v>
      </c>
      <c r="AU2918" s="6" t="str">
        <f>HYPERLINK("http://catalog.hathitrust.org/Record/001847840","HathiTrust Record")</f>
        <v>HathiTrust Record</v>
      </c>
      <c r="AV2918" s="6" t="str">
        <f>HYPERLINK("http://mcgill.on.worldcat.org/oclc/2604134","Catalog Record")</f>
        <v>Catalog Record</v>
      </c>
      <c r="AW2918" s="6" t="str">
        <f>HYPERLINK("http://www.worldcat.org/oclc/2604134","WorldCat Record")</f>
        <v>WorldCat Record</v>
      </c>
      <c r="AX2918" s="3" t="s">
        <v>24425</v>
      </c>
      <c r="AY2918" s="3" t="s">
        <v>24426</v>
      </c>
      <c r="AZ2918" s="3" t="s">
        <v>24427</v>
      </c>
      <c r="BA2918" s="3" t="s">
        <v>24427</v>
      </c>
      <c r="BB2918" s="3" t="s">
        <v>24440</v>
      </c>
      <c r="BC2918" s="3" t="s">
        <v>82</v>
      </c>
      <c r="BD2918" s="3" t="s">
        <v>70</v>
      </c>
      <c r="BF2918" s="3" t="s">
        <v>24440</v>
      </c>
      <c r="BG2918" s="3" t="s">
        <v>24441</v>
      </c>
    </row>
    <row r="2919" spans="1:59" ht="60" x14ac:dyDescent="0.25">
      <c r="A2919" s="2" t="s">
        <v>59</v>
      </c>
      <c r="B2919" s="2" t="s">
        <v>60</v>
      </c>
      <c r="C2919" s="2" t="s">
        <v>24421</v>
      </c>
      <c r="D2919" s="2" t="s">
        <v>24422</v>
      </c>
      <c r="E2919" s="2" t="s">
        <v>16848</v>
      </c>
      <c r="F2919" s="3" t="s">
        <v>1379</v>
      </c>
      <c r="G2919" s="3" t="s">
        <v>62</v>
      </c>
      <c r="I2919" s="3" t="s">
        <v>63</v>
      </c>
      <c r="J2919" s="3" t="s">
        <v>63</v>
      </c>
      <c r="K2919" s="3" t="s">
        <v>64</v>
      </c>
      <c r="L2919" s="2" t="s">
        <v>24402</v>
      </c>
      <c r="M2919" s="2" t="s">
        <v>24423</v>
      </c>
      <c r="N2919" s="3" t="s">
        <v>1046</v>
      </c>
      <c r="P2919" s="3" t="s">
        <v>90</v>
      </c>
      <c r="R2919" s="3" t="s">
        <v>67</v>
      </c>
      <c r="S2919" s="4">
        <v>0</v>
      </c>
      <c r="T2919" s="4">
        <v>8</v>
      </c>
      <c r="V2919" s="5" t="s">
        <v>8116</v>
      </c>
      <c r="W2919" s="5" t="s">
        <v>69</v>
      </c>
      <c r="X2919" s="5" t="s">
        <v>69</v>
      </c>
      <c r="Y2919" s="4">
        <v>257</v>
      </c>
      <c r="Z2919" s="4">
        <v>16</v>
      </c>
      <c r="AA2919" s="4">
        <v>18</v>
      </c>
      <c r="AB2919" s="4">
        <v>1</v>
      </c>
      <c r="AC2919" s="4">
        <v>1</v>
      </c>
      <c r="AD2919" s="4">
        <v>103</v>
      </c>
      <c r="AE2919" s="4">
        <v>104</v>
      </c>
      <c r="AF2919" s="4">
        <v>0</v>
      </c>
      <c r="AG2919" s="4">
        <v>0</v>
      </c>
      <c r="AH2919" s="4">
        <v>92</v>
      </c>
      <c r="AI2919" s="4">
        <v>93</v>
      </c>
      <c r="AJ2919" s="4">
        <v>14</v>
      </c>
      <c r="AK2919" s="4">
        <v>15</v>
      </c>
      <c r="AL2919" s="4">
        <v>53</v>
      </c>
      <c r="AM2919" s="4">
        <v>54</v>
      </c>
      <c r="AN2919" s="4">
        <v>0</v>
      </c>
      <c r="AO2919" s="4">
        <v>0</v>
      </c>
      <c r="AP2919" s="4">
        <v>15</v>
      </c>
      <c r="AQ2919" s="4">
        <v>16</v>
      </c>
      <c r="AR2919" s="3" t="s">
        <v>63</v>
      </c>
      <c r="AS2919" s="3" t="s">
        <v>63</v>
      </c>
      <c r="AT2919" s="3" t="s">
        <v>62</v>
      </c>
      <c r="AU2919" s="6" t="str">
        <f>HYPERLINK("http://catalog.hathitrust.org/Record/001847840","HathiTrust Record")</f>
        <v>HathiTrust Record</v>
      </c>
      <c r="AV2919" s="6" t="str">
        <f>HYPERLINK("http://mcgill.on.worldcat.org/oclc/2604134","Catalog Record")</f>
        <v>Catalog Record</v>
      </c>
      <c r="AW2919" s="6" t="str">
        <f>HYPERLINK("http://www.worldcat.org/oclc/2604134","WorldCat Record")</f>
        <v>WorldCat Record</v>
      </c>
      <c r="AX2919" s="3" t="s">
        <v>24425</v>
      </c>
      <c r="AY2919" s="3" t="s">
        <v>24426</v>
      </c>
      <c r="AZ2919" s="3" t="s">
        <v>24427</v>
      </c>
      <c r="BA2919" s="3" t="s">
        <v>24427</v>
      </c>
      <c r="BB2919" s="3" t="s">
        <v>24442</v>
      </c>
      <c r="BC2919" s="3" t="s">
        <v>82</v>
      </c>
      <c r="BD2919" s="3" t="s">
        <v>70</v>
      </c>
      <c r="BF2919" s="3" t="s">
        <v>24442</v>
      </c>
      <c r="BG2919" s="3" t="s">
        <v>24443</v>
      </c>
    </row>
    <row r="2920" spans="1:59" ht="60" x14ac:dyDescent="0.25">
      <c r="A2920" s="2" t="s">
        <v>59</v>
      </c>
      <c r="B2920" s="2" t="s">
        <v>60</v>
      </c>
      <c r="C2920" s="2" t="s">
        <v>24421</v>
      </c>
      <c r="D2920" s="2" t="s">
        <v>24422</v>
      </c>
      <c r="E2920" s="2" t="s">
        <v>16848</v>
      </c>
      <c r="F2920" s="3" t="s">
        <v>1384</v>
      </c>
      <c r="G2920" s="3" t="s">
        <v>62</v>
      </c>
      <c r="I2920" s="3" t="s">
        <v>63</v>
      </c>
      <c r="J2920" s="3" t="s">
        <v>63</v>
      </c>
      <c r="K2920" s="3" t="s">
        <v>64</v>
      </c>
      <c r="L2920" s="2" t="s">
        <v>24402</v>
      </c>
      <c r="M2920" s="2" t="s">
        <v>24423</v>
      </c>
      <c r="N2920" s="3" t="s">
        <v>1046</v>
      </c>
      <c r="P2920" s="3" t="s">
        <v>90</v>
      </c>
      <c r="R2920" s="3" t="s">
        <v>67</v>
      </c>
      <c r="S2920" s="4">
        <v>0</v>
      </c>
      <c r="T2920" s="4">
        <v>8</v>
      </c>
      <c r="V2920" s="5" t="s">
        <v>8116</v>
      </c>
      <c r="W2920" s="5" t="s">
        <v>69</v>
      </c>
      <c r="X2920" s="5" t="s">
        <v>69</v>
      </c>
      <c r="Y2920" s="4">
        <v>257</v>
      </c>
      <c r="Z2920" s="4">
        <v>16</v>
      </c>
      <c r="AA2920" s="4">
        <v>18</v>
      </c>
      <c r="AB2920" s="4">
        <v>1</v>
      </c>
      <c r="AC2920" s="4">
        <v>1</v>
      </c>
      <c r="AD2920" s="4">
        <v>103</v>
      </c>
      <c r="AE2920" s="4">
        <v>104</v>
      </c>
      <c r="AF2920" s="4">
        <v>0</v>
      </c>
      <c r="AG2920" s="4">
        <v>0</v>
      </c>
      <c r="AH2920" s="4">
        <v>92</v>
      </c>
      <c r="AI2920" s="4">
        <v>93</v>
      </c>
      <c r="AJ2920" s="4">
        <v>14</v>
      </c>
      <c r="AK2920" s="4">
        <v>15</v>
      </c>
      <c r="AL2920" s="4">
        <v>53</v>
      </c>
      <c r="AM2920" s="4">
        <v>54</v>
      </c>
      <c r="AN2920" s="4">
        <v>0</v>
      </c>
      <c r="AO2920" s="4">
        <v>0</v>
      </c>
      <c r="AP2920" s="4">
        <v>15</v>
      </c>
      <c r="AQ2920" s="4">
        <v>16</v>
      </c>
      <c r="AR2920" s="3" t="s">
        <v>63</v>
      </c>
      <c r="AS2920" s="3" t="s">
        <v>63</v>
      </c>
      <c r="AT2920" s="3" t="s">
        <v>62</v>
      </c>
      <c r="AU2920" s="6" t="str">
        <f>HYPERLINK("http://catalog.hathitrust.org/Record/001847840","HathiTrust Record")</f>
        <v>HathiTrust Record</v>
      </c>
      <c r="AV2920" s="6" t="str">
        <f>HYPERLINK("http://mcgill.on.worldcat.org/oclc/2604134","Catalog Record")</f>
        <v>Catalog Record</v>
      </c>
      <c r="AW2920" s="6" t="str">
        <f>HYPERLINK("http://www.worldcat.org/oclc/2604134","WorldCat Record")</f>
        <v>WorldCat Record</v>
      </c>
      <c r="AX2920" s="3" t="s">
        <v>24425</v>
      </c>
      <c r="AY2920" s="3" t="s">
        <v>24426</v>
      </c>
      <c r="AZ2920" s="3" t="s">
        <v>24427</v>
      </c>
      <c r="BA2920" s="3" t="s">
        <v>24427</v>
      </c>
      <c r="BB2920" s="3" t="s">
        <v>24444</v>
      </c>
      <c r="BC2920" s="3" t="s">
        <v>82</v>
      </c>
      <c r="BD2920" s="3" t="s">
        <v>70</v>
      </c>
      <c r="BF2920" s="3" t="s">
        <v>24444</v>
      </c>
      <c r="BG2920" s="3" t="s">
        <v>24445</v>
      </c>
    </row>
    <row r="2921" spans="1:59" ht="60" x14ac:dyDescent="0.25">
      <c r="A2921" s="2" t="s">
        <v>59</v>
      </c>
      <c r="B2921" s="2" t="s">
        <v>60</v>
      </c>
      <c r="C2921" s="2" t="s">
        <v>24399</v>
      </c>
      <c r="D2921" s="2" t="s">
        <v>24400</v>
      </c>
      <c r="E2921" s="2" t="s">
        <v>24401</v>
      </c>
      <c r="G2921" s="3" t="s">
        <v>63</v>
      </c>
      <c r="I2921" s="3" t="s">
        <v>63</v>
      </c>
      <c r="J2921" s="3" t="s">
        <v>63</v>
      </c>
      <c r="K2921" s="3" t="s">
        <v>64</v>
      </c>
      <c r="L2921" s="2" t="s">
        <v>24402</v>
      </c>
      <c r="M2921" s="2" t="s">
        <v>24403</v>
      </c>
      <c r="N2921" s="3" t="s">
        <v>1046</v>
      </c>
      <c r="O2921" s="2" t="s">
        <v>24404</v>
      </c>
      <c r="P2921" s="3" t="s">
        <v>66</v>
      </c>
      <c r="Q2921" s="2" t="s">
        <v>24405</v>
      </c>
      <c r="R2921" s="3" t="s">
        <v>67</v>
      </c>
      <c r="S2921" s="4">
        <v>4</v>
      </c>
      <c r="T2921" s="4">
        <v>4</v>
      </c>
      <c r="U2921" s="5" t="s">
        <v>4612</v>
      </c>
      <c r="V2921" s="5" t="s">
        <v>4612</v>
      </c>
      <c r="W2921" s="5" t="s">
        <v>69</v>
      </c>
      <c r="X2921" s="5" t="s">
        <v>69</v>
      </c>
      <c r="Y2921" s="4">
        <v>525</v>
      </c>
      <c r="Z2921" s="4">
        <v>17</v>
      </c>
      <c r="AA2921" s="4">
        <v>21</v>
      </c>
      <c r="AB2921" s="4">
        <v>1</v>
      </c>
      <c r="AC2921" s="4">
        <v>1</v>
      </c>
      <c r="AD2921" s="4">
        <v>100</v>
      </c>
      <c r="AE2921" s="4">
        <v>103</v>
      </c>
      <c r="AF2921" s="4">
        <v>0</v>
      </c>
      <c r="AG2921" s="4">
        <v>0</v>
      </c>
      <c r="AH2921" s="4">
        <v>93</v>
      </c>
      <c r="AI2921" s="4">
        <v>95</v>
      </c>
      <c r="AJ2921" s="4">
        <v>11</v>
      </c>
      <c r="AK2921" s="4">
        <v>14</v>
      </c>
      <c r="AL2921" s="4">
        <v>50</v>
      </c>
      <c r="AM2921" s="4">
        <v>50</v>
      </c>
      <c r="AN2921" s="4">
        <v>0</v>
      </c>
      <c r="AO2921" s="4">
        <v>0</v>
      </c>
      <c r="AP2921" s="4">
        <v>11</v>
      </c>
      <c r="AQ2921" s="4">
        <v>14</v>
      </c>
      <c r="AR2921" s="3" t="s">
        <v>63</v>
      </c>
      <c r="AS2921" s="3" t="s">
        <v>63</v>
      </c>
      <c r="AT2921" s="3" t="s">
        <v>63</v>
      </c>
      <c r="AU2921" s="6" t="str">
        <f>HYPERLINK("http://catalog.hathitrust.org/Record/000980926","HathiTrust Record")</f>
        <v>HathiTrust Record</v>
      </c>
      <c r="AV2921" s="6" t="str">
        <f>HYPERLINK("http://mcgill.on.worldcat.org/oclc/321190","Catalog Record")</f>
        <v>Catalog Record</v>
      </c>
      <c r="AW2921" s="6" t="str">
        <f>HYPERLINK("http://www.worldcat.org/oclc/321190","WorldCat Record")</f>
        <v>WorldCat Record</v>
      </c>
      <c r="AX2921" s="3" t="s">
        <v>24406</v>
      </c>
      <c r="AY2921" s="3" t="s">
        <v>24407</v>
      </c>
      <c r="AZ2921" s="3" t="s">
        <v>24408</v>
      </c>
      <c r="BA2921" s="3" t="s">
        <v>24408</v>
      </c>
      <c r="BB2921" s="3" t="s">
        <v>24409</v>
      </c>
      <c r="BC2921" s="3" t="s">
        <v>82</v>
      </c>
      <c r="BD2921" s="3" t="s">
        <v>70</v>
      </c>
      <c r="BF2921" s="3" t="s">
        <v>24409</v>
      </c>
      <c r="BG2921" s="3" t="s">
        <v>24410</v>
      </c>
    </row>
    <row r="2922" spans="1:59" ht="60" x14ac:dyDescent="0.25">
      <c r="A2922" s="2" t="s">
        <v>59</v>
      </c>
      <c r="B2922" s="2" t="s">
        <v>60</v>
      </c>
      <c r="C2922" s="2" t="s">
        <v>24411</v>
      </c>
      <c r="D2922" s="2" t="s">
        <v>24412</v>
      </c>
      <c r="E2922" s="2" t="s">
        <v>24413</v>
      </c>
      <c r="G2922" s="3" t="s">
        <v>63</v>
      </c>
      <c r="I2922" s="3" t="s">
        <v>63</v>
      </c>
      <c r="J2922" s="3" t="s">
        <v>63</v>
      </c>
      <c r="K2922" s="3" t="s">
        <v>64</v>
      </c>
      <c r="L2922" s="2" t="s">
        <v>24402</v>
      </c>
      <c r="M2922" s="2" t="s">
        <v>24414</v>
      </c>
      <c r="N2922" s="3" t="s">
        <v>24415</v>
      </c>
      <c r="P2922" s="3" t="s">
        <v>90</v>
      </c>
      <c r="R2922" s="3" t="s">
        <v>67</v>
      </c>
      <c r="S2922" s="4">
        <v>1</v>
      </c>
      <c r="T2922" s="4">
        <v>1</v>
      </c>
      <c r="U2922" s="5" t="s">
        <v>14858</v>
      </c>
      <c r="V2922" s="5" t="s">
        <v>14858</v>
      </c>
      <c r="W2922" s="5" t="s">
        <v>69</v>
      </c>
      <c r="X2922" s="5" t="s">
        <v>69</v>
      </c>
      <c r="Y2922" s="4">
        <v>32</v>
      </c>
      <c r="Z2922" s="4">
        <v>2</v>
      </c>
      <c r="AA2922" s="4">
        <v>4</v>
      </c>
      <c r="AB2922" s="4">
        <v>1</v>
      </c>
      <c r="AC2922" s="4">
        <v>1</v>
      </c>
      <c r="AD2922" s="4">
        <v>23</v>
      </c>
      <c r="AE2922" s="4">
        <v>26</v>
      </c>
      <c r="AF2922" s="4">
        <v>0</v>
      </c>
      <c r="AG2922" s="4">
        <v>0</v>
      </c>
      <c r="AH2922" s="4">
        <v>22</v>
      </c>
      <c r="AI2922" s="4">
        <v>25</v>
      </c>
      <c r="AJ2922" s="4">
        <v>1</v>
      </c>
      <c r="AK2922" s="4">
        <v>2</v>
      </c>
      <c r="AL2922" s="4">
        <v>17</v>
      </c>
      <c r="AM2922" s="4">
        <v>20</v>
      </c>
      <c r="AN2922" s="4">
        <v>0</v>
      </c>
      <c r="AO2922" s="4">
        <v>0</v>
      </c>
      <c r="AP2922" s="4">
        <v>1</v>
      </c>
      <c r="AQ2922" s="4">
        <v>2</v>
      </c>
      <c r="AR2922" s="3" t="s">
        <v>63</v>
      </c>
      <c r="AS2922" s="3" t="s">
        <v>63</v>
      </c>
      <c r="AT2922" s="3" t="s">
        <v>62</v>
      </c>
      <c r="AU2922" s="6" t="str">
        <f>HYPERLINK("http://catalog.hathitrust.org/Record/006661417","HathiTrust Record")</f>
        <v>HathiTrust Record</v>
      </c>
      <c r="AV2922" s="6" t="str">
        <f>HYPERLINK("http://mcgill.on.worldcat.org/oclc/11142066","Catalog Record")</f>
        <v>Catalog Record</v>
      </c>
      <c r="AW2922" s="6" t="str">
        <f>HYPERLINK("http://www.worldcat.org/oclc/11142066","WorldCat Record")</f>
        <v>WorldCat Record</v>
      </c>
      <c r="AX2922" s="3" t="s">
        <v>24416</v>
      </c>
      <c r="AY2922" s="3" t="s">
        <v>24417</v>
      </c>
      <c r="AZ2922" s="3" t="s">
        <v>24418</v>
      </c>
      <c r="BA2922" s="3" t="s">
        <v>24418</v>
      </c>
      <c r="BB2922" s="3" t="s">
        <v>24419</v>
      </c>
      <c r="BC2922" s="3" t="s">
        <v>82</v>
      </c>
      <c r="BD2922" s="3" t="s">
        <v>70</v>
      </c>
      <c r="BF2922" s="3" t="s">
        <v>24419</v>
      </c>
      <c r="BG2922" s="3" t="s">
        <v>24420</v>
      </c>
    </row>
    <row r="2923" spans="1:59" ht="60" x14ac:dyDescent="0.25">
      <c r="A2923" s="2" t="s">
        <v>59</v>
      </c>
      <c r="B2923" s="2" t="s">
        <v>60</v>
      </c>
      <c r="C2923" s="2" t="s">
        <v>24446</v>
      </c>
      <c r="D2923" s="2" t="s">
        <v>24447</v>
      </c>
      <c r="E2923" s="2" t="s">
        <v>24448</v>
      </c>
      <c r="G2923" s="3" t="s">
        <v>63</v>
      </c>
      <c r="I2923" s="3" t="s">
        <v>62</v>
      </c>
      <c r="J2923" s="3" t="s">
        <v>63</v>
      </c>
      <c r="K2923" s="3" t="s">
        <v>64</v>
      </c>
      <c r="L2923" s="2" t="s">
        <v>24449</v>
      </c>
      <c r="M2923" s="2" t="s">
        <v>24450</v>
      </c>
      <c r="N2923" s="3" t="s">
        <v>1046</v>
      </c>
      <c r="P2923" s="3" t="s">
        <v>66</v>
      </c>
      <c r="R2923" s="3" t="s">
        <v>67</v>
      </c>
      <c r="S2923" s="4">
        <v>10</v>
      </c>
      <c r="T2923" s="4">
        <v>10</v>
      </c>
      <c r="U2923" s="5" t="s">
        <v>24451</v>
      </c>
      <c r="V2923" s="5" t="s">
        <v>24451</v>
      </c>
      <c r="W2923" s="5" t="s">
        <v>69</v>
      </c>
      <c r="X2923" s="5" t="s">
        <v>69</v>
      </c>
      <c r="Y2923" s="4">
        <v>336</v>
      </c>
      <c r="Z2923" s="4">
        <v>11</v>
      </c>
      <c r="AA2923" s="4">
        <v>19</v>
      </c>
      <c r="AB2923" s="4">
        <v>2</v>
      </c>
      <c r="AC2923" s="4">
        <v>3</v>
      </c>
      <c r="AD2923" s="4">
        <v>79</v>
      </c>
      <c r="AE2923" s="4">
        <v>89</v>
      </c>
      <c r="AF2923" s="4">
        <v>1</v>
      </c>
      <c r="AG2923" s="4">
        <v>2</v>
      </c>
      <c r="AH2923" s="4">
        <v>69</v>
      </c>
      <c r="AI2923" s="4">
        <v>77</v>
      </c>
      <c r="AJ2923" s="4">
        <v>5</v>
      </c>
      <c r="AK2923" s="4">
        <v>9</v>
      </c>
      <c r="AL2923" s="4">
        <v>48</v>
      </c>
      <c r="AM2923" s="4">
        <v>53</v>
      </c>
      <c r="AN2923" s="4">
        <v>0</v>
      </c>
      <c r="AO2923" s="4">
        <v>0</v>
      </c>
      <c r="AP2923" s="4">
        <v>6</v>
      </c>
      <c r="AQ2923" s="4">
        <v>11</v>
      </c>
      <c r="AR2923" s="3" t="s">
        <v>63</v>
      </c>
      <c r="AS2923" s="3" t="s">
        <v>63</v>
      </c>
      <c r="AT2923" s="3" t="s">
        <v>62</v>
      </c>
      <c r="AU2923" s="6" t="str">
        <f>HYPERLINK("http://catalog.hathitrust.org/Record/000906919","HathiTrust Record")</f>
        <v>HathiTrust Record</v>
      </c>
      <c r="AV2923" s="6" t="str">
        <f>HYPERLINK("http://mcgill.on.worldcat.org/oclc/321185","Catalog Record")</f>
        <v>Catalog Record</v>
      </c>
      <c r="AW2923" s="6" t="str">
        <f>HYPERLINK("http://www.worldcat.org/oclc/321185","WorldCat Record")</f>
        <v>WorldCat Record</v>
      </c>
      <c r="AX2923" s="3" t="s">
        <v>24452</v>
      </c>
      <c r="AY2923" s="3" t="s">
        <v>24453</v>
      </c>
      <c r="AZ2923" s="3" t="s">
        <v>24454</v>
      </c>
      <c r="BA2923" s="3" t="s">
        <v>24454</v>
      </c>
      <c r="BB2923" s="3" t="s">
        <v>24455</v>
      </c>
      <c r="BC2923" s="3" t="s">
        <v>82</v>
      </c>
      <c r="BD2923" s="3" t="s">
        <v>70</v>
      </c>
      <c r="BF2923" s="3" t="s">
        <v>24455</v>
      </c>
      <c r="BG2923" s="3" t="s">
        <v>24456</v>
      </c>
    </row>
    <row r="2924" spans="1:59" ht="60" x14ac:dyDescent="0.25">
      <c r="A2924" s="2" t="s">
        <v>59</v>
      </c>
      <c r="B2924" s="2" t="s">
        <v>60</v>
      </c>
      <c r="C2924" s="2" t="s">
        <v>24457</v>
      </c>
      <c r="D2924" s="2" t="s">
        <v>24458</v>
      </c>
      <c r="E2924" s="2" t="s">
        <v>24459</v>
      </c>
      <c r="G2924" s="3" t="s">
        <v>63</v>
      </c>
      <c r="I2924" s="3" t="s">
        <v>63</v>
      </c>
      <c r="J2924" s="3" t="s">
        <v>63</v>
      </c>
      <c r="K2924" s="3" t="s">
        <v>64</v>
      </c>
      <c r="L2924" s="2" t="s">
        <v>24460</v>
      </c>
      <c r="M2924" s="2" t="s">
        <v>24461</v>
      </c>
      <c r="N2924" s="3" t="s">
        <v>247</v>
      </c>
      <c r="P2924" s="3" t="s">
        <v>90</v>
      </c>
      <c r="R2924" s="3" t="s">
        <v>67</v>
      </c>
      <c r="S2924" s="4">
        <v>1</v>
      </c>
      <c r="T2924" s="4">
        <v>1</v>
      </c>
      <c r="U2924" s="5" t="s">
        <v>24462</v>
      </c>
      <c r="V2924" s="5" t="s">
        <v>24462</v>
      </c>
      <c r="W2924" s="5" t="s">
        <v>69</v>
      </c>
      <c r="X2924" s="5" t="s">
        <v>69</v>
      </c>
      <c r="Y2924" s="4">
        <v>44</v>
      </c>
      <c r="Z2924" s="4">
        <v>8</v>
      </c>
      <c r="AA2924" s="4">
        <v>8</v>
      </c>
      <c r="AB2924" s="4">
        <v>1</v>
      </c>
      <c r="AC2924" s="4">
        <v>1</v>
      </c>
      <c r="AD2924" s="4">
        <v>33</v>
      </c>
      <c r="AE2924" s="4">
        <v>33</v>
      </c>
      <c r="AF2924" s="4">
        <v>0</v>
      </c>
      <c r="AG2924" s="4">
        <v>0</v>
      </c>
      <c r="AH2924" s="4">
        <v>29</v>
      </c>
      <c r="AI2924" s="4">
        <v>29</v>
      </c>
      <c r="AJ2924" s="4">
        <v>6</v>
      </c>
      <c r="AK2924" s="4">
        <v>6</v>
      </c>
      <c r="AL2924" s="4">
        <v>23</v>
      </c>
      <c r="AM2924" s="4">
        <v>23</v>
      </c>
      <c r="AN2924" s="4">
        <v>0</v>
      </c>
      <c r="AO2924" s="4">
        <v>0</v>
      </c>
      <c r="AP2924" s="4">
        <v>6</v>
      </c>
      <c r="AQ2924" s="4">
        <v>6</v>
      </c>
      <c r="AR2924" s="3" t="s">
        <v>63</v>
      </c>
      <c r="AS2924" s="3" t="s">
        <v>63</v>
      </c>
      <c r="AT2924" s="3" t="s">
        <v>62</v>
      </c>
      <c r="AU2924" s="6" t="str">
        <f>HYPERLINK("http://catalog.hathitrust.org/Record/000279340","HathiTrust Record")</f>
        <v>HathiTrust Record</v>
      </c>
      <c r="AV2924" s="6" t="str">
        <f>HYPERLINK("http://mcgill.on.worldcat.org/oclc/9251078","Catalog Record")</f>
        <v>Catalog Record</v>
      </c>
      <c r="AW2924" s="6" t="str">
        <f>HYPERLINK("http://www.worldcat.org/oclc/9251078","WorldCat Record")</f>
        <v>WorldCat Record</v>
      </c>
      <c r="AX2924" s="3" t="s">
        <v>24463</v>
      </c>
      <c r="AY2924" s="3" t="s">
        <v>24464</v>
      </c>
      <c r="AZ2924" s="3" t="s">
        <v>24465</v>
      </c>
      <c r="BA2924" s="3" t="s">
        <v>24465</v>
      </c>
      <c r="BB2924" s="3" t="s">
        <v>24466</v>
      </c>
      <c r="BC2924" s="3" t="s">
        <v>82</v>
      </c>
      <c r="BD2924" s="3" t="s">
        <v>70</v>
      </c>
      <c r="BF2924" s="3" t="s">
        <v>24466</v>
      </c>
      <c r="BG2924" s="3" t="s">
        <v>24467</v>
      </c>
    </row>
    <row r="2925" spans="1:59" ht="60" x14ac:dyDescent="0.25">
      <c r="A2925" s="2" t="s">
        <v>59</v>
      </c>
      <c r="B2925" s="2" t="s">
        <v>60</v>
      </c>
      <c r="C2925" s="2" t="s">
        <v>24468</v>
      </c>
      <c r="D2925" s="2" t="s">
        <v>24469</v>
      </c>
      <c r="E2925" s="2" t="s">
        <v>24470</v>
      </c>
      <c r="G2925" s="3" t="s">
        <v>63</v>
      </c>
      <c r="I2925" s="3" t="s">
        <v>63</v>
      </c>
      <c r="J2925" s="3" t="s">
        <v>63</v>
      </c>
      <c r="K2925" s="3" t="s">
        <v>64</v>
      </c>
      <c r="L2925" s="2" t="s">
        <v>24471</v>
      </c>
      <c r="M2925" s="2" t="s">
        <v>24472</v>
      </c>
      <c r="N2925" s="3" t="s">
        <v>247</v>
      </c>
      <c r="P2925" s="3" t="s">
        <v>66</v>
      </c>
      <c r="Q2925" s="2" t="s">
        <v>24473</v>
      </c>
      <c r="R2925" s="3" t="s">
        <v>67</v>
      </c>
      <c r="S2925" s="4">
        <v>22</v>
      </c>
      <c r="T2925" s="4">
        <v>22</v>
      </c>
      <c r="U2925" s="5" t="s">
        <v>24474</v>
      </c>
      <c r="V2925" s="5" t="s">
        <v>24474</v>
      </c>
      <c r="W2925" s="5" t="s">
        <v>69</v>
      </c>
      <c r="X2925" s="5" t="s">
        <v>69</v>
      </c>
      <c r="Y2925" s="4">
        <v>120</v>
      </c>
      <c r="Z2925" s="4">
        <v>10</v>
      </c>
      <c r="AA2925" s="4">
        <v>10</v>
      </c>
      <c r="AB2925" s="4">
        <v>1</v>
      </c>
      <c r="AC2925" s="4">
        <v>1</v>
      </c>
      <c r="AD2925" s="4">
        <v>53</v>
      </c>
      <c r="AE2925" s="4">
        <v>53</v>
      </c>
      <c r="AF2925" s="4">
        <v>0</v>
      </c>
      <c r="AG2925" s="4">
        <v>0</v>
      </c>
      <c r="AH2925" s="4">
        <v>47</v>
      </c>
      <c r="AI2925" s="4">
        <v>47</v>
      </c>
      <c r="AJ2925" s="4">
        <v>8</v>
      </c>
      <c r="AK2925" s="4">
        <v>8</v>
      </c>
      <c r="AL2925" s="4">
        <v>32</v>
      </c>
      <c r="AM2925" s="4">
        <v>32</v>
      </c>
      <c r="AN2925" s="4">
        <v>0</v>
      </c>
      <c r="AO2925" s="4">
        <v>0</v>
      </c>
      <c r="AP2925" s="4">
        <v>7</v>
      </c>
      <c r="AQ2925" s="4">
        <v>7</v>
      </c>
      <c r="AR2925" s="3" t="s">
        <v>63</v>
      </c>
      <c r="AS2925" s="3" t="s">
        <v>63</v>
      </c>
      <c r="AT2925" s="3" t="s">
        <v>63</v>
      </c>
      <c r="AV2925" s="6" t="str">
        <f>HYPERLINK("http://mcgill.on.worldcat.org/oclc/9736089","Catalog Record")</f>
        <v>Catalog Record</v>
      </c>
      <c r="AW2925" s="6" t="str">
        <f>HYPERLINK("http://www.worldcat.org/oclc/9736089","WorldCat Record")</f>
        <v>WorldCat Record</v>
      </c>
      <c r="AX2925" s="3" t="s">
        <v>24475</v>
      </c>
      <c r="AY2925" s="3" t="s">
        <v>24476</v>
      </c>
      <c r="AZ2925" s="3" t="s">
        <v>24477</v>
      </c>
      <c r="BA2925" s="3" t="s">
        <v>24477</v>
      </c>
      <c r="BB2925" s="3" t="s">
        <v>24478</v>
      </c>
      <c r="BC2925" s="3" t="s">
        <v>82</v>
      </c>
      <c r="BD2925" s="3" t="s">
        <v>70</v>
      </c>
      <c r="BF2925" s="3" t="s">
        <v>24478</v>
      </c>
      <c r="BG2925" s="3" t="s">
        <v>24479</v>
      </c>
    </row>
    <row r="2926" spans="1:59" ht="90" x14ac:dyDescent="0.25">
      <c r="A2926" s="2" t="s">
        <v>59</v>
      </c>
      <c r="B2926" s="2" t="s">
        <v>60</v>
      </c>
      <c r="C2926" s="2" t="s">
        <v>24480</v>
      </c>
      <c r="D2926" s="2" t="s">
        <v>24481</v>
      </c>
      <c r="E2926" s="2" t="s">
        <v>24482</v>
      </c>
      <c r="G2926" s="3" t="s">
        <v>63</v>
      </c>
      <c r="I2926" s="3" t="s">
        <v>63</v>
      </c>
      <c r="J2926" s="3" t="s">
        <v>63</v>
      </c>
      <c r="K2926" s="3" t="s">
        <v>64</v>
      </c>
      <c r="L2926" s="2" t="s">
        <v>23333</v>
      </c>
      <c r="M2926" s="2" t="s">
        <v>24483</v>
      </c>
      <c r="N2926" s="3" t="s">
        <v>668</v>
      </c>
      <c r="P2926" s="3" t="s">
        <v>66</v>
      </c>
      <c r="R2926" s="3" t="s">
        <v>67</v>
      </c>
      <c r="S2926" s="4">
        <v>5</v>
      </c>
      <c r="T2926" s="4">
        <v>5</v>
      </c>
      <c r="U2926" s="5" t="s">
        <v>24484</v>
      </c>
      <c r="V2926" s="5" t="s">
        <v>24484</v>
      </c>
      <c r="W2926" s="5" t="s">
        <v>69</v>
      </c>
      <c r="X2926" s="5" t="s">
        <v>69</v>
      </c>
      <c r="Y2926" s="4">
        <v>5</v>
      </c>
      <c r="Z2926" s="4">
        <v>5</v>
      </c>
      <c r="AA2926" s="4">
        <v>9</v>
      </c>
      <c r="AB2926" s="4">
        <v>1</v>
      </c>
      <c r="AC2926" s="4">
        <v>1</v>
      </c>
      <c r="AD2926" s="4">
        <v>3</v>
      </c>
      <c r="AE2926" s="4">
        <v>37</v>
      </c>
      <c r="AF2926" s="4">
        <v>0</v>
      </c>
      <c r="AG2926" s="4">
        <v>0</v>
      </c>
      <c r="AH2926" s="4">
        <v>3</v>
      </c>
      <c r="AI2926" s="4">
        <v>37</v>
      </c>
      <c r="AJ2926" s="4">
        <v>3</v>
      </c>
      <c r="AK2926" s="4">
        <v>7</v>
      </c>
      <c r="AL2926" s="4">
        <v>1</v>
      </c>
      <c r="AM2926" s="4">
        <v>20</v>
      </c>
      <c r="AN2926" s="4">
        <v>0</v>
      </c>
      <c r="AO2926" s="4">
        <v>4</v>
      </c>
      <c r="AP2926" s="4">
        <v>3</v>
      </c>
      <c r="AQ2926" s="4">
        <v>7</v>
      </c>
      <c r="AR2926" s="3" t="s">
        <v>63</v>
      </c>
      <c r="AS2926" s="3" t="s">
        <v>63</v>
      </c>
      <c r="AT2926" s="3" t="s">
        <v>62</v>
      </c>
      <c r="AU2926" s="6" t="str">
        <f>HYPERLINK("http://catalog.hathitrust.org/Record/002446872","HathiTrust Record")</f>
        <v>HathiTrust Record</v>
      </c>
      <c r="AV2926" s="6" t="str">
        <f>HYPERLINK("http://mcgill.on.worldcat.org/oclc/427367596","Catalog Record")</f>
        <v>Catalog Record</v>
      </c>
      <c r="AW2926" s="6" t="str">
        <f>HYPERLINK("http://www.worldcat.org/oclc/427367596","WorldCat Record")</f>
        <v>WorldCat Record</v>
      </c>
      <c r="AX2926" s="3" t="s">
        <v>24485</v>
      </c>
      <c r="AY2926" s="3" t="s">
        <v>24486</v>
      </c>
      <c r="AZ2926" s="3" t="s">
        <v>24487</v>
      </c>
      <c r="BA2926" s="3" t="s">
        <v>24487</v>
      </c>
      <c r="BB2926" s="3" t="s">
        <v>24488</v>
      </c>
      <c r="BC2926" s="3" t="s">
        <v>82</v>
      </c>
      <c r="BD2926" s="3" t="s">
        <v>70</v>
      </c>
      <c r="BE2926" s="3" t="s">
        <v>24489</v>
      </c>
      <c r="BF2926" s="3" t="s">
        <v>24488</v>
      </c>
      <c r="BG2926" s="3" t="s">
        <v>24490</v>
      </c>
    </row>
    <row r="2927" spans="1:59" ht="60" x14ac:dyDescent="0.25">
      <c r="A2927" s="2" t="s">
        <v>59</v>
      </c>
      <c r="B2927" s="2" t="s">
        <v>60</v>
      </c>
      <c r="C2927" s="2" t="s">
        <v>24491</v>
      </c>
      <c r="D2927" s="2" t="s">
        <v>24492</v>
      </c>
      <c r="E2927" s="2" t="s">
        <v>24493</v>
      </c>
      <c r="G2927" s="3" t="s">
        <v>63</v>
      </c>
      <c r="I2927" s="3" t="s">
        <v>63</v>
      </c>
      <c r="J2927" s="3" t="s">
        <v>63</v>
      </c>
      <c r="K2927" s="3" t="s">
        <v>64</v>
      </c>
      <c r="M2927" s="2" t="s">
        <v>24494</v>
      </c>
      <c r="N2927" s="3" t="s">
        <v>629</v>
      </c>
      <c r="P2927" s="3" t="s">
        <v>90</v>
      </c>
      <c r="R2927" s="3" t="s">
        <v>67</v>
      </c>
      <c r="S2927" s="4">
        <v>1</v>
      </c>
      <c r="T2927" s="4">
        <v>1</v>
      </c>
      <c r="U2927" s="5" t="s">
        <v>24495</v>
      </c>
      <c r="V2927" s="5" t="s">
        <v>24495</v>
      </c>
      <c r="W2927" s="5" t="s">
        <v>69</v>
      </c>
      <c r="X2927" s="5" t="s">
        <v>69</v>
      </c>
      <c r="Y2927" s="4">
        <v>17</v>
      </c>
      <c r="Z2927" s="4">
        <v>1</v>
      </c>
      <c r="AA2927" s="4">
        <v>1</v>
      </c>
      <c r="AB2927" s="4">
        <v>1</v>
      </c>
      <c r="AC2927" s="4">
        <v>1</v>
      </c>
      <c r="AD2927" s="4">
        <v>7</v>
      </c>
      <c r="AE2927" s="4">
        <v>7</v>
      </c>
      <c r="AF2927" s="4">
        <v>0</v>
      </c>
      <c r="AG2927" s="4">
        <v>0</v>
      </c>
      <c r="AH2927" s="4">
        <v>7</v>
      </c>
      <c r="AI2927" s="4">
        <v>7</v>
      </c>
      <c r="AJ2927" s="4">
        <v>0</v>
      </c>
      <c r="AK2927" s="4">
        <v>0</v>
      </c>
      <c r="AL2927" s="4">
        <v>4</v>
      </c>
      <c r="AM2927" s="4">
        <v>4</v>
      </c>
      <c r="AN2927" s="4">
        <v>0</v>
      </c>
      <c r="AO2927" s="4">
        <v>0</v>
      </c>
      <c r="AP2927" s="4">
        <v>0</v>
      </c>
      <c r="AQ2927" s="4">
        <v>0</v>
      </c>
      <c r="AR2927" s="3" t="s">
        <v>63</v>
      </c>
      <c r="AS2927" s="3" t="s">
        <v>63</v>
      </c>
      <c r="AT2927" s="3" t="s">
        <v>63</v>
      </c>
      <c r="AV2927" s="6" t="str">
        <f>HYPERLINK("http://mcgill.on.worldcat.org/oclc/752287941","Catalog Record")</f>
        <v>Catalog Record</v>
      </c>
      <c r="AW2927" s="6" t="str">
        <f>HYPERLINK("http://www.worldcat.org/oclc/752287941","WorldCat Record")</f>
        <v>WorldCat Record</v>
      </c>
      <c r="AX2927" s="3" t="s">
        <v>24496</v>
      </c>
      <c r="AY2927" s="3" t="s">
        <v>24497</v>
      </c>
      <c r="AZ2927" s="3" t="s">
        <v>24498</v>
      </c>
      <c r="BA2927" s="3" t="s">
        <v>24498</v>
      </c>
      <c r="BB2927" s="3" t="s">
        <v>24499</v>
      </c>
      <c r="BC2927" s="3" t="s">
        <v>82</v>
      </c>
      <c r="BD2927" s="3" t="s">
        <v>70</v>
      </c>
      <c r="BE2927" s="3" t="s">
        <v>24500</v>
      </c>
      <c r="BF2927" s="3" t="s">
        <v>24499</v>
      </c>
      <c r="BG2927" s="3" t="s">
        <v>24501</v>
      </c>
    </row>
    <row r="2928" spans="1:59" ht="60" x14ac:dyDescent="0.25">
      <c r="A2928" s="2" t="s">
        <v>59</v>
      </c>
      <c r="B2928" s="2" t="s">
        <v>60</v>
      </c>
      <c r="C2928" s="2" t="s">
        <v>24502</v>
      </c>
      <c r="D2928" s="2" t="s">
        <v>24503</v>
      </c>
      <c r="E2928" s="2" t="s">
        <v>24504</v>
      </c>
      <c r="G2928" s="3" t="s">
        <v>63</v>
      </c>
      <c r="I2928" s="3" t="s">
        <v>62</v>
      </c>
      <c r="J2928" s="3" t="s">
        <v>63</v>
      </c>
      <c r="K2928" s="3" t="s">
        <v>64</v>
      </c>
      <c r="L2928" s="2" t="s">
        <v>20855</v>
      </c>
      <c r="M2928" s="2" t="s">
        <v>24505</v>
      </c>
      <c r="N2928" s="3" t="s">
        <v>468</v>
      </c>
      <c r="P2928" s="3" t="s">
        <v>66</v>
      </c>
      <c r="R2928" s="3" t="s">
        <v>67</v>
      </c>
      <c r="S2928" s="4">
        <v>3</v>
      </c>
      <c r="T2928" s="4">
        <v>12</v>
      </c>
      <c r="U2928" s="5" t="s">
        <v>24484</v>
      </c>
      <c r="V2928" s="5" t="s">
        <v>24484</v>
      </c>
      <c r="W2928" s="5" t="s">
        <v>69</v>
      </c>
      <c r="X2928" s="5" t="s">
        <v>69</v>
      </c>
      <c r="Y2928" s="4">
        <v>443</v>
      </c>
      <c r="Z2928" s="4">
        <v>30</v>
      </c>
      <c r="AA2928" s="4">
        <v>36</v>
      </c>
      <c r="AB2928" s="4">
        <v>2</v>
      </c>
      <c r="AC2928" s="4">
        <v>4</v>
      </c>
      <c r="AD2928" s="4">
        <v>116</v>
      </c>
      <c r="AE2928" s="4">
        <v>128</v>
      </c>
      <c r="AF2928" s="4">
        <v>1</v>
      </c>
      <c r="AG2928" s="4">
        <v>3</v>
      </c>
      <c r="AH2928" s="4">
        <v>98</v>
      </c>
      <c r="AI2928" s="4">
        <v>107</v>
      </c>
      <c r="AJ2928" s="4">
        <v>18</v>
      </c>
      <c r="AK2928" s="4">
        <v>23</v>
      </c>
      <c r="AL2928" s="4">
        <v>55</v>
      </c>
      <c r="AM2928" s="4">
        <v>58</v>
      </c>
      <c r="AN2928" s="4">
        <v>0</v>
      </c>
      <c r="AO2928" s="4">
        <v>2</v>
      </c>
      <c r="AP2928" s="4">
        <v>24</v>
      </c>
      <c r="AQ2928" s="4">
        <v>29</v>
      </c>
      <c r="AR2928" s="3" t="s">
        <v>63</v>
      </c>
      <c r="AS2928" s="3" t="s">
        <v>63</v>
      </c>
      <c r="AT2928" s="3" t="s">
        <v>62</v>
      </c>
      <c r="AU2928" s="6" t="str">
        <f>HYPERLINK("http://catalog.hathitrust.org/Record/007113640","HathiTrust Record")</f>
        <v>HathiTrust Record</v>
      </c>
      <c r="AV2928" s="6" t="str">
        <f>HYPERLINK("http://mcgill.on.worldcat.org/oclc/2284302","Catalog Record")</f>
        <v>Catalog Record</v>
      </c>
      <c r="AW2928" s="6" t="str">
        <f>HYPERLINK("http://www.worldcat.org/oclc/2284302","WorldCat Record")</f>
        <v>WorldCat Record</v>
      </c>
      <c r="AX2928" s="3" t="s">
        <v>24506</v>
      </c>
      <c r="AY2928" s="3" t="s">
        <v>24507</v>
      </c>
      <c r="AZ2928" s="3" t="s">
        <v>24508</v>
      </c>
      <c r="BA2928" s="3" t="s">
        <v>24508</v>
      </c>
      <c r="BB2928" s="3" t="s">
        <v>24509</v>
      </c>
      <c r="BC2928" s="3" t="s">
        <v>82</v>
      </c>
      <c r="BD2928" s="3" t="s">
        <v>70</v>
      </c>
      <c r="BE2928" s="3" t="s">
        <v>24510</v>
      </c>
      <c r="BF2928" s="3" t="s">
        <v>24509</v>
      </c>
      <c r="BG2928" s="3" t="s">
        <v>24511</v>
      </c>
    </row>
    <row r="2929" spans="1:59" ht="60" x14ac:dyDescent="0.25">
      <c r="A2929" s="2" t="s">
        <v>59</v>
      </c>
      <c r="B2929" s="2" t="s">
        <v>60</v>
      </c>
      <c r="C2929" s="2" t="s">
        <v>24502</v>
      </c>
      <c r="D2929" s="2" t="s">
        <v>24503</v>
      </c>
      <c r="E2929" s="2" t="s">
        <v>24504</v>
      </c>
      <c r="G2929" s="3" t="s">
        <v>63</v>
      </c>
      <c r="I2929" s="3" t="s">
        <v>62</v>
      </c>
      <c r="J2929" s="3" t="s">
        <v>63</v>
      </c>
      <c r="K2929" s="3" t="s">
        <v>64</v>
      </c>
      <c r="L2929" s="2" t="s">
        <v>20855</v>
      </c>
      <c r="M2929" s="2" t="s">
        <v>24505</v>
      </c>
      <c r="N2929" s="3" t="s">
        <v>468</v>
      </c>
      <c r="P2929" s="3" t="s">
        <v>66</v>
      </c>
      <c r="R2929" s="3" t="s">
        <v>67</v>
      </c>
      <c r="S2929" s="4">
        <v>9</v>
      </c>
      <c r="T2929" s="4">
        <v>12</v>
      </c>
      <c r="U2929" s="5" t="s">
        <v>24512</v>
      </c>
      <c r="V2929" s="5" t="s">
        <v>24484</v>
      </c>
      <c r="W2929" s="5" t="s">
        <v>69</v>
      </c>
      <c r="X2929" s="5" t="s">
        <v>69</v>
      </c>
      <c r="Y2929" s="4">
        <v>443</v>
      </c>
      <c r="Z2929" s="4">
        <v>30</v>
      </c>
      <c r="AA2929" s="4">
        <v>36</v>
      </c>
      <c r="AB2929" s="4">
        <v>2</v>
      </c>
      <c r="AC2929" s="4">
        <v>4</v>
      </c>
      <c r="AD2929" s="4">
        <v>116</v>
      </c>
      <c r="AE2929" s="4">
        <v>128</v>
      </c>
      <c r="AF2929" s="4">
        <v>1</v>
      </c>
      <c r="AG2929" s="4">
        <v>3</v>
      </c>
      <c r="AH2929" s="4">
        <v>98</v>
      </c>
      <c r="AI2929" s="4">
        <v>107</v>
      </c>
      <c r="AJ2929" s="4">
        <v>18</v>
      </c>
      <c r="AK2929" s="4">
        <v>23</v>
      </c>
      <c r="AL2929" s="4">
        <v>55</v>
      </c>
      <c r="AM2929" s="4">
        <v>58</v>
      </c>
      <c r="AN2929" s="4">
        <v>0</v>
      </c>
      <c r="AO2929" s="4">
        <v>2</v>
      </c>
      <c r="AP2929" s="4">
        <v>24</v>
      </c>
      <c r="AQ2929" s="4">
        <v>29</v>
      </c>
      <c r="AR2929" s="3" t="s">
        <v>63</v>
      </c>
      <c r="AS2929" s="3" t="s">
        <v>63</v>
      </c>
      <c r="AT2929" s="3" t="s">
        <v>62</v>
      </c>
      <c r="AU2929" s="6" t="str">
        <f>HYPERLINK("http://catalog.hathitrust.org/Record/007113640","HathiTrust Record")</f>
        <v>HathiTrust Record</v>
      </c>
      <c r="AV2929" s="6" t="str">
        <f>HYPERLINK("http://mcgill.on.worldcat.org/oclc/2284302","Catalog Record")</f>
        <v>Catalog Record</v>
      </c>
      <c r="AW2929" s="6" t="str">
        <f>HYPERLINK("http://www.worldcat.org/oclc/2284302","WorldCat Record")</f>
        <v>WorldCat Record</v>
      </c>
      <c r="AX2929" s="3" t="s">
        <v>24506</v>
      </c>
      <c r="AY2929" s="3" t="s">
        <v>24507</v>
      </c>
      <c r="AZ2929" s="3" t="s">
        <v>24508</v>
      </c>
      <c r="BA2929" s="3" t="s">
        <v>24508</v>
      </c>
      <c r="BB2929" s="3" t="s">
        <v>24513</v>
      </c>
      <c r="BC2929" s="3" t="s">
        <v>82</v>
      </c>
      <c r="BD2929" s="3" t="s">
        <v>70</v>
      </c>
      <c r="BE2929" s="3" t="s">
        <v>24510</v>
      </c>
      <c r="BF2929" s="3" t="s">
        <v>24513</v>
      </c>
      <c r="BG2929" s="3" t="s">
        <v>24514</v>
      </c>
    </row>
    <row r="2930" spans="1:59" ht="60" x14ac:dyDescent="0.25">
      <c r="A2930" s="2" t="s">
        <v>59</v>
      </c>
      <c r="B2930" s="2" t="s">
        <v>60</v>
      </c>
      <c r="C2930" s="2" t="s">
        <v>24515</v>
      </c>
      <c r="D2930" s="2" t="s">
        <v>24516</v>
      </c>
      <c r="E2930" s="2" t="s">
        <v>24517</v>
      </c>
      <c r="G2930" s="3" t="s">
        <v>63</v>
      </c>
      <c r="I2930" s="3" t="s">
        <v>63</v>
      </c>
      <c r="J2930" s="3" t="s">
        <v>63</v>
      </c>
      <c r="K2930" s="3" t="s">
        <v>64</v>
      </c>
      <c r="M2930" s="2" t="s">
        <v>24518</v>
      </c>
      <c r="N2930" s="3" t="s">
        <v>668</v>
      </c>
      <c r="P2930" s="3" t="s">
        <v>90</v>
      </c>
      <c r="R2930" s="3" t="s">
        <v>67</v>
      </c>
      <c r="S2930" s="4">
        <v>3</v>
      </c>
      <c r="T2930" s="4">
        <v>3</v>
      </c>
      <c r="U2930" s="5" t="s">
        <v>23645</v>
      </c>
      <c r="V2930" s="5" t="s">
        <v>23645</v>
      </c>
      <c r="W2930" s="5" t="s">
        <v>69</v>
      </c>
      <c r="X2930" s="5" t="s">
        <v>69</v>
      </c>
      <c r="Y2930" s="4">
        <v>54</v>
      </c>
      <c r="Z2930" s="4">
        <v>4</v>
      </c>
      <c r="AA2930" s="4">
        <v>6</v>
      </c>
      <c r="AB2930" s="4">
        <v>1</v>
      </c>
      <c r="AC2930" s="4">
        <v>1</v>
      </c>
      <c r="AD2930" s="4">
        <v>40</v>
      </c>
      <c r="AE2930" s="4">
        <v>41</v>
      </c>
      <c r="AF2930" s="4">
        <v>0</v>
      </c>
      <c r="AG2930" s="4">
        <v>0</v>
      </c>
      <c r="AH2930" s="4">
        <v>40</v>
      </c>
      <c r="AI2930" s="4">
        <v>41</v>
      </c>
      <c r="AJ2930" s="4">
        <v>3</v>
      </c>
      <c r="AK2930" s="4">
        <v>4</v>
      </c>
      <c r="AL2930" s="4">
        <v>30</v>
      </c>
      <c r="AM2930" s="4">
        <v>31</v>
      </c>
      <c r="AN2930" s="4">
        <v>0</v>
      </c>
      <c r="AO2930" s="4">
        <v>0</v>
      </c>
      <c r="AP2930" s="4">
        <v>3</v>
      </c>
      <c r="AQ2930" s="4">
        <v>4</v>
      </c>
      <c r="AR2930" s="3" t="s">
        <v>63</v>
      </c>
      <c r="AS2930" s="3" t="s">
        <v>63</v>
      </c>
      <c r="AT2930" s="3" t="s">
        <v>62</v>
      </c>
      <c r="AU2930" s="6" t="str">
        <f>HYPERLINK("http://catalog.hathitrust.org/Record/002978343","HathiTrust Record")</f>
        <v>HathiTrust Record</v>
      </c>
      <c r="AV2930" s="6" t="str">
        <f>HYPERLINK("http://mcgill.on.worldcat.org/oclc/24657312","Catalog Record")</f>
        <v>Catalog Record</v>
      </c>
      <c r="AW2930" s="6" t="str">
        <f>HYPERLINK("http://www.worldcat.org/oclc/24657312","WorldCat Record")</f>
        <v>WorldCat Record</v>
      </c>
      <c r="AX2930" s="3" t="s">
        <v>24519</v>
      </c>
      <c r="AY2930" s="3" t="s">
        <v>24520</v>
      </c>
      <c r="AZ2930" s="3" t="s">
        <v>24521</v>
      </c>
      <c r="BA2930" s="3" t="s">
        <v>24521</v>
      </c>
      <c r="BB2930" s="3" t="s">
        <v>24522</v>
      </c>
      <c r="BC2930" s="3" t="s">
        <v>82</v>
      </c>
      <c r="BD2930" s="3" t="s">
        <v>70</v>
      </c>
      <c r="BE2930" s="3" t="s">
        <v>24523</v>
      </c>
      <c r="BF2930" s="3" t="s">
        <v>24522</v>
      </c>
      <c r="BG2930" s="3" t="s">
        <v>24524</v>
      </c>
    </row>
    <row r="2931" spans="1:59" ht="60" x14ac:dyDescent="0.25">
      <c r="A2931" s="2" t="s">
        <v>59</v>
      </c>
      <c r="B2931" s="2" t="s">
        <v>60</v>
      </c>
      <c r="C2931" s="2" t="s">
        <v>24525</v>
      </c>
      <c r="D2931" s="2" t="s">
        <v>24526</v>
      </c>
      <c r="E2931" s="2" t="s">
        <v>24527</v>
      </c>
      <c r="G2931" s="3" t="s">
        <v>63</v>
      </c>
      <c r="I2931" s="3" t="s">
        <v>63</v>
      </c>
      <c r="J2931" s="3" t="s">
        <v>63</v>
      </c>
      <c r="K2931" s="3" t="s">
        <v>64</v>
      </c>
      <c r="L2931" s="2" t="s">
        <v>24528</v>
      </c>
      <c r="M2931" s="2" t="s">
        <v>24529</v>
      </c>
      <c r="N2931" s="3" t="s">
        <v>2535</v>
      </c>
      <c r="O2931" s="2" t="s">
        <v>976</v>
      </c>
      <c r="P2931" s="3" t="s">
        <v>66</v>
      </c>
      <c r="R2931" s="3" t="s">
        <v>67</v>
      </c>
      <c r="S2931" s="4">
        <v>1</v>
      </c>
      <c r="T2931" s="4">
        <v>1</v>
      </c>
      <c r="U2931" s="5" t="s">
        <v>24530</v>
      </c>
      <c r="V2931" s="5" t="s">
        <v>24530</v>
      </c>
      <c r="W2931" s="5" t="s">
        <v>69</v>
      </c>
      <c r="X2931" s="5" t="s">
        <v>69</v>
      </c>
      <c r="Y2931" s="4">
        <v>349</v>
      </c>
      <c r="Z2931" s="4">
        <v>24</v>
      </c>
      <c r="AA2931" s="4">
        <v>24</v>
      </c>
      <c r="AB2931" s="4">
        <v>3</v>
      </c>
      <c r="AC2931" s="4">
        <v>3</v>
      </c>
      <c r="AD2931" s="4">
        <v>102</v>
      </c>
      <c r="AE2931" s="4">
        <v>102</v>
      </c>
      <c r="AF2931" s="4">
        <v>2</v>
      </c>
      <c r="AG2931" s="4">
        <v>2</v>
      </c>
      <c r="AH2931" s="4">
        <v>91</v>
      </c>
      <c r="AI2931" s="4">
        <v>91</v>
      </c>
      <c r="AJ2931" s="4">
        <v>18</v>
      </c>
      <c r="AK2931" s="4">
        <v>18</v>
      </c>
      <c r="AL2931" s="4">
        <v>53</v>
      </c>
      <c r="AM2931" s="4">
        <v>53</v>
      </c>
      <c r="AN2931" s="4">
        <v>2</v>
      </c>
      <c r="AO2931" s="4">
        <v>2</v>
      </c>
      <c r="AP2931" s="4">
        <v>18</v>
      </c>
      <c r="AQ2931" s="4">
        <v>18</v>
      </c>
      <c r="AR2931" s="3" t="s">
        <v>63</v>
      </c>
      <c r="AS2931" s="3" t="s">
        <v>63</v>
      </c>
      <c r="AT2931" s="3" t="s">
        <v>62</v>
      </c>
      <c r="AU2931" s="6" t="str">
        <f>HYPERLINK("http://catalog.hathitrust.org/Record/003097276","HathiTrust Record")</f>
        <v>HathiTrust Record</v>
      </c>
      <c r="AV2931" s="6" t="str">
        <f>HYPERLINK("http://mcgill.on.worldcat.org/oclc/1419654","Catalog Record")</f>
        <v>Catalog Record</v>
      </c>
      <c r="AW2931" s="6" t="str">
        <f>HYPERLINK("http://www.worldcat.org/oclc/1419654","WorldCat Record")</f>
        <v>WorldCat Record</v>
      </c>
      <c r="AX2931" s="3" t="s">
        <v>24531</v>
      </c>
      <c r="AY2931" s="3" t="s">
        <v>24532</v>
      </c>
      <c r="AZ2931" s="3" t="s">
        <v>24533</v>
      </c>
      <c r="BA2931" s="3" t="s">
        <v>24533</v>
      </c>
      <c r="BB2931" s="3" t="s">
        <v>24534</v>
      </c>
      <c r="BC2931" s="3" t="s">
        <v>82</v>
      </c>
      <c r="BD2931" s="3" t="s">
        <v>70</v>
      </c>
      <c r="BE2931" s="3" t="s">
        <v>22729</v>
      </c>
      <c r="BF2931" s="3" t="s">
        <v>24534</v>
      </c>
      <c r="BG2931" s="3" t="s">
        <v>24535</v>
      </c>
    </row>
    <row r="2932" spans="1:59" ht="60" x14ac:dyDescent="0.25">
      <c r="A2932" s="2" t="s">
        <v>59</v>
      </c>
      <c r="B2932" s="2" t="s">
        <v>60</v>
      </c>
      <c r="C2932" s="2" t="s">
        <v>24536</v>
      </c>
      <c r="D2932" s="2" t="s">
        <v>24537</v>
      </c>
      <c r="E2932" s="2" t="s">
        <v>24538</v>
      </c>
      <c r="G2932" s="3" t="s">
        <v>63</v>
      </c>
      <c r="I2932" s="3" t="s">
        <v>63</v>
      </c>
      <c r="J2932" s="3" t="s">
        <v>63</v>
      </c>
      <c r="K2932" s="3" t="s">
        <v>64</v>
      </c>
      <c r="L2932" s="2" t="s">
        <v>24539</v>
      </c>
      <c r="M2932" s="2" t="s">
        <v>24540</v>
      </c>
      <c r="N2932" s="3" t="s">
        <v>374</v>
      </c>
      <c r="P2932" s="3" t="s">
        <v>66</v>
      </c>
      <c r="R2932" s="3" t="s">
        <v>67</v>
      </c>
      <c r="S2932" s="4">
        <v>5</v>
      </c>
      <c r="T2932" s="4">
        <v>5</v>
      </c>
      <c r="U2932" s="5" t="s">
        <v>24541</v>
      </c>
      <c r="V2932" s="5" t="s">
        <v>24541</v>
      </c>
      <c r="W2932" s="5" t="s">
        <v>69</v>
      </c>
      <c r="X2932" s="5" t="s">
        <v>69</v>
      </c>
      <c r="Y2932" s="4">
        <v>46</v>
      </c>
      <c r="Z2932" s="4">
        <v>33</v>
      </c>
      <c r="AA2932" s="4">
        <v>42</v>
      </c>
      <c r="AB2932" s="4">
        <v>1</v>
      </c>
      <c r="AC2932" s="4">
        <v>4</v>
      </c>
      <c r="AD2932" s="4">
        <v>18</v>
      </c>
      <c r="AE2932" s="4">
        <v>108</v>
      </c>
      <c r="AF2932" s="4">
        <v>0</v>
      </c>
      <c r="AG2932" s="4">
        <v>1</v>
      </c>
      <c r="AH2932" s="4">
        <v>11</v>
      </c>
      <c r="AI2932" s="4">
        <v>95</v>
      </c>
      <c r="AJ2932" s="4">
        <v>15</v>
      </c>
      <c r="AK2932" s="4">
        <v>17</v>
      </c>
      <c r="AL2932" s="4">
        <v>3</v>
      </c>
      <c r="AM2932" s="4">
        <v>53</v>
      </c>
      <c r="AN2932" s="4">
        <v>0</v>
      </c>
      <c r="AO2932" s="4">
        <v>0</v>
      </c>
      <c r="AP2932" s="4">
        <v>15</v>
      </c>
      <c r="AQ2932" s="4">
        <v>19</v>
      </c>
      <c r="AR2932" s="3" t="s">
        <v>62</v>
      </c>
      <c r="AS2932" s="3" t="s">
        <v>63</v>
      </c>
      <c r="AT2932" s="3" t="s">
        <v>63</v>
      </c>
      <c r="AV2932" s="6" t="str">
        <f>HYPERLINK("http://mcgill.on.worldcat.org/oclc/32087707","Catalog Record")</f>
        <v>Catalog Record</v>
      </c>
      <c r="AW2932" s="6" t="str">
        <f>HYPERLINK("http://www.worldcat.org/oclc/32087707","WorldCat Record")</f>
        <v>WorldCat Record</v>
      </c>
      <c r="AX2932" s="3" t="s">
        <v>24542</v>
      </c>
      <c r="AY2932" s="3" t="s">
        <v>24543</v>
      </c>
      <c r="AZ2932" s="3" t="s">
        <v>24544</v>
      </c>
      <c r="BA2932" s="3" t="s">
        <v>24544</v>
      </c>
      <c r="BB2932" s="3" t="s">
        <v>24545</v>
      </c>
      <c r="BC2932" s="3" t="s">
        <v>82</v>
      </c>
      <c r="BD2932" s="3" t="s">
        <v>70</v>
      </c>
      <c r="BE2932" s="3" t="s">
        <v>24546</v>
      </c>
      <c r="BF2932" s="3" t="s">
        <v>24545</v>
      </c>
      <c r="BG2932" s="3" t="s">
        <v>24547</v>
      </c>
    </row>
    <row r="2933" spans="1:59" ht="60" x14ac:dyDescent="0.25">
      <c r="A2933" s="2" t="s">
        <v>59</v>
      </c>
      <c r="B2933" s="2" t="s">
        <v>60</v>
      </c>
      <c r="C2933" s="2" t="s">
        <v>24548</v>
      </c>
      <c r="D2933" s="2" t="s">
        <v>24549</v>
      </c>
      <c r="E2933" s="2" t="s">
        <v>24550</v>
      </c>
      <c r="G2933" s="3" t="s">
        <v>63</v>
      </c>
      <c r="I2933" s="3" t="s">
        <v>62</v>
      </c>
      <c r="J2933" s="3" t="s">
        <v>63</v>
      </c>
      <c r="K2933" s="3" t="s">
        <v>64</v>
      </c>
      <c r="L2933" s="2" t="s">
        <v>24551</v>
      </c>
      <c r="M2933" s="2" t="s">
        <v>24552</v>
      </c>
      <c r="N2933" s="3" t="s">
        <v>2535</v>
      </c>
      <c r="P2933" s="3" t="s">
        <v>66</v>
      </c>
      <c r="R2933" s="3" t="s">
        <v>67</v>
      </c>
      <c r="S2933" s="4">
        <v>25</v>
      </c>
      <c r="T2933" s="4">
        <v>48</v>
      </c>
      <c r="U2933" s="5" t="s">
        <v>24553</v>
      </c>
      <c r="V2933" s="5" t="s">
        <v>2867</v>
      </c>
      <c r="W2933" s="5" t="s">
        <v>69</v>
      </c>
      <c r="X2933" s="5" t="s">
        <v>69</v>
      </c>
      <c r="Y2933" s="4">
        <v>190</v>
      </c>
      <c r="Z2933" s="4">
        <v>11</v>
      </c>
      <c r="AA2933" s="4">
        <v>23</v>
      </c>
      <c r="AB2933" s="4">
        <v>2</v>
      </c>
      <c r="AC2933" s="4">
        <v>2</v>
      </c>
      <c r="AD2933" s="4">
        <v>56</v>
      </c>
      <c r="AE2933" s="4">
        <v>99</v>
      </c>
      <c r="AF2933" s="4">
        <v>0</v>
      </c>
      <c r="AG2933" s="4">
        <v>0</v>
      </c>
      <c r="AH2933" s="4">
        <v>51</v>
      </c>
      <c r="AI2933" s="4">
        <v>87</v>
      </c>
      <c r="AJ2933" s="4">
        <v>5</v>
      </c>
      <c r="AK2933" s="4">
        <v>15</v>
      </c>
      <c r="AL2933" s="4">
        <v>28</v>
      </c>
      <c r="AM2933" s="4">
        <v>48</v>
      </c>
      <c r="AN2933" s="4">
        <v>5</v>
      </c>
      <c r="AO2933" s="4">
        <v>5</v>
      </c>
      <c r="AP2933" s="4">
        <v>7</v>
      </c>
      <c r="AQ2933" s="4">
        <v>17</v>
      </c>
      <c r="AR2933" s="3" t="s">
        <v>63</v>
      </c>
      <c r="AS2933" s="3" t="s">
        <v>63</v>
      </c>
      <c r="AT2933" s="3" t="s">
        <v>62</v>
      </c>
      <c r="AU2933" s="6" t="str">
        <f>HYPERLINK("http://catalog.hathitrust.org/Record/102072740","HathiTrust Record")</f>
        <v>HathiTrust Record</v>
      </c>
      <c r="AV2933" s="6" t="str">
        <f>HYPERLINK("http://mcgill.on.worldcat.org/oclc/572202","Catalog Record")</f>
        <v>Catalog Record</v>
      </c>
      <c r="AW2933" s="6" t="str">
        <f>HYPERLINK("http://www.worldcat.org/oclc/572202","WorldCat Record")</f>
        <v>WorldCat Record</v>
      </c>
      <c r="AX2933" s="3" t="s">
        <v>24554</v>
      </c>
      <c r="AY2933" s="3" t="s">
        <v>24555</v>
      </c>
      <c r="AZ2933" s="3" t="s">
        <v>24556</v>
      </c>
      <c r="BA2933" s="3" t="s">
        <v>24556</v>
      </c>
      <c r="BB2933" s="3" t="s">
        <v>24557</v>
      </c>
      <c r="BC2933" s="3" t="s">
        <v>82</v>
      </c>
      <c r="BD2933" s="3" t="s">
        <v>70</v>
      </c>
      <c r="BE2933" s="3" t="s">
        <v>24558</v>
      </c>
      <c r="BF2933" s="3" t="s">
        <v>24557</v>
      </c>
      <c r="BG2933" s="3" t="s">
        <v>24559</v>
      </c>
    </row>
    <row r="2934" spans="1:59" ht="105" x14ac:dyDescent="0.25">
      <c r="A2934" s="2" t="s">
        <v>59</v>
      </c>
      <c r="B2934" s="2" t="s">
        <v>3448</v>
      </c>
      <c r="C2934" s="2" t="s">
        <v>24548</v>
      </c>
      <c r="D2934" s="2" t="s">
        <v>24549</v>
      </c>
      <c r="E2934" s="2" t="s">
        <v>24550</v>
      </c>
      <c r="G2934" s="3" t="s">
        <v>63</v>
      </c>
      <c r="I2934" s="3" t="s">
        <v>62</v>
      </c>
      <c r="J2934" s="3" t="s">
        <v>63</v>
      </c>
      <c r="K2934" s="3" t="s">
        <v>64</v>
      </c>
      <c r="L2934" s="2" t="s">
        <v>24551</v>
      </c>
      <c r="M2934" s="2" t="s">
        <v>24552</v>
      </c>
      <c r="N2934" s="3" t="s">
        <v>2535</v>
      </c>
      <c r="P2934" s="3" t="s">
        <v>66</v>
      </c>
      <c r="R2934" s="3" t="s">
        <v>67</v>
      </c>
      <c r="S2934" s="4">
        <v>23</v>
      </c>
      <c r="T2934" s="4">
        <v>48</v>
      </c>
      <c r="U2934" s="5" t="s">
        <v>2867</v>
      </c>
      <c r="V2934" s="5" t="s">
        <v>2867</v>
      </c>
      <c r="W2934" s="5" t="s">
        <v>69</v>
      </c>
      <c r="X2934" s="5" t="s">
        <v>69</v>
      </c>
      <c r="Y2934" s="4">
        <v>190</v>
      </c>
      <c r="Z2934" s="4">
        <v>11</v>
      </c>
      <c r="AA2934" s="4">
        <v>23</v>
      </c>
      <c r="AB2934" s="4">
        <v>2</v>
      </c>
      <c r="AC2934" s="4">
        <v>2</v>
      </c>
      <c r="AD2934" s="4">
        <v>56</v>
      </c>
      <c r="AE2934" s="4">
        <v>99</v>
      </c>
      <c r="AF2934" s="4">
        <v>0</v>
      </c>
      <c r="AG2934" s="4">
        <v>0</v>
      </c>
      <c r="AH2934" s="4">
        <v>51</v>
      </c>
      <c r="AI2934" s="4">
        <v>87</v>
      </c>
      <c r="AJ2934" s="4">
        <v>5</v>
      </c>
      <c r="AK2934" s="4">
        <v>15</v>
      </c>
      <c r="AL2934" s="4">
        <v>28</v>
      </c>
      <c r="AM2934" s="4">
        <v>48</v>
      </c>
      <c r="AN2934" s="4">
        <v>5</v>
      </c>
      <c r="AO2934" s="4">
        <v>5</v>
      </c>
      <c r="AP2934" s="4">
        <v>7</v>
      </c>
      <c r="AQ2934" s="4">
        <v>17</v>
      </c>
      <c r="AR2934" s="3" t="s">
        <v>63</v>
      </c>
      <c r="AS2934" s="3" t="s">
        <v>63</v>
      </c>
      <c r="AT2934" s="3" t="s">
        <v>62</v>
      </c>
      <c r="AU2934" s="6" t="str">
        <f>HYPERLINK("http://catalog.hathitrust.org/Record/102072740","HathiTrust Record")</f>
        <v>HathiTrust Record</v>
      </c>
      <c r="AV2934" s="6" t="str">
        <f>HYPERLINK("http://mcgill.on.worldcat.org/oclc/572202","Catalog Record")</f>
        <v>Catalog Record</v>
      </c>
      <c r="AW2934" s="6" t="str">
        <f>HYPERLINK("http://www.worldcat.org/oclc/572202","WorldCat Record")</f>
        <v>WorldCat Record</v>
      </c>
      <c r="AX2934" s="3" t="s">
        <v>24554</v>
      </c>
      <c r="AY2934" s="3" t="s">
        <v>24555</v>
      </c>
      <c r="AZ2934" s="3" t="s">
        <v>24556</v>
      </c>
      <c r="BA2934" s="3" t="s">
        <v>24556</v>
      </c>
      <c r="BB2934" s="3" t="s">
        <v>24560</v>
      </c>
      <c r="BC2934" s="3" t="s">
        <v>82</v>
      </c>
      <c r="BD2934" s="3" t="s">
        <v>70</v>
      </c>
      <c r="BE2934" s="3" t="s">
        <v>24558</v>
      </c>
      <c r="BF2934" s="3" t="s">
        <v>24560</v>
      </c>
      <c r="BG2934" s="3" t="s">
        <v>24561</v>
      </c>
    </row>
    <row r="2935" spans="1:59" ht="90" x14ac:dyDescent="0.25">
      <c r="A2935" s="2" t="s">
        <v>59</v>
      </c>
      <c r="B2935" s="2" t="s">
        <v>60</v>
      </c>
      <c r="C2935" s="2" t="s">
        <v>24562</v>
      </c>
      <c r="D2935" s="2" t="s">
        <v>24563</v>
      </c>
      <c r="E2935" s="2" t="s">
        <v>24564</v>
      </c>
      <c r="G2935" s="3" t="s">
        <v>63</v>
      </c>
      <c r="I2935" s="3" t="s">
        <v>63</v>
      </c>
      <c r="J2935" s="3" t="s">
        <v>63</v>
      </c>
      <c r="K2935" s="3" t="s">
        <v>64</v>
      </c>
      <c r="L2935" s="2" t="s">
        <v>24565</v>
      </c>
      <c r="M2935" s="2" t="s">
        <v>24566</v>
      </c>
      <c r="N2935" s="3" t="s">
        <v>287</v>
      </c>
      <c r="O2935" s="2" t="s">
        <v>24567</v>
      </c>
      <c r="P2935" s="3" t="s">
        <v>66</v>
      </c>
      <c r="R2935" s="3" t="s">
        <v>67</v>
      </c>
      <c r="S2935" s="4">
        <v>0</v>
      </c>
      <c r="T2935" s="4">
        <v>0</v>
      </c>
      <c r="W2935" s="5" t="s">
        <v>69</v>
      </c>
      <c r="X2935" s="5" t="s">
        <v>69</v>
      </c>
      <c r="Y2935" s="4">
        <v>142</v>
      </c>
      <c r="Z2935" s="4">
        <v>2</v>
      </c>
      <c r="AA2935" s="4">
        <v>4</v>
      </c>
      <c r="AB2935" s="4">
        <v>1</v>
      </c>
      <c r="AC2935" s="4">
        <v>3</v>
      </c>
      <c r="AD2935" s="4">
        <v>31</v>
      </c>
      <c r="AE2935" s="4">
        <v>37</v>
      </c>
      <c r="AF2935" s="4">
        <v>0</v>
      </c>
      <c r="AG2935" s="4">
        <v>0</v>
      </c>
      <c r="AH2935" s="4">
        <v>30</v>
      </c>
      <c r="AI2935" s="4">
        <v>35</v>
      </c>
      <c r="AJ2935" s="4">
        <v>1</v>
      </c>
      <c r="AK2935" s="4">
        <v>1</v>
      </c>
      <c r="AL2935" s="4">
        <v>19</v>
      </c>
      <c r="AM2935" s="4">
        <v>22</v>
      </c>
      <c r="AN2935" s="4">
        <v>0</v>
      </c>
      <c r="AO2935" s="4">
        <v>0</v>
      </c>
      <c r="AP2935" s="4">
        <v>1</v>
      </c>
      <c r="AQ2935" s="4">
        <v>1</v>
      </c>
      <c r="AR2935" s="3" t="s">
        <v>63</v>
      </c>
      <c r="AS2935" s="3" t="s">
        <v>63</v>
      </c>
      <c r="AT2935" s="3" t="s">
        <v>63</v>
      </c>
      <c r="AV2935" s="6" t="str">
        <f>HYPERLINK("http://mcgill.on.worldcat.org/oclc/1005877363","Catalog Record")</f>
        <v>Catalog Record</v>
      </c>
      <c r="AW2935" s="6" t="str">
        <f>HYPERLINK("http://www.worldcat.org/oclc/1005877363","WorldCat Record")</f>
        <v>WorldCat Record</v>
      </c>
      <c r="AX2935" s="3" t="s">
        <v>24568</v>
      </c>
      <c r="AY2935" s="3" t="s">
        <v>24569</v>
      </c>
      <c r="AZ2935" s="3" t="s">
        <v>24570</v>
      </c>
      <c r="BA2935" s="3" t="s">
        <v>24570</v>
      </c>
      <c r="BB2935" s="3" t="s">
        <v>24571</v>
      </c>
      <c r="BC2935" s="3" t="s">
        <v>82</v>
      </c>
      <c r="BD2935" s="3" t="s">
        <v>1611</v>
      </c>
      <c r="BE2935" s="3" t="s">
        <v>24572</v>
      </c>
      <c r="BF2935" s="3" t="s">
        <v>24571</v>
      </c>
      <c r="BG2935" s="3" t="s">
        <v>24573</v>
      </c>
    </row>
    <row r="2936" spans="1:59" ht="60" x14ac:dyDescent="0.25">
      <c r="A2936" s="2" t="s">
        <v>59</v>
      </c>
      <c r="B2936" s="2" t="s">
        <v>60</v>
      </c>
      <c r="C2936" s="2" t="s">
        <v>24574</v>
      </c>
      <c r="D2936" s="2" t="s">
        <v>24575</v>
      </c>
      <c r="E2936" s="2" t="s">
        <v>24576</v>
      </c>
      <c r="G2936" s="3" t="s">
        <v>63</v>
      </c>
      <c r="I2936" s="3" t="s">
        <v>63</v>
      </c>
      <c r="J2936" s="3" t="s">
        <v>63</v>
      </c>
      <c r="K2936" s="3" t="s">
        <v>64</v>
      </c>
      <c r="L2936" s="2" t="s">
        <v>24565</v>
      </c>
      <c r="M2936" s="2" t="s">
        <v>20281</v>
      </c>
      <c r="N2936" s="3" t="s">
        <v>106</v>
      </c>
      <c r="P2936" s="3" t="s">
        <v>66</v>
      </c>
      <c r="Q2936" s="2" t="s">
        <v>24577</v>
      </c>
      <c r="R2936" s="3" t="s">
        <v>67</v>
      </c>
      <c r="S2936" s="4">
        <v>1</v>
      </c>
      <c r="T2936" s="4">
        <v>1</v>
      </c>
      <c r="U2936" s="5" t="s">
        <v>3569</v>
      </c>
      <c r="V2936" s="5" t="s">
        <v>3569</v>
      </c>
      <c r="W2936" s="5" t="s">
        <v>69</v>
      </c>
      <c r="X2936" s="5" t="s">
        <v>69</v>
      </c>
      <c r="Y2936" s="4">
        <v>84</v>
      </c>
      <c r="Z2936" s="4">
        <v>8</v>
      </c>
      <c r="AA2936" s="4">
        <v>10</v>
      </c>
      <c r="AB2936" s="4">
        <v>1</v>
      </c>
      <c r="AC2936" s="4">
        <v>3</v>
      </c>
      <c r="AD2936" s="4">
        <v>43</v>
      </c>
      <c r="AE2936" s="4">
        <v>43</v>
      </c>
      <c r="AF2936" s="4">
        <v>0</v>
      </c>
      <c r="AG2936" s="4">
        <v>0</v>
      </c>
      <c r="AH2936" s="4">
        <v>41</v>
      </c>
      <c r="AI2936" s="4">
        <v>41</v>
      </c>
      <c r="AJ2936" s="4">
        <v>4</v>
      </c>
      <c r="AK2936" s="4">
        <v>4</v>
      </c>
      <c r="AL2936" s="4">
        <v>27</v>
      </c>
      <c r="AM2936" s="4">
        <v>27</v>
      </c>
      <c r="AN2936" s="4">
        <v>0</v>
      </c>
      <c r="AO2936" s="4">
        <v>0</v>
      </c>
      <c r="AP2936" s="4">
        <v>4</v>
      </c>
      <c r="AQ2936" s="4">
        <v>4</v>
      </c>
      <c r="AR2936" s="3" t="s">
        <v>63</v>
      </c>
      <c r="AS2936" s="3" t="s">
        <v>63</v>
      </c>
      <c r="AT2936" s="3" t="s">
        <v>63</v>
      </c>
      <c r="AV2936" s="6" t="str">
        <f>HYPERLINK("http://mcgill.on.worldcat.org/oclc/945999744","Catalog Record")</f>
        <v>Catalog Record</v>
      </c>
      <c r="AW2936" s="6" t="str">
        <f>HYPERLINK("http://www.worldcat.org/oclc/945999744","WorldCat Record")</f>
        <v>WorldCat Record</v>
      </c>
      <c r="AX2936" s="3" t="s">
        <v>24578</v>
      </c>
      <c r="AY2936" s="3" t="s">
        <v>24579</v>
      </c>
      <c r="AZ2936" s="3" t="s">
        <v>24580</v>
      </c>
      <c r="BA2936" s="3" t="s">
        <v>24580</v>
      </c>
      <c r="BB2936" s="3" t="s">
        <v>24581</v>
      </c>
      <c r="BC2936" s="3" t="s">
        <v>82</v>
      </c>
      <c r="BD2936" s="3" t="s">
        <v>70</v>
      </c>
      <c r="BE2936" s="3" t="s">
        <v>24582</v>
      </c>
      <c r="BF2936" s="3" t="s">
        <v>24581</v>
      </c>
      <c r="BG2936" s="3" t="s">
        <v>24583</v>
      </c>
    </row>
    <row r="2937" spans="1:59" ht="60" x14ac:dyDescent="0.25">
      <c r="A2937" s="2" t="s">
        <v>59</v>
      </c>
      <c r="B2937" s="2" t="s">
        <v>60</v>
      </c>
      <c r="C2937" s="2" t="s">
        <v>24584</v>
      </c>
      <c r="D2937" s="2" t="s">
        <v>24585</v>
      </c>
      <c r="E2937" s="2" t="s">
        <v>24586</v>
      </c>
      <c r="G2937" s="3" t="s">
        <v>63</v>
      </c>
      <c r="I2937" s="3" t="s">
        <v>63</v>
      </c>
      <c r="J2937" s="3" t="s">
        <v>63</v>
      </c>
      <c r="K2937" s="3" t="s">
        <v>64</v>
      </c>
      <c r="L2937" s="2" t="s">
        <v>24587</v>
      </c>
      <c r="M2937" s="2" t="s">
        <v>14279</v>
      </c>
      <c r="N2937" s="3" t="s">
        <v>326</v>
      </c>
      <c r="P2937" s="3" t="s">
        <v>66</v>
      </c>
      <c r="Q2937" s="2" t="s">
        <v>8874</v>
      </c>
      <c r="R2937" s="3" t="s">
        <v>67</v>
      </c>
      <c r="S2937" s="4">
        <v>2</v>
      </c>
      <c r="T2937" s="4">
        <v>2</v>
      </c>
      <c r="U2937" s="5" t="s">
        <v>2925</v>
      </c>
      <c r="V2937" s="5" t="s">
        <v>2925</v>
      </c>
      <c r="W2937" s="5" t="s">
        <v>69</v>
      </c>
      <c r="X2937" s="5" t="s">
        <v>69</v>
      </c>
      <c r="Y2937" s="4">
        <v>129</v>
      </c>
      <c r="Z2937" s="4">
        <v>14</v>
      </c>
      <c r="AA2937" s="4">
        <v>14</v>
      </c>
      <c r="AB2937" s="4">
        <v>1</v>
      </c>
      <c r="AC2937" s="4">
        <v>1</v>
      </c>
      <c r="AD2937" s="4">
        <v>70</v>
      </c>
      <c r="AE2937" s="4">
        <v>70</v>
      </c>
      <c r="AF2937" s="4">
        <v>0</v>
      </c>
      <c r="AG2937" s="4">
        <v>0</v>
      </c>
      <c r="AH2937" s="4">
        <v>67</v>
      </c>
      <c r="AI2937" s="4">
        <v>67</v>
      </c>
      <c r="AJ2937" s="4">
        <v>10</v>
      </c>
      <c r="AK2937" s="4">
        <v>10</v>
      </c>
      <c r="AL2937" s="4">
        <v>44</v>
      </c>
      <c r="AM2937" s="4">
        <v>44</v>
      </c>
      <c r="AN2937" s="4">
        <v>0</v>
      </c>
      <c r="AO2937" s="4">
        <v>0</v>
      </c>
      <c r="AP2937" s="4">
        <v>10</v>
      </c>
      <c r="AQ2937" s="4">
        <v>10</v>
      </c>
      <c r="AR2937" s="3" t="s">
        <v>63</v>
      </c>
      <c r="AS2937" s="3" t="s">
        <v>63</v>
      </c>
      <c r="AT2937" s="3" t="s">
        <v>63</v>
      </c>
      <c r="AV2937" s="6" t="str">
        <f>HYPERLINK("http://mcgill.on.worldcat.org/oclc/268787836","Catalog Record")</f>
        <v>Catalog Record</v>
      </c>
      <c r="AW2937" s="6" t="str">
        <f>HYPERLINK("http://www.worldcat.org/oclc/268787836","WorldCat Record")</f>
        <v>WorldCat Record</v>
      </c>
      <c r="AX2937" s="3" t="s">
        <v>24588</v>
      </c>
      <c r="AY2937" s="3" t="s">
        <v>24589</v>
      </c>
      <c r="AZ2937" s="3" t="s">
        <v>24590</v>
      </c>
      <c r="BA2937" s="3" t="s">
        <v>24590</v>
      </c>
      <c r="BB2937" s="3" t="s">
        <v>24591</v>
      </c>
      <c r="BC2937" s="3" t="s">
        <v>82</v>
      </c>
      <c r="BD2937" s="3" t="s">
        <v>70</v>
      </c>
      <c r="BE2937" s="3" t="s">
        <v>24592</v>
      </c>
      <c r="BF2937" s="3" t="s">
        <v>24591</v>
      </c>
      <c r="BG2937" s="3" t="s">
        <v>24593</v>
      </c>
    </row>
    <row r="2938" spans="1:59" ht="60" x14ac:dyDescent="0.25">
      <c r="A2938" s="2" t="s">
        <v>59</v>
      </c>
      <c r="B2938" s="2" t="s">
        <v>60</v>
      </c>
      <c r="C2938" s="2" t="s">
        <v>24594</v>
      </c>
      <c r="D2938" s="2" t="s">
        <v>24595</v>
      </c>
      <c r="E2938" s="2" t="s">
        <v>24596</v>
      </c>
      <c r="G2938" s="3" t="s">
        <v>63</v>
      </c>
      <c r="I2938" s="3" t="s">
        <v>63</v>
      </c>
      <c r="J2938" s="3" t="s">
        <v>63</v>
      </c>
      <c r="K2938" s="3" t="s">
        <v>64</v>
      </c>
      <c r="L2938" s="2" t="s">
        <v>24565</v>
      </c>
      <c r="M2938" s="2" t="s">
        <v>24597</v>
      </c>
      <c r="N2938" s="3" t="s">
        <v>130</v>
      </c>
      <c r="P2938" s="3" t="s">
        <v>66</v>
      </c>
      <c r="R2938" s="3" t="s">
        <v>67</v>
      </c>
      <c r="S2938" s="4">
        <v>3</v>
      </c>
      <c r="T2938" s="4">
        <v>3</v>
      </c>
      <c r="U2938" s="5" t="s">
        <v>2925</v>
      </c>
      <c r="V2938" s="5" t="s">
        <v>2925</v>
      </c>
      <c r="W2938" s="5" t="s">
        <v>69</v>
      </c>
      <c r="X2938" s="5" t="s">
        <v>69</v>
      </c>
      <c r="Y2938" s="4">
        <v>111</v>
      </c>
      <c r="Z2938" s="4">
        <v>8</v>
      </c>
      <c r="AA2938" s="4">
        <v>16</v>
      </c>
      <c r="AB2938" s="4">
        <v>1</v>
      </c>
      <c r="AC2938" s="4">
        <v>3</v>
      </c>
      <c r="AD2938" s="4">
        <v>46</v>
      </c>
      <c r="AE2938" s="4">
        <v>74</v>
      </c>
      <c r="AF2938" s="4">
        <v>0</v>
      </c>
      <c r="AG2938" s="4">
        <v>0</v>
      </c>
      <c r="AH2938" s="4">
        <v>45</v>
      </c>
      <c r="AI2938" s="4">
        <v>70</v>
      </c>
      <c r="AJ2938" s="4">
        <v>4</v>
      </c>
      <c r="AK2938" s="4">
        <v>8</v>
      </c>
      <c r="AL2938" s="4">
        <v>29</v>
      </c>
      <c r="AM2938" s="4">
        <v>40</v>
      </c>
      <c r="AN2938" s="4">
        <v>5</v>
      </c>
      <c r="AO2938" s="4">
        <v>5</v>
      </c>
      <c r="AP2938" s="4">
        <v>4</v>
      </c>
      <c r="AQ2938" s="4">
        <v>9</v>
      </c>
      <c r="AR2938" s="3" t="s">
        <v>63</v>
      </c>
      <c r="AS2938" s="3" t="s">
        <v>63</v>
      </c>
      <c r="AT2938" s="3" t="s">
        <v>62</v>
      </c>
      <c r="AU2938" s="6" t="str">
        <f>HYPERLINK("http://catalog.hathitrust.org/Record/102194110","HathiTrust Record")</f>
        <v>HathiTrust Record</v>
      </c>
      <c r="AV2938" s="6" t="str">
        <f>HYPERLINK("http://mcgill.on.worldcat.org/oclc/830945299","Catalog Record")</f>
        <v>Catalog Record</v>
      </c>
      <c r="AW2938" s="6" t="str">
        <f>HYPERLINK("http://www.worldcat.org/oclc/830945299","WorldCat Record")</f>
        <v>WorldCat Record</v>
      </c>
      <c r="AX2938" s="3" t="s">
        <v>24598</v>
      </c>
      <c r="AY2938" s="3" t="s">
        <v>24599</v>
      </c>
      <c r="AZ2938" s="3" t="s">
        <v>24600</v>
      </c>
      <c r="BA2938" s="3" t="s">
        <v>24600</v>
      </c>
      <c r="BB2938" s="3" t="s">
        <v>24601</v>
      </c>
      <c r="BC2938" s="3" t="s">
        <v>82</v>
      </c>
      <c r="BD2938" s="3" t="s">
        <v>70</v>
      </c>
      <c r="BE2938" s="3" t="s">
        <v>24602</v>
      </c>
      <c r="BF2938" s="3" t="s">
        <v>24601</v>
      </c>
      <c r="BG2938" s="3" t="s">
        <v>24603</v>
      </c>
    </row>
    <row r="2939" spans="1:59" ht="75" x14ac:dyDescent="0.25">
      <c r="A2939" s="2" t="s">
        <v>59</v>
      </c>
      <c r="B2939" s="2" t="s">
        <v>60</v>
      </c>
      <c r="C2939" s="2" t="s">
        <v>24604</v>
      </c>
      <c r="D2939" s="2" t="s">
        <v>24605</v>
      </c>
      <c r="E2939" s="2" t="s">
        <v>24606</v>
      </c>
      <c r="G2939" s="3" t="s">
        <v>63</v>
      </c>
      <c r="I2939" s="3" t="s">
        <v>63</v>
      </c>
      <c r="J2939" s="3" t="s">
        <v>63</v>
      </c>
      <c r="K2939" s="3" t="s">
        <v>64</v>
      </c>
      <c r="L2939" s="2" t="s">
        <v>24565</v>
      </c>
      <c r="M2939" s="2" t="s">
        <v>20271</v>
      </c>
      <c r="N2939" s="3" t="s">
        <v>143</v>
      </c>
      <c r="P2939" s="3" t="s">
        <v>66</v>
      </c>
      <c r="R2939" s="3" t="s">
        <v>67</v>
      </c>
      <c r="S2939" s="4">
        <v>1</v>
      </c>
      <c r="T2939" s="4">
        <v>1</v>
      </c>
      <c r="U2939" s="5" t="s">
        <v>1229</v>
      </c>
      <c r="V2939" s="5" t="s">
        <v>1229</v>
      </c>
      <c r="W2939" s="5" t="s">
        <v>69</v>
      </c>
      <c r="X2939" s="5" t="s">
        <v>69</v>
      </c>
      <c r="Y2939" s="4">
        <v>144</v>
      </c>
      <c r="Z2939" s="4">
        <v>7</v>
      </c>
      <c r="AA2939" s="4">
        <v>11</v>
      </c>
      <c r="AB2939" s="4">
        <v>1</v>
      </c>
      <c r="AC2939" s="4">
        <v>3</v>
      </c>
      <c r="AD2939" s="4">
        <v>48</v>
      </c>
      <c r="AE2939" s="4">
        <v>67</v>
      </c>
      <c r="AF2939" s="4">
        <v>0</v>
      </c>
      <c r="AG2939" s="4">
        <v>0</v>
      </c>
      <c r="AH2939" s="4">
        <v>46</v>
      </c>
      <c r="AI2939" s="4">
        <v>63</v>
      </c>
      <c r="AJ2939" s="4">
        <v>4</v>
      </c>
      <c r="AK2939" s="4">
        <v>5</v>
      </c>
      <c r="AL2939" s="4">
        <v>29</v>
      </c>
      <c r="AM2939" s="4">
        <v>39</v>
      </c>
      <c r="AN2939" s="4">
        <v>0</v>
      </c>
      <c r="AO2939" s="4">
        <v>0</v>
      </c>
      <c r="AP2939" s="4">
        <v>4</v>
      </c>
      <c r="AQ2939" s="4">
        <v>6</v>
      </c>
      <c r="AR2939" s="3" t="s">
        <v>63</v>
      </c>
      <c r="AS2939" s="3" t="s">
        <v>63</v>
      </c>
      <c r="AT2939" s="3" t="s">
        <v>63</v>
      </c>
      <c r="AV2939" s="6" t="str">
        <f>HYPERLINK("http://mcgill.on.worldcat.org/oclc/881024059","Catalog Record")</f>
        <v>Catalog Record</v>
      </c>
      <c r="AW2939" s="6" t="str">
        <f>HYPERLINK("http://www.worldcat.org/oclc/881024059","WorldCat Record")</f>
        <v>WorldCat Record</v>
      </c>
      <c r="AX2939" s="3" t="s">
        <v>24607</v>
      </c>
      <c r="AY2939" s="3" t="s">
        <v>24608</v>
      </c>
      <c r="AZ2939" s="3" t="s">
        <v>24609</v>
      </c>
      <c r="BA2939" s="3" t="s">
        <v>24609</v>
      </c>
      <c r="BB2939" s="3" t="s">
        <v>24610</v>
      </c>
      <c r="BC2939" s="3" t="s">
        <v>82</v>
      </c>
      <c r="BD2939" s="3" t="s">
        <v>70</v>
      </c>
      <c r="BE2939" s="3" t="s">
        <v>24611</v>
      </c>
      <c r="BF2939" s="3" t="s">
        <v>24610</v>
      </c>
      <c r="BG2939" s="3" t="s">
        <v>24612</v>
      </c>
    </row>
    <row r="2940" spans="1:59" ht="60" x14ac:dyDescent="0.25">
      <c r="A2940" s="2" t="s">
        <v>59</v>
      </c>
      <c r="B2940" s="2" t="s">
        <v>60</v>
      </c>
      <c r="C2940" s="2" t="s">
        <v>24613</v>
      </c>
      <c r="D2940" s="2" t="s">
        <v>24614</v>
      </c>
      <c r="E2940" s="2" t="s">
        <v>24615</v>
      </c>
      <c r="F2940" s="3" t="s">
        <v>3650</v>
      </c>
      <c r="G2940" s="3" t="s">
        <v>62</v>
      </c>
      <c r="I2940" s="3" t="s">
        <v>63</v>
      </c>
      <c r="J2940" s="3" t="s">
        <v>63</v>
      </c>
      <c r="K2940" s="3" t="s">
        <v>64</v>
      </c>
      <c r="L2940" s="2" t="s">
        <v>24616</v>
      </c>
      <c r="M2940" s="2" t="s">
        <v>24617</v>
      </c>
      <c r="N2940" s="3" t="s">
        <v>731</v>
      </c>
      <c r="P2940" s="3" t="s">
        <v>90</v>
      </c>
      <c r="R2940" s="3" t="s">
        <v>67</v>
      </c>
      <c r="S2940" s="4">
        <v>0</v>
      </c>
      <c r="T2940" s="4">
        <v>15</v>
      </c>
      <c r="V2940" s="5" t="s">
        <v>339</v>
      </c>
      <c r="W2940" s="5" t="s">
        <v>69</v>
      </c>
      <c r="X2940" s="5" t="s">
        <v>69</v>
      </c>
      <c r="Y2940" s="4">
        <v>42</v>
      </c>
      <c r="Z2940" s="4">
        <v>5</v>
      </c>
      <c r="AA2940" s="4">
        <v>8</v>
      </c>
      <c r="AB2940" s="4">
        <v>1</v>
      </c>
      <c r="AC2940" s="4">
        <v>1</v>
      </c>
      <c r="AD2940" s="4">
        <v>30</v>
      </c>
      <c r="AE2940" s="4">
        <v>34</v>
      </c>
      <c r="AF2940" s="4">
        <v>0</v>
      </c>
      <c r="AG2940" s="4">
        <v>0</v>
      </c>
      <c r="AH2940" s="4">
        <v>28</v>
      </c>
      <c r="AI2940" s="4">
        <v>30</v>
      </c>
      <c r="AJ2940" s="4">
        <v>4</v>
      </c>
      <c r="AK2940" s="4">
        <v>6</v>
      </c>
      <c r="AL2940" s="4">
        <v>20</v>
      </c>
      <c r="AM2940" s="4">
        <v>22</v>
      </c>
      <c r="AN2940" s="4">
        <v>0</v>
      </c>
      <c r="AO2940" s="4">
        <v>0</v>
      </c>
      <c r="AP2940" s="4">
        <v>4</v>
      </c>
      <c r="AQ2940" s="4">
        <v>6</v>
      </c>
      <c r="AR2940" s="3" t="s">
        <v>63</v>
      </c>
      <c r="AS2940" s="3" t="s">
        <v>63</v>
      </c>
      <c r="AT2940" s="3" t="s">
        <v>62</v>
      </c>
      <c r="AU2940" s="6" t="str">
        <f>HYPERLINK("http://catalog.hathitrust.org/Record/006661212","HathiTrust Record")</f>
        <v>HathiTrust Record</v>
      </c>
      <c r="AV2940" s="6" t="str">
        <f>HYPERLINK("http://mcgill.on.worldcat.org/oclc/2169766","Catalog Record")</f>
        <v>Catalog Record</v>
      </c>
      <c r="AW2940" s="6" t="str">
        <f>HYPERLINK("http://www.worldcat.org/oclc/2169766","WorldCat Record")</f>
        <v>WorldCat Record</v>
      </c>
      <c r="AX2940" s="3" t="s">
        <v>24618</v>
      </c>
      <c r="AY2940" s="3" t="s">
        <v>24619</v>
      </c>
      <c r="AZ2940" s="3" t="s">
        <v>24620</v>
      </c>
      <c r="BA2940" s="3" t="s">
        <v>24620</v>
      </c>
      <c r="BB2940" s="3" t="s">
        <v>24621</v>
      </c>
      <c r="BC2940" s="3" t="s">
        <v>82</v>
      </c>
      <c r="BD2940" s="3" t="s">
        <v>70</v>
      </c>
      <c r="BF2940" s="3" t="s">
        <v>24621</v>
      </c>
      <c r="BG2940" s="3" t="s">
        <v>24622</v>
      </c>
    </row>
    <row r="2941" spans="1:59" ht="60" x14ac:dyDescent="0.25">
      <c r="A2941" s="2" t="s">
        <v>59</v>
      </c>
      <c r="B2941" s="2" t="s">
        <v>60</v>
      </c>
      <c r="C2941" s="2" t="s">
        <v>24613</v>
      </c>
      <c r="D2941" s="2" t="s">
        <v>24614</v>
      </c>
      <c r="E2941" s="2" t="s">
        <v>24615</v>
      </c>
      <c r="F2941" s="3" t="s">
        <v>3653</v>
      </c>
      <c r="G2941" s="3" t="s">
        <v>62</v>
      </c>
      <c r="I2941" s="3" t="s">
        <v>63</v>
      </c>
      <c r="J2941" s="3" t="s">
        <v>63</v>
      </c>
      <c r="K2941" s="3" t="s">
        <v>64</v>
      </c>
      <c r="L2941" s="2" t="s">
        <v>24616</v>
      </c>
      <c r="M2941" s="2" t="s">
        <v>24617</v>
      </c>
      <c r="N2941" s="3" t="s">
        <v>731</v>
      </c>
      <c r="P2941" s="3" t="s">
        <v>90</v>
      </c>
      <c r="R2941" s="3" t="s">
        <v>67</v>
      </c>
      <c r="S2941" s="4">
        <v>4</v>
      </c>
      <c r="T2941" s="4">
        <v>15</v>
      </c>
      <c r="U2941" s="5" t="s">
        <v>24623</v>
      </c>
      <c r="V2941" s="5" t="s">
        <v>339</v>
      </c>
      <c r="W2941" s="5" t="s">
        <v>69</v>
      </c>
      <c r="X2941" s="5" t="s">
        <v>69</v>
      </c>
      <c r="Y2941" s="4">
        <v>42</v>
      </c>
      <c r="Z2941" s="4">
        <v>5</v>
      </c>
      <c r="AA2941" s="4">
        <v>8</v>
      </c>
      <c r="AB2941" s="4">
        <v>1</v>
      </c>
      <c r="AC2941" s="4">
        <v>1</v>
      </c>
      <c r="AD2941" s="4">
        <v>30</v>
      </c>
      <c r="AE2941" s="4">
        <v>34</v>
      </c>
      <c r="AF2941" s="4">
        <v>0</v>
      </c>
      <c r="AG2941" s="4">
        <v>0</v>
      </c>
      <c r="AH2941" s="4">
        <v>28</v>
      </c>
      <c r="AI2941" s="4">
        <v>30</v>
      </c>
      <c r="AJ2941" s="4">
        <v>4</v>
      </c>
      <c r="AK2941" s="4">
        <v>6</v>
      </c>
      <c r="AL2941" s="4">
        <v>20</v>
      </c>
      <c r="AM2941" s="4">
        <v>22</v>
      </c>
      <c r="AN2941" s="4">
        <v>0</v>
      </c>
      <c r="AO2941" s="4">
        <v>0</v>
      </c>
      <c r="AP2941" s="4">
        <v>4</v>
      </c>
      <c r="AQ2941" s="4">
        <v>6</v>
      </c>
      <c r="AR2941" s="3" t="s">
        <v>63</v>
      </c>
      <c r="AS2941" s="3" t="s">
        <v>63</v>
      </c>
      <c r="AT2941" s="3" t="s">
        <v>62</v>
      </c>
      <c r="AU2941" s="6" t="str">
        <f>HYPERLINK("http://catalog.hathitrust.org/Record/006661212","HathiTrust Record")</f>
        <v>HathiTrust Record</v>
      </c>
      <c r="AV2941" s="6" t="str">
        <f>HYPERLINK("http://mcgill.on.worldcat.org/oclc/2169766","Catalog Record")</f>
        <v>Catalog Record</v>
      </c>
      <c r="AW2941" s="6" t="str">
        <f>HYPERLINK("http://www.worldcat.org/oclc/2169766","WorldCat Record")</f>
        <v>WorldCat Record</v>
      </c>
      <c r="AX2941" s="3" t="s">
        <v>24618</v>
      </c>
      <c r="AY2941" s="3" t="s">
        <v>24619</v>
      </c>
      <c r="AZ2941" s="3" t="s">
        <v>24620</v>
      </c>
      <c r="BA2941" s="3" t="s">
        <v>24620</v>
      </c>
      <c r="BB2941" s="3" t="s">
        <v>24624</v>
      </c>
      <c r="BC2941" s="3" t="s">
        <v>82</v>
      </c>
      <c r="BD2941" s="3" t="s">
        <v>70</v>
      </c>
      <c r="BF2941" s="3" t="s">
        <v>24624</v>
      </c>
      <c r="BG2941" s="3" t="s">
        <v>24625</v>
      </c>
    </row>
    <row r="2942" spans="1:59" ht="60" x14ac:dyDescent="0.25">
      <c r="A2942" s="2" t="s">
        <v>59</v>
      </c>
      <c r="B2942" s="2" t="s">
        <v>60</v>
      </c>
      <c r="C2942" s="2" t="s">
        <v>24613</v>
      </c>
      <c r="D2942" s="2" t="s">
        <v>24614</v>
      </c>
      <c r="E2942" s="2" t="s">
        <v>24615</v>
      </c>
      <c r="F2942" s="3" t="s">
        <v>3647</v>
      </c>
      <c r="G2942" s="3" t="s">
        <v>62</v>
      </c>
      <c r="I2942" s="3" t="s">
        <v>63</v>
      </c>
      <c r="J2942" s="3" t="s">
        <v>63</v>
      </c>
      <c r="K2942" s="3" t="s">
        <v>64</v>
      </c>
      <c r="L2942" s="2" t="s">
        <v>24616</v>
      </c>
      <c r="M2942" s="2" t="s">
        <v>24617</v>
      </c>
      <c r="N2942" s="3" t="s">
        <v>731</v>
      </c>
      <c r="P2942" s="3" t="s">
        <v>90</v>
      </c>
      <c r="R2942" s="3" t="s">
        <v>67</v>
      </c>
      <c r="S2942" s="4">
        <v>2</v>
      </c>
      <c r="T2942" s="4">
        <v>15</v>
      </c>
      <c r="U2942" s="5" t="s">
        <v>24626</v>
      </c>
      <c r="V2942" s="5" t="s">
        <v>339</v>
      </c>
      <c r="W2942" s="5" t="s">
        <v>69</v>
      </c>
      <c r="X2942" s="5" t="s">
        <v>69</v>
      </c>
      <c r="Y2942" s="4">
        <v>42</v>
      </c>
      <c r="Z2942" s="4">
        <v>5</v>
      </c>
      <c r="AA2942" s="4">
        <v>8</v>
      </c>
      <c r="AB2942" s="4">
        <v>1</v>
      </c>
      <c r="AC2942" s="4">
        <v>1</v>
      </c>
      <c r="AD2942" s="4">
        <v>30</v>
      </c>
      <c r="AE2942" s="4">
        <v>34</v>
      </c>
      <c r="AF2942" s="4">
        <v>0</v>
      </c>
      <c r="AG2942" s="4">
        <v>0</v>
      </c>
      <c r="AH2942" s="4">
        <v>28</v>
      </c>
      <c r="AI2942" s="4">
        <v>30</v>
      </c>
      <c r="AJ2942" s="4">
        <v>4</v>
      </c>
      <c r="AK2942" s="4">
        <v>6</v>
      </c>
      <c r="AL2942" s="4">
        <v>20</v>
      </c>
      <c r="AM2942" s="4">
        <v>22</v>
      </c>
      <c r="AN2942" s="4">
        <v>0</v>
      </c>
      <c r="AO2942" s="4">
        <v>0</v>
      </c>
      <c r="AP2942" s="4">
        <v>4</v>
      </c>
      <c r="AQ2942" s="4">
        <v>6</v>
      </c>
      <c r="AR2942" s="3" t="s">
        <v>63</v>
      </c>
      <c r="AS2942" s="3" t="s">
        <v>63</v>
      </c>
      <c r="AT2942" s="3" t="s">
        <v>62</v>
      </c>
      <c r="AU2942" s="6" t="str">
        <f>HYPERLINK("http://catalog.hathitrust.org/Record/006661212","HathiTrust Record")</f>
        <v>HathiTrust Record</v>
      </c>
      <c r="AV2942" s="6" t="str">
        <f>HYPERLINK("http://mcgill.on.worldcat.org/oclc/2169766","Catalog Record")</f>
        <v>Catalog Record</v>
      </c>
      <c r="AW2942" s="6" t="str">
        <f>HYPERLINK("http://www.worldcat.org/oclc/2169766","WorldCat Record")</f>
        <v>WorldCat Record</v>
      </c>
      <c r="AX2942" s="3" t="s">
        <v>24618</v>
      </c>
      <c r="AY2942" s="3" t="s">
        <v>24619</v>
      </c>
      <c r="AZ2942" s="3" t="s">
        <v>24620</v>
      </c>
      <c r="BA2942" s="3" t="s">
        <v>24620</v>
      </c>
      <c r="BB2942" s="3" t="s">
        <v>24627</v>
      </c>
      <c r="BC2942" s="3" t="s">
        <v>82</v>
      </c>
      <c r="BD2942" s="3" t="s">
        <v>70</v>
      </c>
      <c r="BF2942" s="3" t="s">
        <v>24627</v>
      </c>
      <c r="BG2942" s="3" t="s">
        <v>24628</v>
      </c>
    </row>
    <row r="2943" spans="1:59" ht="60" x14ac:dyDescent="0.25">
      <c r="A2943" s="2" t="s">
        <v>59</v>
      </c>
      <c r="B2943" s="2" t="s">
        <v>60</v>
      </c>
      <c r="C2943" s="2" t="s">
        <v>24613</v>
      </c>
      <c r="D2943" s="2" t="s">
        <v>24614</v>
      </c>
      <c r="E2943" s="2" t="s">
        <v>24615</v>
      </c>
      <c r="F2943" s="3" t="s">
        <v>13795</v>
      </c>
      <c r="G2943" s="3" t="s">
        <v>62</v>
      </c>
      <c r="I2943" s="3" t="s">
        <v>63</v>
      </c>
      <c r="J2943" s="3" t="s">
        <v>63</v>
      </c>
      <c r="K2943" s="3" t="s">
        <v>64</v>
      </c>
      <c r="L2943" s="2" t="s">
        <v>24616</v>
      </c>
      <c r="M2943" s="2" t="s">
        <v>24617</v>
      </c>
      <c r="N2943" s="3" t="s">
        <v>731</v>
      </c>
      <c r="P2943" s="3" t="s">
        <v>90</v>
      </c>
      <c r="R2943" s="3" t="s">
        <v>67</v>
      </c>
      <c r="S2943" s="4">
        <v>0</v>
      </c>
      <c r="T2943" s="4">
        <v>15</v>
      </c>
      <c r="V2943" s="5" t="s">
        <v>339</v>
      </c>
      <c r="W2943" s="5" t="s">
        <v>69</v>
      </c>
      <c r="X2943" s="5" t="s">
        <v>69</v>
      </c>
      <c r="Y2943" s="4">
        <v>42</v>
      </c>
      <c r="Z2943" s="4">
        <v>5</v>
      </c>
      <c r="AA2943" s="4">
        <v>8</v>
      </c>
      <c r="AB2943" s="4">
        <v>1</v>
      </c>
      <c r="AC2943" s="4">
        <v>1</v>
      </c>
      <c r="AD2943" s="4">
        <v>30</v>
      </c>
      <c r="AE2943" s="4">
        <v>34</v>
      </c>
      <c r="AF2943" s="4">
        <v>0</v>
      </c>
      <c r="AG2943" s="4">
        <v>0</v>
      </c>
      <c r="AH2943" s="4">
        <v>28</v>
      </c>
      <c r="AI2943" s="4">
        <v>30</v>
      </c>
      <c r="AJ2943" s="4">
        <v>4</v>
      </c>
      <c r="AK2943" s="4">
        <v>6</v>
      </c>
      <c r="AL2943" s="4">
        <v>20</v>
      </c>
      <c r="AM2943" s="4">
        <v>22</v>
      </c>
      <c r="AN2943" s="4">
        <v>0</v>
      </c>
      <c r="AO2943" s="4">
        <v>0</v>
      </c>
      <c r="AP2943" s="4">
        <v>4</v>
      </c>
      <c r="AQ2943" s="4">
        <v>6</v>
      </c>
      <c r="AR2943" s="3" t="s">
        <v>63</v>
      </c>
      <c r="AS2943" s="3" t="s">
        <v>63</v>
      </c>
      <c r="AT2943" s="3" t="s">
        <v>62</v>
      </c>
      <c r="AU2943" s="6" t="str">
        <f>HYPERLINK("http://catalog.hathitrust.org/Record/006661212","HathiTrust Record")</f>
        <v>HathiTrust Record</v>
      </c>
      <c r="AV2943" s="6" t="str">
        <f>HYPERLINK("http://mcgill.on.worldcat.org/oclc/2169766","Catalog Record")</f>
        <v>Catalog Record</v>
      </c>
      <c r="AW2943" s="6" t="str">
        <f>HYPERLINK("http://www.worldcat.org/oclc/2169766","WorldCat Record")</f>
        <v>WorldCat Record</v>
      </c>
      <c r="AX2943" s="3" t="s">
        <v>24618</v>
      </c>
      <c r="AY2943" s="3" t="s">
        <v>24619</v>
      </c>
      <c r="AZ2943" s="3" t="s">
        <v>24620</v>
      </c>
      <c r="BA2943" s="3" t="s">
        <v>24620</v>
      </c>
      <c r="BB2943" s="3" t="s">
        <v>24629</v>
      </c>
      <c r="BC2943" s="3" t="s">
        <v>82</v>
      </c>
      <c r="BD2943" s="3" t="s">
        <v>70</v>
      </c>
      <c r="BF2943" s="3" t="s">
        <v>24629</v>
      </c>
      <c r="BG2943" s="3" t="s">
        <v>24630</v>
      </c>
    </row>
    <row r="2944" spans="1:59" ht="60" x14ac:dyDescent="0.25">
      <c r="A2944" s="2" t="s">
        <v>59</v>
      </c>
      <c r="B2944" s="2" t="s">
        <v>60</v>
      </c>
      <c r="C2944" s="2" t="s">
        <v>24613</v>
      </c>
      <c r="D2944" s="2" t="s">
        <v>24614</v>
      </c>
      <c r="E2944" s="2" t="s">
        <v>24615</v>
      </c>
      <c r="F2944" s="3" t="s">
        <v>3638</v>
      </c>
      <c r="G2944" s="3" t="s">
        <v>62</v>
      </c>
      <c r="I2944" s="3" t="s">
        <v>63</v>
      </c>
      <c r="J2944" s="3" t="s">
        <v>63</v>
      </c>
      <c r="K2944" s="3" t="s">
        <v>64</v>
      </c>
      <c r="L2944" s="2" t="s">
        <v>24616</v>
      </c>
      <c r="M2944" s="2" t="s">
        <v>24617</v>
      </c>
      <c r="N2944" s="3" t="s">
        <v>731</v>
      </c>
      <c r="P2944" s="3" t="s">
        <v>90</v>
      </c>
      <c r="R2944" s="3" t="s">
        <v>67</v>
      </c>
      <c r="S2944" s="4">
        <v>5</v>
      </c>
      <c r="T2944" s="4">
        <v>15</v>
      </c>
      <c r="U2944" s="5" t="s">
        <v>24631</v>
      </c>
      <c r="V2944" s="5" t="s">
        <v>339</v>
      </c>
      <c r="W2944" s="5" t="s">
        <v>69</v>
      </c>
      <c r="X2944" s="5" t="s">
        <v>69</v>
      </c>
      <c r="Y2944" s="4">
        <v>42</v>
      </c>
      <c r="Z2944" s="4">
        <v>5</v>
      </c>
      <c r="AA2944" s="4">
        <v>8</v>
      </c>
      <c r="AB2944" s="4">
        <v>1</v>
      </c>
      <c r="AC2944" s="4">
        <v>1</v>
      </c>
      <c r="AD2944" s="4">
        <v>30</v>
      </c>
      <c r="AE2944" s="4">
        <v>34</v>
      </c>
      <c r="AF2944" s="4">
        <v>0</v>
      </c>
      <c r="AG2944" s="4">
        <v>0</v>
      </c>
      <c r="AH2944" s="4">
        <v>28</v>
      </c>
      <c r="AI2944" s="4">
        <v>30</v>
      </c>
      <c r="AJ2944" s="4">
        <v>4</v>
      </c>
      <c r="AK2944" s="4">
        <v>6</v>
      </c>
      <c r="AL2944" s="4">
        <v>20</v>
      </c>
      <c r="AM2944" s="4">
        <v>22</v>
      </c>
      <c r="AN2944" s="4">
        <v>0</v>
      </c>
      <c r="AO2944" s="4">
        <v>0</v>
      </c>
      <c r="AP2944" s="4">
        <v>4</v>
      </c>
      <c r="AQ2944" s="4">
        <v>6</v>
      </c>
      <c r="AR2944" s="3" t="s">
        <v>63</v>
      </c>
      <c r="AS2944" s="3" t="s">
        <v>63</v>
      </c>
      <c r="AT2944" s="3" t="s">
        <v>62</v>
      </c>
      <c r="AU2944" s="6" t="str">
        <f>HYPERLINK("http://catalog.hathitrust.org/Record/006661212","HathiTrust Record")</f>
        <v>HathiTrust Record</v>
      </c>
      <c r="AV2944" s="6" t="str">
        <f>HYPERLINK("http://mcgill.on.worldcat.org/oclc/2169766","Catalog Record")</f>
        <v>Catalog Record</v>
      </c>
      <c r="AW2944" s="6" t="str">
        <f>HYPERLINK("http://www.worldcat.org/oclc/2169766","WorldCat Record")</f>
        <v>WorldCat Record</v>
      </c>
      <c r="AX2944" s="3" t="s">
        <v>24618</v>
      </c>
      <c r="AY2944" s="3" t="s">
        <v>24619</v>
      </c>
      <c r="AZ2944" s="3" t="s">
        <v>24620</v>
      </c>
      <c r="BA2944" s="3" t="s">
        <v>24620</v>
      </c>
      <c r="BB2944" s="3" t="s">
        <v>24632</v>
      </c>
      <c r="BC2944" s="3" t="s">
        <v>82</v>
      </c>
      <c r="BD2944" s="3" t="s">
        <v>70</v>
      </c>
      <c r="BF2944" s="3" t="s">
        <v>24632</v>
      </c>
      <c r="BG2944" s="3" t="s">
        <v>24633</v>
      </c>
    </row>
    <row r="2945" spans="1:59" ht="60" x14ac:dyDescent="0.25">
      <c r="A2945" s="2" t="s">
        <v>59</v>
      </c>
      <c r="B2945" s="2" t="s">
        <v>60</v>
      </c>
      <c r="C2945" s="2" t="s">
        <v>24613</v>
      </c>
      <c r="D2945" s="2" t="s">
        <v>24614</v>
      </c>
      <c r="E2945" s="2" t="s">
        <v>24615</v>
      </c>
      <c r="F2945" s="3" t="s">
        <v>13788</v>
      </c>
      <c r="G2945" s="3" t="s">
        <v>62</v>
      </c>
      <c r="I2945" s="3" t="s">
        <v>63</v>
      </c>
      <c r="J2945" s="3" t="s">
        <v>63</v>
      </c>
      <c r="K2945" s="3" t="s">
        <v>64</v>
      </c>
      <c r="L2945" s="2" t="s">
        <v>24616</v>
      </c>
      <c r="M2945" s="2" t="s">
        <v>24617</v>
      </c>
      <c r="N2945" s="3" t="s">
        <v>731</v>
      </c>
      <c r="P2945" s="3" t="s">
        <v>90</v>
      </c>
      <c r="R2945" s="3" t="s">
        <v>67</v>
      </c>
      <c r="S2945" s="4">
        <v>4</v>
      </c>
      <c r="T2945" s="4">
        <v>15</v>
      </c>
      <c r="U2945" s="5" t="s">
        <v>339</v>
      </c>
      <c r="V2945" s="5" t="s">
        <v>339</v>
      </c>
      <c r="W2945" s="5" t="s">
        <v>69</v>
      </c>
      <c r="X2945" s="5" t="s">
        <v>69</v>
      </c>
      <c r="Y2945" s="4">
        <v>42</v>
      </c>
      <c r="Z2945" s="4">
        <v>5</v>
      </c>
      <c r="AA2945" s="4">
        <v>8</v>
      </c>
      <c r="AB2945" s="4">
        <v>1</v>
      </c>
      <c r="AC2945" s="4">
        <v>1</v>
      </c>
      <c r="AD2945" s="4">
        <v>30</v>
      </c>
      <c r="AE2945" s="4">
        <v>34</v>
      </c>
      <c r="AF2945" s="4">
        <v>0</v>
      </c>
      <c r="AG2945" s="4">
        <v>0</v>
      </c>
      <c r="AH2945" s="4">
        <v>28</v>
      </c>
      <c r="AI2945" s="4">
        <v>30</v>
      </c>
      <c r="AJ2945" s="4">
        <v>4</v>
      </c>
      <c r="AK2945" s="4">
        <v>6</v>
      </c>
      <c r="AL2945" s="4">
        <v>20</v>
      </c>
      <c r="AM2945" s="4">
        <v>22</v>
      </c>
      <c r="AN2945" s="4">
        <v>0</v>
      </c>
      <c r="AO2945" s="4">
        <v>0</v>
      </c>
      <c r="AP2945" s="4">
        <v>4</v>
      </c>
      <c r="AQ2945" s="4">
        <v>6</v>
      </c>
      <c r="AR2945" s="3" t="s">
        <v>63</v>
      </c>
      <c r="AS2945" s="3" t="s">
        <v>63</v>
      </c>
      <c r="AT2945" s="3" t="s">
        <v>62</v>
      </c>
      <c r="AU2945" s="6" t="str">
        <f>HYPERLINK("http://catalog.hathitrust.org/Record/006661212","HathiTrust Record")</f>
        <v>HathiTrust Record</v>
      </c>
      <c r="AV2945" s="6" t="str">
        <f>HYPERLINK("http://mcgill.on.worldcat.org/oclc/2169766","Catalog Record")</f>
        <v>Catalog Record</v>
      </c>
      <c r="AW2945" s="6" t="str">
        <f>HYPERLINK("http://www.worldcat.org/oclc/2169766","WorldCat Record")</f>
        <v>WorldCat Record</v>
      </c>
      <c r="AX2945" s="3" t="s">
        <v>24618</v>
      </c>
      <c r="AY2945" s="3" t="s">
        <v>24619</v>
      </c>
      <c r="AZ2945" s="3" t="s">
        <v>24620</v>
      </c>
      <c r="BA2945" s="3" t="s">
        <v>24620</v>
      </c>
      <c r="BB2945" s="3" t="s">
        <v>24634</v>
      </c>
      <c r="BC2945" s="3" t="s">
        <v>82</v>
      </c>
      <c r="BD2945" s="3" t="s">
        <v>70</v>
      </c>
      <c r="BF2945" s="3" t="s">
        <v>24634</v>
      </c>
      <c r="BG2945" s="3" t="s">
        <v>24635</v>
      </c>
    </row>
    <row r="2946" spans="1:59" ht="60" x14ac:dyDescent="0.25">
      <c r="A2946" s="2" t="s">
        <v>59</v>
      </c>
      <c r="B2946" s="2" t="s">
        <v>60</v>
      </c>
      <c r="C2946" s="2" t="s">
        <v>24636</v>
      </c>
      <c r="D2946" s="2" t="s">
        <v>24637</v>
      </c>
      <c r="E2946" s="2" t="s">
        <v>24638</v>
      </c>
      <c r="G2946" s="3" t="s">
        <v>63</v>
      </c>
      <c r="I2946" s="3" t="s">
        <v>63</v>
      </c>
      <c r="J2946" s="3" t="s">
        <v>63</v>
      </c>
      <c r="K2946" s="3" t="s">
        <v>64</v>
      </c>
      <c r="L2946" s="2" t="s">
        <v>24639</v>
      </c>
      <c r="M2946" s="2" t="s">
        <v>24640</v>
      </c>
      <c r="N2946" s="3" t="s">
        <v>918</v>
      </c>
      <c r="P2946" s="3" t="s">
        <v>90</v>
      </c>
      <c r="Q2946" s="2" t="s">
        <v>24641</v>
      </c>
      <c r="R2946" s="3" t="s">
        <v>67</v>
      </c>
      <c r="S2946" s="4">
        <v>15</v>
      </c>
      <c r="T2946" s="4">
        <v>15</v>
      </c>
      <c r="U2946" s="5" t="s">
        <v>415</v>
      </c>
      <c r="V2946" s="5" t="s">
        <v>415</v>
      </c>
      <c r="W2946" s="5" t="s">
        <v>69</v>
      </c>
      <c r="X2946" s="5" t="s">
        <v>69</v>
      </c>
      <c r="Y2946" s="4">
        <v>3</v>
      </c>
      <c r="Z2946" s="4">
        <v>1</v>
      </c>
      <c r="AA2946" s="4">
        <v>13</v>
      </c>
      <c r="AB2946" s="4">
        <v>1</v>
      </c>
      <c r="AC2946" s="4">
        <v>1</v>
      </c>
      <c r="AD2946" s="4">
        <v>1</v>
      </c>
      <c r="AE2946" s="4">
        <v>84</v>
      </c>
      <c r="AF2946" s="4">
        <v>0</v>
      </c>
      <c r="AG2946" s="4">
        <v>0</v>
      </c>
      <c r="AH2946" s="4">
        <v>1</v>
      </c>
      <c r="AI2946" s="4">
        <v>76</v>
      </c>
      <c r="AJ2946" s="4">
        <v>0</v>
      </c>
      <c r="AK2946" s="4">
        <v>7</v>
      </c>
      <c r="AL2946" s="4">
        <v>1</v>
      </c>
      <c r="AM2946" s="4">
        <v>49</v>
      </c>
      <c r="AN2946" s="4">
        <v>0</v>
      </c>
      <c r="AO2946" s="4">
        <v>2</v>
      </c>
      <c r="AP2946" s="4">
        <v>0</v>
      </c>
      <c r="AQ2946" s="4">
        <v>9</v>
      </c>
      <c r="AR2946" s="3" t="s">
        <v>63</v>
      </c>
      <c r="AS2946" s="3" t="s">
        <v>63</v>
      </c>
      <c r="AT2946" s="3" t="s">
        <v>62</v>
      </c>
      <c r="AU2946" s="6" t="str">
        <f>HYPERLINK("http://catalog.hathitrust.org/Record/009514100","HathiTrust Record")</f>
        <v>HathiTrust Record</v>
      </c>
      <c r="AV2946" s="6" t="str">
        <f>HYPERLINK("http://mcgill.on.worldcat.org/oclc/61591969","Catalog Record")</f>
        <v>Catalog Record</v>
      </c>
      <c r="AW2946" s="6" t="str">
        <f>HYPERLINK("http://www.worldcat.org/oclc/61591969","WorldCat Record")</f>
        <v>WorldCat Record</v>
      </c>
      <c r="AX2946" s="3" t="s">
        <v>24642</v>
      </c>
      <c r="AY2946" s="3" t="s">
        <v>24643</v>
      </c>
      <c r="AZ2946" s="3" t="s">
        <v>24644</v>
      </c>
      <c r="BA2946" s="3" t="s">
        <v>24644</v>
      </c>
      <c r="BB2946" s="3" t="s">
        <v>24645</v>
      </c>
      <c r="BC2946" s="3" t="s">
        <v>82</v>
      </c>
      <c r="BD2946" s="3" t="s">
        <v>70</v>
      </c>
      <c r="BF2946" s="3" t="s">
        <v>24645</v>
      </c>
      <c r="BG2946" s="3" t="s">
        <v>24646</v>
      </c>
    </row>
    <row r="2947" spans="1:59" ht="60" x14ac:dyDescent="0.25">
      <c r="A2947" s="2" t="s">
        <v>59</v>
      </c>
      <c r="B2947" s="2" t="s">
        <v>60</v>
      </c>
      <c r="C2947" s="2" t="s">
        <v>24647</v>
      </c>
      <c r="D2947" s="2" t="s">
        <v>24648</v>
      </c>
      <c r="E2947" s="2" t="s">
        <v>24649</v>
      </c>
      <c r="G2947" s="3" t="s">
        <v>63</v>
      </c>
      <c r="I2947" s="3" t="s">
        <v>63</v>
      </c>
      <c r="J2947" s="3" t="s">
        <v>62</v>
      </c>
      <c r="K2947" s="3" t="s">
        <v>64</v>
      </c>
      <c r="L2947" s="2" t="s">
        <v>24639</v>
      </c>
      <c r="M2947" s="2" t="s">
        <v>24650</v>
      </c>
      <c r="N2947" s="3" t="s">
        <v>758</v>
      </c>
      <c r="P2947" s="3" t="s">
        <v>66</v>
      </c>
      <c r="R2947" s="3" t="s">
        <v>67</v>
      </c>
      <c r="S2947" s="4">
        <v>39</v>
      </c>
      <c r="T2947" s="4">
        <v>39</v>
      </c>
      <c r="U2947" s="5" t="s">
        <v>907</v>
      </c>
      <c r="V2947" s="5" t="s">
        <v>907</v>
      </c>
      <c r="W2947" s="5" t="s">
        <v>69</v>
      </c>
      <c r="X2947" s="5" t="s">
        <v>69</v>
      </c>
      <c r="Y2947" s="4">
        <v>376</v>
      </c>
      <c r="Z2947" s="4">
        <v>23</v>
      </c>
      <c r="AA2947" s="4">
        <v>44</v>
      </c>
      <c r="AB2947" s="4">
        <v>4</v>
      </c>
      <c r="AC2947" s="4">
        <v>5</v>
      </c>
      <c r="AD2947" s="4">
        <v>84</v>
      </c>
      <c r="AE2947" s="4">
        <v>129</v>
      </c>
      <c r="AF2947" s="4">
        <v>2</v>
      </c>
      <c r="AG2947" s="4">
        <v>2</v>
      </c>
      <c r="AH2947" s="4">
        <v>73</v>
      </c>
      <c r="AI2947" s="4">
        <v>108</v>
      </c>
      <c r="AJ2947" s="4">
        <v>11</v>
      </c>
      <c r="AK2947" s="4">
        <v>21</v>
      </c>
      <c r="AL2947" s="4">
        <v>44</v>
      </c>
      <c r="AM2947" s="4">
        <v>59</v>
      </c>
      <c r="AN2947" s="4">
        <v>0</v>
      </c>
      <c r="AO2947" s="4">
        <v>0</v>
      </c>
      <c r="AP2947" s="4">
        <v>15</v>
      </c>
      <c r="AQ2947" s="4">
        <v>28</v>
      </c>
      <c r="AR2947" s="3" t="s">
        <v>63</v>
      </c>
      <c r="AS2947" s="3" t="s">
        <v>63</v>
      </c>
      <c r="AT2947" s="3" t="s">
        <v>63</v>
      </c>
      <c r="AU2947" s="6" t="str">
        <f>HYPERLINK("http://catalog.hathitrust.org/Record/000980933","HathiTrust Record")</f>
        <v>HathiTrust Record</v>
      </c>
      <c r="AV2947" s="6" t="str">
        <f>HYPERLINK("http://mcgill.on.worldcat.org/oclc/633685","Catalog Record")</f>
        <v>Catalog Record</v>
      </c>
      <c r="AW2947" s="6" t="str">
        <f>HYPERLINK("http://www.worldcat.org/oclc/633685","WorldCat Record")</f>
        <v>WorldCat Record</v>
      </c>
      <c r="AX2947" s="3" t="s">
        <v>24651</v>
      </c>
      <c r="AY2947" s="3" t="s">
        <v>24652</v>
      </c>
      <c r="AZ2947" s="3" t="s">
        <v>24653</v>
      </c>
      <c r="BA2947" s="3" t="s">
        <v>24653</v>
      </c>
      <c r="BB2947" s="3" t="s">
        <v>24654</v>
      </c>
      <c r="BC2947" s="3" t="s">
        <v>82</v>
      </c>
      <c r="BD2947" s="3" t="s">
        <v>70</v>
      </c>
      <c r="BF2947" s="3" t="s">
        <v>24654</v>
      </c>
      <c r="BG2947" s="3" t="s">
        <v>24655</v>
      </c>
    </row>
    <row r="2948" spans="1:59" ht="60" x14ac:dyDescent="0.25">
      <c r="A2948" s="2" t="s">
        <v>59</v>
      </c>
      <c r="B2948" s="2" t="s">
        <v>60</v>
      </c>
      <c r="C2948" s="2" t="s">
        <v>24656</v>
      </c>
      <c r="D2948" s="2" t="s">
        <v>24657</v>
      </c>
      <c r="E2948" s="2" t="s">
        <v>24658</v>
      </c>
      <c r="G2948" s="3" t="s">
        <v>63</v>
      </c>
      <c r="I2948" s="3" t="s">
        <v>63</v>
      </c>
      <c r="J2948" s="3" t="s">
        <v>62</v>
      </c>
      <c r="K2948" s="3" t="s">
        <v>64</v>
      </c>
      <c r="L2948" s="2" t="s">
        <v>24639</v>
      </c>
      <c r="M2948" s="2" t="s">
        <v>24659</v>
      </c>
      <c r="N2948" s="3" t="s">
        <v>12909</v>
      </c>
      <c r="P2948" s="3" t="s">
        <v>66</v>
      </c>
      <c r="R2948" s="3" t="s">
        <v>67</v>
      </c>
      <c r="S2948" s="4">
        <v>25</v>
      </c>
      <c r="T2948" s="4">
        <v>25</v>
      </c>
      <c r="U2948" s="5" t="s">
        <v>415</v>
      </c>
      <c r="V2948" s="5" t="s">
        <v>415</v>
      </c>
      <c r="W2948" s="5" t="s">
        <v>69</v>
      </c>
      <c r="X2948" s="5" t="s">
        <v>69</v>
      </c>
      <c r="Y2948" s="4">
        <v>144</v>
      </c>
      <c r="Z2948" s="4">
        <v>11</v>
      </c>
      <c r="AA2948" s="4">
        <v>44</v>
      </c>
      <c r="AB2948" s="4">
        <v>1</v>
      </c>
      <c r="AC2948" s="4">
        <v>5</v>
      </c>
      <c r="AD2948" s="4">
        <v>62</v>
      </c>
      <c r="AE2948" s="4">
        <v>129</v>
      </c>
      <c r="AF2948" s="4">
        <v>0</v>
      </c>
      <c r="AG2948" s="4">
        <v>2</v>
      </c>
      <c r="AH2948" s="4">
        <v>55</v>
      </c>
      <c r="AI2948" s="4">
        <v>108</v>
      </c>
      <c r="AJ2948" s="4">
        <v>8</v>
      </c>
      <c r="AK2948" s="4">
        <v>21</v>
      </c>
      <c r="AL2948" s="4">
        <v>36</v>
      </c>
      <c r="AM2948" s="4">
        <v>59</v>
      </c>
      <c r="AN2948" s="4">
        <v>0</v>
      </c>
      <c r="AO2948" s="4">
        <v>0</v>
      </c>
      <c r="AP2948" s="4">
        <v>8</v>
      </c>
      <c r="AQ2948" s="4">
        <v>28</v>
      </c>
      <c r="AR2948" s="3" t="s">
        <v>63</v>
      </c>
      <c r="AS2948" s="3" t="s">
        <v>63</v>
      </c>
      <c r="AT2948" s="3" t="s">
        <v>63</v>
      </c>
      <c r="AU2948" s="6" t="str">
        <f>HYPERLINK("http://catalog.hathitrust.org/Record/000980932","HathiTrust Record")</f>
        <v>HathiTrust Record</v>
      </c>
      <c r="AV2948" s="6" t="str">
        <f>HYPERLINK("http://mcgill.on.worldcat.org/oclc/586215","Catalog Record")</f>
        <v>Catalog Record</v>
      </c>
      <c r="AW2948" s="6" t="str">
        <f>HYPERLINK("http://www.worldcat.org/oclc/586215","WorldCat Record")</f>
        <v>WorldCat Record</v>
      </c>
      <c r="AX2948" s="3" t="s">
        <v>24651</v>
      </c>
      <c r="AY2948" s="3" t="s">
        <v>24660</v>
      </c>
      <c r="AZ2948" s="3" t="s">
        <v>24661</v>
      </c>
      <c r="BA2948" s="3" t="s">
        <v>24661</v>
      </c>
      <c r="BB2948" s="3" t="s">
        <v>24662</v>
      </c>
      <c r="BC2948" s="3" t="s">
        <v>82</v>
      </c>
      <c r="BD2948" s="3" t="s">
        <v>70</v>
      </c>
      <c r="BF2948" s="3" t="s">
        <v>24662</v>
      </c>
      <c r="BG2948" s="3" t="s">
        <v>24663</v>
      </c>
    </row>
    <row r="2949" spans="1:59" ht="75" x14ac:dyDescent="0.25">
      <c r="A2949" s="2" t="s">
        <v>59</v>
      </c>
      <c r="B2949" s="2" t="s">
        <v>60</v>
      </c>
      <c r="C2949" s="2" t="s">
        <v>24664</v>
      </c>
      <c r="D2949" s="2" t="s">
        <v>24665</v>
      </c>
      <c r="E2949" s="2" t="s">
        <v>24666</v>
      </c>
      <c r="G2949" s="3" t="s">
        <v>63</v>
      </c>
      <c r="I2949" s="3" t="s">
        <v>63</v>
      </c>
      <c r="J2949" s="3" t="s">
        <v>63</v>
      </c>
      <c r="K2949" s="3" t="s">
        <v>64</v>
      </c>
      <c r="L2949" s="2" t="s">
        <v>24667</v>
      </c>
      <c r="M2949" s="2" t="s">
        <v>24668</v>
      </c>
      <c r="N2949" s="3" t="s">
        <v>1046</v>
      </c>
      <c r="P2949" s="3" t="s">
        <v>90</v>
      </c>
      <c r="Q2949" s="2" t="s">
        <v>10108</v>
      </c>
      <c r="R2949" s="3" t="s">
        <v>67</v>
      </c>
      <c r="S2949" s="4">
        <v>5</v>
      </c>
      <c r="T2949" s="4">
        <v>5</v>
      </c>
      <c r="U2949" s="5" t="s">
        <v>24669</v>
      </c>
      <c r="V2949" s="5" t="s">
        <v>24669</v>
      </c>
      <c r="W2949" s="5" t="s">
        <v>69</v>
      </c>
      <c r="X2949" s="5" t="s">
        <v>69</v>
      </c>
      <c r="Y2949" s="4">
        <v>77</v>
      </c>
      <c r="Z2949" s="4">
        <v>7</v>
      </c>
      <c r="AA2949" s="4">
        <v>14</v>
      </c>
      <c r="AB2949" s="4">
        <v>1</v>
      </c>
      <c r="AC2949" s="4">
        <v>1</v>
      </c>
      <c r="AD2949" s="4">
        <v>46</v>
      </c>
      <c r="AE2949" s="4">
        <v>84</v>
      </c>
      <c r="AF2949" s="4">
        <v>0</v>
      </c>
      <c r="AG2949" s="4">
        <v>0</v>
      </c>
      <c r="AH2949" s="4">
        <v>42</v>
      </c>
      <c r="AI2949" s="4">
        <v>78</v>
      </c>
      <c r="AJ2949" s="4">
        <v>5</v>
      </c>
      <c r="AK2949" s="4">
        <v>11</v>
      </c>
      <c r="AL2949" s="4">
        <v>28</v>
      </c>
      <c r="AM2949" s="4">
        <v>48</v>
      </c>
      <c r="AN2949" s="4">
        <v>0</v>
      </c>
      <c r="AO2949" s="4">
        <v>0</v>
      </c>
      <c r="AP2949" s="4">
        <v>5</v>
      </c>
      <c r="AQ2949" s="4">
        <v>11</v>
      </c>
      <c r="AR2949" s="3" t="s">
        <v>63</v>
      </c>
      <c r="AS2949" s="3" t="s">
        <v>63</v>
      </c>
      <c r="AT2949" s="3" t="s">
        <v>63</v>
      </c>
      <c r="AV2949" s="6" t="str">
        <f>HYPERLINK("http://mcgill.on.worldcat.org/oclc/3075328","Catalog Record")</f>
        <v>Catalog Record</v>
      </c>
      <c r="AW2949" s="6" t="str">
        <f>HYPERLINK("http://www.worldcat.org/oclc/3075328","WorldCat Record")</f>
        <v>WorldCat Record</v>
      </c>
      <c r="AX2949" s="3" t="s">
        <v>24670</v>
      </c>
      <c r="AY2949" s="3" t="s">
        <v>24671</v>
      </c>
      <c r="AZ2949" s="3" t="s">
        <v>24672</v>
      </c>
      <c r="BA2949" s="3" t="s">
        <v>24672</v>
      </c>
      <c r="BB2949" s="3" t="s">
        <v>24673</v>
      </c>
      <c r="BC2949" s="3" t="s">
        <v>82</v>
      </c>
      <c r="BD2949" s="3" t="s">
        <v>70</v>
      </c>
      <c r="BF2949" s="3" t="s">
        <v>24673</v>
      </c>
      <c r="BG2949" s="3" t="s">
        <v>24674</v>
      </c>
    </row>
    <row r="2950" spans="1:59" ht="60" x14ac:dyDescent="0.25">
      <c r="A2950" s="2" t="s">
        <v>59</v>
      </c>
      <c r="B2950" s="2" t="s">
        <v>60</v>
      </c>
      <c r="C2950" s="2" t="s">
        <v>24675</v>
      </c>
      <c r="D2950" s="2" t="s">
        <v>24676</v>
      </c>
      <c r="E2950" s="2" t="s">
        <v>24677</v>
      </c>
      <c r="G2950" s="3" t="s">
        <v>63</v>
      </c>
      <c r="I2950" s="3" t="s">
        <v>63</v>
      </c>
      <c r="J2950" s="3" t="s">
        <v>62</v>
      </c>
      <c r="K2950" s="3" t="s">
        <v>64</v>
      </c>
      <c r="L2950" s="2" t="s">
        <v>24678</v>
      </c>
      <c r="M2950" s="2" t="s">
        <v>24679</v>
      </c>
      <c r="N2950" s="3" t="s">
        <v>706</v>
      </c>
      <c r="P2950" s="3" t="s">
        <v>90</v>
      </c>
      <c r="R2950" s="3" t="s">
        <v>67</v>
      </c>
      <c r="S2950" s="4">
        <v>6</v>
      </c>
      <c r="T2950" s="4">
        <v>6</v>
      </c>
      <c r="U2950" s="5" t="s">
        <v>24680</v>
      </c>
      <c r="V2950" s="5" t="s">
        <v>24680</v>
      </c>
      <c r="W2950" s="5" t="s">
        <v>69</v>
      </c>
      <c r="X2950" s="5" t="s">
        <v>69</v>
      </c>
      <c r="Y2950" s="4">
        <v>19</v>
      </c>
      <c r="Z2950" s="4">
        <v>1</v>
      </c>
      <c r="AA2950" s="4">
        <v>7</v>
      </c>
      <c r="AB2950" s="4">
        <v>1</v>
      </c>
      <c r="AC2950" s="4">
        <v>1</v>
      </c>
      <c r="AD2950" s="4">
        <v>11</v>
      </c>
      <c r="AE2950" s="4">
        <v>30</v>
      </c>
      <c r="AF2950" s="4">
        <v>0</v>
      </c>
      <c r="AG2950" s="4">
        <v>0</v>
      </c>
      <c r="AH2950" s="4">
        <v>11</v>
      </c>
      <c r="AI2950" s="4">
        <v>27</v>
      </c>
      <c r="AJ2950" s="4">
        <v>0</v>
      </c>
      <c r="AK2950" s="4">
        <v>4</v>
      </c>
      <c r="AL2950" s="4">
        <v>7</v>
      </c>
      <c r="AM2950" s="4">
        <v>21</v>
      </c>
      <c r="AN2950" s="4">
        <v>0</v>
      </c>
      <c r="AO2950" s="4">
        <v>0</v>
      </c>
      <c r="AP2950" s="4">
        <v>0</v>
      </c>
      <c r="AQ2950" s="4">
        <v>4</v>
      </c>
      <c r="AR2950" s="3" t="s">
        <v>63</v>
      </c>
      <c r="AS2950" s="3" t="s">
        <v>63</v>
      </c>
      <c r="AT2950" s="3" t="s">
        <v>63</v>
      </c>
      <c r="AV2950" s="6" t="str">
        <f>HYPERLINK("http://mcgill.on.worldcat.org/oclc/15861743","Catalog Record")</f>
        <v>Catalog Record</v>
      </c>
      <c r="AW2950" s="6" t="str">
        <f>HYPERLINK("http://www.worldcat.org/oclc/15861743","WorldCat Record")</f>
        <v>WorldCat Record</v>
      </c>
      <c r="AX2950" s="3" t="s">
        <v>24681</v>
      </c>
      <c r="AY2950" s="3" t="s">
        <v>24682</v>
      </c>
      <c r="AZ2950" s="3" t="s">
        <v>24683</v>
      </c>
      <c r="BA2950" s="3" t="s">
        <v>24683</v>
      </c>
      <c r="BB2950" s="3" t="s">
        <v>24684</v>
      </c>
      <c r="BC2950" s="3" t="s">
        <v>82</v>
      </c>
      <c r="BD2950" s="3" t="s">
        <v>70</v>
      </c>
      <c r="BF2950" s="3" t="s">
        <v>24684</v>
      </c>
      <c r="BG2950" s="3" t="s">
        <v>24685</v>
      </c>
    </row>
    <row r="2951" spans="1:59" ht="75" x14ac:dyDescent="0.25">
      <c r="A2951" s="2" t="s">
        <v>59</v>
      </c>
      <c r="B2951" s="2" t="s">
        <v>60</v>
      </c>
      <c r="C2951" s="2" t="s">
        <v>24686</v>
      </c>
      <c r="D2951" s="2" t="s">
        <v>24687</v>
      </c>
      <c r="E2951" s="2" t="s">
        <v>24688</v>
      </c>
      <c r="G2951" s="3" t="s">
        <v>63</v>
      </c>
      <c r="I2951" s="3" t="s">
        <v>63</v>
      </c>
      <c r="J2951" s="3" t="s">
        <v>63</v>
      </c>
      <c r="K2951" s="3" t="s">
        <v>64</v>
      </c>
      <c r="L2951" s="2" t="s">
        <v>24678</v>
      </c>
      <c r="M2951" s="2" t="s">
        <v>24689</v>
      </c>
      <c r="N2951" s="3" t="s">
        <v>130</v>
      </c>
      <c r="P2951" s="3" t="s">
        <v>90</v>
      </c>
      <c r="R2951" s="3" t="s">
        <v>67</v>
      </c>
      <c r="S2951" s="4">
        <v>1</v>
      </c>
      <c r="T2951" s="4">
        <v>1</v>
      </c>
      <c r="U2951" s="5" t="s">
        <v>18612</v>
      </c>
      <c r="V2951" s="5" t="s">
        <v>18612</v>
      </c>
      <c r="W2951" s="5" t="s">
        <v>69</v>
      </c>
      <c r="X2951" s="5" t="s">
        <v>69</v>
      </c>
      <c r="Y2951" s="4">
        <v>4</v>
      </c>
      <c r="Z2951" s="4">
        <v>1</v>
      </c>
      <c r="AA2951" s="4">
        <v>7</v>
      </c>
      <c r="AB2951" s="4">
        <v>1</v>
      </c>
      <c r="AC2951" s="4">
        <v>1</v>
      </c>
      <c r="AD2951" s="4">
        <v>0</v>
      </c>
      <c r="AE2951" s="4">
        <v>36</v>
      </c>
      <c r="AF2951" s="4">
        <v>0</v>
      </c>
      <c r="AG2951" s="4">
        <v>0</v>
      </c>
      <c r="AH2951" s="4">
        <v>0</v>
      </c>
      <c r="AI2951" s="4">
        <v>35</v>
      </c>
      <c r="AJ2951" s="4">
        <v>0</v>
      </c>
      <c r="AK2951" s="4">
        <v>2</v>
      </c>
      <c r="AL2951" s="4">
        <v>0</v>
      </c>
      <c r="AM2951" s="4">
        <v>28</v>
      </c>
      <c r="AN2951" s="4">
        <v>0</v>
      </c>
      <c r="AO2951" s="4">
        <v>0</v>
      </c>
      <c r="AP2951" s="4">
        <v>0</v>
      </c>
      <c r="AQ2951" s="4">
        <v>2</v>
      </c>
      <c r="AR2951" s="3" t="s">
        <v>63</v>
      </c>
      <c r="AS2951" s="3" t="s">
        <v>63</v>
      </c>
      <c r="AT2951" s="3" t="s">
        <v>63</v>
      </c>
      <c r="AV2951" s="6" t="str">
        <f>HYPERLINK("http://mcgill.on.worldcat.org/oclc/828150724","Catalog Record")</f>
        <v>Catalog Record</v>
      </c>
      <c r="AW2951" s="6" t="str">
        <f>HYPERLINK("http://www.worldcat.org/oclc/828150724","WorldCat Record")</f>
        <v>WorldCat Record</v>
      </c>
      <c r="AX2951" s="3" t="s">
        <v>24690</v>
      </c>
      <c r="AY2951" s="3" t="s">
        <v>24691</v>
      </c>
      <c r="AZ2951" s="3" t="s">
        <v>24692</v>
      </c>
      <c r="BA2951" s="3" t="s">
        <v>24692</v>
      </c>
      <c r="BB2951" s="3" t="s">
        <v>24693</v>
      </c>
      <c r="BC2951" s="3" t="s">
        <v>82</v>
      </c>
      <c r="BD2951" s="3" t="s">
        <v>70</v>
      </c>
      <c r="BE2951" s="3" t="s">
        <v>24694</v>
      </c>
      <c r="BF2951" s="3" t="s">
        <v>24693</v>
      </c>
      <c r="BG2951" s="3" t="s">
        <v>24695</v>
      </c>
    </row>
    <row r="2952" spans="1:59" ht="75" x14ac:dyDescent="0.25">
      <c r="A2952" s="2" t="s">
        <v>59</v>
      </c>
      <c r="B2952" s="2" t="s">
        <v>60</v>
      </c>
      <c r="C2952" s="2" t="s">
        <v>24696</v>
      </c>
      <c r="D2952" s="2" t="s">
        <v>24697</v>
      </c>
      <c r="E2952" s="2" t="s">
        <v>24698</v>
      </c>
      <c r="G2952" s="3" t="s">
        <v>63</v>
      </c>
      <c r="I2952" s="3" t="s">
        <v>63</v>
      </c>
      <c r="J2952" s="3" t="s">
        <v>63</v>
      </c>
      <c r="K2952" s="3" t="s">
        <v>64</v>
      </c>
      <c r="L2952" s="2" t="s">
        <v>24678</v>
      </c>
      <c r="M2952" s="2" t="s">
        <v>24699</v>
      </c>
      <c r="N2952" s="3" t="s">
        <v>76</v>
      </c>
      <c r="P2952" s="3" t="s">
        <v>90</v>
      </c>
      <c r="R2952" s="3" t="s">
        <v>67</v>
      </c>
      <c r="S2952" s="4">
        <v>1</v>
      </c>
      <c r="T2952" s="4">
        <v>1</v>
      </c>
      <c r="U2952" s="5" t="s">
        <v>18612</v>
      </c>
      <c r="V2952" s="5" t="s">
        <v>18612</v>
      </c>
      <c r="W2952" s="5" t="s">
        <v>69</v>
      </c>
      <c r="X2952" s="5" t="s">
        <v>69</v>
      </c>
      <c r="Y2952" s="4">
        <v>67</v>
      </c>
      <c r="Z2952" s="4">
        <v>5</v>
      </c>
      <c r="AA2952" s="4">
        <v>5</v>
      </c>
      <c r="AB2952" s="4">
        <v>1</v>
      </c>
      <c r="AC2952" s="4">
        <v>1</v>
      </c>
      <c r="AD2952" s="4">
        <v>28</v>
      </c>
      <c r="AE2952" s="4">
        <v>28</v>
      </c>
      <c r="AF2952" s="4">
        <v>0</v>
      </c>
      <c r="AG2952" s="4">
        <v>0</v>
      </c>
      <c r="AH2952" s="4">
        <v>27</v>
      </c>
      <c r="AI2952" s="4">
        <v>27</v>
      </c>
      <c r="AJ2952" s="4">
        <v>2</v>
      </c>
      <c r="AK2952" s="4">
        <v>2</v>
      </c>
      <c r="AL2952" s="4">
        <v>23</v>
      </c>
      <c r="AM2952" s="4">
        <v>23</v>
      </c>
      <c r="AN2952" s="4">
        <v>0</v>
      </c>
      <c r="AO2952" s="4">
        <v>0</v>
      </c>
      <c r="AP2952" s="4">
        <v>2</v>
      </c>
      <c r="AQ2952" s="4">
        <v>2</v>
      </c>
      <c r="AR2952" s="3" t="s">
        <v>63</v>
      </c>
      <c r="AS2952" s="3" t="s">
        <v>63</v>
      </c>
      <c r="AT2952" s="3" t="s">
        <v>63</v>
      </c>
      <c r="AV2952" s="6" t="str">
        <f>HYPERLINK("http://mcgill.on.worldcat.org/oclc/798744772","Catalog Record")</f>
        <v>Catalog Record</v>
      </c>
      <c r="AW2952" s="6" t="str">
        <f>HYPERLINK("http://www.worldcat.org/oclc/798744772","WorldCat Record")</f>
        <v>WorldCat Record</v>
      </c>
      <c r="AX2952" s="3" t="s">
        <v>24700</v>
      </c>
      <c r="AY2952" s="3" t="s">
        <v>24701</v>
      </c>
      <c r="AZ2952" s="3" t="s">
        <v>24702</v>
      </c>
      <c r="BA2952" s="3" t="s">
        <v>24702</v>
      </c>
      <c r="BB2952" s="3" t="s">
        <v>24703</v>
      </c>
      <c r="BC2952" s="3" t="s">
        <v>82</v>
      </c>
      <c r="BD2952" s="3" t="s">
        <v>70</v>
      </c>
      <c r="BE2952" s="3" t="s">
        <v>24704</v>
      </c>
      <c r="BF2952" s="3" t="s">
        <v>24703</v>
      </c>
      <c r="BG2952" s="3" t="s">
        <v>24705</v>
      </c>
    </row>
    <row r="2953" spans="1:59" ht="75" x14ac:dyDescent="0.25">
      <c r="A2953" s="2" t="s">
        <v>59</v>
      </c>
      <c r="B2953" s="2" t="s">
        <v>60</v>
      </c>
      <c r="C2953" s="2" t="s">
        <v>24706</v>
      </c>
      <c r="D2953" s="2" t="s">
        <v>24707</v>
      </c>
      <c r="E2953" s="2" t="s">
        <v>24708</v>
      </c>
      <c r="G2953" s="3" t="s">
        <v>63</v>
      </c>
      <c r="I2953" s="3" t="s">
        <v>63</v>
      </c>
      <c r="J2953" s="3" t="s">
        <v>63</v>
      </c>
      <c r="K2953" s="3" t="s">
        <v>64</v>
      </c>
      <c r="L2953" s="2" t="s">
        <v>24709</v>
      </c>
      <c r="M2953" s="2" t="s">
        <v>24710</v>
      </c>
      <c r="N2953" s="3" t="s">
        <v>143</v>
      </c>
      <c r="P2953" s="3" t="s">
        <v>90</v>
      </c>
      <c r="R2953" s="3" t="s">
        <v>67</v>
      </c>
      <c r="S2953" s="4">
        <v>0</v>
      </c>
      <c r="T2953" s="4">
        <v>0</v>
      </c>
      <c r="W2953" s="5" t="s">
        <v>69</v>
      </c>
      <c r="X2953" s="5" t="s">
        <v>69</v>
      </c>
      <c r="Y2953" s="4">
        <v>55</v>
      </c>
      <c r="Z2953" s="4">
        <v>5</v>
      </c>
      <c r="AA2953" s="4">
        <v>5</v>
      </c>
      <c r="AB2953" s="4">
        <v>1</v>
      </c>
      <c r="AC2953" s="4">
        <v>1</v>
      </c>
      <c r="AD2953" s="4">
        <v>24</v>
      </c>
      <c r="AE2953" s="4">
        <v>24</v>
      </c>
      <c r="AF2953" s="4">
        <v>0</v>
      </c>
      <c r="AG2953" s="4">
        <v>0</v>
      </c>
      <c r="AH2953" s="4">
        <v>23</v>
      </c>
      <c r="AI2953" s="4">
        <v>23</v>
      </c>
      <c r="AJ2953" s="4">
        <v>2</v>
      </c>
      <c r="AK2953" s="4">
        <v>2</v>
      </c>
      <c r="AL2953" s="4">
        <v>21</v>
      </c>
      <c r="AM2953" s="4">
        <v>21</v>
      </c>
      <c r="AN2953" s="4">
        <v>0</v>
      </c>
      <c r="AO2953" s="4">
        <v>0</v>
      </c>
      <c r="AP2953" s="4">
        <v>2</v>
      </c>
      <c r="AQ2953" s="4">
        <v>2</v>
      </c>
      <c r="AR2953" s="3" t="s">
        <v>63</v>
      </c>
      <c r="AS2953" s="3" t="s">
        <v>63</v>
      </c>
      <c r="AT2953" s="3" t="s">
        <v>63</v>
      </c>
      <c r="AV2953" s="6" t="str">
        <f>HYPERLINK("http://mcgill.on.worldcat.org/oclc/873828512","Catalog Record")</f>
        <v>Catalog Record</v>
      </c>
      <c r="AW2953" s="6" t="str">
        <f>HYPERLINK("http://www.worldcat.org/oclc/873828512","WorldCat Record")</f>
        <v>WorldCat Record</v>
      </c>
      <c r="AX2953" s="3" t="s">
        <v>24711</v>
      </c>
      <c r="AY2953" s="3" t="s">
        <v>24712</v>
      </c>
      <c r="AZ2953" s="3" t="s">
        <v>24713</v>
      </c>
      <c r="BA2953" s="3" t="s">
        <v>24713</v>
      </c>
      <c r="BB2953" s="3" t="s">
        <v>24714</v>
      </c>
      <c r="BC2953" s="3" t="s">
        <v>82</v>
      </c>
      <c r="BD2953" s="3" t="s">
        <v>70</v>
      </c>
      <c r="BE2953" s="3" t="s">
        <v>24715</v>
      </c>
      <c r="BF2953" s="3" t="s">
        <v>24714</v>
      </c>
      <c r="BG2953" s="3" t="s">
        <v>24716</v>
      </c>
    </row>
    <row r="2954" spans="1:59" ht="60" x14ac:dyDescent="0.25">
      <c r="A2954" s="2" t="s">
        <v>59</v>
      </c>
      <c r="B2954" s="2" t="s">
        <v>60</v>
      </c>
      <c r="C2954" s="2" t="s">
        <v>24717</v>
      </c>
      <c r="D2954" s="2" t="s">
        <v>24718</v>
      </c>
      <c r="E2954" s="2" t="s">
        <v>24719</v>
      </c>
      <c r="G2954" s="3" t="s">
        <v>63</v>
      </c>
      <c r="I2954" s="3" t="s">
        <v>63</v>
      </c>
      <c r="J2954" s="3" t="s">
        <v>63</v>
      </c>
      <c r="K2954" s="3" t="s">
        <v>64</v>
      </c>
      <c r="L2954" s="2" t="s">
        <v>24720</v>
      </c>
      <c r="M2954" s="2" t="s">
        <v>24721</v>
      </c>
      <c r="N2954" s="3" t="s">
        <v>1418</v>
      </c>
      <c r="P2954" s="3" t="s">
        <v>66</v>
      </c>
      <c r="R2954" s="3" t="s">
        <v>67</v>
      </c>
      <c r="S2954" s="4">
        <v>3</v>
      </c>
      <c r="T2954" s="4">
        <v>3</v>
      </c>
      <c r="U2954" s="5" t="s">
        <v>24722</v>
      </c>
      <c r="V2954" s="5" t="s">
        <v>24722</v>
      </c>
      <c r="W2954" s="5" t="s">
        <v>69</v>
      </c>
      <c r="X2954" s="5" t="s">
        <v>69</v>
      </c>
      <c r="Y2954" s="4">
        <v>244</v>
      </c>
      <c r="Z2954" s="4">
        <v>16</v>
      </c>
      <c r="AA2954" s="4">
        <v>16</v>
      </c>
      <c r="AB2954" s="4">
        <v>1</v>
      </c>
      <c r="AC2954" s="4">
        <v>1</v>
      </c>
      <c r="AD2954" s="4">
        <v>90</v>
      </c>
      <c r="AE2954" s="4">
        <v>90</v>
      </c>
      <c r="AF2954" s="4">
        <v>0</v>
      </c>
      <c r="AG2954" s="4">
        <v>0</v>
      </c>
      <c r="AH2954" s="4">
        <v>83</v>
      </c>
      <c r="AI2954" s="4">
        <v>83</v>
      </c>
      <c r="AJ2954" s="4">
        <v>12</v>
      </c>
      <c r="AK2954" s="4">
        <v>12</v>
      </c>
      <c r="AL2954" s="4">
        <v>49</v>
      </c>
      <c r="AM2954" s="4">
        <v>49</v>
      </c>
      <c r="AN2954" s="4">
        <v>0</v>
      </c>
      <c r="AO2954" s="4">
        <v>0</v>
      </c>
      <c r="AP2954" s="4">
        <v>12</v>
      </c>
      <c r="AQ2954" s="4">
        <v>12</v>
      </c>
      <c r="AR2954" s="3" t="s">
        <v>63</v>
      </c>
      <c r="AS2954" s="3" t="s">
        <v>63</v>
      </c>
      <c r="AT2954" s="3" t="s">
        <v>62</v>
      </c>
      <c r="AU2954" s="6" t="str">
        <f>HYPERLINK("http://catalog.hathitrust.org/Record/000882018","HathiTrust Record")</f>
        <v>HathiTrust Record</v>
      </c>
      <c r="AV2954" s="6" t="str">
        <f>HYPERLINK("http://mcgill.on.worldcat.org/oclc/12420476","Catalog Record")</f>
        <v>Catalog Record</v>
      </c>
      <c r="AW2954" s="6" t="str">
        <f>HYPERLINK("http://www.worldcat.org/oclc/12420476","WorldCat Record")</f>
        <v>WorldCat Record</v>
      </c>
      <c r="AX2954" s="3" t="s">
        <v>24723</v>
      </c>
      <c r="AY2954" s="3" t="s">
        <v>24724</v>
      </c>
      <c r="AZ2954" s="3" t="s">
        <v>24725</v>
      </c>
      <c r="BA2954" s="3" t="s">
        <v>24725</v>
      </c>
      <c r="BB2954" s="3" t="s">
        <v>24726</v>
      </c>
      <c r="BC2954" s="3" t="s">
        <v>82</v>
      </c>
      <c r="BD2954" s="3" t="s">
        <v>70</v>
      </c>
      <c r="BE2954" s="3" t="s">
        <v>24727</v>
      </c>
      <c r="BF2954" s="3" t="s">
        <v>24726</v>
      </c>
      <c r="BG2954" s="3" t="s">
        <v>24728</v>
      </c>
    </row>
    <row r="2955" spans="1:59" ht="60" x14ac:dyDescent="0.25">
      <c r="A2955" s="2" t="s">
        <v>59</v>
      </c>
      <c r="B2955" s="2" t="s">
        <v>60</v>
      </c>
      <c r="C2955" s="2" t="s">
        <v>24729</v>
      </c>
      <c r="D2955" s="2" t="s">
        <v>24730</v>
      </c>
      <c r="E2955" s="2" t="s">
        <v>24731</v>
      </c>
      <c r="G2955" s="3" t="s">
        <v>63</v>
      </c>
      <c r="I2955" s="3" t="s">
        <v>63</v>
      </c>
      <c r="J2955" s="3" t="s">
        <v>63</v>
      </c>
      <c r="K2955" s="3" t="s">
        <v>64</v>
      </c>
      <c r="L2955" s="2" t="s">
        <v>24720</v>
      </c>
      <c r="M2955" s="2" t="s">
        <v>24732</v>
      </c>
      <c r="N2955" s="3" t="s">
        <v>213</v>
      </c>
      <c r="P2955" s="3" t="s">
        <v>90</v>
      </c>
      <c r="R2955" s="3" t="s">
        <v>67</v>
      </c>
      <c r="S2955" s="4">
        <v>6</v>
      </c>
      <c r="T2955" s="4">
        <v>6</v>
      </c>
      <c r="U2955" s="5" t="s">
        <v>24722</v>
      </c>
      <c r="V2955" s="5" t="s">
        <v>24722</v>
      </c>
      <c r="W2955" s="5" t="s">
        <v>69</v>
      </c>
      <c r="X2955" s="5" t="s">
        <v>69</v>
      </c>
      <c r="Y2955" s="4">
        <v>19</v>
      </c>
      <c r="Z2955" s="4">
        <v>1</v>
      </c>
      <c r="AA2955" s="4">
        <v>2</v>
      </c>
      <c r="AB2955" s="4">
        <v>1</v>
      </c>
      <c r="AC2955" s="4">
        <v>1</v>
      </c>
      <c r="AD2955" s="4">
        <v>12</v>
      </c>
      <c r="AE2955" s="4">
        <v>17</v>
      </c>
      <c r="AF2955" s="4">
        <v>0</v>
      </c>
      <c r="AG2955" s="4">
        <v>0</v>
      </c>
      <c r="AH2955" s="4">
        <v>10</v>
      </c>
      <c r="AI2955" s="4">
        <v>15</v>
      </c>
      <c r="AJ2955" s="4">
        <v>0</v>
      </c>
      <c r="AK2955" s="4">
        <v>1</v>
      </c>
      <c r="AL2955" s="4">
        <v>8</v>
      </c>
      <c r="AM2955" s="4">
        <v>12</v>
      </c>
      <c r="AN2955" s="4">
        <v>0</v>
      </c>
      <c r="AO2955" s="4">
        <v>0</v>
      </c>
      <c r="AP2955" s="4">
        <v>0</v>
      </c>
      <c r="AQ2955" s="4">
        <v>1</v>
      </c>
      <c r="AR2955" s="3" t="s">
        <v>63</v>
      </c>
      <c r="AS2955" s="3" t="s">
        <v>63</v>
      </c>
      <c r="AT2955" s="3" t="s">
        <v>63</v>
      </c>
      <c r="AV2955" s="6" t="str">
        <f>HYPERLINK("http://mcgill.on.worldcat.org/oclc/12444960","Catalog Record")</f>
        <v>Catalog Record</v>
      </c>
      <c r="AW2955" s="6" t="str">
        <f>HYPERLINK("http://www.worldcat.org/oclc/12444960","WorldCat Record")</f>
        <v>WorldCat Record</v>
      </c>
      <c r="AX2955" s="3" t="s">
        <v>24733</v>
      </c>
      <c r="AY2955" s="3" t="s">
        <v>24734</v>
      </c>
      <c r="AZ2955" s="3" t="s">
        <v>24735</v>
      </c>
      <c r="BA2955" s="3" t="s">
        <v>24735</v>
      </c>
      <c r="BB2955" s="3" t="s">
        <v>24736</v>
      </c>
      <c r="BC2955" s="3" t="s">
        <v>82</v>
      </c>
      <c r="BD2955" s="3" t="s">
        <v>70</v>
      </c>
      <c r="BF2955" s="3" t="s">
        <v>24736</v>
      </c>
      <c r="BG2955" s="3" t="s">
        <v>24737</v>
      </c>
    </row>
    <row r="2956" spans="1:59" ht="105" x14ac:dyDescent="0.25">
      <c r="A2956" s="2" t="s">
        <v>59</v>
      </c>
      <c r="B2956" s="2" t="s">
        <v>60</v>
      </c>
      <c r="C2956" s="2" t="s">
        <v>24738</v>
      </c>
      <c r="D2956" s="2" t="s">
        <v>24739</v>
      </c>
      <c r="E2956" s="2" t="s">
        <v>24740</v>
      </c>
      <c r="G2956" s="3" t="s">
        <v>63</v>
      </c>
      <c r="I2956" s="3" t="s">
        <v>63</v>
      </c>
      <c r="J2956" s="3" t="s">
        <v>63</v>
      </c>
      <c r="K2956" s="3" t="s">
        <v>64</v>
      </c>
      <c r="L2956" s="2" t="s">
        <v>24741</v>
      </c>
      <c r="M2956" s="2" t="s">
        <v>24742</v>
      </c>
      <c r="N2956" s="3" t="s">
        <v>313</v>
      </c>
      <c r="P2956" s="3" t="s">
        <v>66</v>
      </c>
      <c r="R2956" s="3" t="s">
        <v>67</v>
      </c>
      <c r="S2956" s="4">
        <v>4</v>
      </c>
      <c r="T2956" s="4">
        <v>4</v>
      </c>
      <c r="U2956" s="5" t="s">
        <v>24743</v>
      </c>
      <c r="V2956" s="5" t="s">
        <v>24743</v>
      </c>
      <c r="W2956" s="5" t="s">
        <v>69</v>
      </c>
      <c r="X2956" s="5" t="s">
        <v>69</v>
      </c>
      <c r="Y2956" s="4">
        <v>78</v>
      </c>
      <c r="Z2956" s="4">
        <v>2</v>
      </c>
      <c r="AA2956" s="4">
        <v>2</v>
      </c>
      <c r="AB2956" s="4">
        <v>1</v>
      </c>
      <c r="AC2956" s="4">
        <v>1</v>
      </c>
      <c r="AD2956" s="4">
        <v>15</v>
      </c>
      <c r="AE2956" s="4">
        <v>15</v>
      </c>
      <c r="AF2956" s="4">
        <v>0</v>
      </c>
      <c r="AG2956" s="4">
        <v>0</v>
      </c>
      <c r="AH2956" s="4">
        <v>13</v>
      </c>
      <c r="AI2956" s="4">
        <v>13</v>
      </c>
      <c r="AJ2956" s="4">
        <v>1</v>
      </c>
      <c r="AK2956" s="4">
        <v>1</v>
      </c>
      <c r="AL2956" s="4">
        <v>12</v>
      </c>
      <c r="AM2956" s="4">
        <v>12</v>
      </c>
      <c r="AN2956" s="4">
        <v>0</v>
      </c>
      <c r="AO2956" s="4">
        <v>0</v>
      </c>
      <c r="AP2956" s="4">
        <v>1</v>
      </c>
      <c r="AQ2956" s="4">
        <v>1</v>
      </c>
      <c r="AR2956" s="3" t="s">
        <v>63</v>
      </c>
      <c r="AS2956" s="3" t="s">
        <v>63</v>
      </c>
      <c r="AT2956" s="3" t="s">
        <v>63</v>
      </c>
      <c r="AV2956" s="6" t="str">
        <f>HYPERLINK("http://mcgill.on.worldcat.org/oclc/640085514","Catalog Record")</f>
        <v>Catalog Record</v>
      </c>
      <c r="AW2956" s="6" t="str">
        <f>HYPERLINK("http://www.worldcat.org/oclc/640085514","WorldCat Record")</f>
        <v>WorldCat Record</v>
      </c>
      <c r="AX2956" s="3" t="s">
        <v>24744</v>
      </c>
      <c r="AY2956" s="3" t="s">
        <v>24745</v>
      </c>
      <c r="AZ2956" s="3" t="s">
        <v>24746</v>
      </c>
      <c r="BA2956" s="3" t="s">
        <v>24746</v>
      </c>
      <c r="BB2956" s="3" t="s">
        <v>24747</v>
      </c>
      <c r="BC2956" s="3" t="s">
        <v>82</v>
      </c>
      <c r="BD2956" s="3" t="s">
        <v>70</v>
      </c>
      <c r="BE2956" s="3" t="s">
        <v>24748</v>
      </c>
      <c r="BF2956" s="3" t="s">
        <v>24747</v>
      </c>
      <c r="BG2956" s="3" t="s">
        <v>24749</v>
      </c>
    </row>
    <row r="2957" spans="1:59" ht="60" x14ac:dyDescent="0.25">
      <c r="A2957" s="2" t="s">
        <v>59</v>
      </c>
      <c r="B2957" s="2" t="s">
        <v>60</v>
      </c>
      <c r="C2957" s="2" t="s">
        <v>24750</v>
      </c>
      <c r="D2957" s="2" t="s">
        <v>24751</v>
      </c>
      <c r="E2957" s="2" t="s">
        <v>24752</v>
      </c>
      <c r="G2957" s="3" t="s">
        <v>63</v>
      </c>
      <c r="I2957" s="3" t="s">
        <v>63</v>
      </c>
      <c r="J2957" s="3" t="s">
        <v>63</v>
      </c>
      <c r="K2957" s="3" t="s">
        <v>64</v>
      </c>
      <c r="L2957" s="2" t="s">
        <v>24753</v>
      </c>
      <c r="M2957" s="2" t="s">
        <v>24754</v>
      </c>
      <c r="N2957" s="3" t="s">
        <v>130</v>
      </c>
      <c r="P2957" s="3" t="s">
        <v>66</v>
      </c>
      <c r="R2957" s="3" t="s">
        <v>67</v>
      </c>
      <c r="S2957" s="4">
        <v>3</v>
      </c>
      <c r="T2957" s="4">
        <v>3</v>
      </c>
      <c r="U2957" s="5" t="s">
        <v>24755</v>
      </c>
      <c r="V2957" s="5" t="s">
        <v>24755</v>
      </c>
      <c r="W2957" s="5" t="s">
        <v>69</v>
      </c>
      <c r="X2957" s="5" t="s">
        <v>69</v>
      </c>
      <c r="Y2957" s="4">
        <v>35</v>
      </c>
      <c r="Z2957" s="4">
        <v>2</v>
      </c>
      <c r="AA2957" s="4">
        <v>16</v>
      </c>
      <c r="AB2957" s="4">
        <v>1</v>
      </c>
      <c r="AC2957" s="4">
        <v>4</v>
      </c>
      <c r="AD2957" s="4">
        <v>6</v>
      </c>
      <c r="AE2957" s="4">
        <v>68</v>
      </c>
      <c r="AF2957" s="4">
        <v>0</v>
      </c>
      <c r="AG2957" s="4">
        <v>0</v>
      </c>
      <c r="AH2957" s="4">
        <v>5</v>
      </c>
      <c r="AI2957" s="4">
        <v>65</v>
      </c>
      <c r="AJ2957" s="4">
        <v>1</v>
      </c>
      <c r="AK2957" s="4">
        <v>6</v>
      </c>
      <c r="AL2957" s="4">
        <v>5</v>
      </c>
      <c r="AM2957" s="4">
        <v>43</v>
      </c>
      <c r="AN2957" s="4">
        <v>0</v>
      </c>
      <c r="AO2957" s="4">
        <v>0</v>
      </c>
      <c r="AP2957" s="4">
        <v>1</v>
      </c>
      <c r="AQ2957" s="4">
        <v>7</v>
      </c>
      <c r="AR2957" s="3" t="s">
        <v>63</v>
      </c>
      <c r="AS2957" s="3" t="s">
        <v>63</v>
      </c>
      <c r="AT2957" s="3" t="s">
        <v>63</v>
      </c>
      <c r="AV2957" s="6" t="str">
        <f>HYPERLINK("http://mcgill.on.worldcat.org/oclc/832605519","Catalog Record")</f>
        <v>Catalog Record</v>
      </c>
      <c r="AW2957" s="6" t="str">
        <f>HYPERLINK("http://www.worldcat.org/oclc/832605519","WorldCat Record")</f>
        <v>WorldCat Record</v>
      </c>
      <c r="AX2957" s="3" t="s">
        <v>24756</v>
      </c>
      <c r="AY2957" s="3" t="s">
        <v>24757</v>
      </c>
      <c r="AZ2957" s="3" t="s">
        <v>24758</v>
      </c>
      <c r="BA2957" s="3" t="s">
        <v>24758</v>
      </c>
      <c r="BB2957" s="3" t="s">
        <v>24759</v>
      </c>
      <c r="BC2957" s="3" t="s">
        <v>82</v>
      </c>
      <c r="BD2957" s="3" t="s">
        <v>70</v>
      </c>
      <c r="BE2957" s="3" t="s">
        <v>24760</v>
      </c>
      <c r="BF2957" s="3" t="s">
        <v>24759</v>
      </c>
      <c r="BG2957" s="3" t="s">
        <v>24761</v>
      </c>
    </row>
    <row r="2958" spans="1:59" ht="60" x14ac:dyDescent="0.25">
      <c r="A2958" s="2" t="s">
        <v>59</v>
      </c>
      <c r="B2958" s="2" t="s">
        <v>60</v>
      </c>
      <c r="C2958" s="2" t="s">
        <v>24762</v>
      </c>
      <c r="D2958" s="2" t="s">
        <v>24763</v>
      </c>
      <c r="E2958" s="2" t="s">
        <v>24764</v>
      </c>
      <c r="G2958" s="3" t="s">
        <v>63</v>
      </c>
      <c r="I2958" s="3" t="s">
        <v>62</v>
      </c>
      <c r="J2958" s="3" t="s">
        <v>62</v>
      </c>
      <c r="K2958" s="3" t="s">
        <v>64</v>
      </c>
      <c r="L2958" s="2" t="s">
        <v>24753</v>
      </c>
      <c r="M2958" s="2" t="s">
        <v>24765</v>
      </c>
      <c r="N2958" s="3" t="s">
        <v>743</v>
      </c>
      <c r="O2958" s="2" t="s">
        <v>1605</v>
      </c>
      <c r="P2958" s="3" t="s">
        <v>66</v>
      </c>
      <c r="R2958" s="3" t="s">
        <v>67</v>
      </c>
      <c r="S2958" s="4">
        <v>3</v>
      </c>
      <c r="T2958" s="4">
        <v>3</v>
      </c>
      <c r="U2958" s="5" t="s">
        <v>14858</v>
      </c>
      <c r="V2958" s="5" t="s">
        <v>14858</v>
      </c>
      <c r="W2958" s="5" t="s">
        <v>69</v>
      </c>
      <c r="X2958" s="5" t="s">
        <v>69</v>
      </c>
      <c r="Y2958" s="4">
        <v>557</v>
      </c>
      <c r="Z2958" s="4">
        <v>32</v>
      </c>
      <c r="AA2958" s="4">
        <v>58</v>
      </c>
      <c r="AB2958" s="4">
        <v>3</v>
      </c>
      <c r="AC2958" s="4">
        <v>6</v>
      </c>
      <c r="AD2958" s="4">
        <v>104</v>
      </c>
      <c r="AE2958" s="4">
        <v>128</v>
      </c>
      <c r="AF2958" s="4">
        <v>2</v>
      </c>
      <c r="AG2958" s="4">
        <v>2</v>
      </c>
      <c r="AH2958" s="4">
        <v>86</v>
      </c>
      <c r="AI2958" s="4">
        <v>106</v>
      </c>
      <c r="AJ2958" s="4">
        <v>16</v>
      </c>
      <c r="AK2958" s="4">
        <v>19</v>
      </c>
      <c r="AL2958" s="4">
        <v>52</v>
      </c>
      <c r="AM2958" s="4">
        <v>61</v>
      </c>
      <c r="AN2958" s="4">
        <v>0</v>
      </c>
      <c r="AO2958" s="4">
        <v>3</v>
      </c>
      <c r="AP2958" s="4">
        <v>20</v>
      </c>
      <c r="AQ2958" s="4">
        <v>26</v>
      </c>
      <c r="AR2958" s="3" t="s">
        <v>63</v>
      </c>
      <c r="AS2958" s="3" t="s">
        <v>63</v>
      </c>
      <c r="AT2958" s="3" t="s">
        <v>62</v>
      </c>
      <c r="AU2958" s="6" t="str">
        <f>HYPERLINK("http://catalog.hathitrust.org/Record/000980935","HathiTrust Record")</f>
        <v>HathiTrust Record</v>
      </c>
      <c r="AV2958" s="6" t="str">
        <f>HYPERLINK("http://mcgill.on.worldcat.org/oclc/309057","Catalog Record")</f>
        <v>Catalog Record</v>
      </c>
      <c r="AW2958" s="6" t="str">
        <f>HYPERLINK("http://www.worldcat.org/oclc/309057","WorldCat Record")</f>
        <v>WorldCat Record</v>
      </c>
      <c r="AX2958" s="3" t="s">
        <v>24766</v>
      </c>
      <c r="AY2958" s="3" t="s">
        <v>24767</v>
      </c>
      <c r="AZ2958" s="3" t="s">
        <v>24768</v>
      </c>
      <c r="BA2958" s="3" t="s">
        <v>24768</v>
      </c>
      <c r="BB2958" s="3" t="s">
        <v>24769</v>
      </c>
      <c r="BC2958" s="3" t="s">
        <v>82</v>
      </c>
      <c r="BD2958" s="3" t="s">
        <v>70</v>
      </c>
      <c r="BE2958" s="3" t="s">
        <v>24770</v>
      </c>
      <c r="BF2958" s="3" t="s">
        <v>24769</v>
      </c>
      <c r="BG2958" s="3" t="s">
        <v>24771</v>
      </c>
    </row>
    <row r="2959" spans="1:59" ht="60" x14ac:dyDescent="0.25">
      <c r="A2959" s="2" t="s">
        <v>59</v>
      </c>
      <c r="B2959" s="2" t="s">
        <v>60</v>
      </c>
      <c r="C2959" s="2" t="s">
        <v>24772</v>
      </c>
      <c r="D2959" s="2" t="s">
        <v>24773</v>
      </c>
      <c r="E2959" s="2" t="s">
        <v>24774</v>
      </c>
      <c r="G2959" s="3" t="s">
        <v>63</v>
      </c>
      <c r="I2959" s="3" t="s">
        <v>63</v>
      </c>
      <c r="J2959" s="3" t="s">
        <v>62</v>
      </c>
      <c r="K2959" s="3" t="s">
        <v>64</v>
      </c>
      <c r="L2959" s="2" t="s">
        <v>24741</v>
      </c>
      <c r="M2959" s="2" t="s">
        <v>24775</v>
      </c>
      <c r="N2959" s="3" t="s">
        <v>326</v>
      </c>
      <c r="P2959" s="3" t="s">
        <v>66</v>
      </c>
      <c r="Q2959" s="2" t="s">
        <v>20292</v>
      </c>
      <c r="R2959" s="3" t="s">
        <v>67</v>
      </c>
      <c r="S2959" s="4">
        <v>13</v>
      </c>
      <c r="T2959" s="4">
        <v>13</v>
      </c>
      <c r="U2959" s="5" t="s">
        <v>24776</v>
      </c>
      <c r="V2959" s="5" t="s">
        <v>24776</v>
      </c>
      <c r="W2959" s="5" t="s">
        <v>69</v>
      </c>
      <c r="X2959" s="5" t="s">
        <v>69</v>
      </c>
      <c r="Y2959" s="4">
        <v>355</v>
      </c>
      <c r="Z2959" s="4">
        <v>28</v>
      </c>
      <c r="AA2959" s="4">
        <v>58</v>
      </c>
      <c r="AB2959" s="4">
        <v>4</v>
      </c>
      <c r="AC2959" s="4">
        <v>6</v>
      </c>
      <c r="AD2959" s="4">
        <v>73</v>
      </c>
      <c r="AE2959" s="4">
        <v>128</v>
      </c>
      <c r="AF2959" s="4">
        <v>1</v>
      </c>
      <c r="AG2959" s="4">
        <v>2</v>
      </c>
      <c r="AH2959" s="4">
        <v>69</v>
      </c>
      <c r="AI2959" s="4">
        <v>106</v>
      </c>
      <c r="AJ2959" s="4">
        <v>10</v>
      </c>
      <c r="AK2959" s="4">
        <v>19</v>
      </c>
      <c r="AL2959" s="4">
        <v>46</v>
      </c>
      <c r="AM2959" s="4">
        <v>61</v>
      </c>
      <c r="AN2959" s="4">
        <v>0</v>
      </c>
      <c r="AO2959" s="4">
        <v>3</v>
      </c>
      <c r="AP2959" s="4">
        <v>11</v>
      </c>
      <c r="AQ2959" s="4">
        <v>26</v>
      </c>
      <c r="AR2959" s="3" t="s">
        <v>63</v>
      </c>
      <c r="AS2959" s="3" t="s">
        <v>63</v>
      </c>
      <c r="AT2959" s="3" t="s">
        <v>63</v>
      </c>
      <c r="AV2959" s="6" t="str">
        <f>HYPERLINK("http://mcgill.on.worldcat.org/oclc/326505455","Catalog Record")</f>
        <v>Catalog Record</v>
      </c>
      <c r="AW2959" s="6" t="str">
        <f>HYPERLINK("http://www.worldcat.org/oclc/326505455","WorldCat Record")</f>
        <v>WorldCat Record</v>
      </c>
      <c r="AX2959" s="3" t="s">
        <v>24766</v>
      </c>
      <c r="AY2959" s="3" t="s">
        <v>24777</v>
      </c>
      <c r="AZ2959" s="3" t="s">
        <v>24778</v>
      </c>
      <c r="BA2959" s="3" t="s">
        <v>24778</v>
      </c>
      <c r="BB2959" s="3" t="s">
        <v>24779</v>
      </c>
      <c r="BC2959" s="3" t="s">
        <v>82</v>
      </c>
      <c r="BD2959" s="3" t="s">
        <v>70</v>
      </c>
      <c r="BE2959" s="3" t="s">
        <v>24780</v>
      </c>
      <c r="BF2959" s="3" t="s">
        <v>24779</v>
      </c>
      <c r="BG2959" s="3" t="s">
        <v>24781</v>
      </c>
    </row>
    <row r="2960" spans="1:59" ht="60" x14ac:dyDescent="0.25">
      <c r="A2960" s="2" t="s">
        <v>59</v>
      </c>
      <c r="B2960" s="2" t="s">
        <v>60</v>
      </c>
      <c r="C2960" s="2" t="s">
        <v>24782</v>
      </c>
      <c r="D2960" s="2" t="s">
        <v>24783</v>
      </c>
      <c r="E2960" s="2" t="s">
        <v>24784</v>
      </c>
      <c r="G2960" s="3" t="s">
        <v>63</v>
      </c>
      <c r="I2960" s="3" t="s">
        <v>63</v>
      </c>
      <c r="J2960" s="3" t="s">
        <v>63</v>
      </c>
      <c r="K2960" s="3" t="s">
        <v>64</v>
      </c>
      <c r="L2960" s="2" t="s">
        <v>24785</v>
      </c>
      <c r="M2960" s="2" t="s">
        <v>24786</v>
      </c>
      <c r="N2960" s="3" t="s">
        <v>743</v>
      </c>
      <c r="P2960" s="3" t="s">
        <v>548</v>
      </c>
      <c r="R2960" s="3" t="s">
        <v>67</v>
      </c>
      <c r="S2960" s="4">
        <v>5</v>
      </c>
      <c r="T2960" s="4">
        <v>5</v>
      </c>
      <c r="U2960" s="5" t="s">
        <v>14280</v>
      </c>
      <c r="V2960" s="5" t="s">
        <v>14280</v>
      </c>
      <c r="W2960" s="5" t="s">
        <v>69</v>
      </c>
      <c r="X2960" s="5" t="s">
        <v>69</v>
      </c>
      <c r="Y2960" s="4">
        <v>3</v>
      </c>
      <c r="Z2960" s="4">
        <v>1</v>
      </c>
      <c r="AA2960" s="4">
        <v>14</v>
      </c>
      <c r="AB2960" s="4">
        <v>1</v>
      </c>
      <c r="AC2960" s="4">
        <v>11</v>
      </c>
      <c r="AD2960" s="4">
        <v>0</v>
      </c>
      <c r="AE2960" s="4">
        <v>10</v>
      </c>
      <c r="AF2960" s="4">
        <v>0</v>
      </c>
      <c r="AG2960" s="4">
        <v>4</v>
      </c>
      <c r="AH2960" s="4">
        <v>0</v>
      </c>
      <c r="AI2960" s="4">
        <v>5</v>
      </c>
      <c r="AJ2960" s="4">
        <v>0</v>
      </c>
      <c r="AK2960" s="4">
        <v>5</v>
      </c>
      <c r="AL2960" s="4">
        <v>0</v>
      </c>
      <c r="AM2960" s="4">
        <v>2</v>
      </c>
      <c r="AN2960" s="4">
        <v>0</v>
      </c>
      <c r="AO2960" s="4">
        <v>0</v>
      </c>
      <c r="AP2960" s="4">
        <v>0</v>
      </c>
      <c r="AQ2960" s="4">
        <v>5</v>
      </c>
      <c r="AR2960" s="3" t="s">
        <v>63</v>
      </c>
      <c r="AS2960" s="3" t="s">
        <v>63</v>
      </c>
      <c r="AT2960" s="3" t="s">
        <v>63</v>
      </c>
      <c r="AV2960" s="6" t="str">
        <f>HYPERLINK("http://mcgill.on.worldcat.org/oclc/234073829","Catalog Record")</f>
        <v>Catalog Record</v>
      </c>
      <c r="AW2960" s="6" t="str">
        <f>HYPERLINK("http://www.worldcat.org/oclc/234073829","WorldCat Record")</f>
        <v>WorldCat Record</v>
      </c>
      <c r="AX2960" s="3" t="s">
        <v>24787</v>
      </c>
      <c r="AY2960" s="3" t="s">
        <v>24788</v>
      </c>
      <c r="AZ2960" s="3" t="s">
        <v>24789</v>
      </c>
      <c r="BA2960" s="3" t="s">
        <v>24789</v>
      </c>
      <c r="BB2960" s="3" t="s">
        <v>24790</v>
      </c>
      <c r="BC2960" s="3" t="s">
        <v>82</v>
      </c>
      <c r="BD2960" s="3" t="s">
        <v>70</v>
      </c>
      <c r="BF2960" s="3" t="s">
        <v>24790</v>
      </c>
      <c r="BG2960" s="3" t="s">
        <v>24791</v>
      </c>
    </row>
    <row r="2961" spans="1:59" ht="60" x14ac:dyDescent="0.25">
      <c r="A2961" s="2" t="s">
        <v>59</v>
      </c>
      <c r="B2961" s="2" t="s">
        <v>60</v>
      </c>
      <c r="C2961" s="2" t="s">
        <v>24792</v>
      </c>
      <c r="D2961" s="2" t="s">
        <v>24793</v>
      </c>
      <c r="E2961" s="2" t="s">
        <v>24794</v>
      </c>
      <c r="G2961" s="3" t="s">
        <v>63</v>
      </c>
      <c r="H2961" s="3" t="s">
        <v>215</v>
      </c>
      <c r="I2961" s="3" t="s">
        <v>63</v>
      </c>
      <c r="J2961" s="3" t="s">
        <v>63</v>
      </c>
      <c r="K2961" s="3" t="s">
        <v>64</v>
      </c>
      <c r="L2961" s="2" t="s">
        <v>24753</v>
      </c>
      <c r="M2961" s="2" t="s">
        <v>24795</v>
      </c>
      <c r="N2961" s="3" t="s">
        <v>1752</v>
      </c>
      <c r="P2961" s="3" t="s">
        <v>66</v>
      </c>
      <c r="Q2961" s="2" t="s">
        <v>20292</v>
      </c>
      <c r="R2961" s="3" t="s">
        <v>67</v>
      </c>
      <c r="S2961" s="4">
        <v>0</v>
      </c>
      <c r="T2961" s="4">
        <v>0</v>
      </c>
      <c r="W2961" s="5" t="s">
        <v>1546</v>
      </c>
      <c r="X2961" s="5" t="s">
        <v>1546</v>
      </c>
      <c r="Y2961" s="4">
        <v>407</v>
      </c>
      <c r="Z2961" s="4">
        <v>12</v>
      </c>
      <c r="AA2961" s="4">
        <v>18</v>
      </c>
      <c r="AB2961" s="4">
        <v>1</v>
      </c>
      <c r="AC2961" s="4">
        <v>3</v>
      </c>
      <c r="AD2961" s="4">
        <v>44</v>
      </c>
      <c r="AE2961" s="4">
        <v>54</v>
      </c>
      <c r="AF2961" s="4">
        <v>0</v>
      </c>
      <c r="AG2961" s="4">
        <v>1</v>
      </c>
      <c r="AH2961" s="4">
        <v>39</v>
      </c>
      <c r="AI2961" s="4">
        <v>47</v>
      </c>
      <c r="AJ2961" s="4">
        <v>7</v>
      </c>
      <c r="AK2961" s="4">
        <v>10</v>
      </c>
      <c r="AL2961" s="4">
        <v>24</v>
      </c>
      <c r="AM2961" s="4">
        <v>29</v>
      </c>
      <c r="AN2961" s="4">
        <v>0</v>
      </c>
      <c r="AO2961" s="4">
        <v>0</v>
      </c>
      <c r="AP2961" s="4">
        <v>8</v>
      </c>
      <c r="AQ2961" s="4">
        <v>12</v>
      </c>
      <c r="AR2961" s="3" t="s">
        <v>63</v>
      </c>
      <c r="AS2961" s="3" t="s">
        <v>63</v>
      </c>
      <c r="AT2961" s="3" t="s">
        <v>63</v>
      </c>
      <c r="AV2961" s="6" t="str">
        <f>HYPERLINK("http://mcgill.on.worldcat.org/oclc/1049790190","Catalog Record")</f>
        <v>Catalog Record</v>
      </c>
      <c r="AW2961" s="6" t="str">
        <f>HYPERLINK("http://www.worldcat.org/oclc/1049790190","WorldCat Record")</f>
        <v>WorldCat Record</v>
      </c>
      <c r="AX2961" s="3" t="s">
        <v>24796</v>
      </c>
      <c r="AY2961" s="3" t="s">
        <v>24797</v>
      </c>
      <c r="AZ2961" s="3" t="s">
        <v>24798</v>
      </c>
      <c r="BA2961" s="3" t="s">
        <v>24798</v>
      </c>
      <c r="BB2961" s="3" t="s">
        <v>24799</v>
      </c>
      <c r="BC2961" s="3" t="s">
        <v>82</v>
      </c>
      <c r="BD2961" s="3" t="s">
        <v>70</v>
      </c>
      <c r="BE2961" s="3" t="s">
        <v>24800</v>
      </c>
      <c r="BF2961" s="3" t="s">
        <v>24799</v>
      </c>
      <c r="BG2961" s="3" t="s">
        <v>24801</v>
      </c>
    </row>
    <row r="2962" spans="1:59" ht="60" x14ac:dyDescent="0.25">
      <c r="A2962" s="2" t="s">
        <v>59</v>
      </c>
      <c r="B2962" s="2" t="s">
        <v>60</v>
      </c>
      <c r="C2962" s="2" t="s">
        <v>24802</v>
      </c>
      <c r="D2962" s="2" t="s">
        <v>24803</v>
      </c>
      <c r="E2962" s="2" t="s">
        <v>24804</v>
      </c>
      <c r="G2962" s="3" t="s">
        <v>63</v>
      </c>
      <c r="I2962" s="3" t="s">
        <v>62</v>
      </c>
      <c r="J2962" s="3" t="s">
        <v>63</v>
      </c>
      <c r="K2962" s="3" t="s">
        <v>64</v>
      </c>
      <c r="L2962" s="2" t="s">
        <v>24753</v>
      </c>
      <c r="M2962" s="2" t="s">
        <v>24805</v>
      </c>
      <c r="N2962" s="3" t="s">
        <v>1916</v>
      </c>
      <c r="P2962" s="3" t="s">
        <v>66</v>
      </c>
      <c r="R2962" s="3" t="s">
        <v>67</v>
      </c>
      <c r="S2962" s="4">
        <v>26</v>
      </c>
      <c r="T2962" s="4">
        <v>26</v>
      </c>
      <c r="U2962" s="5" t="s">
        <v>24806</v>
      </c>
      <c r="V2962" s="5" t="s">
        <v>24806</v>
      </c>
      <c r="W2962" s="5" t="s">
        <v>69</v>
      </c>
      <c r="X2962" s="5" t="s">
        <v>69</v>
      </c>
      <c r="Y2962" s="4">
        <v>193</v>
      </c>
      <c r="Z2962" s="4">
        <v>21</v>
      </c>
      <c r="AA2962" s="4">
        <v>57</v>
      </c>
      <c r="AB2962" s="4">
        <v>2</v>
      </c>
      <c r="AC2962" s="4">
        <v>6</v>
      </c>
      <c r="AD2962" s="4">
        <v>61</v>
      </c>
      <c r="AE2962" s="4">
        <v>130</v>
      </c>
      <c r="AF2962" s="4">
        <v>1</v>
      </c>
      <c r="AG2962" s="4">
        <v>2</v>
      </c>
      <c r="AH2962" s="4">
        <v>55</v>
      </c>
      <c r="AI2962" s="4">
        <v>111</v>
      </c>
      <c r="AJ2962" s="4">
        <v>11</v>
      </c>
      <c r="AK2962" s="4">
        <v>19</v>
      </c>
      <c r="AL2962" s="4">
        <v>32</v>
      </c>
      <c r="AM2962" s="4">
        <v>59</v>
      </c>
      <c r="AN2962" s="4">
        <v>0</v>
      </c>
      <c r="AO2962" s="4">
        <v>0</v>
      </c>
      <c r="AP2962" s="4">
        <v>12</v>
      </c>
      <c r="AQ2962" s="4">
        <v>27</v>
      </c>
      <c r="AR2962" s="3" t="s">
        <v>63</v>
      </c>
      <c r="AS2962" s="3" t="s">
        <v>63</v>
      </c>
      <c r="AT2962" s="3" t="s">
        <v>62</v>
      </c>
      <c r="AU2962" s="6" t="str">
        <f>HYPERLINK("http://catalog.hathitrust.org/Record/000470820","HathiTrust Record")</f>
        <v>HathiTrust Record</v>
      </c>
      <c r="AV2962" s="6" t="str">
        <f>HYPERLINK("http://mcgill.on.worldcat.org/oclc/13237915","Catalog Record")</f>
        <v>Catalog Record</v>
      </c>
      <c r="AW2962" s="6" t="str">
        <f>HYPERLINK("http://www.worldcat.org/oclc/13237915","WorldCat Record")</f>
        <v>WorldCat Record</v>
      </c>
      <c r="AX2962" s="3" t="s">
        <v>24807</v>
      </c>
      <c r="AY2962" s="3" t="s">
        <v>24808</v>
      </c>
      <c r="AZ2962" s="3" t="s">
        <v>24809</v>
      </c>
      <c r="BA2962" s="3" t="s">
        <v>24809</v>
      </c>
      <c r="BB2962" s="3" t="s">
        <v>24810</v>
      </c>
      <c r="BC2962" s="3" t="s">
        <v>82</v>
      </c>
      <c r="BD2962" s="3" t="s">
        <v>70</v>
      </c>
      <c r="BE2962" s="3" t="s">
        <v>24811</v>
      </c>
      <c r="BF2962" s="3" t="s">
        <v>24810</v>
      </c>
      <c r="BG2962" s="3" t="s">
        <v>24812</v>
      </c>
    </row>
    <row r="2963" spans="1:59" ht="60" x14ac:dyDescent="0.25">
      <c r="A2963" s="2" t="s">
        <v>59</v>
      </c>
      <c r="B2963" s="2" t="s">
        <v>60</v>
      </c>
      <c r="C2963" s="2" t="s">
        <v>24813</v>
      </c>
      <c r="D2963" s="2" t="s">
        <v>24814</v>
      </c>
      <c r="E2963" s="2" t="s">
        <v>24815</v>
      </c>
      <c r="G2963" s="3" t="s">
        <v>63</v>
      </c>
      <c r="I2963" s="3" t="s">
        <v>63</v>
      </c>
      <c r="J2963" s="3" t="s">
        <v>63</v>
      </c>
      <c r="K2963" s="3" t="s">
        <v>64</v>
      </c>
      <c r="M2963" s="2" t="s">
        <v>24816</v>
      </c>
      <c r="N2963" s="3" t="s">
        <v>190</v>
      </c>
      <c r="P2963" s="3" t="s">
        <v>66</v>
      </c>
      <c r="R2963" s="3" t="s">
        <v>67</v>
      </c>
      <c r="S2963" s="4">
        <v>17</v>
      </c>
      <c r="T2963" s="4">
        <v>17</v>
      </c>
      <c r="U2963" s="5" t="s">
        <v>23733</v>
      </c>
      <c r="V2963" s="5" t="s">
        <v>23733</v>
      </c>
      <c r="W2963" s="5" t="s">
        <v>69</v>
      </c>
      <c r="X2963" s="5" t="s">
        <v>69</v>
      </c>
      <c r="Y2963" s="4">
        <v>174</v>
      </c>
      <c r="Z2963" s="4">
        <v>9</v>
      </c>
      <c r="AA2963" s="4">
        <v>61</v>
      </c>
      <c r="AB2963" s="4">
        <v>1</v>
      </c>
      <c r="AC2963" s="4">
        <v>4</v>
      </c>
      <c r="AD2963" s="4">
        <v>33</v>
      </c>
      <c r="AE2963" s="4">
        <v>108</v>
      </c>
      <c r="AF2963" s="4">
        <v>0</v>
      </c>
      <c r="AG2963" s="4">
        <v>1</v>
      </c>
      <c r="AH2963" s="4">
        <v>30</v>
      </c>
      <c r="AI2963" s="4">
        <v>88</v>
      </c>
      <c r="AJ2963" s="4">
        <v>4</v>
      </c>
      <c r="AK2963" s="4">
        <v>17</v>
      </c>
      <c r="AL2963" s="4">
        <v>27</v>
      </c>
      <c r="AM2963" s="4">
        <v>51</v>
      </c>
      <c r="AN2963" s="4">
        <v>0</v>
      </c>
      <c r="AO2963" s="4">
        <v>0</v>
      </c>
      <c r="AP2963" s="4">
        <v>4</v>
      </c>
      <c r="AQ2963" s="4">
        <v>25</v>
      </c>
      <c r="AR2963" s="3" t="s">
        <v>63</v>
      </c>
      <c r="AS2963" s="3" t="s">
        <v>63</v>
      </c>
      <c r="AT2963" s="3" t="s">
        <v>62</v>
      </c>
      <c r="AU2963" s="6" t="str">
        <f>HYPERLINK("http://catalog.hathitrust.org/Record/005088698","HathiTrust Record")</f>
        <v>HathiTrust Record</v>
      </c>
      <c r="AV2963" s="6" t="str">
        <f>HYPERLINK("http://mcgill.on.worldcat.org/oclc/61175941","Catalog Record")</f>
        <v>Catalog Record</v>
      </c>
      <c r="AW2963" s="6" t="str">
        <f>HYPERLINK("http://www.worldcat.org/oclc/61175941","WorldCat Record")</f>
        <v>WorldCat Record</v>
      </c>
      <c r="AX2963" s="3" t="s">
        <v>24817</v>
      </c>
      <c r="AY2963" s="3" t="s">
        <v>24818</v>
      </c>
      <c r="AZ2963" s="3" t="s">
        <v>24819</v>
      </c>
      <c r="BA2963" s="3" t="s">
        <v>24819</v>
      </c>
      <c r="BB2963" s="3" t="s">
        <v>24820</v>
      </c>
      <c r="BC2963" s="3" t="s">
        <v>82</v>
      </c>
      <c r="BD2963" s="3" t="s">
        <v>70</v>
      </c>
      <c r="BE2963" s="3" t="s">
        <v>24821</v>
      </c>
      <c r="BF2963" s="3" t="s">
        <v>24820</v>
      </c>
      <c r="BG2963" s="3" t="s">
        <v>24822</v>
      </c>
    </row>
    <row r="2964" spans="1:59" ht="60" x14ac:dyDescent="0.25">
      <c r="A2964" s="2" t="s">
        <v>59</v>
      </c>
      <c r="B2964" s="2" t="s">
        <v>60</v>
      </c>
      <c r="C2964" s="2" t="s">
        <v>24823</v>
      </c>
      <c r="D2964" s="2" t="s">
        <v>24824</v>
      </c>
      <c r="E2964" s="2" t="s">
        <v>24825</v>
      </c>
      <c r="G2964" s="3" t="s">
        <v>63</v>
      </c>
      <c r="I2964" s="3" t="s">
        <v>63</v>
      </c>
      <c r="J2964" s="3" t="s">
        <v>62</v>
      </c>
      <c r="K2964" s="3" t="s">
        <v>64</v>
      </c>
      <c r="L2964" s="2" t="s">
        <v>24753</v>
      </c>
      <c r="M2964" s="2" t="s">
        <v>24826</v>
      </c>
      <c r="N2964" s="3" t="s">
        <v>427</v>
      </c>
      <c r="P2964" s="3" t="s">
        <v>90</v>
      </c>
      <c r="Q2964" s="2" t="s">
        <v>24827</v>
      </c>
      <c r="R2964" s="3" t="s">
        <v>67</v>
      </c>
      <c r="S2964" s="4">
        <v>9</v>
      </c>
      <c r="T2964" s="4">
        <v>9</v>
      </c>
      <c r="U2964" s="5" t="s">
        <v>24828</v>
      </c>
      <c r="V2964" s="5" t="s">
        <v>24828</v>
      </c>
      <c r="W2964" s="5" t="s">
        <v>69</v>
      </c>
      <c r="X2964" s="5" t="s">
        <v>69</v>
      </c>
      <c r="Y2964" s="4">
        <v>105</v>
      </c>
      <c r="Z2964" s="4">
        <v>9</v>
      </c>
      <c r="AA2964" s="4">
        <v>25</v>
      </c>
      <c r="AB2964" s="4">
        <v>1</v>
      </c>
      <c r="AC2964" s="4">
        <v>3</v>
      </c>
      <c r="AD2964" s="4">
        <v>53</v>
      </c>
      <c r="AE2964" s="4">
        <v>86</v>
      </c>
      <c r="AF2964" s="4">
        <v>0</v>
      </c>
      <c r="AG2964" s="4">
        <v>2</v>
      </c>
      <c r="AH2964" s="4">
        <v>51</v>
      </c>
      <c r="AI2964" s="4">
        <v>78</v>
      </c>
      <c r="AJ2964" s="4">
        <v>7</v>
      </c>
      <c r="AK2964" s="4">
        <v>15</v>
      </c>
      <c r="AL2964" s="4">
        <v>34</v>
      </c>
      <c r="AM2964" s="4">
        <v>52</v>
      </c>
      <c r="AN2964" s="4">
        <v>1</v>
      </c>
      <c r="AO2964" s="4">
        <v>1</v>
      </c>
      <c r="AP2964" s="4">
        <v>7</v>
      </c>
      <c r="AQ2964" s="4">
        <v>14</v>
      </c>
      <c r="AR2964" s="3" t="s">
        <v>63</v>
      </c>
      <c r="AS2964" s="3" t="s">
        <v>63</v>
      </c>
      <c r="AT2964" s="3" t="s">
        <v>62</v>
      </c>
      <c r="AU2964" s="6" t="str">
        <f>HYPERLINK("http://catalog.hathitrust.org/Record/001097749","HathiTrust Record")</f>
        <v>HathiTrust Record</v>
      </c>
      <c r="AV2964" s="6" t="str">
        <f>HYPERLINK("http://mcgill.on.worldcat.org/oclc/19576756","Catalog Record")</f>
        <v>Catalog Record</v>
      </c>
      <c r="AW2964" s="6" t="str">
        <f>HYPERLINK("http://www.worldcat.org/oclc/19576756","WorldCat Record")</f>
        <v>WorldCat Record</v>
      </c>
      <c r="AX2964" s="3" t="s">
        <v>24829</v>
      </c>
      <c r="AY2964" s="3" t="s">
        <v>24830</v>
      </c>
      <c r="AZ2964" s="3" t="s">
        <v>24831</v>
      </c>
      <c r="BA2964" s="3" t="s">
        <v>24831</v>
      </c>
      <c r="BB2964" s="3" t="s">
        <v>24832</v>
      </c>
      <c r="BC2964" s="3" t="s">
        <v>82</v>
      </c>
      <c r="BD2964" s="3" t="s">
        <v>70</v>
      </c>
      <c r="BE2964" s="3" t="s">
        <v>24833</v>
      </c>
      <c r="BF2964" s="3" t="s">
        <v>24832</v>
      </c>
      <c r="BG2964" s="3" t="s">
        <v>24834</v>
      </c>
    </row>
    <row r="2965" spans="1:59" ht="75" x14ac:dyDescent="0.25">
      <c r="A2965" s="2" t="s">
        <v>59</v>
      </c>
      <c r="B2965" s="2" t="s">
        <v>60</v>
      </c>
      <c r="C2965" s="2" t="s">
        <v>24835</v>
      </c>
      <c r="D2965" s="2" t="s">
        <v>24836</v>
      </c>
      <c r="E2965" s="2" t="s">
        <v>24837</v>
      </c>
      <c r="G2965" s="3" t="s">
        <v>63</v>
      </c>
      <c r="I2965" s="3" t="s">
        <v>63</v>
      </c>
      <c r="J2965" s="3" t="s">
        <v>63</v>
      </c>
      <c r="K2965" s="3" t="s">
        <v>64</v>
      </c>
      <c r="L2965" s="2" t="s">
        <v>24838</v>
      </c>
      <c r="M2965" s="2" t="s">
        <v>24839</v>
      </c>
      <c r="N2965" s="3" t="s">
        <v>3640</v>
      </c>
      <c r="P2965" s="3" t="s">
        <v>548</v>
      </c>
      <c r="R2965" s="3" t="s">
        <v>67</v>
      </c>
      <c r="S2965" s="4">
        <v>7</v>
      </c>
      <c r="T2965" s="4">
        <v>7</v>
      </c>
      <c r="U2965" s="5" t="s">
        <v>14637</v>
      </c>
      <c r="V2965" s="5" t="s">
        <v>14637</v>
      </c>
      <c r="W2965" s="5" t="s">
        <v>69</v>
      </c>
      <c r="X2965" s="5" t="s">
        <v>69</v>
      </c>
      <c r="Y2965" s="4">
        <v>43</v>
      </c>
      <c r="Z2965" s="4">
        <v>5</v>
      </c>
      <c r="AA2965" s="4">
        <v>17</v>
      </c>
      <c r="AB2965" s="4">
        <v>1</v>
      </c>
      <c r="AC2965" s="4">
        <v>10</v>
      </c>
      <c r="AD2965" s="4">
        <v>11</v>
      </c>
      <c r="AE2965" s="4">
        <v>17</v>
      </c>
      <c r="AF2965" s="4">
        <v>0</v>
      </c>
      <c r="AG2965" s="4">
        <v>4</v>
      </c>
      <c r="AH2965" s="4">
        <v>10</v>
      </c>
      <c r="AI2965" s="4">
        <v>12</v>
      </c>
      <c r="AJ2965" s="4">
        <v>1</v>
      </c>
      <c r="AK2965" s="4">
        <v>7</v>
      </c>
      <c r="AL2965" s="4">
        <v>5</v>
      </c>
      <c r="AM2965" s="4">
        <v>6</v>
      </c>
      <c r="AN2965" s="4">
        <v>0</v>
      </c>
      <c r="AO2965" s="4">
        <v>0</v>
      </c>
      <c r="AP2965" s="4">
        <v>2</v>
      </c>
      <c r="AQ2965" s="4">
        <v>6</v>
      </c>
      <c r="AR2965" s="3" t="s">
        <v>63</v>
      </c>
      <c r="AS2965" s="3" t="s">
        <v>63</v>
      </c>
      <c r="AT2965" s="3" t="s">
        <v>63</v>
      </c>
      <c r="AV2965" s="6" t="str">
        <f>HYPERLINK("http://mcgill.on.worldcat.org/oclc/17087909","Catalog Record")</f>
        <v>Catalog Record</v>
      </c>
      <c r="AW2965" s="6" t="str">
        <f>HYPERLINK("http://www.worldcat.org/oclc/17087909","WorldCat Record")</f>
        <v>WorldCat Record</v>
      </c>
      <c r="AX2965" s="3" t="s">
        <v>24840</v>
      </c>
      <c r="AY2965" s="3" t="s">
        <v>24841</v>
      </c>
      <c r="AZ2965" s="3" t="s">
        <v>24842</v>
      </c>
      <c r="BA2965" s="3" t="s">
        <v>24842</v>
      </c>
      <c r="BB2965" s="3" t="s">
        <v>24843</v>
      </c>
      <c r="BC2965" s="3" t="s">
        <v>82</v>
      </c>
      <c r="BD2965" s="3" t="s">
        <v>70</v>
      </c>
      <c r="BE2965" s="3" t="s">
        <v>24844</v>
      </c>
      <c r="BF2965" s="3" t="s">
        <v>24843</v>
      </c>
      <c r="BG2965" s="3" t="s">
        <v>24845</v>
      </c>
    </row>
    <row r="2966" spans="1:59" ht="60" x14ac:dyDescent="0.25">
      <c r="A2966" s="2" t="s">
        <v>59</v>
      </c>
      <c r="B2966" s="2" t="s">
        <v>60</v>
      </c>
      <c r="C2966" s="2" t="s">
        <v>24846</v>
      </c>
      <c r="D2966" s="2" t="s">
        <v>24847</v>
      </c>
      <c r="E2966" s="2" t="s">
        <v>24848</v>
      </c>
      <c r="G2966" s="3" t="s">
        <v>63</v>
      </c>
      <c r="I2966" s="3" t="s">
        <v>63</v>
      </c>
      <c r="J2966" s="3" t="s">
        <v>63</v>
      </c>
      <c r="K2966" s="3" t="s">
        <v>64</v>
      </c>
      <c r="L2966" s="2" t="s">
        <v>24849</v>
      </c>
      <c r="M2966" s="2" t="s">
        <v>24850</v>
      </c>
      <c r="N2966" s="3" t="s">
        <v>76</v>
      </c>
      <c r="P2966" s="3" t="s">
        <v>548</v>
      </c>
      <c r="R2966" s="3" t="s">
        <v>67</v>
      </c>
      <c r="S2966" s="4">
        <v>3</v>
      </c>
      <c r="T2966" s="4">
        <v>3</v>
      </c>
      <c r="U2966" s="5" t="s">
        <v>24851</v>
      </c>
      <c r="V2966" s="5" t="s">
        <v>24851</v>
      </c>
      <c r="W2966" s="5" t="s">
        <v>69</v>
      </c>
      <c r="X2966" s="5" t="s">
        <v>69</v>
      </c>
      <c r="Y2966" s="4">
        <v>25</v>
      </c>
      <c r="Z2966" s="4">
        <v>3</v>
      </c>
      <c r="AA2966" s="4">
        <v>8</v>
      </c>
      <c r="AB2966" s="4">
        <v>1</v>
      </c>
      <c r="AC2966" s="4">
        <v>6</v>
      </c>
      <c r="AD2966" s="4">
        <v>13</v>
      </c>
      <c r="AE2966" s="4">
        <v>16</v>
      </c>
      <c r="AF2966" s="4">
        <v>0</v>
      </c>
      <c r="AG2966" s="4">
        <v>3</v>
      </c>
      <c r="AH2966" s="4">
        <v>12</v>
      </c>
      <c r="AI2966" s="4">
        <v>13</v>
      </c>
      <c r="AJ2966" s="4">
        <v>1</v>
      </c>
      <c r="AK2966" s="4">
        <v>4</v>
      </c>
      <c r="AL2966" s="4">
        <v>12</v>
      </c>
      <c r="AM2966" s="4">
        <v>12</v>
      </c>
      <c r="AN2966" s="4">
        <v>0</v>
      </c>
      <c r="AO2966" s="4">
        <v>0</v>
      </c>
      <c r="AP2966" s="4">
        <v>1</v>
      </c>
      <c r="AQ2966" s="4">
        <v>3</v>
      </c>
      <c r="AR2966" s="3" t="s">
        <v>63</v>
      </c>
      <c r="AS2966" s="3" t="s">
        <v>63</v>
      </c>
      <c r="AT2966" s="3" t="s">
        <v>63</v>
      </c>
      <c r="AV2966" s="6" t="str">
        <f>HYPERLINK("http://mcgill.on.worldcat.org/oclc/779875719","Catalog Record")</f>
        <v>Catalog Record</v>
      </c>
      <c r="AW2966" s="6" t="str">
        <f>HYPERLINK("http://www.worldcat.org/oclc/779875719","WorldCat Record")</f>
        <v>WorldCat Record</v>
      </c>
      <c r="AX2966" s="3" t="s">
        <v>24852</v>
      </c>
      <c r="AY2966" s="3" t="s">
        <v>24853</v>
      </c>
      <c r="AZ2966" s="3" t="s">
        <v>24854</v>
      </c>
      <c r="BA2966" s="3" t="s">
        <v>24854</v>
      </c>
      <c r="BB2966" s="3" t="s">
        <v>24855</v>
      </c>
      <c r="BC2966" s="3" t="s">
        <v>82</v>
      </c>
      <c r="BD2966" s="3" t="s">
        <v>70</v>
      </c>
      <c r="BE2966" s="3" t="s">
        <v>24856</v>
      </c>
      <c r="BF2966" s="3" t="s">
        <v>24855</v>
      </c>
      <c r="BG2966" s="3" t="s">
        <v>24857</v>
      </c>
    </row>
    <row r="2967" spans="1:59" ht="60" x14ac:dyDescent="0.25">
      <c r="A2967" s="2" t="s">
        <v>59</v>
      </c>
      <c r="B2967" s="2" t="s">
        <v>60</v>
      </c>
      <c r="C2967" s="2" t="s">
        <v>24869</v>
      </c>
      <c r="D2967" s="2" t="s">
        <v>24870</v>
      </c>
      <c r="E2967" s="2" t="s">
        <v>24871</v>
      </c>
      <c r="G2967" s="3" t="s">
        <v>63</v>
      </c>
      <c r="I2967" s="3" t="s">
        <v>63</v>
      </c>
      <c r="J2967" s="3" t="s">
        <v>63</v>
      </c>
      <c r="K2967" s="3" t="s">
        <v>64</v>
      </c>
      <c r="M2967" s="2" t="s">
        <v>24872</v>
      </c>
      <c r="N2967" s="3" t="s">
        <v>287</v>
      </c>
      <c r="P2967" s="3" t="s">
        <v>66</v>
      </c>
      <c r="R2967" s="3" t="s">
        <v>67</v>
      </c>
      <c r="S2967" s="4">
        <v>0</v>
      </c>
      <c r="T2967" s="4">
        <v>0</v>
      </c>
      <c r="W2967" s="5" t="s">
        <v>69</v>
      </c>
      <c r="X2967" s="5" t="s">
        <v>69</v>
      </c>
      <c r="Y2967" s="4">
        <v>80</v>
      </c>
      <c r="Z2967" s="4">
        <v>5</v>
      </c>
      <c r="AA2967" s="4">
        <v>77</v>
      </c>
      <c r="AB2967" s="4">
        <v>1</v>
      </c>
      <c r="AC2967" s="4">
        <v>17</v>
      </c>
      <c r="AD2967" s="4">
        <v>45</v>
      </c>
      <c r="AE2967" s="4">
        <v>105</v>
      </c>
      <c r="AF2967" s="4">
        <v>0</v>
      </c>
      <c r="AG2967" s="4">
        <v>8</v>
      </c>
      <c r="AH2967" s="4">
        <v>41</v>
      </c>
      <c r="AI2967" s="4">
        <v>71</v>
      </c>
      <c r="AJ2967" s="4">
        <v>3</v>
      </c>
      <c r="AK2967" s="4">
        <v>20</v>
      </c>
      <c r="AL2967" s="4">
        <v>33</v>
      </c>
      <c r="AM2967" s="4">
        <v>42</v>
      </c>
      <c r="AN2967" s="4">
        <v>0</v>
      </c>
      <c r="AO2967" s="4">
        <v>0</v>
      </c>
      <c r="AP2967" s="4">
        <v>2</v>
      </c>
      <c r="AQ2967" s="4">
        <v>39</v>
      </c>
      <c r="AR2967" s="3" t="s">
        <v>62</v>
      </c>
      <c r="AS2967" s="3" t="s">
        <v>63</v>
      </c>
      <c r="AT2967" s="3" t="s">
        <v>63</v>
      </c>
      <c r="AV2967" s="6" t="str">
        <f>HYPERLINK("http://mcgill.on.worldcat.org/oclc/1031338404","Catalog Record")</f>
        <v>Catalog Record</v>
      </c>
      <c r="AW2967" s="6" t="str">
        <f>HYPERLINK("http://www.worldcat.org/oclc/1031338404","WorldCat Record")</f>
        <v>WorldCat Record</v>
      </c>
      <c r="AX2967" s="3" t="s">
        <v>24873</v>
      </c>
      <c r="AY2967" s="3" t="s">
        <v>24874</v>
      </c>
      <c r="AZ2967" s="3" t="s">
        <v>24875</v>
      </c>
      <c r="BA2967" s="3" t="s">
        <v>24875</v>
      </c>
      <c r="BB2967" s="3" t="s">
        <v>24876</v>
      </c>
      <c r="BC2967" s="3" t="s">
        <v>82</v>
      </c>
      <c r="BD2967" s="3" t="s">
        <v>70</v>
      </c>
      <c r="BE2967" s="3" t="s">
        <v>24877</v>
      </c>
      <c r="BF2967" s="3" t="s">
        <v>24876</v>
      </c>
      <c r="BG2967" s="3" t="s">
        <v>24878</v>
      </c>
    </row>
    <row r="2968" spans="1:59" ht="60" x14ac:dyDescent="0.25">
      <c r="A2968" s="2" t="s">
        <v>59</v>
      </c>
      <c r="B2968" s="2" t="s">
        <v>60</v>
      </c>
      <c r="C2968" s="2" t="s">
        <v>24879</v>
      </c>
      <c r="D2968" s="2" t="s">
        <v>24880</v>
      </c>
      <c r="E2968" s="2" t="s">
        <v>24881</v>
      </c>
      <c r="G2968" s="3" t="s">
        <v>63</v>
      </c>
      <c r="I2968" s="3" t="s">
        <v>63</v>
      </c>
      <c r="J2968" s="3" t="s">
        <v>63</v>
      </c>
      <c r="K2968" s="3" t="s">
        <v>64</v>
      </c>
      <c r="L2968" s="2" t="s">
        <v>24882</v>
      </c>
      <c r="M2968" s="2" t="s">
        <v>24883</v>
      </c>
      <c r="N2968" s="3" t="s">
        <v>758</v>
      </c>
      <c r="P2968" s="3" t="s">
        <v>90</v>
      </c>
      <c r="R2968" s="3" t="s">
        <v>67</v>
      </c>
      <c r="S2968" s="4">
        <v>3</v>
      </c>
      <c r="T2968" s="4">
        <v>3</v>
      </c>
      <c r="U2968" s="5" t="s">
        <v>16798</v>
      </c>
      <c r="V2968" s="5" t="s">
        <v>16798</v>
      </c>
      <c r="W2968" s="5" t="s">
        <v>69</v>
      </c>
      <c r="X2968" s="5" t="s">
        <v>69</v>
      </c>
      <c r="Y2968" s="4">
        <v>49</v>
      </c>
      <c r="Z2968" s="4">
        <v>2</v>
      </c>
      <c r="AA2968" s="4">
        <v>2</v>
      </c>
      <c r="AB2968" s="4">
        <v>1</v>
      </c>
      <c r="AC2968" s="4">
        <v>1</v>
      </c>
      <c r="AD2968" s="4">
        <v>26</v>
      </c>
      <c r="AE2968" s="4">
        <v>29</v>
      </c>
      <c r="AF2968" s="4">
        <v>0</v>
      </c>
      <c r="AG2968" s="4">
        <v>0</v>
      </c>
      <c r="AH2968" s="4">
        <v>23</v>
      </c>
      <c r="AI2968" s="4">
        <v>26</v>
      </c>
      <c r="AJ2968" s="4">
        <v>1</v>
      </c>
      <c r="AK2968" s="4">
        <v>1</v>
      </c>
      <c r="AL2968" s="4">
        <v>20</v>
      </c>
      <c r="AM2968" s="4">
        <v>22</v>
      </c>
      <c r="AN2968" s="4">
        <v>0</v>
      </c>
      <c r="AO2968" s="4">
        <v>0</v>
      </c>
      <c r="AP2968" s="4">
        <v>1</v>
      </c>
      <c r="AQ2968" s="4">
        <v>1</v>
      </c>
      <c r="AR2968" s="3" t="s">
        <v>63</v>
      </c>
      <c r="AS2968" s="3" t="s">
        <v>63</v>
      </c>
      <c r="AT2968" s="3" t="s">
        <v>62</v>
      </c>
      <c r="AU2968" s="6" t="str">
        <f>HYPERLINK("http://catalog.hathitrust.org/Record/006639921","HathiTrust Record")</f>
        <v>HathiTrust Record</v>
      </c>
      <c r="AV2968" s="6" t="str">
        <f>HYPERLINK("http://mcgill.on.worldcat.org/oclc/7100187","Catalog Record")</f>
        <v>Catalog Record</v>
      </c>
      <c r="AW2968" s="6" t="str">
        <f>HYPERLINK("http://www.worldcat.org/oclc/7100187","WorldCat Record")</f>
        <v>WorldCat Record</v>
      </c>
      <c r="AX2968" s="3" t="s">
        <v>24884</v>
      </c>
      <c r="AY2968" s="3" t="s">
        <v>24885</v>
      </c>
      <c r="AZ2968" s="3" t="s">
        <v>24886</v>
      </c>
      <c r="BA2968" s="3" t="s">
        <v>24886</v>
      </c>
      <c r="BB2968" s="3" t="s">
        <v>24887</v>
      </c>
      <c r="BC2968" s="3" t="s">
        <v>82</v>
      </c>
      <c r="BD2968" s="3" t="s">
        <v>70</v>
      </c>
      <c r="BF2968" s="3" t="s">
        <v>24887</v>
      </c>
      <c r="BG2968" s="3" t="s">
        <v>24888</v>
      </c>
    </row>
    <row r="2969" spans="1:59" ht="60" x14ac:dyDescent="0.25">
      <c r="A2969" s="2" t="s">
        <v>59</v>
      </c>
      <c r="B2969" s="2" t="s">
        <v>60</v>
      </c>
      <c r="C2969" s="2" t="s">
        <v>24889</v>
      </c>
      <c r="D2969" s="2" t="s">
        <v>24890</v>
      </c>
      <c r="E2969" s="2" t="s">
        <v>24891</v>
      </c>
      <c r="G2969" s="3" t="s">
        <v>63</v>
      </c>
      <c r="I2969" s="3" t="s">
        <v>63</v>
      </c>
      <c r="J2969" s="3" t="s">
        <v>63</v>
      </c>
      <c r="K2969" s="3" t="s">
        <v>64</v>
      </c>
      <c r="L2969" s="2" t="s">
        <v>24882</v>
      </c>
      <c r="M2969" s="2" t="s">
        <v>24892</v>
      </c>
      <c r="N2969" s="3" t="s">
        <v>758</v>
      </c>
      <c r="P2969" s="3" t="s">
        <v>90</v>
      </c>
      <c r="R2969" s="3" t="s">
        <v>67</v>
      </c>
      <c r="S2969" s="4">
        <v>6</v>
      </c>
      <c r="T2969" s="4">
        <v>6</v>
      </c>
      <c r="U2969" s="5" t="s">
        <v>16798</v>
      </c>
      <c r="V2969" s="5" t="s">
        <v>16798</v>
      </c>
      <c r="W2969" s="5" t="s">
        <v>69</v>
      </c>
      <c r="X2969" s="5" t="s">
        <v>69</v>
      </c>
      <c r="Y2969" s="4">
        <v>49</v>
      </c>
      <c r="Z2969" s="4">
        <v>4</v>
      </c>
      <c r="AA2969" s="4">
        <v>4</v>
      </c>
      <c r="AB2969" s="4">
        <v>1</v>
      </c>
      <c r="AC2969" s="4">
        <v>1</v>
      </c>
      <c r="AD2969" s="4">
        <v>25</v>
      </c>
      <c r="AE2969" s="4">
        <v>25</v>
      </c>
      <c r="AF2969" s="4">
        <v>0</v>
      </c>
      <c r="AG2969" s="4">
        <v>0</v>
      </c>
      <c r="AH2969" s="4">
        <v>23</v>
      </c>
      <c r="AI2969" s="4">
        <v>23</v>
      </c>
      <c r="AJ2969" s="4">
        <v>1</v>
      </c>
      <c r="AK2969" s="4">
        <v>1</v>
      </c>
      <c r="AL2969" s="4">
        <v>20</v>
      </c>
      <c r="AM2969" s="4">
        <v>20</v>
      </c>
      <c r="AN2969" s="4">
        <v>0</v>
      </c>
      <c r="AO2969" s="4">
        <v>0</v>
      </c>
      <c r="AP2969" s="4">
        <v>1</v>
      </c>
      <c r="AQ2969" s="4">
        <v>1</v>
      </c>
      <c r="AR2969" s="3" t="s">
        <v>63</v>
      </c>
      <c r="AS2969" s="3" t="s">
        <v>63</v>
      </c>
      <c r="AT2969" s="3" t="s">
        <v>63</v>
      </c>
      <c r="AV2969" s="6" t="str">
        <f>HYPERLINK("http://mcgill.on.worldcat.org/oclc/8833766","Catalog Record")</f>
        <v>Catalog Record</v>
      </c>
      <c r="AW2969" s="6" t="str">
        <f>HYPERLINK("http://www.worldcat.org/oclc/8833766","WorldCat Record")</f>
        <v>WorldCat Record</v>
      </c>
      <c r="AX2969" s="3" t="s">
        <v>24893</v>
      </c>
      <c r="AY2969" s="3" t="s">
        <v>24894</v>
      </c>
      <c r="AZ2969" s="3" t="s">
        <v>24895</v>
      </c>
      <c r="BA2969" s="3" t="s">
        <v>24895</v>
      </c>
      <c r="BB2969" s="3" t="s">
        <v>24896</v>
      </c>
      <c r="BC2969" s="3" t="s">
        <v>82</v>
      </c>
      <c r="BD2969" s="3" t="s">
        <v>70</v>
      </c>
      <c r="BF2969" s="3" t="s">
        <v>24896</v>
      </c>
      <c r="BG2969" s="3" t="s">
        <v>24897</v>
      </c>
    </row>
    <row r="2970" spans="1:59" ht="60" x14ac:dyDescent="0.25">
      <c r="A2970" s="2" t="s">
        <v>59</v>
      </c>
      <c r="B2970" s="2" t="s">
        <v>60</v>
      </c>
      <c r="C2970" s="2" t="s">
        <v>24898</v>
      </c>
      <c r="D2970" s="2" t="s">
        <v>24899</v>
      </c>
      <c r="E2970" s="2" t="s">
        <v>24900</v>
      </c>
      <c r="G2970" s="3" t="s">
        <v>63</v>
      </c>
      <c r="I2970" s="3" t="s">
        <v>63</v>
      </c>
      <c r="J2970" s="3" t="s">
        <v>63</v>
      </c>
      <c r="K2970" s="3" t="s">
        <v>64</v>
      </c>
      <c r="L2970" s="2" t="s">
        <v>24882</v>
      </c>
      <c r="M2970" s="2" t="s">
        <v>24901</v>
      </c>
      <c r="N2970" s="3" t="s">
        <v>758</v>
      </c>
      <c r="P2970" s="3" t="s">
        <v>90</v>
      </c>
      <c r="Q2970" s="2" t="s">
        <v>24902</v>
      </c>
      <c r="R2970" s="3" t="s">
        <v>67</v>
      </c>
      <c r="S2970" s="4">
        <v>4</v>
      </c>
      <c r="T2970" s="4">
        <v>4</v>
      </c>
      <c r="U2970" s="5" t="s">
        <v>24903</v>
      </c>
      <c r="V2970" s="5" t="s">
        <v>24903</v>
      </c>
      <c r="W2970" s="5" t="s">
        <v>69</v>
      </c>
      <c r="X2970" s="5" t="s">
        <v>69</v>
      </c>
      <c r="Y2970" s="4">
        <v>41</v>
      </c>
      <c r="Z2970" s="4">
        <v>5</v>
      </c>
      <c r="AA2970" s="4">
        <v>5</v>
      </c>
      <c r="AB2970" s="4">
        <v>1</v>
      </c>
      <c r="AC2970" s="4">
        <v>1</v>
      </c>
      <c r="AD2970" s="4">
        <v>27</v>
      </c>
      <c r="AE2970" s="4">
        <v>27</v>
      </c>
      <c r="AF2970" s="4">
        <v>0</v>
      </c>
      <c r="AG2970" s="4">
        <v>0</v>
      </c>
      <c r="AH2970" s="4">
        <v>25</v>
      </c>
      <c r="AI2970" s="4">
        <v>25</v>
      </c>
      <c r="AJ2970" s="4">
        <v>3</v>
      </c>
      <c r="AK2970" s="4">
        <v>3</v>
      </c>
      <c r="AL2970" s="4">
        <v>19</v>
      </c>
      <c r="AM2970" s="4">
        <v>19</v>
      </c>
      <c r="AN2970" s="4">
        <v>0</v>
      </c>
      <c r="AO2970" s="4">
        <v>0</v>
      </c>
      <c r="AP2970" s="4">
        <v>3</v>
      </c>
      <c r="AQ2970" s="4">
        <v>3</v>
      </c>
      <c r="AR2970" s="3" t="s">
        <v>63</v>
      </c>
      <c r="AS2970" s="3" t="s">
        <v>63</v>
      </c>
      <c r="AT2970" s="3" t="s">
        <v>62</v>
      </c>
      <c r="AU2970" s="6" t="str">
        <f>HYPERLINK("http://catalog.hathitrust.org/Record/007019382","HathiTrust Record")</f>
        <v>HathiTrust Record</v>
      </c>
      <c r="AV2970" s="6" t="str">
        <f>HYPERLINK("http://mcgill.on.worldcat.org/oclc/15501438","Catalog Record")</f>
        <v>Catalog Record</v>
      </c>
      <c r="AW2970" s="6" t="str">
        <f>HYPERLINK("http://www.worldcat.org/oclc/15501438","WorldCat Record")</f>
        <v>WorldCat Record</v>
      </c>
      <c r="AX2970" s="3" t="s">
        <v>24904</v>
      </c>
      <c r="AY2970" s="3" t="s">
        <v>24905</v>
      </c>
      <c r="AZ2970" s="3" t="s">
        <v>24906</v>
      </c>
      <c r="BA2970" s="3" t="s">
        <v>24906</v>
      </c>
      <c r="BB2970" s="3" t="s">
        <v>24907</v>
      </c>
      <c r="BC2970" s="3" t="s">
        <v>82</v>
      </c>
      <c r="BD2970" s="3" t="s">
        <v>70</v>
      </c>
      <c r="BF2970" s="3" t="s">
        <v>24907</v>
      </c>
      <c r="BG2970" s="3" t="s">
        <v>24908</v>
      </c>
    </row>
    <row r="2971" spans="1:59" ht="60" x14ac:dyDescent="0.25">
      <c r="A2971" s="2" t="s">
        <v>59</v>
      </c>
      <c r="B2971" s="2" t="s">
        <v>60</v>
      </c>
      <c r="C2971" s="2" t="s">
        <v>24999</v>
      </c>
      <c r="D2971" s="2" t="s">
        <v>25000</v>
      </c>
      <c r="E2971" s="2" t="s">
        <v>14540</v>
      </c>
      <c r="F2971" s="3" t="s">
        <v>1379</v>
      </c>
      <c r="G2971" s="3" t="s">
        <v>62</v>
      </c>
      <c r="I2971" s="3" t="s">
        <v>63</v>
      </c>
      <c r="J2971" s="3" t="s">
        <v>63</v>
      </c>
      <c r="K2971" s="3" t="s">
        <v>64</v>
      </c>
      <c r="L2971" s="2" t="s">
        <v>24912</v>
      </c>
      <c r="M2971" s="2" t="s">
        <v>25001</v>
      </c>
      <c r="N2971" s="3" t="s">
        <v>2144</v>
      </c>
      <c r="P2971" s="3" t="s">
        <v>90</v>
      </c>
      <c r="R2971" s="3" t="s">
        <v>67</v>
      </c>
      <c r="S2971" s="4">
        <v>13</v>
      </c>
      <c r="T2971" s="4">
        <v>97</v>
      </c>
      <c r="U2971" s="5" t="s">
        <v>25002</v>
      </c>
      <c r="V2971" s="5" t="s">
        <v>25003</v>
      </c>
      <c r="W2971" s="5" t="s">
        <v>69</v>
      </c>
      <c r="X2971" s="5" t="s">
        <v>69</v>
      </c>
      <c r="Y2971" s="4">
        <v>30</v>
      </c>
      <c r="Z2971" s="4">
        <v>10</v>
      </c>
      <c r="AA2971" s="4">
        <v>10</v>
      </c>
      <c r="AB2971" s="4">
        <v>1</v>
      </c>
      <c r="AC2971" s="4">
        <v>1</v>
      </c>
      <c r="AD2971" s="4">
        <v>15</v>
      </c>
      <c r="AE2971" s="4">
        <v>23</v>
      </c>
      <c r="AF2971" s="4">
        <v>0</v>
      </c>
      <c r="AG2971" s="4">
        <v>0</v>
      </c>
      <c r="AH2971" s="4">
        <v>12</v>
      </c>
      <c r="AI2971" s="4">
        <v>19</v>
      </c>
      <c r="AJ2971" s="4">
        <v>8</v>
      </c>
      <c r="AK2971" s="4">
        <v>8</v>
      </c>
      <c r="AL2971" s="4">
        <v>4</v>
      </c>
      <c r="AM2971" s="4">
        <v>11</v>
      </c>
      <c r="AN2971" s="4">
        <v>0</v>
      </c>
      <c r="AO2971" s="4">
        <v>0</v>
      </c>
      <c r="AP2971" s="4">
        <v>8</v>
      </c>
      <c r="AQ2971" s="4">
        <v>8</v>
      </c>
      <c r="AR2971" s="3" t="s">
        <v>63</v>
      </c>
      <c r="AS2971" s="3" t="s">
        <v>63</v>
      </c>
      <c r="AT2971" s="3" t="s">
        <v>63</v>
      </c>
      <c r="AV2971" s="6" t="str">
        <f>HYPERLINK("http://mcgill.on.worldcat.org/oclc/427230318","Catalog Record")</f>
        <v>Catalog Record</v>
      </c>
      <c r="AW2971" s="6" t="str">
        <f>HYPERLINK("http://www.worldcat.org/oclc/427230318","WorldCat Record")</f>
        <v>WorldCat Record</v>
      </c>
      <c r="AX2971" s="3" t="s">
        <v>25004</v>
      </c>
      <c r="AY2971" s="3" t="s">
        <v>25005</v>
      </c>
      <c r="AZ2971" s="3" t="s">
        <v>25006</v>
      </c>
      <c r="BA2971" s="3" t="s">
        <v>25006</v>
      </c>
      <c r="BB2971" s="3" t="s">
        <v>25007</v>
      </c>
      <c r="BC2971" s="3" t="s">
        <v>82</v>
      </c>
      <c r="BD2971" s="3" t="s">
        <v>70</v>
      </c>
      <c r="BF2971" s="3" t="s">
        <v>25007</v>
      </c>
      <c r="BG2971" s="3" t="s">
        <v>25008</v>
      </c>
    </row>
    <row r="2972" spans="1:59" ht="60" x14ac:dyDescent="0.25">
      <c r="A2972" s="2" t="s">
        <v>59</v>
      </c>
      <c r="B2972" s="2" t="s">
        <v>60</v>
      </c>
      <c r="C2972" s="2" t="s">
        <v>24999</v>
      </c>
      <c r="D2972" s="2" t="s">
        <v>25000</v>
      </c>
      <c r="E2972" s="2" t="s">
        <v>14540</v>
      </c>
      <c r="F2972" s="3" t="s">
        <v>1095</v>
      </c>
      <c r="G2972" s="3" t="s">
        <v>62</v>
      </c>
      <c r="I2972" s="3" t="s">
        <v>63</v>
      </c>
      <c r="J2972" s="3" t="s">
        <v>63</v>
      </c>
      <c r="K2972" s="3" t="s">
        <v>64</v>
      </c>
      <c r="L2972" s="2" t="s">
        <v>24912</v>
      </c>
      <c r="M2972" s="2" t="s">
        <v>25001</v>
      </c>
      <c r="N2972" s="3" t="s">
        <v>2144</v>
      </c>
      <c r="P2972" s="3" t="s">
        <v>90</v>
      </c>
      <c r="R2972" s="3" t="s">
        <v>67</v>
      </c>
      <c r="S2972" s="4">
        <v>29</v>
      </c>
      <c r="T2972" s="4">
        <v>97</v>
      </c>
      <c r="U2972" s="5" t="s">
        <v>25009</v>
      </c>
      <c r="V2972" s="5" t="s">
        <v>25003</v>
      </c>
      <c r="W2972" s="5" t="s">
        <v>69</v>
      </c>
      <c r="X2972" s="5" t="s">
        <v>69</v>
      </c>
      <c r="Y2972" s="4">
        <v>30</v>
      </c>
      <c r="Z2972" s="4">
        <v>10</v>
      </c>
      <c r="AA2972" s="4">
        <v>10</v>
      </c>
      <c r="AB2972" s="4">
        <v>1</v>
      </c>
      <c r="AC2972" s="4">
        <v>1</v>
      </c>
      <c r="AD2972" s="4">
        <v>15</v>
      </c>
      <c r="AE2972" s="4">
        <v>23</v>
      </c>
      <c r="AF2972" s="4">
        <v>0</v>
      </c>
      <c r="AG2972" s="4">
        <v>0</v>
      </c>
      <c r="AH2972" s="4">
        <v>12</v>
      </c>
      <c r="AI2972" s="4">
        <v>19</v>
      </c>
      <c r="AJ2972" s="4">
        <v>8</v>
      </c>
      <c r="AK2972" s="4">
        <v>8</v>
      </c>
      <c r="AL2972" s="4">
        <v>4</v>
      </c>
      <c r="AM2972" s="4">
        <v>11</v>
      </c>
      <c r="AN2972" s="4">
        <v>0</v>
      </c>
      <c r="AO2972" s="4">
        <v>0</v>
      </c>
      <c r="AP2972" s="4">
        <v>8</v>
      </c>
      <c r="AQ2972" s="4">
        <v>8</v>
      </c>
      <c r="AR2972" s="3" t="s">
        <v>63</v>
      </c>
      <c r="AS2972" s="3" t="s">
        <v>63</v>
      </c>
      <c r="AT2972" s="3" t="s">
        <v>63</v>
      </c>
      <c r="AV2972" s="6" t="str">
        <f>HYPERLINK("http://mcgill.on.worldcat.org/oclc/427230318","Catalog Record")</f>
        <v>Catalog Record</v>
      </c>
      <c r="AW2972" s="6" t="str">
        <f>HYPERLINK("http://www.worldcat.org/oclc/427230318","WorldCat Record")</f>
        <v>WorldCat Record</v>
      </c>
      <c r="AX2972" s="3" t="s">
        <v>25004</v>
      </c>
      <c r="AY2972" s="3" t="s">
        <v>25005</v>
      </c>
      <c r="AZ2972" s="3" t="s">
        <v>25006</v>
      </c>
      <c r="BA2972" s="3" t="s">
        <v>25006</v>
      </c>
      <c r="BB2972" s="3" t="s">
        <v>25010</v>
      </c>
      <c r="BC2972" s="3" t="s">
        <v>82</v>
      </c>
      <c r="BD2972" s="3" t="s">
        <v>70</v>
      </c>
      <c r="BF2972" s="3" t="s">
        <v>25010</v>
      </c>
      <c r="BG2972" s="3" t="s">
        <v>25011</v>
      </c>
    </row>
    <row r="2973" spans="1:59" ht="60" x14ac:dyDescent="0.25">
      <c r="A2973" s="2" t="s">
        <v>59</v>
      </c>
      <c r="B2973" s="2" t="s">
        <v>60</v>
      </c>
      <c r="C2973" s="2" t="s">
        <v>24999</v>
      </c>
      <c r="D2973" s="2" t="s">
        <v>25000</v>
      </c>
      <c r="E2973" s="2" t="s">
        <v>14540</v>
      </c>
      <c r="F2973" s="3" t="s">
        <v>61</v>
      </c>
      <c r="G2973" s="3" t="s">
        <v>62</v>
      </c>
      <c r="I2973" s="3" t="s">
        <v>63</v>
      </c>
      <c r="J2973" s="3" t="s">
        <v>63</v>
      </c>
      <c r="K2973" s="3" t="s">
        <v>64</v>
      </c>
      <c r="L2973" s="2" t="s">
        <v>24912</v>
      </c>
      <c r="M2973" s="2" t="s">
        <v>25001</v>
      </c>
      <c r="N2973" s="3" t="s">
        <v>2144</v>
      </c>
      <c r="P2973" s="3" t="s">
        <v>90</v>
      </c>
      <c r="R2973" s="3" t="s">
        <v>67</v>
      </c>
      <c r="S2973" s="4">
        <v>27</v>
      </c>
      <c r="T2973" s="4">
        <v>97</v>
      </c>
      <c r="U2973" s="5" t="s">
        <v>25003</v>
      </c>
      <c r="V2973" s="5" t="s">
        <v>25003</v>
      </c>
      <c r="W2973" s="5" t="s">
        <v>69</v>
      </c>
      <c r="X2973" s="5" t="s">
        <v>69</v>
      </c>
      <c r="Y2973" s="4">
        <v>30</v>
      </c>
      <c r="Z2973" s="4">
        <v>10</v>
      </c>
      <c r="AA2973" s="4">
        <v>10</v>
      </c>
      <c r="AB2973" s="4">
        <v>1</v>
      </c>
      <c r="AC2973" s="4">
        <v>1</v>
      </c>
      <c r="AD2973" s="4">
        <v>15</v>
      </c>
      <c r="AE2973" s="4">
        <v>23</v>
      </c>
      <c r="AF2973" s="4">
        <v>0</v>
      </c>
      <c r="AG2973" s="4">
        <v>0</v>
      </c>
      <c r="AH2973" s="4">
        <v>12</v>
      </c>
      <c r="AI2973" s="4">
        <v>19</v>
      </c>
      <c r="AJ2973" s="4">
        <v>8</v>
      </c>
      <c r="AK2973" s="4">
        <v>8</v>
      </c>
      <c r="AL2973" s="4">
        <v>4</v>
      </c>
      <c r="AM2973" s="4">
        <v>11</v>
      </c>
      <c r="AN2973" s="4">
        <v>0</v>
      </c>
      <c r="AO2973" s="4">
        <v>0</v>
      </c>
      <c r="AP2973" s="4">
        <v>8</v>
      </c>
      <c r="AQ2973" s="4">
        <v>8</v>
      </c>
      <c r="AR2973" s="3" t="s">
        <v>63</v>
      </c>
      <c r="AS2973" s="3" t="s">
        <v>63</v>
      </c>
      <c r="AT2973" s="3" t="s">
        <v>63</v>
      </c>
      <c r="AV2973" s="6" t="str">
        <f>HYPERLINK("http://mcgill.on.worldcat.org/oclc/427230318","Catalog Record")</f>
        <v>Catalog Record</v>
      </c>
      <c r="AW2973" s="6" t="str">
        <f>HYPERLINK("http://www.worldcat.org/oclc/427230318","WorldCat Record")</f>
        <v>WorldCat Record</v>
      </c>
      <c r="AX2973" s="3" t="s">
        <v>25004</v>
      </c>
      <c r="AY2973" s="3" t="s">
        <v>25005</v>
      </c>
      <c r="AZ2973" s="3" t="s">
        <v>25006</v>
      </c>
      <c r="BA2973" s="3" t="s">
        <v>25006</v>
      </c>
      <c r="BB2973" s="3" t="s">
        <v>25012</v>
      </c>
      <c r="BC2973" s="3" t="s">
        <v>82</v>
      </c>
      <c r="BD2973" s="3" t="s">
        <v>70</v>
      </c>
      <c r="BF2973" s="3" t="s">
        <v>25012</v>
      </c>
      <c r="BG2973" s="3" t="s">
        <v>25013</v>
      </c>
    </row>
    <row r="2974" spans="1:59" ht="60" x14ac:dyDescent="0.25">
      <c r="A2974" s="2" t="s">
        <v>59</v>
      </c>
      <c r="B2974" s="2" t="s">
        <v>60</v>
      </c>
      <c r="C2974" s="2" t="s">
        <v>24999</v>
      </c>
      <c r="D2974" s="2" t="s">
        <v>25000</v>
      </c>
      <c r="E2974" s="2" t="s">
        <v>14540</v>
      </c>
      <c r="F2974" s="3" t="s">
        <v>1366</v>
      </c>
      <c r="G2974" s="3" t="s">
        <v>62</v>
      </c>
      <c r="I2974" s="3" t="s">
        <v>63</v>
      </c>
      <c r="J2974" s="3" t="s">
        <v>63</v>
      </c>
      <c r="K2974" s="3" t="s">
        <v>64</v>
      </c>
      <c r="L2974" s="2" t="s">
        <v>24912</v>
      </c>
      <c r="M2974" s="2" t="s">
        <v>25001</v>
      </c>
      <c r="N2974" s="3" t="s">
        <v>2144</v>
      </c>
      <c r="P2974" s="3" t="s">
        <v>90</v>
      </c>
      <c r="R2974" s="3" t="s">
        <v>67</v>
      </c>
      <c r="S2974" s="4">
        <v>17</v>
      </c>
      <c r="T2974" s="4">
        <v>97</v>
      </c>
      <c r="U2974" s="5" t="s">
        <v>25014</v>
      </c>
      <c r="V2974" s="5" t="s">
        <v>25003</v>
      </c>
      <c r="W2974" s="5" t="s">
        <v>69</v>
      </c>
      <c r="X2974" s="5" t="s">
        <v>69</v>
      </c>
      <c r="Y2974" s="4">
        <v>30</v>
      </c>
      <c r="Z2974" s="4">
        <v>10</v>
      </c>
      <c r="AA2974" s="4">
        <v>10</v>
      </c>
      <c r="AB2974" s="4">
        <v>1</v>
      </c>
      <c r="AC2974" s="4">
        <v>1</v>
      </c>
      <c r="AD2974" s="4">
        <v>15</v>
      </c>
      <c r="AE2974" s="4">
        <v>23</v>
      </c>
      <c r="AF2974" s="4">
        <v>0</v>
      </c>
      <c r="AG2974" s="4">
        <v>0</v>
      </c>
      <c r="AH2974" s="4">
        <v>12</v>
      </c>
      <c r="AI2974" s="4">
        <v>19</v>
      </c>
      <c r="AJ2974" s="4">
        <v>8</v>
      </c>
      <c r="AK2974" s="4">
        <v>8</v>
      </c>
      <c r="AL2974" s="4">
        <v>4</v>
      </c>
      <c r="AM2974" s="4">
        <v>11</v>
      </c>
      <c r="AN2974" s="4">
        <v>0</v>
      </c>
      <c r="AO2974" s="4">
        <v>0</v>
      </c>
      <c r="AP2974" s="4">
        <v>8</v>
      </c>
      <c r="AQ2974" s="4">
        <v>8</v>
      </c>
      <c r="AR2974" s="3" t="s">
        <v>63</v>
      </c>
      <c r="AS2974" s="3" t="s">
        <v>63</v>
      </c>
      <c r="AT2974" s="3" t="s">
        <v>63</v>
      </c>
      <c r="AV2974" s="6" t="str">
        <f>HYPERLINK("http://mcgill.on.worldcat.org/oclc/427230318","Catalog Record")</f>
        <v>Catalog Record</v>
      </c>
      <c r="AW2974" s="6" t="str">
        <f>HYPERLINK("http://www.worldcat.org/oclc/427230318","WorldCat Record")</f>
        <v>WorldCat Record</v>
      </c>
      <c r="AX2974" s="3" t="s">
        <v>25004</v>
      </c>
      <c r="AY2974" s="3" t="s">
        <v>25005</v>
      </c>
      <c r="AZ2974" s="3" t="s">
        <v>25006</v>
      </c>
      <c r="BA2974" s="3" t="s">
        <v>25006</v>
      </c>
      <c r="BB2974" s="3" t="s">
        <v>25015</v>
      </c>
      <c r="BC2974" s="3" t="s">
        <v>82</v>
      </c>
      <c r="BD2974" s="3" t="s">
        <v>70</v>
      </c>
      <c r="BF2974" s="3" t="s">
        <v>25015</v>
      </c>
      <c r="BG2974" s="3" t="s">
        <v>25016</v>
      </c>
    </row>
    <row r="2975" spans="1:59" ht="60" x14ac:dyDescent="0.25">
      <c r="A2975" s="2" t="s">
        <v>59</v>
      </c>
      <c r="B2975" s="2" t="s">
        <v>60</v>
      </c>
      <c r="C2975" s="2" t="s">
        <v>24999</v>
      </c>
      <c r="D2975" s="2" t="s">
        <v>25000</v>
      </c>
      <c r="E2975" s="2" t="s">
        <v>14540</v>
      </c>
      <c r="F2975" s="3" t="s">
        <v>1390</v>
      </c>
      <c r="G2975" s="3" t="s">
        <v>62</v>
      </c>
      <c r="I2975" s="3" t="s">
        <v>63</v>
      </c>
      <c r="J2975" s="3" t="s">
        <v>63</v>
      </c>
      <c r="K2975" s="3" t="s">
        <v>64</v>
      </c>
      <c r="L2975" s="2" t="s">
        <v>24912</v>
      </c>
      <c r="M2975" s="2" t="s">
        <v>25001</v>
      </c>
      <c r="N2975" s="3" t="s">
        <v>2144</v>
      </c>
      <c r="P2975" s="3" t="s">
        <v>90</v>
      </c>
      <c r="R2975" s="3" t="s">
        <v>67</v>
      </c>
      <c r="S2975" s="4">
        <v>11</v>
      </c>
      <c r="T2975" s="4">
        <v>97</v>
      </c>
      <c r="U2975" s="5" t="s">
        <v>25017</v>
      </c>
      <c r="V2975" s="5" t="s">
        <v>25003</v>
      </c>
      <c r="W2975" s="5" t="s">
        <v>69</v>
      </c>
      <c r="X2975" s="5" t="s">
        <v>69</v>
      </c>
      <c r="Y2975" s="4">
        <v>30</v>
      </c>
      <c r="Z2975" s="4">
        <v>10</v>
      </c>
      <c r="AA2975" s="4">
        <v>10</v>
      </c>
      <c r="AB2975" s="4">
        <v>1</v>
      </c>
      <c r="AC2975" s="4">
        <v>1</v>
      </c>
      <c r="AD2975" s="4">
        <v>15</v>
      </c>
      <c r="AE2975" s="4">
        <v>23</v>
      </c>
      <c r="AF2975" s="4">
        <v>0</v>
      </c>
      <c r="AG2975" s="4">
        <v>0</v>
      </c>
      <c r="AH2975" s="4">
        <v>12</v>
      </c>
      <c r="AI2975" s="4">
        <v>19</v>
      </c>
      <c r="AJ2975" s="4">
        <v>8</v>
      </c>
      <c r="AK2975" s="4">
        <v>8</v>
      </c>
      <c r="AL2975" s="4">
        <v>4</v>
      </c>
      <c r="AM2975" s="4">
        <v>11</v>
      </c>
      <c r="AN2975" s="4">
        <v>0</v>
      </c>
      <c r="AO2975" s="4">
        <v>0</v>
      </c>
      <c r="AP2975" s="4">
        <v>8</v>
      </c>
      <c r="AQ2975" s="4">
        <v>8</v>
      </c>
      <c r="AR2975" s="3" t="s">
        <v>63</v>
      </c>
      <c r="AS2975" s="3" t="s">
        <v>63</v>
      </c>
      <c r="AT2975" s="3" t="s">
        <v>63</v>
      </c>
      <c r="AV2975" s="6" t="str">
        <f>HYPERLINK("http://mcgill.on.worldcat.org/oclc/427230318","Catalog Record")</f>
        <v>Catalog Record</v>
      </c>
      <c r="AW2975" s="6" t="str">
        <f>HYPERLINK("http://www.worldcat.org/oclc/427230318","WorldCat Record")</f>
        <v>WorldCat Record</v>
      </c>
      <c r="AX2975" s="3" t="s">
        <v>25004</v>
      </c>
      <c r="AY2975" s="3" t="s">
        <v>25005</v>
      </c>
      <c r="AZ2975" s="3" t="s">
        <v>25006</v>
      </c>
      <c r="BA2975" s="3" t="s">
        <v>25006</v>
      </c>
      <c r="BB2975" s="3" t="s">
        <v>25018</v>
      </c>
      <c r="BC2975" s="3" t="s">
        <v>82</v>
      </c>
      <c r="BD2975" s="3" t="s">
        <v>70</v>
      </c>
      <c r="BF2975" s="3" t="s">
        <v>25018</v>
      </c>
      <c r="BG2975" s="3" t="s">
        <v>25019</v>
      </c>
    </row>
    <row r="2976" spans="1:59" ht="60" x14ac:dyDescent="0.25">
      <c r="A2976" s="2" t="s">
        <v>59</v>
      </c>
      <c r="B2976" s="2" t="s">
        <v>60</v>
      </c>
      <c r="C2976" s="2" t="s">
        <v>24909</v>
      </c>
      <c r="D2976" s="2" t="s">
        <v>24910</v>
      </c>
      <c r="E2976" s="2" t="s">
        <v>24911</v>
      </c>
      <c r="G2976" s="3" t="s">
        <v>63</v>
      </c>
      <c r="I2976" s="3" t="s">
        <v>63</v>
      </c>
      <c r="J2976" s="3" t="s">
        <v>63</v>
      </c>
      <c r="K2976" s="3" t="s">
        <v>64</v>
      </c>
      <c r="L2976" s="2" t="s">
        <v>24912</v>
      </c>
      <c r="M2976" s="2" t="s">
        <v>24913</v>
      </c>
      <c r="N2976" s="3" t="s">
        <v>10455</v>
      </c>
      <c r="P2976" s="3" t="s">
        <v>90</v>
      </c>
      <c r="R2976" s="3" t="s">
        <v>67</v>
      </c>
      <c r="S2976" s="4">
        <v>13</v>
      </c>
      <c r="T2976" s="4">
        <v>13</v>
      </c>
      <c r="U2976" s="5" t="s">
        <v>4192</v>
      </c>
      <c r="V2976" s="5" t="s">
        <v>4192</v>
      </c>
      <c r="W2976" s="5" t="s">
        <v>69</v>
      </c>
      <c r="X2976" s="5" t="s">
        <v>69</v>
      </c>
      <c r="Y2976" s="4">
        <v>38</v>
      </c>
      <c r="Z2976" s="4">
        <v>2</v>
      </c>
      <c r="AA2976" s="4">
        <v>11</v>
      </c>
      <c r="AB2976" s="4">
        <v>1</v>
      </c>
      <c r="AC2976" s="4">
        <v>1</v>
      </c>
      <c r="AD2976" s="4">
        <v>19</v>
      </c>
      <c r="AE2976" s="4">
        <v>68</v>
      </c>
      <c r="AF2976" s="4">
        <v>0</v>
      </c>
      <c r="AG2976" s="4">
        <v>0</v>
      </c>
      <c r="AH2976" s="4">
        <v>17</v>
      </c>
      <c r="AI2976" s="4">
        <v>63</v>
      </c>
      <c r="AJ2976" s="4">
        <v>1</v>
      </c>
      <c r="AK2976" s="4">
        <v>5</v>
      </c>
      <c r="AL2976" s="4">
        <v>14</v>
      </c>
      <c r="AM2976" s="4">
        <v>39</v>
      </c>
      <c r="AN2976" s="4">
        <v>0</v>
      </c>
      <c r="AO2976" s="4">
        <v>0</v>
      </c>
      <c r="AP2976" s="4">
        <v>1</v>
      </c>
      <c r="AQ2976" s="4">
        <v>6</v>
      </c>
      <c r="AR2976" s="3" t="s">
        <v>63</v>
      </c>
      <c r="AS2976" s="3" t="s">
        <v>63</v>
      </c>
      <c r="AT2976" s="3" t="s">
        <v>63</v>
      </c>
      <c r="AV2976" s="6" t="str">
        <f>HYPERLINK("http://mcgill.on.worldcat.org/oclc/7064165","Catalog Record")</f>
        <v>Catalog Record</v>
      </c>
      <c r="AW2976" s="6" t="str">
        <f>HYPERLINK("http://www.worldcat.org/oclc/7064165","WorldCat Record")</f>
        <v>WorldCat Record</v>
      </c>
      <c r="AX2976" s="3" t="s">
        <v>24914</v>
      </c>
      <c r="AY2976" s="3" t="s">
        <v>24915</v>
      </c>
      <c r="AZ2976" s="3" t="s">
        <v>24916</v>
      </c>
      <c r="BA2976" s="3" t="s">
        <v>24916</v>
      </c>
      <c r="BB2976" s="3" t="s">
        <v>24917</v>
      </c>
      <c r="BC2976" s="3" t="s">
        <v>82</v>
      </c>
      <c r="BD2976" s="3" t="s">
        <v>70</v>
      </c>
      <c r="BF2976" s="3" t="s">
        <v>24917</v>
      </c>
      <c r="BG2976" s="3" t="s">
        <v>24918</v>
      </c>
    </row>
    <row r="2977" spans="1:59" ht="60" x14ac:dyDescent="0.25">
      <c r="A2977" s="2" t="s">
        <v>59</v>
      </c>
      <c r="B2977" s="2" t="s">
        <v>60</v>
      </c>
      <c r="C2977" s="2" t="s">
        <v>24919</v>
      </c>
      <c r="D2977" s="2" t="s">
        <v>24920</v>
      </c>
      <c r="E2977" s="2" t="s">
        <v>24921</v>
      </c>
      <c r="G2977" s="3" t="s">
        <v>63</v>
      </c>
      <c r="I2977" s="3" t="s">
        <v>63</v>
      </c>
      <c r="J2977" s="3" t="s">
        <v>62</v>
      </c>
      <c r="K2977" s="3" t="s">
        <v>64</v>
      </c>
      <c r="L2977" s="2" t="s">
        <v>24912</v>
      </c>
      <c r="M2977" s="2" t="s">
        <v>24922</v>
      </c>
      <c r="N2977" s="3" t="s">
        <v>1402</v>
      </c>
      <c r="P2977" s="3" t="s">
        <v>90</v>
      </c>
      <c r="R2977" s="3" t="s">
        <v>67</v>
      </c>
      <c r="S2977" s="4">
        <v>28</v>
      </c>
      <c r="T2977" s="4">
        <v>28</v>
      </c>
      <c r="U2977" s="5" t="s">
        <v>11700</v>
      </c>
      <c r="V2977" s="5" t="s">
        <v>11700</v>
      </c>
      <c r="W2977" s="5" t="s">
        <v>69</v>
      </c>
      <c r="X2977" s="5" t="s">
        <v>69</v>
      </c>
      <c r="Y2977" s="4">
        <v>149</v>
      </c>
      <c r="Z2977" s="4">
        <v>12</v>
      </c>
      <c r="AA2977" s="4">
        <v>23</v>
      </c>
      <c r="AB2977" s="4">
        <v>2</v>
      </c>
      <c r="AC2977" s="4">
        <v>5</v>
      </c>
      <c r="AD2977" s="4">
        <v>67</v>
      </c>
      <c r="AE2977" s="4">
        <v>101</v>
      </c>
      <c r="AF2977" s="4">
        <v>1</v>
      </c>
      <c r="AG2977" s="4">
        <v>3</v>
      </c>
      <c r="AH2977" s="4">
        <v>60</v>
      </c>
      <c r="AI2977" s="4">
        <v>88</v>
      </c>
      <c r="AJ2977" s="4">
        <v>8</v>
      </c>
      <c r="AK2977" s="4">
        <v>16</v>
      </c>
      <c r="AL2977" s="4">
        <v>41</v>
      </c>
      <c r="AM2977" s="4">
        <v>55</v>
      </c>
      <c r="AN2977" s="4">
        <v>2</v>
      </c>
      <c r="AO2977" s="4">
        <v>3</v>
      </c>
      <c r="AP2977" s="4">
        <v>8</v>
      </c>
      <c r="AQ2977" s="4">
        <v>16</v>
      </c>
      <c r="AR2977" s="3" t="s">
        <v>63</v>
      </c>
      <c r="AS2977" s="3" t="s">
        <v>63</v>
      </c>
      <c r="AT2977" s="3" t="s">
        <v>63</v>
      </c>
      <c r="AU2977" s="6" t="str">
        <f>HYPERLINK("http://catalog.hathitrust.org/Record/001225021","HathiTrust Record")</f>
        <v>HathiTrust Record</v>
      </c>
      <c r="AV2977" s="6" t="str">
        <f>HYPERLINK("http://mcgill.on.worldcat.org/oclc/8573000","Catalog Record")</f>
        <v>Catalog Record</v>
      </c>
      <c r="AW2977" s="6" t="str">
        <f>HYPERLINK("http://www.worldcat.org/oclc/8573000","WorldCat Record")</f>
        <v>WorldCat Record</v>
      </c>
      <c r="AX2977" s="3" t="s">
        <v>24923</v>
      </c>
      <c r="AY2977" s="3" t="s">
        <v>24924</v>
      </c>
      <c r="AZ2977" s="3" t="s">
        <v>24925</v>
      </c>
      <c r="BA2977" s="3" t="s">
        <v>24925</v>
      </c>
      <c r="BB2977" s="3" t="s">
        <v>24926</v>
      </c>
      <c r="BC2977" s="3" t="s">
        <v>82</v>
      </c>
      <c r="BD2977" s="3" t="s">
        <v>70</v>
      </c>
      <c r="BF2977" s="3" t="s">
        <v>24926</v>
      </c>
      <c r="BG2977" s="3" t="s">
        <v>24927</v>
      </c>
    </row>
    <row r="2978" spans="1:59" ht="60" x14ac:dyDescent="0.25">
      <c r="A2978" s="2" t="s">
        <v>59</v>
      </c>
      <c r="B2978" s="2" t="s">
        <v>60</v>
      </c>
      <c r="C2978" s="2" t="s">
        <v>24928</v>
      </c>
      <c r="D2978" s="2" t="s">
        <v>24929</v>
      </c>
      <c r="E2978" s="2" t="s">
        <v>24930</v>
      </c>
      <c r="G2978" s="3" t="s">
        <v>63</v>
      </c>
      <c r="I2978" s="3" t="s">
        <v>63</v>
      </c>
      <c r="J2978" s="3" t="s">
        <v>63</v>
      </c>
      <c r="K2978" s="3" t="s">
        <v>64</v>
      </c>
      <c r="L2978" s="2" t="s">
        <v>24912</v>
      </c>
      <c r="M2978" s="2" t="s">
        <v>15202</v>
      </c>
      <c r="N2978" s="3" t="s">
        <v>1113</v>
      </c>
      <c r="P2978" s="3" t="s">
        <v>66</v>
      </c>
      <c r="Q2978" s="2" t="s">
        <v>8874</v>
      </c>
      <c r="R2978" s="3" t="s">
        <v>67</v>
      </c>
      <c r="S2978" s="4">
        <v>42</v>
      </c>
      <c r="T2978" s="4">
        <v>42</v>
      </c>
      <c r="U2978" s="5" t="s">
        <v>7967</v>
      </c>
      <c r="V2978" s="5" t="s">
        <v>7967</v>
      </c>
      <c r="W2978" s="5" t="s">
        <v>69</v>
      </c>
      <c r="X2978" s="5" t="s">
        <v>69</v>
      </c>
      <c r="Y2978" s="4">
        <v>147</v>
      </c>
      <c r="Z2978" s="4">
        <v>9</v>
      </c>
      <c r="AA2978" s="4">
        <v>42</v>
      </c>
      <c r="AB2978" s="4">
        <v>1</v>
      </c>
      <c r="AC2978" s="4">
        <v>3</v>
      </c>
      <c r="AD2978" s="4">
        <v>35</v>
      </c>
      <c r="AE2978" s="4">
        <v>122</v>
      </c>
      <c r="AF2978" s="4">
        <v>0</v>
      </c>
      <c r="AG2978" s="4">
        <v>0</v>
      </c>
      <c r="AH2978" s="4">
        <v>32</v>
      </c>
      <c r="AI2978" s="4">
        <v>102</v>
      </c>
      <c r="AJ2978" s="4">
        <v>1</v>
      </c>
      <c r="AK2978" s="4">
        <v>18</v>
      </c>
      <c r="AL2978" s="4">
        <v>22</v>
      </c>
      <c r="AM2978" s="4">
        <v>59</v>
      </c>
      <c r="AN2978" s="4">
        <v>0</v>
      </c>
      <c r="AO2978" s="4">
        <v>0</v>
      </c>
      <c r="AP2978" s="4">
        <v>2</v>
      </c>
      <c r="AQ2978" s="4">
        <v>25</v>
      </c>
      <c r="AR2978" s="3" t="s">
        <v>63</v>
      </c>
      <c r="AS2978" s="3" t="s">
        <v>63</v>
      </c>
      <c r="AT2978" s="3" t="s">
        <v>63</v>
      </c>
      <c r="AV2978" s="6" t="str">
        <f>HYPERLINK("http://mcgill.on.worldcat.org/oclc/36083502","Catalog Record")</f>
        <v>Catalog Record</v>
      </c>
      <c r="AW2978" s="6" t="str">
        <f>HYPERLINK("http://www.worldcat.org/oclc/36083502","WorldCat Record")</f>
        <v>WorldCat Record</v>
      </c>
      <c r="AX2978" s="3" t="s">
        <v>24931</v>
      </c>
      <c r="AY2978" s="3" t="s">
        <v>24932</v>
      </c>
      <c r="AZ2978" s="3" t="s">
        <v>24933</v>
      </c>
      <c r="BA2978" s="3" t="s">
        <v>24933</v>
      </c>
      <c r="BB2978" s="3" t="s">
        <v>24934</v>
      </c>
      <c r="BC2978" s="3" t="s">
        <v>82</v>
      </c>
      <c r="BD2978" s="3" t="s">
        <v>70</v>
      </c>
      <c r="BE2978" s="3" t="s">
        <v>24935</v>
      </c>
      <c r="BF2978" s="3" t="s">
        <v>24934</v>
      </c>
      <c r="BG2978" s="3" t="s">
        <v>24936</v>
      </c>
    </row>
    <row r="2979" spans="1:59" ht="60" x14ac:dyDescent="0.25">
      <c r="A2979" s="2" t="s">
        <v>59</v>
      </c>
      <c r="B2979" s="2" t="s">
        <v>60</v>
      </c>
      <c r="C2979" s="2" t="s">
        <v>24937</v>
      </c>
      <c r="D2979" s="2" t="s">
        <v>24938</v>
      </c>
      <c r="E2979" s="2" t="s">
        <v>24939</v>
      </c>
      <c r="G2979" s="3" t="s">
        <v>63</v>
      </c>
      <c r="I2979" s="3" t="s">
        <v>63</v>
      </c>
      <c r="J2979" s="3" t="s">
        <v>62</v>
      </c>
      <c r="K2979" s="3" t="s">
        <v>64</v>
      </c>
      <c r="L2979" s="2" t="s">
        <v>24912</v>
      </c>
      <c r="M2979" s="2" t="s">
        <v>24940</v>
      </c>
      <c r="N2979" s="3" t="s">
        <v>2225</v>
      </c>
      <c r="P2979" s="3" t="s">
        <v>90</v>
      </c>
      <c r="R2979" s="3" t="s">
        <v>67</v>
      </c>
      <c r="S2979" s="4">
        <v>10</v>
      </c>
      <c r="T2979" s="4">
        <v>10</v>
      </c>
      <c r="U2979" s="5" t="s">
        <v>23747</v>
      </c>
      <c r="V2979" s="5" t="s">
        <v>23747</v>
      </c>
      <c r="W2979" s="5" t="s">
        <v>69</v>
      </c>
      <c r="X2979" s="5" t="s">
        <v>69</v>
      </c>
      <c r="Y2979" s="4">
        <v>29</v>
      </c>
      <c r="Z2979" s="4">
        <v>3</v>
      </c>
      <c r="AA2979" s="4">
        <v>26</v>
      </c>
      <c r="AB2979" s="4">
        <v>1</v>
      </c>
      <c r="AC2979" s="4">
        <v>4</v>
      </c>
      <c r="AD2979" s="4">
        <v>15</v>
      </c>
      <c r="AE2979" s="4">
        <v>97</v>
      </c>
      <c r="AF2979" s="4">
        <v>0</v>
      </c>
      <c r="AG2979" s="4">
        <v>2</v>
      </c>
      <c r="AH2979" s="4">
        <v>13</v>
      </c>
      <c r="AI2979" s="4">
        <v>85</v>
      </c>
      <c r="AJ2979" s="4">
        <v>1</v>
      </c>
      <c r="AK2979" s="4">
        <v>18</v>
      </c>
      <c r="AL2979" s="4">
        <v>7</v>
      </c>
      <c r="AM2979" s="4">
        <v>51</v>
      </c>
      <c r="AN2979" s="4">
        <v>0</v>
      </c>
      <c r="AO2979" s="4">
        <v>3</v>
      </c>
      <c r="AP2979" s="4">
        <v>2</v>
      </c>
      <c r="AQ2979" s="4">
        <v>17</v>
      </c>
      <c r="AR2979" s="3" t="s">
        <v>63</v>
      </c>
      <c r="AS2979" s="3" t="s">
        <v>63</v>
      </c>
      <c r="AT2979" s="3" t="s">
        <v>63</v>
      </c>
      <c r="AV2979" s="6" t="str">
        <f>HYPERLINK("http://mcgill.on.worldcat.org/oclc/4457214","Catalog Record")</f>
        <v>Catalog Record</v>
      </c>
      <c r="AW2979" s="6" t="str">
        <f>HYPERLINK("http://www.worldcat.org/oclc/4457214","WorldCat Record")</f>
        <v>WorldCat Record</v>
      </c>
      <c r="AX2979" s="3" t="s">
        <v>24941</v>
      </c>
      <c r="AY2979" s="3" t="s">
        <v>24942</v>
      </c>
      <c r="AZ2979" s="3" t="s">
        <v>24943</v>
      </c>
      <c r="BA2979" s="3" t="s">
        <v>24943</v>
      </c>
      <c r="BB2979" s="3" t="s">
        <v>24944</v>
      </c>
      <c r="BC2979" s="3" t="s">
        <v>82</v>
      </c>
      <c r="BD2979" s="3" t="s">
        <v>70</v>
      </c>
      <c r="BF2979" s="3" t="s">
        <v>24944</v>
      </c>
      <c r="BG2979" s="3" t="s">
        <v>24945</v>
      </c>
    </row>
    <row r="2980" spans="1:59" ht="60" x14ac:dyDescent="0.25">
      <c r="A2980" s="2" t="s">
        <v>59</v>
      </c>
      <c r="B2980" s="2" t="s">
        <v>60</v>
      </c>
      <c r="C2980" s="2" t="s">
        <v>24946</v>
      </c>
      <c r="D2980" s="2" t="s">
        <v>24947</v>
      </c>
      <c r="E2980" s="2" t="s">
        <v>24948</v>
      </c>
      <c r="G2980" s="3" t="s">
        <v>63</v>
      </c>
      <c r="I2980" s="3" t="s">
        <v>63</v>
      </c>
      <c r="J2980" s="3" t="s">
        <v>63</v>
      </c>
      <c r="K2980" s="3" t="s">
        <v>64</v>
      </c>
      <c r="L2980" s="2" t="s">
        <v>24912</v>
      </c>
      <c r="M2980" s="2" t="s">
        <v>24949</v>
      </c>
      <c r="N2980" s="3" t="s">
        <v>1343</v>
      </c>
      <c r="P2980" s="3" t="s">
        <v>90</v>
      </c>
      <c r="R2980" s="3" t="s">
        <v>67</v>
      </c>
      <c r="S2980" s="4">
        <v>2</v>
      </c>
      <c r="T2980" s="4">
        <v>2</v>
      </c>
      <c r="U2980" s="5" t="s">
        <v>5904</v>
      </c>
      <c r="V2980" s="5" t="s">
        <v>5904</v>
      </c>
      <c r="W2980" s="5" t="s">
        <v>69</v>
      </c>
      <c r="X2980" s="5" t="s">
        <v>69</v>
      </c>
      <c r="Y2980" s="4">
        <v>51</v>
      </c>
      <c r="Z2980" s="4">
        <v>6</v>
      </c>
      <c r="AA2980" s="4">
        <v>6</v>
      </c>
      <c r="AB2980" s="4">
        <v>2</v>
      </c>
      <c r="AC2980" s="4">
        <v>2</v>
      </c>
      <c r="AD2980" s="4">
        <v>29</v>
      </c>
      <c r="AE2980" s="4">
        <v>29</v>
      </c>
      <c r="AF2980" s="4">
        <v>0</v>
      </c>
      <c r="AG2980" s="4">
        <v>0</v>
      </c>
      <c r="AH2980" s="4">
        <v>28</v>
      </c>
      <c r="AI2980" s="4">
        <v>28</v>
      </c>
      <c r="AJ2980" s="4">
        <v>2</v>
      </c>
      <c r="AK2980" s="4">
        <v>2</v>
      </c>
      <c r="AL2980" s="4">
        <v>21</v>
      </c>
      <c r="AM2980" s="4">
        <v>21</v>
      </c>
      <c r="AN2980" s="4">
        <v>0</v>
      </c>
      <c r="AO2980" s="4">
        <v>0</v>
      </c>
      <c r="AP2980" s="4">
        <v>2</v>
      </c>
      <c r="AQ2980" s="4">
        <v>2</v>
      </c>
      <c r="AR2980" s="3" t="s">
        <v>63</v>
      </c>
      <c r="AS2980" s="3" t="s">
        <v>63</v>
      </c>
      <c r="AT2980" s="3" t="s">
        <v>62</v>
      </c>
      <c r="AU2980" s="6" t="str">
        <f>HYPERLINK("http://catalog.hathitrust.org/Record/004177787","HathiTrust Record")</f>
        <v>HathiTrust Record</v>
      </c>
      <c r="AV2980" s="6" t="str">
        <f>HYPERLINK("http://mcgill.on.worldcat.org/oclc/47628622","Catalog Record")</f>
        <v>Catalog Record</v>
      </c>
      <c r="AW2980" s="6" t="str">
        <f>HYPERLINK("http://www.worldcat.org/oclc/47628622","WorldCat Record")</f>
        <v>WorldCat Record</v>
      </c>
      <c r="AX2980" s="3" t="s">
        <v>24950</v>
      </c>
      <c r="AY2980" s="3" t="s">
        <v>24951</v>
      </c>
      <c r="AZ2980" s="3" t="s">
        <v>24952</v>
      </c>
      <c r="BA2980" s="3" t="s">
        <v>24952</v>
      </c>
      <c r="BB2980" s="3" t="s">
        <v>24953</v>
      </c>
      <c r="BC2980" s="3" t="s">
        <v>82</v>
      </c>
      <c r="BD2980" s="3" t="s">
        <v>70</v>
      </c>
      <c r="BE2980" s="3" t="s">
        <v>24954</v>
      </c>
      <c r="BF2980" s="3" t="s">
        <v>24953</v>
      </c>
      <c r="BG2980" s="3" t="s">
        <v>24955</v>
      </c>
    </row>
    <row r="2981" spans="1:59" ht="60" x14ac:dyDescent="0.25">
      <c r="A2981" s="2" t="s">
        <v>59</v>
      </c>
      <c r="B2981" s="2" t="s">
        <v>60</v>
      </c>
      <c r="C2981" s="2" t="s">
        <v>24956</v>
      </c>
      <c r="D2981" s="2" t="s">
        <v>24957</v>
      </c>
      <c r="E2981" s="2" t="s">
        <v>24958</v>
      </c>
      <c r="G2981" s="3" t="s">
        <v>63</v>
      </c>
      <c r="I2981" s="3" t="s">
        <v>63</v>
      </c>
      <c r="J2981" s="3" t="s">
        <v>63</v>
      </c>
      <c r="K2981" s="3" t="s">
        <v>64</v>
      </c>
      <c r="L2981" s="2" t="s">
        <v>24912</v>
      </c>
      <c r="M2981" s="2" t="s">
        <v>24959</v>
      </c>
      <c r="N2981" s="3" t="s">
        <v>1226</v>
      </c>
      <c r="P2981" s="3" t="s">
        <v>90</v>
      </c>
      <c r="R2981" s="3" t="s">
        <v>67</v>
      </c>
      <c r="S2981" s="4">
        <v>7</v>
      </c>
      <c r="T2981" s="4">
        <v>7</v>
      </c>
      <c r="U2981" s="5" t="s">
        <v>11700</v>
      </c>
      <c r="V2981" s="5" t="s">
        <v>11700</v>
      </c>
      <c r="W2981" s="5" t="s">
        <v>69</v>
      </c>
      <c r="X2981" s="5" t="s">
        <v>69</v>
      </c>
      <c r="Y2981" s="4">
        <v>48</v>
      </c>
      <c r="Z2981" s="4">
        <v>4</v>
      </c>
      <c r="AA2981" s="4">
        <v>4</v>
      </c>
      <c r="AB2981" s="4">
        <v>1</v>
      </c>
      <c r="AC2981" s="4">
        <v>1</v>
      </c>
      <c r="AD2981" s="4">
        <v>35</v>
      </c>
      <c r="AE2981" s="4">
        <v>36</v>
      </c>
      <c r="AF2981" s="4">
        <v>0</v>
      </c>
      <c r="AG2981" s="4">
        <v>0</v>
      </c>
      <c r="AH2981" s="4">
        <v>34</v>
      </c>
      <c r="AI2981" s="4">
        <v>35</v>
      </c>
      <c r="AJ2981" s="4">
        <v>2</v>
      </c>
      <c r="AK2981" s="4">
        <v>2</v>
      </c>
      <c r="AL2981" s="4">
        <v>29</v>
      </c>
      <c r="AM2981" s="4">
        <v>29</v>
      </c>
      <c r="AN2981" s="4">
        <v>0</v>
      </c>
      <c r="AO2981" s="4">
        <v>0</v>
      </c>
      <c r="AP2981" s="4">
        <v>2</v>
      </c>
      <c r="AQ2981" s="4">
        <v>2</v>
      </c>
      <c r="AR2981" s="3" t="s">
        <v>63</v>
      </c>
      <c r="AS2981" s="3" t="s">
        <v>63</v>
      </c>
      <c r="AT2981" s="3" t="s">
        <v>63</v>
      </c>
      <c r="AV2981" s="6" t="str">
        <f>HYPERLINK("http://mcgill.on.worldcat.org/oclc/52472466","Catalog Record")</f>
        <v>Catalog Record</v>
      </c>
      <c r="AW2981" s="6" t="str">
        <f>HYPERLINK("http://www.worldcat.org/oclc/52472466","WorldCat Record")</f>
        <v>WorldCat Record</v>
      </c>
      <c r="AX2981" s="3" t="s">
        <v>24960</v>
      </c>
      <c r="AY2981" s="3" t="s">
        <v>24961</v>
      </c>
      <c r="AZ2981" s="3" t="s">
        <v>24962</v>
      </c>
      <c r="BA2981" s="3" t="s">
        <v>24962</v>
      </c>
      <c r="BB2981" s="3" t="s">
        <v>24963</v>
      </c>
      <c r="BC2981" s="3" t="s">
        <v>82</v>
      </c>
      <c r="BD2981" s="3" t="s">
        <v>70</v>
      </c>
      <c r="BE2981" s="3" t="s">
        <v>24964</v>
      </c>
      <c r="BF2981" s="3" t="s">
        <v>24963</v>
      </c>
      <c r="BG2981" s="3" t="s">
        <v>24965</v>
      </c>
    </row>
    <row r="2982" spans="1:59" ht="60" x14ac:dyDescent="0.25">
      <c r="A2982" s="2" t="s">
        <v>59</v>
      </c>
      <c r="B2982" s="2" t="s">
        <v>60</v>
      </c>
      <c r="C2982" s="2" t="s">
        <v>24966</v>
      </c>
      <c r="D2982" s="2" t="s">
        <v>24967</v>
      </c>
      <c r="E2982" s="2" t="s">
        <v>24968</v>
      </c>
      <c r="G2982" s="3" t="s">
        <v>63</v>
      </c>
      <c r="I2982" s="3" t="s">
        <v>63</v>
      </c>
      <c r="J2982" s="3" t="s">
        <v>62</v>
      </c>
      <c r="K2982" s="3" t="s">
        <v>64</v>
      </c>
      <c r="L2982" s="2" t="s">
        <v>24912</v>
      </c>
      <c r="M2982" s="2" t="s">
        <v>24969</v>
      </c>
      <c r="N2982" s="3" t="s">
        <v>326</v>
      </c>
      <c r="O2982" s="2" t="s">
        <v>590</v>
      </c>
      <c r="P2982" s="3" t="s">
        <v>66</v>
      </c>
      <c r="R2982" s="3" t="s">
        <v>67</v>
      </c>
      <c r="S2982" s="4">
        <v>5</v>
      </c>
      <c r="T2982" s="4">
        <v>5</v>
      </c>
      <c r="U2982" s="5" t="s">
        <v>1593</v>
      </c>
      <c r="V2982" s="5" t="s">
        <v>1593</v>
      </c>
      <c r="W2982" s="5" t="s">
        <v>69</v>
      </c>
      <c r="X2982" s="5" t="s">
        <v>69</v>
      </c>
      <c r="Y2982" s="4">
        <v>241</v>
      </c>
      <c r="Z2982" s="4">
        <v>13</v>
      </c>
      <c r="AA2982" s="4">
        <v>27</v>
      </c>
      <c r="AB2982" s="4">
        <v>2</v>
      </c>
      <c r="AC2982" s="4">
        <v>6</v>
      </c>
      <c r="AD2982" s="4">
        <v>58</v>
      </c>
      <c r="AE2982" s="4">
        <v>99</v>
      </c>
      <c r="AF2982" s="4">
        <v>0</v>
      </c>
      <c r="AG2982" s="4">
        <v>2</v>
      </c>
      <c r="AH2982" s="4">
        <v>55</v>
      </c>
      <c r="AI2982" s="4">
        <v>87</v>
      </c>
      <c r="AJ2982" s="4">
        <v>7</v>
      </c>
      <c r="AK2982" s="4">
        <v>15</v>
      </c>
      <c r="AL2982" s="4">
        <v>37</v>
      </c>
      <c r="AM2982" s="4">
        <v>50</v>
      </c>
      <c r="AN2982" s="4">
        <v>0</v>
      </c>
      <c r="AO2982" s="4">
        <v>0</v>
      </c>
      <c r="AP2982" s="4">
        <v>7</v>
      </c>
      <c r="AQ2982" s="4">
        <v>18</v>
      </c>
      <c r="AR2982" s="3" t="s">
        <v>63</v>
      </c>
      <c r="AS2982" s="3" t="s">
        <v>63</v>
      </c>
      <c r="AT2982" s="3" t="s">
        <v>63</v>
      </c>
      <c r="AV2982" s="6" t="str">
        <f>HYPERLINK("http://mcgill.on.worldcat.org/oclc/406109210","Catalog Record")</f>
        <v>Catalog Record</v>
      </c>
      <c r="AW2982" s="6" t="str">
        <f>HYPERLINK("http://www.worldcat.org/oclc/406109210","WorldCat Record")</f>
        <v>WorldCat Record</v>
      </c>
      <c r="AX2982" s="3" t="s">
        <v>24970</v>
      </c>
      <c r="AY2982" s="3" t="s">
        <v>24971</v>
      </c>
      <c r="AZ2982" s="3" t="s">
        <v>24972</v>
      </c>
      <c r="BA2982" s="3" t="s">
        <v>24972</v>
      </c>
      <c r="BB2982" s="3" t="s">
        <v>24973</v>
      </c>
      <c r="BC2982" s="3" t="s">
        <v>82</v>
      </c>
      <c r="BD2982" s="3" t="s">
        <v>70</v>
      </c>
      <c r="BE2982" s="3" t="s">
        <v>24974</v>
      </c>
      <c r="BF2982" s="3" t="s">
        <v>24973</v>
      </c>
      <c r="BG2982" s="3" t="s">
        <v>24975</v>
      </c>
    </row>
    <row r="2983" spans="1:59" ht="60" x14ac:dyDescent="0.25">
      <c r="A2983" s="2" t="s">
        <v>59</v>
      </c>
      <c r="B2983" s="2" t="s">
        <v>60</v>
      </c>
      <c r="C2983" s="2" t="s">
        <v>24976</v>
      </c>
      <c r="D2983" s="2" t="s">
        <v>24977</v>
      </c>
      <c r="E2983" s="2" t="s">
        <v>24978</v>
      </c>
      <c r="G2983" s="3" t="s">
        <v>63</v>
      </c>
      <c r="I2983" s="3" t="s">
        <v>63</v>
      </c>
      <c r="J2983" s="3" t="s">
        <v>63</v>
      </c>
      <c r="K2983" s="3" t="s">
        <v>64</v>
      </c>
      <c r="L2983" s="2" t="s">
        <v>24912</v>
      </c>
      <c r="M2983" s="2" t="s">
        <v>24979</v>
      </c>
      <c r="N2983" s="3" t="s">
        <v>2144</v>
      </c>
      <c r="P2983" s="3" t="s">
        <v>66</v>
      </c>
      <c r="R2983" s="3" t="s">
        <v>67</v>
      </c>
      <c r="S2983" s="4">
        <v>7</v>
      </c>
      <c r="T2983" s="4">
        <v>7</v>
      </c>
      <c r="U2983" s="5" t="s">
        <v>4192</v>
      </c>
      <c r="V2983" s="5" t="s">
        <v>4192</v>
      </c>
      <c r="W2983" s="5" t="s">
        <v>69</v>
      </c>
      <c r="X2983" s="5" t="s">
        <v>69</v>
      </c>
      <c r="Y2983" s="4">
        <v>246</v>
      </c>
      <c r="Z2983" s="4">
        <v>21</v>
      </c>
      <c r="AA2983" s="4">
        <v>29</v>
      </c>
      <c r="AB2983" s="4">
        <v>1</v>
      </c>
      <c r="AC2983" s="4">
        <v>1</v>
      </c>
      <c r="AD2983" s="4">
        <v>62</v>
      </c>
      <c r="AE2983" s="4">
        <v>108</v>
      </c>
      <c r="AF2983" s="4">
        <v>0</v>
      </c>
      <c r="AG2983" s="4">
        <v>0</v>
      </c>
      <c r="AH2983" s="4">
        <v>51</v>
      </c>
      <c r="AI2983" s="4">
        <v>91</v>
      </c>
      <c r="AJ2983" s="4">
        <v>10</v>
      </c>
      <c r="AK2983" s="4">
        <v>17</v>
      </c>
      <c r="AL2983" s="4">
        <v>30</v>
      </c>
      <c r="AM2983" s="4">
        <v>54</v>
      </c>
      <c r="AN2983" s="4">
        <v>0</v>
      </c>
      <c r="AO2983" s="4">
        <v>0</v>
      </c>
      <c r="AP2983" s="4">
        <v>11</v>
      </c>
      <c r="AQ2983" s="4">
        <v>19</v>
      </c>
      <c r="AR2983" s="3" t="s">
        <v>63</v>
      </c>
      <c r="AS2983" s="3" t="s">
        <v>63</v>
      </c>
      <c r="AT2983" s="3" t="s">
        <v>63</v>
      </c>
      <c r="AV2983" s="6" t="str">
        <f>HYPERLINK("http://mcgill.on.worldcat.org/oclc/671061","Catalog Record")</f>
        <v>Catalog Record</v>
      </c>
      <c r="AW2983" s="6" t="str">
        <f>HYPERLINK("http://www.worldcat.org/oclc/671061","WorldCat Record")</f>
        <v>WorldCat Record</v>
      </c>
      <c r="AX2983" s="3" t="s">
        <v>24980</v>
      </c>
      <c r="AY2983" s="3" t="s">
        <v>24981</v>
      </c>
      <c r="AZ2983" s="3" t="s">
        <v>24982</v>
      </c>
      <c r="BA2983" s="3" t="s">
        <v>24982</v>
      </c>
      <c r="BB2983" s="3" t="s">
        <v>24983</v>
      </c>
      <c r="BC2983" s="3" t="s">
        <v>82</v>
      </c>
      <c r="BD2983" s="3" t="s">
        <v>70</v>
      </c>
      <c r="BF2983" s="3" t="s">
        <v>24983</v>
      </c>
      <c r="BG2983" s="3" t="s">
        <v>24984</v>
      </c>
    </row>
    <row r="2984" spans="1:59" ht="60" x14ac:dyDescent="0.25">
      <c r="A2984" s="2" t="s">
        <v>59</v>
      </c>
      <c r="B2984" s="2" t="s">
        <v>60</v>
      </c>
      <c r="C2984" s="2" t="s">
        <v>24985</v>
      </c>
      <c r="D2984" s="2" t="s">
        <v>24986</v>
      </c>
      <c r="E2984" s="2" t="s">
        <v>24987</v>
      </c>
      <c r="F2984" s="3" t="s">
        <v>571</v>
      </c>
      <c r="G2984" s="3" t="s">
        <v>62</v>
      </c>
      <c r="I2984" s="3" t="s">
        <v>63</v>
      </c>
      <c r="J2984" s="3" t="s">
        <v>63</v>
      </c>
      <c r="K2984" s="3" t="s">
        <v>64</v>
      </c>
      <c r="L2984" s="2" t="s">
        <v>24988</v>
      </c>
      <c r="M2984" s="2" t="s">
        <v>24989</v>
      </c>
      <c r="N2984" s="3" t="s">
        <v>668</v>
      </c>
      <c r="P2984" s="3" t="s">
        <v>90</v>
      </c>
      <c r="Q2984" s="2" t="s">
        <v>24990</v>
      </c>
      <c r="R2984" s="3" t="s">
        <v>67</v>
      </c>
      <c r="S2984" s="4">
        <v>8</v>
      </c>
      <c r="T2984" s="4">
        <v>14</v>
      </c>
      <c r="U2984" s="5" t="s">
        <v>24991</v>
      </c>
      <c r="V2984" s="5" t="s">
        <v>24991</v>
      </c>
      <c r="W2984" s="5" t="s">
        <v>69</v>
      </c>
      <c r="X2984" s="5" t="s">
        <v>69</v>
      </c>
      <c r="Y2984" s="4">
        <v>60</v>
      </c>
      <c r="Z2984" s="4">
        <v>9</v>
      </c>
      <c r="AA2984" s="4">
        <v>9</v>
      </c>
      <c r="AB2984" s="4">
        <v>1</v>
      </c>
      <c r="AC2984" s="4">
        <v>1</v>
      </c>
      <c r="AD2984" s="4">
        <v>43</v>
      </c>
      <c r="AE2984" s="4">
        <v>43</v>
      </c>
      <c r="AF2984" s="4">
        <v>0</v>
      </c>
      <c r="AG2984" s="4">
        <v>0</v>
      </c>
      <c r="AH2984" s="4">
        <v>40</v>
      </c>
      <c r="AI2984" s="4">
        <v>40</v>
      </c>
      <c r="AJ2984" s="4">
        <v>7</v>
      </c>
      <c r="AK2984" s="4">
        <v>7</v>
      </c>
      <c r="AL2984" s="4">
        <v>32</v>
      </c>
      <c r="AM2984" s="4">
        <v>32</v>
      </c>
      <c r="AN2984" s="4">
        <v>0</v>
      </c>
      <c r="AO2984" s="4">
        <v>0</v>
      </c>
      <c r="AP2984" s="4">
        <v>7</v>
      </c>
      <c r="AQ2984" s="4">
        <v>7</v>
      </c>
      <c r="AR2984" s="3" t="s">
        <v>63</v>
      </c>
      <c r="AS2984" s="3" t="s">
        <v>63</v>
      </c>
      <c r="AT2984" s="3" t="s">
        <v>62</v>
      </c>
      <c r="AU2984" s="6" t="str">
        <f>HYPERLINK("http://catalog.hathitrust.org/Record/002434087","HathiTrust Record")</f>
        <v>HathiTrust Record</v>
      </c>
      <c r="AV2984" s="6" t="str">
        <f>HYPERLINK("http://mcgill.on.worldcat.org/oclc/23268413","Catalog Record")</f>
        <v>Catalog Record</v>
      </c>
      <c r="AW2984" s="6" t="str">
        <f>HYPERLINK("http://www.worldcat.org/oclc/23268413","WorldCat Record")</f>
        <v>WorldCat Record</v>
      </c>
      <c r="AX2984" s="3" t="s">
        <v>24992</v>
      </c>
      <c r="AY2984" s="3" t="s">
        <v>24993</v>
      </c>
      <c r="AZ2984" s="3" t="s">
        <v>24994</v>
      </c>
      <c r="BA2984" s="3" t="s">
        <v>24994</v>
      </c>
      <c r="BB2984" s="3" t="s">
        <v>24995</v>
      </c>
      <c r="BC2984" s="3" t="s">
        <v>82</v>
      </c>
      <c r="BD2984" s="3" t="s">
        <v>70</v>
      </c>
      <c r="BF2984" s="3" t="s">
        <v>24995</v>
      </c>
      <c r="BG2984" s="3" t="s">
        <v>24996</v>
      </c>
    </row>
    <row r="2985" spans="1:59" ht="60" x14ac:dyDescent="0.25">
      <c r="A2985" s="2" t="s">
        <v>59</v>
      </c>
      <c r="B2985" s="2" t="s">
        <v>60</v>
      </c>
      <c r="C2985" s="2" t="s">
        <v>24985</v>
      </c>
      <c r="D2985" s="2" t="s">
        <v>24986</v>
      </c>
      <c r="E2985" s="2" t="s">
        <v>24987</v>
      </c>
      <c r="F2985" s="3" t="s">
        <v>582</v>
      </c>
      <c r="G2985" s="3" t="s">
        <v>62</v>
      </c>
      <c r="I2985" s="3" t="s">
        <v>63</v>
      </c>
      <c r="J2985" s="3" t="s">
        <v>63</v>
      </c>
      <c r="K2985" s="3" t="s">
        <v>64</v>
      </c>
      <c r="L2985" s="2" t="s">
        <v>24988</v>
      </c>
      <c r="M2985" s="2" t="s">
        <v>24989</v>
      </c>
      <c r="N2985" s="3" t="s">
        <v>668</v>
      </c>
      <c r="P2985" s="3" t="s">
        <v>90</v>
      </c>
      <c r="Q2985" s="2" t="s">
        <v>24990</v>
      </c>
      <c r="R2985" s="3" t="s">
        <v>67</v>
      </c>
      <c r="S2985" s="4">
        <v>6</v>
      </c>
      <c r="T2985" s="4">
        <v>14</v>
      </c>
      <c r="U2985" s="5" t="s">
        <v>24991</v>
      </c>
      <c r="V2985" s="5" t="s">
        <v>24991</v>
      </c>
      <c r="W2985" s="5" t="s">
        <v>69</v>
      </c>
      <c r="X2985" s="5" t="s">
        <v>69</v>
      </c>
      <c r="Y2985" s="4">
        <v>60</v>
      </c>
      <c r="Z2985" s="4">
        <v>9</v>
      </c>
      <c r="AA2985" s="4">
        <v>9</v>
      </c>
      <c r="AB2985" s="4">
        <v>1</v>
      </c>
      <c r="AC2985" s="4">
        <v>1</v>
      </c>
      <c r="AD2985" s="4">
        <v>43</v>
      </c>
      <c r="AE2985" s="4">
        <v>43</v>
      </c>
      <c r="AF2985" s="4">
        <v>0</v>
      </c>
      <c r="AG2985" s="4">
        <v>0</v>
      </c>
      <c r="AH2985" s="4">
        <v>40</v>
      </c>
      <c r="AI2985" s="4">
        <v>40</v>
      </c>
      <c r="AJ2985" s="4">
        <v>7</v>
      </c>
      <c r="AK2985" s="4">
        <v>7</v>
      </c>
      <c r="AL2985" s="4">
        <v>32</v>
      </c>
      <c r="AM2985" s="4">
        <v>32</v>
      </c>
      <c r="AN2985" s="4">
        <v>0</v>
      </c>
      <c r="AO2985" s="4">
        <v>0</v>
      </c>
      <c r="AP2985" s="4">
        <v>7</v>
      </c>
      <c r="AQ2985" s="4">
        <v>7</v>
      </c>
      <c r="AR2985" s="3" t="s">
        <v>63</v>
      </c>
      <c r="AS2985" s="3" t="s">
        <v>63</v>
      </c>
      <c r="AT2985" s="3" t="s">
        <v>62</v>
      </c>
      <c r="AU2985" s="6" t="str">
        <f>HYPERLINK("http://catalog.hathitrust.org/Record/002434087","HathiTrust Record")</f>
        <v>HathiTrust Record</v>
      </c>
      <c r="AV2985" s="6" t="str">
        <f>HYPERLINK("http://mcgill.on.worldcat.org/oclc/23268413","Catalog Record")</f>
        <v>Catalog Record</v>
      </c>
      <c r="AW2985" s="6" t="str">
        <f>HYPERLINK("http://www.worldcat.org/oclc/23268413","WorldCat Record")</f>
        <v>WorldCat Record</v>
      </c>
      <c r="AX2985" s="3" t="s">
        <v>24992</v>
      </c>
      <c r="AY2985" s="3" t="s">
        <v>24993</v>
      </c>
      <c r="AZ2985" s="3" t="s">
        <v>24994</v>
      </c>
      <c r="BA2985" s="3" t="s">
        <v>24994</v>
      </c>
      <c r="BB2985" s="3" t="s">
        <v>24997</v>
      </c>
      <c r="BC2985" s="3" t="s">
        <v>82</v>
      </c>
      <c r="BD2985" s="3" t="s">
        <v>70</v>
      </c>
      <c r="BF2985" s="3" t="s">
        <v>24997</v>
      </c>
      <c r="BG2985" s="3" t="s">
        <v>24998</v>
      </c>
    </row>
    <row r="2986" spans="1:59" ht="60" x14ac:dyDescent="0.25">
      <c r="A2986" s="2" t="s">
        <v>59</v>
      </c>
      <c r="B2986" s="2" t="s">
        <v>60</v>
      </c>
      <c r="C2986" s="2" t="s">
        <v>25032</v>
      </c>
      <c r="D2986" s="2" t="s">
        <v>25033</v>
      </c>
      <c r="E2986" s="2" t="s">
        <v>25034</v>
      </c>
      <c r="F2986" s="3" t="s">
        <v>4181</v>
      </c>
      <c r="G2986" s="3" t="s">
        <v>62</v>
      </c>
      <c r="I2986" s="3" t="s">
        <v>63</v>
      </c>
      <c r="J2986" s="3" t="s">
        <v>63</v>
      </c>
      <c r="K2986" s="3" t="s">
        <v>64</v>
      </c>
      <c r="L2986" s="2" t="s">
        <v>25023</v>
      </c>
      <c r="M2986" s="2" t="s">
        <v>25035</v>
      </c>
      <c r="N2986" s="3" t="s">
        <v>1023</v>
      </c>
      <c r="P2986" s="3" t="s">
        <v>90</v>
      </c>
      <c r="Q2986" s="2" t="s">
        <v>25036</v>
      </c>
      <c r="R2986" s="3" t="s">
        <v>67</v>
      </c>
      <c r="S2986" s="4">
        <v>1</v>
      </c>
      <c r="T2986" s="4">
        <v>3</v>
      </c>
      <c r="U2986" s="5" t="s">
        <v>25025</v>
      </c>
      <c r="V2986" s="5" t="s">
        <v>25025</v>
      </c>
      <c r="W2986" s="5" t="s">
        <v>69</v>
      </c>
      <c r="X2986" s="5" t="s">
        <v>69</v>
      </c>
      <c r="Y2986" s="4">
        <v>19</v>
      </c>
      <c r="Z2986" s="4">
        <v>1</v>
      </c>
      <c r="AA2986" s="4">
        <v>1</v>
      </c>
      <c r="AB2986" s="4">
        <v>1</v>
      </c>
      <c r="AC2986" s="4">
        <v>1</v>
      </c>
      <c r="AD2986" s="4">
        <v>12</v>
      </c>
      <c r="AE2986" s="4">
        <v>12</v>
      </c>
      <c r="AF2986" s="4">
        <v>0</v>
      </c>
      <c r="AG2986" s="4">
        <v>0</v>
      </c>
      <c r="AH2986" s="4">
        <v>12</v>
      </c>
      <c r="AI2986" s="4">
        <v>12</v>
      </c>
      <c r="AJ2986" s="4">
        <v>0</v>
      </c>
      <c r="AK2986" s="4">
        <v>0</v>
      </c>
      <c r="AL2986" s="4">
        <v>10</v>
      </c>
      <c r="AM2986" s="4">
        <v>10</v>
      </c>
      <c r="AN2986" s="4">
        <v>0</v>
      </c>
      <c r="AO2986" s="4">
        <v>0</v>
      </c>
      <c r="AP2986" s="4">
        <v>0</v>
      </c>
      <c r="AQ2986" s="4">
        <v>0</v>
      </c>
      <c r="AR2986" s="3" t="s">
        <v>63</v>
      </c>
      <c r="AS2986" s="3" t="s">
        <v>63</v>
      </c>
      <c r="AT2986" s="3" t="s">
        <v>62</v>
      </c>
      <c r="AU2986" s="6" t="str">
        <f>HYPERLINK("http://catalog.hathitrust.org/Record/003016937","HathiTrust Record")</f>
        <v>HathiTrust Record</v>
      </c>
      <c r="AV2986" s="6" t="str">
        <f>HYPERLINK("http://mcgill.on.worldcat.org/oclc/32263180","Catalog Record")</f>
        <v>Catalog Record</v>
      </c>
      <c r="AW2986" s="6" t="str">
        <f>HYPERLINK("http://www.worldcat.org/oclc/32263180","WorldCat Record")</f>
        <v>WorldCat Record</v>
      </c>
      <c r="AX2986" s="3" t="s">
        <v>25037</v>
      </c>
      <c r="AY2986" s="3" t="s">
        <v>25038</v>
      </c>
      <c r="AZ2986" s="3" t="s">
        <v>25039</v>
      </c>
      <c r="BA2986" s="3" t="s">
        <v>25039</v>
      </c>
      <c r="BB2986" s="3" t="s">
        <v>25040</v>
      </c>
      <c r="BC2986" s="3" t="s">
        <v>82</v>
      </c>
      <c r="BD2986" s="3" t="s">
        <v>70</v>
      </c>
      <c r="BE2986" s="3" t="s">
        <v>25041</v>
      </c>
      <c r="BF2986" s="3" t="s">
        <v>25040</v>
      </c>
      <c r="BG2986" s="3" t="s">
        <v>25042</v>
      </c>
    </row>
    <row r="2987" spans="1:59" ht="60" x14ac:dyDescent="0.25">
      <c r="A2987" s="2" t="s">
        <v>59</v>
      </c>
      <c r="B2987" s="2" t="s">
        <v>60</v>
      </c>
      <c r="C2987" s="2" t="s">
        <v>25032</v>
      </c>
      <c r="D2987" s="2" t="s">
        <v>25033</v>
      </c>
      <c r="E2987" s="2" t="s">
        <v>25034</v>
      </c>
      <c r="F2987" s="3" t="s">
        <v>2601</v>
      </c>
      <c r="G2987" s="3" t="s">
        <v>62</v>
      </c>
      <c r="I2987" s="3" t="s">
        <v>63</v>
      </c>
      <c r="J2987" s="3" t="s">
        <v>63</v>
      </c>
      <c r="K2987" s="3" t="s">
        <v>64</v>
      </c>
      <c r="L2987" s="2" t="s">
        <v>25023</v>
      </c>
      <c r="M2987" s="2" t="s">
        <v>25035</v>
      </c>
      <c r="N2987" s="3" t="s">
        <v>1023</v>
      </c>
      <c r="P2987" s="3" t="s">
        <v>90</v>
      </c>
      <c r="Q2987" s="2" t="s">
        <v>25036</v>
      </c>
      <c r="R2987" s="3" t="s">
        <v>67</v>
      </c>
      <c r="S2987" s="4">
        <v>2</v>
      </c>
      <c r="T2987" s="4">
        <v>3</v>
      </c>
      <c r="U2987" s="5" t="s">
        <v>25025</v>
      </c>
      <c r="V2987" s="5" t="s">
        <v>25025</v>
      </c>
      <c r="W2987" s="5" t="s">
        <v>69</v>
      </c>
      <c r="X2987" s="5" t="s">
        <v>69</v>
      </c>
      <c r="Y2987" s="4">
        <v>19</v>
      </c>
      <c r="Z2987" s="4">
        <v>1</v>
      </c>
      <c r="AA2987" s="4">
        <v>1</v>
      </c>
      <c r="AB2987" s="4">
        <v>1</v>
      </c>
      <c r="AC2987" s="4">
        <v>1</v>
      </c>
      <c r="AD2987" s="4">
        <v>12</v>
      </c>
      <c r="AE2987" s="4">
        <v>12</v>
      </c>
      <c r="AF2987" s="4">
        <v>0</v>
      </c>
      <c r="AG2987" s="4">
        <v>0</v>
      </c>
      <c r="AH2987" s="4">
        <v>12</v>
      </c>
      <c r="AI2987" s="4">
        <v>12</v>
      </c>
      <c r="AJ2987" s="4">
        <v>0</v>
      </c>
      <c r="AK2987" s="4">
        <v>0</v>
      </c>
      <c r="AL2987" s="4">
        <v>10</v>
      </c>
      <c r="AM2987" s="4">
        <v>10</v>
      </c>
      <c r="AN2987" s="4">
        <v>0</v>
      </c>
      <c r="AO2987" s="4">
        <v>0</v>
      </c>
      <c r="AP2987" s="4">
        <v>0</v>
      </c>
      <c r="AQ2987" s="4">
        <v>0</v>
      </c>
      <c r="AR2987" s="3" t="s">
        <v>63</v>
      </c>
      <c r="AS2987" s="3" t="s">
        <v>63</v>
      </c>
      <c r="AT2987" s="3" t="s">
        <v>62</v>
      </c>
      <c r="AU2987" s="6" t="str">
        <f>HYPERLINK("http://catalog.hathitrust.org/Record/003016937","HathiTrust Record")</f>
        <v>HathiTrust Record</v>
      </c>
      <c r="AV2987" s="6" t="str">
        <f>HYPERLINK("http://mcgill.on.worldcat.org/oclc/32263180","Catalog Record")</f>
        <v>Catalog Record</v>
      </c>
      <c r="AW2987" s="6" t="str">
        <f>HYPERLINK("http://www.worldcat.org/oclc/32263180","WorldCat Record")</f>
        <v>WorldCat Record</v>
      </c>
      <c r="AX2987" s="3" t="s">
        <v>25037</v>
      </c>
      <c r="AY2987" s="3" t="s">
        <v>25038</v>
      </c>
      <c r="AZ2987" s="3" t="s">
        <v>25039</v>
      </c>
      <c r="BA2987" s="3" t="s">
        <v>25039</v>
      </c>
      <c r="BB2987" s="3" t="s">
        <v>25043</v>
      </c>
      <c r="BC2987" s="3" t="s">
        <v>82</v>
      </c>
      <c r="BD2987" s="3" t="s">
        <v>70</v>
      </c>
      <c r="BE2987" s="3" t="s">
        <v>25041</v>
      </c>
      <c r="BF2987" s="3" t="s">
        <v>25043</v>
      </c>
      <c r="BG2987" s="3" t="s">
        <v>25044</v>
      </c>
    </row>
    <row r="2988" spans="1:59" ht="120" x14ac:dyDescent="0.25">
      <c r="A2988" s="2" t="s">
        <v>59</v>
      </c>
      <c r="B2988" s="2" t="s">
        <v>60</v>
      </c>
      <c r="C2988" s="2" t="s">
        <v>25020</v>
      </c>
      <c r="D2988" s="2" t="s">
        <v>25021</v>
      </c>
      <c r="E2988" s="2" t="s">
        <v>25022</v>
      </c>
      <c r="G2988" s="3" t="s">
        <v>63</v>
      </c>
      <c r="I2988" s="3" t="s">
        <v>63</v>
      </c>
      <c r="J2988" s="3" t="s">
        <v>63</v>
      </c>
      <c r="K2988" s="3" t="s">
        <v>64</v>
      </c>
      <c r="L2988" s="2" t="s">
        <v>25023</v>
      </c>
      <c r="M2988" s="2" t="s">
        <v>25024</v>
      </c>
      <c r="N2988" s="3" t="s">
        <v>2459</v>
      </c>
      <c r="P2988" s="3" t="s">
        <v>90</v>
      </c>
      <c r="R2988" s="3" t="s">
        <v>67</v>
      </c>
      <c r="S2988" s="4">
        <v>4</v>
      </c>
      <c r="T2988" s="4">
        <v>4</v>
      </c>
      <c r="U2988" s="5" t="s">
        <v>25025</v>
      </c>
      <c r="V2988" s="5" t="s">
        <v>25025</v>
      </c>
      <c r="W2988" s="5" t="s">
        <v>69</v>
      </c>
      <c r="X2988" s="5" t="s">
        <v>69</v>
      </c>
      <c r="Y2988" s="4">
        <v>49</v>
      </c>
      <c r="Z2988" s="4">
        <v>4</v>
      </c>
      <c r="AA2988" s="4">
        <v>6</v>
      </c>
      <c r="AB2988" s="4">
        <v>2</v>
      </c>
      <c r="AC2988" s="4">
        <v>2</v>
      </c>
      <c r="AD2988" s="4">
        <v>35</v>
      </c>
      <c r="AE2988" s="4">
        <v>36</v>
      </c>
      <c r="AF2988" s="4">
        <v>0</v>
      </c>
      <c r="AG2988" s="4">
        <v>0</v>
      </c>
      <c r="AH2988" s="4">
        <v>34</v>
      </c>
      <c r="AI2988" s="4">
        <v>35</v>
      </c>
      <c r="AJ2988" s="4">
        <v>2</v>
      </c>
      <c r="AK2988" s="4">
        <v>3</v>
      </c>
      <c r="AL2988" s="4">
        <v>29</v>
      </c>
      <c r="AM2988" s="4">
        <v>30</v>
      </c>
      <c r="AN2988" s="4">
        <v>0</v>
      </c>
      <c r="AO2988" s="4">
        <v>0</v>
      </c>
      <c r="AP2988" s="4">
        <v>2</v>
      </c>
      <c r="AQ2988" s="4">
        <v>3</v>
      </c>
      <c r="AR2988" s="3" t="s">
        <v>63</v>
      </c>
      <c r="AS2988" s="3" t="s">
        <v>63</v>
      </c>
      <c r="AT2988" s="3" t="s">
        <v>63</v>
      </c>
      <c r="AV2988" s="6" t="str">
        <f>HYPERLINK("http://mcgill.on.worldcat.org/oclc/294760506","Catalog Record")</f>
        <v>Catalog Record</v>
      </c>
      <c r="AW2988" s="6" t="str">
        <f>HYPERLINK("http://www.worldcat.org/oclc/294760506","WorldCat Record")</f>
        <v>WorldCat Record</v>
      </c>
      <c r="AX2988" s="3" t="s">
        <v>25026</v>
      </c>
      <c r="AY2988" s="3" t="s">
        <v>25027</v>
      </c>
      <c r="AZ2988" s="3" t="s">
        <v>25028</v>
      </c>
      <c r="BA2988" s="3" t="s">
        <v>25028</v>
      </c>
      <c r="BB2988" s="3" t="s">
        <v>25029</v>
      </c>
      <c r="BC2988" s="3" t="s">
        <v>82</v>
      </c>
      <c r="BD2988" s="3" t="s">
        <v>70</v>
      </c>
      <c r="BE2988" s="3" t="s">
        <v>25030</v>
      </c>
      <c r="BF2988" s="3" t="s">
        <v>25029</v>
      </c>
      <c r="BG2988" s="3" t="s">
        <v>25031</v>
      </c>
    </row>
    <row r="2989" spans="1:59" ht="60" x14ac:dyDescent="0.25">
      <c r="A2989" s="2" t="s">
        <v>59</v>
      </c>
      <c r="B2989" s="2" t="s">
        <v>60</v>
      </c>
      <c r="C2989" s="2" t="s">
        <v>25065</v>
      </c>
      <c r="D2989" s="2" t="s">
        <v>25066</v>
      </c>
      <c r="E2989" s="2" t="s">
        <v>25067</v>
      </c>
      <c r="F2989" s="3" t="s">
        <v>1095</v>
      </c>
      <c r="G2989" s="3" t="s">
        <v>62</v>
      </c>
      <c r="I2989" s="3" t="s">
        <v>63</v>
      </c>
      <c r="J2989" s="3" t="s">
        <v>63</v>
      </c>
      <c r="K2989" s="3" t="s">
        <v>64</v>
      </c>
      <c r="L2989" s="2" t="s">
        <v>25048</v>
      </c>
      <c r="M2989" s="2" t="s">
        <v>25068</v>
      </c>
      <c r="N2989" s="3" t="s">
        <v>10455</v>
      </c>
      <c r="P2989" s="3" t="s">
        <v>90</v>
      </c>
      <c r="R2989" s="3" t="s">
        <v>67</v>
      </c>
      <c r="S2989" s="4">
        <v>4</v>
      </c>
      <c r="T2989" s="4">
        <v>16</v>
      </c>
      <c r="U2989" s="5" t="s">
        <v>15781</v>
      </c>
      <c r="V2989" s="5" t="s">
        <v>1114</v>
      </c>
      <c r="W2989" s="5" t="s">
        <v>69</v>
      </c>
      <c r="X2989" s="5" t="s">
        <v>69</v>
      </c>
      <c r="Y2989" s="4">
        <v>107</v>
      </c>
      <c r="Z2989" s="4">
        <v>7</v>
      </c>
      <c r="AA2989" s="4">
        <v>12</v>
      </c>
      <c r="AB2989" s="4">
        <v>1</v>
      </c>
      <c r="AC2989" s="4">
        <v>1</v>
      </c>
      <c r="AD2989" s="4">
        <v>55</v>
      </c>
      <c r="AE2989" s="4">
        <v>61</v>
      </c>
      <c r="AF2989" s="4">
        <v>0</v>
      </c>
      <c r="AG2989" s="4">
        <v>0</v>
      </c>
      <c r="AH2989" s="4">
        <v>50</v>
      </c>
      <c r="AI2989" s="4">
        <v>54</v>
      </c>
      <c r="AJ2989" s="4">
        <v>4</v>
      </c>
      <c r="AK2989" s="4">
        <v>9</v>
      </c>
      <c r="AL2989" s="4">
        <v>39</v>
      </c>
      <c r="AM2989" s="4">
        <v>40</v>
      </c>
      <c r="AN2989" s="4">
        <v>0</v>
      </c>
      <c r="AO2989" s="4">
        <v>0</v>
      </c>
      <c r="AP2989" s="4">
        <v>4</v>
      </c>
      <c r="AQ2989" s="4">
        <v>9</v>
      </c>
      <c r="AR2989" s="3" t="s">
        <v>63</v>
      </c>
      <c r="AS2989" s="3" t="s">
        <v>63</v>
      </c>
      <c r="AT2989" s="3" t="s">
        <v>62</v>
      </c>
      <c r="AU2989" s="6" t="str">
        <f>HYPERLINK("http://catalog.hathitrust.org/Record/001059519","HathiTrust Record")</f>
        <v>HathiTrust Record</v>
      </c>
      <c r="AV2989" s="6" t="str">
        <f>HYPERLINK("http://mcgill.on.worldcat.org/oclc/5314403","Catalog Record")</f>
        <v>Catalog Record</v>
      </c>
      <c r="AW2989" s="6" t="str">
        <f>HYPERLINK("http://www.worldcat.org/oclc/5314403","WorldCat Record")</f>
        <v>WorldCat Record</v>
      </c>
      <c r="AX2989" s="3" t="s">
        <v>25069</v>
      </c>
      <c r="AY2989" s="3" t="s">
        <v>25070</v>
      </c>
      <c r="AZ2989" s="3" t="s">
        <v>25071</v>
      </c>
      <c r="BA2989" s="3" t="s">
        <v>25071</v>
      </c>
      <c r="BB2989" s="3" t="s">
        <v>25072</v>
      </c>
      <c r="BC2989" s="3" t="s">
        <v>82</v>
      </c>
      <c r="BD2989" s="3" t="s">
        <v>70</v>
      </c>
      <c r="BF2989" s="3" t="s">
        <v>25072</v>
      </c>
      <c r="BG2989" s="3" t="s">
        <v>25073</v>
      </c>
    </row>
    <row r="2990" spans="1:59" ht="60" x14ac:dyDescent="0.25">
      <c r="A2990" s="2" t="s">
        <v>59</v>
      </c>
      <c r="B2990" s="2" t="s">
        <v>60</v>
      </c>
      <c r="C2990" s="2" t="s">
        <v>25065</v>
      </c>
      <c r="D2990" s="2" t="s">
        <v>25066</v>
      </c>
      <c r="E2990" s="2" t="s">
        <v>25067</v>
      </c>
      <c r="F2990" s="3" t="s">
        <v>1366</v>
      </c>
      <c r="G2990" s="3" t="s">
        <v>62</v>
      </c>
      <c r="I2990" s="3" t="s">
        <v>63</v>
      </c>
      <c r="J2990" s="3" t="s">
        <v>63</v>
      </c>
      <c r="K2990" s="3" t="s">
        <v>64</v>
      </c>
      <c r="L2990" s="2" t="s">
        <v>25048</v>
      </c>
      <c r="M2990" s="2" t="s">
        <v>25068</v>
      </c>
      <c r="N2990" s="3" t="s">
        <v>10455</v>
      </c>
      <c r="P2990" s="3" t="s">
        <v>90</v>
      </c>
      <c r="R2990" s="3" t="s">
        <v>67</v>
      </c>
      <c r="S2990" s="4">
        <v>0</v>
      </c>
      <c r="T2990" s="4">
        <v>16</v>
      </c>
      <c r="V2990" s="5" t="s">
        <v>1114</v>
      </c>
      <c r="W2990" s="5" t="s">
        <v>69</v>
      </c>
      <c r="X2990" s="5" t="s">
        <v>69</v>
      </c>
      <c r="Y2990" s="4">
        <v>107</v>
      </c>
      <c r="Z2990" s="4">
        <v>7</v>
      </c>
      <c r="AA2990" s="4">
        <v>12</v>
      </c>
      <c r="AB2990" s="4">
        <v>1</v>
      </c>
      <c r="AC2990" s="4">
        <v>1</v>
      </c>
      <c r="AD2990" s="4">
        <v>55</v>
      </c>
      <c r="AE2990" s="4">
        <v>61</v>
      </c>
      <c r="AF2990" s="4">
        <v>0</v>
      </c>
      <c r="AG2990" s="4">
        <v>0</v>
      </c>
      <c r="AH2990" s="4">
        <v>50</v>
      </c>
      <c r="AI2990" s="4">
        <v>54</v>
      </c>
      <c r="AJ2990" s="4">
        <v>4</v>
      </c>
      <c r="AK2990" s="4">
        <v>9</v>
      </c>
      <c r="AL2990" s="4">
        <v>39</v>
      </c>
      <c r="AM2990" s="4">
        <v>40</v>
      </c>
      <c r="AN2990" s="4">
        <v>0</v>
      </c>
      <c r="AO2990" s="4">
        <v>0</v>
      </c>
      <c r="AP2990" s="4">
        <v>4</v>
      </c>
      <c r="AQ2990" s="4">
        <v>9</v>
      </c>
      <c r="AR2990" s="3" t="s">
        <v>63</v>
      </c>
      <c r="AS2990" s="3" t="s">
        <v>63</v>
      </c>
      <c r="AT2990" s="3" t="s">
        <v>62</v>
      </c>
      <c r="AU2990" s="6" t="str">
        <f>HYPERLINK("http://catalog.hathitrust.org/Record/001059519","HathiTrust Record")</f>
        <v>HathiTrust Record</v>
      </c>
      <c r="AV2990" s="6" t="str">
        <f>HYPERLINK("http://mcgill.on.worldcat.org/oclc/5314403","Catalog Record")</f>
        <v>Catalog Record</v>
      </c>
      <c r="AW2990" s="6" t="str">
        <f>HYPERLINK("http://www.worldcat.org/oclc/5314403","WorldCat Record")</f>
        <v>WorldCat Record</v>
      </c>
      <c r="AX2990" s="3" t="s">
        <v>25069</v>
      </c>
      <c r="AY2990" s="3" t="s">
        <v>25070</v>
      </c>
      <c r="AZ2990" s="3" t="s">
        <v>25071</v>
      </c>
      <c r="BA2990" s="3" t="s">
        <v>25071</v>
      </c>
      <c r="BB2990" s="3" t="s">
        <v>25074</v>
      </c>
      <c r="BC2990" s="3" t="s">
        <v>82</v>
      </c>
      <c r="BD2990" s="3" t="s">
        <v>70</v>
      </c>
      <c r="BF2990" s="3" t="s">
        <v>25074</v>
      </c>
      <c r="BG2990" s="3" t="s">
        <v>25075</v>
      </c>
    </row>
    <row r="2991" spans="1:59" ht="60" x14ac:dyDescent="0.25">
      <c r="A2991" s="2" t="s">
        <v>59</v>
      </c>
      <c r="B2991" s="2" t="s">
        <v>60</v>
      </c>
      <c r="C2991" s="2" t="s">
        <v>25065</v>
      </c>
      <c r="D2991" s="2" t="s">
        <v>25066</v>
      </c>
      <c r="E2991" s="2" t="s">
        <v>25067</v>
      </c>
      <c r="F2991" s="3" t="s">
        <v>61</v>
      </c>
      <c r="G2991" s="3" t="s">
        <v>62</v>
      </c>
      <c r="I2991" s="3" t="s">
        <v>63</v>
      </c>
      <c r="J2991" s="3" t="s">
        <v>63</v>
      </c>
      <c r="K2991" s="3" t="s">
        <v>64</v>
      </c>
      <c r="L2991" s="2" t="s">
        <v>25048</v>
      </c>
      <c r="M2991" s="2" t="s">
        <v>25068</v>
      </c>
      <c r="N2991" s="3" t="s">
        <v>10455</v>
      </c>
      <c r="P2991" s="3" t="s">
        <v>90</v>
      </c>
      <c r="R2991" s="3" t="s">
        <v>67</v>
      </c>
      <c r="S2991" s="4">
        <v>12</v>
      </c>
      <c r="T2991" s="4">
        <v>16</v>
      </c>
      <c r="U2991" s="5" t="s">
        <v>1114</v>
      </c>
      <c r="V2991" s="5" t="s">
        <v>1114</v>
      </c>
      <c r="W2991" s="5" t="s">
        <v>69</v>
      </c>
      <c r="X2991" s="5" t="s">
        <v>69</v>
      </c>
      <c r="Y2991" s="4">
        <v>107</v>
      </c>
      <c r="Z2991" s="4">
        <v>7</v>
      </c>
      <c r="AA2991" s="4">
        <v>12</v>
      </c>
      <c r="AB2991" s="4">
        <v>1</v>
      </c>
      <c r="AC2991" s="4">
        <v>1</v>
      </c>
      <c r="AD2991" s="4">
        <v>55</v>
      </c>
      <c r="AE2991" s="4">
        <v>61</v>
      </c>
      <c r="AF2991" s="4">
        <v>0</v>
      </c>
      <c r="AG2991" s="4">
        <v>0</v>
      </c>
      <c r="AH2991" s="4">
        <v>50</v>
      </c>
      <c r="AI2991" s="4">
        <v>54</v>
      </c>
      <c r="AJ2991" s="4">
        <v>4</v>
      </c>
      <c r="AK2991" s="4">
        <v>9</v>
      </c>
      <c r="AL2991" s="4">
        <v>39</v>
      </c>
      <c r="AM2991" s="4">
        <v>40</v>
      </c>
      <c r="AN2991" s="4">
        <v>0</v>
      </c>
      <c r="AO2991" s="4">
        <v>0</v>
      </c>
      <c r="AP2991" s="4">
        <v>4</v>
      </c>
      <c r="AQ2991" s="4">
        <v>9</v>
      </c>
      <c r="AR2991" s="3" t="s">
        <v>63</v>
      </c>
      <c r="AS2991" s="3" t="s">
        <v>63</v>
      </c>
      <c r="AT2991" s="3" t="s">
        <v>62</v>
      </c>
      <c r="AU2991" s="6" t="str">
        <f>HYPERLINK("http://catalog.hathitrust.org/Record/001059519","HathiTrust Record")</f>
        <v>HathiTrust Record</v>
      </c>
      <c r="AV2991" s="6" t="str">
        <f>HYPERLINK("http://mcgill.on.worldcat.org/oclc/5314403","Catalog Record")</f>
        <v>Catalog Record</v>
      </c>
      <c r="AW2991" s="6" t="str">
        <f>HYPERLINK("http://www.worldcat.org/oclc/5314403","WorldCat Record")</f>
        <v>WorldCat Record</v>
      </c>
      <c r="AX2991" s="3" t="s">
        <v>25069</v>
      </c>
      <c r="AY2991" s="3" t="s">
        <v>25070</v>
      </c>
      <c r="AZ2991" s="3" t="s">
        <v>25071</v>
      </c>
      <c r="BA2991" s="3" t="s">
        <v>25071</v>
      </c>
      <c r="BB2991" s="3" t="s">
        <v>25076</v>
      </c>
      <c r="BC2991" s="3" t="s">
        <v>82</v>
      </c>
      <c r="BD2991" s="3" t="s">
        <v>70</v>
      </c>
      <c r="BF2991" s="3" t="s">
        <v>25076</v>
      </c>
      <c r="BG2991" s="3" t="s">
        <v>25077</v>
      </c>
    </row>
    <row r="2992" spans="1:59" ht="60" x14ac:dyDescent="0.25">
      <c r="A2992" s="2" t="s">
        <v>59</v>
      </c>
      <c r="B2992" s="2" t="s">
        <v>60</v>
      </c>
      <c r="C2992" s="2" t="s">
        <v>25065</v>
      </c>
      <c r="D2992" s="2" t="s">
        <v>25066</v>
      </c>
      <c r="E2992" s="2" t="s">
        <v>25067</v>
      </c>
      <c r="F2992" s="3" t="s">
        <v>1390</v>
      </c>
      <c r="G2992" s="3" t="s">
        <v>62</v>
      </c>
      <c r="I2992" s="3" t="s">
        <v>63</v>
      </c>
      <c r="J2992" s="3" t="s">
        <v>63</v>
      </c>
      <c r="K2992" s="3" t="s">
        <v>64</v>
      </c>
      <c r="L2992" s="2" t="s">
        <v>25048</v>
      </c>
      <c r="M2992" s="2" t="s">
        <v>25068</v>
      </c>
      <c r="N2992" s="3" t="s">
        <v>10455</v>
      </c>
      <c r="P2992" s="3" t="s">
        <v>90</v>
      </c>
      <c r="R2992" s="3" t="s">
        <v>67</v>
      </c>
      <c r="S2992" s="4">
        <v>0</v>
      </c>
      <c r="T2992" s="4">
        <v>16</v>
      </c>
      <c r="V2992" s="5" t="s">
        <v>1114</v>
      </c>
      <c r="W2992" s="5" t="s">
        <v>69</v>
      </c>
      <c r="X2992" s="5" t="s">
        <v>69</v>
      </c>
      <c r="Y2992" s="4">
        <v>107</v>
      </c>
      <c r="Z2992" s="4">
        <v>7</v>
      </c>
      <c r="AA2992" s="4">
        <v>12</v>
      </c>
      <c r="AB2992" s="4">
        <v>1</v>
      </c>
      <c r="AC2992" s="4">
        <v>1</v>
      </c>
      <c r="AD2992" s="4">
        <v>55</v>
      </c>
      <c r="AE2992" s="4">
        <v>61</v>
      </c>
      <c r="AF2992" s="4">
        <v>0</v>
      </c>
      <c r="AG2992" s="4">
        <v>0</v>
      </c>
      <c r="AH2992" s="4">
        <v>50</v>
      </c>
      <c r="AI2992" s="4">
        <v>54</v>
      </c>
      <c r="AJ2992" s="4">
        <v>4</v>
      </c>
      <c r="AK2992" s="4">
        <v>9</v>
      </c>
      <c r="AL2992" s="4">
        <v>39</v>
      </c>
      <c r="AM2992" s="4">
        <v>40</v>
      </c>
      <c r="AN2992" s="4">
        <v>0</v>
      </c>
      <c r="AO2992" s="4">
        <v>0</v>
      </c>
      <c r="AP2992" s="4">
        <v>4</v>
      </c>
      <c r="AQ2992" s="4">
        <v>9</v>
      </c>
      <c r="AR2992" s="3" t="s">
        <v>63</v>
      </c>
      <c r="AS2992" s="3" t="s">
        <v>63</v>
      </c>
      <c r="AT2992" s="3" t="s">
        <v>62</v>
      </c>
      <c r="AU2992" s="6" t="str">
        <f>HYPERLINK("http://catalog.hathitrust.org/Record/001059519","HathiTrust Record")</f>
        <v>HathiTrust Record</v>
      </c>
      <c r="AV2992" s="6" t="str">
        <f>HYPERLINK("http://mcgill.on.worldcat.org/oclc/5314403","Catalog Record")</f>
        <v>Catalog Record</v>
      </c>
      <c r="AW2992" s="6" t="str">
        <f>HYPERLINK("http://www.worldcat.org/oclc/5314403","WorldCat Record")</f>
        <v>WorldCat Record</v>
      </c>
      <c r="AX2992" s="3" t="s">
        <v>25069</v>
      </c>
      <c r="AY2992" s="3" t="s">
        <v>25070</v>
      </c>
      <c r="AZ2992" s="3" t="s">
        <v>25071</v>
      </c>
      <c r="BA2992" s="3" t="s">
        <v>25071</v>
      </c>
      <c r="BB2992" s="3" t="s">
        <v>25078</v>
      </c>
      <c r="BC2992" s="3" t="s">
        <v>82</v>
      </c>
      <c r="BD2992" s="3" t="s">
        <v>70</v>
      </c>
      <c r="BF2992" s="3" t="s">
        <v>25078</v>
      </c>
      <c r="BG2992" s="3" t="s">
        <v>25079</v>
      </c>
    </row>
    <row r="2993" spans="1:59" ht="60" x14ac:dyDescent="0.25">
      <c r="A2993" s="2" t="s">
        <v>59</v>
      </c>
      <c r="B2993" s="2" t="s">
        <v>60</v>
      </c>
      <c r="C2993" s="2" t="s">
        <v>25065</v>
      </c>
      <c r="D2993" s="2" t="s">
        <v>25066</v>
      </c>
      <c r="E2993" s="2" t="s">
        <v>25067</v>
      </c>
      <c r="F2993" s="3" t="s">
        <v>1379</v>
      </c>
      <c r="G2993" s="3" t="s">
        <v>62</v>
      </c>
      <c r="I2993" s="3" t="s">
        <v>63</v>
      </c>
      <c r="J2993" s="3" t="s">
        <v>63</v>
      </c>
      <c r="K2993" s="3" t="s">
        <v>64</v>
      </c>
      <c r="L2993" s="2" t="s">
        <v>25048</v>
      </c>
      <c r="M2993" s="2" t="s">
        <v>25068</v>
      </c>
      <c r="N2993" s="3" t="s">
        <v>10455</v>
      </c>
      <c r="P2993" s="3" t="s">
        <v>90</v>
      </c>
      <c r="R2993" s="3" t="s">
        <v>67</v>
      </c>
      <c r="S2993" s="4">
        <v>0</v>
      </c>
      <c r="T2993" s="4">
        <v>16</v>
      </c>
      <c r="V2993" s="5" t="s">
        <v>1114</v>
      </c>
      <c r="W2993" s="5" t="s">
        <v>69</v>
      </c>
      <c r="X2993" s="5" t="s">
        <v>69</v>
      </c>
      <c r="Y2993" s="4">
        <v>107</v>
      </c>
      <c r="Z2993" s="4">
        <v>7</v>
      </c>
      <c r="AA2993" s="4">
        <v>12</v>
      </c>
      <c r="AB2993" s="4">
        <v>1</v>
      </c>
      <c r="AC2993" s="4">
        <v>1</v>
      </c>
      <c r="AD2993" s="4">
        <v>55</v>
      </c>
      <c r="AE2993" s="4">
        <v>61</v>
      </c>
      <c r="AF2993" s="4">
        <v>0</v>
      </c>
      <c r="AG2993" s="4">
        <v>0</v>
      </c>
      <c r="AH2993" s="4">
        <v>50</v>
      </c>
      <c r="AI2993" s="4">
        <v>54</v>
      </c>
      <c r="AJ2993" s="4">
        <v>4</v>
      </c>
      <c r="AK2993" s="4">
        <v>9</v>
      </c>
      <c r="AL2993" s="4">
        <v>39</v>
      </c>
      <c r="AM2993" s="4">
        <v>40</v>
      </c>
      <c r="AN2993" s="4">
        <v>0</v>
      </c>
      <c r="AO2993" s="4">
        <v>0</v>
      </c>
      <c r="AP2993" s="4">
        <v>4</v>
      </c>
      <c r="AQ2993" s="4">
        <v>9</v>
      </c>
      <c r="AR2993" s="3" t="s">
        <v>63</v>
      </c>
      <c r="AS2993" s="3" t="s">
        <v>63</v>
      </c>
      <c r="AT2993" s="3" t="s">
        <v>62</v>
      </c>
      <c r="AU2993" s="6" t="str">
        <f>HYPERLINK("http://catalog.hathitrust.org/Record/001059519","HathiTrust Record")</f>
        <v>HathiTrust Record</v>
      </c>
      <c r="AV2993" s="6" t="str">
        <f>HYPERLINK("http://mcgill.on.worldcat.org/oclc/5314403","Catalog Record")</f>
        <v>Catalog Record</v>
      </c>
      <c r="AW2993" s="6" t="str">
        <f>HYPERLINK("http://www.worldcat.org/oclc/5314403","WorldCat Record")</f>
        <v>WorldCat Record</v>
      </c>
      <c r="AX2993" s="3" t="s">
        <v>25069</v>
      </c>
      <c r="AY2993" s="3" t="s">
        <v>25070</v>
      </c>
      <c r="AZ2993" s="3" t="s">
        <v>25071</v>
      </c>
      <c r="BA2993" s="3" t="s">
        <v>25071</v>
      </c>
      <c r="BB2993" s="3" t="s">
        <v>25080</v>
      </c>
      <c r="BC2993" s="3" t="s">
        <v>82</v>
      </c>
      <c r="BD2993" s="3" t="s">
        <v>70</v>
      </c>
      <c r="BF2993" s="3" t="s">
        <v>25080</v>
      </c>
      <c r="BG2993" s="3" t="s">
        <v>25081</v>
      </c>
    </row>
    <row r="2994" spans="1:59" ht="60" x14ac:dyDescent="0.25">
      <c r="A2994" s="2" t="s">
        <v>59</v>
      </c>
      <c r="B2994" s="2" t="s">
        <v>60</v>
      </c>
      <c r="C2994" s="2" t="s">
        <v>25045</v>
      </c>
      <c r="D2994" s="2" t="s">
        <v>25046</v>
      </c>
      <c r="E2994" s="2" t="s">
        <v>25047</v>
      </c>
      <c r="G2994" s="3" t="s">
        <v>63</v>
      </c>
      <c r="I2994" s="3" t="s">
        <v>63</v>
      </c>
      <c r="J2994" s="3" t="s">
        <v>63</v>
      </c>
      <c r="K2994" s="3" t="s">
        <v>64</v>
      </c>
      <c r="L2994" s="2" t="s">
        <v>25048</v>
      </c>
      <c r="M2994" s="2" t="s">
        <v>373</v>
      </c>
      <c r="N2994" s="3" t="s">
        <v>374</v>
      </c>
      <c r="P2994" s="3" t="s">
        <v>66</v>
      </c>
      <c r="Q2994" s="2" t="s">
        <v>8874</v>
      </c>
      <c r="R2994" s="3" t="s">
        <v>67</v>
      </c>
      <c r="S2994" s="4">
        <v>11</v>
      </c>
      <c r="T2994" s="4">
        <v>11</v>
      </c>
      <c r="U2994" s="5" t="s">
        <v>2239</v>
      </c>
      <c r="V2994" s="5" t="s">
        <v>2239</v>
      </c>
      <c r="W2994" s="5" t="s">
        <v>69</v>
      </c>
      <c r="X2994" s="5" t="s">
        <v>69</v>
      </c>
      <c r="Y2994" s="4">
        <v>75</v>
      </c>
      <c r="Z2994" s="4">
        <v>4</v>
      </c>
      <c r="AA2994" s="4">
        <v>26</v>
      </c>
      <c r="AB2994" s="4">
        <v>1</v>
      </c>
      <c r="AC2994" s="4">
        <v>1</v>
      </c>
      <c r="AD2994" s="4">
        <v>24</v>
      </c>
      <c r="AE2994" s="4">
        <v>113</v>
      </c>
      <c r="AF2994" s="4">
        <v>0</v>
      </c>
      <c r="AG2994" s="4">
        <v>0</v>
      </c>
      <c r="AH2994" s="4">
        <v>22</v>
      </c>
      <c r="AI2994" s="4">
        <v>102</v>
      </c>
      <c r="AJ2994" s="4">
        <v>1</v>
      </c>
      <c r="AK2994" s="4">
        <v>13</v>
      </c>
      <c r="AL2994" s="4">
        <v>17</v>
      </c>
      <c r="AM2994" s="4">
        <v>55</v>
      </c>
      <c r="AN2994" s="4">
        <v>0</v>
      </c>
      <c r="AO2994" s="4">
        <v>0</v>
      </c>
      <c r="AP2994" s="4">
        <v>2</v>
      </c>
      <c r="AQ2994" s="4">
        <v>18</v>
      </c>
      <c r="AR2994" s="3" t="s">
        <v>63</v>
      </c>
      <c r="AS2994" s="3" t="s">
        <v>63</v>
      </c>
      <c r="AT2994" s="3" t="s">
        <v>63</v>
      </c>
      <c r="AV2994" s="6" t="str">
        <f>HYPERLINK("http://mcgill.on.worldcat.org/oclc/32666015","Catalog Record")</f>
        <v>Catalog Record</v>
      </c>
      <c r="AW2994" s="6" t="str">
        <f>HYPERLINK("http://www.worldcat.org/oclc/32666015","WorldCat Record")</f>
        <v>WorldCat Record</v>
      </c>
      <c r="AX2994" s="3" t="s">
        <v>25049</v>
      </c>
      <c r="AY2994" s="3" t="s">
        <v>25050</v>
      </c>
      <c r="AZ2994" s="3" t="s">
        <v>25051</v>
      </c>
      <c r="BA2994" s="3" t="s">
        <v>25051</v>
      </c>
      <c r="BB2994" s="3" t="s">
        <v>25052</v>
      </c>
      <c r="BC2994" s="3" t="s">
        <v>82</v>
      </c>
      <c r="BD2994" s="3" t="s">
        <v>70</v>
      </c>
      <c r="BE2994" s="3" t="s">
        <v>25053</v>
      </c>
      <c r="BF2994" s="3" t="s">
        <v>25052</v>
      </c>
      <c r="BG2994" s="3" t="s">
        <v>25054</v>
      </c>
    </row>
    <row r="2995" spans="1:59" ht="60" x14ac:dyDescent="0.25">
      <c r="A2995" s="2" t="s">
        <v>59</v>
      </c>
      <c r="B2995" s="2" t="s">
        <v>60</v>
      </c>
      <c r="C2995" s="2" t="s">
        <v>25055</v>
      </c>
      <c r="D2995" s="2" t="s">
        <v>25056</v>
      </c>
      <c r="E2995" s="2" t="s">
        <v>25057</v>
      </c>
      <c r="G2995" s="3" t="s">
        <v>63</v>
      </c>
      <c r="I2995" s="3" t="s">
        <v>63</v>
      </c>
      <c r="J2995" s="3" t="s">
        <v>63</v>
      </c>
      <c r="K2995" s="3" t="s">
        <v>64</v>
      </c>
      <c r="L2995" s="2" t="s">
        <v>25058</v>
      </c>
      <c r="M2995" s="2" t="s">
        <v>4635</v>
      </c>
      <c r="N2995" s="3" t="s">
        <v>274</v>
      </c>
      <c r="P2995" s="3" t="s">
        <v>66</v>
      </c>
      <c r="Q2995" s="2" t="s">
        <v>3902</v>
      </c>
      <c r="R2995" s="3" t="s">
        <v>67</v>
      </c>
      <c r="S2995" s="4">
        <v>4</v>
      </c>
      <c r="T2995" s="4">
        <v>4</v>
      </c>
      <c r="U2995" s="5" t="s">
        <v>9590</v>
      </c>
      <c r="V2995" s="5" t="s">
        <v>9590</v>
      </c>
      <c r="W2995" s="5" t="s">
        <v>69</v>
      </c>
      <c r="X2995" s="5" t="s">
        <v>69</v>
      </c>
      <c r="Y2995" s="4">
        <v>198</v>
      </c>
      <c r="Z2995" s="4">
        <v>11</v>
      </c>
      <c r="AA2995" s="4">
        <v>13</v>
      </c>
      <c r="AB2995" s="4">
        <v>1</v>
      </c>
      <c r="AC2995" s="4">
        <v>1</v>
      </c>
      <c r="AD2995" s="4">
        <v>95</v>
      </c>
      <c r="AE2995" s="4">
        <v>98</v>
      </c>
      <c r="AF2995" s="4">
        <v>0</v>
      </c>
      <c r="AG2995" s="4">
        <v>0</v>
      </c>
      <c r="AH2995" s="4">
        <v>90</v>
      </c>
      <c r="AI2995" s="4">
        <v>93</v>
      </c>
      <c r="AJ2995" s="4">
        <v>10</v>
      </c>
      <c r="AK2995" s="4">
        <v>11</v>
      </c>
      <c r="AL2995" s="4">
        <v>48</v>
      </c>
      <c r="AM2995" s="4">
        <v>51</v>
      </c>
      <c r="AN2995" s="4">
        <v>0</v>
      </c>
      <c r="AO2995" s="4">
        <v>0</v>
      </c>
      <c r="AP2995" s="4">
        <v>10</v>
      </c>
      <c r="AQ2995" s="4">
        <v>11</v>
      </c>
      <c r="AR2995" s="3" t="s">
        <v>63</v>
      </c>
      <c r="AS2995" s="3" t="s">
        <v>63</v>
      </c>
      <c r="AT2995" s="3" t="s">
        <v>62</v>
      </c>
      <c r="AU2995" s="6" t="str">
        <f>HYPERLINK("http://catalog.hathitrust.org/Record/004059322","HathiTrust Record")</f>
        <v>HathiTrust Record</v>
      </c>
      <c r="AV2995" s="6" t="str">
        <f>HYPERLINK("http://mcgill.on.worldcat.org/oclc/41445772","Catalog Record")</f>
        <v>Catalog Record</v>
      </c>
      <c r="AW2995" s="6" t="str">
        <f>HYPERLINK("http://www.worldcat.org/oclc/41445772","WorldCat Record")</f>
        <v>WorldCat Record</v>
      </c>
      <c r="AX2995" s="3" t="s">
        <v>25059</v>
      </c>
      <c r="AY2995" s="3" t="s">
        <v>25060</v>
      </c>
      <c r="AZ2995" s="3" t="s">
        <v>25061</v>
      </c>
      <c r="BA2995" s="3" t="s">
        <v>25061</v>
      </c>
      <c r="BB2995" s="3" t="s">
        <v>25062</v>
      </c>
      <c r="BC2995" s="3" t="s">
        <v>82</v>
      </c>
      <c r="BD2995" s="3" t="s">
        <v>70</v>
      </c>
      <c r="BE2995" s="3" t="s">
        <v>25063</v>
      </c>
      <c r="BF2995" s="3" t="s">
        <v>25062</v>
      </c>
      <c r="BG2995" s="3" t="s">
        <v>25064</v>
      </c>
    </row>
    <row r="2996" spans="1:59" ht="75" x14ac:dyDescent="0.25">
      <c r="A2996" s="2" t="s">
        <v>59</v>
      </c>
      <c r="B2996" s="2" t="s">
        <v>60</v>
      </c>
      <c r="C2996" s="2" t="s">
        <v>25082</v>
      </c>
      <c r="D2996" s="2" t="s">
        <v>25083</v>
      </c>
      <c r="E2996" s="2" t="s">
        <v>25084</v>
      </c>
      <c r="G2996" s="3" t="s">
        <v>63</v>
      </c>
      <c r="I2996" s="3" t="s">
        <v>63</v>
      </c>
      <c r="J2996" s="3" t="s">
        <v>63</v>
      </c>
      <c r="K2996" s="3" t="s">
        <v>64</v>
      </c>
      <c r="L2996" s="2" t="s">
        <v>25085</v>
      </c>
      <c r="M2996" s="2" t="s">
        <v>25086</v>
      </c>
      <c r="N2996" s="3" t="s">
        <v>2225</v>
      </c>
      <c r="P2996" s="3" t="s">
        <v>66</v>
      </c>
      <c r="R2996" s="3" t="s">
        <v>67</v>
      </c>
      <c r="S2996" s="4">
        <v>18</v>
      </c>
      <c r="T2996" s="4">
        <v>18</v>
      </c>
      <c r="U2996" s="5" t="s">
        <v>1162</v>
      </c>
      <c r="V2996" s="5" t="s">
        <v>1162</v>
      </c>
      <c r="W2996" s="5" t="s">
        <v>69</v>
      </c>
      <c r="X2996" s="5" t="s">
        <v>69</v>
      </c>
      <c r="Y2996" s="4">
        <v>108</v>
      </c>
      <c r="Z2996" s="4">
        <v>12</v>
      </c>
      <c r="AA2996" s="4">
        <v>13</v>
      </c>
      <c r="AB2996" s="4">
        <v>1</v>
      </c>
      <c r="AC2996" s="4">
        <v>1</v>
      </c>
      <c r="AD2996" s="4">
        <v>50</v>
      </c>
      <c r="AE2996" s="4">
        <v>52</v>
      </c>
      <c r="AF2996" s="4">
        <v>0</v>
      </c>
      <c r="AG2996" s="4">
        <v>0</v>
      </c>
      <c r="AH2996" s="4">
        <v>45</v>
      </c>
      <c r="AI2996" s="4">
        <v>46</v>
      </c>
      <c r="AJ2996" s="4">
        <v>9</v>
      </c>
      <c r="AK2996" s="4">
        <v>10</v>
      </c>
      <c r="AL2996" s="4">
        <v>27</v>
      </c>
      <c r="AM2996" s="4">
        <v>28</v>
      </c>
      <c r="AN2996" s="4">
        <v>0</v>
      </c>
      <c r="AO2996" s="4">
        <v>0</v>
      </c>
      <c r="AP2996" s="4">
        <v>9</v>
      </c>
      <c r="AQ2996" s="4">
        <v>10</v>
      </c>
      <c r="AR2996" s="3" t="s">
        <v>63</v>
      </c>
      <c r="AS2996" s="3" t="s">
        <v>63</v>
      </c>
      <c r="AT2996" s="3" t="s">
        <v>62</v>
      </c>
      <c r="AU2996" s="6" t="str">
        <f>HYPERLINK("http://catalog.hathitrust.org/Record/001054857","HathiTrust Record")</f>
        <v>HathiTrust Record</v>
      </c>
      <c r="AV2996" s="6" t="str">
        <f>HYPERLINK("http://mcgill.on.worldcat.org/oclc/330114","Catalog Record")</f>
        <v>Catalog Record</v>
      </c>
      <c r="AW2996" s="6" t="str">
        <f>HYPERLINK("http://www.worldcat.org/oclc/330114","WorldCat Record")</f>
        <v>WorldCat Record</v>
      </c>
      <c r="AX2996" s="3" t="s">
        <v>25087</v>
      </c>
      <c r="AY2996" s="3" t="s">
        <v>25088</v>
      </c>
      <c r="AZ2996" s="3" t="s">
        <v>25089</v>
      </c>
      <c r="BA2996" s="3" t="s">
        <v>25089</v>
      </c>
      <c r="BB2996" s="3" t="s">
        <v>25090</v>
      </c>
      <c r="BC2996" s="3" t="s">
        <v>82</v>
      </c>
      <c r="BD2996" s="3" t="s">
        <v>70</v>
      </c>
      <c r="BF2996" s="3" t="s">
        <v>25090</v>
      </c>
      <c r="BG2996" s="3" t="s">
        <v>25091</v>
      </c>
    </row>
    <row r="2997" spans="1:59" ht="60" x14ac:dyDescent="0.25">
      <c r="A2997" s="2" t="s">
        <v>59</v>
      </c>
      <c r="B2997" s="2" t="s">
        <v>60</v>
      </c>
      <c r="C2997" s="2" t="s">
        <v>25178</v>
      </c>
      <c r="D2997" s="2" t="s">
        <v>25179</v>
      </c>
      <c r="E2997" s="2" t="s">
        <v>25180</v>
      </c>
      <c r="F2997" s="3" t="s">
        <v>582</v>
      </c>
      <c r="G2997" s="3" t="s">
        <v>62</v>
      </c>
      <c r="I2997" s="3" t="s">
        <v>63</v>
      </c>
      <c r="J2997" s="3" t="s">
        <v>63</v>
      </c>
      <c r="K2997" s="3" t="s">
        <v>64</v>
      </c>
      <c r="L2997" s="2" t="s">
        <v>25095</v>
      </c>
      <c r="M2997" s="2" t="s">
        <v>25181</v>
      </c>
      <c r="N2997" s="3" t="s">
        <v>1113</v>
      </c>
      <c r="P2997" s="3" t="s">
        <v>90</v>
      </c>
      <c r="R2997" s="3" t="s">
        <v>67</v>
      </c>
      <c r="S2997" s="4">
        <v>8</v>
      </c>
      <c r="T2997" s="4">
        <v>22</v>
      </c>
      <c r="U2997" s="5" t="s">
        <v>25182</v>
      </c>
      <c r="V2997" s="5" t="s">
        <v>23747</v>
      </c>
      <c r="W2997" s="5" t="s">
        <v>69</v>
      </c>
      <c r="X2997" s="5" t="s">
        <v>69</v>
      </c>
      <c r="Y2997" s="4">
        <v>101</v>
      </c>
      <c r="Z2997" s="4">
        <v>7</v>
      </c>
      <c r="AA2997" s="4">
        <v>7</v>
      </c>
      <c r="AB2997" s="4">
        <v>1</v>
      </c>
      <c r="AC2997" s="4">
        <v>1</v>
      </c>
      <c r="AD2997" s="4">
        <v>65</v>
      </c>
      <c r="AE2997" s="4">
        <v>65</v>
      </c>
      <c r="AF2997" s="4">
        <v>0</v>
      </c>
      <c r="AG2997" s="4">
        <v>0</v>
      </c>
      <c r="AH2997" s="4">
        <v>63</v>
      </c>
      <c r="AI2997" s="4">
        <v>63</v>
      </c>
      <c r="AJ2997" s="4">
        <v>5</v>
      </c>
      <c r="AK2997" s="4">
        <v>5</v>
      </c>
      <c r="AL2997" s="4">
        <v>41</v>
      </c>
      <c r="AM2997" s="4">
        <v>41</v>
      </c>
      <c r="AN2997" s="4">
        <v>0</v>
      </c>
      <c r="AO2997" s="4">
        <v>0</v>
      </c>
      <c r="AP2997" s="4">
        <v>5</v>
      </c>
      <c r="AQ2997" s="4">
        <v>5</v>
      </c>
      <c r="AR2997" s="3" t="s">
        <v>63</v>
      </c>
      <c r="AS2997" s="3" t="s">
        <v>63</v>
      </c>
      <c r="AT2997" s="3" t="s">
        <v>62</v>
      </c>
      <c r="AU2997" s="6" t="str">
        <f>HYPERLINK("http://catalog.hathitrust.org/Record/003242259","HathiTrust Record")</f>
        <v>HathiTrust Record</v>
      </c>
      <c r="AV2997" s="6" t="str">
        <f>HYPERLINK("http://mcgill.on.worldcat.org/oclc/36836623","Catalog Record")</f>
        <v>Catalog Record</v>
      </c>
      <c r="AW2997" s="6" t="str">
        <f>HYPERLINK("http://www.worldcat.org/oclc/36836623","WorldCat Record")</f>
        <v>WorldCat Record</v>
      </c>
      <c r="AX2997" s="3" t="s">
        <v>25183</v>
      </c>
      <c r="AY2997" s="3" t="s">
        <v>25184</v>
      </c>
      <c r="AZ2997" s="3" t="s">
        <v>25185</v>
      </c>
      <c r="BA2997" s="3" t="s">
        <v>25185</v>
      </c>
      <c r="BB2997" s="3" t="s">
        <v>25186</v>
      </c>
      <c r="BC2997" s="3" t="s">
        <v>82</v>
      </c>
      <c r="BD2997" s="3" t="s">
        <v>70</v>
      </c>
      <c r="BE2997" s="3" t="s">
        <v>25187</v>
      </c>
      <c r="BF2997" s="3" t="s">
        <v>25186</v>
      </c>
      <c r="BG2997" s="3" t="s">
        <v>25188</v>
      </c>
    </row>
    <row r="2998" spans="1:59" ht="60" x14ac:dyDescent="0.25">
      <c r="A2998" s="2" t="s">
        <v>59</v>
      </c>
      <c r="B2998" s="2" t="s">
        <v>60</v>
      </c>
      <c r="C2998" s="2" t="s">
        <v>25178</v>
      </c>
      <c r="D2998" s="2" t="s">
        <v>25179</v>
      </c>
      <c r="E2998" s="2" t="s">
        <v>25180</v>
      </c>
      <c r="F2998" s="3" t="s">
        <v>4437</v>
      </c>
      <c r="G2998" s="3" t="s">
        <v>62</v>
      </c>
      <c r="I2998" s="3" t="s">
        <v>63</v>
      </c>
      <c r="J2998" s="3" t="s">
        <v>63</v>
      </c>
      <c r="K2998" s="3" t="s">
        <v>64</v>
      </c>
      <c r="L2998" s="2" t="s">
        <v>25095</v>
      </c>
      <c r="M2998" s="2" t="s">
        <v>25181</v>
      </c>
      <c r="N2998" s="3" t="s">
        <v>1113</v>
      </c>
      <c r="P2998" s="3" t="s">
        <v>90</v>
      </c>
      <c r="R2998" s="3" t="s">
        <v>67</v>
      </c>
      <c r="S2998" s="4">
        <v>4</v>
      </c>
      <c r="T2998" s="4">
        <v>22</v>
      </c>
      <c r="U2998" s="5" t="s">
        <v>25182</v>
      </c>
      <c r="V2998" s="5" t="s">
        <v>23747</v>
      </c>
      <c r="W2998" s="5" t="s">
        <v>69</v>
      </c>
      <c r="X2998" s="5" t="s">
        <v>69</v>
      </c>
      <c r="Y2998" s="4">
        <v>101</v>
      </c>
      <c r="Z2998" s="4">
        <v>7</v>
      </c>
      <c r="AA2998" s="4">
        <v>7</v>
      </c>
      <c r="AB2998" s="4">
        <v>1</v>
      </c>
      <c r="AC2998" s="4">
        <v>1</v>
      </c>
      <c r="AD2998" s="4">
        <v>65</v>
      </c>
      <c r="AE2998" s="4">
        <v>65</v>
      </c>
      <c r="AF2998" s="4">
        <v>0</v>
      </c>
      <c r="AG2998" s="4">
        <v>0</v>
      </c>
      <c r="AH2998" s="4">
        <v>63</v>
      </c>
      <c r="AI2998" s="4">
        <v>63</v>
      </c>
      <c r="AJ2998" s="4">
        <v>5</v>
      </c>
      <c r="AK2998" s="4">
        <v>5</v>
      </c>
      <c r="AL2998" s="4">
        <v>41</v>
      </c>
      <c r="AM2998" s="4">
        <v>41</v>
      </c>
      <c r="AN2998" s="4">
        <v>0</v>
      </c>
      <c r="AO2998" s="4">
        <v>0</v>
      </c>
      <c r="AP2998" s="4">
        <v>5</v>
      </c>
      <c r="AQ2998" s="4">
        <v>5</v>
      </c>
      <c r="AR2998" s="3" t="s">
        <v>63</v>
      </c>
      <c r="AS2998" s="3" t="s">
        <v>63</v>
      </c>
      <c r="AT2998" s="3" t="s">
        <v>62</v>
      </c>
      <c r="AU2998" s="6" t="str">
        <f>HYPERLINK("http://catalog.hathitrust.org/Record/003242259","HathiTrust Record")</f>
        <v>HathiTrust Record</v>
      </c>
      <c r="AV2998" s="6" t="str">
        <f>HYPERLINK("http://mcgill.on.worldcat.org/oclc/36836623","Catalog Record")</f>
        <v>Catalog Record</v>
      </c>
      <c r="AW2998" s="6" t="str">
        <f>HYPERLINK("http://www.worldcat.org/oclc/36836623","WorldCat Record")</f>
        <v>WorldCat Record</v>
      </c>
      <c r="AX2998" s="3" t="s">
        <v>25183</v>
      </c>
      <c r="AY2998" s="3" t="s">
        <v>25184</v>
      </c>
      <c r="AZ2998" s="3" t="s">
        <v>25185</v>
      </c>
      <c r="BA2998" s="3" t="s">
        <v>25185</v>
      </c>
      <c r="BB2998" s="3" t="s">
        <v>25189</v>
      </c>
      <c r="BC2998" s="3" t="s">
        <v>82</v>
      </c>
      <c r="BD2998" s="3" t="s">
        <v>70</v>
      </c>
      <c r="BE2998" s="3" t="s">
        <v>25187</v>
      </c>
      <c r="BF2998" s="3" t="s">
        <v>25189</v>
      </c>
      <c r="BG2998" s="3" t="s">
        <v>25190</v>
      </c>
    </row>
    <row r="2999" spans="1:59" ht="60" x14ac:dyDescent="0.25">
      <c r="A2999" s="2" t="s">
        <v>59</v>
      </c>
      <c r="B2999" s="2" t="s">
        <v>60</v>
      </c>
      <c r="C2999" s="2" t="s">
        <v>25178</v>
      </c>
      <c r="D2999" s="2" t="s">
        <v>25179</v>
      </c>
      <c r="E2999" s="2" t="s">
        <v>25180</v>
      </c>
      <c r="F2999" s="3" t="s">
        <v>4439</v>
      </c>
      <c r="G2999" s="3" t="s">
        <v>62</v>
      </c>
      <c r="I2999" s="3" t="s">
        <v>63</v>
      </c>
      <c r="J2999" s="3" t="s">
        <v>63</v>
      </c>
      <c r="K2999" s="3" t="s">
        <v>64</v>
      </c>
      <c r="L2999" s="2" t="s">
        <v>25095</v>
      </c>
      <c r="M2999" s="2" t="s">
        <v>25181</v>
      </c>
      <c r="N2999" s="3" t="s">
        <v>1113</v>
      </c>
      <c r="P2999" s="3" t="s">
        <v>90</v>
      </c>
      <c r="R2999" s="3" t="s">
        <v>67</v>
      </c>
      <c r="S2999" s="4">
        <v>3</v>
      </c>
      <c r="T2999" s="4">
        <v>22</v>
      </c>
      <c r="U2999" s="5" t="s">
        <v>25182</v>
      </c>
      <c r="V2999" s="5" t="s">
        <v>23747</v>
      </c>
      <c r="W2999" s="5" t="s">
        <v>69</v>
      </c>
      <c r="X2999" s="5" t="s">
        <v>69</v>
      </c>
      <c r="Y2999" s="4">
        <v>101</v>
      </c>
      <c r="Z2999" s="4">
        <v>7</v>
      </c>
      <c r="AA2999" s="4">
        <v>7</v>
      </c>
      <c r="AB2999" s="4">
        <v>1</v>
      </c>
      <c r="AC2999" s="4">
        <v>1</v>
      </c>
      <c r="AD2999" s="4">
        <v>65</v>
      </c>
      <c r="AE2999" s="4">
        <v>65</v>
      </c>
      <c r="AF2999" s="4">
        <v>0</v>
      </c>
      <c r="AG2999" s="4">
        <v>0</v>
      </c>
      <c r="AH2999" s="4">
        <v>63</v>
      </c>
      <c r="AI2999" s="4">
        <v>63</v>
      </c>
      <c r="AJ2999" s="4">
        <v>5</v>
      </c>
      <c r="AK2999" s="4">
        <v>5</v>
      </c>
      <c r="AL2999" s="4">
        <v>41</v>
      </c>
      <c r="AM2999" s="4">
        <v>41</v>
      </c>
      <c r="AN2999" s="4">
        <v>0</v>
      </c>
      <c r="AO2999" s="4">
        <v>0</v>
      </c>
      <c r="AP2999" s="4">
        <v>5</v>
      </c>
      <c r="AQ2999" s="4">
        <v>5</v>
      </c>
      <c r="AR2999" s="3" t="s">
        <v>63</v>
      </c>
      <c r="AS2999" s="3" t="s">
        <v>63</v>
      </c>
      <c r="AT2999" s="3" t="s">
        <v>62</v>
      </c>
      <c r="AU2999" s="6" t="str">
        <f>HYPERLINK("http://catalog.hathitrust.org/Record/003242259","HathiTrust Record")</f>
        <v>HathiTrust Record</v>
      </c>
      <c r="AV2999" s="6" t="str">
        <f>HYPERLINK("http://mcgill.on.worldcat.org/oclc/36836623","Catalog Record")</f>
        <v>Catalog Record</v>
      </c>
      <c r="AW2999" s="6" t="str">
        <f>HYPERLINK("http://www.worldcat.org/oclc/36836623","WorldCat Record")</f>
        <v>WorldCat Record</v>
      </c>
      <c r="AX2999" s="3" t="s">
        <v>25183</v>
      </c>
      <c r="AY2999" s="3" t="s">
        <v>25184</v>
      </c>
      <c r="AZ2999" s="3" t="s">
        <v>25185</v>
      </c>
      <c r="BA2999" s="3" t="s">
        <v>25185</v>
      </c>
      <c r="BB2999" s="3" t="s">
        <v>25191</v>
      </c>
      <c r="BC2999" s="3" t="s">
        <v>82</v>
      </c>
      <c r="BD2999" s="3" t="s">
        <v>70</v>
      </c>
      <c r="BE2999" s="3" t="s">
        <v>25187</v>
      </c>
      <c r="BF2999" s="3" t="s">
        <v>25191</v>
      </c>
      <c r="BG2999" s="3" t="s">
        <v>25192</v>
      </c>
    </row>
    <row r="3000" spans="1:59" ht="60" x14ac:dyDescent="0.25">
      <c r="A3000" s="2" t="s">
        <v>59</v>
      </c>
      <c r="B3000" s="2" t="s">
        <v>60</v>
      </c>
      <c r="C3000" s="2" t="s">
        <v>25178</v>
      </c>
      <c r="D3000" s="2" t="s">
        <v>25179</v>
      </c>
      <c r="E3000" s="2" t="s">
        <v>25180</v>
      </c>
      <c r="F3000" s="3" t="s">
        <v>571</v>
      </c>
      <c r="G3000" s="3" t="s">
        <v>62</v>
      </c>
      <c r="I3000" s="3" t="s">
        <v>63</v>
      </c>
      <c r="J3000" s="3" t="s">
        <v>63</v>
      </c>
      <c r="K3000" s="3" t="s">
        <v>64</v>
      </c>
      <c r="L3000" s="2" t="s">
        <v>25095</v>
      </c>
      <c r="M3000" s="2" t="s">
        <v>25181</v>
      </c>
      <c r="N3000" s="3" t="s">
        <v>1113</v>
      </c>
      <c r="P3000" s="3" t="s">
        <v>90</v>
      </c>
      <c r="R3000" s="3" t="s">
        <v>67</v>
      </c>
      <c r="S3000" s="4">
        <v>7</v>
      </c>
      <c r="T3000" s="4">
        <v>22</v>
      </c>
      <c r="U3000" s="5" t="s">
        <v>23747</v>
      </c>
      <c r="V3000" s="5" t="s">
        <v>23747</v>
      </c>
      <c r="W3000" s="5" t="s">
        <v>69</v>
      </c>
      <c r="X3000" s="5" t="s">
        <v>69</v>
      </c>
      <c r="Y3000" s="4">
        <v>101</v>
      </c>
      <c r="Z3000" s="4">
        <v>7</v>
      </c>
      <c r="AA3000" s="4">
        <v>7</v>
      </c>
      <c r="AB3000" s="4">
        <v>1</v>
      </c>
      <c r="AC3000" s="4">
        <v>1</v>
      </c>
      <c r="AD3000" s="4">
        <v>65</v>
      </c>
      <c r="AE3000" s="4">
        <v>65</v>
      </c>
      <c r="AF3000" s="4">
        <v>0</v>
      </c>
      <c r="AG3000" s="4">
        <v>0</v>
      </c>
      <c r="AH3000" s="4">
        <v>63</v>
      </c>
      <c r="AI3000" s="4">
        <v>63</v>
      </c>
      <c r="AJ3000" s="4">
        <v>5</v>
      </c>
      <c r="AK3000" s="4">
        <v>5</v>
      </c>
      <c r="AL3000" s="4">
        <v>41</v>
      </c>
      <c r="AM3000" s="4">
        <v>41</v>
      </c>
      <c r="AN3000" s="4">
        <v>0</v>
      </c>
      <c r="AO3000" s="4">
        <v>0</v>
      </c>
      <c r="AP3000" s="4">
        <v>5</v>
      </c>
      <c r="AQ3000" s="4">
        <v>5</v>
      </c>
      <c r="AR3000" s="3" t="s">
        <v>63</v>
      </c>
      <c r="AS3000" s="3" t="s">
        <v>63</v>
      </c>
      <c r="AT3000" s="3" t="s">
        <v>62</v>
      </c>
      <c r="AU3000" s="6" t="str">
        <f>HYPERLINK("http://catalog.hathitrust.org/Record/003242259","HathiTrust Record")</f>
        <v>HathiTrust Record</v>
      </c>
      <c r="AV3000" s="6" t="str">
        <f>HYPERLINK("http://mcgill.on.worldcat.org/oclc/36836623","Catalog Record")</f>
        <v>Catalog Record</v>
      </c>
      <c r="AW3000" s="6" t="str">
        <f>HYPERLINK("http://www.worldcat.org/oclc/36836623","WorldCat Record")</f>
        <v>WorldCat Record</v>
      </c>
      <c r="AX3000" s="3" t="s">
        <v>25183</v>
      </c>
      <c r="AY3000" s="3" t="s">
        <v>25184</v>
      </c>
      <c r="AZ3000" s="3" t="s">
        <v>25185</v>
      </c>
      <c r="BA3000" s="3" t="s">
        <v>25185</v>
      </c>
      <c r="BB3000" s="3" t="s">
        <v>25193</v>
      </c>
      <c r="BC3000" s="3" t="s">
        <v>82</v>
      </c>
      <c r="BD3000" s="3" t="s">
        <v>70</v>
      </c>
      <c r="BE3000" s="3" t="s">
        <v>25187</v>
      </c>
      <c r="BF3000" s="3" t="s">
        <v>25193</v>
      </c>
      <c r="BG3000" s="3" t="s">
        <v>25194</v>
      </c>
    </row>
    <row r="3001" spans="1:59" ht="75" x14ac:dyDescent="0.25">
      <c r="A3001" s="2" t="s">
        <v>59</v>
      </c>
      <c r="B3001" s="2" t="s">
        <v>60</v>
      </c>
      <c r="C3001" s="2" t="s">
        <v>25092</v>
      </c>
      <c r="D3001" s="2" t="s">
        <v>25093</v>
      </c>
      <c r="E3001" s="2" t="s">
        <v>25094</v>
      </c>
      <c r="G3001" s="3" t="s">
        <v>63</v>
      </c>
      <c r="I3001" s="3" t="s">
        <v>63</v>
      </c>
      <c r="J3001" s="3" t="s">
        <v>63</v>
      </c>
      <c r="K3001" s="3" t="s">
        <v>64</v>
      </c>
      <c r="L3001" s="2" t="s">
        <v>25095</v>
      </c>
      <c r="M3001" s="2" t="s">
        <v>9620</v>
      </c>
      <c r="N3001" s="3" t="s">
        <v>261</v>
      </c>
      <c r="P3001" s="3" t="s">
        <v>66</v>
      </c>
      <c r="R3001" s="3" t="s">
        <v>67</v>
      </c>
      <c r="S3001" s="4">
        <v>10</v>
      </c>
      <c r="T3001" s="4">
        <v>10</v>
      </c>
      <c r="U3001" s="5" t="s">
        <v>14315</v>
      </c>
      <c r="V3001" s="5" t="s">
        <v>14315</v>
      </c>
      <c r="W3001" s="5" t="s">
        <v>69</v>
      </c>
      <c r="X3001" s="5" t="s">
        <v>69</v>
      </c>
      <c r="Y3001" s="4">
        <v>276</v>
      </c>
      <c r="Z3001" s="4">
        <v>19</v>
      </c>
      <c r="AA3001" s="4">
        <v>23</v>
      </c>
      <c r="AB3001" s="4">
        <v>1</v>
      </c>
      <c r="AC3001" s="4">
        <v>2</v>
      </c>
      <c r="AD3001" s="4">
        <v>78</v>
      </c>
      <c r="AE3001" s="4">
        <v>87</v>
      </c>
      <c r="AF3001" s="4">
        <v>0</v>
      </c>
      <c r="AG3001" s="4">
        <v>0</v>
      </c>
      <c r="AH3001" s="4">
        <v>71</v>
      </c>
      <c r="AI3001" s="4">
        <v>80</v>
      </c>
      <c r="AJ3001" s="4">
        <v>9</v>
      </c>
      <c r="AK3001" s="4">
        <v>9</v>
      </c>
      <c r="AL3001" s="4">
        <v>45</v>
      </c>
      <c r="AM3001" s="4">
        <v>52</v>
      </c>
      <c r="AN3001" s="4">
        <v>5</v>
      </c>
      <c r="AO3001" s="4">
        <v>5</v>
      </c>
      <c r="AP3001" s="4">
        <v>11</v>
      </c>
      <c r="AQ3001" s="4">
        <v>12</v>
      </c>
      <c r="AR3001" s="3" t="s">
        <v>63</v>
      </c>
      <c r="AS3001" s="3" t="s">
        <v>63</v>
      </c>
      <c r="AT3001" s="3" t="s">
        <v>62</v>
      </c>
      <c r="AU3001" s="6" t="str">
        <f>HYPERLINK("http://catalog.hathitrust.org/Record/007149089","HathiTrust Record")</f>
        <v>HathiTrust Record</v>
      </c>
      <c r="AV3001" s="6" t="str">
        <f>HYPERLINK("http://mcgill.on.worldcat.org/oclc/212817763","Catalog Record")</f>
        <v>Catalog Record</v>
      </c>
      <c r="AW3001" s="6" t="str">
        <f>HYPERLINK("http://www.worldcat.org/oclc/212817763","WorldCat Record")</f>
        <v>WorldCat Record</v>
      </c>
      <c r="AX3001" s="3" t="s">
        <v>25096</v>
      </c>
      <c r="AY3001" s="3" t="s">
        <v>25097</v>
      </c>
      <c r="AZ3001" s="3" t="s">
        <v>25098</v>
      </c>
      <c r="BA3001" s="3" t="s">
        <v>25098</v>
      </c>
      <c r="BB3001" s="3" t="s">
        <v>25099</v>
      </c>
      <c r="BC3001" s="3" t="s">
        <v>82</v>
      </c>
      <c r="BD3001" s="3" t="s">
        <v>70</v>
      </c>
      <c r="BE3001" s="3" t="s">
        <v>25100</v>
      </c>
      <c r="BF3001" s="3" t="s">
        <v>25099</v>
      </c>
      <c r="BG3001" s="3" t="s">
        <v>25101</v>
      </c>
    </row>
    <row r="3002" spans="1:59" ht="75" x14ac:dyDescent="0.25">
      <c r="A3002" s="2" t="s">
        <v>59</v>
      </c>
      <c r="B3002" s="2" t="s">
        <v>60</v>
      </c>
      <c r="C3002" s="2" t="s">
        <v>25102</v>
      </c>
      <c r="D3002" s="2" t="s">
        <v>25103</v>
      </c>
      <c r="E3002" s="2" t="s">
        <v>25104</v>
      </c>
      <c r="G3002" s="3" t="s">
        <v>63</v>
      </c>
      <c r="I3002" s="3" t="s">
        <v>62</v>
      </c>
      <c r="J3002" s="3" t="s">
        <v>63</v>
      </c>
      <c r="K3002" s="3" t="s">
        <v>64</v>
      </c>
      <c r="L3002" s="2" t="s">
        <v>25105</v>
      </c>
      <c r="M3002" s="2" t="s">
        <v>25106</v>
      </c>
      <c r="N3002" s="3" t="s">
        <v>1557</v>
      </c>
      <c r="P3002" s="3" t="s">
        <v>66</v>
      </c>
      <c r="Q3002" s="2" t="s">
        <v>14887</v>
      </c>
      <c r="R3002" s="3" t="s">
        <v>67</v>
      </c>
      <c r="S3002" s="4">
        <v>0</v>
      </c>
      <c r="T3002" s="4">
        <v>1</v>
      </c>
      <c r="V3002" s="5" t="s">
        <v>14315</v>
      </c>
      <c r="W3002" s="5" t="s">
        <v>69</v>
      </c>
      <c r="X3002" s="5" t="s">
        <v>69</v>
      </c>
      <c r="Y3002" s="4">
        <v>100</v>
      </c>
      <c r="Z3002" s="4">
        <v>8</v>
      </c>
      <c r="AA3002" s="4">
        <v>8</v>
      </c>
      <c r="AB3002" s="4">
        <v>1</v>
      </c>
      <c r="AC3002" s="4">
        <v>1</v>
      </c>
      <c r="AD3002" s="4">
        <v>51</v>
      </c>
      <c r="AE3002" s="4">
        <v>51</v>
      </c>
      <c r="AF3002" s="4">
        <v>0</v>
      </c>
      <c r="AG3002" s="4">
        <v>0</v>
      </c>
      <c r="AH3002" s="4">
        <v>47</v>
      </c>
      <c r="AI3002" s="4">
        <v>47</v>
      </c>
      <c r="AJ3002" s="4">
        <v>6</v>
      </c>
      <c r="AK3002" s="4">
        <v>6</v>
      </c>
      <c r="AL3002" s="4">
        <v>33</v>
      </c>
      <c r="AM3002" s="4">
        <v>33</v>
      </c>
      <c r="AN3002" s="4">
        <v>0</v>
      </c>
      <c r="AO3002" s="4">
        <v>0</v>
      </c>
      <c r="AP3002" s="4">
        <v>6</v>
      </c>
      <c r="AQ3002" s="4">
        <v>6</v>
      </c>
      <c r="AR3002" s="3" t="s">
        <v>63</v>
      </c>
      <c r="AS3002" s="3" t="s">
        <v>63</v>
      </c>
      <c r="AT3002" s="3" t="s">
        <v>63</v>
      </c>
      <c r="AV3002" s="6" t="str">
        <f>HYPERLINK("http://mcgill.on.worldcat.org/oclc/948340291","Catalog Record")</f>
        <v>Catalog Record</v>
      </c>
      <c r="AW3002" s="6" t="str">
        <f>HYPERLINK("http://www.worldcat.org/oclc/948340291","WorldCat Record")</f>
        <v>WorldCat Record</v>
      </c>
      <c r="AX3002" s="3" t="s">
        <v>25107</v>
      </c>
      <c r="AY3002" s="3" t="s">
        <v>25108</v>
      </c>
      <c r="AZ3002" s="3" t="s">
        <v>25109</v>
      </c>
      <c r="BA3002" s="3" t="s">
        <v>25109</v>
      </c>
      <c r="BB3002" s="3" t="s">
        <v>25110</v>
      </c>
      <c r="BC3002" s="3" t="s">
        <v>82</v>
      </c>
      <c r="BD3002" s="3" t="s">
        <v>70</v>
      </c>
      <c r="BE3002" s="3" t="s">
        <v>25111</v>
      </c>
      <c r="BF3002" s="3" t="s">
        <v>25110</v>
      </c>
      <c r="BG3002" s="3" t="s">
        <v>25112</v>
      </c>
    </row>
    <row r="3003" spans="1:59" ht="75" x14ac:dyDescent="0.25">
      <c r="A3003" s="2" t="s">
        <v>59</v>
      </c>
      <c r="B3003" s="2" t="s">
        <v>60</v>
      </c>
      <c r="C3003" s="2" t="s">
        <v>25102</v>
      </c>
      <c r="D3003" s="2" t="s">
        <v>25103</v>
      </c>
      <c r="E3003" s="2" t="s">
        <v>25104</v>
      </c>
      <c r="G3003" s="3" t="s">
        <v>63</v>
      </c>
      <c r="I3003" s="3" t="s">
        <v>62</v>
      </c>
      <c r="J3003" s="3" t="s">
        <v>63</v>
      </c>
      <c r="K3003" s="3" t="s">
        <v>64</v>
      </c>
      <c r="L3003" s="2" t="s">
        <v>25105</v>
      </c>
      <c r="M3003" s="2" t="s">
        <v>25106</v>
      </c>
      <c r="N3003" s="3" t="s">
        <v>1557</v>
      </c>
      <c r="P3003" s="3" t="s">
        <v>66</v>
      </c>
      <c r="Q3003" s="2" t="s">
        <v>14887</v>
      </c>
      <c r="R3003" s="3" t="s">
        <v>67</v>
      </c>
      <c r="S3003" s="4">
        <v>1</v>
      </c>
      <c r="T3003" s="4">
        <v>1</v>
      </c>
      <c r="U3003" s="5" t="s">
        <v>14315</v>
      </c>
      <c r="V3003" s="5" t="s">
        <v>14315</v>
      </c>
      <c r="W3003" s="5" t="s">
        <v>69</v>
      </c>
      <c r="X3003" s="5" t="s">
        <v>69</v>
      </c>
      <c r="Y3003" s="4">
        <v>100</v>
      </c>
      <c r="Z3003" s="4">
        <v>8</v>
      </c>
      <c r="AA3003" s="4">
        <v>8</v>
      </c>
      <c r="AB3003" s="4">
        <v>1</v>
      </c>
      <c r="AC3003" s="4">
        <v>1</v>
      </c>
      <c r="AD3003" s="4">
        <v>51</v>
      </c>
      <c r="AE3003" s="4">
        <v>51</v>
      </c>
      <c r="AF3003" s="4">
        <v>0</v>
      </c>
      <c r="AG3003" s="4">
        <v>0</v>
      </c>
      <c r="AH3003" s="4">
        <v>47</v>
      </c>
      <c r="AI3003" s="4">
        <v>47</v>
      </c>
      <c r="AJ3003" s="4">
        <v>6</v>
      </c>
      <c r="AK3003" s="4">
        <v>6</v>
      </c>
      <c r="AL3003" s="4">
        <v>33</v>
      </c>
      <c r="AM3003" s="4">
        <v>33</v>
      </c>
      <c r="AN3003" s="4">
        <v>0</v>
      </c>
      <c r="AO3003" s="4">
        <v>0</v>
      </c>
      <c r="AP3003" s="4">
        <v>6</v>
      </c>
      <c r="AQ3003" s="4">
        <v>6</v>
      </c>
      <c r="AR3003" s="3" t="s">
        <v>63</v>
      </c>
      <c r="AS3003" s="3" t="s">
        <v>63</v>
      </c>
      <c r="AT3003" s="3" t="s">
        <v>63</v>
      </c>
      <c r="AV3003" s="6" t="str">
        <f>HYPERLINK("http://mcgill.on.worldcat.org/oclc/948340291","Catalog Record")</f>
        <v>Catalog Record</v>
      </c>
      <c r="AW3003" s="6" t="str">
        <f>HYPERLINK("http://www.worldcat.org/oclc/948340291","WorldCat Record")</f>
        <v>WorldCat Record</v>
      </c>
      <c r="AX3003" s="3" t="s">
        <v>25107</v>
      </c>
      <c r="AY3003" s="3" t="s">
        <v>25108</v>
      </c>
      <c r="AZ3003" s="3" t="s">
        <v>25109</v>
      </c>
      <c r="BA3003" s="3" t="s">
        <v>25109</v>
      </c>
      <c r="BB3003" s="3" t="s">
        <v>25113</v>
      </c>
      <c r="BC3003" s="3" t="s">
        <v>82</v>
      </c>
      <c r="BD3003" s="3" t="s">
        <v>70</v>
      </c>
      <c r="BE3003" s="3" t="s">
        <v>25111</v>
      </c>
      <c r="BF3003" s="3" t="s">
        <v>25113</v>
      </c>
      <c r="BG3003" s="3" t="s">
        <v>25114</v>
      </c>
    </row>
    <row r="3004" spans="1:59" ht="75" x14ac:dyDescent="0.25">
      <c r="A3004" s="2" t="s">
        <v>59</v>
      </c>
      <c r="B3004" s="2" t="s">
        <v>60</v>
      </c>
      <c r="C3004" s="2" t="s">
        <v>25115</v>
      </c>
      <c r="D3004" s="2" t="s">
        <v>25116</v>
      </c>
      <c r="E3004" s="2" t="s">
        <v>25117</v>
      </c>
      <c r="G3004" s="3" t="s">
        <v>63</v>
      </c>
      <c r="I3004" s="3" t="s">
        <v>63</v>
      </c>
      <c r="J3004" s="3" t="s">
        <v>63</v>
      </c>
      <c r="K3004" s="3" t="s">
        <v>64</v>
      </c>
      <c r="L3004" s="2" t="s">
        <v>25095</v>
      </c>
      <c r="M3004" s="2" t="s">
        <v>25118</v>
      </c>
      <c r="N3004" s="3" t="s">
        <v>161</v>
      </c>
      <c r="P3004" s="3" t="s">
        <v>66</v>
      </c>
      <c r="Q3004" s="2" t="s">
        <v>25119</v>
      </c>
      <c r="R3004" s="3" t="s">
        <v>67</v>
      </c>
      <c r="S3004" s="4">
        <v>20</v>
      </c>
      <c r="T3004" s="4">
        <v>20</v>
      </c>
      <c r="U3004" s="5" t="s">
        <v>6410</v>
      </c>
      <c r="V3004" s="5" t="s">
        <v>6410</v>
      </c>
      <c r="W3004" s="5" t="s">
        <v>69</v>
      </c>
      <c r="X3004" s="5" t="s">
        <v>69</v>
      </c>
      <c r="Y3004" s="4">
        <v>111</v>
      </c>
      <c r="Z3004" s="4">
        <v>10</v>
      </c>
      <c r="AA3004" s="4">
        <v>13</v>
      </c>
      <c r="AB3004" s="4">
        <v>1</v>
      </c>
      <c r="AC3004" s="4">
        <v>4</v>
      </c>
      <c r="AD3004" s="4">
        <v>56</v>
      </c>
      <c r="AE3004" s="4">
        <v>57</v>
      </c>
      <c r="AF3004" s="4">
        <v>0</v>
      </c>
      <c r="AG3004" s="4">
        <v>1</v>
      </c>
      <c r="AH3004" s="4">
        <v>52</v>
      </c>
      <c r="AI3004" s="4">
        <v>52</v>
      </c>
      <c r="AJ3004" s="4">
        <v>8</v>
      </c>
      <c r="AK3004" s="4">
        <v>9</v>
      </c>
      <c r="AL3004" s="4">
        <v>31</v>
      </c>
      <c r="AM3004" s="4">
        <v>31</v>
      </c>
      <c r="AN3004" s="4">
        <v>3</v>
      </c>
      <c r="AO3004" s="4">
        <v>3</v>
      </c>
      <c r="AP3004" s="4">
        <v>8</v>
      </c>
      <c r="AQ3004" s="4">
        <v>8</v>
      </c>
      <c r="AR3004" s="3" t="s">
        <v>63</v>
      </c>
      <c r="AS3004" s="3" t="s">
        <v>63</v>
      </c>
      <c r="AT3004" s="3" t="s">
        <v>62</v>
      </c>
      <c r="AU3004" s="6" t="str">
        <f>HYPERLINK("http://catalog.hathitrust.org/Record/002057112","HathiTrust Record")</f>
        <v>HathiTrust Record</v>
      </c>
      <c r="AV3004" s="6" t="str">
        <f>HYPERLINK("http://mcgill.on.worldcat.org/oclc/21520830","Catalog Record")</f>
        <v>Catalog Record</v>
      </c>
      <c r="AW3004" s="6" t="str">
        <f>HYPERLINK("http://www.worldcat.org/oclc/21520830","WorldCat Record")</f>
        <v>WorldCat Record</v>
      </c>
      <c r="AX3004" s="3" t="s">
        <v>25120</v>
      </c>
      <c r="AY3004" s="3" t="s">
        <v>25121</v>
      </c>
      <c r="AZ3004" s="3" t="s">
        <v>25122</v>
      </c>
      <c r="BA3004" s="3" t="s">
        <v>25122</v>
      </c>
      <c r="BB3004" s="3" t="s">
        <v>25123</v>
      </c>
      <c r="BC3004" s="3" t="s">
        <v>82</v>
      </c>
      <c r="BD3004" s="3" t="s">
        <v>70</v>
      </c>
      <c r="BE3004" s="3" t="s">
        <v>25124</v>
      </c>
      <c r="BF3004" s="3" t="s">
        <v>25123</v>
      </c>
      <c r="BG3004" s="3" t="s">
        <v>25125</v>
      </c>
    </row>
    <row r="3005" spans="1:59" ht="90" x14ac:dyDescent="0.25">
      <c r="A3005" s="2" t="s">
        <v>59</v>
      </c>
      <c r="B3005" s="2" t="s">
        <v>60</v>
      </c>
      <c r="C3005" s="2" t="s">
        <v>25126</v>
      </c>
      <c r="D3005" s="2" t="s">
        <v>25127</v>
      </c>
      <c r="E3005" s="2" t="s">
        <v>25128</v>
      </c>
      <c r="G3005" s="3" t="s">
        <v>63</v>
      </c>
      <c r="I3005" s="3" t="s">
        <v>63</v>
      </c>
      <c r="J3005" s="3" t="s">
        <v>63</v>
      </c>
      <c r="K3005" s="3" t="s">
        <v>64</v>
      </c>
      <c r="L3005" s="2" t="s">
        <v>25095</v>
      </c>
      <c r="M3005" s="2" t="s">
        <v>25129</v>
      </c>
      <c r="N3005" s="3" t="s">
        <v>220</v>
      </c>
      <c r="P3005" s="3" t="s">
        <v>90</v>
      </c>
      <c r="R3005" s="3" t="s">
        <v>67</v>
      </c>
      <c r="S3005" s="4">
        <v>8</v>
      </c>
      <c r="T3005" s="4">
        <v>8</v>
      </c>
      <c r="U3005" s="5" t="s">
        <v>24269</v>
      </c>
      <c r="V3005" s="5" t="s">
        <v>24269</v>
      </c>
      <c r="W3005" s="5" t="s">
        <v>69</v>
      </c>
      <c r="X3005" s="5" t="s">
        <v>69</v>
      </c>
      <c r="Y3005" s="4">
        <v>57</v>
      </c>
      <c r="Z3005" s="4">
        <v>3</v>
      </c>
      <c r="AA3005" s="4">
        <v>3</v>
      </c>
      <c r="AB3005" s="4">
        <v>1</v>
      </c>
      <c r="AC3005" s="4">
        <v>1</v>
      </c>
      <c r="AD3005" s="4">
        <v>35</v>
      </c>
      <c r="AE3005" s="4">
        <v>35</v>
      </c>
      <c r="AF3005" s="4">
        <v>0</v>
      </c>
      <c r="AG3005" s="4">
        <v>0</v>
      </c>
      <c r="AH3005" s="4">
        <v>34</v>
      </c>
      <c r="AI3005" s="4">
        <v>34</v>
      </c>
      <c r="AJ3005" s="4">
        <v>1</v>
      </c>
      <c r="AK3005" s="4">
        <v>1</v>
      </c>
      <c r="AL3005" s="4">
        <v>26</v>
      </c>
      <c r="AM3005" s="4">
        <v>26</v>
      </c>
      <c r="AN3005" s="4">
        <v>5</v>
      </c>
      <c r="AO3005" s="4">
        <v>5</v>
      </c>
      <c r="AP3005" s="4">
        <v>1</v>
      </c>
      <c r="AQ3005" s="4">
        <v>1</v>
      </c>
      <c r="AR3005" s="3" t="s">
        <v>63</v>
      </c>
      <c r="AS3005" s="3" t="s">
        <v>63</v>
      </c>
      <c r="AT3005" s="3" t="s">
        <v>62</v>
      </c>
      <c r="AU3005" s="6" t="str">
        <f>HYPERLINK("http://catalog.hathitrust.org/Record/002896618","HathiTrust Record")</f>
        <v>HathiTrust Record</v>
      </c>
      <c r="AV3005" s="6" t="str">
        <f>HYPERLINK("http://mcgill.on.worldcat.org/oclc/36640490","Catalog Record")</f>
        <v>Catalog Record</v>
      </c>
      <c r="AW3005" s="6" t="str">
        <f>HYPERLINK("http://www.worldcat.org/oclc/36640490","WorldCat Record")</f>
        <v>WorldCat Record</v>
      </c>
      <c r="AX3005" s="3" t="s">
        <v>25130</v>
      </c>
      <c r="AY3005" s="3" t="s">
        <v>25131</v>
      </c>
      <c r="AZ3005" s="3" t="s">
        <v>25132</v>
      </c>
      <c r="BA3005" s="3" t="s">
        <v>25132</v>
      </c>
      <c r="BB3005" s="3" t="s">
        <v>25133</v>
      </c>
      <c r="BC3005" s="3" t="s">
        <v>82</v>
      </c>
      <c r="BD3005" s="3" t="s">
        <v>70</v>
      </c>
      <c r="BF3005" s="3" t="s">
        <v>25133</v>
      </c>
      <c r="BG3005" s="3" t="s">
        <v>25134</v>
      </c>
    </row>
    <row r="3006" spans="1:59" ht="60" x14ac:dyDescent="0.25">
      <c r="A3006" s="2" t="s">
        <v>59</v>
      </c>
      <c r="B3006" s="2" t="s">
        <v>60</v>
      </c>
      <c r="C3006" s="2" t="s">
        <v>25135</v>
      </c>
      <c r="D3006" s="2" t="s">
        <v>25136</v>
      </c>
      <c r="E3006" s="2" t="s">
        <v>25137</v>
      </c>
      <c r="G3006" s="3" t="s">
        <v>63</v>
      </c>
      <c r="I3006" s="3" t="s">
        <v>63</v>
      </c>
      <c r="J3006" s="3" t="s">
        <v>63</v>
      </c>
      <c r="K3006" s="3" t="s">
        <v>64</v>
      </c>
      <c r="L3006" s="2" t="s">
        <v>25095</v>
      </c>
      <c r="M3006" s="2" t="s">
        <v>25138</v>
      </c>
      <c r="N3006" s="3" t="s">
        <v>220</v>
      </c>
      <c r="P3006" s="3" t="s">
        <v>66</v>
      </c>
      <c r="Q3006" s="2" t="s">
        <v>25139</v>
      </c>
      <c r="R3006" s="3" t="s">
        <v>67</v>
      </c>
      <c r="S3006" s="4">
        <v>23</v>
      </c>
      <c r="T3006" s="4">
        <v>23</v>
      </c>
      <c r="U3006" s="5" t="s">
        <v>4106</v>
      </c>
      <c r="V3006" s="5" t="s">
        <v>4106</v>
      </c>
      <c r="W3006" s="5" t="s">
        <v>69</v>
      </c>
      <c r="X3006" s="5" t="s">
        <v>69</v>
      </c>
      <c r="Y3006" s="4">
        <v>181</v>
      </c>
      <c r="Z3006" s="4">
        <v>15</v>
      </c>
      <c r="AA3006" s="4">
        <v>18</v>
      </c>
      <c r="AB3006" s="4">
        <v>1</v>
      </c>
      <c r="AC3006" s="4">
        <v>1</v>
      </c>
      <c r="AD3006" s="4">
        <v>68</v>
      </c>
      <c r="AE3006" s="4">
        <v>81</v>
      </c>
      <c r="AF3006" s="4">
        <v>0</v>
      </c>
      <c r="AG3006" s="4">
        <v>0</v>
      </c>
      <c r="AH3006" s="4">
        <v>61</v>
      </c>
      <c r="AI3006" s="4">
        <v>72</v>
      </c>
      <c r="AJ3006" s="4">
        <v>12</v>
      </c>
      <c r="AK3006" s="4">
        <v>13</v>
      </c>
      <c r="AL3006" s="4">
        <v>38</v>
      </c>
      <c r="AM3006" s="4">
        <v>44</v>
      </c>
      <c r="AN3006" s="4">
        <v>0</v>
      </c>
      <c r="AO3006" s="4">
        <v>0</v>
      </c>
      <c r="AP3006" s="4">
        <v>12</v>
      </c>
      <c r="AQ3006" s="4">
        <v>14</v>
      </c>
      <c r="AR3006" s="3" t="s">
        <v>63</v>
      </c>
      <c r="AS3006" s="3" t="s">
        <v>63</v>
      </c>
      <c r="AT3006" s="3" t="s">
        <v>63</v>
      </c>
      <c r="AV3006" s="6" t="str">
        <f>HYPERLINK("http://mcgill.on.worldcat.org/oclc/30399815","Catalog Record")</f>
        <v>Catalog Record</v>
      </c>
      <c r="AW3006" s="6" t="str">
        <f>HYPERLINK("http://www.worldcat.org/oclc/30399815","WorldCat Record")</f>
        <v>WorldCat Record</v>
      </c>
      <c r="AX3006" s="3" t="s">
        <v>25140</v>
      </c>
      <c r="AY3006" s="3" t="s">
        <v>25141</v>
      </c>
      <c r="AZ3006" s="3" t="s">
        <v>25142</v>
      </c>
      <c r="BA3006" s="3" t="s">
        <v>25142</v>
      </c>
      <c r="BB3006" s="3" t="s">
        <v>25143</v>
      </c>
      <c r="BC3006" s="3" t="s">
        <v>82</v>
      </c>
      <c r="BD3006" s="3" t="s">
        <v>70</v>
      </c>
      <c r="BE3006" s="3" t="s">
        <v>25144</v>
      </c>
      <c r="BF3006" s="3" t="s">
        <v>25143</v>
      </c>
      <c r="BG3006" s="3" t="s">
        <v>25145</v>
      </c>
    </row>
    <row r="3007" spans="1:59" ht="60" x14ac:dyDescent="0.25">
      <c r="A3007" s="2" t="s">
        <v>59</v>
      </c>
      <c r="B3007" s="2" t="s">
        <v>60</v>
      </c>
      <c r="C3007" s="2" t="s">
        <v>25146</v>
      </c>
      <c r="D3007" s="2" t="s">
        <v>25147</v>
      </c>
      <c r="E3007" s="2" t="s">
        <v>25148</v>
      </c>
      <c r="G3007" s="3" t="s">
        <v>63</v>
      </c>
      <c r="I3007" s="3" t="s">
        <v>63</v>
      </c>
      <c r="J3007" s="3" t="s">
        <v>63</v>
      </c>
      <c r="K3007" s="3" t="s">
        <v>64</v>
      </c>
      <c r="L3007" s="2" t="s">
        <v>25149</v>
      </c>
      <c r="M3007" s="2" t="s">
        <v>25150</v>
      </c>
      <c r="N3007" s="3" t="s">
        <v>176</v>
      </c>
      <c r="P3007" s="3" t="s">
        <v>66</v>
      </c>
      <c r="Q3007" s="2" t="s">
        <v>25151</v>
      </c>
      <c r="R3007" s="3" t="s">
        <v>67</v>
      </c>
      <c r="S3007" s="4">
        <v>11</v>
      </c>
      <c r="T3007" s="4">
        <v>11</v>
      </c>
      <c r="U3007" s="5" t="s">
        <v>14315</v>
      </c>
      <c r="V3007" s="5" t="s">
        <v>14315</v>
      </c>
      <c r="W3007" s="5" t="s">
        <v>69</v>
      </c>
      <c r="X3007" s="5" t="s">
        <v>69</v>
      </c>
      <c r="Y3007" s="4">
        <v>96</v>
      </c>
      <c r="Z3007" s="4">
        <v>6</v>
      </c>
      <c r="AA3007" s="4">
        <v>6</v>
      </c>
      <c r="AB3007" s="4">
        <v>1</v>
      </c>
      <c r="AC3007" s="4">
        <v>1</v>
      </c>
      <c r="AD3007" s="4">
        <v>48</v>
      </c>
      <c r="AE3007" s="4">
        <v>48</v>
      </c>
      <c r="AF3007" s="4">
        <v>0</v>
      </c>
      <c r="AG3007" s="4">
        <v>0</v>
      </c>
      <c r="AH3007" s="4">
        <v>44</v>
      </c>
      <c r="AI3007" s="4">
        <v>44</v>
      </c>
      <c r="AJ3007" s="4">
        <v>4</v>
      </c>
      <c r="AK3007" s="4">
        <v>4</v>
      </c>
      <c r="AL3007" s="4">
        <v>33</v>
      </c>
      <c r="AM3007" s="4">
        <v>33</v>
      </c>
      <c r="AN3007" s="4">
        <v>0</v>
      </c>
      <c r="AO3007" s="4">
        <v>0</v>
      </c>
      <c r="AP3007" s="4">
        <v>5</v>
      </c>
      <c r="AQ3007" s="4">
        <v>5</v>
      </c>
      <c r="AR3007" s="3" t="s">
        <v>63</v>
      </c>
      <c r="AS3007" s="3" t="s">
        <v>63</v>
      </c>
      <c r="AT3007" s="3" t="s">
        <v>62</v>
      </c>
      <c r="AU3007" s="6" t="str">
        <f>HYPERLINK("http://catalog.hathitrust.org/Record/004197534","HathiTrust Record")</f>
        <v>HathiTrust Record</v>
      </c>
      <c r="AV3007" s="6" t="str">
        <f>HYPERLINK("http://mcgill.on.worldcat.org/oclc/39393070","Catalog Record")</f>
        <v>Catalog Record</v>
      </c>
      <c r="AW3007" s="6" t="str">
        <f>HYPERLINK("http://www.worldcat.org/oclc/39393070","WorldCat Record")</f>
        <v>WorldCat Record</v>
      </c>
      <c r="AX3007" s="3" t="s">
        <v>25152</v>
      </c>
      <c r="AY3007" s="3" t="s">
        <v>25153</v>
      </c>
      <c r="AZ3007" s="3" t="s">
        <v>25154</v>
      </c>
      <c r="BA3007" s="3" t="s">
        <v>25154</v>
      </c>
      <c r="BB3007" s="3" t="s">
        <v>25155</v>
      </c>
      <c r="BC3007" s="3" t="s">
        <v>82</v>
      </c>
      <c r="BD3007" s="3" t="s">
        <v>70</v>
      </c>
      <c r="BE3007" s="3" t="s">
        <v>25156</v>
      </c>
      <c r="BF3007" s="3" t="s">
        <v>25155</v>
      </c>
      <c r="BG3007" s="3" t="s">
        <v>25157</v>
      </c>
    </row>
    <row r="3008" spans="1:59" ht="60" x14ac:dyDescent="0.25">
      <c r="A3008" s="2" t="s">
        <v>59</v>
      </c>
      <c r="B3008" s="2" t="s">
        <v>60</v>
      </c>
      <c r="C3008" s="2" t="s">
        <v>25158</v>
      </c>
      <c r="D3008" s="2" t="s">
        <v>25159</v>
      </c>
      <c r="E3008" s="2" t="s">
        <v>25160</v>
      </c>
      <c r="G3008" s="3" t="s">
        <v>63</v>
      </c>
      <c r="I3008" s="3" t="s">
        <v>63</v>
      </c>
      <c r="J3008" s="3" t="s">
        <v>63</v>
      </c>
      <c r="K3008" s="3" t="s">
        <v>64</v>
      </c>
      <c r="M3008" s="2" t="s">
        <v>23973</v>
      </c>
      <c r="N3008" s="3" t="s">
        <v>480</v>
      </c>
      <c r="P3008" s="3" t="s">
        <v>66</v>
      </c>
      <c r="R3008" s="3" t="s">
        <v>67</v>
      </c>
      <c r="S3008" s="4">
        <v>17</v>
      </c>
      <c r="T3008" s="4">
        <v>17</v>
      </c>
      <c r="U3008" s="5" t="s">
        <v>14064</v>
      </c>
      <c r="V3008" s="5" t="s">
        <v>14064</v>
      </c>
      <c r="W3008" s="5" t="s">
        <v>69</v>
      </c>
      <c r="X3008" s="5" t="s">
        <v>69</v>
      </c>
      <c r="Y3008" s="4">
        <v>175</v>
      </c>
      <c r="Z3008" s="4">
        <v>9</v>
      </c>
      <c r="AA3008" s="4">
        <v>16</v>
      </c>
      <c r="AB3008" s="4">
        <v>1</v>
      </c>
      <c r="AC3008" s="4">
        <v>2</v>
      </c>
      <c r="AD3008" s="4">
        <v>63</v>
      </c>
      <c r="AE3008" s="4">
        <v>86</v>
      </c>
      <c r="AF3008" s="4">
        <v>0</v>
      </c>
      <c r="AG3008" s="4">
        <v>0</v>
      </c>
      <c r="AH3008" s="4">
        <v>57</v>
      </c>
      <c r="AI3008" s="4">
        <v>78</v>
      </c>
      <c r="AJ3008" s="4">
        <v>7</v>
      </c>
      <c r="AK3008" s="4">
        <v>12</v>
      </c>
      <c r="AL3008" s="4">
        <v>37</v>
      </c>
      <c r="AM3008" s="4">
        <v>48</v>
      </c>
      <c r="AN3008" s="4">
        <v>0</v>
      </c>
      <c r="AO3008" s="4">
        <v>0</v>
      </c>
      <c r="AP3008" s="4">
        <v>7</v>
      </c>
      <c r="AQ3008" s="4">
        <v>12</v>
      </c>
      <c r="AR3008" s="3" t="s">
        <v>63</v>
      </c>
      <c r="AS3008" s="3" t="s">
        <v>63</v>
      </c>
      <c r="AT3008" s="3" t="s">
        <v>63</v>
      </c>
      <c r="AV3008" s="6" t="str">
        <f>HYPERLINK("http://mcgill.on.worldcat.org/oclc/23143756","Catalog Record")</f>
        <v>Catalog Record</v>
      </c>
      <c r="AW3008" s="6" t="str">
        <f>HYPERLINK("http://www.worldcat.org/oclc/23143756","WorldCat Record")</f>
        <v>WorldCat Record</v>
      </c>
      <c r="AX3008" s="3" t="s">
        <v>25161</v>
      </c>
      <c r="AY3008" s="3" t="s">
        <v>25162</v>
      </c>
      <c r="AZ3008" s="3" t="s">
        <v>25163</v>
      </c>
      <c r="BA3008" s="3" t="s">
        <v>25163</v>
      </c>
      <c r="BB3008" s="3" t="s">
        <v>25164</v>
      </c>
      <c r="BC3008" s="3" t="s">
        <v>82</v>
      </c>
      <c r="BD3008" s="3" t="s">
        <v>70</v>
      </c>
      <c r="BE3008" s="3" t="s">
        <v>25165</v>
      </c>
      <c r="BF3008" s="3" t="s">
        <v>25164</v>
      </c>
      <c r="BG3008" s="3" t="s">
        <v>25166</v>
      </c>
    </row>
    <row r="3009" spans="1:59" ht="60" x14ac:dyDescent="0.25">
      <c r="A3009" s="2" t="s">
        <v>59</v>
      </c>
      <c r="B3009" s="2" t="s">
        <v>60</v>
      </c>
      <c r="C3009" s="2" t="s">
        <v>25167</v>
      </c>
      <c r="D3009" s="2" t="s">
        <v>25168</v>
      </c>
      <c r="E3009" s="2" t="s">
        <v>25169</v>
      </c>
      <c r="G3009" s="3" t="s">
        <v>63</v>
      </c>
      <c r="I3009" s="3" t="s">
        <v>63</v>
      </c>
      <c r="J3009" s="3" t="s">
        <v>63</v>
      </c>
      <c r="K3009" s="3" t="s">
        <v>64</v>
      </c>
      <c r="L3009" s="2" t="s">
        <v>25170</v>
      </c>
      <c r="M3009" s="2" t="s">
        <v>25171</v>
      </c>
      <c r="N3009" s="3" t="s">
        <v>76</v>
      </c>
      <c r="P3009" s="3" t="s">
        <v>90</v>
      </c>
      <c r="R3009" s="3" t="s">
        <v>67</v>
      </c>
      <c r="S3009" s="4">
        <v>0</v>
      </c>
      <c r="T3009" s="4">
        <v>0</v>
      </c>
      <c r="W3009" s="5" t="s">
        <v>69</v>
      </c>
      <c r="X3009" s="5" t="s">
        <v>69</v>
      </c>
      <c r="Y3009" s="4">
        <v>36</v>
      </c>
      <c r="Z3009" s="4">
        <v>4</v>
      </c>
      <c r="AA3009" s="4">
        <v>4</v>
      </c>
      <c r="AB3009" s="4">
        <v>1</v>
      </c>
      <c r="AC3009" s="4">
        <v>1</v>
      </c>
      <c r="AD3009" s="4">
        <v>30</v>
      </c>
      <c r="AE3009" s="4">
        <v>30</v>
      </c>
      <c r="AF3009" s="4">
        <v>0</v>
      </c>
      <c r="AG3009" s="4">
        <v>0</v>
      </c>
      <c r="AH3009" s="4">
        <v>29</v>
      </c>
      <c r="AI3009" s="4">
        <v>29</v>
      </c>
      <c r="AJ3009" s="4">
        <v>2</v>
      </c>
      <c r="AK3009" s="4">
        <v>2</v>
      </c>
      <c r="AL3009" s="4">
        <v>23</v>
      </c>
      <c r="AM3009" s="4">
        <v>23</v>
      </c>
      <c r="AN3009" s="4">
        <v>0</v>
      </c>
      <c r="AO3009" s="4">
        <v>0</v>
      </c>
      <c r="AP3009" s="4">
        <v>2</v>
      </c>
      <c r="AQ3009" s="4">
        <v>2</v>
      </c>
      <c r="AR3009" s="3" t="s">
        <v>63</v>
      </c>
      <c r="AS3009" s="3" t="s">
        <v>63</v>
      </c>
      <c r="AT3009" s="3" t="s">
        <v>63</v>
      </c>
      <c r="AV3009" s="6" t="str">
        <f>HYPERLINK("http://mcgill.on.worldcat.org/oclc/793419503","Catalog Record")</f>
        <v>Catalog Record</v>
      </c>
      <c r="AW3009" s="6" t="str">
        <f>HYPERLINK("http://www.worldcat.org/oclc/793419503","WorldCat Record")</f>
        <v>WorldCat Record</v>
      </c>
      <c r="AX3009" s="3" t="s">
        <v>25172</v>
      </c>
      <c r="AY3009" s="3" t="s">
        <v>25173</v>
      </c>
      <c r="AZ3009" s="3" t="s">
        <v>25174</v>
      </c>
      <c r="BA3009" s="3" t="s">
        <v>25174</v>
      </c>
      <c r="BB3009" s="3" t="s">
        <v>25175</v>
      </c>
      <c r="BC3009" s="3" t="s">
        <v>82</v>
      </c>
      <c r="BD3009" s="3" t="s">
        <v>70</v>
      </c>
      <c r="BE3009" s="3" t="s">
        <v>25176</v>
      </c>
      <c r="BF3009" s="3" t="s">
        <v>25175</v>
      </c>
      <c r="BG3009" s="3" t="s">
        <v>25177</v>
      </c>
    </row>
    <row r="3010" spans="1:59" ht="75" x14ac:dyDescent="0.25">
      <c r="A3010" s="2" t="s">
        <v>59</v>
      </c>
      <c r="B3010" s="2" t="s">
        <v>60</v>
      </c>
      <c r="C3010" s="2" t="s">
        <v>25195</v>
      </c>
      <c r="D3010" s="2" t="s">
        <v>25196</v>
      </c>
      <c r="E3010" s="2" t="s">
        <v>25197</v>
      </c>
      <c r="F3010" s="3" t="s">
        <v>4184</v>
      </c>
      <c r="G3010" s="3" t="s">
        <v>62</v>
      </c>
      <c r="I3010" s="3" t="s">
        <v>63</v>
      </c>
      <c r="J3010" s="3" t="s">
        <v>63</v>
      </c>
      <c r="K3010" s="3" t="s">
        <v>64</v>
      </c>
      <c r="L3010" s="2" t="s">
        <v>25198</v>
      </c>
      <c r="M3010" s="2" t="s">
        <v>25199</v>
      </c>
      <c r="N3010" s="3" t="s">
        <v>1418</v>
      </c>
      <c r="P3010" s="3" t="s">
        <v>66</v>
      </c>
      <c r="R3010" s="3" t="s">
        <v>67</v>
      </c>
      <c r="S3010" s="4">
        <v>6</v>
      </c>
      <c r="T3010" s="4">
        <v>20</v>
      </c>
      <c r="U3010" s="5" t="s">
        <v>18291</v>
      </c>
      <c r="V3010" s="5" t="s">
        <v>18291</v>
      </c>
      <c r="W3010" s="5" t="s">
        <v>69</v>
      </c>
      <c r="X3010" s="5" t="s">
        <v>69</v>
      </c>
      <c r="Y3010" s="4">
        <v>398</v>
      </c>
      <c r="Z3010" s="4">
        <v>22</v>
      </c>
      <c r="AA3010" s="4">
        <v>22</v>
      </c>
      <c r="AB3010" s="4">
        <v>2</v>
      </c>
      <c r="AC3010" s="4">
        <v>2</v>
      </c>
      <c r="AD3010" s="4">
        <v>111</v>
      </c>
      <c r="AE3010" s="4">
        <v>111</v>
      </c>
      <c r="AF3010" s="4">
        <v>0</v>
      </c>
      <c r="AG3010" s="4">
        <v>0</v>
      </c>
      <c r="AH3010" s="4">
        <v>101</v>
      </c>
      <c r="AI3010" s="4">
        <v>101</v>
      </c>
      <c r="AJ3010" s="4">
        <v>14</v>
      </c>
      <c r="AK3010" s="4">
        <v>14</v>
      </c>
      <c r="AL3010" s="4">
        <v>56</v>
      </c>
      <c r="AM3010" s="4">
        <v>56</v>
      </c>
      <c r="AN3010" s="4">
        <v>0</v>
      </c>
      <c r="AO3010" s="4">
        <v>0</v>
      </c>
      <c r="AP3010" s="4">
        <v>16</v>
      </c>
      <c r="AQ3010" s="4">
        <v>16</v>
      </c>
      <c r="AR3010" s="3" t="s">
        <v>63</v>
      </c>
      <c r="AS3010" s="3" t="s">
        <v>63</v>
      </c>
      <c r="AT3010" s="3" t="s">
        <v>62</v>
      </c>
      <c r="AU3010" s="6" t="str">
        <f>HYPERLINK("http://catalog.hathitrust.org/Record/001071897","HathiTrust Record")</f>
        <v>HathiTrust Record</v>
      </c>
      <c r="AV3010" s="6" t="str">
        <f>HYPERLINK("http://mcgill.on.worldcat.org/oclc/15489501","Catalog Record")</f>
        <v>Catalog Record</v>
      </c>
      <c r="AW3010" s="6" t="str">
        <f>HYPERLINK("http://www.worldcat.org/oclc/15489501","WorldCat Record")</f>
        <v>WorldCat Record</v>
      </c>
      <c r="AX3010" s="3" t="s">
        <v>25200</v>
      </c>
      <c r="AY3010" s="3" t="s">
        <v>25201</v>
      </c>
      <c r="AZ3010" s="3" t="s">
        <v>25202</v>
      </c>
      <c r="BA3010" s="3" t="s">
        <v>25202</v>
      </c>
      <c r="BB3010" s="3" t="s">
        <v>25203</v>
      </c>
      <c r="BC3010" s="3" t="s">
        <v>82</v>
      </c>
      <c r="BD3010" s="3" t="s">
        <v>70</v>
      </c>
      <c r="BE3010" s="3" t="s">
        <v>25204</v>
      </c>
      <c r="BF3010" s="3" t="s">
        <v>25203</v>
      </c>
      <c r="BG3010" s="3" t="s">
        <v>25205</v>
      </c>
    </row>
    <row r="3011" spans="1:59" ht="75" x14ac:dyDescent="0.25">
      <c r="A3011" s="2" t="s">
        <v>59</v>
      </c>
      <c r="B3011" s="2" t="s">
        <v>60</v>
      </c>
      <c r="C3011" s="2" t="s">
        <v>25195</v>
      </c>
      <c r="D3011" s="2" t="s">
        <v>25196</v>
      </c>
      <c r="E3011" s="2" t="s">
        <v>25197</v>
      </c>
      <c r="F3011" s="3" t="s">
        <v>2601</v>
      </c>
      <c r="G3011" s="3" t="s">
        <v>62</v>
      </c>
      <c r="I3011" s="3" t="s">
        <v>63</v>
      </c>
      <c r="J3011" s="3" t="s">
        <v>63</v>
      </c>
      <c r="K3011" s="3" t="s">
        <v>64</v>
      </c>
      <c r="L3011" s="2" t="s">
        <v>25198</v>
      </c>
      <c r="M3011" s="2" t="s">
        <v>25199</v>
      </c>
      <c r="N3011" s="3" t="s">
        <v>1418</v>
      </c>
      <c r="P3011" s="3" t="s">
        <v>66</v>
      </c>
      <c r="R3011" s="3" t="s">
        <v>67</v>
      </c>
      <c r="S3011" s="4">
        <v>9</v>
      </c>
      <c r="T3011" s="4">
        <v>20</v>
      </c>
      <c r="U3011" s="5" t="s">
        <v>25206</v>
      </c>
      <c r="V3011" s="5" t="s">
        <v>18291</v>
      </c>
      <c r="W3011" s="5" t="s">
        <v>69</v>
      </c>
      <c r="X3011" s="5" t="s">
        <v>69</v>
      </c>
      <c r="Y3011" s="4">
        <v>398</v>
      </c>
      <c r="Z3011" s="4">
        <v>22</v>
      </c>
      <c r="AA3011" s="4">
        <v>22</v>
      </c>
      <c r="AB3011" s="4">
        <v>2</v>
      </c>
      <c r="AC3011" s="4">
        <v>2</v>
      </c>
      <c r="AD3011" s="4">
        <v>111</v>
      </c>
      <c r="AE3011" s="4">
        <v>111</v>
      </c>
      <c r="AF3011" s="4">
        <v>0</v>
      </c>
      <c r="AG3011" s="4">
        <v>0</v>
      </c>
      <c r="AH3011" s="4">
        <v>101</v>
      </c>
      <c r="AI3011" s="4">
        <v>101</v>
      </c>
      <c r="AJ3011" s="4">
        <v>14</v>
      </c>
      <c r="AK3011" s="4">
        <v>14</v>
      </c>
      <c r="AL3011" s="4">
        <v>56</v>
      </c>
      <c r="AM3011" s="4">
        <v>56</v>
      </c>
      <c r="AN3011" s="4">
        <v>0</v>
      </c>
      <c r="AO3011" s="4">
        <v>0</v>
      </c>
      <c r="AP3011" s="4">
        <v>16</v>
      </c>
      <c r="AQ3011" s="4">
        <v>16</v>
      </c>
      <c r="AR3011" s="3" t="s">
        <v>63</v>
      </c>
      <c r="AS3011" s="3" t="s">
        <v>63</v>
      </c>
      <c r="AT3011" s="3" t="s">
        <v>62</v>
      </c>
      <c r="AU3011" s="6" t="str">
        <f>HYPERLINK("http://catalog.hathitrust.org/Record/001071897","HathiTrust Record")</f>
        <v>HathiTrust Record</v>
      </c>
      <c r="AV3011" s="6" t="str">
        <f>HYPERLINK("http://mcgill.on.worldcat.org/oclc/15489501","Catalog Record")</f>
        <v>Catalog Record</v>
      </c>
      <c r="AW3011" s="6" t="str">
        <f>HYPERLINK("http://www.worldcat.org/oclc/15489501","WorldCat Record")</f>
        <v>WorldCat Record</v>
      </c>
      <c r="AX3011" s="3" t="s">
        <v>25200</v>
      </c>
      <c r="AY3011" s="3" t="s">
        <v>25201</v>
      </c>
      <c r="AZ3011" s="3" t="s">
        <v>25202</v>
      </c>
      <c r="BA3011" s="3" t="s">
        <v>25202</v>
      </c>
      <c r="BB3011" s="3" t="s">
        <v>25207</v>
      </c>
      <c r="BC3011" s="3" t="s">
        <v>82</v>
      </c>
      <c r="BD3011" s="3" t="s">
        <v>70</v>
      </c>
      <c r="BE3011" s="3" t="s">
        <v>25204</v>
      </c>
      <c r="BF3011" s="3" t="s">
        <v>25207</v>
      </c>
      <c r="BG3011" s="3" t="s">
        <v>25208</v>
      </c>
    </row>
    <row r="3012" spans="1:59" ht="75" x14ac:dyDescent="0.25">
      <c r="A3012" s="2" t="s">
        <v>59</v>
      </c>
      <c r="B3012" s="2" t="s">
        <v>60</v>
      </c>
      <c r="C3012" s="2" t="s">
        <v>25195</v>
      </c>
      <c r="D3012" s="2" t="s">
        <v>25196</v>
      </c>
      <c r="E3012" s="2" t="s">
        <v>25197</v>
      </c>
      <c r="F3012" s="3" t="s">
        <v>4181</v>
      </c>
      <c r="G3012" s="3" t="s">
        <v>62</v>
      </c>
      <c r="I3012" s="3" t="s">
        <v>63</v>
      </c>
      <c r="J3012" s="3" t="s">
        <v>63</v>
      </c>
      <c r="K3012" s="3" t="s">
        <v>64</v>
      </c>
      <c r="L3012" s="2" t="s">
        <v>25198</v>
      </c>
      <c r="M3012" s="2" t="s">
        <v>25199</v>
      </c>
      <c r="N3012" s="3" t="s">
        <v>1418</v>
      </c>
      <c r="P3012" s="3" t="s">
        <v>66</v>
      </c>
      <c r="R3012" s="3" t="s">
        <v>67</v>
      </c>
      <c r="S3012" s="4">
        <v>5</v>
      </c>
      <c r="T3012" s="4">
        <v>20</v>
      </c>
      <c r="U3012" s="5" t="s">
        <v>25209</v>
      </c>
      <c r="V3012" s="5" t="s">
        <v>18291</v>
      </c>
      <c r="W3012" s="5" t="s">
        <v>69</v>
      </c>
      <c r="X3012" s="5" t="s">
        <v>69</v>
      </c>
      <c r="Y3012" s="4">
        <v>398</v>
      </c>
      <c r="Z3012" s="4">
        <v>22</v>
      </c>
      <c r="AA3012" s="4">
        <v>22</v>
      </c>
      <c r="AB3012" s="4">
        <v>2</v>
      </c>
      <c r="AC3012" s="4">
        <v>2</v>
      </c>
      <c r="AD3012" s="4">
        <v>111</v>
      </c>
      <c r="AE3012" s="4">
        <v>111</v>
      </c>
      <c r="AF3012" s="4">
        <v>0</v>
      </c>
      <c r="AG3012" s="4">
        <v>0</v>
      </c>
      <c r="AH3012" s="4">
        <v>101</v>
      </c>
      <c r="AI3012" s="4">
        <v>101</v>
      </c>
      <c r="AJ3012" s="4">
        <v>14</v>
      </c>
      <c r="AK3012" s="4">
        <v>14</v>
      </c>
      <c r="AL3012" s="4">
        <v>56</v>
      </c>
      <c r="AM3012" s="4">
        <v>56</v>
      </c>
      <c r="AN3012" s="4">
        <v>0</v>
      </c>
      <c r="AO3012" s="4">
        <v>0</v>
      </c>
      <c r="AP3012" s="4">
        <v>16</v>
      </c>
      <c r="AQ3012" s="4">
        <v>16</v>
      </c>
      <c r="AR3012" s="3" t="s">
        <v>63</v>
      </c>
      <c r="AS3012" s="3" t="s">
        <v>63</v>
      </c>
      <c r="AT3012" s="3" t="s">
        <v>62</v>
      </c>
      <c r="AU3012" s="6" t="str">
        <f>HYPERLINK("http://catalog.hathitrust.org/Record/001071897","HathiTrust Record")</f>
        <v>HathiTrust Record</v>
      </c>
      <c r="AV3012" s="6" t="str">
        <f>HYPERLINK("http://mcgill.on.worldcat.org/oclc/15489501","Catalog Record")</f>
        <v>Catalog Record</v>
      </c>
      <c r="AW3012" s="6" t="str">
        <f>HYPERLINK("http://www.worldcat.org/oclc/15489501","WorldCat Record")</f>
        <v>WorldCat Record</v>
      </c>
      <c r="AX3012" s="3" t="s">
        <v>25200</v>
      </c>
      <c r="AY3012" s="3" t="s">
        <v>25201</v>
      </c>
      <c r="AZ3012" s="3" t="s">
        <v>25202</v>
      </c>
      <c r="BA3012" s="3" t="s">
        <v>25202</v>
      </c>
      <c r="BB3012" s="3" t="s">
        <v>25210</v>
      </c>
      <c r="BC3012" s="3" t="s">
        <v>82</v>
      </c>
      <c r="BD3012" s="3" t="s">
        <v>70</v>
      </c>
      <c r="BE3012" s="3" t="s">
        <v>25204</v>
      </c>
      <c r="BF3012" s="3" t="s">
        <v>25210</v>
      </c>
      <c r="BG3012" s="3" t="s">
        <v>25211</v>
      </c>
    </row>
    <row r="3013" spans="1:59" ht="75" x14ac:dyDescent="0.25">
      <c r="A3013" s="2" t="s">
        <v>59</v>
      </c>
      <c r="B3013" s="2" t="s">
        <v>60</v>
      </c>
      <c r="C3013" s="2" t="s">
        <v>25212</v>
      </c>
      <c r="D3013" s="2" t="s">
        <v>25213</v>
      </c>
      <c r="E3013" s="2" t="s">
        <v>25214</v>
      </c>
      <c r="G3013" s="3" t="s">
        <v>63</v>
      </c>
      <c r="I3013" s="3" t="s">
        <v>63</v>
      </c>
      <c r="J3013" s="3" t="s">
        <v>63</v>
      </c>
      <c r="K3013" s="3" t="s">
        <v>64</v>
      </c>
      <c r="L3013" s="2" t="s">
        <v>25215</v>
      </c>
      <c r="M3013" s="2" t="s">
        <v>20439</v>
      </c>
      <c r="N3013" s="3" t="s">
        <v>1916</v>
      </c>
      <c r="P3013" s="3" t="s">
        <v>66</v>
      </c>
      <c r="R3013" s="3" t="s">
        <v>67</v>
      </c>
      <c r="S3013" s="4">
        <v>12</v>
      </c>
      <c r="T3013" s="4">
        <v>12</v>
      </c>
      <c r="U3013" s="5" t="s">
        <v>3488</v>
      </c>
      <c r="V3013" s="5" t="s">
        <v>3488</v>
      </c>
      <c r="W3013" s="5" t="s">
        <v>69</v>
      </c>
      <c r="X3013" s="5" t="s">
        <v>69</v>
      </c>
      <c r="Y3013" s="4">
        <v>440</v>
      </c>
      <c r="Z3013" s="4">
        <v>26</v>
      </c>
      <c r="AA3013" s="4">
        <v>26</v>
      </c>
      <c r="AB3013" s="4">
        <v>2</v>
      </c>
      <c r="AC3013" s="4">
        <v>2</v>
      </c>
      <c r="AD3013" s="4">
        <v>116</v>
      </c>
      <c r="AE3013" s="4">
        <v>118</v>
      </c>
      <c r="AF3013" s="4">
        <v>1</v>
      </c>
      <c r="AG3013" s="4">
        <v>1</v>
      </c>
      <c r="AH3013" s="4">
        <v>100</v>
      </c>
      <c r="AI3013" s="4">
        <v>101</v>
      </c>
      <c r="AJ3013" s="4">
        <v>18</v>
      </c>
      <c r="AK3013" s="4">
        <v>18</v>
      </c>
      <c r="AL3013" s="4">
        <v>56</v>
      </c>
      <c r="AM3013" s="4">
        <v>57</v>
      </c>
      <c r="AN3013" s="4">
        <v>0</v>
      </c>
      <c r="AO3013" s="4">
        <v>0</v>
      </c>
      <c r="AP3013" s="4">
        <v>21</v>
      </c>
      <c r="AQ3013" s="4">
        <v>21</v>
      </c>
      <c r="AR3013" s="3" t="s">
        <v>63</v>
      </c>
      <c r="AS3013" s="3" t="s">
        <v>63</v>
      </c>
      <c r="AT3013" s="3" t="s">
        <v>62</v>
      </c>
      <c r="AU3013" s="6" t="str">
        <f>HYPERLINK("http://catalog.hathitrust.org/Record/000350477","HathiTrust Record")</f>
        <v>HathiTrust Record</v>
      </c>
      <c r="AV3013" s="6" t="str">
        <f>HYPERLINK("http://mcgill.on.worldcat.org/oclc/11843005","Catalog Record")</f>
        <v>Catalog Record</v>
      </c>
      <c r="AW3013" s="6" t="str">
        <f>HYPERLINK("http://www.worldcat.org/oclc/11843005","WorldCat Record")</f>
        <v>WorldCat Record</v>
      </c>
      <c r="AX3013" s="3" t="s">
        <v>25216</v>
      </c>
      <c r="AY3013" s="3" t="s">
        <v>25217</v>
      </c>
      <c r="AZ3013" s="3" t="s">
        <v>25218</v>
      </c>
      <c r="BA3013" s="3" t="s">
        <v>25218</v>
      </c>
      <c r="BB3013" s="3" t="s">
        <v>25219</v>
      </c>
      <c r="BC3013" s="3" t="s">
        <v>82</v>
      </c>
      <c r="BD3013" s="3" t="s">
        <v>70</v>
      </c>
      <c r="BE3013" s="3" t="s">
        <v>25220</v>
      </c>
      <c r="BF3013" s="3" t="s">
        <v>25219</v>
      </c>
      <c r="BG3013" s="3" t="s">
        <v>25221</v>
      </c>
    </row>
    <row r="3014" spans="1:59" ht="75" x14ac:dyDescent="0.25">
      <c r="A3014" s="2" t="s">
        <v>59</v>
      </c>
      <c r="B3014" s="2" t="s">
        <v>60</v>
      </c>
      <c r="C3014" s="2" t="s">
        <v>25222</v>
      </c>
      <c r="D3014" s="2" t="s">
        <v>25223</v>
      </c>
      <c r="E3014" s="2" t="s">
        <v>25224</v>
      </c>
      <c r="G3014" s="3" t="s">
        <v>63</v>
      </c>
      <c r="I3014" s="3" t="s">
        <v>63</v>
      </c>
      <c r="J3014" s="3" t="s">
        <v>63</v>
      </c>
      <c r="K3014" s="3" t="s">
        <v>64</v>
      </c>
      <c r="L3014" s="2" t="s">
        <v>25215</v>
      </c>
      <c r="M3014" s="2" t="s">
        <v>25225</v>
      </c>
      <c r="N3014" s="3" t="s">
        <v>918</v>
      </c>
      <c r="P3014" s="3" t="s">
        <v>548</v>
      </c>
      <c r="Q3014" s="2" t="s">
        <v>25226</v>
      </c>
      <c r="R3014" s="3" t="s">
        <v>67</v>
      </c>
      <c r="S3014" s="4">
        <v>5</v>
      </c>
      <c r="T3014" s="4">
        <v>5</v>
      </c>
      <c r="U3014" s="5" t="s">
        <v>18291</v>
      </c>
      <c r="V3014" s="5" t="s">
        <v>18291</v>
      </c>
      <c r="W3014" s="5" t="s">
        <v>69</v>
      </c>
      <c r="X3014" s="5" t="s">
        <v>69</v>
      </c>
      <c r="Y3014" s="4">
        <v>28</v>
      </c>
      <c r="Z3014" s="4">
        <v>1</v>
      </c>
      <c r="AA3014" s="4">
        <v>3</v>
      </c>
      <c r="AB3014" s="4">
        <v>1</v>
      </c>
      <c r="AC3014" s="4">
        <v>2</v>
      </c>
      <c r="AD3014" s="4">
        <v>14</v>
      </c>
      <c r="AE3014" s="4">
        <v>16</v>
      </c>
      <c r="AF3014" s="4">
        <v>0</v>
      </c>
      <c r="AG3014" s="4">
        <v>1</v>
      </c>
      <c r="AH3014" s="4">
        <v>13</v>
      </c>
      <c r="AI3014" s="4">
        <v>14</v>
      </c>
      <c r="AJ3014" s="4">
        <v>0</v>
      </c>
      <c r="AK3014" s="4">
        <v>2</v>
      </c>
      <c r="AL3014" s="4">
        <v>13</v>
      </c>
      <c r="AM3014" s="4">
        <v>13</v>
      </c>
      <c r="AN3014" s="4">
        <v>0</v>
      </c>
      <c r="AO3014" s="4">
        <v>0</v>
      </c>
      <c r="AP3014" s="4">
        <v>0</v>
      </c>
      <c r="AQ3014" s="4">
        <v>1</v>
      </c>
      <c r="AR3014" s="3" t="s">
        <v>63</v>
      </c>
      <c r="AS3014" s="3" t="s">
        <v>63</v>
      </c>
      <c r="AT3014" s="3" t="s">
        <v>63</v>
      </c>
      <c r="AV3014" s="6" t="str">
        <f>HYPERLINK("http://mcgill.on.worldcat.org/oclc/1170977","Catalog Record")</f>
        <v>Catalog Record</v>
      </c>
      <c r="AW3014" s="6" t="str">
        <f>HYPERLINK("http://www.worldcat.org/oclc/1170977","WorldCat Record")</f>
        <v>WorldCat Record</v>
      </c>
      <c r="AX3014" s="3" t="s">
        <v>25227</v>
      </c>
      <c r="AY3014" s="3" t="s">
        <v>25228</v>
      </c>
      <c r="AZ3014" s="3" t="s">
        <v>25229</v>
      </c>
      <c r="BA3014" s="3" t="s">
        <v>25229</v>
      </c>
      <c r="BB3014" s="3" t="s">
        <v>25230</v>
      </c>
      <c r="BC3014" s="3" t="s">
        <v>82</v>
      </c>
      <c r="BD3014" s="3" t="s">
        <v>70</v>
      </c>
      <c r="BF3014" s="3" t="s">
        <v>25230</v>
      </c>
      <c r="BG3014" s="3" t="s">
        <v>25231</v>
      </c>
    </row>
    <row r="3015" spans="1:59" ht="75" x14ac:dyDescent="0.25">
      <c r="A3015" s="2" t="s">
        <v>59</v>
      </c>
      <c r="B3015" s="2" t="s">
        <v>60</v>
      </c>
      <c r="C3015" s="2" t="s">
        <v>25232</v>
      </c>
      <c r="D3015" s="2" t="s">
        <v>25233</v>
      </c>
      <c r="E3015" s="2" t="s">
        <v>25234</v>
      </c>
      <c r="G3015" s="3" t="s">
        <v>63</v>
      </c>
      <c r="I3015" s="3" t="s">
        <v>62</v>
      </c>
      <c r="J3015" s="3" t="s">
        <v>63</v>
      </c>
      <c r="K3015" s="3" t="s">
        <v>64</v>
      </c>
      <c r="L3015" s="2" t="s">
        <v>25215</v>
      </c>
      <c r="M3015" s="2" t="s">
        <v>25235</v>
      </c>
      <c r="N3015" s="3" t="s">
        <v>706</v>
      </c>
      <c r="P3015" s="3" t="s">
        <v>90</v>
      </c>
      <c r="R3015" s="3" t="s">
        <v>67</v>
      </c>
      <c r="S3015" s="4">
        <v>1</v>
      </c>
      <c r="T3015" s="4">
        <v>8</v>
      </c>
      <c r="U3015" s="5" t="s">
        <v>23533</v>
      </c>
      <c r="V3015" s="5" t="s">
        <v>23533</v>
      </c>
      <c r="W3015" s="5" t="s">
        <v>69</v>
      </c>
      <c r="X3015" s="5" t="s">
        <v>69</v>
      </c>
      <c r="Y3015" s="4">
        <v>117</v>
      </c>
      <c r="Z3015" s="4">
        <v>14</v>
      </c>
      <c r="AA3015" s="4">
        <v>15</v>
      </c>
      <c r="AB3015" s="4">
        <v>2</v>
      </c>
      <c r="AC3015" s="4">
        <v>2</v>
      </c>
      <c r="AD3015" s="4">
        <v>66</v>
      </c>
      <c r="AE3015" s="4">
        <v>70</v>
      </c>
      <c r="AF3015" s="4">
        <v>0</v>
      </c>
      <c r="AG3015" s="4">
        <v>0</v>
      </c>
      <c r="AH3015" s="4">
        <v>60</v>
      </c>
      <c r="AI3015" s="4">
        <v>64</v>
      </c>
      <c r="AJ3015" s="4">
        <v>11</v>
      </c>
      <c r="AK3015" s="4">
        <v>12</v>
      </c>
      <c r="AL3015" s="4">
        <v>41</v>
      </c>
      <c r="AM3015" s="4">
        <v>43</v>
      </c>
      <c r="AN3015" s="4">
        <v>0</v>
      </c>
      <c r="AO3015" s="4">
        <v>0</v>
      </c>
      <c r="AP3015" s="4">
        <v>11</v>
      </c>
      <c r="AQ3015" s="4">
        <v>12</v>
      </c>
      <c r="AR3015" s="3" t="s">
        <v>63</v>
      </c>
      <c r="AS3015" s="3" t="s">
        <v>63</v>
      </c>
      <c r="AT3015" s="3" t="s">
        <v>62</v>
      </c>
      <c r="AU3015" s="6" t="str">
        <f>HYPERLINK("http://catalog.hathitrust.org/Record/000867483","HathiTrust Record")</f>
        <v>HathiTrust Record</v>
      </c>
      <c r="AV3015" s="6" t="str">
        <f>HYPERLINK("http://mcgill.on.worldcat.org/oclc/16149455","Catalog Record")</f>
        <v>Catalog Record</v>
      </c>
      <c r="AW3015" s="6" t="str">
        <f>HYPERLINK("http://www.worldcat.org/oclc/16149455","WorldCat Record")</f>
        <v>WorldCat Record</v>
      </c>
      <c r="AX3015" s="3" t="s">
        <v>25236</v>
      </c>
      <c r="AY3015" s="3" t="s">
        <v>25237</v>
      </c>
      <c r="AZ3015" s="3" t="s">
        <v>25238</v>
      </c>
      <c r="BA3015" s="3" t="s">
        <v>25238</v>
      </c>
      <c r="BB3015" s="3" t="s">
        <v>25239</v>
      </c>
      <c r="BC3015" s="3" t="s">
        <v>82</v>
      </c>
      <c r="BD3015" s="3" t="s">
        <v>70</v>
      </c>
      <c r="BF3015" s="3" t="s">
        <v>25239</v>
      </c>
      <c r="BG3015" s="3" t="s">
        <v>25240</v>
      </c>
    </row>
    <row r="3016" spans="1:59" ht="75" x14ac:dyDescent="0.25">
      <c r="A3016" s="2" t="s">
        <v>59</v>
      </c>
      <c r="B3016" s="2" t="s">
        <v>60</v>
      </c>
      <c r="C3016" s="2" t="s">
        <v>25232</v>
      </c>
      <c r="D3016" s="2" t="s">
        <v>25233</v>
      </c>
      <c r="E3016" s="2" t="s">
        <v>25234</v>
      </c>
      <c r="G3016" s="3" t="s">
        <v>63</v>
      </c>
      <c r="I3016" s="3" t="s">
        <v>62</v>
      </c>
      <c r="J3016" s="3" t="s">
        <v>63</v>
      </c>
      <c r="K3016" s="3" t="s">
        <v>64</v>
      </c>
      <c r="L3016" s="2" t="s">
        <v>25215</v>
      </c>
      <c r="M3016" s="2" t="s">
        <v>25235</v>
      </c>
      <c r="N3016" s="3" t="s">
        <v>706</v>
      </c>
      <c r="P3016" s="3" t="s">
        <v>90</v>
      </c>
      <c r="R3016" s="3" t="s">
        <v>67</v>
      </c>
      <c r="S3016" s="4">
        <v>7</v>
      </c>
      <c r="T3016" s="4">
        <v>8</v>
      </c>
      <c r="U3016" s="5" t="s">
        <v>23533</v>
      </c>
      <c r="V3016" s="5" t="s">
        <v>23533</v>
      </c>
      <c r="W3016" s="5" t="s">
        <v>69</v>
      </c>
      <c r="X3016" s="5" t="s">
        <v>69</v>
      </c>
      <c r="Y3016" s="4">
        <v>117</v>
      </c>
      <c r="Z3016" s="4">
        <v>14</v>
      </c>
      <c r="AA3016" s="4">
        <v>15</v>
      </c>
      <c r="AB3016" s="4">
        <v>2</v>
      </c>
      <c r="AC3016" s="4">
        <v>2</v>
      </c>
      <c r="AD3016" s="4">
        <v>66</v>
      </c>
      <c r="AE3016" s="4">
        <v>70</v>
      </c>
      <c r="AF3016" s="4">
        <v>0</v>
      </c>
      <c r="AG3016" s="4">
        <v>0</v>
      </c>
      <c r="AH3016" s="4">
        <v>60</v>
      </c>
      <c r="AI3016" s="4">
        <v>64</v>
      </c>
      <c r="AJ3016" s="4">
        <v>11</v>
      </c>
      <c r="AK3016" s="4">
        <v>12</v>
      </c>
      <c r="AL3016" s="4">
        <v>41</v>
      </c>
      <c r="AM3016" s="4">
        <v>43</v>
      </c>
      <c r="AN3016" s="4">
        <v>0</v>
      </c>
      <c r="AO3016" s="4">
        <v>0</v>
      </c>
      <c r="AP3016" s="4">
        <v>11</v>
      </c>
      <c r="AQ3016" s="4">
        <v>12</v>
      </c>
      <c r="AR3016" s="3" t="s">
        <v>63</v>
      </c>
      <c r="AS3016" s="3" t="s">
        <v>63</v>
      </c>
      <c r="AT3016" s="3" t="s">
        <v>62</v>
      </c>
      <c r="AU3016" s="6" t="str">
        <f>HYPERLINK("http://catalog.hathitrust.org/Record/000867483","HathiTrust Record")</f>
        <v>HathiTrust Record</v>
      </c>
      <c r="AV3016" s="6" t="str">
        <f>HYPERLINK("http://mcgill.on.worldcat.org/oclc/16149455","Catalog Record")</f>
        <v>Catalog Record</v>
      </c>
      <c r="AW3016" s="6" t="str">
        <f>HYPERLINK("http://www.worldcat.org/oclc/16149455","WorldCat Record")</f>
        <v>WorldCat Record</v>
      </c>
      <c r="AX3016" s="3" t="s">
        <v>25236</v>
      </c>
      <c r="AY3016" s="3" t="s">
        <v>25237</v>
      </c>
      <c r="AZ3016" s="3" t="s">
        <v>25238</v>
      </c>
      <c r="BA3016" s="3" t="s">
        <v>25238</v>
      </c>
      <c r="BB3016" s="3" t="s">
        <v>25241</v>
      </c>
      <c r="BC3016" s="3" t="s">
        <v>82</v>
      </c>
      <c r="BD3016" s="3" t="s">
        <v>70</v>
      </c>
      <c r="BF3016" s="3" t="s">
        <v>25241</v>
      </c>
      <c r="BG3016" s="3" t="s">
        <v>25242</v>
      </c>
    </row>
    <row r="3017" spans="1:59" ht="75" x14ac:dyDescent="0.25">
      <c r="A3017" s="2" t="s">
        <v>59</v>
      </c>
      <c r="B3017" s="2" t="s">
        <v>60</v>
      </c>
      <c r="C3017" s="2" t="s">
        <v>25243</v>
      </c>
      <c r="D3017" s="2" t="s">
        <v>25244</v>
      </c>
      <c r="E3017" s="2" t="s">
        <v>25245</v>
      </c>
      <c r="G3017" s="3" t="s">
        <v>63</v>
      </c>
      <c r="I3017" s="3" t="s">
        <v>63</v>
      </c>
      <c r="J3017" s="3" t="s">
        <v>63</v>
      </c>
      <c r="K3017" s="3" t="s">
        <v>64</v>
      </c>
      <c r="L3017" s="2" t="s">
        <v>25215</v>
      </c>
      <c r="M3017" s="2" t="s">
        <v>25246</v>
      </c>
      <c r="N3017" s="3" t="s">
        <v>668</v>
      </c>
      <c r="P3017" s="3" t="s">
        <v>90</v>
      </c>
      <c r="R3017" s="3" t="s">
        <v>67</v>
      </c>
      <c r="S3017" s="4">
        <v>2</v>
      </c>
      <c r="T3017" s="4">
        <v>2</v>
      </c>
      <c r="U3017" s="5" t="s">
        <v>16631</v>
      </c>
      <c r="V3017" s="5" t="s">
        <v>16631</v>
      </c>
      <c r="W3017" s="5" t="s">
        <v>69</v>
      </c>
      <c r="X3017" s="5" t="s">
        <v>69</v>
      </c>
      <c r="Y3017" s="4">
        <v>56</v>
      </c>
      <c r="Z3017" s="4">
        <v>4</v>
      </c>
      <c r="AA3017" s="4">
        <v>4</v>
      </c>
      <c r="AB3017" s="4">
        <v>1</v>
      </c>
      <c r="AC3017" s="4">
        <v>1</v>
      </c>
      <c r="AD3017" s="4">
        <v>33</v>
      </c>
      <c r="AE3017" s="4">
        <v>33</v>
      </c>
      <c r="AF3017" s="4">
        <v>0</v>
      </c>
      <c r="AG3017" s="4">
        <v>0</v>
      </c>
      <c r="AH3017" s="4">
        <v>32</v>
      </c>
      <c r="AI3017" s="4">
        <v>32</v>
      </c>
      <c r="AJ3017" s="4">
        <v>3</v>
      </c>
      <c r="AK3017" s="4">
        <v>3</v>
      </c>
      <c r="AL3017" s="4">
        <v>26</v>
      </c>
      <c r="AM3017" s="4">
        <v>26</v>
      </c>
      <c r="AN3017" s="4">
        <v>0</v>
      </c>
      <c r="AO3017" s="4">
        <v>0</v>
      </c>
      <c r="AP3017" s="4">
        <v>3</v>
      </c>
      <c r="AQ3017" s="4">
        <v>3</v>
      </c>
      <c r="AR3017" s="3" t="s">
        <v>63</v>
      </c>
      <c r="AS3017" s="3" t="s">
        <v>63</v>
      </c>
      <c r="AT3017" s="3" t="s">
        <v>63</v>
      </c>
      <c r="AV3017" s="6" t="str">
        <f>HYPERLINK("http://mcgill.on.worldcat.org/oclc/23149423","Catalog Record")</f>
        <v>Catalog Record</v>
      </c>
      <c r="AW3017" s="6" t="str">
        <f>HYPERLINK("http://www.worldcat.org/oclc/23149423","WorldCat Record")</f>
        <v>WorldCat Record</v>
      </c>
      <c r="AX3017" s="3" t="s">
        <v>25247</v>
      </c>
      <c r="AY3017" s="3" t="s">
        <v>25248</v>
      </c>
      <c r="AZ3017" s="3" t="s">
        <v>25249</v>
      </c>
      <c r="BA3017" s="3" t="s">
        <v>25249</v>
      </c>
      <c r="BB3017" s="3" t="s">
        <v>25250</v>
      </c>
      <c r="BC3017" s="3" t="s">
        <v>82</v>
      </c>
      <c r="BD3017" s="3" t="s">
        <v>70</v>
      </c>
      <c r="BE3017" s="3" t="s">
        <v>25251</v>
      </c>
      <c r="BF3017" s="3" t="s">
        <v>25250</v>
      </c>
      <c r="BG3017" s="3" t="s">
        <v>25252</v>
      </c>
    </row>
    <row r="3018" spans="1:59" ht="75" x14ac:dyDescent="0.25">
      <c r="A3018" s="2" t="s">
        <v>59</v>
      </c>
      <c r="B3018" s="2" t="s">
        <v>60</v>
      </c>
      <c r="C3018" s="2" t="s">
        <v>25253</v>
      </c>
      <c r="D3018" s="2" t="s">
        <v>25254</v>
      </c>
      <c r="E3018" s="2" t="s">
        <v>25255</v>
      </c>
      <c r="G3018" s="3" t="s">
        <v>63</v>
      </c>
      <c r="I3018" s="3" t="s">
        <v>63</v>
      </c>
      <c r="J3018" s="3" t="s">
        <v>63</v>
      </c>
      <c r="K3018" s="3" t="s">
        <v>64</v>
      </c>
      <c r="L3018" s="2" t="s">
        <v>25215</v>
      </c>
      <c r="M3018" s="2" t="s">
        <v>25256</v>
      </c>
      <c r="N3018" s="3" t="s">
        <v>247</v>
      </c>
      <c r="P3018" s="3" t="s">
        <v>90</v>
      </c>
      <c r="R3018" s="3" t="s">
        <v>67</v>
      </c>
      <c r="S3018" s="4">
        <v>2</v>
      </c>
      <c r="T3018" s="4">
        <v>2</v>
      </c>
      <c r="U3018" s="5" t="s">
        <v>16631</v>
      </c>
      <c r="V3018" s="5" t="s">
        <v>16631</v>
      </c>
      <c r="W3018" s="5" t="s">
        <v>69</v>
      </c>
      <c r="X3018" s="5" t="s">
        <v>69</v>
      </c>
      <c r="Y3018" s="4">
        <v>9</v>
      </c>
      <c r="Z3018" s="4">
        <v>2</v>
      </c>
      <c r="AA3018" s="4">
        <v>2</v>
      </c>
      <c r="AB3018" s="4">
        <v>1</v>
      </c>
      <c r="AC3018" s="4">
        <v>1</v>
      </c>
      <c r="AD3018" s="4">
        <v>6</v>
      </c>
      <c r="AE3018" s="4">
        <v>6</v>
      </c>
      <c r="AF3018" s="4">
        <v>0</v>
      </c>
      <c r="AG3018" s="4">
        <v>0</v>
      </c>
      <c r="AH3018" s="4">
        <v>6</v>
      </c>
      <c r="AI3018" s="4">
        <v>6</v>
      </c>
      <c r="AJ3018" s="4">
        <v>1</v>
      </c>
      <c r="AK3018" s="4">
        <v>1</v>
      </c>
      <c r="AL3018" s="4">
        <v>3</v>
      </c>
      <c r="AM3018" s="4">
        <v>3</v>
      </c>
      <c r="AN3018" s="4">
        <v>0</v>
      </c>
      <c r="AO3018" s="4">
        <v>0</v>
      </c>
      <c r="AP3018" s="4">
        <v>1</v>
      </c>
      <c r="AQ3018" s="4">
        <v>1</v>
      </c>
      <c r="AR3018" s="3" t="s">
        <v>63</v>
      </c>
      <c r="AS3018" s="3" t="s">
        <v>63</v>
      </c>
      <c r="AT3018" s="3" t="s">
        <v>62</v>
      </c>
      <c r="AU3018" s="6" t="str">
        <f>HYPERLINK("http://catalog.hathitrust.org/Record/000196919","HathiTrust Record")</f>
        <v>HathiTrust Record</v>
      </c>
      <c r="AV3018" s="6" t="str">
        <f>HYPERLINK("http://mcgill.on.worldcat.org/oclc/238550518","Catalog Record")</f>
        <v>Catalog Record</v>
      </c>
      <c r="AW3018" s="6" t="str">
        <f>HYPERLINK("http://www.worldcat.org/oclc/238550518","WorldCat Record")</f>
        <v>WorldCat Record</v>
      </c>
      <c r="AX3018" s="3" t="s">
        <v>25257</v>
      </c>
      <c r="AY3018" s="3" t="s">
        <v>25258</v>
      </c>
      <c r="AZ3018" s="3" t="s">
        <v>25259</v>
      </c>
      <c r="BA3018" s="3" t="s">
        <v>25259</v>
      </c>
      <c r="BB3018" s="3" t="s">
        <v>25260</v>
      </c>
      <c r="BC3018" s="3" t="s">
        <v>82</v>
      </c>
      <c r="BD3018" s="3" t="s">
        <v>70</v>
      </c>
      <c r="BE3018" s="3" t="s">
        <v>25261</v>
      </c>
      <c r="BF3018" s="3" t="s">
        <v>25260</v>
      </c>
      <c r="BG3018" s="3" t="s">
        <v>25262</v>
      </c>
    </row>
    <row r="3019" spans="1:59" ht="60" x14ac:dyDescent="0.25">
      <c r="A3019" s="2" t="s">
        <v>59</v>
      </c>
      <c r="B3019" s="2" t="s">
        <v>60</v>
      </c>
      <c r="C3019" s="2" t="s">
        <v>25263</v>
      </c>
      <c r="D3019" s="2" t="s">
        <v>25264</v>
      </c>
      <c r="E3019" s="2" t="s">
        <v>25265</v>
      </c>
      <c r="G3019" s="3" t="s">
        <v>63</v>
      </c>
      <c r="I3019" s="3" t="s">
        <v>63</v>
      </c>
      <c r="J3019" s="3" t="s">
        <v>63</v>
      </c>
      <c r="K3019" s="3" t="s">
        <v>64</v>
      </c>
      <c r="L3019" s="2" t="s">
        <v>25215</v>
      </c>
      <c r="M3019" s="2" t="s">
        <v>25266</v>
      </c>
      <c r="N3019" s="3" t="s">
        <v>531</v>
      </c>
      <c r="P3019" s="3" t="s">
        <v>90</v>
      </c>
      <c r="R3019" s="3" t="s">
        <v>67</v>
      </c>
      <c r="S3019" s="4">
        <v>4</v>
      </c>
      <c r="T3019" s="4">
        <v>4</v>
      </c>
      <c r="U3019" s="5" t="s">
        <v>16631</v>
      </c>
      <c r="V3019" s="5" t="s">
        <v>16631</v>
      </c>
      <c r="W3019" s="5" t="s">
        <v>69</v>
      </c>
      <c r="X3019" s="5" t="s">
        <v>69</v>
      </c>
      <c r="Y3019" s="4">
        <v>23</v>
      </c>
      <c r="Z3019" s="4">
        <v>2</v>
      </c>
      <c r="AA3019" s="4">
        <v>2</v>
      </c>
      <c r="AB3019" s="4">
        <v>1</v>
      </c>
      <c r="AC3019" s="4">
        <v>1</v>
      </c>
      <c r="AD3019" s="4">
        <v>16</v>
      </c>
      <c r="AE3019" s="4">
        <v>16</v>
      </c>
      <c r="AF3019" s="4">
        <v>0</v>
      </c>
      <c r="AG3019" s="4">
        <v>0</v>
      </c>
      <c r="AH3019" s="4">
        <v>15</v>
      </c>
      <c r="AI3019" s="4">
        <v>15</v>
      </c>
      <c r="AJ3019" s="4">
        <v>1</v>
      </c>
      <c r="AK3019" s="4">
        <v>1</v>
      </c>
      <c r="AL3019" s="4">
        <v>15</v>
      </c>
      <c r="AM3019" s="4">
        <v>15</v>
      </c>
      <c r="AN3019" s="4">
        <v>0</v>
      </c>
      <c r="AO3019" s="4">
        <v>0</v>
      </c>
      <c r="AP3019" s="4">
        <v>1</v>
      </c>
      <c r="AQ3019" s="4">
        <v>1</v>
      </c>
      <c r="AR3019" s="3" t="s">
        <v>63</v>
      </c>
      <c r="AS3019" s="3" t="s">
        <v>63</v>
      </c>
      <c r="AT3019" s="3" t="s">
        <v>62</v>
      </c>
      <c r="AU3019" s="6" t="str">
        <f>HYPERLINK("http://catalog.hathitrust.org/Record/002780938","HathiTrust Record")</f>
        <v>HathiTrust Record</v>
      </c>
      <c r="AV3019" s="6" t="str">
        <f>HYPERLINK("http://mcgill.on.worldcat.org/oclc/29601826","Catalog Record")</f>
        <v>Catalog Record</v>
      </c>
      <c r="AW3019" s="6" t="str">
        <f>HYPERLINK("http://www.worldcat.org/oclc/29601826","WorldCat Record")</f>
        <v>WorldCat Record</v>
      </c>
      <c r="AX3019" s="3" t="s">
        <v>25267</v>
      </c>
      <c r="AY3019" s="3" t="s">
        <v>25268</v>
      </c>
      <c r="AZ3019" s="3" t="s">
        <v>25269</v>
      </c>
      <c r="BA3019" s="3" t="s">
        <v>25269</v>
      </c>
      <c r="BB3019" s="3" t="s">
        <v>25270</v>
      </c>
      <c r="BC3019" s="3" t="s">
        <v>82</v>
      </c>
      <c r="BD3019" s="3" t="s">
        <v>70</v>
      </c>
      <c r="BF3019" s="3" t="s">
        <v>25270</v>
      </c>
      <c r="BG3019" s="3" t="s">
        <v>25271</v>
      </c>
    </row>
    <row r="3020" spans="1:59" ht="60" x14ac:dyDescent="0.25">
      <c r="A3020" s="2" t="s">
        <v>59</v>
      </c>
      <c r="B3020" s="2" t="s">
        <v>60</v>
      </c>
      <c r="C3020" s="2" t="s">
        <v>25272</v>
      </c>
      <c r="D3020" s="2" t="s">
        <v>25273</v>
      </c>
      <c r="E3020" s="2" t="s">
        <v>25274</v>
      </c>
      <c r="G3020" s="3" t="s">
        <v>63</v>
      </c>
      <c r="I3020" s="3" t="s">
        <v>63</v>
      </c>
      <c r="J3020" s="3" t="s">
        <v>63</v>
      </c>
      <c r="K3020" s="3" t="s">
        <v>64</v>
      </c>
      <c r="L3020" s="2" t="s">
        <v>25215</v>
      </c>
      <c r="M3020" s="2" t="s">
        <v>25275</v>
      </c>
      <c r="N3020" s="3" t="s">
        <v>1343</v>
      </c>
      <c r="P3020" s="3" t="s">
        <v>90</v>
      </c>
      <c r="R3020" s="3" t="s">
        <v>67</v>
      </c>
      <c r="S3020" s="4">
        <v>4</v>
      </c>
      <c r="T3020" s="4">
        <v>4</v>
      </c>
      <c r="U3020" s="5" t="s">
        <v>16631</v>
      </c>
      <c r="V3020" s="5" t="s">
        <v>16631</v>
      </c>
      <c r="W3020" s="5" t="s">
        <v>69</v>
      </c>
      <c r="X3020" s="5" t="s">
        <v>69</v>
      </c>
      <c r="Y3020" s="4">
        <v>51</v>
      </c>
      <c r="Z3020" s="4">
        <v>4</v>
      </c>
      <c r="AA3020" s="4">
        <v>4</v>
      </c>
      <c r="AB3020" s="4">
        <v>1</v>
      </c>
      <c r="AC3020" s="4">
        <v>1</v>
      </c>
      <c r="AD3020" s="4">
        <v>33</v>
      </c>
      <c r="AE3020" s="4">
        <v>34</v>
      </c>
      <c r="AF3020" s="4">
        <v>0</v>
      </c>
      <c r="AG3020" s="4">
        <v>0</v>
      </c>
      <c r="AH3020" s="4">
        <v>32</v>
      </c>
      <c r="AI3020" s="4">
        <v>33</v>
      </c>
      <c r="AJ3020" s="4">
        <v>2</v>
      </c>
      <c r="AK3020" s="4">
        <v>2</v>
      </c>
      <c r="AL3020" s="4">
        <v>26</v>
      </c>
      <c r="AM3020" s="4">
        <v>27</v>
      </c>
      <c r="AN3020" s="4">
        <v>0</v>
      </c>
      <c r="AO3020" s="4">
        <v>0</v>
      </c>
      <c r="AP3020" s="4">
        <v>2</v>
      </c>
      <c r="AQ3020" s="4">
        <v>2</v>
      </c>
      <c r="AR3020" s="3" t="s">
        <v>63</v>
      </c>
      <c r="AS3020" s="3" t="s">
        <v>63</v>
      </c>
      <c r="AT3020" s="3" t="s">
        <v>63</v>
      </c>
      <c r="AV3020" s="6" t="str">
        <f>HYPERLINK("http://mcgill.on.worldcat.org/oclc/49492549","Catalog Record")</f>
        <v>Catalog Record</v>
      </c>
      <c r="AW3020" s="6" t="str">
        <f>HYPERLINK("http://www.worldcat.org/oclc/49492549","WorldCat Record")</f>
        <v>WorldCat Record</v>
      </c>
      <c r="AX3020" s="3" t="s">
        <v>25276</v>
      </c>
      <c r="AY3020" s="3" t="s">
        <v>25277</v>
      </c>
      <c r="AZ3020" s="3" t="s">
        <v>25278</v>
      </c>
      <c r="BA3020" s="3" t="s">
        <v>25278</v>
      </c>
      <c r="BB3020" s="3" t="s">
        <v>25279</v>
      </c>
      <c r="BC3020" s="3" t="s">
        <v>82</v>
      </c>
      <c r="BD3020" s="3" t="s">
        <v>70</v>
      </c>
      <c r="BE3020" s="3" t="s">
        <v>25280</v>
      </c>
      <c r="BF3020" s="3" t="s">
        <v>25279</v>
      </c>
      <c r="BG3020" s="3" t="s">
        <v>25281</v>
      </c>
    </row>
    <row r="3021" spans="1:59" ht="60" x14ac:dyDescent="0.25">
      <c r="A3021" s="2" t="s">
        <v>59</v>
      </c>
      <c r="B3021" s="2" t="s">
        <v>60</v>
      </c>
      <c r="C3021" s="2" t="s">
        <v>25282</v>
      </c>
      <c r="D3021" s="2" t="s">
        <v>25283</v>
      </c>
      <c r="E3021" s="2" t="s">
        <v>25284</v>
      </c>
      <c r="G3021" s="3" t="s">
        <v>63</v>
      </c>
      <c r="I3021" s="3" t="s">
        <v>63</v>
      </c>
      <c r="J3021" s="3" t="s">
        <v>63</v>
      </c>
      <c r="K3021" s="3" t="s">
        <v>64</v>
      </c>
      <c r="L3021" s="2" t="s">
        <v>25285</v>
      </c>
      <c r="M3021" s="2" t="s">
        <v>25286</v>
      </c>
      <c r="N3021" s="3" t="s">
        <v>2459</v>
      </c>
      <c r="P3021" s="3" t="s">
        <v>90</v>
      </c>
      <c r="Q3021" s="2" t="s">
        <v>25287</v>
      </c>
      <c r="R3021" s="3" t="s">
        <v>67</v>
      </c>
      <c r="S3021" s="4">
        <v>2</v>
      </c>
      <c r="T3021" s="4">
        <v>2</v>
      </c>
      <c r="U3021" s="5" t="s">
        <v>18291</v>
      </c>
      <c r="V3021" s="5" t="s">
        <v>18291</v>
      </c>
      <c r="W3021" s="5" t="s">
        <v>69</v>
      </c>
      <c r="X3021" s="5" t="s">
        <v>69</v>
      </c>
      <c r="Y3021" s="4">
        <v>29</v>
      </c>
      <c r="Z3021" s="4">
        <v>2</v>
      </c>
      <c r="AA3021" s="4">
        <v>2</v>
      </c>
      <c r="AB3021" s="4">
        <v>1</v>
      </c>
      <c r="AC3021" s="4">
        <v>1</v>
      </c>
      <c r="AD3021" s="4">
        <v>20</v>
      </c>
      <c r="AE3021" s="4">
        <v>20</v>
      </c>
      <c r="AF3021" s="4">
        <v>0</v>
      </c>
      <c r="AG3021" s="4">
        <v>0</v>
      </c>
      <c r="AH3021" s="4">
        <v>19</v>
      </c>
      <c r="AI3021" s="4">
        <v>19</v>
      </c>
      <c r="AJ3021" s="4">
        <v>1</v>
      </c>
      <c r="AK3021" s="4">
        <v>1</v>
      </c>
      <c r="AL3021" s="4">
        <v>16</v>
      </c>
      <c r="AM3021" s="4">
        <v>16</v>
      </c>
      <c r="AN3021" s="4">
        <v>0</v>
      </c>
      <c r="AO3021" s="4">
        <v>0</v>
      </c>
      <c r="AP3021" s="4">
        <v>1</v>
      </c>
      <c r="AQ3021" s="4">
        <v>1</v>
      </c>
      <c r="AR3021" s="3" t="s">
        <v>63</v>
      </c>
      <c r="AS3021" s="3" t="s">
        <v>63</v>
      </c>
      <c r="AT3021" s="3" t="s">
        <v>63</v>
      </c>
      <c r="AV3021" s="6" t="str">
        <f>HYPERLINK("http://mcgill.on.worldcat.org/oclc/221550331","Catalog Record")</f>
        <v>Catalog Record</v>
      </c>
      <c r="AW3021" s="6" t="str">
        <f>HYPERLINK("http://www.worldcat.org/oclc/221550331","WorldCat Record")</f>
        <v>WorldCat Record</v>
      </c>
      <c r="AX3021" s="3" t="s">
        <v>25288</v>
      </c>
      <c r="AY3021" s="3" t="s">
        <v>25289</v>
      </c>
      <c r="AZ3021" s="3" t="s">
        <v>25290</v>
      </c>
      <c r="BA3021" s="3" t="s">
        <v>25290</v>
      </c>
      <c r="BB3021" s="3" t="s">
        <v>25291</v>
      </c>
      <c r="BC3021" s="3" t="s">
        <v>82</v>
      </c>
      <c r="BD3021" s="3" t="s">
        <v>70</v>
      </c>
      <c r="BE3021" s="3" t="s">
        <v>25292</v>
      </c>
      <c r="BF3021" s="3" t="s">
        <v>25291</v>
      </c>
      <c r="BG3021" s="3" t="s">
        <v>25293</v>
      </c>
    </row>
    <row r="3022" spans="1:59" ht="60" x14ac:dyDescent="0.25">
      <c r="A3022" s="2" t="s">
        <v>59</v>
      </c>
      <c r="B3022" s="2" t="s">
        <v>60</v>
      </c>
      <c r="C3022" s="2" t="s">
        <v>25294</v>
      </c>
      <c r="D3022" s="2" t="s">
        <v>25295</v>
      </c>
      <c r="E3022" s="2" t="s">
        <v>25296</v>
      </c>
      <c r="G3022" s="3" t="s">
        <v>63</v>
      </c>
      <c r="I3022" s="3" t="s">
        <v>63</v>
      </c>
      <c r="J3022" s="3" t="s">
        <v>63</v>
      </c>
      <c r="K3022" s="3" t="s">
        <v>64</v>
      </c>
      <c r="L3022" s="2" t="s">
        <v>25297</v>
      </c>
      <c r="M3022" s="2" t="s">
        <v>25298</v>
      </c>
      <c r="N3022" s="3" t="s">
        <v>374</v>
      </c>
      <c r="P3022" s="3" t="s">
        <v>90</v>
      </c>
      <c r="Q3022" s="2" t="s">
        <v>25299</v>
      </c>
      <c r="R3022" s="3" t="s">
        <v>67</v>
      </c>
      <c r="S3022" s="4">
        <v>1</v>
      </c>
      <c r="T3022" s="4">
        <v>1</v>
      </c>
      <c r="U3022" s="5" t="s">
        <v>23533</v>
      </c>
      <c r="V3022" s="5" t="s">
        <v>23533</v>
      </c>
      <c r="W3022" s="5" t="s">
        <v>69</v>
      </c>
      <c r="X3022" s="5" t="s">
        <v>69</v>
      </c>
      <c r="Y3022" s="4">
        <v>66</v>
      </c>
      <c r="Z3022" s="4">
        <v>5</v>
      </c>
      <c r="AA3022" s="4">
        <v>5</v>
      </c>
      <c r="AB3022" s="4">
        <v>1</v>
      </c>
      <c r="AC3022" s="4">
        <v>1</v>
      </c>
      <c r="AD3022" s="4">
        <v>42</v>
      </c>
      <c r="AE3022" s="4">
        <v>42</v>
      </c>
      <c r="AF3022" s="4">
        <v>0</v>
      </c>
      <c r="AG3022" s="4">
        <v>0</v>
      </c>
      <c r="AH3022" s="4">
        <v>40</v>
      </c>
      <c r="AI3022" s="4">
        <v>40</v>
      </c>
      <c r="AJ3022" s="4">
        <v>3</v>
      </c>
      <c r="AK3022" s="4">
        <v>3</v>
      </c>
      <c r="AL3022" s="4">
        <v>32</v>
      </c>
      <c r="AM3022" s="4">
        <v>32</v>
      </c>
      <c r="AN3022" s="4">
        <v>0</v>
      </c>
      <c r="AO3022" s="4">
        <v>0</v>
      </c>
      <c r="AP3022" s="4">
        <v>3</v>
      </c>
      <c r="AQ3022" s="4">
        <v>3</v>
      </c>
      <c r="AR3022" s="3" t="s">
        <v>63</v>
      </c>
      <c r="AS3022" s="3" t="s">
        <v>63</v>
      </c>
      <c r="AT3022" s="3" t="s">
        <v>62</v>
      </c>
      <c r="AU3022" s="6" t="str">
        <f>HYPERLINK("http://catalog.hathitrust.org/Record/003096286","HathiTrust Record")</f>
        <v>HathiTrust Record</v>
      </c>
      <c r="AV3022" s="6" t="str">
        <f>HYPERLINK("http://mcgill.on.worldcat.org/oclc/33951026","Catalog Record")</f>
        <v>Catalog Record</v>
      </c>
      <c r="AW3022" s="6" t="str">
        <f>HYPERLINK("http://www.worldcat.org/oclc/33951026","WorldCat Record")</f>
        <v>WorldCat Record</v>
      </c>
      <c r="AX3022" s="3" t="s">
        <v>25300</v>
      </c>
      <c r="AY3022" s="3" t="s">
        <v>25301</v>
      </c>
      <c r="AZ3022" s="3" t="s">
        <v>25302</v>
      </c>
      <c r="BA3022" s="3" t="s">
        <v>25302</v>
      </c>
      <c r="BB3022" s="3" t="s">
        <v>25303</v>
      </c>
      <c r="BC3022" s="3" t="s">
        <v>82</v>
      </c>
      <c r="BD3022" s="3" t="s">
        <v>70</v>
      </c>
      <c r="BF3022" s="3" t="s">
        <v>25303</v>
      </c>
      <c r="BG3022" s="3" t="s">
        <v>25304</v>
      </c>
    </row>
    <row r="3023" spans="1:59" ht="60" x14ac:dyDescent="0.25">
      <c r="A3023" s="2" t="s">
        <v>59</v>
      </c>
      <c r="B3023" s="2" t="s">
        <v>60</v>
      </c>
      <c r="C3023" s="2" t="s">
        <v>25305</v>
      </c>
      <c r="D3023" s="2" t="s">
        <v>25306</v>
      </c>
      <c r="E3023" s="2" t="s">
        <v>25307</v>
      </c>
      <c r="G3023" s="3" t="s">
        <v>63</v>
      </c>
      <c r="I3023" s="3" t="s">
        <v>63</v>
      </c>
      <c r="J3023" s="3" t="s">
        <v>63</v>
      </c>
      <c r="K3023" s="3" t="s">
        <v>64</v>
      </c>
      <c r="L3023" s="2" t="s">
        <v>25308</v>
      </c>
      <c r="M3023" s="2" t="s">
        <v>25309</v>
      </c>
      <c r="N3023" s="3" t="s">
        <v>1557</v>
      </c>
      <c r="P3023" s="3" t="s">
        <v>90</v>
      </c>
      <c r="Q3023" s="2" t="s">
        <v>7066</v>
      </c>
      <c r="R3023" s="3" t="s">
        <v>67</v>
      </c>
      <c r="S3023" s="4">
        <v>0</v>
      </c>
      <c r="T3023" s="4">
        <v>0</v>
      </c>
      <c r="W3023" s="5" t="s">
        <v>69</v>
      </c>
      <c r="X3023" s="5" t="s">
        <v>69</v>
      </c>
      <c r="Y3023" s="4">
        <v>45</v>
      </c>
      <c r="Z3023" s="4">
        <v>2</v>
      </c>
      <c r="AA3023" s="4">
        <v>2</v>
      </c>
      <c r="AB3023" s="4">
        <v>1</v>
      </c>
      <c r="AC3023" s="4">
        <v>1</v>
      </c>
      <c r="AD3023" s="4">
        <v>37</v>
      </c>
      <c r="AE3023" s="4">
        <v>37</v>
      </c>
      <c r="AF3023" s="4">
        <v>0</v>
      </c>
      <c r="AG3023" s="4">
        <v>0</v>
      </c>
      <c r="AH3023" s="4">
        <v>36</v>
      </c>
      <c r="AI3023" s="4">
        <v>36</v>
      </c>
      <c r="AJ3023" s="4">
        <v>1</v>
      </c>
      <c r="AK3023" s="4">
        <v>1</v>
      </c>
      <c r="AL3023" s="4">
        <v>30</v>
      </c>
      <c r="AM3023" s="4">
        <v>30</v>
      </c>
      <c r="AN3023" s="4">
        <v>0</v>
      </c>
      <c r="AO3023" s="4">
        <v>0</v>
      </c>
      <c r="AP3023" s="4">
        <v>1</v>
      </c>
      <c r="AQ3023" s="4">
        <v>1</v>
      </c>
      <c r="AR3023" s="3" t="s">
        <v>63</v>
      </c>
      <c r="AS3023" s="3" t="s">
        <v>63</v>
      </c>
      <c r="AT3023" s="3" t="s">
        <v>63</v>
      </c>
      <c r="AV3023" s="6" t="str">
        <f>HYPERLINK("http://mcgill.on.worldcat.org/oclc/972506788","Catalog Record")</f>
        <v>Catalog Record</v>
      </c>
      <c r="AW3023" s="6" t="str">
        <f>HYPERLINK("http://www.worldcat.org/oclc/972506788","WorldCat Record")</f>
        <v>WorldCat Record</v>
      </c>
      <c r="AX3023" s="3" t="s">
        <v>25310</v>
      </c>
      <c r="AY3023" s="3" t="s">
        <v>25311</v>
      </c>
      <c r="AZ3023" s="3" t="s">
        <v>25312</v>
      </c>
      <c r="BA3023" s="3" t="s">
        <v>25312</v>
      </c>
      <c r="BB3023" s="3" t="s">
        <v>25313</v>
      </c>
      <c r="BC3023" s="3" t="s">
        <v>82</v>
      </c>
      <c r="BD3023" s="3" t="s">
        <v>70</v>
      </c>
      <c r="BE3023" s="3" t="s">
        <v>25314</v>
      </c>
      <c r="BF3023" s="3" t="s">
        <v>25313</v>
      </c>
      <c r="BG3023" s="3" t="s">
        <v>25315</v>
      </c>
    </row>
    <row r="3024" spans="1:59" ht="75" x14ac:dyDescent="0.25">
      <c r="A3024" s="2" t="s">
        <v>59</v>
      </c>
      <c r="B3024" s="2" t="s">
        <v>60</v>
      </c>
      <c r="C3024" s="2" t="s">
        <v>25316</v>
      </c>
      <c r="D3024" s="2" t="s">
        <v>25317</v>
      </c>
      <c r="E3024" s="2" t="s">
        <v>25318</v>
      </c>
      <c r="G3024" s="3" t="s">
        <v>63</v>
      </c>
      <c r="I3024" s="3" t="s">
        <v>63</v>
      </c>
      <c r="J3024" s="3" t="s">
        <v>63</v>
      </c>
      <c r="K3024" s="3" t="s">
        <v>64</v>
      </c>
      <c r="L3024" s="2" t="s">
        <v>25319</v>
      </c>
      <c r="M3024" s="2" t="s">
        <v>25320</v>
      </c>
      <c r="N3024" s="3" t="s">
        <v>143</v>
      </c>
      <c r="O3024" s="2" t="s">
        <v>25321</v>
      </c>
      <c r="P3024" s="3" t="s">
        <v>66</v>
      </c>
      <c r="R3024" s="3" t="s">
        <v>67</v>
      </c>
      <c r="S3024" s="4">
        <v>0</v>
      </c>
      <c r="T3024" s="4">
        <v>0</v>
      </c>
      <c r="W3024" s="5" t="s">
        <v>69</v>
      </c>
      <c r="X3024" s="5" t="s">
        <v>69</v>
      </c>
      <c r="Y3024" s="4">
        <v>106</v>
      </c>
      <c r="Z3024" s="4">
        <v>9</v>
      </c>
      <c r="AA3024" s="4">
        <v>10</v>
      </c>
      <c r="AB3024" s="4">
        <v>1</v>
      </c>
      <c r="AC3024" s="4">
        <v>1</v>
      </c>
      <c r="AD3024" s="4">
        <v>49</v>
      </c>
      <c r="AE3024" s="4">
        <v>51</v>
      </c>
      <c r="AF3024" s="4">
        <v>0</v>
      </c>
      <c r="AG3024" s="4">
        <v>0</v>
      </c>
      <c r="AH3024" s="4">
        <v>48</v>
      </c>
      <c r="AI3024" s="4">
        <v>50</v>
      </c>
      <c r="AJ3024" s="4">
        <v>5</v>
      </c>
      <c r="AK3024" s="4">
        <v>5</v>
      </c>
      <c r="AL3024" s="4">
        <v>30</v>
      </c>
      <c r="AM3024" s="4">
        <v>32</v>
      </c>
      <c r="AN3024" s="4">
        <v>0</v>
      </c>
      <c r="AO3024" s="4">
        <v>0</v>
      </c>
      <c r="AP3024" s="4">
        <v>5</v>
      </c>
      <c r="AQ3024" s="4">
        <v>5</v>
      </c>
      <c r="AR3024" s="3" t="s">
        <v>63</v>
      </c>
      <c r="AS3024" s="3" t="s">
        <v>63</v>
      </c>
      <c r="AT3024" s="3" t="s">
        <v>63</v>
      </c>
      <c r="AV3024" s="6" t="str">
        <f>HYPERLINK("http://mcgill.on.worldcat.org/oclc/852222054","Catalog Record")</f>
        <v>Catalog Record</v>
      </c>
      <c r="AW3024" s="6" t="str">
        <f>HYPERLINK("http://www.worldcat.org/oclc/852222054","WorldCat Record")</f>
        <v>WorldCat Record</v>
      </c>
      <c r="AX3024" s="3" t="s">
        <v>25322</v>
      </c>
      <c r="AY3024" s="3" t="s">
        <v>25323</v>
      </c>
      <c r="AZ3024" s="3" t="s">
        <v>25324</v>
      </c>
      <c r="BA3024" s="3" t="s">
        <v>25324</v>
      </c>
      <c r="BB3024" s="3" t="s">
        <v>25325</v>
      </c>
      <c r="BC3024" s="3" t="s">
        <v>82</v>
      </c>
      <c r="BD3024" s="3" t="s">
        <v>70</v>
      </c>
      <c r="BE3024" s="3" t="s">
        <v>25326</v>
      </c>
      <c r="BF3024" s="3" t="s">
        <v>25325</v>
      </c>
      <c r="BG3024" s="3" t="s">
        <v>25327</v>
      </c>
    </row>
    <row r="3025" spans="1:59" ht="60" x14ac:dyDescent="0.25">
      <c r="A3025" s="2" t="s">
        <v>59</v>
      </c>
      <c r="B3025" s="2" t="s">
        <v>60</v>
      </c>
      <c r="C3025" s="2" t="s">
        <v>25328</v>
      </c>
      <c r="D3025" s="2" t="s">
        <v>25329</v>
      </c>
      <c r="E3025" s="2" t="s">
        <v>25330</v>
      </c>
      <c r="G3025" s="3" t="s">
        <v>63</v>
      </c>
      <c r="I3025" s="3" t="s">
        <v>63</v>
      </c>
      <c r="J3025" s="3" t="s">
        <v>63</v>
      </c>
      <c r="K3025" s="3" t="s">
        <v>64</v>
      </c>
      <c r="L3025" s="2" t="s">
        <v>7989</v>
      </c>
      <c r="M3025" s="2" t="s">
        <v>12636</v>
      </c>
      <c r="N3025" s="3" t="s">
        <v>3640</v>
      </c>
      <c r="P3025" s="3" t="s">
        <v>66</v>
      </c>
      <c r="R3025" s="3" t="s">
        <v>67</v>
      </c>
      <c r="S3025" s="4">
        <v>3</v>
      </c>
      <c r="T3025" s="4">
        <v>3</v>
      </c>
      <c r="U3025" s="5" t="s">
        <v>25331</v>
      </c>
      <c r="V3025" s="5" t="s">
        <v>25331</v>
      </c>
      <c r="W3025" s="5" t="s">
        <v>69</v>
      </c>
      <c r="X3025" s="5" t="s">
        <v>69</v>
      </c>
      <c r="Y3025" s="4">
        <v>446</v>
      </c>
      <c r="Z3025" s="4">
        <v>23</v>
      </c>
      <c r="AA3025" s="4">
        <v>88</v>
      </c>
      <c r="AB3025" s="4">
        <v>1</v>
      </c>
      <c r="AC3025" s="4">
        <v>16</v>
      </c>
      <c r="AD3025" s="4">
        <v>115</v>
      </c>
      <c r="AE3025" s="4">
        <v>146</v>
      </c>
      <c r="AF3025" s="4">
        <v>0</v>
      </c>
      <c r="AG3025" s="4">
        <v>8</v>
      </c>
      <c r="AH3025" s="4">
        <v>104</v>
      </c>
      <c r="AI3025" s="4">
        <v>110</v>
      </c>
      <c r="AJ3025" s="4">
        <v>18</v>
      </c>
      <c r="AK3025" s="4">
        <v>26</v>
      </c>
      <c r="AL3025" s="4">
        <v>56</v>
      </c>
      <c r="AM3025" s="4">
        <v>59</v>
      </c>
      <c r="AN3025" s="4">
        <v>0</v>
      </c>
      <c r="AO3025" s="4">
        <v>0</v>
      </c>
      <c r="AP3025" s="4">
        <v>16</v>
      </c>
      <c r="AQ3025" s="4">
        <v>43</v>
      </c>
      <c r="AR3025" s="3" t="s">
        <v>63</v>
      </c>
      <c r="AS3025" s="3" t="s">
        <v>63</v>
      </c>
      <c r="AT3025" s="3" t="s">
        <v>62</v>
      </c>
      <c r="AU3025" s="6" t="str">
        <f>HYPERLINK("http://catalog.hathitrust.org/Record/000115114","HathiTrust Record")</f>
        <v>HathiTrust Record</v>
      </c>
      <c r="AV3025" s="6" t="str">
        <f>HYPERLINK("http://mcgill.on.worldcat.org/oclc/9217623","Catalog Record")</f>
        <v>Catalog Record</v>
      </c>
      <c r="AW3025" s="6" t="str">
        <f>HYPERLINK("http://www.worldcat.org/oclc/9217623","WorldCat Record")</f>
        <v>WorldCat Record</v>
      </c>
      <c r="AX3025" s="3" t="s">
        <v>25332</v>
      </c>
      <c r="AY3025" s="3" t="s">
        <v>25333</v>
      </c>
      <c r="AZ3025" s="3" t="s">
        <v>25334</v>
      </c>
      <c r="BA3025" s="3" t="s">
        <v>25334</v>
      </c>
      <c r="BB3025" s="3" t="s">
        <v>25335</v>
      </c>
      <c r="BC3025" s="3" t="s">
        <v>82</v>
      </c>
      <c r="BD3025" s="3" t="s">
        <v>70</v>
      </c>
      <c r="BE3025" s="3" t="s">
        <v>25336</v>
      </c>
      <c r="BF3025" s="3" t="s">
        <v>25335</v>
      </c>
      <c r="BG3025" s="3" t="s">
        <v>25337</v>
      </c>
    </row>
    <row r="3026" spans="1:59" ht="60" x14ac:dyDescent="0.25">
      <c r="A3026" s="2" t="s">
        <v>59</v>
      </c>
      <c r="B3026" s="2" t="s">
        <v>60</v>
      </c>
      <c r="C3026" s="2" t="s">
        <v>25338</v>
      </c>
      <c r="D3026" s="2" t="s">
        <v>25339</v>
      </c>
      <c r="E3026" s="2" t="s">
        <v>25340</v>
      </c>
      <c r="G3026" s="3" t="s">
        <v>63</v>
      </c>
      <c r="I3026" s="3" t="s">
        <v>63</v>
      </c>
      <c r="J3026" s="3" t="s">
        <v>63</v>
      </c>
      <c r="K3026" s="3" t="s">
        <v>64</v>
      </c>
      <c r="L3026" s="2" t="s">
        <v>25341</v>
      </c>
      <c r="M3026" s="2" t="s">
        <v>4660</v>
      </c>
      <c r="N3026" s="3" t="s">
        <v>313</v>
      </c>
      <c r="P3026" s="3" t="s">
        <v>66</v>
      </c>
      <c r="Q3026" s="2" t="s">
        <v>3902</v>
      </c>
      <c r="R3026" s="3" t="s">
        <v>67</v>
      </c>
      <c r="S3026" s="4">
        <v>0</v>
      </c>
      <c r="T3026" s="4">
        <v>0</v>
      </c>
      <c r="W3026" s="5" t="s">
        <v>69</v>
      </c>
      <c r="X3026" s="5" t="s">
        <v>69</v>
      </c>
      <c r="Y3026" s="4">
        <v>129</v>
      </c>
      <c r="Z3026" s="4">
        <v>9</v>
      </c>
      <c r="AA3026" s="4">
        <v>15</v>
      </c>
      <c r="AB3026" s="4">
        <v>1</v>
      </c>
      <c r="AC3026" s="4">
        <v>5</v>
      </c>
      <c r="AD3026" s="4">
        <v>71</v>
      </c>
      <c r="AE3026" s="4">
        <v>81</v>
      </c>
      <c r="AF3026" s="4">
        <v>0</v>
      </c>
      <c r="AG3026" s="4">
        <v>1</v>
      </c>
      <c r="AH3026" s="4">
        <v>67</v>
      </c>
      <c r="AI3026" s="4">
        <v>74</v>
      </c>
      <c r="AJ3026" s="4">
        <v>5</v>
      </c>
      <c r="AK3026" s="4">
        <v>6</v>
      </c>
      <c r="AL3026" s="4">
        <v>47</v>
      </c>
      <c r="AM3026" s="4">
        <v>51</v>
      </c>
      <c r="AN3026" s="4">
        <v>0</v>
      </c>
      <c r="AO3026" s="4">
        <v>0</v>
      </c>
      <c r="AP3026" s="4">
        <v>5</v>
      </c>
      <c r="AQ3026" s="4">
        <v>8</v>
      </c>
      <c r="AR3026" s="3" t="s">
        <v>63</v>
      </c>
      <c r="AS3026" s="3" t="s">
        <v>63</v>
      </c>
      <c r="AT3026" s="3" t="s">
        <v>63</v>
      </c>
      <c r="AV3026" s="6" t="str">
        <f>HYPERLINK("http://mcgill.on.worldcat.org/oclc/318428623","Catalog Record")</f>
        <v>Catalog Record</v>
      </c>
      <c r="AW3026" s="6" t="str">
        <f>HYPERLINK("http://www.worldcat.org/oclc/318428623","WorldCat Record")</f>
        <v>WorldCat Record</v>
      </c>
      <c r="AX3026" s="3" t="s">
        <v>25342</v>
      </c>
      <c r="AY3026" s="3" t="s">
        <v>25343</v>
      </c>
      <c r="AZ3026" s="3" t="s">
        <v>25344</v>
      </c>
      <c r="BA3026" s="3" t="s">
        <v>25344</v>
      </c>
      <c r="BB3026" s="3" t="s">
        <v>25345</v>
      </c>
      <c r="BC3026" s="3" t="s">
        <v>82</v>
      </c>
      <c r="BD3026" s="3" t="s">
        <v>70</v>
      </c>
      <c r="BE3026" s="3" t="s">
        <v>25346</v>
      </c>
      <c r="BF3026" s="3" t="s">
        <v>25345</v>
      </c>
      <c r="BG3026" s="3" t="s">
        <v>25347</v>
      </c>
    </row>
    <row r="3027" spans="1:59" ht="60" x14ac:dyDescent="0.25">
      <c r="A3027" s="2" t="s">
        <v>59</v>
      </c>
      <c r="B3027" s="2" t="s">
        <v>60</v>
      </c>
      <c r="C3027" s="2" t="s">
        <v>25348</v>
      </c>
      <c r="D3027" s="2" t="s">
        <v>25349</v>
      </c>
      <c r="E3027" s="2" t="s">
        <v>25350</v>
      </c>
      <c r="G3027" s="3" t="s">
        <v>63</v>
      </c>
      <c r="I3027" s="3" t="s">
        <v>63</v>
      </c>
      <c r="J3027" s="3" t="s">
        <v>63</v>
      </c>
      <c r="K3027" s="3" t="s">
        <v>64</v>
      </c>
      <c r="M3027" s="2" t="s">
        <v>25351</v>
      </c>
      <c r="N3027" s="3" t="s">
        <v>313</v>
      </c>
      <c r="P3027" s="3" t="s">
        <v>90</v>
      </c>
      <c r="R3027" s="3" t="s">
        <v>67</v>
      </c>
      <c r="S3027" s="4">
        <v>0</v>
      </c>
      <c r="T3027" s="4">
        <v>0</v>
      </c>
      <c r="W3027" s="5" t="s">
        <v>69</v>
      </c>
      <c r="X3027" s="5" t="s">
        <v>69</v>
      </c>
      <c r="Y3027" s="4">
        <v>34</v>
      </c>
      <c r="Z3027" s="4">
        <v>1</v>
      </c>
      <c r="AA3027" s="4">
        <v>1</v>
      </c>
      <c r="AB3027" s="4">
        <v>1</v>
      </c>
      <c r="AC3027" s="4">
        <v>1</v>
      </c>
      <c r="AD3027" s="4">
        <v>25</v>
      </c>
      <c r="AE3027" s="4">
        <v>25</v>
      </c>
      <c r="AF3027" s="4">
        <v>0</v>
      </c>
      <c r="AG3027" s="4">
        <v>0</v>
      </c>
      <c r="AH3027" s="4">
        <v>24</v>
      </c>
      <c r="AI3027" s="4">
        <v>24</v>
      </c>
      <c r="AJ3027" s="4">
        <v>0</v>
      </c>
      <c r="AK3027" s="4">
        <v>0</v>
      </c>
      <c r="AL3027" s="4">
        <v>20</v>
      </c>
      <c r="AM3027" s="4">
        <v>20</v>
      </c>
      <c r="AN3027" s="4">
        <v>0</v>
      </c>
      <c r="AO3027" s="4">
        <v>0</v>
      </c>
      <c r="AP3027" s="4">
        <v>0</v>
      </c>
      <c r="AQ3027" s="4">
        <v>0</v>
      </c>
      <c r="AR3027" s="3" t="s">
        <v>63</v>
      </c>
      <c r="AS3027" s="3" t="s">
        <v>63</v>
      </c>
      <c r="AT3027" s="3" t="s">
        <v>63</v>
      </c>
      <c r="AV3027" s="6" t="str">
        <f>HYPERLINK("http://mcgill.on.worldcat.org/oclc/608633587","Catalog Record")</f>
        <v>Catalog Record</v>
      </c>
      <c r="AW3027" s="6" t="str">
        <f>HYPERLINK("http://www.worldcat.org/oclc/608633587","WorldCat Record")</f>
        <v>WorldCat Record</v>
      </c>
      <c r="AX3027" s="3" t="s">
        <v>25352</v>
      </c>
      <c r="AY3027" s="3" t="s">
        <v>25353</v>
      </c>
      <c r="AZ3027" s="3" t="s">
        <v>25354</v>
      </c>
      <c r="BA3027" s="3" t="s">
        <v>25354</v>
      </c>
      <c r="BB3027" s="3" t="s">
        <v>25355</v>
      </c>
      <c r="BC3027" s="3" t="s">
        <v>82</v>
      </c>
      <c r="BD3027" s="3" t="s">
        <v>70</v>
      </c>
      <c r="BE3027" s="3" t="s">
        <v>25356</v>
      </c>
      <c r="BF3027" s="3" t="s">
        <v>25355</v>
      </c>
      <c r="BG3027" s="3" t="s">
        <v>25357</v>
      </c>
    </row>
    <row r="3028" spans="1:59" ht="60" x14ac:dyDescent="0.25">
      <c r="A3028" s="2" t="s">
        <v>59</v>
      </c>
      <c r="B3028" s="2" t="s">
        <v>60</v>
      </c>
      <c r="C3028" s="2" t="s">
        <v>25358</v>
      </c>
      <c r="D3028" s="2" t="s">
        <v>25359</v>
      </c>
      <c r="E3028" s="2" t="s">
        <v>25360</v>
      </c>
      <c r="G3028" s="3" t="s">
        <v>63</v>
      </c>
      <c r="I3028" s="3" t="s">
        <v>63</v>
      </c>
      <c r="J3028" s="3" t="s">
        <v>63</v>
      </c>
      <c r="K3028" s="3" t="s">
        <v>64</v>
      </c>
      <c r="L3028" s="2" t="s">
        <v>25361</v>
      </c>
      <c r="M3028" s="2" t="s">
        <v>25362</v>
      </c>
      <c r="N3028" s="3" t="s">
        <v>546</v>
      </c>
      <c r="P3028" s="3" t="s">
        <v>90</v>
      </c>
      <c r="R3028" s="3" t="s">
        <v>67</v>
      </c>
      <c r="S3028" s="4">
        <v>3</v>
      </c>
      <c r="T3028" s="4">
        <v>3</v>
      </c>
      <c r="U3028" s="5" t="s">
        <v>3569</v>
      </c>
      <c r="V3028" s="5" t="s">
        <v>3569</v>
      </c>
      <c r="W3028" s="5" t="s">
        <v>69</v>
      </c>
      <c r="X3028" s="5" t="s">
        <v>69</v>
      </c>
      <c r="Y3028" s="4">
        <v>40</v>
      </c>
      <c r="Z3028" s="4">
        <v>1</v>
      </c>
      <c r="AA3028" s="4">
        <v>1</v>
      </c>
      <c r="AB3028" s="4">
        <v>1</v>
      </c>
      <c r="AC3028" s="4">
        <v>1</v>
      </c>
      <c r="AD3028" s="4">
        <v>25</v>
      </c>
      <c r="AE3028" s="4">
        <v>25</v>
      </c>
      <c r="AF3028" s="4">
        <v>0</v>
      </c>
      <c r="AG3028" s="4">
        <v>0</v>
      </c>
      <c r="AH3028" s="4">
        <v>22</v>
      </c>
      <c r="AI3028" s="4">
        <v>22</v>
      </c>
      <c r="AJ3028" s="4">
        <v>0</v>
      </c>
      <c r="AK3028" s="4">
        <v>0</v>
      </c>
      <c r="AL3028" s="4">
        <v>17</v>
      </c>
      <c r="AM3028" s="4">
        <v>17</v>
      </c>
      <c r="AN3028" s="4">
        <v>0</v>
      </c>
      <c r="AO3028" s="4">
        <v>0</v>
      </c>
      <c r="AP3028" s="4">
        <v>0</v>
      </c>
      <c r="AQ3028" s="4">
        <v>0</v>
      </c>
      <c r="AR3028" s="3" t="s">
        <v>63</v>
      </c>
      <c r="AS3028" s="3" t="s">
        <v>63</v>
      </c>
      <c r="AT3028" s="3" t="s">
        <v>62</v>
      </c>
      <c r="AU3028" s="6" t="str">
        <f>HYPERLINK("http://catalog.hathitrust.org/Record/006706017","HathiTrust Record")</f>
        <v>HathiTrust Record</v>
      </c>
      <c r="AV3028" s="6" t="str">
        <f>HYPERLINK("http://mcgill.on.worldcat.org/oclc/4936844","Catalog Record")</f>
        <v>Catalog Record</v>
      </c>
      <c r="AW3028" s="6" t="str">
        <f>HYPERLINK("http://www.worldcat.org/oclc/4936844","WorldCat Record")</f>
        <v>WorldCat Record</v>
      </c>
      <c r="AX3028" s="3" t="s">
        <v>25363</v>
      </c>
      <c r="AY3028" s="3" t="s">
        <v>25364</v>
      </c>
      <c r="AZ3028" s="3" t="s">
        <v>25365</v>
      </c>
      <c r="BA3028" s="3" t="s">
        <v>25365</v>
      </c>
      <c r="BB3028" s="3" t="s">
        <v>25366</v>
      </c>
      <c r="BC3028" s="3" t="s">
        <v>82</v>
      </c>
      <c r="BD3028" s="3" t="s">
        <v>70</v>
      </c>
      <c r="BF3028" s="3" t="s">
        <v>25366</v>
      </c>
      <c r="BG3028" s="3" t="s">
        <v>25367</v>
      </c>
    </row>
    <row r="3029" spans="1:59" ht="60" x14ac:dyDescent="0.25">
      <c r="A3029" s="2" t="s">
        <v>59</v>
      </c>
      <c r="B3029" s="2" t="s">
        <v>60</v>
      </c>
      <c r="C3029" s="2" t="s">
        <v>25368</v>
      </c>
      <c r="D3029" s="2" t="s">
        <v>25369</v>
      </c>
      <c r="E3029" s="2" t="s">
        <v>25370</v>
      </c>
      <c r="G3029" s="3" t="s">
        <v>63</v>
      </c>
      <c r="I3029" s="3" t="s">
        <v>63</v>
      </c>
      <c r="J3029" s="3" t="s">
        <v>63</v>
      </c>
      <c r="K3029" s="3" t="s">
        <v>64</v>
      </c>
      <c r="L3029" s="2" t="s">
        <v>25371</v>
      </c>
      <c r="M3029" s="2" t="s">
        <v>25372</v>
      </c>
      <c r="N3029" s="3" t="s">
        <v>247</v>
      </c>
      <c r="P3029" s="3" t="s">
        <v>66</v>
      </c>
      <c r="R3029" s="3" t="s">
        <v>67</v>
      </c>
      <c r="S3029" s="4">
        <v>12</v>
      </c>
      <c r="T3029" s="4">
        <v>12</v>
      </c>
      <c r="U3029" s="5" t="s">
        <v>17722</v>
      </c>
      <c r="V3029" s="5" t="s">
        <v>17722</v>
      </c>
      <c r="W3029" s="5" t="s">
        <v>69</v>
      </c>
      <c r="X3029" s="5" t="s">
        <v>69</v>
      </c>
      <c r="Y3029" s="4">
        <v>216</v>
      </c>
      <c r="Z3029" s="4">
        <v>4</v>
      </c>
      <c r="AA3029" s="4">
        <v>24</v>
      </c>
      <c r="AB3029" s="4">
        <v>1</v>
      </c>
      <c r="AC3029" s="4">
        <v>2</v>
      </c>
      <c r="AD3029" s="4">
        <v>48</v>
      </c>
      <c r="AE3029" s="4">
        <v>110</v>
      </c>
      <c r="AF3029" s="4">
        <v>0</v>
      </c>
      <c r="AG3029" s="4">
        <v>1</v>
      </c>
      <c r="AH3029" s="4">
        <v>46</v>
      </c>
      <c r="AI3029" s="4">
        <v>98</v>
      </c>
      <c r="AJ3029" s="4">
        <v>2</v>
      </c>
      <c r="AK3029" s="4">
        <v>16</v>
      </c>
      <c r="AL3029" s="4">
        <v>23</v>
      </c>
      <c r="AM3029" s="4">
        <v>58</v>
      </c>
      <c r="AN3029" s="4">
        <v>0</v>
      </c>
      <c r="AO3029" s="4">
        <v>0</v>
      </c>
      <c r="AP3029" s="4">
        <v>3</v>
      </c>
      <c r="AQ3029" s="4">
        <v>19</v>
      </c>
      <c r="AR3029" s="3" t="s">
        <v>63</v>
      </c>
      <c r="AS3029" s="3" t="s">
        <v>63</v>
      </c>
      <c r="AT3029" s="3" t="s">
        <v>63</v>
      </c>
      <c r="AV3029" s="6" t="str">
        <f>HYPERLINK("http://mcgill.on.worldcat.org/oclc/7945979","Catalog Record")</f>
        <v>Catalog Record</v>
      </c>
      <c r="AW3029" s="6" t="str">
        <f>HYPERLINK("http://www.worldcat.org/oclc/7945979","WorldCat Record")</f>
        <v>WorldCat Record</v>
      </c>
      <c r="AX3029" s="3" t="s">
        <v>25373</v>
      </c>
      <c r="AY3029" s="3" t="s">
        <v>25374</v>
      </c>
      <c r="AZ3029" s="3" t="s">
        <v>25375</v>
      </c>
      <c r="BA3029" s="3" t="s">
        <v>25375</v>
      </c>
      <c r="BB3029" s="3" t="s">
        <v>25376</v>
      </c>
      <c r="BC3029" s="3" t="s">
        <v>82</v>
      </c>
      <c r="BD3029" s="3" t="s">
        <v>70</v>
      </c>
      <c r="BE3029" s="3" t="s">
        <v>25377</v>
      </c>
      <c r="BF3029" s="3" t="s">
        <v>25376</v>
      </c>
      <c r="BG3029" s="3" t="s">
        <v>25378</v>
      </c>
    </row>
    <row r="3030" spans="1:59" ht="105" x14ac:dyDescent="0.25">
      <c r="A3030" s="2" t="s">
        <v>59</v>
      </c>
      <c r="B3030" s="2" t="s">
        <v>60</v>
      </c>
      <c r="C3030" s="2" t="s">
        <v>25379</v>
      </c>
      <c r="D3030" s="2" t="s">
        <v>25380</v>
      </c>
      <c r="E3030" s="2" t="s">
        <v>25381</v>
      </c>
      <c r="G3030" s="3" t="s">
        <v>63</v>
      </c>
      <c r="I3030" s="3" t="s">
        <v>63</v>
      </c>
      <c r="J3030" s="3" t="s">
        <v>63</v>
      </c>
      <c r="K3030" s="3" t="s">
        <v>64</v>
      </c>
      <c r="L3030" s="2" t="s">
        <v>25382</v>
      </c>
      <c r="M3030" s="2" t="s">
        <v>25383</v>
      </c>
      <c r="N3030" s="3" t="s">
        <v>362</v>
      </c>
      <c r="O3030" s="2" t="s">
        <v>25384</v>
      </c>
      <c r="P3030" s="3" t="s">
        <v>66</v>
      </c>
      <c r="Q3030" s="2" t="s">
        <v>25385</v>
      </c>
      <c r="R3030" s="3" t="s">
        <v>67</v>
      </c>
      <c r="S3030" s="4">
        <v>6</v>
      </c>
      <c r="T3030" s="4">
        <v>6</v>
      </c>
      <c r="U3030" s="5" t="s">
        <v>1356</v>
      </c>
      <c r="V3030" s="5" t="s">
        <v>1356</v>
      </c>
      <c r="W3030" s="5" t="s">
        <v>69</v>
      </c>
      <c r="X3030" s="5" t="s">
        <v>69</v>
      </c>
      <c r="Y3030" s="4">
        <v>105</v>
      </c>
      <c r="Z3030" s="4">
        <v>4</v>
      </c>
      <c r="AA3030" s="4">
        <v>4</v>
      </c>
      <c r="AB3030" s="4">
        <v>2</v>
      </c>
      <c r="AC3030" s="4">
        <v>2</v>
      </c>
      <c r="AD3030" s="4">
        <v>61</v>
      </c>
      <c r="AE3030" s="4">
        <v>61</v>
      </c>
      <c r="AF3030" s="4">
        <v>0</v>
      </c>
      <c r="AG3030" s="4">
        <v>0</v>
      </c>
      <c r="AH3030" s="4">
        <v>57</v>
      </c>
      <c r="AI3030" s="4">
        <v>57</v>
      </c>
      <c r="AJ3030" s="4">
        <v>2</v>
      </c>
      <c r="AK3030" s="4">
        <v>2</v>
      </c>
      <c r="AL3030" s="4">
        <v>36</v>
      </c>
      <c r="AM3030" s="4">
        <v>36</v>
      </c>
      <c r="AN3030" s="4">
        <v>0</v>
      </c>
      <c r="AO3030" s="4">
        <v>0</v>
      </c>
      <c r="AP3030" s="4">
        <v>2</v>
      </c>
      <c r="AQ3030" s="4">
        <v>2</v>
      </c>
      <c r="AR3030" s="3" t="s">
        <v>63</v>
      </c>
      <c r="AS3030" s="3" t="s">
        <v>63</v>
      </c>
      <c r="AT3030" s="3" t="s">
        <v>63</v>
      </c>
      <c r="AV3030" s="6" t="str">
        <f>HYPERLINK("http://mcgill.on.worldcat.org/oclc/47366762","Catalog Record")</f>
        <v>Catalog Record</v>
      </c>
      <c r="AW3030" s="6" t="str">
        <f>HYPERLINK("http://www.worldcat.org/oclc/47366762","WorldCat Record")</f>
        <v>WorldCat Record</v>
      </c>
      <c r="AX3030" s="3" t="s">
        <v>25386</v>
      </c>
      <c r="AY3030" s="3" t="s">
        <v>25387</v>
      </c>
      <c r="AZ3030" s="3" t="s">
        <v>25388</v>
      </c>
      <c r="BA3030" s="3" t="s">
        <v>25388</v>
      </c>
      <c r="BB3030" s="3" t="s">
        <v>25389</v>
      </c>
      <c r="BC3030" s="3" t="s">
        <v>82</v>
      </c>
      <c r="BD3030" s="3" t="s">
        <v>70</v>
      </c>
      <c r="BE3030" s="3" t="s">
        <v>25390</v>
      </c>
      <c r="BF3030" s="3" t="s">
        <v>25389</v>
      </c>
      <c r="BG3030" s="3" t="s">
        <v>25391</v>
      </c>
    </row>
    <row r="3031" spans="1:59" ht="75" x14ac:dyDescent="0.25">
      <c r="A3031" s="2" t="s">
        <v>59</v>
      </c>
      <c r="B3031" s="2" t="s">
        <v>60</v>
      </c>
      <c r="C3031" s="2" t="s">
        <v>25392</v>
      </c>
      <c r="D3031" s="2" t="s">
        <v>25393</v>
      </c>
      <c r="E3031" s="2" t="s">
        <v>25394</v>
      </c>
      <c r="G3031" s="3" t="s">
        <v>63</v>
      </c>
      <c r="I3031" s="3" t="s">
        <v>63</v>
      </c>
      <c r="J3031" s="3" t="s">
        <v>63</v>
      </c>
      <c r="K3031" s="3" t="s">
        <v>64</v>
      </c>
      <c r="L3031" s="2" t="s">
        <v>25395</v>
      </c>
      <c r="M3031" s="2" t="s">
        <v>25396</v>
      </c>
      <c r="N3031" s="3" t="s">
        <v>234</v>
      </c>
      <c r="P3031" s="3" t="s">
        <v>66</v>
      </c>
      <c r="Q3031" s="2" t="s">
        <v>25397</v>
      </c>
      <c r="R3031" s="3" t="s">
        <v>67</v>
      </c>
      <c r="S3031" s="4">
        <v>9</v>
      </c>
      <c r="T3031" s="4">
        <v>9</v>
      </c>
      <c r="U3031" s="5" t="s">
        <v>19135</v>
      </c>
      <c r="V3031" s="5" t="s">
        <v>19135</v>
      </c>
      <c r="W3031" s="5" t="s">
        <v>69</v>
      </c>
      <c r="X3031" s="5" t="s">
        <v>69</v>
      </c>
      <c r="Y3031" s="4">
        <v>185</v>
      </c>
      <c r="Z3031" s="4">
        <v>15</v>
      </c>
      <c r="AA3031" s="4">
        <v>15</v>
      </c>
      <c r="AB3031" s="4">
        <v>1</v>
      </c>
      <c r="AC3031" s="4">
        <v>1</v>
      </c>
      <c r="AD3031" s="4">
        <v>76</v>
      </c>
      <c r="AE3031" s="4">
        <v>79</v>
      </c>
      <c r="AF3031" s="4">
        <v>0</v>
      </c>
      <c r="AG3031" s="4">
        <v>0</v>
      </c>
      <c r="AH3031" s="4">
        <v>69</v>
      </c>
      <c r="AI3031" s="4">
        <v>72</v>
      </c>
      <c r="AJ3031" s="4">
        <v>11</v>
      </c>
      <c r="AK3031" s="4">
        <v>11</v>
      </c>
      <c r="AL3031" s="4">
        <v>44</v>
      </c>
      <c r="AM3031" s="4">
        <v>46</v>
      </c>
      <c r="AN3031" s="4">
        <v>0</v>
      </c>
      <c r="AO3031" s="4">
        <v>0</v>
      </c>
      <c r="AP3031" s="4">
        <v>12</v>
      </c>
      <c r="AQ3031" s="4">
        <v>12</v>
      </c>
      <c r="AR3031" s="3" t="s">
        <v>63</v>
      </c>
      <c r="AS3031" s="3" t="s">
        <v>63</v>
      </c>
      <c r="AT3031" s="3" t="s">
        <v>62</v>
      </c>
      <c r="AU3031" s="6" t="str">
        <f>HYPERLINK("http://catalog.hathitrust.org/Record/007149114","HathiTrust Record")</f>
        <v>HathiTrust Record</v>
      </c>
      <c r="AV3031" s="6" t="str">
        <f>HYPERLINK("http://mcgill.on.worldcat.org/oclc/64571831","Catalog Record")</f>
        <v>Catalog Record</v>
      </c>
      <c r="AW3031" s="6" t="str">
        <f>HYPERLINK("http://www.worldcat.org/oclc/64571831","WorldCat Record")</f>
        <v>WorldCat Record</v>
      </c>
      <c r="AX3031" s="3" t="s">
        <v>25398</v>
      </c>
      <c r="AY3031" s="3" t="s">
        <v>25399</v>
      </c>
      <c r="AZ3031" s="3" t="s">
        <v>25400</v>
      </c>
      <c r="BA3031" s="3" t="s">
        <v>25400</v>
      </c>
      <c r="BB3031" s="3" t="s">
        <v>25401</v>
      </c>
      <c r="BC3031" s="3" t="s">
        <v>82</v>
      </c>
      <c r="BD3031" s="3" t="s">
        <v>70</v>
      </c>
      <c r="BE3031" s="3" t="s">
        <v>25402</v>
      </c>
      <c r="BF3031" s="3" t="s">
        <v>25401</v>
      </c>
      <c r="BG3031" s="3" t="s">
        <v>25403</v>
      </c>
    </row>
    <row r="3032" spans="1:59" ht="75" x14ac:dyDescent="0.25">
      <c r="A3032" s="2" t="s">
        <v>59</v>
      </c>
      <c r="B3032" s="2" t="s">
        <v>60</v>
      </c>
      <c r="C3032" s="2" t="s">
        <v>25404</v>
      </c>
      <c r="D3032" s="2" t="s">
        <v>25405</v>
      </c>
      <c r="E3032" s="2" t="s">
        <v>25406</v>
      </c>
      <c r="G3032" s="3" t="s">
        <v>63</v>
      </c>
      <c r="I3032" s="3" t="s">
        <v>63</v>
      </c>
      <c r="J3032" s="3" t="s">
        <v>63</v>
      </c>
      <c r="K3032" s="3" t="s">
        <v>64</v>
      </c>
      <c r="L3032" s="2" t="s">
        <v>25395</v>
      </c>
      <c r="M3032" s="2" t="s">
        <v>24775</v>
      </c>
      <c r="N3032" s="3" t="s">
        <v>326</v>
      </c>
      <c r="P3032" s="3" t="s">
        <v>66</v>
      </c>
      <c r="Q3032" s="2" t="s">
        <v>25407</v>
      </c>
      <c r="R3032" s="3" t="s">
        <v>67</v>
      </c>
      <c r="S3032" s="4">
        <v>11</v>
      </c>
      <c r="T3032" s="4">
        <v>11</v>
      </c>
      <c r="U3032" s="5" t="s">
        <v>1047</v>
      </c>
      <c r="V3032" s="5" t="s">
        <v>1047</v>
      </c>
      <c r="W3032" s="5" t="s">
        <v>69</v>
      </c>
      <c r="X3032" s="5" t="s">
        <v>69</v>
      </c>
      <c r="Y3032" s="4">
        <v>346</v>
      </c>
      <c r="Z3032" s="4">
        <v>23</v>
      </c>
      <c r="AA3032" s="4">
        <v>23</v>
      </c>
      <c r="AB3032" s="4">
        <v>2</v>
      </c>
      <c r="AC3032" s="4">
        <v>2</v>
      </c>
      <c r="AD3032" s="4">
        <v>82</v>
      </c>
      <c r="AE3032" s="4">
        <v>82</v>
      </c>
      <c r="AF3032" s="4">
        <v>0</v>
      </c>
      <c r="AG3032" s="4">
        <v>0</v>
      </c>
      <c r="AH3032" s="4">
        <v>77</v>
      </c>
      <c r="AI3032" s="4">
        <v>77</v>
      </c>
      <c r="AJ3032" s="4">
        <v>8</v>
      </c>
      <c r="AK3032" s="4">
        <v>8</v>
      </c>
      <c r="AL3032" s="4">
        <v>52</v>
      </c>
      <c r="AM3032" s="4">
        <v>52</v>
      </c>
      <c r="AN3032" s="4">
        <v>0</v>
      </c>
      <c r="AO3032" s="4">
        <v>0</v>
      </c>
      <c r="AP3032" s="4">
        <v>9</v>
      </c>
      <c r="AQ3032" s="4">
        <v>9</v>
      </c>
      <c r="AR3032" s="3" t="s">
        <v>63</v>
      </c>
      <c r="AS3032" s="3" t="s">
        <v>63</v>
      </c>
      <c r="AT3032" s="3" t="s">
        <v>63</v>
      </c>
      <c r="AV3032" s="6" t="str">
        <f>HYPERLINK("http://mcgill.on.worldcat.org/oclc/264044003","Catalog Record")</f>
        <v>Catalog Record</v>
      </c>
      <c r="AW3032" s="6" t="str">
        <f>HYPERLINK("http://www.worldcat.org/oclc/264044003","WorldCat Record")</f>
        <v>WorldCat Record</v>
      </c>
      <c r="AX3032" s="3" t="s">
        <v>25408</v>
      </c>
      <c r="AY3032" s="3" t="s">
        <v>25409</v>
      </c>
      <c r="AZ3032" s="3" t="s">
        <v>25410</v>
      </c>
      <c r="BA3032" s="3" t="s">
        <v>25410</v>
      </c>
      <c r="BB3032" s="3" t="s">
        <v>25411</v>
      </c>
      <c r="BC3032" s="3" t="s">
        <v>82</v>
      </c>
      <c r="BD3032" s="3" t="s">
        <v>538</v>
      </c>
      <c r="BE3032" s="3" t="s">
        <v>25412</v>
      </c>
      <c r="BF3032" s="3" t="s">
        <v>25411</v>
      </c>
      <c r="BG3032" s="3" t="s">
        <v>25413</v>
      </c>
    </row>
    <row r="3033" spans="1:59" ht="60" x14ac:dyDescent="0.25">
      <c r="A3033" s="2" t="s">
        <v>59</v>
      </c>
      <c r="B3033" s="2" t="s">
        <v>60</v>
      </c>
      <c r="C3033" s="2" t="s">
        <v>25414</v>
      </c>
      <c r="D3033" s="2" t="s">
        <v>25415</v>
      </c>
      <c r="E3033" s="2" t="s">
        <v>25416</v>
      </c>
      <c r="F3033" s="3" t="s">
        <v>61</v>
      </c>
      <c r="G3033" s="3" t="s">
        <v>62</v>
      </c>
      <c r="I3033" s="3" t="s">
        <v>63</v>
      </c>
      <c r="J3033" s="3" t="s">
        <v>63</v>
      </c>
      <c r="K3033" s="3" t="s">
        <v>64</v>
      </c>
      <c r="L3033" s="2" t="s">
        <v>25417</v>
      </c>
      <c r="M3033" s="2" t="s">
        <v>25418</v>
      </c>
      <c r="N3033" s="3" t="s">
        <v>2043</v>
      </c>
      <c r="P3033" s="3" t="s">
        <v>90</v>
      </c>
      <c r="R3033" s="3" t="s">
        <v>67</v>
      </c>
      <c r="S3033" s="4">
        <v>2</v>
      </c>
      <c r="T3033" s="4">
        <v>8</v>
      </c>
      <c r="U3033" s="5" t="s">
        <v>7280</v>
      </c>
      <c r="V3033" s="5" t="s">
        <v>4192</v>
      </c>
      <c r="W3033" s="5" t="s">
        <v>69</v>
      </c>
      <c r="X3033" s="5" t="s">
        <v>69</v>
      </c>
      <c r="Y3033" s="4">
        <v>47</v>
      </c>
      <c r="Z3033" s="4">
        <v>6</v>
      </c>
      <c r="AA3033" s="4">
        <v>12</v>
      </c>
      <c r="AB3033" s="4">
        <v>1</v>
      </c>
      <c r="AC3033" s="4">
        <v>1</v>
      </c>
      <c r="AD3033" s="4">
        <v>33</v>
      </c>
      <c r="AE3033" s="4">
        <v>66</v>
      </c>
      <c r="AF3033" s="4">
        <v>0</v>
      </c>
      <c r="AG3033" s="4">
        <v>0</v>
      </c>
      <c r="AH3033" s="4">
        <v>30</v>
      </c>
      <c r="AI3033" s="4">
        <v>60</v>
      </c>
      <c r="AJ3033" s="4">
        <v>4</v>
      </c>
      <c r="AK3033" s="4">
        <v>9</v>
      </c>
      <c r="AL3033" s="4">
        <v>25</v>
      </c>
      <c r="AM3033" s="4">
        <v>41</v>
      </c>
      <c r="AN3033" s="4">
        <v>0</v>
      </c>
      <c r="AO3033" s="4">
        <v>0</v>
      </c>
      <c r="AP3033" s="4">
        <v>4</v>
      </c>
      <c r="AQ3033" s="4">
        <v>10</v>
      </c>
      <c r="AR3033" s="3" t="s">
        <v>63</v>
      </c>
      <c r="AS3033" s="3" t="s">
        <v>63</v>
      </c>
      <c r="AT3033" s="3" t="s">
        <v>62</v>
      </c>
      <c r="AU3033" s="6" t="str">
        <f>HYPERLINK("http://catalog.hathitrust.org/Record/101896987","HathiTrust Record")</f>
        <v>HathiTrust Record</v>
      </c>
      <c r="AV3033" s="6" t="str">
        <f>HYPERLINK("http://mcgill.on.worldcat.org/oclc/8763581","Catalog Record")</f>
        <v>Catalog Record</v>
      </c>
      <c r="AW3033" s="6" t="str">
        <f>HYPERLINK("http://www.worldcat.org/oclc/8763581","WorldCat Record")</f>
        <v>WorldCat Record</v>
      </c>
      <c r="AX3033" s="3" t="s">
        <v>25419</v>
      </c>
      <c r="AY3033" s="3" t="s">
        <v>25420</v>
      </c>
      <c r="AZ3033" s="3" t="s">
        <v>25421</v>
      </c>
      <c r="BA3033" s="3" t="s">
        <v>25421</v>
      </c>
      <c r="BB3033" s="3" t="s">
        <v>25422</v>
      </c>
      <c r="BC3033" s="3" t="s">
        <v>82</v>
      </c>
      <c r="BD3033" s="3" t="s">
        <v>70</v>
      </c>
      <c r="BF3033" s="3" t="s">
        <v>25422</v>
      </c>
      <c r="BG3033" s="3" t="s">
        <v>25423</v>
      </c>
    </row>
    <row r="3034" spans="1:59" ht="60" x14ac:dyDescent="0.25">
      <c r="A3034" s="2" t="s">
        <v>59</v>
      </c>
      <c r="B3034" s="2" t="s">
        <v>60</v>
      </c>
      <c r="C3034" s="2" t="s">
        <v>25414</v>
      </c>
      <c r="D3034" s="2" t="s">
        <v>25415</v>
      </c>
      <c r="E3034" s="2" t="s">
        <v>25416</v>
      </c>
      <c r="F3034" s="3" t="s">
        <v>1095</v>
      </c>
      <c r="G3034" s="3" t="s">
        <v>62</v>
      </c>
      <c r="I3034" s="3" t="s">
        <v>63</v>
      </c>
      <c r="J3034" s="3" t="s">
        <v>63</v>
      </c>
      <c r="K3034" s="3" t="s">
        <v>64</v>
      </c>
      <c r="L3034" s="2" t="s">
        <v>25417</v>
      </c>
      <c r="M3034" s="2" t="s">
        <v>25418</v>
      </c>
      <c r="N3034" s="3" t="s">
        <v>2043</v>
      </c>
      <c r="P3034" s="3" t="s">
        <v>90</v>
      </c>
      <c r="R3034" s="3" t="s">
        <v>67</v>
      </c>
      <c r="S3034" s="4">
        <v>2</v>
      </c>
      <c r="T3034" s="4">
        <v>8</v>
      </c>
      <c r="U3034" s="5" t="s">
        <v>12050</v>
      </c>
      <c r="V3034" s="5" t="s">
        <v>4192</v>
      </c>
      <c r="W3034" s="5" t="s">
        <v>69</v>
      </c>
      <c r="X3034" s="5" t="s">
        <v>69</v>
      </c>
      <c r="Y3034" s="4">
        <v>47</v>
      </c>
      <c r="Z3034" s="4">
        <v>6</v>
      </c>
      <c r="AA3034" s="4">
        <v>12</v>
      </c>
      <c r="AB3034" s="4">
        <v>1</v>
      </c>
      <c r="AC3034" s="4">
        <v>1</v>
      </c>
      <c r="AD3034" s="4">
        <v>33</v>
      </c>
      <c r="AE3034" s="4">
        <v>66</v>
      </c>
      <c r="AF3034" s="4">
        <v>0</v>
      </c>
      <c r="AG3034" s="4">
        <v>0</v>
      </c>
      <c r="AH3034" s="4">
        <v>30</v>
      </c>
      <c r="AI3034" s="4">
        <v>60</v>
      </c>
      <c r="AJ3034" s="4">
        <v>4</v>
      </c>
      <c r="AK3034" s="4">
        <v>9</v>
      </c>
      <c r="AL3034" s="4">
        <v>25</v>
      </c>
      <c r="AM3034" s="4">
        <v>41</v>
      </c>
      <c r="AN3034" s="4">
        <v>0</v>
      </c>
      <c r="AO3034" s="4">
        <v>0</v>
      </c>
      <c r="AP3034" s="4">
        <v>4</v>
      </c>
      <c r="AQ3034" s="4">
        <v>10</v>
      </c>
      <c r="AR3034" s="3" t="s">
        <v>63</v>
      </c>
      <c r="AS3034" s="3" t="s">
        <v>63</v>
      </c>
      <c r="AT3034" s="3" t="s">
        <v>62</v>
      </c>
      <c r="AU3034" s="6" t="str">
        <f>HYPERLINK("http://catalog.hathitrust.org/Record/101896987","HathiTrust Record")</f>
        <v>HathiTrust Record</v>
      </c>
      <c r="AV3034" s="6" t="str">
        <f>HYPERLINK("http://mcgill.on.worldcat.org/oclc/8763581","Catalog Record")</f>
        <v>Catalog Record</v>
      </c>
      <c r="AW3034" s="6" t="str">
        <f>HYPERLINK("http://www.worldcat.org/oclc/8763581","WorldCat Record")</f>
        <v>WorldCat Record</v>
      </c>
      <c r="AX3034" s="3" t="s">
        <v>25419</v>
      </c>
      <c r="AY3034" s="3" t="s">
        <v>25420</v>
      </c>
      <c r="AZ3034" s="3" t="s">
        <v>25421</v>
      </c>
      <c r="BA3034" s="3" t="s">
        <v>25421</v>
      </c>
      <c r="BB3034" s="3" t="s">
        <v>25424</v>
      </c>
      <c r="BC3034" s="3" t="s">
        <v>82</v>
      </c>
      <c r="BD3034" s="3" t="s">
        <v>70</v>
      </c>
      <c r="BF3034" s="3" t="s">
        <v>25424</v>
      </c>
      <c r="BG3034" s="3" t="s">
        <v>25425</v>
      </c>
    </row>
    <row r="3035" spans="1:59" ht="60" x14ac:dyDescent="0.25">
      <c r="A3035" s="2" t="s">
        <v>59</v>
      </c>
      <c r="B3035" s="2" t="s">
        <v>60</v>
      </c>
      <c r="C3035" s="2" t="s">
        <v>25414</v>
      </c>
      <c r="D3035" s="2" t="s">
        <v>25415</v>
      </c>
      <c r="E3035" s="2" t="s">
        <v>25416</v>
      </c>
      <c r="F3035" s="3" t="s">
        <v>1384</v>
      </c>
      <c r="G3035" s="3" t="s">
        <v>62</v>
      </c>
      <c r="I3035" s="3" t="s">
        <v>63</v>
      </c>
      <c r="J3035" s="3" t="s">
        <v>63</v>
      </c>
      <c r="K3035" s="3" t="s">
        <v>64</v>
      </c>
      <c r="L3035" s="2" t="s">
        <v>25417</v>
      </c>
      <c r="M3035" s="2" t="s">
        <v>25418</v>
      </c>
      <c r="N3035" s="3" t="s">
        <v>2043</v>
      </c>
      <c r="P3035" s="3" t="s">
        <v>90</v>
      </c>
      <c r="R3035" s="3" t="s">
        <v>67</v>
      </c>
      <c r="S3035" s="4">
        <v>0</v>
      </c>
      <c r="T3035" s="4">
        <v>8</v>
      </c>
      <c r="V3035" s="5" t="s">
        <v>4192</v>
      </c>
      <c r="W3035" s="5" t="s">
        <v>69</v>
      </c>
      <c r="X3035" s="5" t="s">
        <v>69</v>
      </c>
      <c r="Y3035" s="4">
        <v>47</v>
      </c>
      <c r="Z3035" s="4">
        <v>6</v>
      </c>
      <c r="AA3035" s="4">
        <v>12</v>
      </c>
      <c r="AB3035" s="4">
        <v>1</v>
      </c>
      <c r="AC3035" s="4">
        <v>1</v>
      </c>
      <c r="AD3035" s="4">
        <v>33</v>
      </c>
      <c r="AE3035" s="4">
        <v>66</v>
      </c>
      <c r="AF3035" s="4">
        <v>0</v>
      </c>
      <c r="AG3035" s="4">
        <v>0</v>
      </c>
      <c r="AH3035" s="4">
        <v>30</v>
      </c>
      <c r="AI3035" s="4">
        <v>60</v>
      </c>
      <c r="AJ3035" s="4">
        <v>4</v>
      </c>
      <c r="AK3035" s="4">
        <v>9</v>
      </c>
      <c r="AL3035" s="4">
        <v>25</v>
      </c>
      <c r="AM3035" s="4">
        <v>41</v>
      </c>
      <c r="AN3035" s="4">
        <v>0</v>
      </c>
      <c r="AO3035" s="4">
        <v>0</v>
      </c>
      <c r="AP3035" s="4">
        <v>4</v>
      </c>
      <c r="AQ3035" s="4">
        <v>10</v>
      </c>
      <c r="AR3035" s="3" t="s">
        <v>63</v>
      </c>
      <c r="AS3035" s="3" t="s">
        <v>63</v>
      </c>
      <c r="AT3035" s="3" t="s">
        <v>62</v>
      </c>
      <c r="AU3035" s="6" t="str">
        <f>HYPERLINK("http://catalog.hathitrust.org/Record/101896987","HathiTrust Record")</f>
        <v>HathiTrust Record</v>
      </c>
      <c r="AV3035" s="6" t="str">
        <f>HYPERLINK("http://mcgill.on.worldcat.org/oclc/8763581","Catalog Record")</f>
        <v>Catalog Record</v>
      </c>
      <c r="AW3035" s="6" t="str">
        <f>HYPERLINK("http://www.worldcat.org/oclc/8763581","WorldCat Record")</f>
        <v>WorldCat Record</v>
      </c>
      <c r="AX3035" s="3" t="s">
        <v>25419</v>
      </c>
      <c r="AY3035" s="3" t="s">
        <v>25420</v>
      </c>
      <c r="AZ3035" s="3" t="s">
        <v>25421</v>
      </c>
      <c r="BA3035" s="3" t="s">
        <v>25421</v>
      </c>
      <c r="BB3035" s="3" t="s">
        <v>25426</v>
      </c>
      <c r="BC3035" s="3" t="s">
        <v>82</v>
      </c>
      <c r="BD3035" s="3" t="s">
        <v>70</v>
      </c>
      <c r="BF3035" s="3" t="s">
        <v>25426</v>
      </c>
      <c r="BG3035" s="3" t="s">
        <v>25427</v>
      </c>
    </row>
    <row r="3036" spans="1:59" ht="60" x14ac:dyDescent="0.25">
      <c r="A3036" s="2" t="s">
        <v>59</v>
      </c>
      <c r="B3036" s="2" t="s">
        <v>60</v>
      </c>
      <c r="C3036" s="2" t="s">
        <v>25414</v>
      </c>
      <c r="D3036" s="2" t="s">
        <v>25415</v>
      </c>
      <c r="E3036" s="2" t="s">
        <v>25416</v>
      </c>
      <c r="F3036" s="3" t="s">
        <v>1390</v>
      </c>
      <c r="G3036" s="3" t="s">
        <v>62</v>
      </c>
      <c r="I3036" s="3" t="s">
        <v>63</v>
      </c>
      <c r="J3036" s="3" t="s">
        <v>63</v>
      </c>
      <c r="K3036" s="3" t="s">
        <v>64</v>
      </c>
      <c r="L3036" s="2" t="s">
        <v>25417</v>
      </c>
      <c r="M3036" s="2" t="s">
        <v>25418</v>
      </c>
      <c r="N3036" s="3" t="s">
        <v>2043</v>
      </c>
      <c r="P3036" s="3" t="s">
        <v>90</v>
      </c>
      <c r="R3036" s="3" t="s">
        <v>67</v>
      </c>
      <c r="S3036" s="4">
        <v>1</v>
      </c>
      <c r="T3036" s="4">
        <v>8</v>
      </c>
      <c r="U3036" s="5" t="s">
        <v>16663</v>
      </c>
      <c r="V3036" s="5" t="s">
        <v>4192</v>
      </c>
      <c r="W3036" s="5" t="s">
        <v>69</v>
      </c>
      <c r="X3036" s="5" t="s">
        <v>69</v>
      </c>
      <c r="Y3036" s="4">
        <v>47</v>
      </c>
      <c r="Z3036" s="4">
        <v>6</v>
      </c>
      <c r="AA3036" s="4">
        <v>12</v>
      </c>
      <c r="AB3036" s="4">
        <v>1</v>
      </c>
      <c r="AC3036" s="4">
        <v>1</v>
      </c>
      <c r="AD3036" s="4">
        <v>33</v>
      </c>
      <c r="AE3036" s="4">
        <v>66</v>
      </c>
      <c r="AF3036" s="4">
        <v>0</v>
      </c>
      <c r="AG3036" s="4">
        <v>0</v>
      </c>
      <c r="AH3036" s="4">
        <v>30</v>
      </c>
      <c r="AI3036" s="4">
        <v>60</v>
      </c>
      <c r="AJ3036" s="4">
        <v>4</v>
      </c>
      <c r="AK3036" s="4">
        <v>9</v>
      </c>
      <c r="AL3036" s="4">
        <v>25</v>
      </c>
      <c r="AM3036" s="4">
        <v>41</v>
      </c>
      <c r="AN3036" s="4">
        <v>0</v>
      </c>
      <c r="AO3036" s="4">
        <v>0</v>
      </c>
      <c r="AP3036" s="4">
        <v>4</v>
      </c>
      <c r="AQ3036" s="4">
        <v>10</v>
      </c>
      <c r="AR3036" s="3" t="s">
        <v>63</v>
      </c>
      <c r="AS3036" s="3" t="s">
        <v>63</v>
      </c>
      <c r="AT3036" s="3" t="s">
        <v>62</v>
      </c>
      <c r="AU3036" s="6" t="str">
        <f>HYPERLINK("http://catalog.hathitrust.org/Record/101896987","HathiTrust Record")</f>
        <v>HathiTrust Record</v>
      </c>
      <c r="AV3036" s="6" t="str">
        <f>HYPERLINK("http://mcgill.on.worldcat.org/oclc/8763581","Catalog Record")</f>
        <v>Catalog Record</v>
      </c>
      <c r="AW3036" s="6" t="str">
        <f>HYPERLINK("http://www.worldcat.org/oclc/8763581","WorldCat Record")</f>
        <v>WorldCat Record</v>
      </c>
      <c r="AX3036" s="3" t="s">
        <v>25419</v>
      </c>
      <c r="AY3036" s="3" t="s">
        <v>25420</v>
      </c>
      <c r="AZ3036" s="3" t="s">
        <v>25421</v>
      </c>
      <c r="BA3036" s="3" t="s">
        <v>25421</v>
      </c>
      <c r="BB3036" s="3" t="s">
        <v>25428</v>
      </c>
      <c r="BC3036" s="3" t="s">
        <v>82</v>
      </c>
      <c r="BD3036" s="3" t="s">
        <v>70</v>
      </c>
      <c r="BF3036" s="3" t="s">
        <v>25428</v>
      </c>
      <c r="BG3036" s="3" t="s">
        <v>25429</v>
      </c>
    </row>
    <row r="3037" spans="1:59" ht="60" x14ac:dyDescent="0.25">
      <c r="A3037" s="2" t="s">
        <v>59</v>
      </c>
      <c r="B3037" s="2" t="s">
        <v>60</v>
      </c>
      <c r="C3037" s="2" t="s">
        <v>25414</v>
      </c>
      <c r="D3037" s="2" t="s">
        <v>25415</v>
      </c>
      <c r="E3037" s="2" t="s">
        <v>25416</v>
      </c>
      <c r="F3037" s="3" t="s">
        <v>1379</v>
      </c>
      <c r="G3037" s="3" t="s">
        <v>62</v>
      </c>
      <c r="I3037" s="3" t="s">
        <v>63</v>
      </c>
      <c r="J3037" s="3" t="s">
        <v>63</v>
      </c>
      <c r="K3037" s="3" t="s">
        <v>64</v>
      </c>
      <c r="L3037" s="2" t="s">
        <v>25417</v>
      </c>
      <c r="M3037" s="2" t="s">
        <v>25418</v>
      </c>
      <c r="N3037" s="3" t="s">
        <v>2043</v>
      </c>
      <c r="P3037" s="3" t="s">
        <v>90</v>
      </c>
      <c r="R3037" s="3" t="s">
        <v>67</v>
      </c>
      <c r="S3037" s="4">
        <v>1</v>
      </c>
      <c r="T3037" s="4">
        <v>8</v>
      </c>
      <c r="U3037" s="5" t="s">
        <v>7280</v>
      </c>
      <c r="V3037" s="5" t="s">
        <v>4192</v>
      </c>
      <c r="W3037" s="5" t="s">
        <v>69</v>
      </c>
      <c r="X3037" s="5" t="s">
        <v>69</v>
      </c>
      <c r="Y3037" s="4">
        <v>47</v>
      </c>
      <c r="Z3037" s="4">
        <v>6</v>
      </c>
      <c r="AA3037" s="4">
        <v>12</v>
      </c>
      <c r="AB3037" s="4">
        <v>1</v>
      </c>
      <c r="AC3037" s="4">
        <v>1</v>
      </c>
      <c r="AD3037" s="4">
        <v>33</v>
      </c>
      <c r="AE3037" s="4">
        <v>66</v>
      </c>
      <c r="AF3037" s="4">
        <v>0</v>
      </c>
      <c r="AG3037" s="4">
        <v>0</v>
      </c>
      <c r="AH3037" s="4">
        <v>30</v>
      </c>
      <c r="AI3037" s="4">
        <v>60</v>
      </c>
      <c r="AJ3037" s="4">
        <v>4</v>
      </c>
      <c r="AK3037" s="4">
        <v>9</v>
      </c>
      <c r="AL3037" s="4">
        <v>25</v>
      </c>
      <c r="AM3037" s="4">
        <v>41</v>
      </c>
      <c r="AN3037" s="4">
        <v>0</v>
      </c>
      <c r="AO3037" s="4">
        <v>0</v>
      </c>
      <c r="AP3037" s="4">
        <v>4</v>
      </c>
      <c r="AQ3037" s="4">
        <v>10</v>
      </c>
      <c r="AR3037" s="3" t="s">
        <v>63</v>
      </c>
      <c r="AS3037" s="3" t="s">
        <v>63</v>
      </c>
      <c r="AT3037" s="3" t="s">
        <v>62</v>
      </c>
      <c r="AU3037" s="6" t="str">
        <f>HYPERLINK("http://catalog.hathitrust.org/Record/101896987","HathiTrust Record")</f>
        <v>HathiTrust Record</v>
      </c>
      <c r="AV3037" s="6" t="str">
        <f>HYPERLINK("http://mcgill.on.worldcat.org/oclc/8763581","Catalog Record")</f>
        <v>Catalog Record</v>
      </c>
      <c r="AW3037" s="6" t="str">
        <f>HYPERLINK("http://www.worldcat.org/oclc/8763581","WorldCat Record")</f>
        <v>WorldCat Record</v>
      </c>
      <c r="AX3037" s="3" t="s">
        <v>25419</v>
      </c>
      <c r="AY3037" s="3" t="s">
        <v>25420</v>
      </c>
      <c r="AZ3037" s="3" t="s">
        <v>25421</v>
      </c>
      <c r="BA3037" s="3" t="s">
        <v>25421</v>
      </c>
      <c r="BB3037" s="3" t="s">
        <v>25430</v>
      </c>
      <c r="BC3037" s="3" t="s">
        <v>82</v>
      </c>
      <c r="BD3037" s="3" t="s">
        <v>70</v>
      </c>
      <c r="BF3037" s="3" t="s">
        <v>25430</v>
      </c>
      <c r="BG3037" s="3" t="s">
        <v>25431</v>
      </c>
    </row>
    <row r="3038" spans="1:59" ht="60" x14ac:dyDescent="0.25">
      <c r="A3038" s="2" t="s">
        <v>59</v>
      </c>
      <c r="B3038" s="2" t="s">
        <v>60</v>
      </c>
      <c r="C3038" s="2" t="s">
        <v>25414</v>
      </c>
      <c r="D3038" s="2" t="s">
        <v>25415</v>
      </c>
      <c r="E3038" s="2" t="s">
        <v>25416</v>
      </c>
      <c r="F3038" s="3" t="s">
        <v>1376</v>
      </c>
      <c r="G3038" s="3" t="s">
        <v>62</v>
      </c>
      <c r="I3038" s="3" t="s">
        <v>63</v>
      </c>
      <c r="J3038" s="3" t="s">
        <v>63</v>
      </c>
      <c r="K3038" s="3" t="s">
        <v>64</v>
      </c>
      <c r="L3038" s="2" t="s">
        <v>25417</v>
      </c>
      <c r="M3038" s="2" t="s">
        <v>25418</v>
      </c>
      <c r="N3038" s="3" t="s">
        <v>2043</v>
      </c>
      <c r="P3038" s="3" t="s">
        <v>90</v>
      </c>
      <c r="R3038" s="3" t="s">
        <v>67</v>
      </c>
      <c r="S3038" s="4">
        <v>0</v>
      </c>
      <c r="T3038" s="4">
        <v>8</v>
      </c>
      <c r="V3038" s="5" t="s">
        <v>4192</v>
      </c>
      <c r="W3038" s="5" t="s">
        <v>69</v>
      </c>
      <c r="X3038" s="5" t="s">
        <v>69</v>
      </c>
      <c r="Y3038" s="4">
        <v>47</v>
      </c>
      <c r="Z3038" s="4">
        <v>6</v>
      </c>
      <c r="AA3038" s="4">
        <v>12</v>
      </c>
      <c r="AB3038" s="4">
        <v>1</v>
      </c>
      <c r="AC3038" s="4">
        <v>1</v>
      </c>
      <c r="AD3038" s="4">
        <v>33</v>
      </c>
      <c r="AE3038" s="4">
        <v>66</v>
      </c>
      <c r="AF3038" s="4">
        <v>0</v>
      </c>
      <c r="AG3038" s="4">
        <v>0</v>
      </c>
      <c r="AH3038" s="4">
        <v>30</v>
      </c>
      <c r="AI3038" s="4">
        <v>60</v>
      </c>
      <c r="AJ3038" s="4">
        <v>4</v>
      </c>
      <c r="AK3038" s="4">
        <v>9</v>
      </c>
      <c r="AL3038" s="4">
        <v>25</v>
      </c>
      <c r="AM3038" s="4">
        <v>41</v>
      </c>
      <c r="AN3038" s="4">
        <v>0</v>
      </c>
      <c r="AO3038" s="4">
        <v>0</v>
      </c>
      <c r="AP3038" s="4">
        <v>4</v>
      </c>
      <c r="AQ3038" s="4">
        <v>10</v>
      </c>
      <c r="AR3038" s="3" t="s">
        <v>63</v>
      </c>
      <c r="AS3038" s="3" t="s">
        <v>63</v>
      </c>
      <c r="AT3038" s="3" t="s">
        <v>62</v>
      </c>
      <c r="AU3038" s="6" t="str">
        <f>HYPERLINK("http://catalog.hathitrust.org/Record/101896987","HathiTrust Record")</f>
        <v>HathiTrust Record</v>
      </c>
      <c r="AV3038" s="6" t="str">
        <f>HYPERLINK("http://mcgill.on.worldcat.org/oclc/8763581","Catalog Record")</f>
        <v>Catalog Record</v>
      </c>
      <c r="AW3038" s="6" t="str">
        <f>HYPERLINK("http://www.worldcat.org/oclc/8763581","WorldCat Record")</f>
        <v>WorldCat Record</v>
      </c>
      <c r="AX3038" s="3" t="s">
        <v>25419</v>
      </c>
      <c r="AY3038" s="3" t="s">
        <v>25420</v>
      </c>
      <c r="AZ3038" s="3" t="s">
        <v>25421</v>
      </c>
      <c r="BA3038" s="3" t="s">
        <v>25421</v>
      </c>
      <c r="BB3038" s="3" t="s">
        <v>25432</v>
      </c>
      <c r="BC3038" s="3" t="s">
        <v>82</v>
      </c>
      <c r="BD3038" s="3" t="s">
        <v>70</v>
      </c>
      <c r="BF3038" s="3" t="s">
        <v>25432</v>
      </c>
      <c r="BG3038" s="3" t="s">
        <v>25433</v>
      </c>
    </row>
    <row r="3039" spans="1:59" ht="60" x14ac:dyDescent="0.25">
      <c r="A3039" s="2" t="s">
        <v>59</v>
      </c>
      <c r="B3039" s="2" t="s">
        <v>60</v>
      </c>
      <c r="C3039" s="2" t="s">
        <v>25414</v>
      </c>
      <c r="D3039" s="2" t="s">
        <v>25415</v>
      </c>
      <c r="E3039" s="2" t="s">
        <v>25416</v>
      </c>
      <c r="F3039" s="3" t="s">
        <v>1387</v>
      </c>
      <c r="G3039" s="3" t="s">
        <v>62</v>
      </c>
      <c r="I3039" s="3" t="s">
        <v>63</v>
      </c>
      <c r="J3039" s="3" t="s">
        <v>63</v>
      </c>
      <c r="K3039" s="3" t="s">
        <v>64</v>
      </c>
      <c r="L3039" s="2" t="s">
        <v>25417</v>
      </c>
      <c r="M3039" s="2" t="s">
        <v>25418</v>
      </c>
      <c r="N3039" s="3" t="s">
        <v>2043</v>
      </c>
      <c r="P3039" s="3" t="s">
        <v>90</v>
      </c>
      <c r="R3039" s="3" t="s">
        <v>67</v>
      </c>
      <c r="S3039" s="4">
        <v>2</v>
      </c>
      <c r="T3039" s="4">
        <v>8</v>
      </c>
      <c r="U3039" s="5" t="s">
        <v>4192</v>
      </c>
      <c r="V3039" s="5" t="s">
        <v>4192</v>
      </c>
      <c r="W3039" s="5" t="s">
        <v>69</v>
      </c>
      <c r="X3039" s="5" t="s">
        <v>69</v>
      </c>
      <c r="Y3039" s="4">
        <v>47</v>
      </c>
      <c r="Z3039" s="4">
        <v>6</v>
      </c>
      <c r="AA3039" s="4">
        <v>12</v>
      </c>
      <c r="AB3039" s="4">
        <v>1</v>
      </c>
      <c r="AC3039" s="4">
        <v>1</v>
      </c>
      <c r="AD3039" s="4">
        <v>33</v>
      </c>
      <c r="AE3039" s="4">
        <v>66</v>
      </c>
      <c r="AF3039" s="4">
        <v>0</v>
      </c>
      <c r="AG3039" s="4">
        <v>0</v>
      </c>
      <c r="AH3039" s="4">
        <v>30</v>
      </c>
      <c r="AI3039" s="4">
        <v>60</v>
      </c>
      <c r="AJ3039" s="4">
        <v>4</v>
      </c>
      <c r="AK3039" s="4">
        <v>9</v>
      </c>
      <c r="AL3039" s="4">
        <v>25</v>
      </c>
      <c r="AM3039" s="4">
        <v>41</v>
      </c>
      <c r="AN3039" s="4">
        <v>0</v>
      </c>
      <c r="AO3039" s="4">
        <v>0</v>
      </c>
      <c r="AP3039" s="4">
        <v>4</v>
      </c>
      <c r="AQ3039" s="4">
        <v>10</v>
      </c>
      <c r="AR3039" s="3" t="s">
        <v>63</v>
      </c>
      <c r="AS3039" s="3" t="s">
        <v>63</v>
      </c>
      <c r="AT3039" s="3" t="s">
        <v>62</v>
      </c>
      <c r="AU3039" s="6" t="str">
        <f>HYPERLINK("http://catalog.hathitrust.org/Record/101896987","HathiTrust Record")</f>
        <v>HathiTrust Record</v>
      </c>
      <c r="AV3039" s="6" t="str">
        <f>HYPERLINK("http://mcgill.on.worldcat.org/oclc/8763581","Catalog Record")</f>
        <v>Catalog Record</v>
      </c>
      <c r="AW3039" s="6" t="str">
        <f>HYPERLINK("http://www.worldcat.org/oclc/8763581","WorldCat Record")</f>
        <v>WorldCat Record</v>
      </c>
      <c r="AX3039" s="3" t="s">
        <v>25419</v>
      </c>
      <c r="AY3039" s="3" t="s">
        <v>25420</v>
      </c>
      <c r="AZ3039" s="3" t="s">
        <v>25421</v>
      </c>
      <c r="BA3039" s="3" t="s">
        <v>25421</v>
      </c>
      <c r="BB3039" s="3" t="s">
        <v>25434</v>
      </c>
      <c r="BC3039" s="3" t="s">
        <v>82</v>
      </c>
      <c r="BD3039" s="3" t="s">
        <v>70</v>
      </c>
      <c r="BF3039" s="3" t="s">
        <v>25434</v>
      </c>
      <c r="BG3039" s="3" t="s">
        <v>25435</v>
      </c>
    </row>
    <row r="3040" spans="1:59" ht="60" x14ac:dyDescent="0.25">
      <c r="A3040" s="2" t="s">
        <v>59</v>
      </c>
      <c r="B3040" s="2" t="s">
        <v>60</v>
      </c>
      <c r="C3040" s="2" t="s">
        <v>25436</v>
      </c>
      <c r="D3040" s="2" t="s">
        <v>25437</v>
      </c>
      <c r="E3040" s="2" t="s">
        <v>25438</v>
      </c>
      <c r="F3040" s="3" t="s">
        <v>6376</v>
      </c>
      <c r="G3040" s="3" t="s">
        <v>62</v>
      </c>
      <c r="I3040" s="3" t="s">
        <v>63</v>
      </c>
      <c r="J3040" s="3" t="s">
        <v>63</v>
      </c>
      <c r="K3040" s="3" t="s">
        <v>64</v>
      </c>
      <c r="L3040" s="2" t="s">
        <v>25417</v>
      </c>
      <c r="M3040" s="2" t="s">
        <v>25439</v>
      </c>
      <c r="N3040" s="3" t="s">
        <v>1023</v>
      </c>
      <c r="P3040" s="3" t="s">
        <v>90</v>
      </c>
      <c r="Q3040" s="2" t="s">
        <v>25440</v>
      </c>
      <c r="R3040" s="3" t="s">
        <v>67</v>
      </c>
      <c r="S3040" s="4">
        <v>1</v>
      </c>
      <c r="T3040" s="4">
        <v>2</v>
      </c>
      <c r="U3040" s="5" t="s">
        <v>25441</v>
      </c>
      <c r="V3040" s="5" t="s">
        <v>25441</v>
      </c>
      <c r="W3040" s="5" t="s">
        <v>69</v>
      </c>
      <c r="X3040" s="5" t="s">
        <v>69</v>
      </c>
      <c r="Y3040" s="4">
        <v>63</v>
      </c>
      <c r="Z3040" s="4">
        <v>6</v>
      </c>
      <c r="AA3040" s="4">
        <v>6</v>
      </c>
      <c r="AB3040" s="4">
        <v>1</v>
      </c>
      <c r="AC3040" s="4">
        <v>1</v>
      </c>
      <c r="AD3040" s="4">
        <v>40</v>
      </c>
      <c r="AE3040" s="4">
        <v>45</v>
      </c>
      <c r="AF3040" s="4">
        <v>0</v>
      </c>
      <c r="AG3040" s="4">
        <v>0</v>
      </c>
      <c r="AH3040" s="4">
        <v>38</v>
      </c>
      <c r="AI3040" s="4">
        <v>43</v>
      </c>
      <c r="AJ3040" s="4">
        <v>4</v>
      </c>
      <c r="AK3040" s="4">
        <v>4</v>
      </c>
      <c r="AL3040" s="4">
        <v>29</v>
      </c>
      <c r="AM3040" s="4">
        <v>33</v>
      </c>
      <c r="AN3040" s="4">
        <v>0</v>
      </c>
      <c r="AO3040" s="4">
        <v>0</v>
      </c>
      <c r="AP3040" s="4">
        <v>4</v>
      </c>
      <c r="AQ3040" s="4">
        <v>4</v>
      </c>
      <c r="AR3040" s="3" t="s">
        <v>63</v>
      </c>
      <c r="AS3040" s="3" t="s">
        <v>63</v>
      </c>
      <c r="AT3040" s="3" t="s">
        <v>62</v>
      </c>
      <c r="AU3040" s="6" t="str">
        <f>HYPERLINK("http://catalog.hathitrust.org/Record/002912760","HathiTrust Record")</f>
        <v>HathiTrust Record</v>
      </c>
      <c r="AV3040" s="6" t="str">
        <f>HYPERLINK("http://mcgill.on.worldcat.org/oclc/31582948","Catalog Record")</f>
        <v>Catalog Record</v>
      </c>
      <c r="AW3040" s="6" t="str">
        <f>HYPERLINK("http://www.worldcat.org/oclc/31582948","WorldCat Record")</f>
        <v>WorldCat Record</v>
      </c>
      <c r="AX3040" s="3" t="s">
        <v>25442</v>
      </c>
      <c r="AY3040" s="3" t="s">
        <v>25443</v>
      </c>
      <c r="AZ3040" s="3" t="s">
        <v>25444</v>
      </c>
      <c r="BA3040" s="3" t="s">
        <v>25444</v>
      </c>
      <c r="BB3040" s="3" t="s">
        <v>25445</v>
      </c>
      <c r="BC3040" s="3" t="s">
        <v>82</v>
      </c>
      <c r="BD3040" s="3" t="s">
        <v>70</v>
      </c>
      <c r="BE3040" s="3" t="s">
        <v>25446</v>
      </c>
      <c r="BF3040" s="3" t="s">
        <v>25445</v>
      </c>
      <c r="BG3040" s="3" t="s">
        <v>25447</v>
      </c>
    </row>
    <row r="3041" spans="1:59" ht="60" x14ac:dyDescent="0.25">
      <c r="A3041" s="2" t="s">
        <v>59</v>
      </c>
      <c r="B3041" s="2" t="s">
        <v>60</v>
      </c>
      <c r="C3041" s="2" t="s">
        <v>25436</v>
      </c>
      <c r="D3041" s="2" t="s">
        <v>25437</v>
      </c>
      <c r="E3041" s="2" t="s">
        <v>25438</v>
      </c>
      <c r="F3041" s="3" t="s">
        <v>6390</v>
      </c>
      <c r="G3041" s="3" t="s">
        <v>62</v>
      </c>
      <c r="I3041" s="3" t="s">
        <v>63</v>
      </c>
      <c r="J3041" s="3" t="s">
        <v>63</v>
      </c>
      <c r="K3041" s="3" t="s">
        <v>64</v>
      </c>
      <c r="L3041" s="2" t="s">
        <v>25417</v>
      </c>
      <c r="M3041" s="2" t="s">
        <v>25439</v>
      </c>
      <c r="N3041" s="3" t="s">
        <v>1023</v>
      </c>
      <c r="P3041" s="3" t="s">
        <v>90</v>
      </c>
      <c r="Q3041" s="2" t="s">
        <v>25440</v>
      </c>
      <c r="R3041" s="3" t="s">
        <v>67</v>
      </c>
      <c r="S3041" s="4">
        <v>1</v>
      </c>
      <c r="T3041" s="4">
        <v>2</v>
      </c>
      <c r="U3041" s="5" t="s">
        <v>25441</v>
      </c>
      <c r="V3041" s="5" t="s">
        <v>25441</v>
      </c>
      <c r="W3041" s="5" t="s">
        <v>69</v>
      </c>
      <c r="X3041" s="5" t="s">
        <v>69</v>
      </c>
      <c r="Y3041" s="4">
        <v>63</v>
      </c>
      <c r="Z3041" s="4">
        <v>6</v>
      </c>
      <c r="AA3041" s="4">
        <v>6</v>
      </c>
      <c r="AB3041" s="4">
        <v>1</v>
      </c>
      <c r="AC3041" s="4">
        <v>1</v>
      </c>
      <c r="AD3041" s="4">
        <v>40</v>
      </c>
      <c r="AE3041" s="4">
        <v>45</v>
      </c>
      <c r="AF3041" s="4">
        <v>0</v>
      </c>
      <c r="AG3041" s="4">
        <v>0</v>
      </c>
      <c r="AH3041" s="4">
        <v>38</v>
      </c>
      <c r="AI3041" s="4">
        <v>43</v>
      </c>
      <c r="AJ3041" s="4">
        <v>4</v>
      </c>
      <c r="AK3041" s="4">
        <v>4</v>
      </c>
      <c r="AL3041" s="4">
        <v>29</v>
      </c>
      <c r="AM3041" s="4">
        <v>33</v>
      </c>
      <c r="AN3041" s="4">
        <v>0</v>
      </c>
      <c r="AO3041" s="4">
        <v>0</v>
      </c>
      <c r="AP3041" s="4">
        <v>4</v>
      </c>
      <c r="AQ3041" s="4">
        <v>4</v>
      </c>
      <c r="AR3041" s="3" t="s">
        <v>63</v>
      </c>
      <c r="AS3041" s="3" t="s">
        <v>63</v>
      </c>
      <c r="AT3041" s="3" t="s">
        <v>62</v>
      </c>
      <c r="AU3041" s="6" t="str">
        <f>HYPERLINK("http://catalog.hathitrust.org/Record/002912760","HathiTrust Record")</f>
        <v>HathiTrust Record</v>
      </c>
      <c r="AV3041" s="6" t="str">
        <f>HYPERLINK("http://mcgill.on.worldcat.org/oclc/31582948","Catalog Record")</f>
        <v>Catalog Record</v>
      </c>
      <c r="AW3041" s="6" t="str">
        <f>HYPERLINK("http://www.worldcat.org/oclc/31582948","WorldCat Record")</f>
        <v>WorldCat Record</v>
      </c>
      <c r="AX3041" s="3" t="s">
        <v>25442</v>
      </c>
      <c r="AY3041" s="3" t="s">
        <v>25443</v>
      </c>
      <c r="AZ3041" s="3" t="s">
        <v>25444</v>
      </c>
      <c r="BA3041" s="3" t="s">
        <v>25444</v>
      </c>
      <c r="BB3041" s="3" t="s">
        <v>25448</v>
      </c>
      <c r="BC3041" s="3" t="s">
        <v>82</v>
      </c>
      <c r="BD3041" s="3" t="s">
        <v>70</v>
      </c>
      <c r="BE3041" s="3" t="s">
        <v>25446</v>
      </c>
      <c r="BF3041" s="3" t="s">
        <v>25448</v>
      </c>
      <c r="BG3041" s="3" t="s">
        <v>25449</v>
      </c>
    </row>
    <row r="3042" spans="1:59" ht="60" x14ac:dyDescent="0.25">
      <c r="A3042" s="2" t="s">
        <v>59</v>
      </c>
      <c r="B3042" s="2" t="s">
        <v>60</v>
      </c>
      <c r="C3042" s="2" t="s">
        <v>25450</v>
      </c>
      <c r="D3042" s="2" t="s">
        <v>25451</v>
      </c>
      <c r="E3042" s="2" t="s">
        <v>25452</v>
      </c>
      <c r="G3042" s="3" t="s">
        <v>63</v>
      </c>
      <c r="I3042" s="3" t="s">
        <v>63</v>
      </c>
      <c r="J3042" s="3" t="s">
        <v>63</v>
      </c>
      <c r="K3042" s="3" t="s">
        <v>64</v>
      </c>
      <c r="L3042" s="2" t="s">
        <v>25453</v>
      </c>
      <c r="M3042" s="2" t="s">
        <v>25454</v>
      </c>
      <c r="N3042" s="3" t="s">
        <v>9447</v>
      </c>
      <c r="P3042" s="3" t="s">
        <v>66</v>
      </c>
      <c r="R3042" s="3" t="s">
        <v>67</v>
      </c>
      <c r="S3042" s="4">
        <v>2</v>
      </c>
      <c r="T3042" s="4">
        <v>2</v>
      </c>
      <c r="U3042" s="5" t="s">
        <v>25455</v>
      </c>
      <c r="V3042" s="5" t="s">
        <v>25455</v>
      </c>
      <c r="W3042" s="5" t="s">
        <v>69</v>
      </c>
      <c r="X3042" s="5" t="s">
        <v>69</v>
      </c>
      <c r="Y3042" s="4">
        <v>150</v>
      </c>
      <c r="Z3042" s="4">
        <v>12</v>
      </c>
      <c r="AA3042" s="4">
        <v>13</v>
      </c>
      <c r="AB3042" s="4">
        <v>1</v>
      </c>
      <c r="AC3042" s="4">
        <v>1</v>
      </c>
      <c r="AD3042" s="4">
        <v>62</v>
      </c>
      <c r="AE3042" s="4">
        <v>67</v>
      </c>
      <c r="AF3042" s="4">
        <v>0</v>
      </c>
      <c r="AG3042" s="4">
        <v>0</v>
      </c>
      <c r="AH3042" s="4">
        <v>57</v>
      </c>
      <c r="AI3042" s="4">
        <v>62</v>
      </c>
      <c r="AJ3042" s="4">
        <v>9</v>
      </c>
      <c r="AK3042" s="4">
        <v>10</v>
      </c>
      <c r="AL3042" s="4">
        <v>37</v>
      </c>
      <c r="AM3042" s="4">
        <v>41</v>
      </c>
      <c r="AN3042" s="4">
        <v>0</v>
      </c>
      <c r="AO3042" s="4">
        <v>0</v>
      </c>
      <c r="AP3042" s="4">
        <v>9</v>
      </c>
      <c r="AQ3042" s="4">
        <v>10</v>
      </c>
      <c r="AR3042" s="3" t="s">
        <v>63</v>
      </c>
      <c r="AS3042" s="3" t="s">
        <v>63</v>
      </c>
      <c r="AT3042" s="3" t="s">
        <v>62</v>
      </c>
      <c r="AU3042" s="6" t="str">
        <f>HYPERLINK("http://catalog.hathitrust.org/Record/001059763","HathiTrust Record")</f>
        <v>HathiTrust Record</v>
      </c>
      <c r="AV3042" s="6" t="str">
        <f>HYPERLINK("http://mcgill.on.worldcat.org/oclc/1424092","Catalog Record")</f>
        <v>Catalog Record</v>
      </c>
      <c r="AW3042" s="6" t="str">
        <f>HYPERLINK("http://www.worldcat.org/oclc/1424092","WorldCat Record")</f>
        <v>WorldCat Record</v>
      </c>
      <c r="AX3042" s="3" t="s">
        <v>25456</v>
      </c>
      <c r="AY3042" s="3" t="s">
        <v>25457</v>
      </c>
      <c r="AZ3042" s="3" t="s">
        <v>25458</v>
      </c>
      <c r="BA3042" s="3" t="s">
        <v>25458</v>
      </c>
      <c r="BB3042" s="3" t="s">
        <v>25459</v>
      </c>
      <c r="BC3042" s="3" t="s">
        <v>82</v>
      </c>
      <c r="BD3042" s="3" t="s">
        <v>70</v>
      </c>
      <c r="BF3042" s="3" t="s">
        <v>25459</v>
      </c>
      <c r="BG3042" s="3" t="s">
        <v>25460</v>
      </c>
    </row>
    <row r="3043" spans="1:59" ht="60" x14ac:dyDescent="0.25">
      <c r="A3043" s="2" t="s">
        <v>59</v>
      </c>
      <c r="B3043" s="2" t="s">
        <v>60</v>
      </c>
      <c r="C3043" s="2" t="s">
        <v>25565</v>
      </c>
      <c r="D3043" s="2" t="s">
        <v>25566</v>
      </c>
      <c r="E3043" s="2" t="s">
        <v>25567</v>
      </c>
      <c r="F3043" s="3" t="s">
        <v>61</v>
      </c>
      <c r="G3043" s="3" t="s">
        <v>62</v>
      </c>
      <c r="I3043" s="3" t="s">
        <v>63</v>
      </c>
      <c r="J3043" s="3" t="s">
        <v>63</v>
      </c>
      <c r="K3043" s="3" t="s">
        <v>64</v>
      </c>
      <c r="L3043" s="2" t="s">
        <v>25464</v>
      </c>
      <c r="M3043" s="2" t="s">
        <v>25568</v>
      </c>
      <c r="N3043" s="3" t="s">
        <v>154</v>
      </c>
      <c r="P3043" s="3" t="s">
        <v>90</v>
      </c>
      <c r="R3043" s="3" t="s">
        <v>67</v>
      </c>
      <c r="S3043" s="4">
        <v>0</v>
      </c>
      <c r="T3043" s="4">
        <v>8</v>
      </c>
      <c r="V3043" s="5" t="s">
        <v>8840</v>
      </c>
      <c r="W3043" s="5" t="s">
        <v>69</v>
      </c>
      <c r="X3043" s="5" t="s">
        <v>69</v>
      </c>
      <c r="Y3043" s="4">
        <v>2</v>
      </c>
      <c r="Z3043" s="4">
        <v>2</v>
      </c>
      <c r="AA3043" s="4">
        <v>12</v>
      </c>
      <c r="AB3043" s="4">
        <v>1</v>
      </c>
      <c r="AC3043" s="4">
        <v>1</v>
      </c>
      <c r="AD3043" s="4">
        <v>1</v>
      </c>
      <c r="AE3043" s="4">
        <v>36</v>
      </c>
      <c r="AF3043" s="4">
        <v>0</v>
      </c>
      <c r="AG3043" s="4">
        <v>0</v>
      </c>
      <c r="AH3043" s="4">
        <v>1</v>
      </c>
      <c r="AI3043" s="4">
        <v>30</v>
      </c>
      <c r="AJ3043" s="4">
        <v>1</v>
      </c>
      <c r="AK3043" s="4">
        <v>10</v>
      </c>
      <c r="AL3043" s="4">
        <v>0</v>
      </c>
      <c r="AM3043" s="4">
        <v>19</v>
      </c>
      <c r="AN3043" s="4">
        <v>0</v>
      </c>
      <c r="AO3043" s="4">
        <v>0</v>
      </c>
      <c r="AP3043" s="4">
        <v>1</v>
      </c>
      <c r="AQ3043" s="4">
        <v>10</v>
      </c>
      <c r="AR3043" s="3" t="s">
        <v>63</v>
      </c>
      <c r="AS3043" s="3" t="s">
        <v>63</v>
      </c>
      <c r="AT3043" s="3" t="s">
        <v>63</v>
      </c>
      <c r="AV3043" s="6" t="str">
        <f>HYPERLINK("http://mcgill.on.worldcat.org/oclc/427237469","Catalog Record")</f>
        <v>Catalog Record</v>
      </c>
      <c r="AW3043" s="6" t="str">
        <f>HYPERLINK("http://www.worldcat.org/oclc/427237469","WorldCat Record")</f>
        <v>WorldCat Record</v>
      </c>
      <c r="AX3043" s="3" t="s">
        <v>25569</v>
      </c>
      <c r="AY3043" s="3" t="s">
        <v>25570</v>
      </c>
      <c r="AZ3043" s="3" t="s">
        <v>25571</v>
      </c>
      <c r="BA3043" s="3" t="s">
        <v>25571</v>
      </c>
      <c r="BB3043" s="3" t="s">
        <v>25572</v>
      </c>
      <c r="BC3043" s="3" t="s">
        <v>82</v>
      </c>
      <c r="BD3043" s="3" t="s">
        <v>70</v>
      </c>
      <c r="BF3043" s="3" t="s">
        <v>25572</v>
      </c>
      <c r="BG3043" s="3" t="s">
        <v>25573</v>
      </c>
    </row>
    <row r="3044" spans="1:59" ht="60" x14ac:dyDescent="0.25">
      <c r="A3044" s="2" t="s">
        <v>59</v>
      </c>
      <c r="B3044" s="2" t="s">
        <v>60</v>
      </c>
      <c r="C3044" s="2" t="s">
        <v>25565</v>
      </c>
      <c r="D3044" s="2" t="s">
        <v>25566</v>
      </c>
      <c r="E3044" s="2" t="s">
        <v>25567</v>
      </c>
      <c r="F3044" s="3" t="s">
        <v>1366</v>
      </c>
      <c r="G3044" s="3" t="s">
        <v>62</v>
      </c>
      <c r="I3044" s="3" t="s">
        <v>63</v>
      </c>
      <c r="J3044" s="3" t="s">
        <v>63</v>
      </c>
      <c r="K3044" s="3" t="s">
        <v>64</v>
      </c>
      <c r="L3044" s="2" t="s">
        <v>25464</v>
      </c>
      <c r="M3044" s="2" t="s">
        <v>25568</v>
      </c>
      <c r="N3044" s="3" t="s">
        <v>154</v>
      </c>
      <c r="P3044" s="3" t="s">
        <v>90</v>
      </c>
      <c r="R3044" s="3" t="s">
        <v>67</v>
      </c>
      <c r="S3044" s="4">
        <v>0</v>
      </c>
      <c r="T3044" s="4">
        <v>8</v>
      </c>
      <c r="V3044" s="5" t="s">
        <v>8840</v>
      </c>
      <c r="W3044" s="5" t="s">
        <v>69</v>
      </c>
      <c r="X3044" s="5" t="s">
        <v>69</v>
      </c>
      <c r="Y3044" s="4">
        <v>2</v>
      </c>
      <c r="Z3044" s="4">
        <v>2</v>
      </c>
      <c r="AA3044" s="4">
        <v>12</v>
      </c>
      <c r="AB3044" s="4">
        <v>1</v>
      </c>
      <c r="AC3044" s="4">
        <v>1</v>
      </c>
      <c r="AD3044" s="4">
        <v>1</v>
      </c>
      <c r="AE3044" s="4">
        <v>36</v>
      </c>
      <c r="AF3044" s="4">
        <v>0</v>
      </c>
      <c r="AG3044" s="4">
        <v>0</v>
      </c>
      <c r="AH3044" s="4">
        <v>1</v>
      </c>
      <c r="AI3044" s="4">
        <v>30</v>
      </c>
      <c r="AJ3044" s="4">
        <v>1</v>
      </c>
      <c r="AK3044" s="4">
        <v>10</v>
      </c>
      <c r="AL3044" s="4">
        <v>0</v>
      </c>
      <c r="AM3044" s="4">
        <v>19</v>
      </c>
      <c r="AN3044" s="4">
        <v>0</v>
      </c>
      <c r="AO3044" s="4">
        <v>0</v>
      </c>
      <c r="AP3044" s="4">
        <v>1</v>
      </c>
      <c r="AQ3044" s="4">
        <v>10</v>
      </c>
      <c r="AR3044" s="3" t="s">
        <v>63</v>
      </c>
      <c r="AS3044" s="3" t="s">
        <v>63</v>
      </c>
      <c r="AT3044" s="3" t="s">
        <v>63</v>
      </c>
      <c r="AV3044" s="6" t="str">
        <f>HYPERLINK("http://mcgill.on.worldcat.org/oclc/427237469","Catalog Record")</f>
        <v>Catalog Record</v>
      </c>
      <c r="AW3044" s="6" t="str">
        <f>HYPERLINK("http://www.worldcat.org/oclc/427237469","WorldCat Record")</f>
        <v>WorldCat Record</v>
      </c>
      <c r="AX3044" s="3" t="s">
        <v>25569</v>
      </c>
      <c r="AY3044" s="3" t="s">
        <v>25570</v>
      </c>
      <c r="AZ3044" s="3" t="s">
        <v>25571</v>
      </c>
      <c r="BA3044" s="3" t="s">
        <v>25571</v>
      </c>
      <c r="BB3044" s="3" t="s">
        <v>25574</v>
      </c>
      <c r="BC3044" s="3" t="s">
        <v>82</v>
      </c>
      <c r="BD3044" s="3" t="s">
        <v>70</v>
      </c>
      <c r="BF3044" s="3" t="s">
        <v>25574</v>
      </c>
      <c r="BG3044" s="3" t="s">
        <v>25575</v>
      </c>
    </row>
    <row r="3045" spans="1:59" ht="60" x14ac:dyDescent="0.25">
      <c r="A3045" s="2" t="s">
        <v>59</v>
      </c>
      <c r="B3045" s="2" t="s">
        <v>60</v>
      </c>
      <c r="C3045" s="2" t="s">
        <v>25565</v>
      </c>
      <c r="D3045" s="2" t="s">
        <v>25566</v>
      </c>
      <c r="E3045" s="2" t="s">
        <v>25567</v>
      </c>
      <c r="F3045" s="3" t="s">
        <v>1376</v>
      </c>
      <c r="G3045" s="3" t="s">
        <v>62</v>
      </c>
      <c r="I3045" s="3" t="s">
        <v>63</v>
      </c>
      <c r="J3045" s="3" t="s">
        <v>63</v>
      </c>
      <c r="K3045" s="3" t="s">
        <v>64</v>
      </c>
      <c r="L3045" s="2" t="s">
        <v>25464</v>
      </c>
      <c r="M3045" s="2" t="s">
        <v>25568</v>
      </c>
      <c r="N3045" s="3" t="s">
        <v>154</v>
      </c>
      <c r="P3045" s="3" t="s">
        <v>90</v>
      </c>
      <c r="R3045" s="3" t="s">
        <v>67</v>
      </c>
      <c r="S3045" s="4">
        <v>0</v>
      </c>
      <c r="T3045" s="4">
        <v>8</v>
      </c>
      <c r="V3045" s="5" t="s">
        <v>8840</v>
      </c>
      <c r="W3045" s="5" t="s">
        <v>69</v>
      </c>
      <c r="X3045" s="5" t="s">
        <v>69</v>
      </c>
      <c r="Y3045" s="4">
        <v>2</v>
      </c>
      <c r="Z3045" s="4">
        <v>2</v>
      </c>
      <c r="AA3045" s="4">
        <v>12</v>
      </c>
      <c r="AB3045" s="4">
        <v>1</v>
      </c>
      <c r="AC3045" s="4">
        <v>1</v>
      </c>
      <c r="AD3045" s="4">
        <v>1</v>
      </c>
      <c r="AE3045" s="4">
        <v>36</v>
      </c>
      <c r="AF3045" s="4">
        <v>0</v>
      </c>
      <c r="AG3045" s="4">
        <v>0</v>
      </c>
      <c r="AH3045" s="4">
        <v>1</v>
      </c>
      <c r="AI3045" s="4">
        <v>30</v>
      </c>
      <c r="AJ3045" s="4">
        <v>1</v>
      </c>
      <c r="AK3045" s="4">
        <v>10</v>
      </c>
      <c r="AL3045" s="4">
        <v>0</v>
      </c>
      <c r="AM3045" s="4">
        <v>19</v>
      </c>
      <c r="AN3045" s="4">
        <v>0</v>
      </c>
      <c r="AO3045" s="4">
        <v>0</v>
      </c>
      <c r="AP3045" s="4">
        <v>1</v>
      </c>
      <c r="AQ3045" s="4">
        <v>10</v>
      </c>
      <c r="AR3045" s="3" t="s">
        <v>63</v>
      </c>
      <c r="AS3045" s="3" t="s">
        <v>63</v>
      </c>
      <c r="AT3045" s="3" t="s">
        <v>63</v>
      </c>
      <c r="AV3045" s="6" t="str">
        <f>HYPERLINK("http://mcgill.on.worldcat.org/oclc/427237469","Catalog Record")</f>
        <v>Catalog Record</v>
      </c>
      <c r="AW3045" s="6" t="str">
        <f>HYPERLINK("http://www.worldcat.org/oclc/427237469","WorldCat Record")</f>
        <v>WorldCat Record</v>
      </c>
      <c r="AX3045" s="3" t="s">
        <v>25569</v>
      </c>
      <c r="AY3045" s="3" t="s">
        <v>25570</v>
      </c>
      <c r="AZ3045" s="3" t="s">
        <v>25571</v>
      </c>
      <c r="BA3045" s="3" t="s">
        <v>25571</v>
      </c>
      <c r="BB3045" s="3" t="s">
        <v>25576</v>
      </c>
      <c r="BC3045" s="3" t="s">
        <v>82</v>
      </c>
      <c r="BD3045" s="3" t="s">
        <v>70</v>
      </c>
      <c r="BF3045" s="3" t="s">
        <v>25576</v>
      </c>
      <c r="BG3045" s="3" t="s">
        <v>25577</v>
      </c>
    </row>
    <row r="3046" spans="1:59" ht="60" x14ac:dyDescent="0.25">
      <c r="A3046" s="2" t="s">
        <v>59</v>
      </c>
      <c r="B3046" s="2" t="s">
        <v>60</v>
      </c>
      <c r="C3046" s="2" t="s">
        <v>25565</v>
      </c>
      <c r="D3046" s="2" t="s">
        <v>25566</v>
      </c>
      <c r="E3046" s="2" t="s">
        <v>25567</v>
      </c>
      <c r="F3046" s="3" t="s">
        <v>1379</v>
      </c>
      <c r="G3046" s="3" t="s">
        <v>62</v>
      </c>
      <c r="I3046" s="3" t="s">
        <v>63</v>
      </c>
      <c r="J3046" s="3" t="s">
        <v>63</v>
      </c>
      <c r="K3046" s="3" t="s">
        <v>64</v>
      </c>
      <c r="L3046" s="2" t="s">
        <v>25464</v>
      </c>
      <c r="M3046" s="2" t="s">
        <v>25568</v>
      </c>
      <c r="N3046" s="3" t="s">
        <v>154</v>
      </c>
      <c r="P3046" s="3" t="s">
        <v>90</v>
      </c>
      <c r="R3046" s="3" t="s">
        <v>67</v>
      </c>
      <c r="S3046" s="4">
        <v>3</v>
      </c>
      <c r="T3046" s="4">
        <v>8</v>
      </c>
      <c r="U3046" s="5" t="s">
        <v>8840</v>
      </c>
      <c r="V3046" s="5" t="s">
        <v>8840</v>
      </c>
      <c r="W3046" s="5" t="s">
        <v>69</v>
      </c>
      <c r="X3046" s="5" t="s">
        <v>69</v>
      </c>
      <c r="Y3046" s="4">
        <v>2</v>
      </c>
      <c r="Z3046" s="4">
        <v>2</v>
      </c>
      <c r="AA3046" s="4">
        <v>12</v>
      </c>
      <c r="AB3046" s="4">
        <v>1</v>
      </c>
      <c r="AC3046" s="4">
        <v>1</v>
      </c>
      <c r="AD3046" s="4">
        <v>1</v>
      </c>
      <c r="AE3046" s="4">
        <v>36</v>
      </c>
      <c r="AF3046" s="4">
        <v>0</v>
      </c>
      <c r="AG3046" s="4">
        <v>0</v>
      </c>
      <c r="AH3046" s="4">
        <v>1</v>
      </c>
      <c r="AI3046" s="4">
        <v>30</v>
      </c>
      <c r="AJ3046" s="4">
        <v>1</v>
      </c>
      <c r="AK3046" s="4">
        <v>10</v>
      </c>
      <c r="AL3046" s="4">
        <v>0</v>
      </c>
      <c r="AM3046" s="4">
        <v>19</v>
      </c>
      <c r="AN3046" s="4">
        <v>0</v>
      </c>
      <c r="AO3046" s="4">
        <v>0</v>
      </c>
      <c r="AP3046" s="4">
        <v>1</v>
      </c>
      <c r="AQ3046" s="4">
        <v>10</v>
      </c>
      <c r="AR3046" s="3" t="s">
        <v>63</v>
      </c>
      <c r="AS3046" s="3" t="s">
        <v>63</v>
      </c>
      <c r="AT3046" s="3" t="s">
        <v>63</v>
      </c>
      <c r="AV3046" s="6" t="str">
        <f>HYPERLINK("http://mcgill.on.worldcat.org/oclc/427237469","Catalog Record")</f>
        <v>Catalog Record</v>
      </c>
      <c r="AW3046" s="6" t="str">
        <f>HYPERLINK("http://www.worldcat.org/oclc/427237469","WorldCat Record")</f>
        <v>WorldCat Record</v>
      </c>
      <c r="AX3046" s="3" t="s">
        <v>25569</v>
      </c>
      <c r="AY3046" s="3" t="s">
        <v>25570</v>
      </c>
      <c r="AZ3046" s="3" t="s">
        <v>25571</v>
      </c>
      <c r="BA3046" s="3" t="s">
        <v>25571</v>
      </c>
      <c r="BB3046" s="3" t="s">
        <v>25578</v>
      </c>
      <c r="BC3046" s="3" t="s">
        <v>82</v>
      </c>
      <c r="BD3046" s="3" t="s">
        <v>70</v>
      </c>
      <c r="BF3046" s="3" t="s">
        <v>25578</v>
      </c>
      <c r="BG3046" s="3" t="s">
        <v>25579</v>
      </c>
    </row>
    <row r="3047" spans="1:59" ht="60" x14ac:dyDescent="0.25">
      <c r="A3047" s="2" t="s">
        <v>59</v>
      </c>
      <c r="B3047" s="2" t="s">
        <v>60</v>
      </c>
      <c r="C3047" s="2" t="s">
        <v>25565</v>
      </c>
      <c r="D3047" s="2" t="s">
        <v>25566</v>
      </c>
      <c r="E3047" s="2" t="s">
        <v>25567</v>
      </c>
      <c r="F3047" s="3" t="s">
        <v>15115</v>
      </c>
      <c r="G3047" s="3" t="s">
        <v>62</v>
      </c>
      <c r="I3047" s="3" t="s">
        <v>63</v>
      </c>
      <c r="J3047" s="3" t="s">
        <v>63</v>
      </c>
      <c r="K3047" s="3" t="s">
        <v>64</v>
      </c>
      <c r="L3047" s="2" t="s">
        <v>25464</v>
      </c>
      <c r="M3047" s="2" t="s">
        <v>25568</v>
      </c>
      <c r="N3047" s="3" t="s">
        <v>154</v>
      </c>
      <c r="P3047" s="3" t="s">
        <v>90</v>
      </c>
      <c r="R3047" s="3" t="s">
        <v>67</v>
      </c>
      <c r="S3047" s="4">
        <v>0</v>
      </c>
      <c r="T3047" s="4">
        <v>8</v>
      </c>
      <c r="V3047" s="5" t="s">
        <v>8840</v>
      </c>
      <c r="W3047" s="5" t="s">
        <v>69</v>
      </c>
      <c r="X3047" s="5" t="s">
        <v>69</v>
      </c>
      <c r="Y3047" s="4">
        <v>2</v>
      </c>
      <c r="Z3047" s="4">
        <v>2</v>
      </c>
      <c r="AA3047" s="4">
        <v>12</v>
      </c>
      <c r="AB3047" s="4">
        <v>1</v>
      </c>
      <c r="AC3047" s="4">
        <v>1</v>
      </c>
      <c r="AD3047" s="4">
        <v>1</v>
      </c>
      <c r="AE3047" s="4">
        <v>36</v>
      </c>
      <c r="AF3047" s="4">
        <v>0</v>
      </c>
      <c r="AG3047" s="4">
        <v>0</v>
      </c>
      <c r="AH3047" s="4">
        <v>1</v>
      </c>
      <c r="AI3047" s="4">
        <v>30</v>
      </c>
      <c r="AJ3047" s="4">
        <v>1</v>
      </c>
      <c r="AK3047" s="4">
        <v>10</v>
      </c>
      <c r="AL3047" s="4">
        <v>0</v>
      </c>
      <c r="AM3047" s="4">
        <v>19</v>
      </c>
      <c r="AN3047" s="4">
        <v>0</v>
      </c>
      <c r="AO3047" s="4">
        <v>0</v>
      </c>
      <c r="AP3047" s="4">
        <v>1</v>
      </c>
      <c r="AQ3047" s="4">
        <v>10</v>
      </c>
      <c r="AR3047" s="3" t="s">
        <v>63</v>
      </c>
      <c r="AS3047" s="3" t="s">
        <v>63</v>
      </c>
      <c r="AT3047" s="3" t="s">
        <v>63</v>
      </c>
      <c r="AV3047" s="6" t="str">
        <f>HYPERLINK("http://mcgill.on.worldcat.org/oclc/427237469","Catalog Record")</f>
        <v>Catalog Record</v>
      </c>
      <c r="AW3047" s="6" t="str">
        <f>HYPERLINK("http://www.worldcat.org/oclc/427237469","WorldCat Record")</f>
        <v>WorldCat Record</v>
      </c>
      <c r="AX3047" s="3" t="s">
        <v>25569</v>
      </c>
      <c r="AY3047" s="3" t="s">
        <v>25570</v>
      </c>
      <c r="AZ3047" s="3" t="s">
        <v>25571</v>
      </c>
      <c r="BA3047" s="3" t="s">
        <v>25571</v>
      </c>
      <c r="BB3047" s="3" t="s">
        <v>25580</v>
      </c>
      <c r="BC3047" s="3" t="s">
        <v>82</v>
      </c>
      <c r="BD3047" s="3" t="s">
        <v>70</v>
      </c>
      <c r="BF3047" s="3" t="s">
        <v>25580</v>
      </c>
      <c r="BG3047" s="3" t="s">
        <v>25581</v>
      </c>
    </row>
    <row r="3048" spans="1:59" ht="60" x14ac:dyDescent="0.25">
      <c r="A3048" s="2" t="s">
        <v>59</v>
      </c>
      <c r="B3048" s="2" t="s">
        <v>60</v>
      </c>
      <c r="C3048" s="2" t="s">
        <v>25565</v>
      </c>
      <c r="D3048" s="2" t="s">
        <v>25566</v>
      </c>
      <c r="E3048" s="2" t="s">
        <v>25567</v>
      </c>
      <c r="F3048" s="3" t="s">
        <v>1384</v>
      </c>
      <c r="G3048" s="3" t="s">
        <v>62</v>
      </c>
      <c r="I3048" s="3" t="s">
        <v>63</v>
      </c>
      <c r="J3048" s="3" t="s">
        <v>63</v>
      </c>
      <c r="K3048" s="3" t="s">
        <v>64</v>
      </c>
      <c r="L3048" s="2" t="s">
        <v>25464</v>
      </c>
      <c r="M3048" s="2" t="s">
        <v>25568</v>
      </c>
      <c r="N3048" s="3" t="s">
        <v>154</v>
      </c>
      <c r="P3048" s="3" t="s">
        <v>90</v>
      </c>
      <c r="R3048" s="3" t="s">
        <v>67</v>
      </c>
      <c r="S3048" s="4">
        <v>0</v>
      </c>
      <c r="T3048" s="4">
        <v>8</v>
      </c>
      <c r="V3048" s="5" t="s">
        <v>8840</v>
      </c>
      <c r="W3048" s="5" t="s">
        <v>69</v>
      </c>
      <c r="X3048" s="5" t="s">
        <v>69</v>
      </c>
      <c r="Y3048" s="4">
        <v>2</v>
      </c>
      <c r="Z3048" s="4">
        <v>2</v>
      </c>
      <c r="AA3048" s="4">
        <v>12</v>
      </c>
      <c r="AB3048" s="4">
        <v>1</v>
      </c>
      <c r="AC3048" s="4">
        <v>1</v>
      </c>
      <c r="AD3048" s="4">
        <v>1</v>
      </c>
      <c r="AE3048" s="4">
        <v>36</v>
      </c>
      <c r="AF3048" s="4">
        <v>0</v>
      </c>
      <c r="AG3048" s="4">
        <v>0</v>
      </c>
      <c r="AH3048" s="4">
        <v>1</v>
      </c>
      <c r="AI3048" s="4">
        <v>30</v>
      </c>
      <c r="AJ3048" s="4">
        <v>1</v>
      </c>
      <c r="AK3048" s="4">
        <v>10</v>
      </c>
      <c r="AL3048" s="4">
        <v>0</v>
      </c>
      <c r="AM3048" s="4">
        <v>19</v>
      </c>
      <c r="AN3048" s="4">
        <v>0</v>
      </c>
      <c r="AO3048" s="4">
        <v>0</v>
      </c>
      <c r="AP3048" s="4">
        <v>1</v>
      </c>
      <c r="AQ3048" s="4">
        <v>10</v>
      </c>
      <c r="AR3048" s="3" t="s">
        <v>63</v>
      </c>
      <c r="AS3048" s="3" t="s">
        <v>63</v>
      </c>
      <c r="AT3048" s="3" t="s">
        <v>63</v>
      </c>
      <c r="AV3048" s="6" t="str">
        <f>HYPERLINK("http://mcgill.on.worldcat.org/oclc/427237469","Catalog Record")</f>
        <v>Catalog Record</v>
      </c>
      <c r="AW3048" s="6" t="str">
        <f>HYPERLINK("http://www.worldcat.org/oclc/427237469","WorldCat Record")</f>
        <v>WorldCat Record</v>
      </c>
      <c r="AX3048" s="3" t="s">
        <v>25569</v>
      </c>
      <c r="AY3048" s="3" t="s">
        <v>25570</v>
      </c>
      <c r="AZ3048" s="3" t="s">
        <v>25571</v>
      </c>
      <c r="BA3048" s="3" t="s">
        <v>25571</v>
      </c>
      <c r="BB3048" s="3" t="s">
        <v>25582</v>
      </c>
      <c r="BC3048" s="3" t="s">
        <v>82</v>
      </c>
      <c r="BD3048" s="3" t="s">
        <v>70</v>
      </c>
      <c r="BF3048" s="3" t="s">
        <v>25582</v>
      </c>
      <c r="BG3048" s="3" t="s">
        <v>25583</v>
      </c>
    </row>
    <row r="3049" spans="1:59" ht="60" x14ac:dyDescent="0.25">
      <c r="A3049" s="2" t="s">
        <v>59</v>
      </c>
      <c r="B3049" s="2" t="s">
        <v>60</v>
      </c>
      <c r="C3049" s="2" t="s">
        <v>25565</v>
      </c>
      <c r="D3049" s="2" t="s">
        <v>25566</v>
      </c>
      <c r="E3049" s="2" t="s">
        <v>25567</v>
      </c>
      <c r="F3049" s="3" t="s">
        <v>1105</v>
      </c>
      <c r="G3049" s="3" t="s">
        <v>62</v>
      </c>
      <c r="I3049" s="3" t="s">
        <v>63</v>
      </c>
      <c r="J3049" s="3" t="s">
        <v>63</v>
      </c>
      <c r="K3049" s="3" t="s">
        <v>64</v>
      </c>
      <c r="L3049" s="2" t="s">
        <v>25464</v>
      </c>
      <c r="M3049" s="2" t="s">
        <v>25568</v>
      </c>
      <c r="N3049" s="3" t="s">
        <v>154</v>
      </c>
      <c r="P3049" s="3" t="s">
        <v>90</v>
      </c>
      <c r="R3049" s="3" t="s">
        <v>67</v>
      </c>
      <c r="S3049" s="4">
        <v>0</v>
      </c>
      <c r="T3049" s="4">
        <v>8</v>
      </c>
      <c r="V3049" s="5" t="s">
        <v>8840</v>
      </c>
      <c r="W3049" s="5" t="s">
        <v>69</v>
      </c>
      <c r="X3049" s="5" t="s">
        <v>69</v>
      </c>
      <c r="Y3049" s="4">
        <v>2</v>
      </c>
      <c r="Z3049" s="4">
        <v>2</v>
      </c>
      <c r="AA3049" s="4">
        <v>12</v>
      </c>
      <c r="AB3049" s="4">
        <v>1</v>
      </c>
      <c r="AC3049" s="4">
        <v>1</v>
      </c>
      <c r="AD3049" s="4">
        <v>1</v>
      </c>
      <c r="AE3049" s="4">
        <v>36</v>
      </c>
      <c r="AF3049" s="4">
        <v>0</v>
      </c>
      <c r="AG3049" s="4">
        <v>0</v>
      </c>
      <c r="AH3049" s="4">
        <v>1</v>
      </c>
      <c r="AI3049" s="4">
        <v>30</v>
      </c>
      <c r="AJ3049" s="4">
        <v>1</v>
      </c>
      <c r="AK3049" s="4">
        <v>10</v>
      </c>
      <c r="AL3049" s="4">
        <v>0</v>
      </c>
      <c r="AM3049" s="4">
        <v>19</v>
      </c>
      <c r="AN3049" s="4">
        <v>0</v>
      </c>
      <c r="AO3049" s="4">
        <v>0</v>
      </c>
      <c r="AP3049" s="4">
        <v>1</v>
      </c>
      <c r="AQ3049" s="4">
        <v>10</v>
      </c>
      <c r="AR3049" s="3" t="s">
        <v>63</v>
      </c>
      <c r="AS3049" s="3" t="s">
        <v>63</v>
      </c>
      <c r="AT3049" s="3" t="s">
        <v>63</v>
      </c>
      <c r="AV3049" s="6" t="str">
        <f>HYPERLINK("http://mcgill.on.worldcat.org/oclc/427237469","Catalog Record")</f>
        <v>Catalog Record</v>
      </c>
      <c r="AW3049" s="6" t="str">
        <f>HYPERLINK("http://www.worldcat.org/oclc/427237469","WorldCat Record")</f>
        <v>WorldCat Record</v>
      </c>
      <c r="AX3049" s="3" t="s">
        <v>25569</v>
      </c>
      <c r="AY3049" s="3" t="s">
        <v>25570</v>
      </c>
      <c r="AZ3049" s="3" t="s">
        <v>25571</v>
      </c>
      <c r="BA3049" s="3" t="s">
        <v>25571</v>
      </c>
      <c r="BB3049" s="3" t="s">
        <v>25584</v>
      </c>
      <c r="BC3049" s="3" t="s">
        <v>82</v>
      </c>
      <c r="BD3049" s="3" t="s">
        <v>70</v>
      </c>
      <c r="BF3049" s="3" t="s">
        <v>25584</v>
      </c>
      <c r="BG3049" s="3" t="s">
        <v>25585</v>
      </c>
    </row>
    <row r="3050" spans="1:59" ht="60" x14ac:dyDescent="0.25">
      <c r="A3050" s="2" t="s">
        <v>59</v>
      </c>
      <c r="B3050" s="2" t="s">
        <v>60</v>
      </c>
      <c r="C3050" s="2" t="s">
        <v>25565</v>
      </c>
      <c r="D3050" s="2" t="s">
        <v>25566</v>
      </c>
      <c r="E3050" s="2" t="s">
        <v>25567</v>
      </c>
      <c r="F3050" s="3" t="s">
        <v>1095</v>
      </c>
      <c r="G3050" s="3" t="s">
        <v>62</v>
      </c>
      <c r="I3050" s="3" t="s">
        <v>63</v>
      </c>
      <c r="J3050" s="3" t="s">
        <v>63</v>
      </c>
      <c r="K3050" s="3" t="s">
        <v>64</v>
      </c>
      <c r="L3050" s="2" t="s">
        <v>25464</v>
      </c>
      <c r="M3050" s="2" t="s">
        <v>25568</v>
      </c>
      <c r="N3050" s="3" t="s">
        <v>154</v>
      </c>
      <c r="P3050" s="3" t="s">
        <v>90</v>
      </c>
      <c r="R3050" s="3" t="s">
        <v>67</v>
      </c>
      <c r="S3050" s="4">
        <v>4</v>
      </c>
      <c r="T3050" s="4">
        <v>8</v>
      </c>
      <c r="U3050" s="5" t="s">
        <v>16871</v>
      </c>
      <c r="V3050" s="5" t="s">
        <v>8840</v>
      </c>
      <c r="W3050" s="5" t="s">
        <v>69</v>
      </c>
      <c r="X3050" s="5" t="s">
        <v>69</v>
      </c>
      <c r="Y3050" s="4">
        <v>2</v>
      </c>
      <c r="Z3050" s="4">
        <v>2</v>
      </c>
      <c r="AA3050" s="4">
        <v>12</v>
      </c>
      <c r="AB3050" s="4">
        <v>1</v>
      </c>
      <c r="AC3050" s="4">
        <v>1</v>
      </c>
      <c r="AD3050" s="4">
        <v>1</v>
      </c>
      <c r="AE3050" s="4">
        <v>36</v>
      </c>
      <c r="AF3050" s="4">
        <v>0</v>
      </c>
      <c r="AG3050" s="4">
        <v>0</v>
      </c>
      <c r="AH3050" s="4">
        <v>1</v>
      </c>
      <c r="AI3050" s="4">
        <v>30</v>
      </c>
      <c r="AJ3050" s="4">
        <v>1</v>
      </c>
      <c r="AK3050" s="4">
        <v>10</v>
      </c>
      <c r="AL3050" s="4">
        <v>0</v>
      </c>
      <c r="AM3050" s="4">
        <v>19</v>
      </c>
      <c r="AN3050" s="4">
        <v>0</v>
      </c>
      <c r="AO3050" s="4">
        <v>0</v>
      </c>
      <c r="AP3050" s="4">
        <v>1</v>
      </c>
      <c r="AQ3050" s="4">
        <v>10</v>
      </c>
      <c r="AR3050" s="3" t="s">
        <v>63</v>
      </c>
      <c r="AS3050" s="3" t="s">
        <v>63</v>
      </c>
      <c r="AT3050" s="3" t="s">
        <v>63</v>
      </c>
      <c r="AV3050" s="6" t="str">
        <f>HYPERLINK("http://mcgill.on.worldcat.org/oclc/427237469","Catalog Record")</f>
        <v>Catalog Record</v>
      </c>
      <c r="AW3050" s="6" t="str">
        <f>HYPERLINK("http://www.worldcat.org/oclc/427237469","WorldCat Record")</f>
        <v>WorldCat Record</v>
      </c>
      <c r="AX3050" s="3" t="s">
        <v>25569</v>
      </c>
      <c r="AY3050" s="3" t="s">
        <v>25570</v>
      </c>
      <c r="AZ3050" s="3" t="s">
        <v>25571</v>
      </c>
      <c r="BA3050" s="3" t="s">
        <v>25571</v>
      </c>
      <c r="BB3050" s="3" t="s">
        <v>25586</v>
      </c>
      <c r="BC3050" s="3" t="s">
        <v>82</v>
      </c>
      <c r="BD3050" s="3" t="s">
        <v>70</v>
      </c>
      <c r="BF3050" s="3" t="s">
        <v>25586</v>
      </c>
      <c r="BG3050" s="3" t="s">
        <v>25587</v>
      </c>
    </row>
    <row r="3051" spans="1:59" ht="60" x14ac:dyDescent="0.25">
      <c r="A3051" s="2" t="s">
        <v>59</v>
      </c>
      <c r="B3051" s="2" t="s">
        <v>60</v>
      </c>
      <c r="C3051" s="2" t="s">
        <v>25565</v>
      </c>
      <c r="D3051" s="2" t="s">
        <v>25566</v>
      </c>
      <c r="E3051" s="2" t="s">
        <v>25567</v>
      </c>
      <c r="F3051" s="3" t="s">
        <v>1387</v>
      </c>
      <c r="G3051" s="3" t="s">
        <v>62</v>
      </c>
      <c r="I3051" s="3" t="s">
        <v>63</v>
      </c>
      <c r="J3051" s="3" t="s">
        <v>63</v>
      </c>
      <c r="K3051" s="3" t="s">
        <v>64</v>
      </c>
      <c r="L3051" s="2" t="s">
        <v>25464</v>
      </c>
      <c r="M3051" s="2" t="s">
        <v>25568</v>
      </c>
      <c r="N3051" s="3" t="s">
        <v>154</v>
      </c>
      <c r="P3051" s="3" t="s">
        <v>90</v>
      </c>
      <c r="R3051" s="3" t="s">
        <v>67</v>
      </c>
      <c r="S3051" s="4">
        <v>0</v>
      </c>
      <c r="T3051" s="4">
        <v>8</v>
      </c>
      <c r="V3051" s="5" t="s">
        <v>8840</v>
      </c>
      <c r="W3051" s="5" t="s">
        <v>69</v>
      </c>
      <c r="X3051" s="5" t="s">
        <v>69</v>
      </c>
      <c r="Y3051" s="4">
        <v>2</v>
      </c>
      <c r="Z3051" s="4">
        <v>2</v>
      </c>
      <c r="AA3051" s="4">
        <v>12</v>
      </c>
      <c r="AB3051" s="4">
        <v>1</v>
      </c>
      <c r="AC3051" s="4">
        <v>1</v>
      </c>
      <c r="AD3051" s="4">
        <v>1</v>
      </c>
      <c r="AE3051" s="4">
        <v>36</v>
      </c>
      <c r="AF3051" s="4">
        <v>0</v>
      </c>
      <c r="AG3051" s="4">
        <v>0</v>
      </c>
      <c r="AH3051" s="4">
        <v>1</v>
      </c>
      <c r="AI3051" s="4">
        <v>30</v>
      </c>
      <c r="AJ3051" s="4">
        <v>1</v>
      </c>
      <c r="AK3051" s="4">
        <v>10</v>
      </c>
      <c r="AL3051" s="4">
        <v>0</v>
      </c>
      <c r="AM3051" s="4">
        <v>19</v>
      </c>
      <c r="AN3051" s="4">
        <v>0</v>
      </c>
      <c r="AO3051" s="4">
        <v>0</v>
      </c>
      <c r="AP3051" s="4">
        <v>1</v>
      </c>
      <c r="AQ3051" s="4">
        <v>10</v>
      </c>
      <c r="AR3051" s="3" t="s">
        <v>63</v>
      </c>
      <c r="AS3051" s="3" t="s">
        <v>63</v>
      </c>
      <c r="AT3051" s="3" t="s">
        <v>63</v>
      </c>
      <c r="AV3051" s="6" t="str">
        <f>HYPERLINK("http://mcgill.on.worldcat.org/oclc/427237469","Catalog Record")</f>
        <v>Catalog Record</v>
      </c>
      <c r="AW3051" s="6" t="str">
        <f>HYPERLINK("http://www.worldcat.org/oclc/427237469","WorldCat Record")</f>
        <v>WorldCat Record</v>
      </c>
      <c r="AX3051" s="3" t="s">
        <v>25569</v>
      </c>
      <c r="AY3051" s="3" t="s">
        <v>25570</v>
      </c>
      <c r="AZ3051" s="3" t="s">
        <v>25571</v>
      </c>
      <c r="BA3051" s="3" t="s">
        <v>25571</v>
      </c>
      <c r="BB3051" s="3" t="s">
        <v>25588</v>
      </c>
      <c r="BC3051" s="3" t="s">
        <v>82</v>
      </c>
      <c r="BD3051" s="3" t="s">
        <v>70</v>
      </c>
      <c r="BF3051" s="3" t="s">
        <v>25588</v>
      </c>
      <c r="BG3051" s="3" t="s">
        <v>25589</v>
      </c>
    </row>
    <row r="3052" spans="1:59" ht="60" x14ac:dyDescent="0.25">
      <c r="A3052" s="2" t="s">
        <v>59</v>
      </c>
      <c r="B3052" s="2" t="s">
        <v>60</v>
      </c>
      <c r="C3052" s="2" t="s">
        <v>25565</v>
      </c>
      <c r="D3052" s="2" t="s">
        <v>25566</v>
      </c>
      <c r="E3052" s="2" t="s">
        <v>25567</v>
      </c>
      <c r="F3052" s="3" t="s">
        <v>1395</v>
      </c>
      <c r="G3052" s="3" t="s">
        <v>62</v>
      </c>
      <c r="I3052" s="3" t="s">
        <v>63</v>
      </c>
      <c r="J3052" s="3" t="s">
        <v>63</v>
      </c>
      <c r="K3052" s="3" t="s">
        <v>64</v>
      </c>
      <c r="L3052" s="2" t="s">
        <v>25464</v>
      </c>
      <c r="M3052" s="2" t="s">
        <v>25568</v>
      </c>
      <c r="N3052" s="3" t="s">
        <v>154</v>
      </c>
      <c r="P3052" s="3" t="s">
        <v>90</v>
      </c>
      <c r="R3052" s="3" t="s">
        <v>67</v>
      </c>
      <c r="S3052" s="4">
        <v>0</v>
      </c>
      <c r="T3052" s="4">
        <v>8</v>
      </c>
      <c r="V3052" s="5" t="s">
        <v>8840</v>
      </c>
      <c r="W3052" s="5" t="s">
        <v>69</v>
      </c>
      <c r="X3052" s="5" t="s">
        <v>69</v>
      </c>
      <c r="Y3052" s="4">
        <v>2</v>
      </c>
      <c r="Z3052" s="4">
        <v>2</v>
      </c>
      <c r="AA3052" s="4">
        <v>12</v>
      </c>
      <c r="AB3052" s="4">
        <v>1</v>
      </c>
      <c r="AC3052" s="4">
        <v>1</v>
      </c>
      <c r="AD3052" s="4">
        <v>1</v>
      </c>
      <c r="AE3052" s="4">
        <v>36</v>
      </c>
      <c r="AF3052" s="4">
        <v>0</v>
      </c>
      <c r="AG3052" s="4">
        <v>0</v>
      </c>
      <c r="AH3052" s="4">
        <v>1</v>
      </c>
      <c r="AI3052" s="4">
        <v>30</v>
      </c>
      <c r="AJ3052" s="4">
        <v>1</v>
      </c>
      <c r="AK3052" s="4">
        <v>10</v>
      </c>
      <c r="AL3052" s="4">
        <v>0</v>
      </c>
      <c r="AM3052" s="4">
        <v>19</v>
      </c>
      <c r="AN3052" s="4">
        <v>0</v>
      </c>
      <c r="AO3052" s="4">
        <v>0</v>
      </c>
      <c r="AP3052" s="4">
        <v>1</v>
      </c>
      <c r="AQ3052" s="4">
        <v>10</v>
      </c>
      <c r="AR3052" s="3" t="s">
        <v>63</v>
      </c>
      <c r="AS3052" s="3" t="s">
        <v>63</v>
      </c>
      <c r="AT3052" s="3" t="s">
        <v>63</v>
      </c>
      <c r="AV3052" s="6" t="str">
        <f>HYPERLINK("http://mcgill.on.worldcat.org/oclc/427237469","Catalog Record")</f>
        <v>Catalog Record</v>
      </c>
      <c r="AW3052" s="6" t="str">
        <f>HYPERLINK("http://www.worldcat.org/oclc/427237469","WorldCat Record")</f>
        <v>WorldCat Record</v>
      </c>
      <c r="AX3052" s="3" t="s">
        <v>25569</v>
      </c>
      <c r="AY3052" s="3" t="s">
        <v>25570</v>
      </c>
      <c r="AZ3052" s="3" t="s">
        <v>25571</v>
      </c>
      <c r="BA3052" s="3" t="s">
        <v>25571</v>
      </c>
      <c r="BB3052" s="3" t="s">
        <v>25590</v>
      </c>
      <c r="BC3052" s="3" t="s">
        <v>82</v>
      </c>
      <c r="BD3052" s="3" t="s">
        <v>70</v>
      </c>
      <c r="BF3052" s="3" t="s">
        <v>25590</v>
      </c>
      <c r="BG3052" s="3" t="s">
        <v>25591</v>
      </c>
    </row>
    <row r="3053" spans="1:59" ht="60" x14ac:dyDescent="0.25">
      <c r="A3053" s="2" t="s">
        <v>59</v>
      </c>
      <c r="B3053" s="2" t="s">
        <v>60</v>
      </c>
      <c r="C3053" s="2" t="s">
        <v>25565</v>
      </c>
      <c r="D3053" s="2" t="s">
        <v>25566</v>
      </c>
      <c r="E3053" s="2" t="s">
        <v>25567</v>
      </c>
      <c r="F3053" s="3" t="s">
        <v>15297</v>
      </c>
      <c r="G3053" s="3" t="s">
        <v>62</v>
      </c>
      <c r="I3053" s="3" t="s">
        <v>63</v>
      </c>
      <c r="J3053" s="3" t="s">
        <v>63</v>
      </c>
      <c r="K3053" s="3" t="s">
        <v>64</v>
      </c>
      <c r="L3053" s="2" t="s">
        <v>25464</v>
      </c>
      <c r="M3053" s="2" t="s">
        <v>25568</v>
      </c>
      <c r="N3053" s="3" t="s">
        <v>154</v>
      </c>
      <c r="P3053" s="3" t="s">
        <v>90</v>
      </c>
      <c r="R3053" s="3" t="s">
        <v>67</v>
      </c>
      <c r="S3053" s="4">
        <v>1</v>
      </c>
      <c r="T3053" s="4">
        <v>8</v>
      </c>
      <c r="U3053" s="5" t="s">
        <v>25592</v>
      </c>
      <c r="V3053" s="5" t="s">
        <v>8840</v>
      </c>
      <c r="W3053" s="5" t="s">
        <v>69</v>
      </c>
      <c r="X3053" s="5" t="s">
        <v>69</v>
      </c>
      <c r="Y3053" s="4">
        <v>2</v>
      </c>
      <c r="Z3053" s="4">
        <v>2</v>
      </c>
      <c r="AA3053" s="4">
        <v>12</v>
      </c>
      <c r="AB3053" s="4">
        <v>1</v>
      </c>
      <c r="AC3053" s="4">
        <v>1</v>
      </c>
      <c r="AD3053" s="4">
        <v>1</v>
      </c>
      <c r="AE3053" s="4">
        <v>36</v>
      </c>
      <c r="AF3053" s="4">
        <v>0</v>
      </c>
      <c r="AG3053" s="4">
        <v>0</v>
      </c>
      <c r="AH3053" s="4">
        <v>1</v>
      </c>
      <c r="AI3053" s="4">
        <v>30</v>
      </c>
      <c r="AJ3053" s="4">
        <v>1</v>
      </c>
      <c r="AK3053" s="4">
        <v>10</v>
      </c>
      <c r="AL3053" s="4">
        <v>0</v>
      </c>
      <c r="AM3053" s="4">
        <v>19</v>
      </c>
      <c r="AN3053" s="4">
        <v>0</v>
      </c>
      <c r="AO3053" s="4">
        <v>0</v>
      </c>
      <c r="AP3053" s="4">
        <v>1</v>
      </c>
      <c r="AQ3053" s="4">
        <v>10</v>
      </c>
      <c r="AR3053" s="3" t="s">
        <v>63</v>
      </c>
      <c r="AS3053" s="3" t="s">
        <v>63</v>
      </c>
      <c r="AT3053" s="3" t="s">
        <v>63</v>
      </c>
      <c r="AV3053" s="6" t="str">
        <f>HYPERLINK("http://mcgill.on.worldcat.org/oclc/427237469","Catalog Record")</f>
        <v>Catalog Record</v>
      </c>
      <c r="AW3053" s="6" t="str">
        <f>HYPERLINK("http://www.worldcat.org/oclc/427237469","WorldCat Record")</f>
        <v>WorldCat Record</v>
      </c>
      <c r="AX3053" s="3" t="s">
        <v>25569</v>
      </c>
      <c r="AY3053" s="3" t="s">
        <v>25570</v>
      </c>
      <c r="AZ3053" s="3" t="s">
        <v>25571</v>
      </c>
      <c r="BA3053" s="3" t="s">
        <v>25571</v>
      </c>
      <c r="BB3053" s="3" t="s">
        <v>25593</v>
      </c>
      <c r="BC3053" s="3" t="s">
        <v>82</v>
      </c>
      <c r="BD3053" s="3" t="s">
        <v>70</v>
      </c>
      <c r="BF3053" s="3" t="s">
        <v>25593</v>
      </c>
      <c r="BG3053" s="3" t="s">
        <v>25594</v>
      </c>
    </row>
    <row r="3054" spans="1:59" ht="60" x14ac:dyDescent="0.25">
      <c r="A3054" s="2" t="s">
        <v>59</v>
      </c>
      <c r="B3054" s="2" t="s">
        <v>60</v>
      </c>
      <c r="C3054" s="2" t="s">
        <v>25565</v>
      </c>
      <c r="D3054" s="2" t="s">
        <v>25566</v>
      </c>
      <c r="E3054" s="2" t="s">
        <v>25567</v>
      </c>
      <c r="F3054" s="3" t="s">
        <v>15330</v>
      </c>
      <c r="G3054" s="3" t="s">
        <v>62</v>
      </c>
      <c r="I3054" s="3" t="s">
        <v>63</v>
      </c>
      <c r="J3054" s="3" t="s">
        <v>63</v>
      </c>
      <c r="K3054" s="3" t="s">
        <v>64</v>
      </c>
      <c r="L3054" s="2" t="s">
        <v>25464</v>
      </c>
      <c r="M3054" s="2" t="s">
        <v>25568</v>
      </c>
      <c r="N3054" s="3" t="s">
        <v>154</v>
      </c>
      <c r="P3054" s="3" t="s">
        <v>90</v>
      </c>
      <c r="R3054" s="3" t="s">
        <v>67</v>
      </c>
      <c r="S3054" s="4">
        <v>0</v>
      </c>
      <c r="T3054" s="4">
        <v>8</v>
      </c>
      <c r="V3054" s="5" t="s">
        <v>8840</v>
      </c>
      <c r="W3054" s="5" t="s">
        <v>69</v>
      </c>
      <c r="X3054" s="5" t="s">
        <v>69</v>
      </c>
      <c r="Y3054" s="4">
        <v>2</v>
      </c>
      <c r="Z3054" s="4">
        <v>2</v>
      </c>
      <c r="AA3054" s="4">
        <v>12</v>
      </c>
      <c r="AB3054" s="4">
        <v>1</v>
      </c>
      <c r="AC3054" s="4">
        <v>1</v>
      </c>
      <c r="AD3054" s="4">
        <v>1</v>
      </c>
      <c r="AE3054" s="4">
        <v>36</v>
      </c>
      <c r="AF3054" s="4">
        <v>0</v>
      </c>
      <c r="AG3054" s="4">
        <v>0</v>
      </c>
      <c r="AH3054" s="4">
        <v>1</v>
      </c>
      <c r="AI3054" s="4">
        <v>30</v>
      </c>
      <c r="AJ3054" s="4">
        <v>1</v>
      </c>
      <c r="AK3054" s="4">
        <v>10</v>
      </c>
      <c r="AL3054" s="4">
        <v>0</v>
      </c>
      <c r="AM3054" s="4">
        <v>19</v>
      </c>
      <c r="AN3054" s="4">
        <v>0</v>
      </c>
      <c r="AO3054" s="4">
        <v>0</v>
      </c>
      <c r="AP3054" s="4">
        <v>1</v>
      </c>
      <c r="AQ3054" s="4">
        <v>10</v>
      </c>
      <c r="AR3054" s="3" t="s">
        <v>63</v>
      </c>
      <c r="AS3054" s="3" t="s">
        <v>63</v>
      </c>
      <c r="AT3054" s="3" t="s">
        <v>63</v>
      </c>
      <c r="AV3054" s="6" t="str">
        <f>HYPERLINK("http://mcgill.on.worldcat.org/oclc/427237469","Catalog Record")</f>
        <v>Catalog Record</v>
      </c>
      <c r="AW3054" s="6" t="str">
        <f>HYPERLINK("http://www.worldcat.org/oclc/427237469","WorldCat Record")</f>
        <v>WorldCat Record</v>
      </c>
      <c r="AX3054" s="3" t="s">
        <v>25569</v>
      </c>
      <c r="AY3054" s="3" t="s">
        <v>25570</v>
      </c>
      <c r="AZ3054" s="3" t="s">
        <v>25571</v>
      </c>
      <c r="BA3054" s="3" t="s">
        <v>25571</v>
      </c>
      <c r="BB3054" s="3" t="s">
        <v>25595</v>
      </c>
      <c r="BC3054" s="3" t="s">
        <v>82</v>
      </c>
      <c r="BD3054" s="3" t="s">
        <v>70</v>
      </c>
      <c r="BF3054" s="3" t="s">
        <v>25595</v>
      </c>
      <c r="BG3054" s="3" t="s">
        <v>25596</v>
      </c>
    </row>
    <row r="3055" spans="1:59" ht="60" x14ac:dyDescent="0.25">
      <c r="A3055" s="2" t="s">
        <v>59</v>
      </c>
      <c r="B3055" s="2" t="s">
        <v>60</v>
      </c>
      <c r="C3055" s="2" t="s">
        <v>25565</v>
      </c>
      <c r="D3055" s="2" t="s">
        <v>25566</v>
      </c>
      <c r="E3055" s="2" t="s">
        <v>25567</v>
      </c>
      <c r="F3055" s="3" t="s">
        <v>1390</v>
      </c>
      <c r="G3055" s="3" t="s">
        <v>62</v>
      </c>
      <c r="I3055" s="3" t="s">
        <v>63</v>
      </c>
      <c r="J3055" s="3" t="s">
        <v>63</v>
      </c>
      <c r="K3055" s="3" t="s">
        <v>64</v>
      </c>
      <c r="L3055" s="2" t="s">
        <v>25464</v>
      </c>
      <c r="M3055" s="2" t="s">
        <v>25568</v>
      </c>
      <c r="N3055" s="3" t="s">
        <v>154</v>
      </c>
      <c r="P3055" s="3" t="s">
        <v>90</v>
      </c>
      <c r="R3055" s="3" t="s">
        <v>67</v>
      </c>
      <c r="S3055" s="4">
        <v>0</v>
      </c>
      <c r="T3055" s="4">
        <v>8</v>
      </c>
      <c r="V3055" s="5" t="s">
        <v>8840</v>
      </c>
      <c r="W3055" s="5" t="s">
        <v>69</v>
      </c>
      <c r="X3055" s="5" t="s">
        <v>69</v>
      </c>
      <c r="Y3055" s="4">
        <v>2</v>
      </c>
      <c r="Z3055" s="4">
        <v>2</v>
      </c>
      <c r="AA3055" s="4">
        <v>12</v>
      </c>
      <c r="AB3055" s="4">
        <v>1</v>
      </c>
      <c r="AC3055" s="4">
        <v>1</v>
      </c>
      <c r="AD3055" s="4">
        <v>1</v>
      </c>
      <c r="AE3055" s="4">
        <v>36</v>
      </c>
      <c r="AF3055" s="4">
        <v>0</v>
      </c>
      <c r="AG3055" s="4">
        <v>0</v>
      </c>
      <c r="AH3055" s="4">
        <v>1</v>
      </c>
      <c r="AI3055" s="4">
        <v>30</v>
      </c>
      <c r="AJ3055" s="4">
        <v>1</v>
      </c>
      <c r="AK3055" s="4">
        <v>10</v>
      </c>
      <c r="AL3055" s="4">
        <v>0</v>
      </c>
      <c r="AM3055" s="4">
        <v>19</v>
      </c>
      <c r="AN3055" s="4">
        <v>0</v>
      </c>
      <c r="AO3055" s="4">
        <v>0</v>
      </c>
      <c r="AP3055" s="4">
        <v>1</v>
      </c>
      <c r="AQ3055" s="4">
        <v>10</v>
      </c>
      <c r="AR3055" s="3" t="s">
        <v>63</v>
      </c>
      <c r="AS3055" s="3" t="s">
        <v>63</v>
      </c>
      <c r="AT3055" s="3" t="s">
        <v>63</v>
      </c>
      <c r="AV3055" s="6" t="str">
        <f>HYPERLINK("http://mcgill.on.worldcat.org/oclc/427237469","Catalog Record")</f>
        <v>Catalog Record</v>
      </c>
      <c r="AW3055" s="6" t="str">
        <f>HYPERLINK("http://www.worldcat.org/oclc/427237469","WorldCat Record")</f>
        <v>WorldCat Record</v>
      </c>
      <c r="AX3055" s="3" t="s">
        <v>25569</v>
      </c>
      <c r="AY3055" s="3" t="s">
        <v>25570</v>
      </c>
      <c r="AZ3055" s="3" t="s">
        <v>25571</v>
      </c>
      <c r="BA3055" s="3" t="s">
        <v>25571</v>
      </c>
      <c r="BB3055" s="3" t="s">
        <v>25597</v>
      </c>
      <c r="BC3055" s="3" t="s">
        <v>82</v>
      </c>
      <c r="BD3055" s="3" t="s">
        <v>70</v>
      </c>
      <c r="BF3055" s="3" t="s">
        <v>25597</v>
      </c>
      <c r="BG3055" s="3" t="s">
        <v>25598</v>
      </c>
    </row>
    <row r="3056" spans="1:59" ht="60" x14ac:dyDescent="0.25">
      <c r="A3056" s="2" t="s">
        <v>59</v>
      </c>
      <c r="B3056" s="2" t="s">
        <v>60</v>
      </c>
      <c r="C3056" s="2" t="s">
        <v>25599</v>
      </c>
      <c r="D3056" s="2" t="s">
        <v>25600</v>
      </c>
      <c r="E3056" s="2" t="s">
        <v>25601</v>
      </c>
      <c r="F3056" s="3" t="s">
        <v>4439</v>
      </c>
      <c r="G3056" s="3" t="s">
        <v>62</v>
      </c>
      <c r="I3056" s="3" t="s">
        <v>63</v>
      </c>
      <c r="J3056" s="3" t="s">
        <v>63</v>
      </c>
      <c r="K3056" s="3" t="s">
        <v>64</v>
      </c>
      <c r="L3056" s="2" t="s">
        <v>25464</v>
      </c>
      <c r="M3056" s="2" t="s">
        <v>25602</v>
      </c>
      <c r="N3056" s="3" t="s">
        <v>939</v>
      </c>
      <c r="P3056" s="3" t="s">
        <v>90</v>
      </c>
      <c r="Q3056" s="2" t="s">
        <v>20815</v>
      </c>
      <c r="R3056" s="3" t="s">
        <v>67</v>
      </c>
      <c r="S3056" s="4">
        <v>2</v>
      </c>
      <c r="T3056" s="4">
        <v>34</v>
      </c>
      <c r="V3056" s="5" t="s">
        <v>25455</v>
      </c>
      <c r="W3056" s="5" t="s">
        <v>69</v>
      </c>
      <c r="X3056" s="5" t="s">
        <v>69</v>
      </c>
      <c r="Y3056" s="4">
        <v>77</v>
      </c>
      <c r="Z3056" s="4">
        <v>4</v>
      </c>
      <c r="AA3056" s="4">
        <v>6</v>
      </c>
      <c r="AB3056" s="4">
        <v>1</v>
      </c>
      <c r="AC3056" s="4">
        <v>1</v>
      </c>
      <c r="AD3056" s="4">
        <v>27</v>
      </c>
      <c r="AE3056" s="4">
        <v>46</v>
      </c>
      <c r="AF3056" s="4">
        <v>0</v>
      </c>
      <c r="AG3056" s="4">
        <v>0</v>
      </c>
      <c r="AH3056" s="4">
        <v>24</v>
      </c>
      <c r="AI3056" s="4">
        <v>43</v>
      </c>
      <c r="AJ3056" s="4">
        <v>1</v>
      </c>
      <c r="AK3056" s="4">
        <v>3</v>
      </c>
      <c r="AL3056" s="4">
        <v>19</v>
      </c>
      <c r="AM3056" s="4">
        <v>30</v>
      </c>
      <c r="AN3056" s="4">
        <v>0</v>
      </c>
      <c r="AO3056" s="4">
        <v>0</v>
      </c>
      <c r="AP3056" s="4">
        <v>3</v>
      </c>
      <c r="AQ3056" s="4">
        <v>5</v>
      </c>
      <c r="AR3056" s="3" t="s">
        <v>63</v>
      </c>
      <c r="AS3056" s="3" t="s">
        <v>63</v>
      </c>
      <c r="AT3056" s="3" t="s">
        <v>62</v>
      </c>
      <c r="AU3056" s="6" t="str">
        <f>HYPERLINK("http://catalog.hathitrust.org/Record/009244433","HathiTrust Record")</f>
        <v>HathiTrust Record</v>
      </c>
      <c r="AV3056" s="6" t="str">
        <f>HYPERLINK("http://mcgill.on.worldcat.org/oclc/547807","Catalog Record")</f>
        <v>Catalog Record</v>
      </c>
      <c r="AW3056" s="6" t="str">
        <f>HYPERLINK("http://www.worldcat.org/oclc/547807","WorldCat Record")</f>
        <v>WorldCat Record</v>
      </c>
      <c r="AX3056" s="3" t="s">
        <v>25603</v>
      </c>
      <c r="AY3056" s="3" t="s">
        <v>25604</v>
      </c>
      <c r="AZ3056" s="3" t="s">
        <v>25605</v>
      </c>
      <c r="BA3056" s="3" t="s">
        <v>25605</v>
      </c>
      <c r="BB3056" s="3" t="s">
        <v>25606</v>
      </c>
      <c r="BC3056" s="3" t="s">
        <v>82</v>
      </c>
      <c r="BD3056" s="3" t="s">
        <v>538</v>
      </c>
      <c r="BF3056" s="3" t="s">
        <v>25606</v>
      </c>
      <c r="BG3056" s="3" t="s">
        <v>25607</v>
      </c>
    </row>
    <row r="3057" spans="1:59" ht="60" x14ac:dyDescent="0.25">
      <c r="A3057" s="2" t="s">
        <v>59</v>
      </c>
      <c r="B3057" s="2" t="s">
        <v>60</v>
      </c>
      <c r="C3057" s="2" t="s">
        <v>25599</v>
      </c>
      <c r="D3057" s="2" t="s">
        <v>25600</v>
      </c>
      <c r="E3057" s="2" t="s">
        <v>25601</v>
      </c>
      <c r="F3057" s="3" t="s">
        <v>582</v>
      </c>
      <c r="G3057" s="3" t="s">
        <v>62</v>
      </c>
      <c r="I3057" s="3" t="s">
        <v>63</v>
      </c>
      <c r="J3057" s="3" t="s">
        <v>63</v>
      </c>
      <c r="K3057" s="3" t="s">
        <v>64</v>
      </c>
      <c r="L3057" s="2" t="s">
        <v>25464</v>
      </c>
      <c r="M3057" s="2" t="s">
        <v>25602</v>
      </c>
      <c r="N3057" s="3" t="s">
        <v>939</v>
      </c>
      <c r="P3057" s="3" t="s">
        <v>90</v>
      </c>
      <c r="Q3057" s="2" t="s">
        <v>20815</v>
      </c>
      <c r="R3057" s="3" t="s">
        <v>67</v>
      </c>
      <c r="S3057" s="4">
        <v>2</v>
      </c>
      <c r="T3057" s="4">
        <v>34</v>
      </c>
      <c r="V3057" s="5" t="s">
        <v>25455</v>
      </c>
      <c r="W3057" s="5" t="s">
        <v>69</v>
      </c>
      <c r="X3057" s="5" t="s">
        <v>69</v>
      </c>
      <c r="Y3057" s="4">
        <v>77</v>
      </c>
      <c r="Z3057" s="4">
        <v>4</v>
      </c>
      <c r="AA3057" s="4">
        <v>6</v>
      </c>
      <c r="AB3057" s="4">
        <v>1</v>
      </c>
      <c r="AC3057" s="4">
        <v>1</v>
      </c>
      <c r="AD3057" s="4">
        <v>27</v>
      </c>
      <c r="AE3057" s="4">
        <v>46</v>
      </c>
      <c r="AF3057" s="4">
        <v>0</v>
      </c>
      <c r="AG3057" s="4">
        <v>0</v>
      </c>
      <c r="AH3057" s="4">
        <v>24</v>
      </c>
      <c r="AI3057" s="4">
        <v>43</v>
      </c>
      <c r="AJ3057" s="4">
        <v>1</v>
      </c>
      <c r="AK3057" s="4">
        <v>3</v>
      </c>
      <c r="AL3057" s="4">
        <v>19</v>
      </c>
      <c r="AM3057" s="4">
        <v>30</v>
      </c>
      <c r="AN3057" s="4">
        <v>0</v>
      </c>
      <c r="AO3057" s="4">
        <v>0</v>
      </c>
      <c r="AP3057" s="4">
        <v>3</v>
      </c>
      <c r="AQ3057" s="4">
        <v>5</v>
      </c>
      <c r="AR3057" s="3" t="s">
        <v>63</v>
      </c>
      <c r="AS3057" s="3" t="s">
        <v>63</v>
      </c>
      <c r="AT3057" s="3" t="s">
        <v>62</v>
      </c>
      <c r="AU3057" s="6" t="str">
        <f>HYPERLINK("http://catalog.hathitrust.org/Record/009244433","HathiTrust Record")</f>
        <v>HathiTrust Record</v>
      </c>
      <c r="AV3057" s="6" t="str">
        <f>HYPERLINK("http://mcgill.on.worldcat.org/oclc/547807","Catalog Record")</f>
        <v>Catalog Record</v>
      </c>
      <c r="AW3057" s="6" t="str">
        <f>HYPERLINK("http://www.worldcat.org/oclc/547807","WorldCat Record")</f>
        <v>WorldCat Record</v>
      </c>
      <c r="AX3057" s="3" t="s">
        <v>25603</v>
      </c>
      <c r="AY3057" s="3" t="s">
        <v>25604</v>
      </c>
      <c r="AZ3057" s="3" t="s">
        <v>25605</v>
      </c>
      <c r="BA3057" s="3" t="s">
        <v>25605</v>
      </c>
      <c r="BB3057" s="3" t="s">
        <v>25608</v>
      </c>
      <c r="BC3057" s="3" t="s">
        <v>82</v>
      </c>
      <c r="BD3057" s="3" t="s">
        <v>538</v>
      </c>
      <c r="BF3057" s="3" t="s">
        <v>25608</v>
      </c>
      <c r="BG3057" s="3" t="s">
        <v>25609</v>
      </c>
    </row>
    <row r="3058" spans="1:59" ht="60" x14ac:dyDescent="0.25">
      <c r="A3058" s="2" t="s">
        <v>59</v>
      </c>
      <c r="B3058" s="2" t="s">
        <v>60</v>
      </c>
      <c r="C3058" s="2" t="s">
        <v>25599</v>
      </c>
      <c r="D3058" s="2" t="s">
        <v>25600</v>
      </c>
      <c r="E3058" s="2" t="s">
        <v>25601</v>
      </c>
      <c r="F3058" s="3" t="s">
        <v>4032</v>
      </c>
      <c r="G3058" s="3" t="s">
        <v>62</v>
      </c>
      <c r="I3058" s="3" t="s">
        <v>63</v>
      </c>
      <c r="J3058" s="3" t="s">
        <v>63</v>
      </c>
      <c r="K3058" s="3" t="s">
        <v>64</v>
      </c>
      <c r="L3058" s="2" t="s">
        <v>25464</v>
      </c>
      <c r="M3058" s="2" t="s">
        <v>25602</v>
      </c>
      <c r="N3058" s="3" t="s">
        <v>939</v>
      </c>
      <c r="P3058" s="3" t="s">
        <v>90</v>
      </c>
      <c r="Q3058" s="2" t="s">
        <v>20815</v>
      </c>
      <c r="R3058" s="3" t="s">
        <v>67</v>
      </c>
      <c r="S3058" s="4">
        <v>3</v>
      </c>
      <c r="T3058" s="4">
        <v>34</v>
      </c>
      <c r="U3058" s="5" t="s">
        <v>25455</v>
      </c>
      <c r="V3058" s="5" t="s">
        <v>25455</v>
      </c>
      <c r="W3058" s="5" t="s">
        <v>69</v>
      </c>
      <c r="X3058" s="5" t="s">
        <v>69</v>
      </c>
      <c r="Y3058" s="4">
        <v>77</v>
      </c>
      <c r="Z3058" s="4">
        <v>4</v>
      </c>
      <c r="AA3058" s="4">
        <v>6</v>
      </c>
      <c r="AB3058" s="4">
        <v>1</v>
      </c>
      <c r="AC3058" s="4">
        <v>1</v>
      </c>
      <c r="AD3058" s="4">
        <v>27</v>
      </c>
      <c r="AE3058" s="4">
        <v>46</v>
      </c>
      <c r="AF3058" s="4">
        <v>0</v>
      </c>
      <c r="AG3058" s="4">
        <v>0</v>
      </c>
      <c r="AH3058" s="4">
        <v>24</v>
      </c>
      <c r="AI3058" s="4">
        <v>43</v>
      </c>
      <c r="AJ3058" s="4">
        <v>1</v>
      </c>
      <c r="AK3058" s="4">
        <v>3</v>
      </c>
      <c r="AL3058" s="4">
        <v>19</v>
      </c>
      <c r="AM3058" s="4">
        <v>30</v>
      </c>
      <c r="AN3058" s="4">
        <v>0</v>
      </c>
      <c r="AO3058" s="4">
        <v>0</v>
      </c>
      <c r="AP3058" s="4">
        <v>3</v>
      </c>
      <c r="AQ3058" s="4">
        <v>5</v>
      </c>
      <c r="AR3058" s="3" t="s">
        <v>63</v>
      </c>
      <c r="AS3058" s="3" t="s">
        <v>63</v>
      </c>
      <c r="AT3058" s="3" t="s">
        <v>62</v>
      </c>
      <c r="AU3058" s="6" t="str">
        <f>HYPERLINK("http://catalog.hathitrust.org/Record/009244433","HathiTrust Record")</f>
        <v>HathiTrust Record</v>
      </c>
      <c r="AV3058" s="6" t="str">
        <f>HYPERLINK("http://mcgill.on.worldcat.org/oclc/547807","Catalog Record")</f>
        <v>Catalog Record</v>
      </c>
      <c r="AW3058" s="6" t="str">
        <f>HYPERLINK("http://www.worldcat.org/oclc/547807","WorldCat Record")</f>
        <v>WorldCat Record</v>
      </c>
      <c r="AX3058" s="3" t="s">
        <v>25603</v>
      </c>
      <c r="AY3058" s="3" t="s">
        <v>25604</v>
      </c>
      <c r="AZ3058" s="3" t="s">
        <v>25605</v>
      </c>
      <c r="BA3058" s="3" t="s">
        <v>25605</v>
      </c>
      <c r="BB3058" s="3" t="s">
        <v>25610</v>
      </c>
      <c r="BC3058" s="3" t="s">
        <v>82</v>
      </c>
      <c r="BD3058" s="3" t="s">
        <v>538</v>
      </c>
      <c r="BF3058" s="3" t="s">
        <v>25610</v>
      </c>
      <c r="BG3058" s="3" t="s">
        <v>25611</v>
      </c>
    </row>
    <row r="3059" spans="1:59" ht="60" x14ac:dyDescent="0.25">
      <c r="A3059" s="2" t="s">
        <v>59</v>
      </c>
      <c r="B3059" s="2" t="s">
        <v>60</v>
      </c>
      <c r="C3059" s="2" t="s">
        <v>25599</v>
      </c>
      <c r="D3059" s="2" t="s">
        <v>25600</v>
      </c>
      <c r="E3059" s="2" t="s">
        <v>25601</v>
      </c>
      <c r="F3059" s="3" t="s">
        <v>4437</v>
      </c>
      <c r="G3059" s="3" t="s">
        <v>62</v>
      </c>
      <c r="I3059" s="3" t="s">
        <v>63</v>
      </c>
      <c r="J3059" s="3" t="s">
        <v>63</v>
      </c>
      <c r="K3059" s="3" t="s">
        <v>64</v>
      </c>
      <c r="L3059" s="2" t="s">
        <v>25464</v>
      </c>
      <c r="M3059" s="2" t="s">
        <v>25602</v>
      </c>
      <c r="N3059" s="3" t="s">
        <v>939</v>
      </c>
      <c r="P3059" s="3" t="s">
        <v>90</v>
      </c>
      <c r="Q3059" s="2" t="s">
        <v>20815</v>
      </c>
      <c r="R3059" s="3" t="s">
        <v>67</v>
      </c>
      <c r="S3059" s="4">
        <v>5</v>
      </c>
      <c r="T3059" s="4">
        <v>34</v>
      </c>
      <c r="V3059" s="5" t="s">
        <v>25455</v>
      </c>
      <c r="W3059" s="5" t="s">
        <v>69</v>
      </c>
      <c r="X3059" s="5" t="s">
        <v>69</v>
      </c>
      <c r="Y3059" s="4">
        <v>77</v>
      </c>
      <c r="Z3059" s="4">
        <v>4</v>
      </c>
      <c r="AA3059" s="4">
        <v>6</v>
      </c>
      <c r="AB3059" s="4">
        <v>1</v>
      </c>
      <c r="AC3059" s="4">
        <v>1</v>
      </c>
      <c r="AD3059" s="4">
        <v>27</v>
      </c>
      <c r="AE3059" s="4">
        <v>46</v>
      </c>
      <c r="AF3059" s="4">
        <v>0</v>
      </c>
      <c r="AG3059" s="4">
        <v>0</v>
      </c>
      <c r="AH3059" s="4">
        <v>24</v>
      </c>
      <c r="AI3059" s="4">
        <v>43</v>
      </c>
      <c r="AJ3059" s="4">
        <v>1</v>
      </c>
      <c r="AK3059" s="4">
        <v>3</v>
      </c>
      <c r="AL3059" s="4">
        <v>19</v>
      </c>
      <c r="AM3059" s="4">
        <v>30</v>
      </c>
      <c r="AN3059" s="4">
        <v>0</v>
      </c>
      <c r="AO3059" s="4">
        <v>0</v>
      </c>
      <c r="AP3059" s="4">
        <v>3</v>
      </c>
      <c r="AQ3059" s="4">
        <v>5</v>
      </c>
      <c r="AR3059" s="3" t="s">
        <v>63</v>
      </c>
      <c r="AS3059" s="3" t="s">
        <v>63</v>
      </c>
      <c r="AT3059" s="3" t="s">
        <v>62</v>
      </c>
      <c r="AU3059" s="6" t="str">
        <f>HYPERLINK("http://catalog.hathitrust.org/Record/009244433","HathiTrust Record")</f>
        <v>HathiTrust Record</v>
      </c>
      <c r="AV3059" s="6" t="str">
        <f>HYPERLINK("http://mcgill.on.worldcat.org/oclc/547807","Catalog Record")</f>
        <v>Catalog Record</v>
      </c>
      <c r="AW3059" s="6" t="str">
        <f>HYPERLINK("http://www.worldcat.org/oclc/547807","WorldCat Record")</f>
        <v>WorldCat Record</v>
      </c>
      <c r="AX3059" s="3" t="s">
        <v>25603</v>
      </c>
      <c r="AY3059" s="3" t="s">
        <v>25604</v>
      </c>
      <c r="AZ3059" s="3" t="s">
        <v>25605</v>
      </c>
      <c r="BA3059" s="3" t="s">
        <v>25605</v>
      </c>
      <c r="BB3059" s="3" t="s">
        <v>25612</v>
      </c>
      <c r="BC3059" s="3" t="s">
        <v>82</v>
      </c>
      <c r="BD3059" s="3" t="s">
        <v>538</v>
      </c>
      <c r="BF3059" s="3" t="s">
        <v>25612</v>
      </c>
      <c r="BG3059" s="3" t="s">
        <v>25613</v>
      </c>
    </row>
    <row r="3060" spans="1:59" ht="60" x14ac:dyDescent="0.25">
      <c r="A3060" s="2" t="s">
        <v>59</v>
      </c>
      <c r="B3060" s="2" t="s">
        <v>60</v>
      </c>
      <c r="C3060" s="2" t="s">
        <v>25599</v>
      </c>
      <c r="D3060" s="2" t="s">
        <v>25600</v>
      </c>
      <c r="E3060" s="2" t="s">
        <v>25601</v>
      </c>
      <c r="F3060" s="3" t="s">
        <v>4432</v>
      </c>
      <c r="G3060" s="3" t="s">
        <v>62</v>
      </c>
      <c r="I3060" s="3" t="s">
        <v>63</v>
      </c>
      <c r="J3060" s="3" t="s">
        <v>63</v>
      </c>
      <c r="K3060" s="3" t="s">
        <v>64</v>
      </c>
      <c r="L3060" s="2" t="s">
        <v>25464</v>
      </c>
      <c r="M3060" s="2" t="s">
        <v>25602</v>
      </c>
      <c r="N3060" s="3" t="s">
        <v>939</v>
      </c>
      <c r="P3060" s="3" t="s">
        <v>90</v>
      </c>
      <c r="Q3060" s="2" t="s">
        <v>20815</v>
      </c>
      <c r="R3060" s="3" t="s">
        <v>67</v>
      </c>
      <c r="S3060" s="4">
        <v>5</v>
      </c>
      <c r="T3060" s="4">
        <v>34</v>
      </c>
      <c r="V3060" s="5" t="s">
        <v>25455</v>
      </c>
      <c r="W3060" s="5" t="s">
        <v>69</v>
      </c>
      <c r="X3060" s="5" t="s">
        <v>69</v>
      </c>
      <c r="Y3060" s="4">
        <v>77</v>
      </c>
      <c r="Z3060" s="4">
        <v>4</v>
      </c>
      <c r="AA3060" s="4">
        <v>6</v>
      </c>
      <c r="AB3060" s="4">
        <v>1</v>
      </c>
      <c r="AC3060" s="4">
        <v>1</v>
      </c>
      <c r="AD3060" s="4">
        <v>27</v>
      </c>
      <c r="AE3060" s="4">
        <v>46</v>
      </c>
      <c r="AF3060" s="4">
        <v>0</v>
      </c>
      <c r="AG3060" s="4">
        <v>0</v>
      </c>
      <c r="AH3060" s="4">
        <v>24</v>
      </c>
      <c r="AI3060" s="4">
        <v>43</v>
      </c>
      <c r="AJ3060" s="4">
        <v>1</v>
      </c>
      <c r="AK3060" s="4">
        <v>3</v>
      </c>
      <c r="AL3060" s="4">
        <v>19</v>
      </c>
      <c r="AM3060" s="4">
        <v>30</v>
      </c>
      <c r="AN3060" s="4">
        <v>0</v>
      </c>
      <c r="AO3060" s="4">
        <v>0</v>
      </c>
      <c r="AP3060" s="4">
        <v>3</v>
      </c>
      <c r="AQ3060" s="4">
        <v>5</v>
      </c>
      <c r="AR3060" s="3" t="s">
        <v>63</v>
      </c>
      <c r="AS3060" s="3" t="s">
        <v>63</v>
      </c>
      <c r="AT3060" s="3" t="s">
        <v>62</v>
      </c>
      <c r="AU3060" s="6" t="str">
        <f>HYPERLINK("http://catalog.hathitrust.org/Record/009244433","HathiTrust Record")</f>
        <v>HathiTrust Record</v>
      </c>
      <c r="AV3060" s="6" t="str">
        <f>HYPERLINK("http://mcgill.on.worldcat.org/oclc/547807","Catalog Record")</f>
        <v>Catalog Record</v>
      </c>
      <c r="AW3060" s="6" t="str">
        <f>HYPERLINK("http://www.worldcat.org/oclc/547807","WorldCat Record")</f>
        <v>WorldCat Record</v>
      </c>
      <c r="AX3060" s="3" t="s">
        <v>25603</v>
      </c>
      <c r="AY3060" s="3" t="s">
        <v>25604</v>
      </c>
      <c r="AZ3060" s="3" t="s">
        <v>25605</v>
      </c>
      <c r="BA3060" s="3" t="s">
        <v>25605</v>
      </c>
      <c r="BB3060" s="3" t="s">
        <v>25614</v>
      </c>
      <c r="BC3060" s="3" t="s">
        <v>82</v>
      </c>
      <c r="BD3060" s="3" t="s">
        <v>538</v>
      </c>
      <c r="BF3060" s="3" t="s">
        <v>25614</v>
      </c>
      <c r="BG3060" s="3" t="s">
        <v>25615</v>
      </c>
    </row>
    <row r="3061" spans="1:59" ht="60" x14ac:dyDescent="0.25">
      <c r="A3061" s="2" t="s">
        <v>59</v>
      </c>
      <c r="B3061" s="2" t="s">
        <v>60</v>
      </c>
      <c r="C3061" s="2" t="s">
        <v>25599</v>
      </c>
      <c r="D3061" s="2" t="s">
        <v>25600</v>
      </c>
      <c r="E3061" s="2" t="s">
        <v>25601</v>
      </c>
      <c r="F3061" s="3" t="s">
        <v>571</v>
      </c>
      <c r="G3061" s="3" t="s">
        <v>62</v>
      </c>
      <c r="I3061" s="3" t="s">
        <v>63</v>
      </c>
      <c r="J3061" s="3" t="s">
        <v>63</v>
      </c>
      <c r="K3061" s="3" t="s">
        <v>64</v>
      </c>
      <c r="L3061" s="2" t="s">
        <v>25464</v>
      </c>
      <c r="M3061" s="2" t="s">
        <v>25602</v>
      </c>
      <c r="N3061" s="3" t="s">
        <v>939</v>
      </c>
      <c r="P3061" s="3" t="s">
        <v>90</v>
      </c>
      <c r="Q3061" s="2" t="s">
        <v>20815</v>
      </c>
      <c r="R3061" s="3" t="s">
        <v>67</v>
      </c>
      <c r="S3061" s="4">
        <v>5</v>
      </c>
      <c r="T3061" s="4">
        <v>34</v>
      </c>
      <c r="V3061" s="5" t="s">
        <v>25455</v>
      </c>
      <c r="W3061" s="5" t="s">
        <v>69</v>
      </c>
      <c r="X3061" s="5" t="s">
        <v>69</v>
      </c>
      <c r="Y3061" s="4">
        <v>77</v>
      </c>
      <c r="Z3061" s="4">
        <v>4</v>
      </c>
      <c r="AA3061" s="4">
        <v>6</v>
      </c>
      <c r="AB3061" s="4">
        <v>1</v>
      </c>
      <c r="AC3061" s="4">
        <v>1</v>
      </c>
      <c r="AD3061" s="4">
        <v>27</v>
      </c>
      <c r="AE3061" s="4">
        <v>46</v>
      </c>
      <c r="AF3061" s="4">
        <v>0</v>
      </c>
      <c r="AG3061" s="4">
        <v>0</v>
      </c>
      <c r="AH3061" s="4">
        <v>24</v>
      </c>
      <c r="AI3061" s="4">
        <v>43</v>
      </c>
      <c r="AJ3061" s="4">
        <v>1</v>
      </c>
      <c r="AK3061" s="4">
        <v>3</v>
      </c>
      <c r="AL3061" s="4">
        <v>19</v>
      </c>
      <c r="AM3061" s="4">
        <v>30</v>
      </c>
      <c r="AN3061" s="4">
        <v>0</v>
      </c>
      <c r="AO3061" s="4">
        <v>0</v>
      </c>
      <c r="AP3061" s="4">
        <v>3</v>
      </c>
      <c r="AQ3061" s="4">
        <v>5</v>
      </c>
      <c r="AR3061" s="3" t="s">
        <v>63</v>
      </c>
      <c r="AS3061" s="3" t="s">
        <v>63</v>
      </c>
      <c r="AT3061" s="3" t="s">
        <v>62</v>
      </c>
      <c r="AU3061" s="6" t="str">
        <f>HYPERLINK("http://catalog.hathitrust.org/Record/009244433","HathiTrust Record")</f>
        <v>HathiTrust Record</v>
      </c>
      <c r="AV3061" s="6" t="str">
        <f>HYPERLINK("http://mcgill.on.worldcat.org/oclc/547807","Catalog Record")</f>
        <v>Catalog Record</v>
      </c>
      <c r="AW3061" s="6" t="str">
        <f>HYPERLINK("http://www.worldcat.org/oclc/547807","WorldCat Record")</f>
        <v>WorldCat Record</v>
      </c>
      <c r="AX3061" s="3" t="s">
        <v>25603</v>
      </c>
      <c r="AY3061" s="3" t="s">
        <v>25604</v>
      </c>
      <c r="AZ3061" s="3" t="s">
        <v>25605</v>
      </c>
      <c r="BA3061" s="3" t="s">
        <v>25605</v>
      </c>
      <c r="BB3061" s="3" t="s">
        <v>25616</v>
      </c>
      <c r="BC3061" s="3" t="s">
        <v>82</v>
      </c>
      <c r="BD3061" s="3" t="s">
        <v>538</v>
      </c>
      <c r="BF3061" s="3" t="s">
        <v>25616</v>
      </c>
      <c r="BG3061" s="3" t="s">
        <v>25617</v>
      </c>
    </row>
    <row r="3062" spans="1:59" ht="60" x14ac:dyDescent="0.25">
      <c r="A3062" s="2" t="s">
        <v>59</v>
      </c>
      <c r="B3062" s="2" t="s">
        <v>60</v>
      </c>
      <c r="C3062" s="2" t="s">
        <v>25599</v>
      </c>
      <c r="D3062" s="2" t="s">
        <v>25600</v>
      </c>
      <c r="E3062" s="2" t="s">
        <v>25601</v>
      </c>
      <c r="F3062" s="3" t="s">
        <v>4434</v>
      </c>
      <c r="G3062" s="3" t="s">
        <v>62</v>
      </c>
      <c r="I3062" s="3" t="s">
        <v>63</v>
      </c>
      <c r="J3062" s="3" t="s">
        <v>63</v>
      </c>
      <c r="K3062" s="3" t="s">
        <v>64</v>
      </c>
      <c r="L3062" s="2" t="s">
        <v>25464</v>
      </c>
      <c r="M3062" s="2" t="s">
        <v>25602</v>
      </c>
      <c r="N3062" s="3" t="s">
        <v>939</v>
      </c>
      <c r="P3062" s="3" t="s">
        <v>90</v>
      </c>
      <c r="Q3062" s="2" t="s">
        <v>20815</v>
      </c>
      <c r="R3062" s="3" t="s">
        <v>67</v>
      </c>
      <c r="S3062" s="4">
        <v>7</v>
      </c>
      <c r="T3062" s="4">
        <v>34</v>
      </c>
      <c r="U3062" s="5" t="s">
        <v>25455</v>
      </c>
      <c r="V3062" s="5" t="s">
        <v>25455</v>
      </c>
      <c r="W3062" s="5" t="s">
        <v>69</v>
      </c>
      <c r="X3062" s="5" t="s">
        <v>69</v>
      </c>
      <c r="Y3062" s="4">
        <v>77</v>
      </c>
      <c r="Z3062" s="4">
        <v>4</v>
      </c>
      <c r="AA3062" s="4">
        <v>6</v>
      </c>
      <c r="AB3062" s="4">
        <v>1</v>
      </c>
      <c r="AC3062" s="4">
        <v>1</v>
      </c>
      <c r="AD3062" s="4">
        <v>27</v>
      </c>
      <c r="AE3062" s="4">
        <v>46</v>
      </c>
      <c r="AF3062" s="4">
        <v>0</v>
      </c>
      <c r="AG3062" s="4">
        <v>0</v>
      </c>
      <c r="AH3062" s="4">
        <v>24</v>
      </c>
      <c r="AI3062" s="4">
        <v>43</v>
      </c>
      <c r="AJ3062" s="4">
        <v>1</v>
      </c>
      <c r="AK3062" s="4">
        <v>3</v>
      </c>
      <c r="AL3062" s="4">
        <v>19</v>
      </c>
      <c r="AM3062" s="4">
        <v>30</v>
      </c>
      <c r="AN3062" s="4">
        <v>0</v>
      </c>
      <c r="AO3062" s="4">
        <v>0</v>
      </c>
      <c r="AP3062" s="4">
        <v>3</v>
      </c>
      <c r="AQ3062" s="4">
        <v>5</v>
      </c>
      <c r="AR3062" s="3" t="s">
        <v>63</v>
      </c>
      <c r="AS3062" s="3" t="s">
        <v>63</v>
      </c>
      <c r="AT3062" s="3" t="s">
        <v>62</v>
      </c>
      <c r="AU3062" s="6" t="str">
        <f>HYPERLINK("http://catalog.hathitrust.org/Record/009244433","HathiTrust Record")</f>
        <v>HathiTrust Record</v>
      </c>
      <c r="AV3062" s="6" t="str">
        <f>HYPERLINK("http://mcgill.on.worldcat.org/oclc/547807","Catalog Record")</f>
        <v>Catalog Record</v>
      </c>
      <c r="AW3062" s="6" t="str">
        <f>HYPERLINK("http://www.worldcat.org/oclc/547807","WorldCat Record")</f>
        <v>WorldCat Record</v>
      </c>
      <c r="AX3062" s="3" t="s">
        <v>25603</v>
      </c>
      <c r="AY3062" s="3" t="s">
        <v>25604</v>
      </c>
      <c r="AZ3062" s="3" t="s">
        <v>25605</v>
      </c>
      <c r="BA3062" s="3" t="s">
        <v>25605</v>
      </c>
      <c r="BB3062" s="3" t="s">
        <v>25618</v>
      </c>
      <c r="BC3062" s="3" t="s">
        <v>82</v>
      </c>
      <c r="BD3062" s="3" t="s">
        <v>538</v>
      </c>
      <c r="BF3062" s="3" t="s">
        <v>25618</v>
      </c>
      <c r="BG3062" s="3" t="s">
        <v>25619</v>
      </c>
    </row>
    <row r="3063" spans="1:59" ht="60" x14ac:dyDescent="0.25">
      <c r="A3063" s="2" t="s">
        <v>59</v>
      </c>
      <c r="B3063" s="2" t="s">
        <v>60</v>
      </c>
      <c r="C3063" s="2" t="s">
        <v>25599</v>
      </c>
      <c r="D3063" s="2" t="s">
        <v>25600</v>
      </c>
      <c r="E3063" s="2" t="s">
        <v>25601</v>
      </c>
      <c r="F3063" s="3" t="s">
        <v>4435</v>
      </c>
      <c r="G3063" s="3" t="s">
        <v>62</v>
      </c>
      <c r="I3063" s="3" t="s">
        <v>63</v>
      </c>
      <c r="J3063" s="3" t="s">
        <v>63</v>
      </c>
      <c r="K3063" s="3" t="s">
        <v>64</v>
      </c>
      <c r="L3063" s="2" t="s">
        <v>25464</v>
      </c>
      <c r="M3063" s="2" t="s">
        <v>25602</v>
      </c>
      <c r="N3063" s="3" t="s">
        <v>939</v>
      </c>
      <c r="P3063" s="3" t="s">
        <v>90</v>
      </c>
      <c r="Q3063" s="2" t="s">
        <v>20815</v>
      </c>
      <c r="R3063" s="3" t="s">
        <v>67</v>
      </c>
      <c r="S3063" s="4">
        <v>5</v>
      </c>
      <c r="T3063" s="4">
        <v>34</v>
      </c>
      <c r="V3063" s="5" t="s">
        <v>25455</v>
      </c>
      <c r="W3063" s="5" t="s">
        <v>69</v>
      </c>
      <c r="X3063" s="5" t="s">
        <v>69</v>
      </c>
      <c r="Y3063" s="4">
        <v>77</v>
      </c>
      <c r="Z3063" s="4">
        <v>4</v>
      </c>
      <c r="AA3063" s="4">
        <v>6</v>
      </c>
      <c r="AB3063" s="4">
        <v>1</v>
      </c>
      <c r="AC3063" s="4">
        <v>1</v>
      </c>
      <c r="AD3063" s="4">
        <v>27</v>
      </c>
      <c r="AE3063" s="4">
        <v>46</v>
      </c>
      <c r="AF3063" s="4">
        <v>0</v>
      </c>
      <c r="AG3063" s="4">
        <v>0</v>
      </c>
      <c r="AH3063" s="4">
        <v>24</v>
      </c>
      <c r="AI3063" s="4">
        <v>43</v>
      </c>
      <c r="AJ3063" s="4">
        <v>1</v>
      </c>
      <c r="AK3063" s="4">
        <v>3</v>
      </c>
      <c r="AL3063" s="4">
        <v>19</v>
      </c>
      <c r="AM3063" s="4">
        <v>30</v>
      </c>
      <c r="AN3063" s="4">
        <v>0</v>
      </c>
      <c r="AO3063" s="4">
        <v>0</v>
      </c>
      <c r="AP3063" s="4">
        <v>3</v>
      </c>
      <c r="AQ3063" s="4">
        <v>5</v>
      </c>
      <c r="AR3063" s="3" t="s">
        <v>63</v>
      </c>
      <c r="AS3063" s="3" t="s">
        <v>63</v>
      </c>
      <c r="AT3063" s="3" t="s">
        <v>62</v>
      </c>
      <c r="AU3063" s="6" t="str">
        <f>HYPERLINK("http://catalog.hathitrust.org/Record/009244433","HathiTrust Record")</f>
        <v>HathiTrust Record</v>
      </c>
      <c r="AV3063" s="6" t="str">
        <f>HYPERLINK("http://mcgill.on.worldcat.org/oclc/547807","Catalog Record")</f>
        <v>Catalog Record</v>
      </c>
      <c r="AW3063" s="6" t="str">
        <f>HYPERLINK("http://www.worldcat.org/oclc/547807","WorldCat Record")</f>
        <v>WorldCat Record</v>
      </c>
      <c r="AX3063" s="3" t="s">
        <v>25603</v>
      </c>
      <c r="AY3063" s="3" t="s">
        <v>25604</v>
      </c>
      <c r="AZ3063" s="3" t="s">
        <v>25605</v>
      </c>
      <c r="BA3063" s="3" t="s">
        <v>25605</v>
      </c>
      <c r="BB3063" s="3" t="s">
        <v>25620</v>
      </c>
      <c r="BC3063" s="3" t="s">
        <v>82</v>
      </c>
      <c r="BD3063" s="3" t="s">
        <v>538</v>
      </c>
      <c r="BF3063" s="3" t="s">
        <v>25620</v>
      </c>
      <c r="BG3063" s="3" t="s">
        <v>25621</v>
      </c>
    </row>
    <row r="3064" spans="1:59" ht="75" x14ac:dyDescent="0.25">
      <c r="A3064" s="2" t="s">
        <v>59</v>
      </c>
      <c r="B3064" s="2" t="s">
        <v>60</v>
      </c>
      <c r="C3064" s="2" t="s">
        <v>25461</v>
      </c>
      <c r="D3064" s="2" t="s">
        <v>25462</v>
      </c>
      <c r="E3064" s="2" t="s">
        <v>25463</v>
      </c>
      <c r="F3064" s="3" t="s">
        <v>1095</v>
      </c>
      <c r="G3064" s="3" t="s">
        <v>62</v>
      </c>
      <c r="I3064" s="3" t="s">
        <v>63</v>
      </c>
      <c r="J3064" s="3" t="s">
        <v>63</v>
      </c>
      <c r="K3064" s="3" t="s">
        <v>64</v>
      </c>
      <c r="L3064" s="2" t="s">
        <v>25464</v>
      </c>
      <c r="M3064" s="2" t="s">
        <v>25465</v>
      </c>
      <c r="N3064" s="3" t="s">
        <v>1916</v>
      </c>
      <c r="P3064" s="3" t="s">
        <v>66</v>
      </c>
      <c r="R3064" s="3" t="s">
        <v>67</v>
      </c>
      <c r="S3064" s="4">
        <v>22</v>
      </c>
      <c r="T3064" s="4">
        <v>46</v>
      </c>
      <c r="U3064" s="5" t="s">
        <v>25466</v>
      </c>
      <c r="V3064" s="5" t="s">
        <v>4625</v>
      </c>
      <c r="W3064" s="5" t="s">
        <v>69</v>
      </c>
      <c r="X3064" s="5" t="s">
        <v>69</v>
      </c>
      <c r="Y3064" s="4">
        <v>146</v>
      </c>
      <c r="Z3064" s="4">
        <v>13</v>
      </c>
      <c r="AA3064" s="4">
        <v>13</v>
      </c>
      <c r="AB3064" s="4">
        <v>1</v>
      </c>
      <c r="AC3064" s="4">
        <v>1</v>
      </c>
      <c r="AD3064" s="4">
        <v>73</v>
      </c>
      <c r="AE3064" s="4">
        <v>73</v>
      </c>
      <c r="AF3064" s="4">
        <v>0</v>
      </c>
      <c r="AG3064" s="4">
        <v>0</v>
      </c>
      <c r="AH3064" s="4">
        <v>68</v>
      </c>
      <c r="AI3064" s="4">
        <v>68</v>
      </c>
      <c r="AJ3064" s="4">
        <v>8</v>
      </c>
      <c r="AK3064" s="4">
        <v>8</v>
      </c>
      <c r="AL3064" s="4">
        <v>41</v>
      </c>
      <c r="AM3064" s="4">
        <v>41</v>
      </c>
      <c r="AN3064" s="4">
        <v>0</v>
      </c>
      <c r="AO3064" s="4">
        <v>0</v>
      </c>
      <c r="AP3064" s="4">
        <v>9</v>
      </c>
      <c r="AQ3064" s="4">
        <v>9</v>
      </c>
      <c r="AR3064" s="3" t="s">
        <v>63</v>
      </c>
      <c r="AS3064" s="3" t="s">
        <v>63</v>
      </c>
      <c r="AT3064" s="3" t="s">
        <v>62</v>
      </c>
      <c r="AU3064" s="6" t="str">
        <f>HYPERLINK("http://catalog.hathitrust.org/Record/000665359","HathiTrust Record")</f>
        <v>HathiTrust Record</v>
      </c>
      <c r="AV3064" s="6" t="str">
        <f>HYPERLINK("http://mcgill.on.worldcat.org/oclc/13426034","Catalog Record")</f>
        <v>Catalog Record</v>
      </c>
      <c r="AW3064" s="6" t="str">
        <f>HYPERLINK("http://www.worldcat.org/oclc/13426034","WorldCat Record")</f>
        <v>WorldCat Record</v>
      </c>
      <c r="AX3064" s="3" t="s">
        <v>25467</v>
      </c>
      <c r="AY3064" s="3" t="s">
        <v>25468</v>
      </c>
      <c r="AZ3064" s="3" t="s">
        <v>25469</v>
      </c>
      <c r="BA3064" s="3" t="s">
        <v>25469</v>
      </c>
      <c r="BB3064" s="3" t="s">
        <v>25470</v>
      </c>
      <c r="BC3064" s="3" t="s">
        <v>82</v>
      </c>
      <c r="BD3064" s="3" t="s">
        <v>70</v>
      </c>
      <c r="BE3064" s="3" t="s">
        <v>25471</v>
      </c>
      <c r="BF3064" s="3" t="s">
        <v>25470</v>
      </c>
      <c r="BG3064" s="3" t="s">
        <v>25472</v>
      </c>
    </row>
    <row r="3065" spans="1:59" ht="75" x14ac:dyDescent="0.25">
      <c r="A3065" s="2" t="s">
        <v>59</v>
      </c>
      <c r="B3065" s="2" t="s">
        <v>60</v>
      </c>
      <c r="C3065" s="2" t="s">
        <v>25461</v>
      </c>
      <c r="D3065" s="2" t="s">
        <v>25462</v>
      </c>
      <c r="E3065" s="2" t="s">
        <v>25463</v>
      </c>
      <c r="F3065" s="3" t="s">
        <v>61</v>
      </c>
      <c r="G3065" s="3" t="s">
        <v>62</v>
      </c>
      <c r="I3065" s="3" t="s">
        <v>63</v>
      </c>
      <c r="J3065" s="3" t="s">
        <v>63</v>
      </c>
      <c r="K3065" s="3" t="s">
        <v>64</v>
      </c>
      <c r="L3065" s="2" t="s">
        <v>25464</v>
      </c>
      <c r="M3065" s="2" t="s">
        <v>25465</v>
      </c>
      <c r="N3065" s="3" t="s">
        <v>1916</v>
      </c>
      <c r="P3065" s="3" t="s">
        <v>66</v>
      </c>
      <c r="R3065" s="3" t="s">
        <v>67</v>
      </c>
      <c r="S3065" s="4">
        <v>15</v>
      </c>
      <c r="T3065" s="4">
        <v>46</v>
      </c>
      <c r="U3065" s="5" t="s">
        <v>25473</v>
      </c>
      <c r="V3065" s="5" t="s">
        <v>4625</v>
      </c>
      <c r="W3065" s="5" t="s">
        <v>69</v>
      </c>
      <c r="X3065" s="5" t="s">
        <v>69</v>
      </c>
      <c r="Y3065" s="4">
        <v>146</v>
      </c>
      <c r="Z3065" s="4">
        <v>13</v>
      </c>
      <c r="AA3065" s="4">
        <v>13</v>
      </c>
      <c r="AB3065" s="4">
        <v>1</v>
      </c>
      <c r="AC3065" s="4">
        <v>1</v>
      </c>
      <c r="AD3065" s="4">
        <v>73</v>
      </c>
      <c r="AE3065" s="4">
        <v>73</v>
      </c>
      <c r="AF3065" s="4">
        <v>0</v>
      </c>
      <c r="AG3065" s="4">
        <v>0</v>
      </c>
      <c r="AH3065" s="4">
        <v>68</v>
      </c>
      <c r="AI3065" s="4">
        <v>68</v>
      </c>
      <c r="AJ3065" s="4">
        <v>8</v>
      </c>
      <c r="AK3065" s="4">
        <v>8</v>
      </c>
      <c r="AL3065" s="4">
        <v>41</v>
      </c>
      <c r="AM3065" s="4">
        <v>41</v>
      </c>
      <c r="AN3065" s="4">
        <v>0</v>
      </c>
      <c r="AO3065" s="4">
        <v>0</v>
      </c>
      <c r="AP3065" s="4">
        <v>9</v>
      </c>
      <c r="AQ3065" s="4">
        <v>9</v>
      </c>
      <c r="AR3065" s="3" t="s">
        <v>63</v>
      </c>
      <c r="AS3065" s="3" t="s">
        <v>63</v>
      </c>
      <c r="AT3065" s="3" t="s">
        <v>62</v>
      </c>
      <c r="AU3065" s="6" t="str">
        <f>HYPERLINK("http://catalog.hathitrust.org/Record/000665359","HathiTrust Record")</f>
        <v>HathiTrust Record</v>
      </c>
      <c r="AV3065" s="6" t="str">
        <f>HYPERLINK("http://mcgill.on.worldcat.org/oclc/13426034","Catalog Record")</f>
        <v>Catalog Record</v>
      </c>
      <c r="AW3065" s="6" t="str">
        <f>HYPERLINK("http://www.worldcat.org/oclc/13426034","WorldCat Record")</f>
        <v>WorldCat Record</v>
      </c>
      <c r="AX3065" s="3" t="s">
        <v>25467</v>
      </c>
      <c r="AY3065" s="3" t="s">
        <v>25468</v>
      </c>
      <c r="AZ3065" s="3" t="s">
        <v>25469</v>
      </c>
      <c r="BA3065" s="3" t="s">
        <v>25469</v>
      </c>
      <c r="BB3065" s="3" t="s">
        <v>25474</v>
      </c>
      <c r="BC3065" s="3" t="s">
        <v>82</v>
      </c>
      <c r="BD3065" s="3" t="s">
        <v>70</v>
      </c>
      <c r="BE3065" s="3" t="s">
        <v>25471</v>
      </c>
      <c r="BF3065" s="3" t="s">
        <v>25474</v>
      </c>
      <c r="BG3065" s="3" t="s">
        <v>25475</v>
      </c>
    </row>
    <row r="3066" spans="1:59" ht="75" x14ac:dyDescent="0.25">
      <c r="A3066" s="2" t="s">
        <v>59</v>
      </c>
      <c r="B3066" s="2" t="s">
        <v>60</v>
      </c>
      <c r="C3066" s="2" t="s">
        <v>25461</v>
      </c>
      <c r="D3066" s="2" t="s">
        <v>25462</v>
      </c>
      <c r="E3066" s="2" t="s">
        <v>25463</v>
      </c>
      <c r="F3066" s="3" t="s">
        <v>1379</v>
      </c>
      <c r="G3066" s="3" t="s">
        <v>62</v>
      </c>
      <c r="I3066" s="3" t="s">
        <v>63</v>
      </c>
      <c r="J3066" s="3" t="s">
        <v>63</v>
      </c>
      <c r="K3066" s="3" t="s">
        <v>64</v>
      </c>
      <c r="L3066" s="2" t="s">
        <v>25464</v>
      </c>
      <c r="M3066" s="2" t="s">
        <v>25465</v>
      </c>
      <c r="N3066" s="3" t="s">
        <v>1916</v>
      </c>
      <c r="P3066" s="3" t="s">
        <v>66</v>
      </c>
      <c r="R3066" s="3" t="s">
        <v>67</v>
      </c>
      <c r="S3066" s="4">
        <v>9</v>
      </c>
      <c r="T3066" s="4">
        <v>46</v>
      </c>
      <c r="U3066" s="5" t="s">
        <v>4625</v>
      </c>
      <c r="V3066" s="5" t="s">
        <v>4625</v>
      </c>
      <c r="W3066" s="5" t="s">
        <v>69</v>
      </c>
      <c r="X3066" s="5" t="s">
        <v>69</v>
      </c>
      <c r="Y3066" s="4">
        <v>146</v>
      </c>
      <c r="Z3066" s="4">
        <v>13</v>
      </c>
      <c r="AA3066" s="4">
        <v>13</v>
      </c>
      <c r="AB3066" s="4">
        <v>1</v>
      </c>
      <c r="AC3066" s="4">
        <v>1</v>
      </c>
      <c r="AD3066" s="4">
        <v>73</v>
      </c>
      <c r="AE3066" s="4">
        <v>73</v>
      </c>
      <c r="AF3066" s="4">
        <v>0</v>
      </c>
      <c r="AG3066" s="4">
        <v>0</v>
      </c>
      <c r="AH3066" s="4">
        <v>68</v>
      </c>
      <c r="AI3066" s="4">
        <v>68</v>
      </c>
      <c r="AJ3066" s="4">
        <v>8</v>
      </c>
      <c r="AK3066" s="4">
        <v>8</v>
      </c>
      <c r="AL3066" s="4">
        <v>41</v>
      </c>
      <c r="AM3066" s="4">
        <v>41</v>
      </c>
      <c r="AN3066" s="4">
        <v>0</v>
      </c>
      <c r="AO3066" s="4">
        <v>0</v>
      </c>
      <c r="AP3066" s="4">
        <v>9</v>
      </c>
      <c r="AQ3066" s="4">
        <v>9</v>
      </c>
      <c r="AR3066" s="3" t="s">
        <v>63</v>
      </c>
      <c r="AS3066" s="3" t="s">
        <v>63</v>
      </c>
      <c r="AT3066" s="3" t="s">
        <v>62</v>
      </c>
      <c r="AU3066" s="6" t="str">
        <f>HYPERLINK("http://catalog.hathitrust.org/Record/000665359","HathiTrust Record")</f>
        <v>HathiTrust Record</v>
      </c>
      <c r="AV3066" s="6" t="str">
        <f>HYPERLINK("http://mcgill.on.worldcat.org/oclc/13426034","Catalog Record")</f>
        <v>Catalog Record</v>
      </c>
      <c r="AW3066" s="6" t="str">
        <f>HYPERLINK("http://www.worldcat.org/oclc/13426034","WorldCat Record")</f>
        <v>WorldCat Record</v>
      </c>
      <c r="AX3066" s="3" t="s">
        <v>25467</v>
      </c>
      <c r="AY3066" s="3" t="s">
        <v>25468</v>
      </c>
      <c r="AZ3066" s="3" t="s">
        <v>25469</v>
      </c>
      <c r="BA3066" s="3" t="s">
        <v>25469</v>
      </c>
      <c r="BB3066" s="3" t="s">
        <v>25476</v>
      </c>
      <c r="BC3066" s="3" t="s">
        <v>82</v>
      </c>
      <c r="BD3066" s="3" t="s">
        <v>70</v>
      </c>
      <c r="BE3066" s="3" t="s">
        <v>25471</v>
      </c>
      <c r="BF3066" s="3" t="s">
        <v>25476</v>
      </c>
      <c r="BG3066" s="3" t="s">
        <v>25477</v>
      </c>
    </row>
    <row r="3067" spans="1:59" ht="75" x14ac:dyDescent="0.25">
      <c r="A3067" s="2" t="s">
        <v>59</v>
      </c>
      <c r="B3067" s="2" t="s">
        <v>60</v>
      </c>
      <c r="C3067" s="2" t="s">
        <v>25478</v>
      </c>
      <c r="D3067" s="2" t="s">
        <v>25479</v>
      </c>
      <c r="E3067" s="2" t="s">
        <v>25480</v>
      </c>
      <c r="G3067" s="3" t="s">
        <v>63</v>
      </c>
      <c r="I3067" s="3" t="s">
        <v>63</v>
      </c>
      <c r="J3067" s="3" t="s">
        <v>63</v>
      </c>
      <c r="K3067" s="3" t="s">
        <v>64</v>
      </c>
      <c r="L3067" s="2" t="s">
        <v>25481</v>
      </c>
      <c r="M3067" s="2" t="s">
        <v>25482</v>
      </c>
      <c r="N3067" s="3" t="s">
        <v>480</v>
      </c>
      <c r="O3067" s="2" t="s">
        <v>25483</v>
      </c>
      <c r="P3067" s="3" t="s">
        <v>66</v>
      </c>
      <c r="Q3067" s="2" t="s">
        <v>25484</v>
      </c>
      <c r="R3067" s="3" t="s">
        <v>67</v>
      </c>
      <c r="S3067" s="4">
        <v>1</v>
      </c>
      <c r="T3067" s="4">
        <v>1</v>
      </c>
      <c r="U3067" s="5" t="s">
        <v>263</v>
      </c>
      <c r="V3067" s="5" t="s">
        <v>263</v>
      </c>
      <c r="W3067" s="5" t="s">
        <v>69</v>
      </c>
      <c r="X3067" s="5" t="s">
        <v>69</v>
      </c>
      <c r="Y3067" s="4">
        <v>117</v>
      </c>
      <c r="Z3067" s="4">
        <v>10</v>
      </c>
      <c r="AA3067" s="4">
        <v>12</v>
      </c>
      <c r="AB3067" s="4">
        <v>1</v>
      </c>
      <c r="AC3067" s="4">
        <v>1</v>
      </c>
      <c r="AD3067" s="4">
        <v>49</v>
      </c>
      <c r="AE3067" s="4">
        <v>74</v>
      </c>
      <c r="AF3067" s="4">
        <v>0</v>
      </c>
      <c r="AG3067" s="4">
        <v>0</v>
      </c>
      <c r="AH3067" s="4">
        <v>45</v>
      </c>
      <c r="AI3067" s="4">
        <v>69</v>
      </c>
      <c r="AJ3067" s="4">
        <v>6</v>
      </c>
      <c r="AK3067" s="4">
        <v>8</v>
      </c>
      <c r="AL3067" s="4">
        <v>30</v>
      </c>
      <c r="AM3067" s="4">
        <v>44</v>
      </c>
      <c r="AN3067" s="4">
        <v>0</v>
      </c>
      <c r="AO3067" s="4">
        <v>0</v>
      </c>
      <c r="AP3067" s="4">
        <v>7</v>
      </c>
      <c r="AQ3067" s="4">
        <v>9</v>
      </c>
      <c r="AR3067" s="3" t="s">
        <v>63</v>
      </c>
      <c r="AS3067" s="3" t="s">
        <v>63</v>
      </c>
      <c r="AT3067" s="3" t="s">
        <v>63</v>
      </c>
      <c r="AV3067" s="6" t="str">
        <f>HYPERLINK("http://mcgill.on.worldcat.org/oclc/23768026","Catalog Record")</f>
        <v>Catalog Record</v>
      </c>
      <c r="AW3067" s="6" t="str">
        <f>HYPERLINK("http://www.worldcat.org/oclc/23768026","WorldCat Record")</f>
        <v>WorldCat Record</v>
      </c>
      <c r="AX3067" s="3" t="s">
        <v>25485</v>
      </c>
      <c r="AY3067" s="3" t="s">
        <v>25486</v>
      </c>
      <c r="AZ3067" s="3" t="s">
        <v>25487</v>
      </c>
      <c r="BA3067" s="3" t="s">
        <v>25487</v>
      </c>
      <c r="BB3067" s="3" t="s">
        <v>25488</v>
      </c>
      <c r="BC3067" s="3" t="s">
        <v>82</v>
      </c>
      <c r="BD3067" s="3" t="s">
        <v>70</v>
      </c>
      <c r="BE3067" s="3" t="s">
        <v>25489</v>
      </c>
      <c r="BF3067" s="3" t="s">
        <v>25488</v>
      </c>
      <c r="BG3067" s="3" t="s">
        <v>25490</v>
      </c>
    </row>
    <row r="3068" spans="1:59" ht="60" x14ac:dyDescent="0.25">
      <c r="A3068" s="2" t="s">
        <v>59</v>
      </c>
      <c r="B3068" s="2" t="s">
        <v>60</v>
      </c>
      <c r="C3068" s="2" t="s">
        <v>25491</v>
      </c>
      <c r="D3068" s="2" t="s">
        <v>25492</v>
      </c>
      <c r="E3068" s="2" t="s">
        <v>25493</v>
      </c>
      <c r="G3068" s="3" t="s">
        <v>63</v>
      </c>
      <c r="I3068" s="3" t="s">
        <v>62</v>
      </c>
      <c r="J3068" s="3" t="s">
        <v>63</v>
      </c>
      <c r="K3068" s="3" t="s">
        <v>64</v>
      </c>
      <c r="L3068" s="2" t="s">
        <v>25464</v>
      </c>
      <c r="M3068" s="2" t="s">
        <v>25494</v>
      </c>
      <c r="N3068" s="3" t="s">
        <v>758</v>
      </c>
      <c r="P3068" s="3" t="s">
        <v>66</v>
      </c>
      <c r="R3068" s="3" t="s">
        <v>67</v>
      </c>
      <c r="S3068" s="4">
        <v>15</v>
      </c>
      <c r="T3068" s="4">
        <v>39</v>
      </c>
      <c r="U3068" s="5" t="s">
        <v>20631</v>
      </c>
      <c r="V3068" s="5" t="s">
        <v>25495</v>
      </c>
      <c r="W3068" s="5" t="s">
        <v>69</v>
      </c>
      <c r="X3068" s="5" t="s">
        <v>69</v>
      </c>
      <c r="Y3068" s="4">
        <v>12</v>
      </c>
      <c r="Z3068" s="4">
        <v>4</v>
      </c>
      <c r="AA3068" s="4">
        <v>31</v>
      </c>
      <c r="AB3068" s="4">
        <v>1</v>
      </c>
      <c r="AC3068" s="4">
        <v>3</v>
      </c>
      <c r="AD3068" s="4">
        <v>7</v>
      </c>
      <c r="AE3068" s="4">
        <v>110</v>
      </c>
      <c r="AF3068" s="4">
        <v>0</v>
      </c>
      <c r="AG3068" s="4">
        <v>1</v>
      </c>
      <c r="AH3068" s="4">
        <v>7</v>
      </c>
      <c r="AI3068" s="4">
        <v>90</v>
      </c>
      <c r="AJ3068" s="4">
        <v>3</v>
      </c>
      <c r="AK3068" s="4">
        <v>15</v>
      </c>
      <c r="AL3068" s="4">
        <v>2</v>
      </c>
      <c r="AM3068" s="4">
        <v>54</v>
      </c>
      <c r="AN3068" s="4">
        <v>0</v>
      </c>
      <c r="AO3068" s="4">
        <v>0</v>
      </c>
      <c r="AP3068" s="4">
        <v>3</v>
      </c>
      <c r="AQ3068" s="4">
        <v>22</v>
      </c>
      <c r="AR3068" s="3" t="s">
        <v>63</v>
      </c>
      <c r="AS3068" s="3" t="s">
        <v>63</v>
      </c>
      <c r="AT3068" s="3" t="s">
        <v>62</v>
      </c>
      <c r="AU3068" s="6" t="str">
        <f>HYPERLINK("http://catalog.hathitrust.org/Record/001110442","HathiTrust Record")</f>
        <v>HathiTrust Record</v>
      </c>
      <c r="AV3068" s="6" t="str">
        <f>HYPERLINK("http://mcgill.on.worldcat.org/oclc/213755629","Catalog Record")</f>
        <v>Catalog Record</v>
      </c>
      <c r="AW3068" s="6" t="str">
        <f>HYPERLINK("http://www.worldcat.org/oclc/213755629","WorldCat Record")</f>
        <v>WorldCat Record</v>
      </c>
      <c r="AX3068" s="3" t="s">
        <v>25496</v>
      </c>
      <c r="AY3068" s="3" t="s">
        <v>25497</v>
      </c>
      <c r="AZ3068" s="3" t="s">
        <v>25498</v>
      </c>
      <c r="BA3068" s="3" t="s">
        <v>25498</v>
      </c>
      <c r="BB3068" s="3" t="s">
        <v>25499</v>
      </c>
      <c r="BC3068" s="3" t="s">
        <v>82</v>
      </c>
      <c r="BD3068" s="3" t="s">
        <v>70</v>
      </c>
      <c r="BF3068" s="3" t="s">
        <v>25499</v>
      </c>
      <c r="BG3068" s="3" t="s">
        <v>25500</v>
      </c>
    </row>
    <row r="3069" spans="1:59" ht="60" x14ac:dyDescent="0.25">
      <c r="A3069" s="2" t="s">
        <v>59</v>
      </c>
      <c r="B3069" s="2" t="s">
        <v>60</v>
      </c>
      <c r="C3069" s="2" t="s">
        <v>25491</v>
      </c>
      <c r="D3069" s="2" t="s">
        <v>25492</v>
      </c>
      <c r="E3069" s="2" t="s">
        <v>25493</v>
      </c>
      <c r="G3069" s="3" t="s">
        <v>63</v>
      </c>
      <c r="I3069" s="3" t="s">
        <v>62</v>
      </c>
      <c r="J3069" s="3" t="s">
        <v>63</v>
      </c>
      <c r="K3069" s="3" t="s">
        <v>64</v>
      </c>
      <c r="L3069" s="2" t="s">
        <v>25464</v>
      </c>
      <c r="M3069" s="2" t="s">
        <v>25494</v>
      </c>
      <c r="N3069" s="3" t="s">
        <v>758</v>
      </c>
      <c r="P3069" s="3" t="s">
        <v>66</v>
      </c>
      <c r="R3069" s="3" t="s">
        <v>67</v>
      </c>
      <c r="S3069" s="4">
        <v>24</v>
      </c>
      <c r="T3069" s="4">
        <v>39</v>
      </c>
      <c r="U3069" s="5" t="s">
        <v>25495</v>
      </c>
      <c r="V3069" s="5" t="s">
        <v>25495</v>
      </c>
      <c r="W3069" s="5" t="s">
        <v>69</v>
      </c>
      <c r="X3069" s="5" t="s">
        <v>69</v>
      </c>
      <c r="Y3069" s="4">
        <v>12</v>
      </c>
      <c r="Z3069" s="4">
        <v>4</v>
      </c>
      <c r="AA3069" s="4">
        <v>31</v>
      </c>
      <c r="AB3069" s="4">
        <v>1</v>
      </c>
      <c r="AC3069" s="4">
        <v>3</v>
      </c>
      <c r="AD3069" s="4">
        <v>7</v>
      </c>
      <c r="AE3069" s="4">
        <v>110</v>
      </c>
      <c r="AF3069" s="4">
        <v>0</v>
      </c>
      <c r="AG3069" s="4">
        <v>1</v>
      </c>
      <c r="AH3069" s="4">
        <v>7</v>
      </c>
      <c r="AI3069" s="4">
        <v>90</v>
      </c>
      <c r="AJ3069" s="4">
        <v>3</v>
      </c>
      <c r="AK3069" s="4">
        <v>15</v>
      </c>
      <c r="AL3069" s="4">
        <v>2</v>
      </c>
      <c r="AM3069" s="4">
        <v>54</v>
      </c>
      <c r="AN3069" s="4">
        <v>0</v>
      </c>
      <c r="AO3069" s="4">
        <v>0</v>
      </c>
      <c r="AP3069" s="4">
        <v>3</v>
      </c>
      <c r="AQ3069" s="4">
        <v>22</v>
      </c>
      <c r="AR3069" s="3" t="s">
        <v>63</v>
      </c>
      <c r="AS3069" s="3" t="s">
        <v>63</v>
      </c>
      <c r="AT3069" s="3" t="s">
        <v>62</v>
      </c>
      <c r="AU3069" s="6" t="str">
        <f>HYPERLINK("http://catalog.hathitrust.org/Record/001110442","HathiTrust Record")</f>
        <v>HathiTrust Record</v>
      </c>
      <c r="AV3069" s="6" t="str">
        <f>HYPERLINK("http://mcgill.on.worldcat.org/oclc/213755629","Catalog Record")</f>
        <v>Catalog Record</v>
      </c>
      <c r="AW3069" s="6" t="str">
        <f>HYPERLINK("http://www.worldcat.org/oclc/213755629","WorldCat Record")</f>
        <v>WorldCat Record</v>
      </c>
      <c r="AX3069" s="3" t="s">
        <v>25496</v>
      </c>
      <c r="AY3069" s="3" t="s">
        <v>25497</v>
      </c>
      <c r="AZ3069" s="3" t="s">
        <v>25498</v>
      </c>
      <c r="BA3069" s="3" t="s">
        <v>25498</v>
      </c>
      <c r="BB3069" s="3" t="s">
        <v>25501</v>
      </c>
      <c r="BC3069" s="3" t="s">
        <v>82</v>
      </c>
      <c r="BD3069" s="3" t="s">
        <v>70</v>
      </c>
      <c r="BF3069" s="3" t="s">
        <v>25501</v>
      </c>
      <c r="BG3069" s="3" t="s">
        <v>25502</v>
      </c>
    </row>
    <row r="3070" spans="1:59" ht="75" x14ac:dyDescent="0.25">
      <c r="A3070" s="2" t="s">
        <v>59</v>
      </c>
      <c r="B3070" s="2" t="s">
        <v>60</v>
      </c>
      <c r="C3070" s="2" t="s">
        <v>25503</v>
      </c>
      <c r="D3070" s="2" t="s">
        <v>25504</v>
      </c>
      <c r="E3070" s="2" t="s">
        <v>25505</v>
      </c>
      <c r="G3070" s="3" t="s">
        <v>63</v>
      </c>
      <c r="I3070" s="3" t="s">
        <v>62</v>
      </c>
      <c r="J3070" s="3" t="s">
        <v>63</v>
      </c>
      <c r="K3070" s="3" t="s">
        <v>64</v>
      </c>
      <c r="L3070" s="2" t="s">
        <v>25464</v>
      </c>
      <c r="M3070" s="2" t="s">
        <v>25506</v>
      </c>
      <c r="N3070" s="3" t="s">
        <v>939</v>
      </c>
      <c r="P3070" s="3" t="s">
        <v>66</v>
      </c>
      <c r="Q3070" s="2" t="s">
        <v>15267</v>
      </c>
      <c r="R3070" s="3" t="s">
        <v>67</v>
      </c>
      <c r="S3070" s="4">
        <v>11</v>
      </c>
      <c r="T3070" s="4">
        <v>21</v>
      </c>
      <c r="U3070" s="5" t="s">
        <v>4625</v>
      </c>
      <c r="V3070" s="5" t="s">
        <v>4625</v>
      </c>
      <c r="W3070" s="5" t="s">
        <v>69</v>
      </c>
      <c r="X3070" s="5" t="s">
        <v>69</v>
      </c>
      <c r="Y3070" s="4">
        <v>597</v>
      </c>
      <c r="Z3070" s="4">
        <v>37</v>
      </c>
      <c r="AA3070" s="4">
        <v>45</v>
      </c>
      <c r="AB3070" s="4">
        <v>2</v>
      </c>
      <c r="AC3070" s="4">
        <v>4</v>
      </c>
      <c r="AD3070" s="4">
        <v>119</v>
      </c>
      <c r="AE3070" s="4">
        <v>132</v>
      </c>
      <c r="AF3070" s="4">
        <v>1</v>
      </c>
      <c r="AG3070" s="4">
        <v>2</v>
      </c>
      <c r="AH3070" s="4">
        <v>96</v>
      </c>
      <c r="AI3070" s="4">
        <v>104</v>
      </c>
      <c r="AJ3070" s="4">
        <v>17</v>
      </c>
      <c r="AK3070" s="4">
        <v>20</v>
      </c>
      <c r="AL3070" s="4">
        <v>53</v>
      </c>
      <c r="AM3070" s="4">
        <v>58</v>
      </c>
      <c r="AN3070" s="4">
        <v>0</v>
      </c>
      <c r="AO3070" s="4">
        <v>0</v>
      </c>
      <c r="AP3070" s="4">
        <v>24</v>
      </c>
      <c r="AQ3070" s="4">
        <v>31</v>
      </c>
      <c r="AR3070" s="3" t="s">
        <v>63</v>
      </c>
      <c r="AS3070" s="3" t="s">
        <v>63</v>
      </c>
      <c r="AT3070" s="3" t="s">
        <v>62</v>
      </c>
      <c r="AU3070" s="6" t="str">
        <f>HYPERLINK("http://catalog.hathitrust.org/Record/001059892","HathiTrust Record")</f>
        <v>HathiTrust Record</v>
      </c>
      <c r="AV3070" s="6" t="str">
        <f>HYPERLINK("http://mcgill.on.worldcat.org/oclc/1673233","Catalog Record")</f>
        <v>Catalog Record</v>
      </c>
      <c r="AW3070" s="6" t="str">
        <f>HYPERLINK("http://www.worldcat.org/oclc/1673233","WorldCat Record")</f>
        <v>WorldCat Record</v>
      </c>
      <c r="AX3070" s="3" t="s">
        <v>25507</v>
      </c>
      <c r="AY3070" s="3" t="s">
        <v>25508</v>
      </c>
      <c r="AZ3070" s="3" t="s">
        <v>25509</v>
      </c>
      <c r="BA3070" s="3" t="s">
        <v>25509</v>
      </c>
      <c r="BB3070" s="3" t="s">
        <v>25510</v>
      </c>
      <c r="BC3070" s="3" t="s">
        <v>82</v>
      </c>
      <c r="BD3070" s="3" t="s">
        <v>70</v>
      </c>
      <c r="BF3070" s="3" t="s">
        <v>25510</v>
      </c>
      <c r="BG3070" s="3" t="s">
        <v>25511</v>
      </c>
    </row>
    <row r="3071" spans="1:59" ht="75" x14ac:dyDescent="0.25">
      <c r="A3071" s="2" t="s">
        <v>59</v>
      </c>
      <c r="B3071" s="2" t="s">
        <v>60</v>
      </c>
      <c r="C3071" s="2" t="s">
        <v>25503</v>
      </c>
      <c r="D3071" s="2" t="s">
        <v>25504</v>
      </c>
      <c r="E3071" s="2" t="s">
        <v>25505</v>
      </c>
      <c r="G3071" s="3" t="s">
        <v>63</v>
      </c>
      <c r="I3071" s="3" t="s">
        <v>62</v>
      </c>
      <c r="J3071" s="3" t="s">
        <v>63</v>
      </c>
      <c r="K3071" s="3" t="s">
        <v>64</v>
      </c>
      <c r="L3071" s="2" t="s">
        <v>25464</v>
      </c>
      <c r="M3071" s="2" t="s">
        <v>25506</v>
      </c>
      <c r="N3071" s="3" t="s">
        <v>939</v>
      </c>
      <c r="P3071" s="3" t="s">
        <v>66</v>
      </c>
      <c r="Q3071" s="2" t="s">
        <v>15267</v>
      </c>
      <c r="R3071" s="3" t="s">
        <v>67</v>
      </c>
      <c r="S3071" s="4">
        <v>10</v>
      </c>
      <c r="T3071" s="4">
        <v>21</v>
      </c>
      <c r="U3071" s="5" t="s">
        <v>20910</v>
      </c>
      <c r="V3071" s="5" t="s">
        <v>4625</v>
      </c>
      <c r="W3071" s="5" t="s">
        <v>69</v>
      </c>
      <c r="X3071" s="5" t="s">
        <v>69</v>
      </c>
      <c r="Y3071" s="4">
        <v>597</v>
      </c>
      <c r="Z3071" s="4">
        <v>37</v>
      </c>
      <c r="AA3071" s="4">
        <v>45</v>
      </c>
      <c r="AB3071" s="4">
        <v>2</v>
      </c>
      <c r="AC3071" s="4">
        <v>4</v>
      </c>
      <c r="AD3071" s="4">
        <v>119</v>
      </c>
      <c r="AE3071" s="4">
        <v>132</v>
      </c>
      <c r="AF3071" s="4">
        <v>1</v>
      </c>
      <c r="AG3071" s="4">
        <v>2</v>
      </c>
      <c r="AH3071" s="4">
        <v>96</v>
      </c>
      <c r="AI3071" s="4">
        <v>104</v>
      </c>
      <c r="AJ3071" s="4">
        <v>17</v>
      </c>
      <c r="AK3071" s="4">
        <v>20</v>
      </c>
      <c r="AL3071" s="4">
        <v>53</v>
      </c>
      <c r="AM3071" s="4">
        <v>58</v>
      </c>
      <c r="AN3071" s="4">
        <v>0</v>
      </c>
      <c r="AO3071" s="4">
        <v>0</v>
      </c>
      <c r="AP3071" s="4">
        <v>24</v>
      </c>
      <c r="AQ3071" s="4">
        <v>31</v>
      </c>
      <c r="AR3071" s="3" t="s">
        <v>63</v>
      </c>
      <c r="AS3071" s="3" t="s">
        <v>63</v>
      </c>
      <c r="AT3071" s="3" t="s">
        <v>62</v>
      </c>
      <c r="AU3071" s="6" t="str">
        <f>HYPERLINK("http://catalog.hathitrust.org/Record/001059892","HathiTrust Record")</f>
        <v>HathiTrust Record</v>
      </c>
      <c r="AV3071" s="6" t="str">
        <f>HYPERLINK("http://mcgill.on.worldcat.org/oclc/1673233","Catalog Record")</f>
        <v>Catalog Record</v>
      </c>
      <c r="AW3071" s="6" t="str">
        <f>HYPERLINK("http://www.worldcat.org/oclc/1673233","WorldCat Record")</f>
        <v>WorldCat Record</v>
      </c>
      <c r="AX3071" s="3" t="s">
        <v>25507</v>
      </c>
      <c r="AY3071" s="3" t="s">
        <v>25508</v>
      </c>
      <c r="AZ3071" s="3" t="s">
        <v>25509</v>
      </c>
      <c r="BA3071" s="3" t="s">
        <v>25509</v>
      </c>
      <c r="BB3071" s="3" t="s">
        <v>25512</v>
      </c>
      <c r="BC3071" s="3" t="s">
        <v>82</v>
      </c>
      <c r="BD3071" s="3" t="s">
        <v>70</v>
      </c>
      <c r="BF3071" s="3" t="s">
        <v>25512</v>
      </c>
      <c r="BG3071" s="3" t="s">
        <v>25513</v>
      </c>
    </row>
    <row r="3072" spans="1:59" ht="60" x14ac:dyDescent="0.25">
      <c r="A3072" s="2" t="s">
        <v>59</v>
      </c>
      <c r="B3072" s="2" t="s">
        <v>60</v>
      </c>
      <c r="C3072" s="2" t="s">
        <v>25514</v>
      </c>
      <c r="D3072" s="2" t="s">
        <v>25515</v>
      </c>
      <c r="E3072" s="2" t="s">
        <v>25516</v>
      </c>
      <c r="G3072" s="3" t="s">
        <v>63</v>
      </c>
      <c r="I3072" s="3" t="s">
        <v>63</v>
      </c>
      <c r="J3072" s="3" t="s">
        <v>63</v>
      </c>
      <c r="K3072" s="3" t="s">
        <v>64</v>
      </c>
      <c r="L3072" s="2" t="s">
        <v>25464</v>
      </c>
      <c r="M3072" s="2" t="s">
        <v>25517</v>
      </c>
      <c r="N3072" s="3" t="s">
        <v>2225</v>
      </c>
      <c r="P3072" s="3" t="s">
        <v>66</v>
      </c>
      <c r="R3072" s="3" t="s">
        <v>67</v>
      </c>
      <c r="S3072" s="4">
        <v>15</v>
      </c>
      <c r="T3072" s="4">
        <v>15</v>
      </c>
      <c r="U3072" s="5" t="s">
        <v>4625</v>
      </c>
      <c r="V3072" s="5" t="s">
        <v>4625</v>
      </c>
      <c r="W3072" s="5" t="s">
        <v>69</v>
      </c>
      <c r="X3072" s="5" t="s">
        <v>69</v>
      </c>
      <c r="Y3072" s="4">
        <v>501</v>
      </c>
      <c r="Z3072" s="4">
        <v>24</v>
      </c>
      <c r="AA3072" s="4">
        <v>32</v>
      </c>
      <c r="AB3072" s="4">
        <v>2</v>
      </c>
      <c r="AC3072" s="4">
        <v>3</v>
      </c>
      <c r="AD3072" s="4">
        <v>97</v>
      </c>
      <c r="AE3072" s="4">
        <v>107</v>
      </c>
      <c r="AF3072" s="4">
        <v>1</v>
      </c>
      <c r="AG3072" s="4">
        <v>2</v>
      </c>
      <c r="AH3072" s="4">
        <v>83</v>
      </c>
      <c r="AI3072" s="4">
        <v>90</v>
      </c>
      <c r="AJ3072" s="4">
        <v>14</v>
      </c>
      <c r="AK3072" s="4">
        <v>17</v>
      </c>
      <c r="AL3072" s="4">
        <v>47</v>
      </c>
      <c r="AM3072" s="4">
        <v>50</v>
      </c>
      <c r="AN3072" s="4">
        <v>0</v>
      </c>
      <c r="AO3072" s="4">
        <v>0</v>
      </c>
      <c r="AP3072" s="4">
        <v>19</v>
      </c>
      <c r="AQ3072" s="4">
        <v>23</v>
      </c>
      <c r="AR3072" s="3" t="s">
        <v>63</v>
      </c>
      <c r="AS3072" s="3" t="s">
        <v>63</v>
      </c>
      <c r="AT3072" s="3" t="s">
        <v>62</v>
      </c>
      <c r="AU3072" s="6" t="str">
        <f>HYPERLINK("http://catalog.hathitrust.org/Record/001054882","HathiTrust Record")</f>
        <v>HathiTrust Record</v>
      </c>
      <c r="AV3072" s="6" t="str">
        <f>HYPERLINK("http://mcgill.on.worldcat.org/oclc/321301","Catalog Record")</f>
        <v>Catalog Record</v>
      </c>
      <c r="AW3072" s="6" t="str">
        <f>HYPERLINK("http://www.worldcat.org/oclc/321301","WorldCat Record")</f>
        <v>WorldCat Record</v>
      </c>
      <c r="AX3072" s="3" t="s">
        <v>25518</v>
      </c>
      <c r="AY3072" s="3" t="s">
        <v>25519</v>
      </c>
      <c r="AZ3072" s="3" t="s">
        <v>25520</v>
      </c>
      <c r="BA3072" s="3" t="s">
        <v>25520</v>
      </c>
      <c r="BB3072" s="3" t="s">
        <v>25521</v>
      </c>
      <c r="BC3072" s="3" t="s">
        <v>82</v>
      </c>
      <c r="BD3072" s="3" t="s">
        <v>70</v>
      </c>
      <c r="BF3072" s="3" t="s">
        <v>25521</v>
      </c>
      <c r="BG3072" s="3" t="s">
        <v>25522</v>
      </c>
    </row>
    <row r="3073" spans="1:59" ht="75" x14ac:dyDescent="0.25">
      <c r="A3073" s="2" t="s">
        <v>59</v>
      </c>
      <c r="B3073" s="2" t="s">
        <v>60</v>
      </c>
      <c r="C3073" s="2" t="s">
        <v>25523</v>
      </c>
      <c r="D3073" s="2" t="s">
        <v>25524</v>
      </c>
      <c r="E3073" s="2" t="s">
        <v>25525</v>
      </c>
      <c r="G3073" s="3" t="s">
        <v>63</v>
      </c>
      <c r="I3073" s="3" t="s">
        <v>62</v>
      </c>
      <c r="J3073" s="3" t="s">
        <v>63</v>
      </c>
      <c r="K3073" s="3" t="s">
        <v>64</v>
      </c>
      <c r="L3073" s="2" t="s">
        <v>25464</v>
      </c>
      <c r="M3073" s="2" t="s">
        <v>25526</v>
      </c>
      <c r="N3073" s="3" t="s">
        <v>743</v>
      </c>
      <c r="P3073" s="3" t="s">
        <v>66</v>
      </c>
      <c r="R3073" s="3" t="s">
        <v>67</v>
      </c>
      <c r="S3073" s="4">
        <v>40</v>
      </c>
      <c r="T3073" s="4">
        <v>40</v>
      </c>
      <c r="U3073" s="5" t="s">
        <v>25527</v>
      </c>
      <c r="V3073" s="5" t="s">
        <v>25527</v>
      </c>
      <c r="W3073" s="5" t="s">
        <v>69</v>
      </c>
      <c r="X3073" s="5" t="s">
        <v>69</v>
      </c>
      <c r="Y3073" s="4">
        <v>123</v>
      </c>
      <c r="Z3073" s="4">
        <v>9</v>
      </c>
      <c r="AA3073" s="4">
        <v>17</v>
      </c>
      <c r="AB3073" s="4">
        <v>2</v>
      </c>
      <c r="AC3073" s="4">
        <v>2</v>
      </c>
      <c r="AD3073" s="4">
        <v>43</v>
      </c>
      <c r="AE3073" s="4">
        <v>69</v>
      </c>
      <c r="AF3073" s="4">
        <v>1</v>
      </c>
      <c r="AG3073" s="4">
        <v>1</v>
      </c>
      <c r="AH3073" s="4">
        <v>38</v>
      </c>
      <c r="AI3073" s="4">
        <v>60</v>
      </c>
      <c r="AJ3073" s="4">
        <v>7</v>
      </c>
      <c r="AK3073" s="4">
        <v>13</v>
      </c>
      <c r="AL3073" s="4">
        <v>23</v>
      </c>
      <c r="AM3073" s="4">
        <v>35</v>
      </c>
      <c r="AN3073" s="4">
        <v>0</v>
      </c>
      <c r="AO3073" s="4">
        <v>0</v>
      </c>
      <c r="AP3073" s="4">
        <v>7</v>
      </c>
      <c r="AQ3073" s="4">
        <v>15</v>
      </c>
      <c r="AR3073" s="3" t="s">
        <v>63</v>
      </c>
      <c r="AS3073" s="3" t="s">
        <v>63</v>
      </c>
      <c r="AT3073" s="3" t="s">
        <v>62</v>
      </c>
      <c r="AU3073" s="6" t="str">
        <f>HYPERLINK("http://catalog.hathitrust.org/Record/001727826","HathiTrust Record")</f>
        <v>HathiTrust Record</v>
      </c>
      <c r="AV3073" s="6" t="str">
        <f>HYPERLINK("http://mcgill.on.worldcat.org/oclc/646267","Catalog Record")</f>
        <v>Catalog Record</v>
      </c>
      <c r="AW3073" s="6" t="str">
        <f>HYPERLINK("http://www.worldcat.org/oclc/646267","WorldCat Record")</f>
        <v>WorldCat Record</v>
      </c>
      <c r="AX3073" s="3" t="s">
        <v>25528</v>
      </c>
      <c r="AY3073" s="3" t="s">
        <v>25529</v>
      </c>
      <c r="AZ3073" s="3" t="s">
        <v>25530</v>
      </c>
      <c r="BA3073" s="3" t="s">
        <v>25530</v>
      </c>
      <c r="BB3073" s="3" t="s">
        <v>25531</v>
      </c>
      <c r="BC3073" s="3" t="s">
        <v>82</v>
      </c>
      <c r="BD3073" s="3" t="s">
        <v>70</v>
      </c>
      <c r="BF3073" s="3" t="s">
        <v>25531</v>
      </c>
      <c r="BG3073" s="3" t="s">
        <v>25532</v>
      </c>
    </row>
    <row r="3074" spans="1:59" ht="75" x14ac:dyDescent="0.25">
      <c r="A3074" s="2" t="s">
        <v>59</v>
      </c>
      <c r="B3074" s="2" t="s">
        <v>60</v>
      </c>
      <c r="C3074" s="2" t="s">
        <v>25533</v>
      </c>
      <c r="D3074" s="2" t="s">
        <v>25534</v>
      </c>
      <c r="E3074" s="2" t="s">
        <v>25535</v>
      </c>
      <c r="F3074" s="3" t="s">
        <v>571</v>
      </c>
      <c r="G3074" s="3" t="s">
        <v>62</v>
      </c>
      <c r="I3074" s="3" t="s">
        <v>63</v>
      </c>
      <c r="J3074" s="3" t="s">
        <v>63</v>
      </c>
      <c r="K3074" s="3" t="s">
        <v>64</v>
      </c>
      <c r="L3074" s="2" t="s">
        <v>25481</v>
      </c>
      <c r="M3074" s="2" t="s">
        <v>25536</v>
      </c>
      <c r="N3074" s="3" t="s">
        <v>1418</v>
      </c>
      <c r="P3074" s="3" t="s">
        <v>90</v>
      </c>
      <c r="R3074" s="3" t="s">
        <v>67</v>
      </c>
      <c r="S3074" s="4">
        <v>2</v>
      </c>
      <c r="T3074" s="4">
        <v>3</v>
      </c>
      <c r="U3074" s="5" t="s">
        <v>20631</v>
      </c>
      <c r="V3074" s="5" t="s">
        <v>20631</v>
      </c>
      <c r="W3074" s="5" t="s">
        <v>69</v>
      </c>
      <c r="X3074" s="5" t="s">
        <v>69</v>
      </c>
      <c r="Y3074" s="4">
        <v>27</v>
      </c>
      <c r="Z3074" s="4">
        <v>4</v>
      </c>
      <c r="AA3074" s="4">
        <v>4</v>
      </c>
      <c r="AB3074" s="4">
        <v>1</v>
      </c>
      <c r="AC3074" s="4">
        <v>1</v>
      </c>
      <c r="AD3074" s="4">
        <v>13</v>
      </c>
      <c r="AE3074" s="4">
        <v>13</v>
      </c>
      <c r="AF3074" s="4">
        <v>0</v>
      </c>
      <c r="AG3074" s="4">
        <v>0</v>
      </c>
      <c r="AH3074" s="4">
        <v>12</v>
      </c>
      <c r="AI3074" s="4">
        <v>12</v>
      </c>
      <c r="AJ3074" s="4">
        <v>2</v>
      </c>
      <c r="AK3074" s="4">
        <v>2</v>
      </c>
      <c r="AL3074" s="4">
        <v>10</v>
      </c>
      <c r="AM3074" s="4">
        <v>10</v>
      </c>
      <c r="AN3074" s="4">
        <v>0</v>
      </c>
      <c r="AO3074" s="4">
        <v>0</v>
      </c>
      <c r="AP3074" s="4">
        <v>2</v>
      </c>
      <c r="AQ3074" s="4">
        <v>2</v>
      </c>
      <c r="AR3074" s="3" t="s">
        <v>63</v>
      </c>
      <c r="AS3074" s="3" t="s">
        <v>63</v>
      </c>
      <c r="AT3074" s="3" t="s">
        <v>62</v>
      </c>
      <c r="AU3074" s="6" t="str">
        <f>HYPERLINK("http://catalog.hathitrust.org/Record/102040633","HathiTrust Record")</f>
        <v>HathiTrust Record</v>
      </c>
      <c r="AV3074" s="6" t="str">
        <f>HYPERLINK("http://mcgill.on.worldcat.org/oclc/19327381","Catalog Record")</f>
        <v>Catalog Record</v>
      </c>
      <c r="AW3074" s="6" t="str">
        <f>HYPERLINK("http://www.worldcat.org/oclc/19327381","WorldCat Record")</f>
        <v>WorldCat Record</v>
      </c>
      <c r="AX3074" s="3" t="s">
        <v>25537</v>
      </c>
      <c r="AY3074" s="3" t="s">
        <v>25538</v>
      </c>
      <c r="AZ3074" s="3" t="s">
        <v>25539</v>
      </c>
      <c r="BA3074" s="3" t="s">
        <v>25539</v>
      </c>
      <c r="BB3074" s="3" t="s">
        <v>25540</v>
      </c>
      <c r="BC3074" s="3" t="s">
        <v>82</v>
      </c>
      <c r="BD3074" s="3" t="s">
        <v>70</v>
      </c>
      <c r="BF3074" s="3" t="s">
        <v>25540</v>
      </c>
      <c r="BG3074" s="3" t="s">
        <v>25541</v>
      </c>
    </row>
    <row r="3075" spans="1:59" ht="75" x14ac:dyDescent="0.25">
      <c r="A3075" s="2" t="s">
        <v>59</v>
      </c>
      <c r="B3075" s="2" t="s">
        <v>60</v>
      </c>
      <c r="C3075" s="2" t="s">
        <v>25533</v>
      </c>
      <c r="D3075" s="2" t="s">
        <v>25534</v>
      </c>
      <c r="E3075" s="2" t="s">
        <v>25535</v>
      </c>
      <c r="F3075" s="3" t="s">
        <v>582</v>
      </c>
      <c r="G3075" s="3" t="s">
        <v>62</v>
      </c>
      <c r="I3075" s="3" t="s">
        <v>63</v>
      </c>
      <c r="J3075" s="3" t="s">
        <v>63</v>
      </c>
      <c r="K3075" s="3" t="s">
        <v>64</v>
      </c>
      <c r="L3075" s="2" t="s">
        <v>25481</v>
      </c>
      <c r="M3075" s="2" t="s">
        <v>25536</v>
      </c>
      <c r="N3075" s="3" t="s">
        <v>1418</v>
      </c>
      <c r="P3075" s="3" t="s">
        <v>90</v>
      </c>
      <c r="R3075" s="3" t="s">
        <v>67</v>
      </c>
      <c r="S3075" s="4">
        <v>1</v>
      </c>
      <c r="T3075" s="4">
        <v>3</v>
      </c>
      <c r="U3075" s="5" t="s">
        <v>20631</v>
      </c>
      <c r="V3075" s="5" t="s">
        <v>20631</v>
      </c>
      <c r="W3075" s="5" t="s">
        <v>69</v>
      </c>
      <c r="X3075" s="5" t="s">
        <v>69</v>
      </c>
      <c r="Y3075" s="4">
        <v>27</v>
      </c>
      <c r="Z3075" s="4">
        <v>4</v>
      </c>
      <c r="AA3075" s="4">
        <v>4</v>
      </c>
      <c r="AB3075" s="4">
        <v>1</v>
      </c>
      <c r="AC3075" s="4">
        <v>1</v>
      </c>
      <c r="AD3075" s="4">
        <v>13</v>
      </c>
      <c r="AE3075" s="4">
        <v>13</v>
      </c>
      <c r="AF3075" s="4">
        <v>0</v>
      </c>
      <c r="AG3075" s="4">
        <v>0</v>
      </c>
      <c r="AH3075" s="4">
        <v>12</v>
      </c>
      <c r="AI3075" s="4">
        <v>12</v>
      </c>
      <c r="AJ3075" s="4">
        <v>2</v>
      </c>
      <c r="AK3075" s="4">
        <v>2</v>
      </c>
      <c r="AL3075" s="4">
        <v>10</v>
      </c>
      <c r="AM3075" s="4">
        <v>10</v>
      </c>
      <c r="AN3075" s="4">
        <v>0</v>
      </c>
      <c r="AO3075" s="4">
        <v>0</v>
      </c>
      <c r="AP3075" s="4">
        <v>2</v>
      </c>
      <c r="AQ3075" s="4">
        <v>2</v>
      </c>
      <c r="AR3075" s="3" t="s">
        <v>63</v>
      </c>
      <c r="AS3075" s="3" t="s">
        <v>63</v>
      </c>
      <c r="AT3075" s="3" t="s">
        <v>62</v>
      </c>
      <c r="AU3075" s="6" t="str">
        <f>HYPERLINK("http://catalog.hathitrust.org/Record/102040633","HathiTrust Record")</f>
        <v>HathiTrust Record</v>
      </c>
      <c r="AV3075" s="6" t="str">
        <f>HYPERLINK("http://mcgill.on.worldcat.org/oclc/19327381","Catalog Record")</f>
        <v>Catalog Record</v>
      </c>
      <c r="AW3075" s="6" t="str">
        <f>HYPERLINK("http://www.worldcat.org/oclc/19327381","WorldCat Record")</f>
        <v>WorldCat Record</v>
      </c>
      <c r="AX3075" s="3" t="s">
        <v>25537</v>
      </c>
      <c r="AY3075" s="3" t="s">
        <v>25538</v>
      </c>
      <c r="AZ3075" s="3" t="s">
        <v>25539</v>
      </c>
      <c r="BA3075" s="3" t="s">
        <v>25539</v>
      </c>
      <c r="BB3075" s="3" t="s">
        <v>25542</v>
      </c>
      <c r="BC3075" s="3" t="s">
        <v>82</v>
      </c>
      <c r="BD3075" s="3" t="s">
        <v>70</v>
      </c>
      <c r="BF3075" s="3" t="s">
        <v>25542</v>
      </c>
      <c r="BG3075" s="3" t="s">
        <v>25543</v>
      </c>
    </row>
    <row r="3076" spans="1:59" ht="75" x14ac:dyDescent="0.25">
      <c r="A3076" s="2" t="s">
        <v>59</v>
      </c>
      <c r="B3076" s="2" t="s">
        <v>60</v>
      </c>
      <c r="C3076" s="2" t="s">
        <v>25544</v>
      </c>
      <c r="D3076" s="2" t="s">
        <v>25545</v>
      </c>
      <c r="E3076" s="2" t="s">
        <v>25546</v>
      </c>
      <c r="G3076" s="3" t="s">
        <v>63</v>
      </c>
      <c r="I3076" s="3" t="s">
        <v>63</v>
      </c>
      <c r="J3076" s="3" t="s">
        <v>63</v>
      </c>
      <c r="K3076" s="3" t="s">
        <v>64</v>
      </c>
      <c r="L3076" s="2" t="s">
        <v>25464</v>
      </c>
      <c r="M3076" s="2" t="s">
        <v>25547</v>
      </c>
      <c r="N3076" s="3" t="s">
        <v>1916</v>
      </c>
      <c r="P3076" s="3" t="s">
        <v>90</v>
      </c>
      <c r="Q3076" s="2" t="s">
        <v>25548</v>
      </c>
      <c r="R3076" s="3" t="s">
        <v>67</v>
      </c>
      <c r="S3076" s="4">
        <v>12</v>
      </c>
      <c r="T3076" s="4">
        <v>12</v>
      </c>
      <c r="U3076" s="5" t="s">
        <v>10997</v>
      </c>
      <c r="V3076" s="5" t="s">
        <v>10997</v>
      </c>
      <c r="W3076" s="5" t="s">
        <v>69</v>
      </c>
      <c r="X3076" s="5" t="s">
        <v>69</v>
      </c>
      <c r="Y3076" s="4">
        <v>90</v>
      </c>
      <c r="Z3076" s="4">
        <v>9</v>
      </c>
      <c r="AA3076" s="4">
        <v>11</v>
      </c>
      <c r="AB3076" s="4">
        <v>1</v>
      </c>
      <c r="AC3076" s="4">
        <v>1</v>
      </c>
      <c r="AD3076" s="4">
        <v>47</v>
      </c>
      <c r="AE3076" s="4">
        <v>53</v>
      </c>
      <c r="AF3076" s="4">
        <v>0</v>
      </c>
      <c r="AG3076" s="4">
        <v>0</v>
      </c>
      <c r="AH3076" s="4">
        <v>43</v>
      </c>
      <c r="AI3076" s="4">
        <v>48</v>
      </c>
      <c r="AJ3076" s="4">
        <v>7</v>
      </c>
      <c r="AK3076" s="4">
        <v>9</v>
      </c>
      <c r="AL3076" s="4">
        <v>27</v>
      </c>
      <c r="AM3076" s="4">
        <v>31</v>
      </c>
      <c r="AN3076" s="4">
        <v>0</v>
      </c>
      <c r="AO3076" s="4">
        <v>0</v>
      </c>
      <c r="AP3076" s="4">
        <v>7</v>
      </c>
      <c r="AQ3076" s="4">
        <v>9</v>
      </c>
      <c r="AR3076" s="3" t="s">
        <v>63</v>
      </c>
      <c r="AS3076" s="3" t="s">
        <v>63</v>
      </c>
      <c r="AT3076" s="3" t="s">
        <v>62</v>
      </c>
      <c r="AU3076" s="6" t="str">
        <f>HYPERLINK("http://catalog.hathitrust.org/Record/007103677","HathiTrust Record")</f>
        <v>HathiTrust Record</v>
      </c>
      <c r="AV3076" s="6" t="str">
        <f>HYPERLINK("http://mcgill.on.worldcat.org/oclc/12839078","Catalog Record")</f>
        <v>Catalog Record</v>
      </c>
      <c r="AW3076" s="6" t="str">
        <f>HYPERLINK("http://www.worldcat.org/oclc/12839078","WorldCat Record")</f>
        <v>WorldCat Record</v>
      </c>
      <c r="AX3076" s="3" t="s">
        <v>25549</v>
      </c>
      <c r="AY3076" s="3" t="s">
        <v>25550</v>
      </c>
      <c r="AZ3076" s="3" t="s">
        <v>25551</v>
      </c>
      <c r="BA3076" s="3" t="s">
        <v>25551</v>
      </c>
      <c r="BB3076" s="3" t="s">
        <v>25552</v>
      </c>
      <c r="BC3076" s="3" t="s">
        <v>82</v>
      </c>
      <c r="BD3076" s="3" t="s">
        <v>70</v>
      </c>
      <c r="BE3076" s="3" t="s">
        <v>25553</v>
      </c>
      <c r="BF3076" s="3" t="s">
        <v>25552</v>
      </c>
      <c r="BG3076" s="3" t="s">
        <v>25554</v>
      </c>
    </row>
    <row r="3077" spans="1:59" ht="75" x14ac:dyDescent="0.25">
      <c r="A3077" s="2" t="s">
        <v>59</v>
      </c>
      <c r="B3077" s="2" t="s">
        <v>60</v>
      </c>
      <c r="C3077" s="2" t="s">
        <v>25555</v>
      </c>
      <c r="D3077" s="2" t="s">
        <v>25556</v>
      </c>
      <c r="E3077" s="2" t="s">
        <v>25557</v>
      </c>
      <c r="G3077" s="3" t="s">
        <v>63</v>
      </c>
      <c r="I3077" s="3" t="s">
        <v>63</v>
      </c>
      <c r="J3077" s="3" t="s">
        <v>63</v>
      </c>
      <c r="K3077" s="3" t="s">
        <v>64</v>
      </c>
      <c r="L3077" s="2" t="s">
        <v>25558</v>
      </c>
      <c r="M3077" s="2" t="s">
        <v>25559</v>
      </c>
      <c r="N3077" s="3" t="s">
        <v>2225</v>
      </c>
      <c r="P3077" s="3" t="s">
        <v>548</v>
      </c>
      <c r="R3077" s="3" t="s">
        <v>67</v>
      </c>
      <c r="S3077" s="4">
        <v>1</v>
      </c>
      <c r="T3077" s="4">
        <v>1</v>
      </c>
      <c r="U3077" s="5" t="s">
        <v>4625</v>
      </c>
      <c r="V3077" s="5" t="s">
        <v>4625</v>
      </c>
      <c r="W3077" s="5" t="s">
        <v>69</v>
      </c>
      <c r="X3077" s="5" t="s">
        <v>69</v>
      </c>
      <c r="Y3077" s="4">
        <v>80</v>
      </c>
      <c r="Z3077" s="4">
        <v>11</v>
      </c>
      <c r="AA3077" s="4">
        <v>11</v>
      </c>
      <c r="AB3077" s="4">
        <v>2</v>
      </c>
      <c r="AC3077" s="4">
        <v>2</v>
      </c>
      <c r="AD3077" s="4">
        <v>38</v>
      </c>
      <c r="AE3077" s="4">
        <v>38</v>
      </c>
      <c r="AF3077" s="4">
        <v>0</v>
      </c>
      <c r="AG3077" s="4">
        <v>0</v>
      </c>
      <c r="AH3077" s="4">
        <v>33</v>
      </c>
      <c r="AI3077" s="4">
        <v>33</v>
      </c>
      <c r="AJ3077" s="4">
        <v>8</v>
      </c>
      <c r="AK3077" s="4">
        <v>8</v>
      </c>
      <c r="AL3077" s="4">
        <v>24</v>
      </c>
      <c r="AM3077" s="4">
        <v>24</v>
      </c>
      <c r="AN3077" s="4">
        <v>0</v>
      </c>
      <c r="AO3077" s="4">
        <v>0</v>
      </c>
      <c r="AP3077" s="4">
        <v>7</v>
      </c>
      <c r="AQ3077" s="4">
        <v>7</v>
      </c>
      <c r="AR3077" s="3" t="s">
        <v>63</v>
      </c>
      <c r="AS3077" s="3" t="s">
        <v>63</v>
      </c>
      <c r="AT3077" s="3" t="s">
        <v>63</v>
      </c>
      <c r="AV3077" s="6" t="str">
        <f>HYPERLINK("http://mcgill.on.worldcat.org/oclc/237454","Catalog Record")</f>
        <v>Catalog Record</v>
      </c>
      <c r="AW3077" s="6" t="str">
        <f>HYPERLINK("http://www.worldcat.org/oclc/237454","WorldCat Record")</f>
        <v>WorldCat Record</v>
      </c>
      <c r="AX3077" s="3" t="s">
        <v>25560</v>
      </c>
      <c r="AY3077" s="3" t="s">
        <v>25561</v>
      </c>
      <c r="AZ3077" s="3" t="s">
        <v>25562</v>
      </c>
      <c r="BA3077" s="3" t="s">
        <v>25562</v>
      </c>
      <c r="BB3077" s="3" t="s">
        <v>25563</v>
      </c>
      <c r="BC3077" s="3" t="s">
        <v>82</v>
      </c>
      <c r="BD3077" s="3" t="s">
        <v>70</v>
      </c>
      <c r="BF3077" s="3" t="s">
        <v>25563</v>
      </c>
      <c r="BG3077" s="3" t="s">
        <v>25564</v>
      </c>
    </row>
    <row r="3078" spans="1:59" ht="75" x14ac:dyDescent="0.25">
      <c r="A3078" s="2" t="s">
        <v>59</v>
      </c>
      <c r="B3078" s="2" t="s">
        <v>60</v>
      </c>
      <c r="C3078" s="2" t="s">
        <v>25622</v>
      </c>
      <c r="D3078" s="2" t="s">
        <v>25623</v>
      </c>
      <c r="E3078" s="2" t="s">
        <v>25624</v>
      </c>
      <c r="G3078" s="3" t="s">
        <v>63</v>
      </c>
      <c r="I3078" s="3" t="s">
        <v>63</v>
      </c>
      <c r="J3078" s="3" t="s">
        <v>63</v>
      </c>
      <c r="K3078" s="3" t="s">
        <v>64</v>
      </c>
      <c r="L3078" s="2" t="s">
        <v>25464</v>
      </c>
      <c r="M3078" s="2" t="s">
        <v>25625</v>
      </c>
      <c r="N3078" s="3" t="s">
        <v>706</v>
      </c>
      <c r="P3078" s="3" t="s">
        <v>66</v>
      </c>
      <c r="R3078" s="3" t="s">
        <v>67</v>
      </c>
      <c r="S3078" s="4">
        <v>8</v>
      </c>
      <c r="T3078" s="4">
        <v>8</v>
      </c>
      <c r="U3078" s="5" t="s">
        <v>10608</v>
      </c>
      <c r="V3078" s="5" t="s">
        <v>10608</v>
      </c>
      <c r="W3078" s="5" t="s">
        <v>69</v>
      </c>
      <c r="X3078" s="5" t="s">
        <v>69</v>
      </c>
      <c r="Y3078" s="4">
        <v>178</v>
      </c>
      <c r="Z3078" s="4">
        <v>14</v>
      </c>
      <c r="AA3078" s="4">
        <v>20</v>
      </c>
      <c r="AB3078" s="4">
        <v>2</v>
      </c>
      <c r="AC3078" s="4">
        <v>2</v>
      </c>
      <c r="AD3078" s="4">
        <v>79</v>
      </c>
      <c r="AE3078" s="4">
        <v>99</v>
      </c>
      <c r="AF3078" s="4">
        <v>0</v>
      </c>
      <c r="AG3078" s="4">
        <v>0</v>
      </c>
      <c r="AH3078" s="4">
        <v>74</v>
      </c>
      <c r="AI3078" s="4">
        <v>94</v>
      </c>
      <c r="AJ3078" s="4">
        <v>10</v>
      </c>
      <c r="AK3078" s="4">
        <v>14</v>
      </c>
      <c r="AL3078" s="4">
        <v>47</v>
      </c>
      <c r="AM3078" s="4">
        <v>54</v>
      </c>
      <c r="AN3078" s="4">
        <v>0</v>
      </c>
      <c r="AO3078" s="4">
        <v>0</v>
      </c>
      <c r="AP3078" s="4">
        <v>10</v>
      </c>
      <c r="AQ3078" s="4">
        <v>14</v>
      </c>
      <c r="AR3078" s="3" t="s">
        <v>63</v>
      </c>
      <c r="AS3078" s="3" t="s">
        <v>63</v>
      </c>
      <c r="AT3078" s="3" t="s">
        <v>62</v>
      </c>
      <c r="AU3078" s="6" t="str">
        <f>HYPERLINK("http://catalog.hathitrust.org/Record/000433135","HathiTrust Record")</f>
        <v>HathiTrust Record</v>
      </c>
      <c r="AV3078" s="6" t="str">
        <f>HYPERLINK("http://mcgill.on.worldcat.org/oclc/16647990","Catalog Record")</f>
        <v>Catalog Record</v>
      </c>
      <c r="AW3078" s="6" t="str">
        <f>HYPERLINK("http://www.worldcat.org/oclc/16647990","WorldCat Record")</f>
        <v>WorldCat Record</v>
      </c>
      <c r="AX3078" s="3" t="s">
        <v>25626</v>
      </c>
      <c r="AY3078" s="3" t="s">
        <v>25627</v>
      </c>
      <c r="AZ3078" s="3" t="s">
        <v>25628</v>
      </c>
      <c r="BA3078" s="3" t="s">
        <v>25628</v>
      </c>
      <c r="BB3078" s="3" t="s">
        <v>25629</v>
      </c>
      <c r="BC3078" s="3" t="s">
        <v>82</v>
      </c>
      <c r="BD3078" s="3" t="s">
        <v>70</v>
      </c>
      <c r="BE3078" s="3" t="s">
        <v>25630</v>
      </c>
      <c r="BF3078" s="3" t="s">
        <v>25629</v>
      </c>
      <c r="BG3078" s="3" t="s">
        <v>25631</v>
      </c>
    </row>
    <row r="3079" spans="1:59" ht="75" x14ac:dyDescent="0.25">
      <c r="A3079" s="2" t="s">
        <v>59</v>
      </c>
      <c r="B3079" s="2" t="s">
        <v>60</v>
      </c>
      <c r="C3079" s="2" t="s">
        <v>25632</v>
      </c>
      <c r="D3079" s="2" t="s">
        <v>25633</v>
      </c>
      <c r="E3079" s="2" t="s">
        <v>25634</v>
      </c>
      <c r="G3079" s="3" t="s">
        <v>63</v>
      </c>
      <c r="I3079" s="3" t="s">
        <v>63</v>
      </c>
      <c r="J3079" s="3" t="s">
        <v>63</v>
      </c>
      <c r="K3079" s="3" t="s">
        <v>64</v>
      </c>
      <c r="L3079" s="2" t="s">
        <v>6770</v>
      </c>
      <c r="M3079" s="2" t="s">
        <v>25635</v>
      </c>
      <c r="N3079" s="3" t="s">
        <v>2535</v>
      </c>
      <c r="P3079" s="3" t="s">
        <v>66</v>
      </c>
      <c r="Q3079" s="2" t="s">
        <v>25636</v>
      </c>
      <c r="R3079" s="3" t="s">
        <v>67</v>
      </c>
      <c r="S3079" s="4">
        <v>33</v>
      </c>
      <c r="T3079" s="4">
        <v>33</v>
      </c>
      <c r="U3079" s="5" t="s">
        <v>7174</v>
      </c>
      <c r="V3079" s="5" t="s">
        <v>7174</v>
      </c>
      <c r="W3079" s="5" t="s">
        <v>69</v>
      </c>
      <c r="X3079" s="5" t="s">
        <v>69</v>
      </c>
      <c r="Y3079" s="4">
        <v>696</v>
      </c>
      <c r="Z3079" s="4">
        <v>35</v>
      </c>
      <c r="AA3079" s="4">
        <v>95</v>
      </c>
      <c r="AB3079" s="4">
        <v>2</v>
      </c>
      <c r="AC3079" s="4">
        <v>15</v>
      </c>
      <c r="AD3079" s="4">
        <v>129</v>
      </c>
      <c r="AE3079" s="4">
        <v>153</v>
      </c>
      <c r="AF3079" s="4">
        <v>1</v>
      </c>
      <c r="AG3079" s="4">
        <v>8</v>
      </c>
      <c r="AH3079" s="4">
        <v>107</v>
      </c>
      <c r="AI3079" s="4">
        <v>112</v>
      </c>
      <c r="AJ3079" s="4">
        <v>21</v>
      </c>
      <c r="AK3079" s="4">
        <v>27</v>
      </c>
      <c r="AL3079" s="4">
        <v>61</v>
      </c>
      <c r="AM3079" s="4">
        <v>62</v>
      </c>
      <c r="AN3079" s="4">
        <v>0</v>
      </c>
      <c r="AO3079" s="4">
        <v>0</v>
      </c>
      <c r="AP3079" s="4">
        <v>27</v>
      </c>
      <c r="AQ3079" s="4">
        <v>48</v>
      </c>
      <c r="AR3079" s="3" t="s">
        <v>63</v>
      </c>
      <c r="AS3079" s="3" t="s">
        <v>63</v>
      </c>
      <c r="AT3079" s="3" t="s">
        <v>63</v>
      </c>
      <c r="AV3079" s="6" t="str">
        <f>HYPERLINK("http://mcgill.on.worldcat.org/oclc/804824","Catalog Record")</f>
        <v>Catalog Record</v>
      </c>
      <c r="AW3079" s="6" t="str">
        <f>HYPERLINK("http://www.worldcat.org/oclc/804824","WorldCat Record")</f>
        <v>WorldCat Record</v>
      </c>
      <c r="AX3079" s="3" t="s">
        <v>25637</v>
      </c>
      <c r="AY3079" s="3" t="s">
        <v>25638</v>
      </c>
      <c r="AZ3079" s="3" t="s">
        <v>25639</v>
      </c>
      <c r="BA3079" s="3" t="s">
        <v>25639</v>
      </c>
      <c r="BB3079" s="3" t="s">
        <v>25640</v>
      </c>
      <c r="BC3079" s="3" t="s">
        <v>82</v>
      </c>
      <c r="BD3079" s="3" t="s">
        <v>70</v>
      </c>
      <c r="BE3079" s="3" t="s">
        <v>25641</v>
      </c>
      <c r="BF3079" s="3" t="s">
        <v>25640</v>
      </c>
      <c r="BG3079" s="3" t="s">
        <v>25642</v>
      </c>
    </row>
    <row r="3080" spans="1:59" ht="75" x14ac:dyDescent="0.25">
      <c r="A3080" s="2" t="s">
        <v>59</v>
      </c>
      <c r="B3080" s="2" t="s">
        <v>60</v>
      </c>
      <c r="C3080" s="2" t="s">
        <v>25643</v>
      </c>
      <c r="D3080" s="2" t="s">
        <v>25644</v>
      </c>
      <c r="E3080" s="2" t="s">
        <v>25645</v>
      </c>
      <c r="G3080" s="3" t="s">
        <v>63</v>
      </c>
      <c r="I3080" s="3" t="s">
        <v>63</v>
      </c>
      <c r="J3080" s="3" t="s">
        <v>63</v>
      </c>
      <c r="K3080" s="3" t="s">
        <v>64</v>
      </c>
      <c r="L3080" s="2" t="s">
        <v>6702</v>
      </c>
      <c r="M3080" s="2" t="s">
        <v>25646</v>
      </c>
      <c r="N3080" s="3" t="s">
        <v>1557</v>
      </c>
      <c r="O3080" s="2" t="s">
        <v>25647</v>
      </c>
      <c r="P3080" s="3" t="s">
        <v>90</v>
      </c>
      <c r="R3080" s="3" t="s">
        <v>67</v>
      </c>
      <c r="S3080" s="4">
        <v>0</v>
      </c>
      <c r="T3080" s="4">
        <v>0</v>
      </c>
      <c r="W3080" s="5" t="s">
        <v>69</v>
      </c>
      <c r="X3080" s="5" t="s">
        <v>69</v>
      </c>
      <c r="Y3080" s="4">
        <v>7</v>
      </c>
      <c r="Z3080" s="4">
        <v>2</v>
      </c>
      <c r="AA3080" s="4">
        <v>7</v>
      </c>
      <c r="AB3080" s="4">
        <v>1</v>
      </c>
      <c r="AC3080" s="4">
        <v>1</v>
      </c>
      <c r="AD3080" s="4">
        <v>4</v>
      </c>
      <c r="AE3080" s="4">
        <v>37</v>
      </c>
      <c r="AF3080" s="4">
        <v>0</v>
      </c>
      <c r="AG3080" s="4">
        <v>0</v>
      </c>
      <c r="AH3080" s="4">
        <v>4</v>
      </c>
      <c r="AI3080" s="4">
        <v>36</v>
      </c>
      <c r="AJ3080" s="4">
        <v>1</v>
      </c>
      <c r="AK3080" s="4">
        <v>4</v>
      </c>
      <c r="AL3080" s="4">
        <v>3</v>
      </c>
      <c r="AM3080" s="4">
        <v>24</v>
      </c>
      <c r="AN3080" s="4">
        <v>0</v>
      </c>
      <c r="AO3080" s="4">
        <v>0</v>
      </c>
      <c r="AP3080" s="4">
        <v>1</v>
      </c>
      <c r="AQ3080" s="4">
        <v>4</v>
      </c>
      <c r="AR3080" s="3" t="s">
        <v>63</v>
      </c>
      <c r="AS3080" s="3" t="s">
        <v>63</v>
      </c>
      <c r="AT3080" s="3" t="s">
        <v>63</v>
      </c>
      <c r="AV3080" s="6" t="str">
        <f>HYPERLINK("http://mcgill.on.worldcat.org/oclc/1002131845","Catalog Record")</f>
        <v>Catalog Record</v>
      </c>
      <c r="AW3080" s="6" t="str">
        <f>HYPERLINK("http://www.worldcat.org/oclc/1002131845","WorldCat Record")</f>
        <v>WorldCat Record</v>
      </c>
      <c r="AX3080" s="3" t="s">
        <v>25648</v>
      </c>
      <c r="AY3080" s="3" t="s">
        <v>25649</v>
      </c>
      <c r="AZ3080" s="3" t="s">
        <v>25650</v>
      </c>
      <c r="BA3080" s="3" t="s">
        <v>25650</v>
      </c>
      <c r="BB3080" s="3" t="s">
        <v>25651</v>
      </c>
      <c r="BC3080" s="3" t="s">
        <v>82</v>
      </c>
      <c r="BD3080" s="3" t="s">
        <v>70</v>
      </c>
      <c r="BE3080" s="3" t="s">
        <v>25652</v>
      </c>
      <c r="BF3080" s="3" t="s">
        <v>25651</v>
      </c>
      <c r="BG3080" s="3" t="s">
        <v>25653</v>
      </c>
    </row>
    <row r="3081" spans="1:59" ht="75" x14ac:dyDescent="0.25">
      <c r="A3081" s="2" t="s">
        <v>59</v>
      </c>
      <c r="B3081" s="2" t="s">
        <v>60</v>
      </c>
      <c r="C3081" s="2" t="s">
        <v>25654</v>
      </c>
      <c r="D3081" s="2" t="s">
        <v>25655</v>
      </c>
      <c r="E3081" s="2" t="s">
        <v>25656</v>
      </c>
      <c r="G3081" s="3" t="s">
        <v>63</v>
      </c>
      <c r="I3081" s="3" t="s">
        <v>63</v>
      </c>
      <c r="J3081" s="3" t="s">
        <v>63</v>
      </c>
      <c r="K3081" s="3" t="s">
        <v>64</v>
      </c>
      <c r="L3081" s="2" t="s">
        <v>25657</v>
      </c>
      <c r="M3081" s="2" t="s">
        <v>25658</v>
      </c>
      <c r="N3081" s="3" t="s">
        <v>468</v>
      </c>
      <c r="P3081" s="3" t="s">
        <v>90</v>
      </c>
      <c r="R3081" s="3" t="s">
        <v>67</v>
      </c>
      <c r="S3081" s="4">
        <v>2</v>
      </c>
      <c r="T3081" s="4">
        <v>2</v>
      </c>
      <c r="U3081" s="5" t="s">
        <v>8439</v>
      </c>
      <c r="V3081" s="5" t="s">
        <v>8439</v>
      </c>
      <c r="W3081" s="5" t="s">
        <v>69</v>
      </c>
      <c r="X3081" s="5" t="s">
        <v>69</v>
      </c>
      <c r="Y3081" s="4">
        <v>63</v>
      </c>
      <c r="Z3081" s="4">
        <v>6</v>
      </c>
      <c r="AA3081" s="4">
        <v>6</v>
      </c>
      <c r="AB3081" s="4">
        <v>1</v>
      </c>
      <c r="AC3081" s="4">
        <v>1</v>
      </c>
      <c r="AD3081" s="4">
        <v>47</v>
      </c>
      <c r="AE3081" s="4">
        <v>47</v>
      </c>
      <c r="AF3081" s="4">
        <v>0</v>
      </c>
      <c r="AG3081" s="4">
        <v>0</v>
      </c>
      <c r="AH3081" s="4">
        <v>44</v>
      </c>
      <c r="AI3081" s="4">
        <v>44</v>
      </c>
      <c r="AJ3081" s="4">
        <v>4</v>
      </c>
      <c r="AK3081" s="4">
        <v>4</v>
      </c>
      <c r="AL3081" s="4">
        <v>29</v>
      </c>
      <c r="AM3081" s="4">
        <v>29</v>
      </c>
      <c r="AN3081" s="4">
        <v>0</v>
      </c>
      <c r="AO3081" s="4">
        <v>0</v>
      </c>
      <c r="AP3081" s="4">
        <v>4</v>
      </c>
      <c r="AQ3081" s="4">
        <v>4</v>
      </c>
      <c r="AR3081" s="3" t="s">
        <v>63</v>
      </c>
      <c r="AS3081" s="3" t="s">
        <v>63</v>
      </c>
      <c r="AT3081" s="3" t="s">
        <v>62</v>
      </c>
      <c r="AU3081" s="6" t="str">
        <f>HYPERLINK("http://catalog.hathitrust.org/Record/000749428","HathiTrust Record")</f>
        <v>HathiTrust Record</v>
      </c>
      <c r="AV3081" s="6" t="str">
        <f>HYPERLINK("http://mcgill.on.worldcat.org/oclc/3338820","Catalog Record")</f>
        <v>Catalog Record</v>
      </c>
      <c r="AW3081" s="6" t="str">
        <f>HYPERLINK("http://www.worldcat.org/oclc/3338820","WorldCat Record")</f>
        <v>WorldCat Record</v>
      </c>
      <c r="AX3081" s="3" t="s">
        <v>25659</v>
      </c>
      <c r="AY3081" s="3" t="s">
        <v>25660</v>
      </c>
      <c r="AZ3081" s="3" t="s">
        <v>25661</v>
      </c>
      <c r="BA3081" s="3" t="s">
        <v>25661</v>
      </c>
      <c r="BB3081" s="3" t="s">
        <v>25662</v>
      </c>
      <c r="BC3081" s="3" t="s">
        <v>82</v>
      </c>
      <c r="BD3081" s="3" t="s">
        <v>70</v>
      </c>
      <c r="BF3081" s="3" t="s">
        <v>25662</v>
      </c>
      <c r="BG3081" s="3" t="s">
        <v>25663</v>
      </c>
    </row>
    <row r="3082" spans="1:59" ht="150" x14ac:dyDescent="0.25">
      <c r="A3082" s="2" t="s">
        <v>59</v>
      </c>
      <c r="B3082" s="2" t="s">
        <v>60</v>
      </c>
      <c r="C3082" s="2" t="s">
        <v>25664</v>
      </c>
      <c r="D3082" s="2" t="s">
        <v>25665</v>
      </c>
      <c r="E3082" s="2" t="s">
        <v>25666</v>
      </c>
      <c r="G3082" s="3" t="s">
        <v>63</v>
      </c>
      <c r="I3082" s="3" t="s">
        <v>63</v>
      </c>
      <c r="J3082" s="3" t="s">
        <v>63</v>
      </c>
      <c r="K3082" s="3" t="s">
        <v>64</v>
      </c>
      <c r="L3082" s="2" t="s">
        <v>25667</v>
      </c>
      <c r="M3082" s="2" t="s">
        <v>25668</v>
      </c>
      <c r="N3082" s="3" t="s">
        <v>130</v>
      </c>
      <c r="P3082" s="3" t="s">
        <v>90</v>
      </c>
      <c r="R3082" s="3" t="s">
        <v>67</v>
      </c>
      <c r="S3082" s="4">
        <v>2</v>
      </c>
      <c r="T3082" s="4">
        <v>2</v>
      </c>
      <c r="W3082" s="5" t="s">
        <v>69</v>
      </c>
      <c r="X3082" s="5" t="s">
        <v>69</v>
      </c>
      <c r="Y3082" s="4">
        <v>18</v>
      </c>
      <c r="Z3082" s="4">
        <v>1</v>
      </c>
      <c r="AA3082" s="4">
        <v>1</v>
      </c>
      <c r="AB3082" s="4">
        <v>1</v>
      </c>
      <c r="AC3082" s="4">
        <v>1</v>
      </c>
      <c r="AD3082" s="4">
        <v>13</v>
      </c>
      <c r="AE3082" s="4">
        <v>13</v>
      </c>
      <c r="AF3082" s="4">
        <v>0</v>
      </c>
      <c r="AG3082" s="4">
        <v>0</v>
      </c>
      <c r="AH3082" s="4">
        <v>12</v>
      </c>
      <c r="AI3082" s="4">
        <v>12</v>
      </c>
      <c r="AJ3082" s="4">
        <v>0</v>
      </c>
      <c r="AK3082" s="4">
        <v>0</v>
      </c>
      <c r="AL3082" s="4">
        <v>11</v>
      </c>
      <c r="AM3082" s="4">
        <v>11</v>
      </c>
      <c r="AN3082" s="4">
        <v>0</v>
      </c>
      <c r="AO3082" s="4">
        <v>0</v>
      </c>
      <c r="AP3082" s="4">
        <v>0</v>
      </c>
      <c r="AQ3082" s="4">
        <v>0</v>
      </c>
      <c r="AR3082" s="3" t="s">
        <v>63</v>
      </c>
      <c r="AS3082" s="3" t="s">
        <v>63</v>
      </c>
      <c r="AT3082" s="3" t="s">
        <v>63</v>
      </c>
      <c r="AV3082" s="6" t="str">
        <f>HYPERLINK("http://mcgill.on.worldcat.org/oclc/962767262","Catalog Record")</f>
        <v>Catalog Record</v>
      </c>
      <c r="AW3082" s="6" t="str">
        <f>HYPERLINK("http://www.worldcat.org/oclc/962767262","WorldCat Record")</f>
        <v>WorldCat Record</v>
      </c>
      <c r="AX3082" s="3" t="s">
        <v>25669</v>
      </c>
      <c r="AY3082" s="3" t="s">
        <v>25670</v>
      </c>
      <c r="AZ3082" s="3" t="s">
        <v>25671</v>
      </c>
      <c r="BA3082" s="3" t="s">
        <v>25671</v>
      </c>
      <c r="BB3082" s="3" t="s">
        <v>25672</v>
      </c>
      <c r="BC3082" s="3" t="s">
        <v>82</v>
      </c>
      <c r="BD3082" s="3" t="s">
        <v>538</v>
      </c>
      <c r="BE3082" s="3" t="s">
        <v>25673</v>
      </c>
      <c r="BF3082" s="3" t="s">
        <v>25672</v>
      </c>
      <c r="BG3082" s="3" t="s">
        <v>25674</v>
      </c>
    </row>
    <row r="3083" spans="1:59" ht="75" x14ac:dyDescent="0.25">
      <c r="A3083" s="2" t="s">
        <v>59</v>
      </c>
      <c r="B3083" s="2" t="s">
        <v>60</v>
      </c>
      <c r="C3083" s="2" t="s">
        <v>25675</v>
      </c>
      <c r="D3083" s="2" t="s">
        <v>25676</v>
      </c>
      <c r="E3083" s="2" t="s">
        <v>25677</v>
      </c>
      <c r="G3083" s="3" t="s">
        <v>63</v>
      </c>
      <c r="I3083" s="3" t="s">
        <v>63</v>
      </c>
      <c r="J3083" s="3" t="s">
        <v>63</v>
      </c>
      <c r="K3083" s="3" t="s">
        <v>64</v>
      </c>
      <c r="L3083" s="2" t="s">
        <v>25678</v>
      </c>
      <c r="M3083" s="2" t="s">
        <v>25679</v>
      </c>
      <c r="N3083" s="3" t="s">
        <v>143</v>
      </c>
      <c r="P3083" s="3" t="s">
        <v>66</v>
      </c>
      <c r="R3083" s="3" t="s">
        <v>67</v>
      </c>
      <c r="S3083" s="4">
        <v>2</v>
      </c>
      <c r="T3083" s="4">
        <v>2</v>
      </c>
      <c r="U3083" s="5" t="s">
        <v>25680</v>
      </c>
      <c r="V3083" s="5" t="s">
        <v>25680</v>
      </c>
      <c r="W3083" s="5" t="s">
        <v>69</v>
      </c>
      <c r="X3083" s="5" t="s">
        <v>69</v>
      </c>
      <c r="Y3083" s="4">
        <v>293</v>
      </c>
      <c r="Z3083" s="4">
        <v>13</v>
      </c>
      <c r="AA3083" s="4">
        <v>16</v>
      </c>
      <c r="AB3083" s="4">
        <v>1</v>
      </c>
      <c r="AC3083" s="4">
        <v>3</v>
      </c>
      <c r="AD3083" s="4">
        <v>73</v>
      </c>
      <c r="AE3083" s="4">
        <v>79</v>
      </c>
      <c r="AF3083" s="4">
        <v>0</v>
      </c>
      <c r="AG3083" s="4">
        <v>0</v>
      </c>
      <c r="AH3083" s="4">
        <v>68</v>
      </c>
      <c r="AI3083" s="4">
        <v>73</v>
      </c>
      <c r="AJ3083" s="4">
        <v>7</v>
      </c>
      <c r="AK3083" s="4">
        <v>7</v>
      </c>
      <c r="AL3083" s="4">
        <v>46</v>
      </c>
      <c r="AM3083" s="4">
        <v>47</v>
      </c>
      <c r="AN3083" s="4">
        <v>0</v>
      </c>
      <c r="AO3083" s="4">
        <v>0</v>
      </c>
      <c r="AP3083" s="4">
        <v>7</v>
      </c>
      <c r="AQ3083" s="4">
        <v>8</v>
      </c>
      <c r="AR3083" s="3" t="s">
        <v>63</v>
      </c>
      <c r="AS3083" s="3" t="s">
        <v>63</v>
      </c>
      <c r="AT3083" s="3" t="s">
        <v>63</v>
      </c>
      <c r="AV3083" s="6" t="str">
        <f>HYPERLINK("http://mcgill.on.worldcat.org/oclc/871670525","Catalog Record")</f>
        <v>Catalog Record</v>
      </c>
      <c r="AW3083" s="6" t="str">
        <f>HYPERLINK("http://www.worldcat.org/oclc/871670525","WorldCat Record")</f>
        <v>WorldCat Record</v>
      </c>
      <c r="AX3083" s="3" t="s">
        <v>25681</v>
      </c>
      <c r="AY3083" s="3" t="s">
        <v>25682</v>
      </c>
      <c r="AZ3083" s="3" t="s">
        <v>25683</v>
      </c>
      <c r="BA3083" s="3" t="s">
        <v>25683</v>
      </c>
      <c r="BB3083" s="3" t="s">
        <v>25684</v>
      </c>
      <c r="BC3083" s="3" t="s">
        <v>82</v>
      </c>
      <c r="BD3083" s="3" t="s">
        <v>70</v>
      </c>
      <c r="BE3083" s="3" t="s">
        <v>25685</v>
      </c>
      <c r="BF3083" s="3" t="s">
        <v>25684</v>
      </c>
      <c r="BG3083" s="3" t="s">
        <v>25686</v>
      </c>
    </row>
    <row r="3084" spans="1:59" ht="75" x14ac:dyDescent="0.25">
      <c r="A3084" s="2" t="s">
        <v>59</v>
      </c>
      <c r="B3084" s="2" t="s">
        <v>60</v>
      </c>
      <c r="C3084" s="2" t="s">
        <v>25687</v>
      </c>
      <c r="D3084" s="2" t="s">
        <v>25688</v>
      </c>
      <c r="E3084" s="2" t="s">
        <v>25689</v>
      </c>
      <c r="G3084" s="3" t="s">
        <v>63</v>
      </c>
      <c r="I3084" s="3" t="s">
        <v>63</v>
      </c>
      <c r="J3084" s="3" t="s">
        <v>63</v>
      </c>
      <c r="K3084" s="3" t="s">
        <v>64</v>
      </c>
      <c r="L3084" s="2" t="s">
        <v>25690</v>
      </c>
      <c r="M3084" s="2" t="s">
        <v>6691</v>
      </c>
      <c r="N3084" s="3" t="s">
        <v>468</v>
      </c>
      <c r="P3084" s="3" t="s">
        <v>66</v>
      </c>
      <c r="Q3084" s="2" t="s">
        <v>25691</v>
      </c>
      <c r="R3084" s="3" t="s">
        <v>67</v>
      </c>
      <c r="S3084" s="4">
        <v>10</v>
      </c>
      <c r="T3084" s="4">
        <v>10</v>
      </c>
      <c r="U3084" s="5" t="s">
        <v>20631</v>
      </c>
      <c r="V3084" s="5" t="s">
        <v>20631</v>
      </c>
      <c r="W3084" s="5" t="s">
        <v>69</v>
      </c>
      <c r="X3084" s="5" t="s">
        <v>69</v>
      </c>
      <c r="Y3084" s="4">
        <v>187</v>
      </c>
      <c r="Z3084" s="4">
        <v>16</v>
      </c>
      <c r="AA3084" s="4">
        <v>18</v>
      </c>
      <c r="AB3084" s="4">
        <v>1</v>
      </c>
      <c r="AC3084" s="4">
        <v>1</v>
      </c>
      <c r="AD3084" s="4">
        <v>86</v>
      </c>
      <c r="AE3084" s="4">
        <v>95</v>
      </c>
      <c r="AF3084" s="4">
        <v>0</v>
      </c>
      <c r="AG3084" s="4">
        <v>0</v>
      </c>
      <c r="AH3084" s="4">
        <v>76</v>
      </c>
      <c r="AI3084" s="4">
        <v>84</v>
      </c>
      <c r="AJ3084" s="4">
        <v>12</v>
      </c>
      <c r="AK3084" s="4">
        <v>14</v>
      </c>
      <c r="AL3084" s="4">
        <v>46</v>
      </c>
      <c r="AM3084" s="4">
        <v>51</v>
      </c>
      <c r="AN3084" s="4">
        <v>0</v>
      </c>
      <c r="AO3084" s="4">
        <v>0</v>
      </c>
      <c r="AP3084" s="4">
        <v>13</v>
      </c>
      <c r="AQ3084" s="4">
        <v>15</v>
      </c>
      <c r="AR3084" s="3" t="s">
        <v>63</v>
      </c>
      <c r="AS3084" s="3" t="s">
        <v>63</v>
      </c>
      <c r="AT3084" s="3" t="s">
        <v>62</v>
      </c>
      <c r="AU3084" s="6" t="str">
        <f>HYPERLINK("http://catalog.hathitrust.org/Record/000727873","HathiTrust Record")</f>
        <v>HathiTrust Record</v>
      </c>
      <c r="AV3084" s="6" t="str">
        <f>HYPERLINK("http://mcgill.on.worldcat.org/oclc/2537299","Catalog Record")</f>
        <v>Catalog Record</v>
      </c>
      <c r="AW3084" s="6" t="str">
        <f>HYPERLINK("http://www.worldcat.org/oclc/2537299","WorldCat Record")</f>
        <v>WorldCat Record</v>
      </c>
      <c r="AX3084" s="3" t="s">
        <v>25692</v>
      </c>
      <c r="AY3084" s="3" t="s">
        <v>25693</v>
      </c>
      <c r="AZ3084" s="3" t="s">
        <v>25694</v>
      </c>
      <c r="BA3084" s="3" t="s">
        <v>25694</v>
      </c>
      <c r="BB3084" s="3" t="s">
        <v>25695</v>
      </c>
      <c r="BC3084" s="3" t="s">
        <v>524</v>
      </c>
      <c r="BD3084" s="3" t="s">
        <v>70</v>
      </c>
      <c r="BE3084" s="3" t="s">
        <v>25696</v>
      </c>
      <c r="BF3084" s="3" t="s">
        <v>25695</v>
      </c>
      <c r="BG3084" s="3" t="s">
        <v>25697</v>
      </c>
    </row>
    <row r="3085" spans="1:59" ht="75" x14ac:dyDescent="0.25">
      <c r="A3085" s="2" t="s">
        <v>59</v>
      </c>
      <c r="B3085" s="2" t="s">
        <v>60</v>
      </c>
      <c r="C3085" s="2" t="s">
        <v>25698</v>
      </c>
      <c r="D3085" s="2" t="s">
        <v>25699</v>
      </c>
      <c r="E3085" s="2" t="s">
        <v>25700</v>
      </c>
      <c r="G3085" s="3" t="s">
        <v>63</v>
      </c>
      <c r="I3085" s="3" t="s">
        <v>63</v>
      </c>
      <c r="J3085" s="3" t="s">
        <v>63</v>
      </c>
      <c r="K3085" s="3" t="s">
        <v>64</v>
      </c>
      <c r="L3085" s="2" t="s">
        <v>25701</v>
      </c>
      <c r="M3085" s="2" t="s">
        <v>25702</v>
      </c>
      <c r="N3085" s="3" t="s">
        <v>681</v>
      </c>
      <c r="P3085" s="3" t="s">
        <v>90</v>
      </c>
      <c r="R3085" s="3" t="s">
        <v>67</v>
      </c>
      <c r="S3085" s="4">
        <v>1</v>
      </c>
      <c r="T3085" s="4">
        <v>1</v>
      </c>
      <c r="U3085" s="5" t="s">
        <v>20631</v>
      </c>
      <c r="V3085" s="5" t="s">
        <v>20631</v>
      </c>
      <c r="W3085" s="5" t="s">
        <v>69</v>
      </c>
      <c r="X3085" s="5" t="s">
        <v>69</v>
      </c>
      <c r="Y3085" s="4">
        <v>105</v>
      </c>
      <c r="Z3085" s="4">
        <v>12</v>
      </c>
      <c r="AA3085" s="4">
        <v>15</v>
      </c>
      <c r="AB3085" s="4">
        <v>1</v>
      </c>
      <c r="AC3085" s="4">
        <v>1</v>
      </c>
      <c r="AD3085" s="4">
        <v>64</v>
      </c>
      <c r="AE3085" s="4">
        <v>68</v>
      </c>
      <c r="AF3085" s="4">
        <v>0</v>
      </c>
      <c r="AG3085" s="4">
        <v>0</v>
      </c>
      <c r="AH3085" s="4">
        <v>57</v>
      </c>
      <c r="AI3085" s="4">
        <v>60</v>
      </c>
      <c r="AJ3085" s="4">
        <v>10</v>
      </c>
      <c r="AK3085" s="4">
        <v>12</v>
      </c>
      <c r="AL3085" s="4">
        <v>40</v>
      </c>
      <c r="AM3085" s="4">
        <v>42</v>
      </c>
      <c r="AN3085" s="4">
        <v>0</v>
      </c>
      <c r="AO3085" s="4">
        <v>0</v>
      </c>
      <c r="AP3085" s="4">
        <v>11</v>
      </c>
      <c r="AQ3085" s="4">
        <v>13</v>
      </c>
      <c r="AR3085" s="3" t="s">
        <v>63</v>
      </c>
      <c r="AS3085" s="3" t="s">
        <v>63</v>
      </c>
      <c r="AT3085" s="3" t="s">
        <v>62</v>
      </c>
      <c r="AU3085" s="6" t="str">
        <f>HYPERLINK("http://catalog.hathitrust.org/Record/001059904","HathiTrust Record")</f>
        <v>HathiTrust Record</v>
      </c>
      <c r="AV3085" s="6" t="str">
        <f>HYPERLINK("http://mcgill.on.worldcat.org/oclc/2605122","Catalog Record")</f>
        <v>Catalog Record</v>
      </c>
      <c r="AW3085" s="6" t="str">
        <f>HYPERLINK("http://www.worldcat.org/oclc/2605122","WorldCat Record")</f>
        <v>WorldCat Record</v>
      </c>
      <c r="AX3085" s="3" t="s">
        <v>25703</v>
      </c>
      <c r="AY3085" s="3" t="s">
        <v>25704</v>
      </c>
      <c r="AZ3085" s="3" t="s">
        <v>25705</v>
      </c>
      <c r="BA3085" s="3" t="s">
        <v>25705</v>
      </c>
      <c r="BB3085" s="3" t="s">
        <v>25706</v>
      </c>
      <c r="BC3085" s="3" t="s">
        <v>82</v>
      </c>
      <c r="BD3085" s="3" t="s">
        <v>70</v>
      </c>
      <c r="BF3085" s="3" t="s">
        <v>25706</v>
      </c>
      <c r="BG3085" s="3" t="s">
        <v>25707</v>
      </c>
    </row>
    <row r="3086" spans="1:59" ht="90" x14ac:dyDescent="0.25">
      <c r="A3086" s="2" t="s">
        <v>59</v>
      </c>
      <c r="B3086" s="2" t="s">
        <v>60</v>
      </c>
      <c r="C3086" s="2" t="s">
        <v>25708</v>
      </c>
      <c r="D3086" s="2" t="s">
        <v>25709</v>
      </c>
      <c r="E3086" s="2" t="s">
        <v>25710</v>
      </c>
      <c r="G3086" s="3" t="s">
        <v>63</v>
      </c>
      <c r="I3086" s="3" t="s">
        <v>63</v>
      </c>
      <c r="J3086" s="3" t="s">
        <v>63</v>
      </c>
      <c r="K3086" s="3" t="s">
        <v>64</v>
      </c>
      <c r="M3086" s="2" t="s">
        <v>25711</v>
      </c>
      <c r="N3086" s="3" t="s">
        <v>1916</v>
      </c>
      <c r="P3086" s="3" t="s">
        <v>90</v>
      </c>
      <c r="R3086" s="3" t="s">
        <v>67</v>
      </c>
      <c r="S3086" s="4">
        <v>1</v>
      </c>
      <c r="T3086" s="4">
        <v>1</v>
      </c>
      <c r="U3086" s="5" t="s">
        <v>20631</v>
      </c>
      <c r="V3086" s="5" t="s">
        <v>20631</v>
      </c>
      <c r="W3086" s="5" t="s">
        <v>69</v>
      </c>
      <c r="X3086" s="5" t="s">
        <v>69</v>
      </c>
      <c r="Y3086" s="4">
        <v>66</v>
      </c>
      <c r="Z3086" s="4">
        <v>9</v>
      </c>
      <c r="AA3086" s="4">
        <v>9</v>
      </c>
      <c r="AB3086" s="4">
        <v>2</v>
      </c>
      <c r="AC3086" s="4">
        <v>2</v>
      </c>
      <c r="AD3086" s="4">
        <v>49</v>
      </c>
      <c r="AE3086" s="4">
        <v>52</v>
      </c>
      <c r="AF3086" s="4">
        <v>0</v>
      </c>
      <c r="AG3086" s="4">
        <v>0</v>
      </c>
      <c r="AH3086" s="4">
        <v>45</v>
      </c>
      <c r="AI3086" s="4">
        <v>48</v>
      </c>
      <c r="AJ3086" s="4">
        <v>6</v>
      </c>
      <c r="AK3086" s="4">
        <v>6</v>
      </c>
      <c r="AL3086" s="4">
        <v>35</v>
      </c>
      <c r="AM3086" s="4">
        <v>38</v>
      </c>
      <c r="AN3086" s="4">
        <v>0</v>
      </c>
      <c r="AO3086" s="4">
        <v>0</v>
      </c>
      <c r="AP3086" s="4">
        <v>6</v>
      </c>
      <c r="AQ3086" s="4">
        <v>6</v>
      </c>
      <c r="AR3086" s="3" t="s">
        <v>63</v>
      </c>
      <c r="AS3086" s="3" t="s">
        <v>63</v>
      </c>
      <c r="AT3086" s="3" t="s">
        <v>62</v>
      </c>
      <c r="AU3086" s="6" t="str">
        <f>HYPERLINK("http://catalog.hathitrust.org/Record/000441484","HathiTrust Record")</f>
        <v>HathiTrust Record</v>
      </c>
      <c r="AV3086" s="6" t="str">
        <f>HYPERLINK("http://mcgill.on.worldcat.org/oclc/13163168","Catalog Record")</f>
        <v>Catalog Record</v>
      </c>
      <c r="AW3086" s="6" t="str">
        <f>HYPERLINK("http://www.worldcat.org/oclc/13163168","WorldCat Record")</f>
        <v>WorldCat Record</v>
      </c>
      <c r="AX3086" s="3" t="s">
        <v>25712</v>
      </c>
      <c r="AY3086" s="3" t="s">
        <v>25713</v>
      </c>
      <c r="AZ3086" s="3" t="s">
        <v>25714</v>
      </c>
      <c r="BA3086" s="3" t="s">
        <v>25714</v>
      </c>
      <c r="BB3086" s="3" t="s">
        <v>25715</v>
      </c>
      <c r="BC3086" s="3" t="s">
        <v>82</v>
      </c>
      <c r="BD3086" s="3" t="s">
        <v>70</v>
      </c>
      <c r="BF3086" s="3" t="s">
        <v>25715</v>
      </c>
      <c r="BG3086" s="3" t="s">
        <v>25716</v>
      </c>
    </row>
    <row r="3087" spans="1:59" ht="90" x14ac:dyDescent="0.25">
      <c r="A3087" s="2" t="s">
        <v>59</v>
      </c>
      <c r="B3087" s="2" t="s">
        <v>60</v>
      </c>
      <c r="C3087" s="2" t="s">
        <v>25717</v>
      </c>
      <c r="D3087" s="2" t="s">
        <v>25718</v>
      </c>
      <c r="E3087" s="2" t="s">
        <v>25719</v>
      </c>
      <c r="G3087" s="3" t="s">
        <v>63</v>
      </c>
      <c r="I3087" s="3" t="s">
        <v>63</v>
      </c>
      <c r="J3087" s="3" t="s">
        <v>63</v>
      </c>
      <c r="K3087" s="3" t="s">
        <v>64</v>
      </c>
      <c r="L3087" s="2" t="s">
        <v>25464</v>
      </c>
      <c r="M3087" s="2" t="s">
        <v>24057</v>
      </c>
      <c r="N3087" s="3" t="s">
        <v>190</v>
      </c>
      <c r="P3087" s="3" t="s">
        <v>66</v>
      </c>
      <c r="Q3087" s="2" t="s">
        <v>24058</v>
      </c>
      <c r="R3087" s="3" t="s">
        <v>67</v>
      </c>
      <c r="S3087" s="4">
        <v>1</v>
      </c>
      <c r="T3087" s="4">
        <v>1</v>
      </c>
      <c r="U3087" s="5" t="s">
        <v>19256</v>
      </c>
      <c r="V3087" s="5" t="s">
        <v>19256</v>
      </c>
      <c r="W3087" s="5" t="s">
        <v>69</v>
      </c>
      <c r="X3087" s="5" t="s">
        <v>69</v>
      </c>
      <c r="Y3087" s="4">
        <v>123</v>
      </c>
      <c r="Z3087" s="4">
        <v>7</v>
      </c>
      <c r="AA3087" s="4">
        <v>7</v>
      </c>
      <c r="AB3087" s="4">
        <v>1</v>
      </c>
      <c r="AC3087" s="4">
        <v>1</v>
      </c>
      <c r="AD3087" s="4">
        <v>56</v>
      </c>
      <c r="AE3087" s="4">
        <v>56</v>
      </c>
      <c r="AF3087" s="4">
        <v>0</v>
      </c>
      <c r="AG3087" s="4">
        <v>0</v>
      </c>
      <c r="AH3087" s="4">
        <v>52</v>
      </c>
      <c r="AI3087" s="4">
        <v>52</v>
      </c>
      <c r="AJ3087" s="4">
        <v>4</v>
      </c>
      <c r="AK3087" s="4">
        <v>4</v>
      </c>
      <c r="AL3087" s="4">
        <v>42</v>
      </c>
      <c r="AM3087" s="4">
        <v>42</v>
      </c>
      <c r="AN3087" s="4">
        <v>0</v>
      </c>
      <c r="AO3087" s="4">
        <v>0</v>
      </c>
      <c r="AP3087" s="4">
        <v>4</v>
      </c>
      <c r="AQ3087" s="4">
        <v>4</v>
      </c>
      <c r="AR3087" s="3" t="s">
        <v>63</v>
      </c>
      <c r="AS3087" s="3" t="s">
        <v>63</v>
      </c>
      <c r="AT3087" s="3" t="s">
        <v>62</v>
      </c>
      <c r="AU3087" s="6" t="str">
        <f>HYPERLINK("http://catalog.hathitrust.org/Record/005077110","HathiTrust Record")</f>
        <v>HathiTrust Record</v>
      </c>
      <c r="AV3087" s="6" t="str">
        <f>HYPERLINK("http://mcgill.on.worldcat.org/oclc/59355883","Catalog Record")</f>
        <v>Catalog Record</v>
      </c>
      <c r="AW3087" s="6" t="str">
        <f>HYPERLINK("http://www.worldcat.org/oclc/59355883","WorldCat Record")</f>
        <v>WorldCat Record</v>
      </c>
      <c r="AX3087" s="3" t="s">
        <v>25720</v>
      </c>
      <c r="AY3087" s="3" t="s">
        <v>25721</v>
      </c>
      <c r="AZ3087" s="3" t="s">
        <v>25722</v>
      </c>
      <c r="BA3087" s="3" t="s">
        <v>25722</v>
      </c>
      <c r="BB3087" s="3" t="s">
        <v>25723</v>
      </c>
      <c r="BC3087" s="3" t="s">
        <v>82</v>
      </c>
      <c r="BD3087" s="3" t="s">
        <v>70</v>
      </c>
      <c r="BE3087" s="3" t="s">
        <v>25724</v>
      </c>
      <c r="BF3087" s="3" t="s">
        <v>25723</v>
      </c>
      <c r="BG3087" s="3" t="s">
        <v>25725</v>
      </c>
    </row>
    <row r="3088" spans="1:59" ht="90" x14ac:dyDescent="0.25">
      <c r="A3088" s="2" t="s">
        <v>59</v>
      </c>
      <c r="B3088" s="2" t="s">
        <v>60</v>
      </c>
      <c r="C3088" s="2" t="s">
        <v>25726</v>
      </c>
      <c r="D3088" s="2" t="s">
        <v>25727</v>
      </c>
      <c r="E3088" s="2" t="s">
        <v>25728</v>
      </c>
      <c r="G3088" s="3" t="s">
        <v>63</v>
      </c>
      <c r="I3088" s="3" t="s">
        <v>63</v>
      </c>
      <c r="J3088" s="3" t="s">
        <v>63</v>
      </c>
      <c r="K3088" s="3" t="s">
        <v>64</v>
      </c>
      <c r="L3088" s="2" t="s">
        <v>25729</v>
      </c>
      <c r="M3088" s="2" t="s">
        <v>25730</v>
      </c>
      <c r="N3088" s="3" t="s">
        <v>362</v>
      </c>
      <c r="P3088" s="3" t="s">
        <v>90</v>
      </c>
      <c r="Q3088" s="2" t="s">
        <v>25731</v>
      </c>
      <c r="R3088" s="3" t="s">
        <v>67</v>
      </c>
      <c r="S3088" s="4">
        <v>7</v>
      </c>
      <c r="T3088" s="4">
        <v>7</v>
      </c>
      <c r="U3088" s="5" t="s">
        <v>5934</v>
      </c>
      <c r="V3088" s="5" t="s">
        <v>5934</v>
      </c>
      <c r="W3088" s="5" t="s">
        <v>69</v>
      </c>
      <c r="X3088" s="5" t="s">
        <v>69</v>
      </c>
      <c r="Y3088" s="4">
        <v>67</v>
      </c>
      <c r="Z3088" s="4">
        <v>6</v>
      </c>
      <c r="AA3088" s="4">
        <v>6</v>
      </c>
      <c r="AB3088" s="4">
        <v>2</v>
      </c>
      <c r="AC3088" s="4">
        <v>2</v>
      </c>
      <c r="AD3088" s="4">
        <v>45</v>
      </c>
      <c r="AE3088" s="4">
        <v>45</v>
      </c>
      <c r="AF3088" s="4">
        <v>0</v>
      </c>
      <c r="AG3088" s="4">
        <v>0</v>
      </c>
      <c r="AH3088" s="4">
        <v>44</v>
      </c>
      <c r="AI3088" s="4">
        <v>44</v>
      </c>
      <c r="AJ3088" s="4">
        <v>3</v>
      </c>
      <c r="AK3088" s="4">
        <v>3</v>
      </c>
      <c r="AL3088" s="4">
        <v>35</v>
      </c>
      <c r="AM3088" s="4">
        <v>35</v>
      </c>
      <c r="AN3088" s="4">
        <v>0</v>
      </c>
      <c r="AO3088" s="4">
        <v>0</v>
      </c>
      <c r="AP3088" s="4">
        <v>3</v>
      </c>
      <c r="AQ3088" s="4">
        <v>3</v>
      </c>
      <c r="AR3088" s="3" t="s">
        <v>63</v>
      </c>
      <c r="AS3088" s="3" t="s">
        <v>63</v>
      </c>
      <c r="AT3088" s="3" t="s">
        <v>63</v>
      </c>
      <c r="AV3088" s="6" t="str">
        <f>HYPERLINK("http://mcgill.on.worldcat.org/oclc/48136353","Catalog Record")</f>
        <v>Catalog Record</v>
      </c>
      <c r="AW3088" s="6" t="str">
        <f>HYPERLINK("http://www.worldcat.org/oclc/48136353","WorldCat Record")</f>
        <v>WorldCat Record</v>
      </c>
      <c r="AX3088" s="3" t="s">
        <v>25732</v>
      </c>
      <c r="AY3088" s="3" t="s">
        <v>25733</v>
      </c>
      <c r="AZ3088" s="3" t="s">
        <v>25734</v>
      </c>
      <c r="BA3088" s="3" t="s">
        <v>25734</v>
      </c>
      <c r="BB3088" s="3" t="s">
        <v>25735</v>
      </c>
      <c r="BC3088" s="3" t="s">
        <v>82</v>
      </c>
      <c r="BD3088" s="3" t="s">
        <v>70</v>
      </c>
      <c r="BE3088" s="3" t="s">
        <v>25736</v>
      </c>
      <c r="BF3088" s="3" t="s">
        <v>25735</v>
      </c>
      <c r="BG3088" s="3" t="s">
        <v>25737</v>
      </c>
    </row>
    <row r="3089" spans="1:59" ht="75" x14ac:dyDescent="0.25">
      <c r="A3089" s="2" t="s">
        <v>59</v>
      </c>
      <c r="B3089" s="2" t="s">
        <v>60</v>
      </c>
      <c r="C3089" s="2" t="s">
        <v>25738</v>
      </c>
      <c r="D3089" s="2" t="s">
        <v>25739</v>
      </c>
      <c r="E3089" s="2" t="s">
        <v>25740</v>
      </c>
      <c r="G3089" s="3" t="s">
        <v>63</v>
      </c>
      <c r="I3089" s="3" t="s">
        <v>63</v>
      </c>
      <c r="J3089" s="3" t="s">
        <v>63</v>
      </c>
      <c r="K3089" s="3" t="s">
        <v>64</v>
      </c>
      <c r="M3089" s="2" t="s">
        <v>25741</v>
      </c>
      <c r="N3089" s="3" t="s">
        <v>2459</v>
      </c>
      <c r="O3089" s="2" t="s">
        <v>590</v>
      </c>
      <c r="P3089" s="3" t="s">
        <v>66</v>
      </c>
      <c r="R3089" s="3" t="s">
        <v>67</v>
      </c>
      <c r="S3089" s="4">
        <v>11</v>
      </c>
      <c r="T3089" s="4">
        <v>11</v>
      </c>
      <c r="U3089" s="5" t="s">
        <v>24903</v>
      </c>
      <c r="V3089" s="5" t="s">
        <v>24903</v>
      </c>
      <c r="W3089" s="5" t="s">
        <v>69</v>
      </c>
      <c r="X3089" s="5" t="s">
        <v>69</v>
      </c>
      <c r="Y3089" s="4">
        <v>313</v>
      </c>
      <c r="Z3089" s="4">
        <v>18</v>
      </c>
      <c r="AA3089" s="4">
        <v>18</v>
      </c>
      <c r="AB3089" s="4">
        <v>1</v>
      </c>
      <c r="AC3089" s="4">
        <v>1</v>
      </c>
      <c r="AD3089" s="4">
        <v>91</v>
      </c>
      <c r="AE3089" s="4">
        <v>91</v>
      </c>
      <c r="AF3089" s="4">
        <v>0</v>
      </c>
      <c r="AG3089" s="4">
        <v>0</v>
      </c>
      <c r="AH3089" s="4">
        <v>84</v>
      </c>
      <c r="AI3089" s="4">
        <v>84</v>
      </c>
      <c r="AJ3089" s="4">
        <v>10</v>
      </c>
      <c r="AK3089" s="4">
        <v>10</v>
      </c>
      <c r="AL3089" s="4">
        <v>47</v>
      </c>
      <c r="AM3089" s="4">
        <v>47</v>
      </c>
      <c r="AN3089" s="4">
        <v>1</v>
      </c>
      <c r="AO3089" s="4">
        <v>1</v>
      </c>
      <c r="AP3089" s="4">
        <v>12</v>
      </c>
      <c r="AQ3089" s="4">
        <v>12</v>
      </c>
      <c r="AR3089" s="3" t="s">
        <v>63</v>
      </c>
      <c r="AS3089" s="3" t="s">
        <v>63</v>
      </c>
      <c r="AT3089" s="3" t="s">
        <v>62</v>
      </c>
      <c r="AU3089" s="6" t="str">
        <f>HYPERLINK("http://catalog.hathitrust.org/Record/005682527","HathiTrust Record")</f>
        <v>HathiTrust Record</v>
      </c>
      <c r="AV3089" s="6" t="str">
        <f>HYPERLINK("http://mcgill.on.worldcat.org/oclc/181335890","Catalog Record")</f>
        <v>Catalog Record</v>
      </c>
      <c r="AW3089" s="6" t="str">
        <f>HYPERLINK("http://www.worldcat.org/oclc/181335890","WorldCat Record")</f>
        <v>WorldCat Record</v>
      </c>
      <c r="AX3089" s="3" t="s">
        <v>25742</v>
      </c>
      <c r="AY3089" s="3" t="s">
        <v>25743</v>
      </c>
      <c r="AZ3089" s="3" t="s">
        <v>25744</v>
      </c>
      <c r="BA3089" s="3" t="s">
        <v>25744</v>
      </c>
      <c r="BB3089" s="3" t="s">
        <v>25745</v>
      </c>
      <c r="BC3089" s="3" t="s">
        <v>82</v>
      </c>
      <c r="BD3089" s="3" t="s">
        <v>538</v>
      </c>
      <c r="BE3089" s="3" t="s">
        <v>25746</v>
      </c>
      <c r="BF3089" s="3" t="s">
        <v>25745</v>
      </c>
      <c r="BG3089" s="3" t="s">
        <v>25747</v>
      </c>
    </row>
    <row r="3090" spans="1:59" ht="75" x14ac:dyDescent="0.25">
      <c r="A3090" s="2" t="s">
        <v>59</v>
      </c>
      <c r="B3090" s="2" t="s">
        <v>60</v>
      </c>
      <c r="C3090" s="2" t="s">
        <v>25748</v>
      </c>
      <c r="D3090" s="2" t="s">
        <v>25749</v>
      </c>
      <c r="E3090" s="2" t="s">
        <v>25750</v>
      </c>
      <c r="G3090" s="3" t="s">
        <v>63</v>
      </c>
      <c r="I3090" s="3" t="s">
        <v>63</v>
      </c>
      <c r="J3090" s="3" t="s">
        <v>63</v>
      </c>
      <c r="K3090" s="3" t="s">
        <v>64</v>
      </c>
      <c r="L3090" s="2" t="s">
        <v>18968</v>
      </c>
      <c r="M3090" s="2" t="s">
        <v>25751</v>
      </c>
      <c r="N3090" s="3" t="s">
        <v>743</v>
      </c>
      <c r="P3090" s="3" t="s">
        <v>66</v>
      </c>
      <c r="R3090" s="3" t="s">
        <v>67</v>
      </c>
      <c r="S3090" s="4">
        <v>26</v>
      </c>
      <c r="T3090" s="4">
        <v>26</v>
      </c>
      <c r="U3090" s="5" t="s">
        <v>4911</v>
      </c>
      <c r="V3090" s="5" t="s">
        <v>4911</v>
      </c>
      <c r="W3090" s="5" t="s">
        <v>69</v>
      </c>
      <c r="X3090" s="5" t="s">
        <v>69</v>
      </c>
      <c r="Y3090" s="4">
        <v>494</v>
      </c>
      <c r="Z3090" s="4">
        <v>30</v>
      </c>
      <c r="AA3090" s="4">
        <v>34</v>
      </c>
      <c r="AB3090" s="4">
        <v>3</v>
      </c>
      <c r="AC3090" s="4">
        <v>3</v>
      </c>
      <c r="AD3090" s="4">
        <v>113</v>
      </c>
      <c r="AE3090" s="4">
        <v>119</v>
      </c>
      <c r="AF3090" s="4">
        <v>1</v>
      </c>
      <c r="AG3090" s="4">
        <v>1</v>
      </c>
      <c r="AH3090" s="4">
        <v>101</v>
      </c>
      <c r="AI3090" s="4">
        <v>103</v>
      </c>
      <c r="AJ3090" s="4">
        <v>19</v>
      </c>
      <c r="AK3090" s="4">
        <v>21</v>
      </c>
      <c r="AL3090" s="4">
        <v>52</v>
      </c>
      <c r="AM3090" s="4">
        <v>53</v>
      </c>
      <c r="AN3090" s="4">
        <v>0</v>
      </c>
      <c r="AO3090" s="4">
        <v>2</v>
      </c>
      <c r="AP3090" s="4">
        <v>19</v>
      </c>
      <c r="AQ3090" s="4">
        <v>23</v>
      </c>
      <c r="AR3090" s="3" t="s">
        <v>63</v>
      </c>
      <c r="AS3090" s="3" t="s">
        <v>63</v>
      </c>
      <c r="AT3090" s="3" t="s">
        <v>62</v>
      </c>
      <c r="AU3090" s="6" t="str">
        <f>HYPERLINK("http://catalog.hathitrust.org/Record/000007890","HathiTrust Record")</f>
        <v>HathiTrust Record</v>
      </c>
      <c r="AV3090" s="6" t="str">
        <f>HYPERLINK("http://mcgill.on.worldcat.org/oclc/583920","Catalog Record")</f>
        <v>Catalog Record</v>
      </c>
      <c r="AW3090" s="6" t="str">
        <f>HYPERLINK("http://www.worldcat.org/oclc/583920","WorldCat Record")</f>
        <v>WorldCat Record</v>
      </c>
      <c r="AX3090" s="3" t="s">
        <v>25752</v>
      </c>
      <c r="AY3090" s="3" t="s">
        <v>25753</v>
      </c>
      <c r="AZ3090" s="3" t="s">
        <v>25754</v>
      </c>
      <c r="BA3090" s="3" t="s">
        <v>25754</v>
      </c>
      <c r="BB3090" s="3" t="s">
        <v>25755</v>
      </c>
      <c r="BC3090" s="3" t="s">
        <v>82</v>
      </c>
      <c r="BD3090" s="3" t="s">
        <v>70</v>
      </c>
      <c r="BE3090" s="3" t="s">
        <v>25756</v>
      </c>
      <c r="BF3090" s="3" t="s">
        <v>25755</v>
      </c>
      <c r="BG3090" s="3" t="s">
        <v>25757</v>
      </c>
    </row>
    <row r="3091" spans="1:59" ht="75" x14ac:dyDescent="0.25">
      <c r="A3091" s="2" t="s">
        <v>59</v>
      </c>
      <c r="B3091" s="2" t="s">
        <v>60</v>
      </c>
      <c r="C3091" s="2" t="s">
        <v>25758</v>
      </c>
      <c r="D3091" s="2" t="s">
        <v>25759</v>
      </c>
      <c r="E3091" s="2" t="s">
        <v>25760</v>
      </c>
      <c r="G3091" s="3" t="s">
        <v>63</v>
      </c>
      <c r="I3091" s="3" t="s">
        <v>63</v>
      </c>
      <c r="J3091" s="3" t="s">
        <v>63</v>
      </c>
      <c r="K3091" s="3" t="s">
        <v>64</v>
      </c>
      <c r="L3091" s="2" t="s">
        <v>25761</v>
      </c>
      <c r="M3091" s="2" t="s">
        <v>25762</v>
      </c>
      <c r="N3091" s="3" t="s">
        <v>681</v>
      </c>
      <c r="P3091" s="3" t="s">
        <v>66</v>
      </c>
      <c r="R3091" s="3" t="s">
        <v>67</v>
      </c>
      <c r="S3091" s="4">
        <v>6</v>
      </c>
      <c r="T3091" s="4">
        <v>6</v>
      </c>
      <c r="U3091" s="5" t="s">
        <v>18582</v>
      </c>
      <c r="V3091" s="5" t="s">
        <v>18582</v>
      </c>
      <c r="W3091" s="5" t="s">
        <v>69</v>
      </c>
      <c r="X3091" s="5" t="s">
        <v>69</v>
      </c>
      <c r="Y3091" s="4">
        <v>667</v>
      </c>
      <c r="Z3091" s="4">
        <v>41</v>
      </c>
      <c r="AA3091" s="4">
        <v>44</v>
      </c>
      <c r="AB3091" s="4">
        <v>3</v>
      </c>
      <c r="AC3091" s="4">
        <v>4</v>
      </c>
      <c r="AD3091" s="4">
        <v>127</v>
      </c>
      <c r="AE3091" s="4">
        <v>130</v>
      </c>
      <c r="AF3091" s="4">
        <v>1</v>
      </c>
      <c r="AG3091" s="4">
        <v>2</v>
      </c>
      <c r="AH3091" s="4">
        <v>104</v>
      </c>
      <c r="AI3091" s="4">
        <v>105</v>
      </c>
      <c r="AJ3091" s="4">
        <v>20</v>
      </c>
      <c r="AK3091" s="4">
        <v>22</v>
      </c>
      <c r="AL3091" s="4">
        <v>57</v>
      </c>
      <c r="AM3091" s="4">
        <v>57</v>
      </c>
      <c r="AN3091" s="4">
        <v>0</v>
      </c>
      <c r="AO3091" s="4">
        <v>0</v>
      </c>
      <c r="AP3091" s="4">
        <v>28</v>
      </c>
      <c r="AQ3091" s="4">
        <v>30</v>
      </c>
      <c r="AR3091" s="3" t="s">
        <v>63</v>
      </c>
      <c r="AS3091" s="3" t="s">
        <v>63</v>
      </c>
      <c r="AT3091" s="3" t="s">
        <v>63</v>
      </c>
      <c r="AV3091" s="6" t="str">
        <f>HYPERLINK("http://mcgill.on.worldcat.org/oclc/124148","Catalog Record")</f>
        <v>Catalog Record</v>
      </c>
      <c r="AW3091" s="6" t="str">
        <f>HYPERLINK("http://www.worldcat.org/oclc/124148","WorldCat Record")</f>
        <v>WorldCat Record</v>
      </c>
      <c r="AX3091" s="3" t="s">
        <v>25763</v>
      </c>
      <c r="AY3091" s="3" t="s">
        <v>25764</v>
      </c>
      <c r="AZ3091" s="3" t="s">
        <v>25765</v>
      </c>
      <c r="BA3091" s="3" t="s">
        <v>25765</v>
      </c>
      <c r="BB3091" s="3" t="s">
        <v>25766</v>
      </c>
      <c r="BC3091" s="3" t="s">
        <v>82</v>
      </c>
      <c r="BD3091" s="3" t="s">
        <v>70</v>
      </c>
      <c r="BE3091" s="3" t="s">
        <v>25767</v>
      </c>
      <c r="BF3091" s="3" t="s">
        <v>25766</v>
      </c>
      <c r="BG3091" s="3" t="s">
        <v>25768</v>
      </c>
    </row>
    <row r="3092" spans="1:59" ht="60" x14ac:dyDescent="0.25">
      <c r="A3092" s="2" t="s">
        <v>59</v>
      </c>
      <c r="B3092" s="2" t="s">
        <v>60</v>
      </c>
      <c r="C3092" s="2" t="s">
        <v>25769</v>
      </c>
      <c r="D3092" s="2" t="s">
        <v>25770</v>
      </c>
      <c r="E3092" s="2" t="s">
        <v>25771</v>
      </c>
      <c r="F3092" s="3" t="s">
        <v>3653</v>
      </c>
      <c r="G3092" s="3" t="s">
        <v>62</v>
      </c>
      <c r="I3092" s="3" t="s">
        <v>63</v>
      </c>
      <c r="J3092" s="3" t="s">
        <v>63</v>
      </c>
      <c r="K3092" s="3" t="s">
        <v>64</v>
      </c>
      <c r="L3092" s="2" t="s">
        <v>25772</v>
      </c>
      <c r="M3092" s="2" t="s">
        <v>25773</v>
      </c>
      <c r="N3092" s="3" t="s">
        <v>826</v>
      </c>
      <c r="P3092" s="3" t="s">
        <v>90</v>
      </c>
      <c r="Q3092" s="2" t="s">
        <v>25774</v>
      </c>
      <c r="R3092" s="3" t="s">
        <v>67</v>
      </c>
      <c r="S3092" s="4">
        <v>0</v>
      </c>
      <c r="T3092" s="4">
        <v>6</v>
      </c>
      <c r="V3092" s="5" t="s">
        <v>12925</v>
      </c>
      <c r="W3092" s="5" t="s">
        <v>69</v>
      </c>
      <c r="X3092" s="5" t="s">
        <v>69</v>
      </c>
      <c r="Y3092" s="4">
        <v>4</v>
      </c>
      <c r="Z3092" s="4">
        <v>3</v>
      </c>
      <c r="AA3092" s="4">
        <v>3</v>
      </c>
      <c r="AB3092" s="4">
        <v>1</v>
      </c>
      <c r="AC3092" s="4">
        <v>1</v>
      </c>
      <c r="AD3092" s="4">
        <v>3</v>
      </c>
      <c r="AE3092" s="4">
        <v>3</v>
      </c>
      <c r="AF3092" s="4">
        <v>0</v>
      </c>
      <c r="AG3092" s="4">
        <v>0</v>
      </c>
      <c r="AH3092" s="4">
        <v>3</v>
      </c>
      <c r="AI3092" s="4">
        <v>3</v>
      </c>
      <c r="AJ3092" s="4">
        <v>2</v>
      </c>
      <c r="AK3092" s="4">
        <v>2</v>
      </c>
      <c r="AL3092" s="4">
        <v>1</v>
      </c>
      <c r="AM3092" s="4">
        <v>1</v>
      </c>
      <c r="AN3092" s="4">
        <v>0</v>
      </c>
      <c r="AO3092" s="4">
        <v>0</v>
      </c>
      <c r="AP3092" s="4">
        <v>2</v>
      </c>
      <c r="AQ3092" s="4">
        <v>2</v>
      </c>
      <c r="AR3092" s="3" t="s">
        <v>63</v>
      </c>
      <c r="AS3092" s="3" t="s">
        <v>63</v>
      </c>
      <c r="AT3092" s="3" t="s">
        <v>63</v>
      </c>
      <c r="AV3092" s="6" t="str">
        <f>HYPERLINK("http://mcgill.on.worldcat.org/oclc/427552291","Catalog Record")</f>
        <v>Catalog Record</v>
      </c>
      <c r="AW3092" s="6" t="str">
        <f>HYPERLINK("http://www.worldcat.org/oclc/427552291","WorldCat Record")</f>
        <v>WorldCat Record</v>
      </c>
      <c r="AX3092" s="3" t="s">
        <v>25775</v>
      </c>
      <c r="AY3092" s="3" t="s">
        <v>25776</v>
      </c>
      <c r="AZ3092" s="3" t="s">
        <v>25777</v>
      </c>
      <c r="BA3092" s="3" t="s">
        <v>25777</v>
      </c>
      <c r="BB3092" s="3" t="s">
        <v>25778</v>
      </c>
      <c r="BC3092" s="3" t="s">
        <v>82</v>
      </c>
      <c r="BD3092" s="3" t="s">
        <v>70</v>
      </c>
      <c r="BF3092" s="3" t="s">
        <v>25778</v>
      </c>
      <c r="BG3092" s="3" t="s">
        <v>25779</v>
      </c>
    </row>
    <row r="3093" spans="1:59" ht="60" x14ac:dyDescent="0.25">
      <c r="A3093" s="2" t="s">
        <v>59</v>
      </c>
      <c r="B3093" s="2" t="s">
        <v>60</v>
      </c>
      <c r="C3093" s="2" t="s">
        <v>25769</v>
      </c>
      <c r="D3093" s="2" t="s">
        <v>25770</v>
      </c>
      <c r="E3093" s="2" t="s">
        <v>25771</v>
      </c>
      <c r="F3093" s="3" t="s">
        <v>3650</v>
      </c>
      <c r="G3093" s="3" t="s">
        <v>62</v>
      </c>
      <c r="I3093" s="3" t="s">
        <v>63</v>
      </c>
      <c r="J3093" s="3" t="s">
        <v>63</v>
      </c>
      <c r="K3093" s="3" t="s">
        <v>64</v>
      </c>
      <c r="L3093" s="2" t="s">
        <v>25772</v>
      </c>
      <c r="M3093" s="2" t="s">
        <v>25773</v>
      </c>
      <c r="N3093" s="3" t="s">
        <v>826</v>
      </c>
      <c r="P3093" s="3" t="s">
        <v>90</v>
      </c>
      <c r="Q3093" s="2" t="s">
        <v>25774</v>
      </c>
      <c r="R3093" s="3" t="s">
        <v>67</v>
      </c>
      <c r="S3093" s="4">
        <v>6</v>
      </c>
      <c r="T3093" s="4">
        <v>6</v>
      </c>
      <c r="U3093" s="5" t="s">
        <v>12925</v>
      </c>
      <c r="V3093" s="5" t="s">
        <v>12925</v>
      </c>
      <c r="W3093" s="5" t="s">
        <v>69</v>
      </c>
      <c r="X3093" s="5" t="s">
        <v>69</v>
      </c>
      <c r="Y3093" s="4">
        <v>4</v>
      </c>
      <c r="Z3093" s="4">
        <v>3</v>
      </c>
      <c r="AA3093" s="4">
        <v>3</v>
      </c>
      <c r="AB3093" s="4">
        <v>1</v>
      </c>
      <c r="AC3093" s="4">
        <v>1</v>
      </c>
      <c r="AD3093" s="4">
        <v>3</v>
      </c>
      <c r="AE3093" s="4">
        <v>3</v>
      </c>
      <c r="AF3093" s="4">
        <v>0</v>
      </c>
      <c r="AG3093" s="4">
        <v>0</v>
      </c>
      <c r="AH3093" s="4">
        <v>3</v>
      </c>
      <c r="AI3093" s="4">
        <v>3</v>
      </c>
      <c r="AJ3093" s="4">
        <v>2</v>
      </c>
      <c r="AK3093" s="4">
        <v>2</v>
      </c>
      <c r="AL3093" s="4">
        <v>1</v>
      </c>
      <c r="AM3093" s="4">
        <v>1</v>
      </c>
      <c r="AN3093" s="4">
        <v>0</v>
      </c>
      <c r="AO3093" s="4">
        <v>0</v>
      </c>
      <c r="AP3093" s="4">
        <v>2</v>
      </c>
      <c r="AQ3093" s="4">
        <v>2</v>
      </c>
      <c r="AR3093" s="3" t="s">
        <v>63</v>
      </c>
      <c r="AS3093" s="3" t="s">
        <v>63</v>
      </c>
      <c r="AT3093" s="3" t="s">
        <v>63</v>
      </c>
      <c r="AV3093" s="6" t="str">
        <f>HYPERLINK("http://mcgill.on.worldcat.org/oclc/427552291","Catalog Record")</f>
        <v>Catalog Record</v>
      </c>
      <c r="AW3093" s="6" t="str">
        <f>HYPERLINK("http://www.worldcat.org/oclc/427552291","WorldCat Record")</f>
        <v>WorldCat Record</v>
      </c>
      <c r="AX3093" s="3" t="s">
        <v>25775</v>
      </c>
      <c r="AY3093" s="3" t="s">
        <v>25776</v>
      </c>
      <c r="AZ3093" s="3" t="s">
        <v>25777</v>
      </c>
      <c r="BA3093" s="3" t="s">
        <v>25777</v>
      </c>
      <c r="BB3093" s="3" t="s">
        <v>25780</v>
      </c>
      <c r="BC3093" s="3" t="s">
        <v>82</v>
      </c>
      <c r="BD3093" s="3" t="s">
        <v>70</v>
      </c>
      <c r="BF3093" s="3" t="s">
        <v>25780</v>
      </c>
      <c r="BG3093" s="3" t="s">
        <v>25781</v>
      </c>
    </row>
    <row r="3094" spans="1:59" ht="60" x14ac:dyDescent="0.25">
      <c r="A3094" s="2" t="s">
        <v>59</v>
      </c>
      <c r="B3094" s="2" t="s">
        <v>60</v>
      </c>
      <c r="C3094" s="2" t="s">
        <v>25769</v>
      </c>
      <c r="D3094" s="2" t="s">
        <v>25770</v>
      </c>
      <c r="E3094" s="2" t="s">
        <v>25771</v>
      </c>
      <c r="F3094" s="3" t="s">
        <v>13788</v>
      </c>
      <c r="G3094" s="3" t="s">
        <v>62</v>
      </c>
      <c r="I3094" s="3" t="s">
        <v>63</v>
      </c>
      <c r="J3094" s="3" t="s">
        <v>63</v>
      </c>
      <c r="K3094" s="3" t="s">
        <v>64</v>
      </c>
      <c r="L3094" s="2" t="s">
        <v>25772</v>
      </c>
      <c r="M3094" s="2" t="s">
        <v>25773</v>
      </c>
      <c r="N3094" s="3" t="s">
        <v>826</v>
      </c>
      <c r="P3094" s="3" t="s">
        <v>90</v>
      </c>
      <c r="Q3094" s="2" t="s">
        <v>25774</v>
      </c>
      <c r="R3094" s="3" t="s">
        <v>67</v>
      </c>
      <c r="S3094" s="4">
        <v>0</v>
      </c>
      <c r="T3094" s="4">
        <v>6</v>
      </c>
      <c r="V3094" s="5" t="s">
        <v>12925</v>
      </c>
      <c r="W3094" s="5" t="s">
        <v>69</v>
      </c>
      <c r="X3094" s="5" t="s">
        <v>69</v>
      </c>
      <c r="Y3094" s="4">
        <v>4</v>
      </c>
      <c r="Z3094" s="4">
        <v>3</v>
      </c>
      <c r="AA3094" s="4">
        <v>3</v>
      </c>
      <c r="AB3094" s="4">
        <v>1</v>
      </c>
      <c r="AC3094" s="4">
        <v>1</v>
      </c>
      <c r="AD3094" s="4">
        <v>3</v>
      </c>
      <c r="AE3094" s="4">
        <v>3</v>
      </c>
      <c r="AF3094" s="4">
        <v>0</v>
      </c>
      <c r="AG3094" s="4">
        <v>0</v>
      </c>
      <c r="AH3094" s="4">
        <v>3</v>
      </c>
      <c r="AI3094" s="4">
        <v>3</v>
      </c>
      <c r="AJ3094" s="4">
        <v>2</v>
      </c>
      <c r="AK3094" s="4">
        <v>2</v>
      </c>
      <c r="AL3094" s="4">
        <v>1</v>
      </c>
      <c r="AM3094" s="4">
        <v>1</v>
      </c>
      <c r="AN3094" s="4">
        <v>0</v>
      </c>
      <c r="AO3094" s="4">
        <v>0</v>
      </c>
      <c r="AP3094" s="4">
        <v>2</v>
      </c>
      <c r="AQ3094" s="4">
        <v>2</v>
      </c>
      <c r="AR3094" s="3" t="s">
        <v>63</v>
      </c>
      <c r="AS3094" s="3" t="s">
        <v>63</v>
      </c>
      <c r="AT3094" s="3" t="s">
        <v>63</v>
      </c>
      <c r="AV3094" s="6" t="str">
        <f>HYPERLINK("http://mcgill.on.worldcat.org/oclc/427552291","Catalog Record")</f>
        <v>Catalog Record</v>
      </c>
      <c r="AW3094" s="6" t="str">
        <f>HYPERLINK("http://www.worldcat.org/oclc/427552291","WorldCat Record")</f>
        <v>WorldCat Record</v>
      </c>
      <c r="AX3094" s="3" t="s">
        <v>25775</v>
      </c>
      <c r="AY3094" s="3" t="s">
        <v>25776</v>
      </c>
      <c r="AZ3094" s="3" t="s">
        <v>25777</v>
      </c>
      <c r="BA3094" s="3" t="s">
        <v>25777</v>
      </c>
      <c r="BB3094" s="3" t="s">
        <v>25782</v>
      </c>
      <c r="BC3094" s="3" t="s">
        <v>82</v>
      </c>
      <c r="BD3094" s="3" t="s">
        <v>70</v>
      </c>
      <c r="BF3094" s="3" t="s">
        <v>25782</v>
      </c>
      <c r="BG3094" s="3" t="s">
        <v>25783</v>
      </c>
    </row>
    <row r="3095" spans="1:59" ht="60" x14ac:dyDescent="0.25">
      <c r="A3095" s="2" t="s">
        <v>59</v>
      </c>
      <c r="B3095" s="2" t="s">
        <v>60</v>
      </c>
      <c r="C3095" s="2" t="s">
        <v>25769</v>
      </c>
      <c r="D3095" s="2" t="s">
        <v>25770</v>
      </c>
      <c r="E3095" s="2" t="s">
        <v>25771</v>
      </c>
      <c r="F3095" s="3" t="s">
        <v>3647</v>
      </c>
      <c r="G3095" s="3" t="s">
        <v>62</v>
      </c>
      <c r="I3095" s="3" t="s">
        <v>63</v>
      </c>
      <c r="J3095" s="3" t="s">
        <v>63</v>
      </c>
      <c r="K3095" s="3" t="s">
        <v>64</v>
      </c>
      <c r="L3095" s="2" t="s">
        <v>25772</v>
      </c>
      <c r="M3095" s="2" t="s">
        <v>25773</v>
      </c>
      <c r="N3095" s="3" t="s">
        <v>826</v>
      </c>
      <c r="P3095" s="3" t="s">
        <v>90</v>
      </c>
      <c r="Q3095" s="2" t="s">
        <v>25774</v>
      </c>
      <c r="R3095" s="3" t="s">
        <v>67</v>
      </c>
      <c r="S3095" s="4">
        <v>0</v>
      </c>
      <c r="T3095" s="4">
        <v>6</v>
      </c>
      <c r="V3095" s="5" t="s">
        <v>12925</v>
      </c>
      <c r="W3095" s="5" t="s">
        <v>69</v>
      </c>
      <c r="X3095" s="5" t="s">
        <v>69</v>
      </c>
      <c r="Y3095" s="4">
        <v>4</v>
      </c>
      <c r="Z3095" s="4">
        <v>3</v>
      </c>
      <c r="AA3095" s="4">
        <v>3</v>
      </c>
      <c r="AB3095" s="4">
        <v>1</v>
      </c>
      <c r="AC3095" s="4">
        <v>1</v>
      </c>
      <c r="AD3095" s="4">
        <v>3</v>
      </c>
      <c r="AE3095" s="4">
        <v>3</v>
      </c>
      <c r="AF3095" s="4">
        <v>0</v>
      </c>
      <c r="AG3095" s="4">
        <v>0</v>
      </c>
      <c r="AH3095" s="4">
        <v>3</v>
      </c>
      <c r="AI3095" s="4">
        <v>3</v>
      </c>
      <c r="AJ3095" s="4">
        <v>2</v>
      </c>
      <c r="AK3095" s="4">
        <v>2</v>
      </c>
      <c r="AL3095" s="4">
        <v>1</v>
      </c>
      <c r="AM3095" s="4">
        <v>1</v>
      </c>
      <c r="AN3095" s="4">
        <v>0</v>
      </c>
      <c r="AO3095" s="4">
        <v>0</v>
      </c>
      <c r="AP3095" s="4">
        <v>2</v>
      </c>
      <c r="AQ3095" s="4">
        <v>2</v>
      </c>
      <c r="AR3095" s="3" t="s">
        <v>63</v>
      </c>
      <c r="AS3095" s="3" t="s">
        <v>63</v>
      </c>
      <c r="AT3095" s="3" t="s">
        <v>63</v>
      </c>
      <c r="AV3095" s="6" t="str">
        <f>HYPERLINK("http://mcgill.on.worldcat.org/oclc/427552291","Catalog Record")</f>
        <v>Catalog Record</v>
      </c>
      <c r="AW3095" s="6" t="str">
        <f>HYPERLINK("http://www.worldcat.org/oclc/427552291","WorldCat Record")</f>
        <v>WorldCat Record</v>
      </c>
      <c r="AX3095" s="3" t="s">
        <v>25775</v>
      </c>
      <c r="AY3095" s="3" t="s">
        <v>25776</v>
      </c>
      <c r="AZ3095" s="3" t="s">
        <v>25777</v>
      </c>
      <c r="BA3095" s="3" t="s">
        <v>25777</v>
      </c>
      <c r="BB3095" s="3" t="s">
        <v>25784</v>
      </c>
      <c r="BC3095" s="3" t="s">
        <v>82</v>
      </c>
      <c r="BD3095" s="3" t="s">
        <v>70</v>
      </c>
      <c r="BF3095" s="3" t="s">
        <v>25784</v>
      </c>
      <c r="BG3095" s="3" t="s">
        <v>25785</v>
      </c>
    </row>
    <row r="3096" spans="1:59" ht="60" x14ac:dyDescent="0.25">
      <c r="A3096" s="2" t="s">
        <v>59</v>
      </c>
      <c r="B3096" s="2" t="s">
        <v>60</v>
      </c>
      <c r="C3096" s="2" t="s">
        <v>25769</v>
      </c>
      <c r="D3096" s="2" t="s">
        <v>25770</v>
      </c>
      <c r="E3096" s="2" t="s">
        <v>25771</v>
      </c>
      <c r="F3096" s="3" t="s">
        <v>3638</v>
      </c>
      <c r="G3096" s="3" t="s">
        <v>62</v>
      </c>
      <c r="I3096" s="3" t="s">
        <v>63</v>
      </c>
      <c r="J3096" s="3" t="s">
        <v>63</v>
      </c>
      <c r="K3096" s="3" t="s">
        <v>64</v>
      </c>
      <c r="L3096" s="2" t="s">
        <v>25772</v>
      </c>
      <c r="M3096" s="2" t="s">
        <v>25773</v>
      </c>
      <c r="N3096" s="3" t="s">
        <v>826</v>
      </c>
      <c r="P3096" s="3" t="s">
        <v>90</v>
      </c>
      <c r="Q3096" s="2" t="s">
        <v>25774</v>
      </c>
      <c r="R3096" s="3" t="s">
        <v>67</v>
      </c>
      <c r="S3096" s="4">
        <v>0</v>
      </c>
      <c r="T3096" s="4">
        <v>6</v>
      </c>
      <c r="V3096" s="5" t="s">
        <v>12925</v>
      </c>
      <c r="W3096" s="5" t="s">
        <v>69</v>
      </c>
      <c r="X3096" s="5" t="s">
        <v>69</v>
      </c>
      <c r="Y3096" s="4">
        <v>4</v>
      </c>
      <c r="Z3096" s="4">
        <v>3</v>
      </c>
      <c r="AA3096" s="4">
        <v>3</v>
      </c>
      <c r="AB3096" s="4">
        <v>1</v>
      </c>
      <c r="AC3096" s="4">
        <v>1</v>
      </c>
      <c r="AD3096" s="4">
        <v>3</v>
      </c>
      <c r="AE3096" s="4">
        <v>3</v>
      </c>
      <c r="AF3096" s="4">
        <v>0</v>
      </c>
      <c r="AG3096" s="4">
        <v>0</v>
      </c>
      <c r="AH3096" s="4">
        <v>3</v>
      </c>
      <c r="AI3096" s="4">
        <v>3</v>
      </c>
      <c r="AJ3096" s="4">
        <v>2</v>
      </c>
      <c r="AK3096" s="4">
        <v>2</v>
      </c>
      <c r="AL3096" s="4">
        <v>1</v>
      </c>
      <c r="AM3096" s="4">
        <v>1</v>
      </c>
      <c r="AN3096" s="4">
        <v>0</v>
      </c>
      <c r="AO3096" s="4">
        <v>0</v>
      </c>
      <c r="AP3096" s="4">
        <v>2</v>
      </c>
      <c r="AQ3096" s="4">
        <v>2</v>
      </c>
      <c r="AR3096" s="3" t="s">
        <v>63</v>
      </c>
      <c r="AS3096" s="3" t="s">
        <v>63</v>
      </c>
      <c r="AT3096" s="3" t="s">
        <v>63</v>
      </c>
      <c r="AV3096" s="6" t="str">
        <f>HYPERLINK("http://mcgill.on.worldcat.org/oclc/427552291","Catalog Record")</f>
        <v>Catalog Record</v>
      </c>
      <c r="AW3096" s="6" t="str">
        <f>HYPERLINK("http://www.worldcat.org/oclc/427552291","WorldCat Record")</f>
        <v>WorldCat Record</v>
      </c>
      <c r="AX3096" s="3" t="s">
        <v>25775</v>
      </c>
      <c r="AY3096" s="3" t="s">
        <v>25776</v>
      </c>
      <c r="AZ3096" s="3" t="s">
        <v>25777</v>
      </c>
      <c r="BA3096" s="3" t="s">
        <v>25777</v>
      </c>
      <c r="BB3096" s="3" t="s">
        <v>25786</v>
      </c>
      <c r="BC3096" s="3" t="s">
        <v>82</v>
      </c>
      <c r="BD3096" s="3" t="s">
        <v>70</v>
      </c>
      <c r="BF3096" s="3" t="s">
        <v>25786</v>
      </c>
      <c r="BG3096" s="3" t="s">
        <v>25787</v>
      </c>
    </row>
    <row r="3097" spans="1:59" ht="75" x14ac:dyDescent="0.25">
      <c r="A3097" s="2" t="s">
        <v>59</v>
      </c>
      <c r="B3097" s="2" t="s">
        <v>60</v>
      </c>
      <c r="C3097" s="2" t="s">
        <v>25788</v>
      </c>
      <c r="D3097" s="2" t="s">
        <v>25789</v>
      </c>
      <c r="E3097" s="2" t="s">
        <v>25790</v>
      </c>
      <c r="G3097" s="3" t="s">
        <v>63</v>
      </c>
      <c r="I3097" s="3" t="s">
        <v>63</v>
      </c>
      <c r="J3097" s="3" t="s">
        <v>63</v>
      </c>
      <c r="K3097" s="3" t="s">
        <v>64</v>
      </c>
      <c r="L3097" s="2" t="s">
        <v>25791</v>
      </c>
      <c r="M3097" s="2" t="s">
        <v>25792</v>
      </c>
      <c r="N3097" s="3" t="s">
        <v>9114</v>
      </c>
      <c r="P3097" s="3" t="s">
        <v>90</v>
      </c>
      <c r="R3097" s="3" t="s">
        <v>67</v>
      </c>
      <c r="S3097" s="4">
        <v>1</v>
      </c>
      <c r="T3097" s="4">
        <v>1</v>
      </c>
      <c r="U3097" s="5" t="s">
        <v>14898</v>
      </c>
      <c r="V3097" s="5" t="s">
        <v>14898</v>
      </c>
      <c r="W3097" s="5" t="s">
        <v>69</v>
      </c>
      <c r="X3097" s="5" t="s">
        <v>69</v>
      </c>
      <c r="Y3097" s="4">
        <v>15</v>
      </c>
      <c r="Z3097" s="4">
        <v>1</v>
      </c>
      <c r="AA3097" s="4">
        <v>1</v>
      </c>
      <c r="AB3097" s="4">
        <v>1</v>
      </c>
      <c r="AC3097" s="4">
        <v>1</v>
      </c>
      <c r="AD3097" s="4">
        <v>11</v>
      </c>
      <c r="AE3097" s="4">
        <v>11</v>
      </c>
      <c r="AF3097" s="4">
        <v>0</v>
      </c>
      <c r="AG3097" s="4">
        <v>0</v>
      </c>
      <c r="AH3097" s="4">
        <v>9</v>
      </c>
      <c r="AI3097" s="4">
        <v>9</v>
      </c>
      <c r="AJ3097" s="4">
        <v>0</v>
      </c>
      <c r="AK3097" s="4">
        <v>0</v>
      </c>
      <c r="AL3097" s="4">
        <v>11</v>
      </c>
      <c r="AM3097" s="4">
        <v>11</v>
      </c>
      <c r="AN3097" s="4">
        <v>0</v>
      </c>
      <c r="AO3097" s="4">
        <v>0</v>
      </c>
      <c r="AP3097" s="4">
        <v>0</v>
      </c>
      <c r="AQ3097" s="4">
        <v>0</v>
      </c>
      <c r="AR3097" s="3" t="s">
        <v>63</v>
      </c>
      <c r="AS3097" s="3" t="s">
        <v>63</v>
      </c>
      <c r="AT3097" s="3" t="s">
        <v>62</v>
      </c>
      <c r="AU3097" s="6" t="str">
        <f>HYPERLINK("http://catalog.hathitrust.org/Record/006092985","HathiTrust Record")</f>
        <v>HathiTrust Record</v>
      </c>
      <c r="AV3097" s="6" t="str">
        <f>HYPERLINK("http://mcgill.on.worldcat.org/oclc/18581772","Catalog Record")</f>
        <v>Catalog Record</v>
      </c>
      <c r="AW3097" s="6" t="str">
        <f>HYPERLINK("http://www.worldcat.org/oclc/18581772","WorldCat Record")</f>
        <v>WorldCat Record</v>
      </c>
      <c r="AX3097" s="3" t="s">
        <v>25793</v>
      </c>
      <c r="AY3097" s="3" t="s">
        <v>25794</v>
      </c>
      <c r="AZ3097" s="3" t="s">
        <v>25795</v>
      </c>
      <c r="BA3097" s="3" t="s">
        <v>25795</v>
      </c>
      <c r="BB3097" s="3" t="s">
        <v>25796</v>
      </c>
      <c r="BC3097" s="3" t="s">
        <v>82</v>
      </c>
      <c r="BD3097" s="3" t="s">
        <v>70</v>
      </c>
      <c r="BF3097" s="3" t="s">
        <v>25796</v>
      </c>
      <c r="BG3097" s="3" t="s">
        <v>25797</v>
      </c>
    </row>
    <row r="3098" spans="1:59" ht="75" x14ac:dyDescent="0.25">
      <c r="A3098" s="2" t="s">
        <v>59</v>
      </c>
      <c r="B3098" s="2" t="s">
        <v>60</v>
      </c>
      <c r="C3098" s="2" t="s">
        <v>25798</v>
      </c>
      <c r="D3098" s="2" t="s">
        <v>25799</v>
      </c>
      <c r="E3098" s="2" t="s">
        <v>25800</v>
      </c>
      <c r="G3098" s="3" t="s">
        <v>63</v>
      </c>
      <c r="I3098" s="3" t="s">
        <v>63</v>
      </c>
      <c r="J3098" s="3" t="s">
        <v>63</v>
      </c>
      <c r="K3098" s="3" t="s">
        <v>64</v>
      </c>
      <c r="L3098" s="2" t="s">
        <v>3951</v>
      </c>
      <c r="M3098" s="2" t="s">
        <v>25801</v>
      </c>
      <c r="N3098" s="3" t="s">
        <v>76</v>
      </c>
      <c r="O3098" s="2" t="s">
        <v>590</v>
      </c>
      <c r="P3098" s="3" t="s">
        <v>66</v>
      </c>
      <c r="R3098" s="3" t="s">
        <v>67</v>
      </c>
      <c r="S3098" s="4">
        <v>1</v>
      </c>
      <c r="T3098" s="4">
        <v>1</v>
      </c>
      <c r="U3098" s="5" t="s">
        <v>24722</v>
      </c>
      <c r="V3098" s="5" t="s">
        <v>24722</v>
      </c>
      <c r="W3098" s="5" t="s">
        <v>69</v>
      </c>
      <c r="X3098" s="5" t="s">
        <v>69</v>
      </c>
      <c r="Y3098" s="4">
        <v>213</v>
      </c>
      <c r="Z3098" s="4">
        <v>11</v>
      </c>
      <c r="AA3098" s="4">
        <v>13</v>
      </c>
      <c r="AB3098" s="4">
        <v>1</v>
      </c>
      <c r="AC3098" s="4">
        <v>1</v>
      </c>
      <c r="AD3098" s="4">
        <v>59</v>
      </c>
      <c r="AE3098" s="4">
        <v>61</v>
      </c>
      <c r="AF3098" s="4">
        <v>0</v>
      </c>
      <c r="AG3098" s="4">
        <v>0</v>
      </c>
      <c r="AH3098" s="4">
        <v>57</v>
      </c>
      <c r="AI3098" s="4">
        <v>58</v>
      </c>
      <c r="AJ3098" s="4">
        <v>5</v>
      </c>
      <c r="AK3098" s="4">
        <v>7</v>
      </c>
      <c r="AL3098" s="4">
        <v>35</v>
      </c>
      <c r="AM3098" s="4">
        <v>35</v>
      </c>
      <c r="AN3098" s="4">
        <v>0</v>
      </c>
      <c r="AO3098" s="4">
        <v>0</v>
      </c>
      <c r="AP3098" s="4">
        <v>5</v>
      </c>
      <c r="AQ3098" s="4">
        <v>7</v>
      </c>
      <c r="AR3098" s="3" t="s">
        <v>63</v>
      </c>
      <c r="AS3098" s="3" t="s">
        <v>63</v>
      </c>
      <c r="AT3098" s="3" t="s">
        <v>63</v>
      </c>
      <c r="AV3098" s="6" t="str">
        <f>HYPERLINK("http://mcgill.on.worldcat.org/oclc/733223614","Catalog Record")</f>
        <v>Catalog Record</v>
      </c>
      <c r="AW3098" s="6" t="str">
        <f>HYPERLINK("http://www.worldcat.org/oclc/733223614","WorldCat Record")</f>
        <v>WorldCat Record</v>
      </c>
      <c r="AX3098" s="3" t="s">
        <v>25802</v>
      </c>
      <c r="AY3098" s="3" t="s">
        <v>25803</v>
      </c>
      <c r="AZ3098" s="3" t="s">
        <v>25804</v>
      </c>
      <c r="BA3098" s="3" t="s">
        <v>25804</v>
      </c>
      <c r="BB3098" s="3" t="s">
        <v>25805</v>
      </c>
      <c r="BC3098" s="3" t="s">
        <v>82</v>
      </c>
      <c r="BD3098" s="3" t="s">
        <v>1611</v>
      </c>
      <c r="BE3098" s="3" t="s">
        <v>25806</v>
      </c>
      <c r="BF3098" s="3" t="s">
        <v>25805</v>
      </c>
      <c r="BG3098" s="3" t="s">
        <v>25807</v>
      </c>
    </row>
    <row r="3099" spans="1:59" ht="75" x14ac:dyDescent="0.25">
      <c r="A3099" s="2" t="s">
        <v>59</v>
      </c>
      <c r="B3099" s="2" t="s">
        <v>60</v>
      </c>
      <c r="C3099" s="2" t="s">
        <v>25808</v>
      </c>
      <c r="D3099" s="2" t="s">
        <v>25809</v>
      </c>
      <c r="E3099" s="2" t="s">
        <v>25810</v>
      </c>
      <c r="G3099" s="3" t="s">
        <v>63</v>
      </c>
      <c r="I3099" s="3" t="s">
        <v>63</v>
      </c>
      <c r="J3099" s="3" t="s">
        <v>63</v>
      </c>
      <c r="K3099" s="3" t="s">
        <v>64</v>
      </c>
      <c r="L3099" s="2" t="s">
        <v>25811</v>
      </c>
      <c r="M3099" s="2" t="s">
        <v>20291</v>
      </c>
      <c r="N3099" s="3" t="s">
        <v>106</v>
      </c>
      <c r="P3099" s="3" t="s">
        <v>66</v>
      </c>
      <c r="Q3099" s="2" t="s">
        <v>25812</v>
      </c>
      <c r="R3099" s="3" t="s">
        <v>67</v>
      </c>
      <c r="S3099" s="4">
        <v>0</v>
      </c>
      <c r="T3099" s="4">
        <v>0</v>
      </c>
      <c r="W3099" s="5" t="s">
        <v>69</v>
      </c>
      <c r="X3099" s="5" t="s">
        <v>69</v>
      </c>
      <c r="Y3099" s="4">
        <v>42</v>
      </c>
      <c r="Z3099" s="4">
        <v>6</v>
      </c>
      <c r="AA3099" s="4">
        <v>9</v>
      </c>
      <c r="AB3099" s="4">
        <v>1</v>
      </c>
      <c r="AC3099" s="4">
        <v>2</v>
      </c>
      <c r="AD3099" s="4">
        <v>16</v>
      </c>
      <c r="AE3099" s="4">
        <v>46</v>
      </c>
      <c r="AF3099" s="4">
        <v>0</v>
      </c>
      <c r="AG3099" s="4">
        <v>0</v>
      </c>
      <c r="AH3099" s="4">
        <v>14</v>
      </c>
      <c r="AI3099" s="4">
        <v>44</v>
      </c>
      <c r="AJ3099" s="4">
        <v>3</v>
      </c>
      <c r="AK3099" s="4">
        <v>4</v>
      </c>
      <c r="AL3099" s="4">
        <v>11</v>
      </c>
      <c r="AM3099" s="4">
        <v>32</v>
      </c>
      <c r="AN3099" s="4">
        <v>0</v>
      </c>
      <c r="AO3099" s="4">
        <v>0</v>
      </c>
      <c r="AP3099" s="4">
        <v>3</v>
      </c>
      <c r="AQ3099" s="4">
        <v>4</v>
      </c>
      <c r="AR3099" s="3" t="s">
        <v>63</v>
      </c>
      <c r="AS3099" s="3" t="s">
        <v>63</v>
      </c>
      <c r="AT3099" s="3" t="s">
        <v>63</v>
      </c>
      <c r="AV3099" s="6" t="str">
        <f>HYPERLINK("http://mcgill.on.worldcat.org/oclc/933881381","Catalog Record")</f>
        <v>Catalog Record</v>
      </c>
      <c r="AW3099" s="6" t="str">
        <f>HYPERLINK("http://www.worldcat.org/oclc/933881381","WorldCat Record")</f>
        <v>WorldCat Record</v>
      </c>
      <c r="AX3099" s="3" t="s">
        <v>25813</v>
      </c>
      <c r="AY3099" s="3" t="s">
        <v>25814</v>
      </c>
      <c r="AZ3099" s="3" t="s">
        <v>25815</v>
      </c>
      <c r="BA3099" s="3" t="s">
        <v>25815</v>
      </c>
      <c r="BB3099" s="3" t="s">
        <v>25816</v>
      </c>
      <c r="BC3099" s="3" t="s">
        <v>82</v>
      </c>
      <c r="BD3099" s="3" t="s">
        <v>70</v>
      </c>
      <c r="BE3099" s="3" t="s">
        <v>25817</v>
      </c>
      <c r="BF3099" s="3" t="s">
        <v>25816</v>
      </c>
      <c r="BG3099" s="3" t="s">
        <v>25818</v>
      </c>
    </row>
    <row r="3100" spans="1:59" ht="75" x14ac:dyDescent="0.25">
      <c r="A3100" s="2" t="s">
        <v>59</v>
      </c>
      <c r="B3100" s="2" t="s">
        <v>60</v>
      </c>
      <c r="C3100" s="2" t="s">
        <v>25819</v>
      </c>
      <c r="D3100" s="2" t="s">
        <v>25820</v>
      </c>
      <c r="E3100" s="2" t="s">
        <v>25821</v>
      </c>
      <c r="G3100" s="3" t="s">
        <v>63</v>
      </c>
      <c r="I3100" s="3" t="s">
        <v>62</v>
      </c>
      <c r="J3100" s="3" t="s">
        <v>63</v>
      </c>
      <c r="K3100" s="3" t="s">
        <v>64</v>
      </c>
      <c r="L3100" s="2" t="s">
        <v>3951</v>
      </c>
      <c r="M3100" s="2" t="s">
        <v>25822</v>
      </c>
      <c r="N3100" s="3" t="s">
        <v>2225</v>
      </c>
      <c r="P3100" s="3" t="s">
        <v>66</v>
      </c>
      <c r="R3100" s="3" t="s">
        <v>67</v>
      </c>
      <c r="S3100" s="4">
        <v>7</v>
      </c>
      <c r="T3100" s="4">
        <v>14</v>
      </c>
      <c r="U3100" s="5" t="s">
        <v>8311</v>
      </c>
      <c r="V3100" s="5" t="s">
        <v>8311</v>
      </c>
      <c r="W3100" s="5" t="s">
        <v>69</v>
      </c>
      <c r="X3100" s="5" t="s">
        <v>69</v>
      </c>
      <c r="Y3100" s="4">
        <v>661</v>
      </c>
      <c r="Z3100" s="4">
        <v>35</v>
      </c>
      <c r="AA3100" s="4">
        <v>35</v>
      </c>
      <c r="AB3100" s="4">
        <v>3</v>
      </c>
      <c r="AC3100" s="4">
        <v>3</v>
      </c>
      <c r="AD3100" s="4">
        <v>116</v>
      </c>
      <c r="AE3100" s="4">
        <v>118</v>
      </c>
      <c r="AF3100" s="4">
        <v>1</v>
      </c>
      <c r="AG3100" s="4">
        <v>1</v>
      </c>
      <c r="AH3100" s="4">
        <v>95</v>
      </c>
      <c r="AI3100" s="4">
        <v>97</v>
      </c>
      <c r="AJ3100" s="4">
        <v>17</v>
      </c>
      <c r="AK3100" s="4">
        <v>17</v>
      </c>
      <c r="AL3100" s="4">
        <v>55</v>
      </c>
      <c r="AM3100" s="4">
        <v>56</v>
      </c>
      <c r="AN3100" s="4">
        <v>0</v>
      </c>
      <c r="AO3100" s="4">
        <v>0</v>
      </c>
      <c r="AP3100" s="4">
        <v>24</v>
      </c>
      <c r="AQ3100" s="4">
        <v>24</v>
      </c>
      <c r="AR3100" s="3" t="s">
        <v>63</v>
      </c>
      <c r="AS3100" s="3" t="s">
        <v>63</v>
      </c>
      <c r="AT3100" s="3" t="s">
        <v>62</v>
      </c>
      <c r="AU3100" s="6" t="str">
        <f>HYPERLINK("http://catalog.hathitrust.org/Record/001059950","HathiTrust Record")</f>
        <v>HathiTrust Record</v>
      </c>
      <c r="AV3100" s="6" t="str">
        <f>HYPERLINK("http://mcgill.on.worldcat.org/oclc/321291","Catalog Record")</f>
        <v>Catalog Record</v>
      </c>
      <c r="AW3100" s="6" t="str">
        <f>HYPERLINK("http://www.worldcat.org/oclc/321291","WorldCat Record")</f>
        <v>WorldCat Record</v>
      </c>
      <c r="AX3100" s="3" t="s">
        <v>25823</v>
      </c>
      <c r="AY3100" s="3" t="s">
        <v>25824</v>
      </c>
      <c r="AZ3100" s="3" t="s">
        <v>25825</v>
      </c>
      <c r="BA3100" s="3" t="s">
        <v>25825</v>
      </c>
      <c r="BB3100" s="3" t="s">
        <v>25826</v>
      </c>
      <c r="BC3100" s="3" t="s">
        <v>82</v>
      </c>
      <c r="BD3100" s="3" t="s">
        <v>70</v>
      </c>
      <c r="BF3100" s="3" t="s">
        <v>25826</v>
      </c>
      <c r="BG3100" s="3" t="s">
        <v>25827</v>
      </c>
    </row>
    <row r="3101" spans="1:59" ht="75" x14ac:dyDescent="0.25">
      <c r="A3101" s="2" t="s">
        <v>59</v>
      </c>
      <c r="B3101" s="2" t="s">
        <v>60</v>
      </c>
      <c r="C3101" s="2" t="s">
        <v>25819</v>
      </c>
      <c r="D3101" s="2" t="s">
        <v>25820</v>
      </c>
      <c r="E3101" s="2" t="s">
        <v>25821</v>
      </c>
      <c r="G3101" s="3" t="s">
        <v>63</v>
      </c>
      <c r="I3101" s="3" t="s">
        <v>62</v>
      </c>
      <c r="J3101" s="3" t="s">
        <v>63</v>
      </c>
      <c r="K3101" s="3" t="s">
        <v>64</v>
      </c>
      <c r="L3101" s="2" t="s">
        <v>3951</v>
      </c>
      <c r="M3101" s="2" t="s">
        <v>25822</v>
      </c>
      <c r="N3101" s="3" t="s">
        <v>2225</v>
      </c>
      <c r="P3101" s="3" t="s">
        <v>66</v>
      </c>
      <c r="R3101" s="3" t="s">
        <v>67</v>
      </c>
      <c r="S3101" s="4">
        <v>7</v>
      </c>
      <c r="T3101" s="4">
        <v>14</v>
      </c>
      <c r="U3101" s="5" t="s">
        <v>15128</v>
      </c>
      <c r="V3101" s="5" t="s">
        <v>8311</v>
      </c>
      <c r="W3101" s="5" t="s">
        <v>69</v>
      </c>
      <c r="X3101" s="5" t="s">
        <v>69</v>
      </c>
      <c r="Y3101" s="4">
        <v>661</v>
      </c>
      <c r="Z3101" s="4">
        <v>35</v>
      </c>
      <c r="AA3101" s="4">
        <v>35</v>
      </c>
      <c r="AB3101" s="4">
        <v>3</v>
      </c>
      <c r="AC3101" s="4">
        <v>3</v>
      </c>
      <c r="AD3101" s="4">
        <v>116</v>
      </c>
      <c r="AE3101" s="4">
        <v>118</v>
      </c>
      <c r="AF3101" s="4">
        <v>1</v>
      </c>
      <c r="AG3101" s="4">
        <v>1</v>
      </c>
      <c r="AH3101" s="4">
        <v>95</v>
      </c>
      <c r="AI3101" s="4">
        <v>97</v>
      </c>
      <c r="AJ3101" s="4">
        <v>17</v>
      </c>
      <c r="AK3101" s="4">
        <v>17</v>
      </c>
      <c r="AL3101" s="4">
        <v>55</v>
      </c>
      <c r="AM3101" s="4">
        <v>56</v>
      </c>
      <c r="AN3101" s="4">
        <v>0</v>
      </c>
      <c r="AO3101" s="4">
        <v>0</v>
      </c>
      <c r="AP3101" s="4">
        <v>24</v>
      </c>
      <c r="AQ3101" s="4">
        <v>24</v>
      </c>
      <c r="AR3101" s="3" t="s">
        <v>63</v>
      </c>
      <c r="AS3101" s="3" t="s">
        <v>63</v>
      </c>
      <c r="AT3101" s="3" t="s">
        <v>62</v>
      </c>
      <c r="AU3101" s="6" t="str">
        <f>HYPERLINK("http://catalog.hathitrust.org/Record/001059950","HathiTrust Record")</f>
        <v>HathiTrust Record</v>
      </c>
      <c r="AV3101" s="6" t="str">
        <f>HYPERLINK("http://mcgill.on.worldcat.org/oclc/321291","Catalog Record")</f>
        <v>Catalog Record</v>
      </c>
      <c r="AW3101" s="6" t="str">
        <f>HYPERLINK("http://www.worldcat.org/oclc/321291","WorldCat Record")</f>
        <v>WorldCat Record</v>
      </c>
      <c r="AX3101" s="3" t="s">
        <v>25823</v>
      </c>
      <c r="AY3101" s="3" t="s">
        <v>25824</v>
      </c>
      <c r="AZ3101" s="3" t="s">
        <v>25825</v>
      </c>
      <c r="BA3101" s="3" t="s">
        <v>25825</v>
      </c>
      <c r="BB3101" s="3" t="s">
        <v>25828</v>
      </c>
      <c r="BC3101" s="3" t="s">
        <v>82</v>
      </c>
      <c r="BD3101" s="3" t="s">
        <v>70</v>
      </c>
      <c r="BF3101" s="3" t="s">
        <v>25828</v>
      </c>
      <c r="BG3101" s="3" t="s">
        <v>25829</v>
      </c>
    </row>
    <row r="3102" spans="1:59" ht="75" x14ac:dyDescent="0.25">
      <c r="A3102" s="2" t="s">
        <v>59</v>
      </c>
      <c r="B3102" s="2" t="s">
        <v>60</v>
      </c>
      <c r="C3102" s="2" t="s">
        <v>25830</v>
      </c>
      <c r="D3102" s="2" t="s">
        <v>25831</v>
      </c>
      <c r="E3102" s="2" t="s">
        <v>25832</v>
      </c>
      <c r="G3102" s="3" t="s">
        <v>63</v>
      </c>
      <c r="I3102" s="3" t="s">
        <v>63</v>
      </c>
      <c r="J3102" s="3" t="s">
        <v>63</v>
      </c>
      <c r="K3102" s="3" t="s">
        <v>64</v>
      </c>
      <c r="L3102" s="2" t="s">
        <v>3951</v>
      </c>
      <c r="M3102" s="2" t="s">
        <v>25833</v>
      </c>
      <c r="N3102" s="3" t="s">
        <v>706</v>
      </c>
      <c r="P3102" s="3" t="s">
        <v>66</v>
      </c>
      <c r="R3102" s="3" t="s">
        <v>67</v>
      </c>
      <c r="S3102" s="4">
        <v>23</v>
      </c>
      <c r="T3102" s="4">
        <v>23</v>
      </c>
      <c r="U3102" s="5" t="s">
        <v>25834</v>
      </c>
      <c r="V3102" s="5" t="s">
        <v>25834</v>
      </c>
      <c r="W3102" s="5" t="s">
        <v>69</v>
      </c>
      <c r="X3102" s="5" t="s">
        <v>69</v>
      </c>
      <c r="Y3102" s="4">
        <v>191</v>
      </c>
      <c r="Z3102" s="4">
        <v>11</v>
      </c>
      <c r="AA3102" s="4">
        <v>13</v>
      </c>
      <c r="AB3102" s="4">
        <v>1</v>
      </c>
      <c r="AC3102" s="4">
        <v>1</v>
      </c>
      <c r="AD3102" s="4">
        <v>61</v>
      </c>
      <c r="AE3102" s="4">
        <v>65</v>
      </c>
      <c r="AF3102" s="4">
        <v>0</v>
      </c>
      <c r="AG3102" s="4">
        <v>0</v>
      </c>
      <c r="AH3102" s="4">
        <v>57</v>
      </c>
      <c r="AI3102" s="4">
        <v>60</v>
      </c>
      <c r="AJ3102" s="4">
        <v>8</v>
      </c>
      <c r="AK3102" s="4">
        <v>10</v>
      </c>
      <c r="AL3102" s="4">
        <v>34</v>
      </c>
      <c r="AM3102" s="4">
        <v>34</v>
      </c>
      <c r="AN3102" s="4">
        <v>0</v>
      </c>
      <c r="AO3102" s="4">
        <v>0</v>
      </c>
      <c r="AP3102" s="4">
        <v>8</v>
      </c>
      <c r="AQ3102" s="4">
        <v>10</v>
      </c>
      <c r="AR3102" s="3" t="s">
        <v>63</v>
      </c>
      <c r="AS3102" s="3" t="s">
        <v>63</v>
      </c>
      <c r="AT3102" s="3" t="s">
        <v>63</v>
      </c>
      <c r="AV3102" s="6" t="str">
        <f>HYPERLINK("http://mcgill.on.worldcat.org/oclc/14408242","Catalog Record")</f>
        <v>Catalog Record</v>
      </c>
      <c r="AW3102" s="6" t="str">
        <f>HYPERLINK("http://www.worldcat.org/oclc/14408242","WorldCat Record")</f>
        <v>WorldCat Record</v>
      </c>
      <c r="AX3102" s="3" t="s">
        <v>25835</v>
      </c>
      <c r="AY3102" s="3" t="s">
        <v>25836</v>
      </c>
      <c r="AZ3102" s="3" t="s">
        <v>25837</v>
      </c>
      <c r="BA3102" s="3" t="s">
        <v>25837</v>
      </c>
      <c r="BB3102" s="3" t="s">
        <v>25838</v>
      </c>
      <c r="BC3102" s="3" t="s">
        <v>82</v>
      </c>
      <c r="BD3102" s="3" t="s">
        <v>70</v>
      </c>
      <c r="BE3102" s="3" t="s">
        <v>25839</v>
      </c>
      <c r="BF3102" s="3" t="s">
        <v>25838</v>
      </c>
      <c r="BG3102" s="3" t="s">
        <v>25840</v>
      </c>
    </row>
    <row r="3103" spans="1:59" ht="75" x14ac:dyDescent="0.25">
      <c r="A3103" s="2" t="s">
        <v>59</v>
      </c>
      <c r="B3103" s="2" t="s">
        <v>60</v>
      </c>
      <c r="C3103" s="2" t="s">
        <v>25841</v>
      </c>
      <c r="D3103" s="2" t="s">
        <v>25842</v>
      </c>
      <c r="E3103" s="2" t="s">
        <v>25843</v>
      </c>
      <c r="G3103" s="3" t="s">
        <v>63</v>
      </c>
      <c r="I3103" s="3" t="s">
        <v>63</v>
      </c>
      <c r="J3103" s="3" t="s">
        <v>62</v>
      </c>
      <c r="K3103" s="3" t="s">
        <v>64</v>
      </c>
      <c r="L3103" s="2" t="s">
        <v>3951</v>
      </c>
      <c r="M3103" s="2" t="s">
        <v>25844</v>
      </c>
      <c r="N3103" s="3" t="s">
        <v>693</v>
      </c>
      <c r="P3103" s="3" t="s">
        <v>66</v>
      </c>
      <c r="Q3103" s="2" t="s">
        <v>20292</v>
      </c>
      <c r="R3103" s="3" t="s">
        <v>67</v>
      </c>
      <c r="S3103" s="4">
        <v>3</v>
      </c>
      <c r="T3103" s="4">
        <v>3</v>
      </c>
      <c r="U3103" s="5" t="s">
        <v>15471</v>
      </c>
      <c r="V3103" s="5" t="s">
        <v>15471</v>
      </c>
      <c r="W3103" s="5" t="s">
        <v>69</v>
      </c>
      <c r="X3103" s="5" t="s">
        <v>69</v>
      </c>
      <c r="Y3103" s="4">
        <v>169</v>
      </c>
      <c r="Z3103" s="4">
        <v>7</v>
      </c>
      <c r="AA3103" s="4">
        <v>47</v>
      </c>
      <c r="AB3103" s="4">
        <v>1</v>
      </c>
      <c r="AC3103" s="4">
        <v>3</v>
      </c>
      <c r="AD3103" s="4">
        <v>45</v>
      </c>
      <c r="AE3103" s="4">
        <v>137</v>
      </c>
      <c r="AF3103" s="4">
        <v>0</v>
      </c>
      <c r="AG3103" s="4">
        <v>2</v>
      </c>
      <c r="AH3103" s="4">
        <v>42</v>
      </c>
      <c r="AI3103" s="4">
        <v>112</v>
      </c>
      <c r="AJ3103" s="4">
        <v>4</v>
      </c>
      <c r="AK3103" s="4">
        <v>25</v>
      </c>
      <c r="AL3103" s="4">
        <v>25</v>
      </c>
      <c r="AM3103" s="4">
        <v>62</v>
      </c>
      <c r="AN3103" s="4">
        <v>0</v>
      </c>
      <c r="AO3103" s="4">
        <v>0</v>
      </c>
      <c r="AP3103" s="4">
        <v>4</v>
      </c>
      <c r="AQ3103" s="4">
        <v>30</v>
      </c>
      <c r="AR3103" s="3" t="s">
        <v>63</v>
      </c>
      <c r="AS3103" s="3" t="s">
        <v>63</v>
      </c>
      <c r="AT3103" s="3" t="s">
        <v>63</v>
      </c>
      <c r="AV3103" s="6" t="str">
        <f>HYPERLINK("http://mcgill.on.worldcat.org/oclc/55738162","Catalog Record")</f>
        <v>Catalog Record</v>
      </c>
      <c r="AW3103" s="6" t="str">
        <f>HYPERLINK("http://www.worldcat.org/oclc/55738162","WorldCat Record")</f>
        <v>WorldCat Record</v>
      </c>
      <c r="AX3103" s="3" t="s">
        <v>25845</v>
      </c>
      <c r="AY3103" s="3" t="s">
        <v>25846</v>
      </c>
      <c r="AZ3103" s="3" t="s">
        <v>25847</v>
      </c>
      <c r="BA3103" s="3" t="s">
        <v>25847</v>
      </c>
      <c r="BB3103" s="3" t="s">
        <v>25848</v>
      </c>
      <c r="BC3103" s="3" t="s">
        <v>82</v>
      </c>
      <c r="BD3103" s="3" t="s">
        <v>538</v>
      </c>
      <c r="BE3103" s="3" t="s">
        <v>25849</v>
      </c>
      <c r="BF3103" s="3" t="s">
        <v>25848</v>
      </c>
      <c r="BG3103" s="3" t="s">
        <v>25850</v>
      </c>
    </row>
    <row r="3104" spans="1:59" ht="75" x14ac:dyDescent="0.25">
      <c r="A3104" s="2" t="s">
        <v>59</v>
      </c>
      <c r="B3104" s="2" t="s">
        <v>60</v>
      </c>
      <c r="C3104" s="2" t="s">
        <v>25851</v>
      </c>
      <c r="D3104" s="2" t="s">
        <v>25852</v>
      </c>
      <c r="E3104" s="2" t="s">
        <v>25853</v>
      </c>
      <c r="G3104" s="3" t="s">
        <v>63</v>
      </c>
      <c r="I3104" s="3" t="s">
        <v>63</v>
      </c>
      <c r="J3104" s="3" t="s">
        <v>62</v>
      </c>
      <c r="K3104" s="3" t="s">
        <v>64</v>
      </c>
      <c r="L3104" s="2" t="s">
        <v>3951</v>
      </c>
      <c r="M3104" s="2" t="s">
        <v>25854</v>
      </c>
      <c r="N3104" s="3" t="s">
        <v>3640</v>
      </c>
      <c r="P3104" s="3" t="s">
        <v>66</v>
      </c>
      <c r="R3104" s="3" t="s">
        <v>67</v>
      </c>
      <c r="S3104" s="4">
        <v>24</v>
      </c>
      <c r="T3104" s="4">
        <v>24</v>
      </c>
      <c r="U3104" s="5" t="s">
        <v>12287</v>
      </c>
      <c r="V3104" s="5" t="s">
        <v>12287</v>
      </c>
      <c r="W3104" s="5" t="s">
        <v>69</v>
      </c>
      <c r="X3104" s="5" t="s">
        <v>69</v>
      </c>
      <c r="Y3104" s="4">
        <v>28</v>
      </c>
      <c r="Z3104" s="4">
        <v>1</v>
      </c>
      <c r="AA3104" s="4">
        <v>47</v>
      </c>
      <c r="AB3104" s="4">
        <v>1</v>
      </c>
      <c r="AC3104" s="4">
        <v>3</v>
      </c>
      <c r="AD3104" s="4">
        <v>16</v>
      </c>
      <c r="AE3104" s="4">
        <v>137</v>
      </c>
      <c r="AF3104" s="4">
        <v>0</v>
      </c>
      <c r="AG3104" s="4">
        <v>2</v>
      </c>
      <c r="AH3104" s="4">
        <v>16</v>
      </c>
      <c r="AI3104" s="4">
        <v>112</v>
      </c>
      <c r="AJ3104" s="4">
        <v>0</v>
      </c>
      <c r="AK3104" s="4">
        <v>25</v>
      </c>
      <c r="AL3104" s="4">
        <v>14</v>
      </c>
      <c r="AM3104" s="4">
        <v>62</v>
      </c>
      <c r="AN3104" s="4">
        <v>0</v>
      </c>
      <c r="AO3104" s="4">
        <v>0</v>
      </c>
      <c r="AP3104" s="4">
        <v>0</v>
      </c>
      <c r="AQ3104" s="4">
        <v>30</v>
      </c>
      <c r="AR3104" s="3" t="s">
        <v>63</v>
      </c>
      <c r="AS3104" s="3" t="s">
        <v>63</v>
      </c>
      <c r="AT3104" s="3" t="s">
        <v>62</v>
      </c>
      <c r="AU3104" s="6" t="str">
        <f>HYPERLINK("http://catalog.hathitrust.org/Record/000643099","HathiTrust Record")</f>
        <v>HathiTrust Record</v>
      </c>
      <c r="AV3104" s="6" t="str">
        <f>HYPERLINK("http://mcgill.on.worldcat.org/oclc/11339594","Catalog Record")</f>
        <v>Catalog Record</v>
      </c>
      <c r="AW3104" s="6" t="str">
        <f>HYPERLINK("http://www.worldcat.org/oclc/11339594","WorldCat Record")</f>
        <v>WorldCat Record</v>
      </c>
      <c r="AX3104" s="3" t="s">
        <v>25845</v>
      </c>
      <c r="AY3104" s="3" t="s">
        <v>25855</v>
      </c>
      <c r="AZ3104" s="3" t="s">
        <v>25856</v>
      </c>
      <c r="BA3104" s="3" t="s">
        <v>25856</v>
      </c>
      <c r="BB3104" s="3" t="s">
        <v>25857</v>
      </c>
      <c r="BC3104" s="3" t="s">
        <v>82</v>
      </c>
      <c r="BD3104" s="3" t="s">
        <v>70</v>
      </c>
      <c r="BE3104" s="3" t="s">
        <v>25858</v>
      </c>
      <c r="BF3104" s="3" t="s">
        <v>25857</v>
      </c>
      <c r="BG3104" s="3" t="s">
        <v>25859</v>
      </c>
    </row>
    <row r="3105" spans="1:59" ht="75" x14ac:dyDescent="0.25">
      <c r="A3105" s="2" t="s">
        <v>59</v>
      </c>
      <c r="B3105" s="2" t="s">
        <v>60</v>
      </c>
      <c r="C3105" s="2" t="s">
        <v>25860</v>
      </c>
      <c r="D3105" s="2" t="s">
        <v>25861</v>
      </c>
      <c r="E3105" s="2" t="s">
        <v>25862</v>
      </c>
      <c r="G3105" s="3" t="s">
        <v>63</v>
      </c>
      <c r="I3105" s="3" t="s">
        <v>63</v>
      </c>
      <c r="J3105" s="3" t="s">
        <v>63</v>
      </c>
      <c r="K3105" s="3" t="s">
        <v>64</v>
      </c>
      <c r="L3105" s="2" t="s">
        <v>3951</v>
      </c>
      <c r="M3105" s="2" t="s">
        <v>25863</v>
      </c>
      <c r="N3105" s="3" t="s">
        <v>668</v>
      </c>
      <c r="P3105" s="3" t="s">
        <v>66</v>
      </c>
      <c r="R3105" s="3" t="s">
        <v>67</v>
      </c>
      <c r="S3105" s="4">
        <v>8</v>
      </c>
      <c r="T3105" s="4">
        <v>8</v>
      </c>
      <c r="U3105" s="5" t="s">
        <v>12287</v>
      </c>
      <c r="V3105" s="5" t="s">
        <v>12287</v>
      </c>
      <c r="W3105" s="5" t="s">
        <v>69</v>
      </c>
      <c r="X3105" s="5" t="s">
        <v>69</v>
      </c>
      <c r="Y3105" s="4">
        <v>273</v>
      </c>
      <c r="Z3105" s="4">
        <v>17</v>
      </c>
      <c r="AA3105" s="4">
        <v>17</v>
      </c>
      <c r="AB3105" s="4">
        <v>1</v>
      </c>
      <c r="AC3105" s="4">
        <v>1</v>
      </c>
      <c r="AD3105" s="4">
        <v>102</v>
      </c>
      <c r="AE3105" s="4">
        <v>102</v>
      </c>
      <c r="AF3105" s="4">
        <v>0</v>
      </c>
      <c r="AG3105" s="4">
        <v>0</v>
      </c>
      <c r="AH3105" s="4">
        <v>94</v>
      </c>
      <c r="AI3105" s="4">
        <v>94</v>
      </c>
      <c r="AJ3105" s="4">
        <v>13</v>
      </c>
      <c r="AK3105" s="4">
        <v>13</v>
      </c>
      <c r="AL3105" s="4">
        <v>57</v>
      </c>
      <c r="AM3105" s="4">
        <v>57</v>
      </c>
      <c r="AN3105" s="4">
        <v>0</v>
      </c>
      <c r="AO3105" s="4">
        <v>0</v>
      </c>
      <c r="AP3105" s="4">
        <v>13</v>
      </c>
      <c r="AQ3105" s="4">
        <v>13</v>
      </c>
      <c r="AR3105" s="3" t="s">
        <v>63</v>
      </c>
      <c r="AS3105" s="3" t="s">
        <v>63</v>
      </c>
      <c r="AT3105" s="3" t="s">
        <v>62</v>
      </c>
      <c r="AU3105" s="6" t="str">
        <f>HYPERLINK("http://catalog.hathitrust.org/Record/002205359","HathiTrust Record")</f>
        <v>HathiTrust Record</v>
      </c>
      <c r="AV3105" s="6" t="str">
        <f>HYPERLINK("http://mcgill.on.worldcat.org/oclc/20935758","Catalog Record")</f>
        <v>Catalog Record</v>
      </c>
      <c r="AW3105" s="6" t="str">
        <f>HYPERLINK("http://www.worldcat.org/oclc/20935758","WorldCat Record")</f>
        <v>WorldCat Record</v>
      </c>
      <c r="AX3105" s="3" t="s">
        <v>25864</v>
      </c>
      <c r="AY3105" s="3" t="s">
        <v>25865</v>
      </c>
      <c r="AZ3105" s="3" t="s">
        <v>25866</v>
      </c>
      <c r="BA3105" s="3" t="s">
        <v>25866</v>
      </c>
      <c r="BB3105" s="3" t="s">
        <v>25867</v>
      </c>
      <c r="BC3105" s="3" t="s">
        <v>82</v>
      </c>
      <c r="BD3105" s="3" t="s">
        <v>70</v>
      </c>
      <c r="BE3105" s="3" t="s">
        <v>25868</v>
      </c>
      <c r="BF3105" s="3" t="s">
        <v>25867</v>
      </c>
      <c r="BG3105" s="3" t="s">
        <v>25869</v>
      </c>
    </row>
    <row r="3106" spans="1:59" ht="90" x14ac:dyDescent="0.25">
      <c r="A3106" s="2" t="s">
        <v>59</v>
      </c>
      <c r="B3106" s="2" t="s">
        <v>60</v>
      </c>
      <c r="C3106" s="2" t="s">
        <v>25870</v>
      </c>
      <c r="D3106" s="2" t="s">
        <v>25871</v>
      </c>
      <c r="E3106" s="2" t="s">
        <v>25872</v>
      </c>
      <c r="G3106" s="3" t="s">
        <v>63</v>
      </c>
      <c r="I3106" s="3" t="s">
        <v>63</v>
      </c>
      <c r="J3106" s="3" t="s">
        <v>63</v>
      </c>
      <c r="K3106" s="3" t="s">
        <v>64</v>
      </c>
      <c r="L3106" s="2" t="s">
        <v>3951</v>
      </c>
      <c r="M3106" s="2" t="s">
        <v>25873</v>
      </c>
      <c r="N3106" s="3" t="s">
        <v>455</v>
      </c>
      <c r="P3106" s="3" t="s">
        <v>548</v>
      </c>
      <c r="R3106" s="3" t="s">
        <v>67</v>
      </c>
      <c r="S3106" s="4">
        <v>3</v>
      </c>
      <c r="T3106" s="4">
        <v>3</v>
      </c>
      <c r="U3106" s="5" t="s">
        <v>8311</v>
      </c>
      <c r="V3106" s="5" t="s">
        <v>8311</v>
      </c>
      <c r="W3106" s="5" t="s">
        <v>69</v>
      </c>
      <c r="X3106" s="5" t="s">
        <v>69</v>
      </c>
      <c r="Y3106" s="4">
        <v>5</v>
      </c>
      <c r="Z3106" s="4">
        <v>2</v>
      </c>
      <c r="AA3106" s="4">
        <v>6</v>
      </c>
      <c r="AB3106" s="4">
        <v>1</v>
      </c>
      <c r="AC3106" s="4">
        <v>4</v>
      </c>
      <c r="AD3106" s="4">
        <v>2</v>
      </c>
      <c r="AE3106" s="4">
        <v>14</v>
      </c>
      <c r="AF3106" s="4">
        <v>0</v>
      </c>
      <c r="AG3106" s="4">
        <v>2</v>
      </c>
      <c r="AH3106" s="4">
        <v>1</v>
      </c>
      <c r="AI3106" s="4">
        <v>10</v>
      </c>
      <c r="AJ3106" s="4">
        <v>1</v>
      </c>
      <c r="AK3106" s="4">
        <v>3</v>
      </c>
      <c r="AL3106" s="4">
        <v>1</v>
      </c>
      <c r="AM3106" s="4">
        <v>9</v>
      </c>
      <c r="AN3106" s="4">
        <v>0</v>
      </c>
      <c r="AO3106" s="4">
        <v>0</v>
      </c>
      <c r="AP3106" s="4">
        <v>0</v>
      </c>
      <c r="AQ3106" s="4">
        <v>2</v>
      </c>
      <c r="AR3106" s="3" t="s">
        <v>63</v>
      </c>
      <c r="AS3106" s="3" t="s">
        <v>63</v>
      </c>
      <c r="AT3106" s="3" t="s">
        <v>63</v>
      </c>
      <c r="AV3106" s="6" t="str">
        <f>HYPERLINK("http://mcgill.on.worldcat.org/oclc/35245117","Catalog Record")</f>
        <v>Catalog Record</v>
      </c>
      <c r="AW3106" s="6" t="str">
        <f>HYPERLINK("http://www.worldcat.org/oclc/35245117","WorldCat Record")</f>
        <v>WorldCat Record</v>
      </c>
      <c r="AX3106" s="3" t="s">
        <v>25874</v>
      </c>
      <c r="AY3106" s="3" t="s">
        <v>25875</v>
      </c>
      <c r="AZ3106" s="3" t="s">
        <v>25876</v>
      </c>
      <c r="BA3106" s="3" t="s">
        <v>25876</v>
      </c>
      <c r="BB3106" s="3" t="s">
        <v>25877</v>
      </c>
      <c r="BC3106" s="3" t="s">
        <v>82</v>
      </c>
      <c r="BD3106" s="3" t="s">
        <v>70</v>
      </c>
      <c r="BE3106" s="3" t="s">
        <v>25878</v>
      </c>
      <c r="BF3106" s="3" t="s">
        <v>25877</v>
      </c>
      <c r="BG3106" s="3" t="s">
        <v>25879</v>
      </c>
    </row>
    <row r="3107" spans="1:59" ht="75" x14ac:dyDescent="0.25">
      <c r="A3107" s="2" t="s">
        <v>59</v>
      </c>
      <c r="B3107" s="2" t="s">
        <v>60</v>
      </c>
      <c r="C3107" s="2" t="s">
        <v>25880</v>
      </c>
      <c r="D3107" s="2" t="s">
        <v>25881</v>
      </c>
      <c r="E3107" s="2" t="s">
        <v>25882</v>
      </c>
      <c r="G3107" s="3" t="s">
        <v>63</v>
      </c>
      <c r="I3107" s="3" t="s">
        <v>62</v>
      </c>
      <c r="J3107" s="3" t="s">
        <v>63</v>
      </c>
      <c r="K3107" s="3" t="s">
        <v>64</v>
      </c>
      <c r="L3107" s="2" t="s">
        <v>25883</v>
      </c>
      <c r="M3107" s="2" t="s">
        <v>25884</v>
      </c>
      <c r="N3107" s="3" t="s">
        <v>681</v>
      </c>
      <c r="O3107" s="2" t="s">
        <v>976</v>
      </c>
      <c r="P3107" s="3" t="s">
        <v>66</v>
      </c>
      <c r="R3107" s="3" t="s">
        <v>67</v>
      </c>
      <c r="S3107" s="4">
        <v>29</v>
      </c>
      <c r="T3107" s="4">
        <v>58</v>
      </c>
      <c r="U3107" s="5" t="s">
        <v>25680</v>
      </c>
      <c r="V3107" s="5" t="s">
        <v>1468</v>
      </c>
      <c r="W3107" s="5" t="s">
        <v>69</v>
      </c>
      <c r="X3107" s="5" t="s">
        <v>69</v>
      </c>
      <c r="Y3107" s="4">
        <v>1168</v>
      </c>
      <c r="Z3107" s="4">
        <v>54</v>
      </c>
      <c r="AA3107" s="4">
        <v>71</v>
      </c>
      <c r="AB3107" s="4">
        <v>4</v>
      </c>
      <c r="AC3107" s="4">
        <v>4</v>
      </c>
      <c r="AD3107" s="4">
        <v>132</v>
      </c>
      <c r="AE3107" s="4">
        <v>147</v>
      </c>
      <c r="AF3107" s="4">
        <v>2</v>
      </c>
      <c r="AG3107" s="4">
        <v>2</v>
      </c>
      <c r="AH3107" s="4">
        <v>103</v>
      </c>
      <c r="AI3107" s="4">
        <v>111</v>
      </c>
      <c r="AJ3107" s="4">
        <v>22</v>
      </c>
      <c r="AK3107" s="4">
        <v>24</v>
      </c>
      <c r="AL3107" s="4">
        <v>58</v>
      </c>
      <c r="AM3107" s="4">
        <v>60</v>
      </c>
      <c r="AN3107" s="4">
        <v>0</v>
      </c>
      <c r="AO3107" s="4">
        <v>1</v>
      </c>
      <c r="AP3107" s="4">
        <v>32</v>
      </c>
      <c r="AQ3107" s="4">
        <v>41</v>
      </c>
      <c r="AR3107" s="3" t="s">
        <v>63</v>
      </c>
      <c r="AS3107" s="3" t="s">
        <v>63</v>
      </c>
      <c r="AT3107" s="3" t="s">
        <v>62</v>
      </c>
      <c r="AU3107" s="6" t="str">
        <f>HYPERLINK("http://catalog.hathitrust.org/Record/001110445","HathiTrust Record")</f>
        <v>HathiTrust Record</v>
      </c>
      <c r="AV3107" s="6" t="str">
        <f>HYPERLINK("http://mcgill.on.worldcat.org/oclc/98196","Catalog Record")</f>
        <v>Catalog Record</v>
      </c>
      <c r="AW3107" s="6" t="str">
        <f>HYPERLINK("http://www.worldcat.org/oclc/98196","WorldCat Record")</f>
        <v>WorldCat Record</v>
      </c>
      <c r="AX3107" s="3" t="s">
        <v>25885</v>
      </c>
      <c r="AY3107" s="3" t="s">
        <v>25886</v>
      </c>
      <c r="AZ3107" s="3" t="s">
        <v>25887</v>
      </c>
      <c r="BA3107" s="3" t="s">
        <v>25887</v>
      </c>
      <c r="BB3107" s="3" t="s">
        <v>25888</v>
      </c>
      <c r="BC3107" s="3" t="s">
        <v>82</v>
      </c>
      <c r="BD3107" s="3" t="s">
        <v>70</v>
      </c>
      <c r="BE3107" s="3" t="s">
        <v>25889</v>
      </c>
      <c r="BF3107" s="3" t="s">
        <v>25888</v>
      </c>
      <c r="BG3107" s="3" t="s">
        <v>25890</v>
      </c>
    </row>
    <row r="3108" spans="1:59" ht="75" x14ac:dyDescent="0.25">
      <c r="A3108" s="2" t="s">
        <v>59</v>
      </c>
      <c r="B3108" s="2" t="s">
        <v>60</v>
      </c>
      <c r="C3108" s="2" t="s">
        <v>25880</v>
      </c>
      <c r="D3108" s="2" t="s">
        <v>25881</v>
      </c>
      <c r="E3108" s="2" t="s">
        <v>25882</v>
      </c>
      <c r="G3108" s="3" t="s">
        <v>63</v>
      </c>
      <c r="I3108" s="3" t="s">
        <v>62</v>
      </c>
      <c r="J3108" s="3" t="s">
        <v>63</v>
      </c>
      <c r="K3108" s="3" t="s">
        <v>64</v>
      </c>
      <c r="L3108" s="2" t="s">
        <v>25883</v>
      </c>
      <c r="M3108" s="2" t="s">
        <v>25884</v>
      </c>
      <c r="N3108" s="3" t="s">
        <v>681</v>
      </c>
      <c r="O3108" s="2" t="s">
        <v>976</v>
      </c>
      <c r="P3108" s="3" t="s">
        <v>66</v>
      </c>
      <c r="R3108" s="3" t="s">
        <v>67</v>
      </c>
      <c r="S3108" s="4">
        <v>15</v>
      </c>
      <c r="T3108" s="4">
        <v>58</v>
      </c>
      <c r="U3108" s="5" t="s">
        <v>6757</v>
      </c>
      <c r="V3108" s="5" t="s">
        <v>1468</v>
      </c>
      <c r="W3108" s="5" t="s">
        <v>69</v>
      </c>
      <c r="X3108" s="5" t="s">
        <v>69</v>
      </c>
      <c r="Y3108" s="4">
        <v>1168</v>
      </c>
      <c r="Z3108" s="4">
        <v>54</v>
      </c>
      <c r="AA3108" s="4">
        <v>71</v>
      </c>
      <c r="AB3108" s="4">
        <v>4</v>
      </c>
      <c r="AC3108" s="4">
        <v>4</v>
      </c>
      <c r="AD3108" s="4">
        <v>132</v>
      </c>
      <c r="AE3108" s="4">
        <v>147</v>
      </c>
      <c r="AF3108" s="4">
        <v>2</v>
      </c>
      <c r="AG3108" s="4">
        <v>2</v>
      </c>
      <c r="AH3108" s="4">
        <v>103</v>
      </c>
      <c r="AI3108" s="4">
        <v>111</v>
      </c>
      <c r="AJ3108" s="4">
        <v>22</v>
      </c>
      <c r="AK3108" s="4">
        <v>24</v>
      </c>
      <c r="AL3108" s="4">
        <v>58</v>
      </c>
      <c r="AM3108" s="4">
        <v>60</v>
      </c>
      <c r="AN3108" s="4">
        <v>0</v>
      </c>
      <c r="AO3108" s="4">
        <v>1</v>
      </c>
      <c r="AP3108" s="4">
        <v>32</v>
      </c>
      <c r="AQ3108" s="4">
        <v>41</v>
      </c>
      <c r="AR3108" s="3" t="s">
        <v>63</v>
      </c>
      <c r="AS3108" s="3" t="s">
        <v>63</v>
      </c>
      <c r="AT3108" s="3" t="s">
        <v>62</v>
      </c>
      <c r="AU3108" s="6" t="str">
        <f>HYPERLINK("http://catalog.hathitrust.org/Record/001110445","HathiTrust Record")</f>
        <v>HathiTrust Record</v>
      </c>
      <c r="AV3108" s="6" t="str">
        <f>HYPERLINK("http://mcgill.on.worldcat.org/oclc/98196","Catalog Record")</f>
        <v>Catalog Record</v>
      </c>
      <c r="AW3108" s="6" t="str">
        <f>HYPERLINK("http://www.worldcat.org/oclc/98196","WorldCat Record")</f>
        <v>WorldCat Record</v>
      </c>
      <c r="AX3108" s="3" t="s">
        <v>25885</v>
      </c>
      <c r="AY3108" s="3" t="s">
        <v>25886</v>
      </c>
      <c r="AZ3108" s="3" t="s">
        <v>25887</v>
      </c>
      <c r="BA3108" s="3" t="s">
        <v>25887</v>
      </c>
      <c r="BB3108" s="3" t="s">
        <v>25891</v>
      </c>
      <c r="BC3108" s="3" t="s">
        <v>82</v>
      </c>
      <c r="BD3108" s="3" t="s">
        <v>70</v>
      </c>
      <c r="BE3108" s="3" t="s">
        <v>25889</v>
      </c>
      <c r="BF3108" s="3" t="s">
        <v>25891</v>
      </c>
      <c r="BG3108" s="3" t="s">
        <v>25892</v>
      </c>
    </row>
    <row r="3109" spans="1:59" ht="75" x14ac:dyDescent="0.25">
      <c r="A3109" s="2" t="s">
        <v>59</v>
      </c>
      <c r="B3109" s="2" t="s">
        <v>60</v>
      </c>
      <c r="C3109" s="2" t="s">
        <v>25880</v>
      </c>
      <c r="D3109" s="2" t="s">
        <v>25881</v>
      </c>
      <c r="E3109" s="2" t="s">
        <v>25882</v>
      </c>
      <c r="G3109" s="3" t="s">
        <v>63</v>
      </c>
      <c r="I3109" s="3" t="s">
        <v>62</v>
      </c>
      <c r="J3109" s="3" t="s">
        <v>63</v>
      </c>
      <c r="K3109" s="3" t="s">
        <v>64</v>
      </c>
      <c r="L3109" s="2" t="s">
        <v>25883</v>
      </c>
      <c r="M3109" s="2" t="s">
        <v>25884</v>
      </c>
      <c r="N3109" s="3" t="s">
        <v>681</v>
      </c>
      <c r="O3109" s="2" t="s">
        <v>976</v>
      </c>
      <c r="P3109" s="3" t="s">
        <v>66</v>
      </c>
      <c r="R3109" s="3" t="s">
        <v>67</v>
      </c>
      <c r="S3109" s="4">
        <v>14</v>
      </c>
      <c r="T3109" s="4">
        <v>58</v>
      </c>
      <c r="U3109" s="5" t="s">
        <v>1468</v>
      </c>
      <c r="V3109" s="5" t="s">
        <v>1468</v>
      </c>
      <c r="W3109" s="5" t="s">
        <v>69</v>
      </c>
      <c r="X3109" s="5" t="s">
        <v>69</v>
      </c>
      <c r="Y3109" s="4">
        <v>1168</v>
      </c>
      <c r="Z3109" s="4">
        <v>54</v>
      </c>
      <c r="AA3109" s="4">
        <v>71</v>
      </c>
      <c r="AB3109" s="4">
        <v>4</v>
      </c>
      <c r="AC3109" s="4">
        <v>4</v>
      </c>
      <c r="AD3109" s="4">
        <v>132</v>
      </c>
      <c r="AE3109" s="4">
        <v>147</v>
      </c>
      <c r="AF3109" s="4">
        <v>2</v>
      </c>
      <c r="AG3109" s="4">
        <v>2</v>
      </c>
      <c r="AH3109" s="4">
        <v>103</v>
      </c>
      <c r="AI3109" s="4">
        <v>111</v>
      </c>
      <c r="AJ3109" s="4">
        <v>22</v>
      </c>
      <c r="AK3109" s="4">
        <v>24</v>
      </c>
      <c r="AL3109" s="4">
        <v>58</v>
      </c>
      <c r="AM3109" s="4">
        <v>60</v>
      </c>
      <c r="AN3109" s="4">
        <v>0</v>
      </c>
      <c r="AO3109" s="4">
        <v>1</v>
      </c>
      <c r="AP3109" s="4">
        <v>32</v>
      </c>
      <c r="AQ3109" s="4">
        <v>41</v>
      </c>
      <c r="AR3109" s="3" t="s">
        <v>63</v>
      </c>
      <c r="AS3109" s="3" t="s">
        <v>63</v>
      </c>
      <c r="AT3109" s="3" t="s">
        <v>62</v>
      </c>
      <c r="AU3109" s="6" t="str">
        <f>HYPERLINK("http://catalog.hathitrust.org/Record/001110445","HathiTrust Record")</f>
        <v>HathiTrust Record</v>
      </c>
      <c r="AV3109" s="6" t="str">
        <f>HYPERLINK("http://mcgill.on.worldcat.org/oclc/98196","Catalog Record")</f>
        <v>Catalog Record</v>
      </c>
      <c r="AW3109" s="6" t="str">
        <f>HYPERLINK("http://www.worldcat.org/oclc/98196","WorldCat Record")</f>
        <v>WorldCat Record</v>
      </c>
      <c r="AX3109" s="3" t="s">
        <v>25885</v>
      </c>
      <c r="AY3109" s="3" t="s">
        <v>25886</v>
      </c>
      <c r="AZ3109" s="3" t="s">
        <v>25887</v>
      </c>
      <c r="BA3109" s="3" t="s">
        <v>25887</v>
      </c>
      <c r="BB3109" s="3" t="s">
        <v>25893</v>
      </c>
      <c r="BC3109" s="3" t="s">
        <v>82</v>
      </c>
      <c r="BD3109" s="3" t="s">
        <v>70</v>
      </c>
      <c r="BE3109" s="3" t="s">
        <v>25889</v>
      </c>
      <c r="BF3109" s="3" t="s">
        <v>25893</v>
      </c>
      <c r="BG3109" s="3" t="s">
        <v>25894</v>
      </c>
    </row>
    <row r="3110" spans="1:59" ht="90" x14ac:dyDescent="0.25">
      <c r="A3110" s="2" t="s">
        <v>59</v>
      </c>
      <c r="B3110" s="2" t="s">
        <v>60</v>
      </c>
      <c r="C3110" s="2" t="s">
        <v>25895</v>
      </c>
      <c r="D3110" s="2" t="s">
        <v>25896</v>
      </c>
      <c r="E3110" s="2" t="s">
        <v>25897</v>
      </c>
      <c r="G3110" s="3" t="s">
        <v>63</v>
      </c>
      <c r="I3110" s="3" t="s">
        <v>63</v>
      </c>
      <c r="J3110" s="3" t="s">
        <v>63</v>
      </c>
      <c r="K3110" s="3" t="s">
        <v>64</v>
      </c>
      <c r="L3110" s="2" t="s">
        <v>25898</v>
      </c>
      <c r="M3110" s="2" t="s">
        <v>8159</v>
      </c>
      <c r="N3110" s="3" t="s">
        <v>313</v>
      </c>
      <c r="P3110" s="3" t="s">
        <v>66</v>
      </c>
      <c r="Q3110" s="2" t="s">
        <v>1949</v>
      </c>
      <c r="R3110" s="3" t="s">
        <v>67</v>
      </c>
      <c r="S3110" s="4">
        <v>0</v>
      </c>
      <c r="T3110" s="4">
        <v>0</v>
      </c>
      <c r="W3110" s="5" t="s">
        <v>69</v>
      </c>
      <c r="X3110" s="5" t="s">
        <v>69</v>
      </c>
      <c r="Y3110" s="4">
        <v>198</v>
      </c>
      <c r="Z3110" s="4">
        <v>16</v>
      </c>
      <c r="AA3110" s="4">
        <v>95</v>
      </c>
      <c r="AB3110" s="4">
        <v>1</v>
      </c>
      <c r="AC3110" s="4">
        <v>17</v>
      </c>
      <c r="AD3110" s="4">
        <v>69</v>
      </c>
      <c r="AE3110" s="4">
        <v>128</v>
      </c>
      <c r="AF3110" s="4">
        <v>0</v>
      </c>
      <c r="AG3110" s="4">
        <v>8</v>
      </c>
      <c r="AH3110" s="4">
        <v>64</v>
      </c>
      <c r="AI3110" s="4">
        <v>93</v>
      </c>
      <c r="AJ3110" s="4">
        <v>10</v>
      </c>
      <c r="AK3110" s="4">
        <v>22</v>
      </c>
      <c r="AL3110" s="4">
        <v>40</v>
      </c>
      <c r="AM3110" s="4">
        <v>51</v>
      </c>
      <c r="AN3110" s="4">
        <v>0</v>
      </c>
      <c r="AO3110" s="4">
        <v>0</v>
      </c>
      <c r="AP3110" s="4">
        <v>11</v>
      </c>
      <c r="AQ3110" s="4">
        <v>43</v>
      </c>
      <c r="AR3110" s="3" t="s">
        <v>63</v>
      </c>
      <c r="AS3110" s="3" t="s">
        <v>63</v>
      </c>
      <c r="AT3110" s="3" t="s">
        <v>63</v>
      </c>
      <c r="AV3110" s="6" t="str">
        <f>HYPERLINK("http://mcgill.on.worldcat.org/oclc/496727669","Catalog Record")</f>
        <v>Catalog Record</v>
      </c>
      <c r="AW3110" s="6" t="str">
        <f>HYPERLINK("http://www.worldcat.org/oclc/496727669","WorldCat Record")</f>
        <v>WorldCat Record</v>
      </c>
      <c r="AX3110" s="3" t="s">
        <v>25899</v>
      </c>
      <c r="AY3110" s="3" t="s">
        <v>25900</v>
      </c>
      <c r="AZ3110" s="3" t="s">
        <v>25901</v>
      </c>
      <c r="BA3110" s="3" t="s">
        <v>25901</v>
      </c>
      <c r="BB3110" s="3" t="s">
        <v>25902</v>
      </c>
      <c r="BC3110" s="3" t="s">
        <v>82</v>
      </c>
      <c r="BD3110" s="3" t="s">
        <v>70</v>
      </c>
      <c r="BE3110" s="3" t="s">
        <v>25903</v>
      </c>
      <c r="BF3110" s="3" t="s">
        <v>25902</v>
      </c>
      <c r="BG3110" s="3" t="s">
        <v>25904</v>
      </c>
    </row>
    <row r="3111" spans="1:59" ht="75" x14ac:dyDescent="0.25">
      <c r="A3111" s="2" t="s">
        <v>59</v>
      </c>
      <c r="B3111" s="2" t="s">
        <v>60</v>
      </c>
      <c r="C3111" s="2" t="s">
        <v>25905</v>
      </c>
      <c r="D3111" s="2" t="s">
        <v>25906</v>
      </c>
      <c r="E3111" s="2" t="s">
        <v>25907</v>
      </c>
      <c r="G3111" s="3" t="s">
        <v>63</v>
      </c>
      <c r="I3111" s="3" t="s">
        <v>63</v>
      </c>
      <c r="J3111" s="3" t="s">
        <v>63</v>
      </c>
      <c r="K3111" s="3" t="s">
        <v>64</v>
      </c>
      <c r="L3111" s="2" t="s">
        <v>25883</v>
      </c>
      <c r="M3111" s="2" t="s">
        <v>25908</v>
      </c>
      <c r="N3111" s="3" t="s">
        <v>2535</v>
      </c>
      <c r="P3111" s="3" t="s">
        <v>66</v>
      </c>
      <c r="Q3111" s="2" t="s">
        <v>25909</v>
      </c>
      <c r="R3111" s="3" t="s">
        <v>67</v>
      </c>
      <c r="S3111" s="4">
        <v>3</v>
      </c>
      <c r="T3111" s="4">
        <v>3</v>
      </c>
      <c r="U3111" s="5" t="s">
        <v>19845</v>
      </c>
      <c r="V3111" s="5" t="s">
        <v>19845</v>
      </c>
      <c r="W3111" s="5" t="s">
        <v>69</v>
      </c>
      <c r="X3111" s="5" t="s">
        <v>69</v>
      </c>
      <c r="Y3111" s="4">
        <v>372</v>
      </c>
      <c r="Z3111" s="4">
        <v>26</v>
      </c>
      <c r="AA3111" s="4">
        <v>27</v>
      </c>
      <c r="AB3111" s="4">
        <v>3</v>
      </c>
      <c r="AC3111" s="4">
        <v>3</v>
      </c>
      <c r="AD3111" s="4">
        <v>103</v>
      </c>
      <c r="AE3111" s="4">
        <v>105</v>
      </c>
      <c r="AF3111" s="4">
        <v>1</v>
      </c>
      <c r="AG3111" s="4">
        <v>1</v>
      </c>
      <c r="AH3111" s="4">
        <v>91</v>
      </c>
      <c r="AI3111" s="4">
        <v>93</v>
      </c>
      <c r="AJ3111" s="4">
        <v>18</v>
      </c>
      <c r="AK3111" s="4">
        <v>19</v>
      </c>
      <c r="AL3111" s="4">
        <v>55</v>
      </c>
      <c r="AM3111" s="4">
        <v>56</v>
      </c>
      <c r="AN3111" s="4">
        <v>0</v>
      </c>
      <c r="AO3111" s="4">
        <v>0</v>
      </c>
      <c r="AP3111" s="4">
        <v>18</v>
      </c>
      <c r="AQ3111" s="4">
        <v>19</v>
      </c>
      <c r="AR3111" s="3" t="s">
        <v>63</v>
      </c>
      <c r="AS3111" s="3" t="s">
        <v>63</v>
      </c>
      <c r="AT3111" s="3" t="s">
        <v>62</v>
      </c>
      <c r="AU3111" s="6" t="str">
        <f>HYPERLINK("http://catalog.hathitrust.org/Record/001059958","HathiTrust Record")</f>
        <v>HathiTrust Record</v>
      </c>
      <c r="AV3111" s="6" t="str">
        <f>HYPERLINK("http://mcgill.on.worldcat.org/oclc/703752","Catalog Record")</f>
        <v>Catalog Record</v>
      </c>
      <c r="AW3111" s="6" t="str">
        <f>HYPERLINK("http://www.worldcat.org/oclc/703752","WorldCat Record")</f>
        <v>WorldCat Record</v>
      </c>
      <c r="AX3111" s="3" t="s">
        <v>25910</v>
      </c>
      <c r="AY3111" s="3" t="s">
        <v>25911</v>
      </c>
      <c r="AZ3111" s="3" t="s">
        <v>25912</v>
      </c>
      <c r="BA3111" s="3" t="s">
        <v>25912</v>
      </c>
      <c r="BB3111" s="3" t="s">
        <v>25913</v>
      </c>
      <c r="BC3111" s="3" t="s">
        <v>82</v>
      </c>
      <c r="BD3111" s="3" t="s">
        <v>70</v>
      </c>
      <c r="BE3111" s="3" t="s">
        <v>25914</v>
      </c>
      <c r="BF3111" s="3" t="s">
        <v>25913</v>
      </c>
      <c r="BG3111" s="3" t="s">
        <v>25915</v>
      </c>
    </row>
    <row r="3112" spans="1:59" ht="75" x14ac:dyDescent="0.25">
      <c r="A3112" s="2" t="s">
        <v>59</v>
      </c>
      <c r="B3112" s="2" t="s">
        <v>60</v>
      </c>
      <c r="C3112" s="2" t="s">
        <v>25916</v>
      </c>
      <c r="D3112" s="2" t="s">
        <v>25917</v>
      </c>
      <c r="E3112" s="2" t="s">
        <v>25918</v>
      </c>
      <c r="F3112" s="3" t="s">
        <v>25919</v>
      </c>
      <c r="G3112" s="3" t="s">
        <v>62</v>
      </c>
      <c r="I3112" s="3" t="s">
        <v>62</v>
      </c>
      <c r="J3112" s="3" t="s">
        <v>63</v>
      </c>
      <c r="K3112" s="3" t="s">
        <v>64</v>
      </c>
      <c r="L3112" s="2" t="s">
        <v>25883</v>
      </c>
      <c r="M3112" s="2" t="s">
        <v>25920</v>
      </c>
      <c r="N3112" s="3" t="s">
        <v>681</v>
      </c>
      <c r="P3112" s="3" t="s">
        <v>90</v>
      </c>
      <c r="R3112" s="3" t="s">
        <v>67</v>
      </c>
      <c r="S3112" s="4">
        <v>9</v>
      </c>
      <c r="T3112" s="4">
        <v>35</v>
      </c>
      <c r="U3112" s="5" t="s">
        <v>4192</v>
      </c>
      <c r="V3112" s="5" t="s">
        <v>4192</v>
      </c>
      <c r="W3112" s="5" t="s">
        <v>69</v>
      </c>
      <c r="X3112" s="5" t="s">
        <v>69</v>
      </c>
      <c r="Y3112" s="4">
        <v>126</v>
      </c>
      <c r="Z3112" s="4">
        <v>12</v>
      </c>
      <c r="AA3112" s="4">
        <v>20</v>
      </c>
      <c r="AB3112" s="4">
        <v>1</v>
      </c>
      <c r="AC3112" s="4">
        <v>1</v>
      </c>
      <c r="AD3112" s="4">
        <v>62</v>
      </c>
      <c r="AE3112" s="4">
        <v>92</v>
      </c>
      <c r="AF3112" s="4">
        <v>0</v>
      </c>
      <c r="AG3112" s="4">
        <v>0</v>
      </c>
      <c r="AH3112" s="4">
        <v>60</v>
      </c>
      <c r="AI3112" s="4">
        <v>87</v>
      </c>
      <c r="AJ3112" s="4">
        <v>7</v>
      </c>
      <c r="AK3112" s="4">
        <v>12</v>
      </c>
      <c r="AL3112" s="4">
        <v>39</v>
      </c>
      <c r="AM3112" s="4">
        <v>54</v>
      </c>
      <c r="AN3112" s="4">
        <v>0</v>
      </c>
      <c r="AO3112" s="4">
        <v>1</v>
      </c>
      <c r="AP3112" s="4">
        <v>7</v>
      </c>
      <c r="AQ3112" s="4">
        <v>13</v>
      </c>
      <c r="AR3112" s="3" t="s">
        <v>63</v>
      </c>
      <c r="AS3112" s="3" t="s">
        <v>63</v>
      </c>
      <c r="AT3112" s="3" t="s">
        <v>62</v>
      </c>
      <c r="AU3112" s="6" t="str">
        <f>HYPERLINK("http://catalog.hathitrust.org/Record/001059957","HathiTrust Record")</f>
        <v>HathiTrust Record</v>
      </c>
      <c r="AV3112" s="6" t="str">
        <f>HYPERLINK("http://mcgill.on.worldcat.org/oclc/14916011","Catalog Record")</f>
        <v>Catalog Record</v>
      </c>
      <c r="AW3112" s="6" t="str">
        <f>HYPERLINK("http://www.worldcat.org/oclc/14916011","WorldCat Record")</f>
        <v>WorldCat Record</v>
      </c>
      <c r="AX3112" s="3" t="s">
        <v>25921</v>
      </c>
      <c r="AY3112" s="3" t="s">
        <v>25922</v>
      </c>
      <c r="AZ3112" s="3" t="s">
        <v>25923</v>
      </c>
      <c r="BA3112" s="3" t="s">
        <v>25923</v>
      </c>
      <c r="BB3112" s="3" t="s">
        <v>25924</v>
      </c>
      <c r="BC3112" s="3" t="s">
        <v>82</v>
      </c>
      <c r="BD3112" s="3" t="s">
        <v>70</v>
      </c>
      <c r="BF3112" s="3" t="s">
        <v>25924</v>
      </c>
      <c r="BG3112" s="3" t="s">
        <v>25925</v>
      </c>
    </row>
    <row r="3113" spans="1:59" ht="75" x14ac:dyDescent="0.25">
      <c r="A3113" s="2" t="s">
        <v>59</v>
      </c>
      <c r="B3113" s="2" t="s">
        <v>60</v>
      </c>
      <c r="C3113" s="2" t="s">
        <v>25916</v>
      </c>
      <c r="D3113" s="2" t="s">
        <v>25917</v>
      </c>
      <c r="E3113" s="2" t="s">
        <v>25918</v>
      </c>
      <c r="F3113" s="3" t="s">
        <v>25926</v>
      </c>
      <c r="G3113" s="3" t="s">
        <v>62</v>
      </c>
      <c r="I3113" s="3" t="s">
        <v>62</v>
      </c>
      <c r="J3113" s="3" t="s">
        <v>63</v>
      </c>
      <c r="K3113" s="3" t="s">
        <v>64</v>
      </c>
      <c r="L3113" s="2" t="s">
        <v>25883</v>
      </c>
      <c r="M3113" s="2" t="s">
        <v>25920</v>
      </c>
      <c r="N3113" s="3" t="s">
        <v>681</v>
      </c>
      <c r="P3113" s="3" t="s">
        <v>90</v>
      </c>
      <c r="R3113" s="3" t="s">
        <v>67</v>
      </c>
      <c r="S3113" s="4">
        <v>7</v>
      </c>
      <c r="T3113" s="4">
        <v>35</v>
      </c>
      <c r="U3113" s="5" t="s">
        <v>25927</v>
      </c>
      <c r="V3113" s="5" t="s">
        <v>4192</v>
      </c>
      <c r="W3113" s="5" t="s">
        <v>69</v>
      </c>
      <c r="X3113" s="5" t="s">
        <v>69</v>
      </c>
      <c r="Y3113" s="4">
        <v>126</v>
      </c>
      <c r="Z3113" s="4">
        <v>12</v>
      </c>
      <c r="AA3113" s="4">
        <v>20</v>
      </c>
      <c r="AB3113" s="4">
        <v>1</v>
      </c>
      <c r="AC3113" s="4">
        <v>1</v>
      </c>
      <c r="AD3113" s="4">
        <v>62</v>
      </c>
      <c r="AE3113" s="4">
        <v>92</v>
      </c>
      <c r="AF3113" s="4">
        <v>0</v>
      </c>
      <c r="AG3113" s="4">
        <v>0</v>
      </c>
      <c r="AH3113" s="4">
        <v>60</v>
      </c>
      <c r="AI3113" s="4">
        <v>87</v>
      </c>
      <c r="AJ3113" s="4">
        <v>7</v>
      </c>
      <c r="AK3113" s="4">
        <v>12</v>
      </c>
      <c r="AL3113" s="4">
        <v>39</v>
      </c>
      <c r="AM3113" s="4">
        <v>54</v>
      </c>
      <c r="AN3113" s="4">
        <v>0</v>
      </c>
      <c r="AO3113" s="4">
        <v>1</v>
      </c>
      <c r="AP3113" s="4">
        <v>7</v>
      </c>
      <c r="AQ3113" s="4">
        <v>13</v>
      </c>
      <c r="AR3113" s="3" t="s">
        <v>63</v>
      </c>
      <c r="AS3113" s="3" t="s">
        <v>63</v>
      </c>
      <c r="AT3113" s="3" t="s">
        <v>62</v>
      </c>
      <c r="AU3113" s="6" t="str">
        <f>HYPERLINK("http://catalog.hathitrust.org/Record/001059957","HathiTrust Record")</f>
        <v>HathiTrust Record</v>
      </c>
      <c r="AV3113" s="6" t="str">
        <f>HYPERLINK("http://mcgill.on.worldcat.org/oclc/14916011","Catalog Record")</f>
        <v>Catalog Record</v>
      </c>
      <c r="AW3113" s="6" t="str">
        <f>HYPERLINK("http://www.worldcat.org/oclc/14916011","WorldCat Record")</f>
        <v>WorldCat Record</v>
      </c>
      <c r="AX3113" s="3" t="s">
        <v>25921</v>
      </c>
      <c r="AY3113" s="3" t="s">
        <v>25922</v>
      </c>
      <c r="AZ3113" s="3" t="s">
        <v>25923</v>
      </c>
      <c r="BA3113" s="3" t="s">
        <v>25923</v>
      </c>
      <c r="BB3113" s="3" t="s">
        <v>25928</v>
      </c>
      <c r="BC3113" s="3" t="s">
        <v>82</v>
      </c>
      <c r="BD3113" s="3" t="s">
        <v>70</v>
      </c>
      <c r="BF3113" s="3" t="s">
        <v>25928</v>
      </c>
      <c r="BG3113" s="3" t="s">
        <v>25929</v>
      </c>
    </row>
    <row r="3114" spans="1:59" ht="75" x14ac:dyDescent="0.25">
      <c r="A3114" s="2" t="s">
        <v>59</v>
      </c>
      <c r="B3114" s="2" t="s">
        <v>60</v>
      </c>
      <c r="C3114" s="2" t="s">
        <v>25916</v>
      </c>
      <c r="D3114" s="2" t="s">
        <v>25917</v>
      </c>
      <c r="E3114" s="2" t="s">
        <v>25918</v>
      </c>
      <c r="F3114" s="3" t="s">
        <v>25919</v>
      </c>
      <c r="G3114" s="3" t="s">
        <v>62</v>
      </c>
      <c r="I3114" s="3" t="s">
        <v>62</v>
      </c>
      <c r="J3114" s="3" t="s">
        <v>63</v>
      </c>
      <c r="K3114" s="3" t="s">
        <v>64</v>
      </c>
      <c r="L3114" s="2" t="s">
        <v>25883</v>
      </c>
      <c r="M3114" s="2" t="s">
        <v>25920</v>
      </c>
      <c r="N3114" s="3" t="s">
        <v>681</v>
      </c>
      <c r="P3114" s="3" t="s">
        <v>90</v>
      </c>
      <c r="R3114" s="3" t="s">
        <v>67</v>
      </c>
      <c r="S3114" s="4">
        <v>12</v>
      </c>
      <c r="T3114" s="4">
        <v>35</v>
      </c>
      <c r="U3114" s="5" t="s">
        <v>25930</v>
      </c>
      <c r="V3114" s="5" t="s">
        <v>4192</v>
      </c>
      <c r="W3114" s="5" t="s">
        <v>69</v>
      </c>
      <c r="X3114" s="5" t="s">
        <v>69</v>
      </c>
      <c r="Y3114" s="4">
        <v>126</v>
      </c>
      <c r="Z3114" s="4">
        <v>12</v>
      </c>
      <c r="AA3114" s="4">
        <v>20</v>
      </c>
      <c r="AB3114" s="4">
        <v>1</v>
      </c>
      <c r="AC3114" s="4">
        <v>1</v>
      </c>
      <c r="AD3114" s="4">
        <v>62</v>
      </c>
      <c r="AE3114" s="4">
        <v>92</v>
      </c>
      <c r="AF3114" s="4">
        <v>0</v>
      </c>
      <c r="AG3114" s="4">
        <v>0</v>
      </c>
      <c r="AH3114" s="4">
        <v>60</v>
      </c>
      <c r="AI3114" s="4">
        <v>87</v>
      </c>
      <c r="AJ3114" s="4">
        <v>7</v>
      </c>
      <c r="AK3114" s="4">
        <v>12</v>
      </c>
      <c r="AL3114" s="4">
        <v>39</v>
      </c>
      <c r="AM3114" s="4">
        <v>54</v>
      </c>
      <c r="AN3114" s="4">
        <v>0</v>
      </c>
      <c r="AO3114" s="4">
        <v>1</v>
      </c>
      <c r="AP3114" s="4">
        <v>7</v>
      </c>
      <c r="AQ3114" s="4">
        <v>13</v>
      </c>
      <c r="AR3114" s="3" t="s">
        <v>63</v>
      </c>
      <c r="AS3114" s="3" t="s">
        <v>63</v>
      </c>
      <c r="AT3114" s="3" t="s">
        <v>62</v>
      </c>
      <c r="AU3114" s="6" t="str">
        <f>HYPERLINK("http://catalog.hathitrust.org/Record/001059957","HathiTrust Record")</f>
        <v>HathiTrust Record</v>
      </c>
      <c r="AV3114" s="6" t="str">
        <f>HYPERLINK("http://mcgill.on.worldcat.org/oclc/14916011","Catalog Record")</f>
        <v>Catalog Record</v>
      </c>
      <c r="AW3114" s="6" t="str">
        <f>HYPERLINK("http://www.worldcat.org/oclc/14916011","WorldCat Record")</f>
        <v>WorldCat Record</v>
      </c>
      <c r="AX3114" s="3" t="s">
        <v>25921</v>
      </c>
      <c r="AY3114" s="3" t="s">
        <v>25922</v>
      </c>
      <c r="AZ3114" s="3" t="s">
        <v>25923</v>
      </c>
      <c r="BA3114" s="3" t="s">
        <v>25923</v>
      </c>
      <c r="BB3114" s="3" t="s">
        <v>25931</v>
      </c>
      <c r="BC3114" s="3" t="s">
        <v>82</v>
      </c>
      <c r="BD3114" s="3" t="s">
        <v>70</v>
      </c>
      <c r="BF3114" s="3" t="s">
        <v>25931</v>
      </c>
      <c r="BG3114" s="3" t="s">
        <v>25932</v>
      </c>
    </row>
    <row r="3115" spans="1:59" ht="75" x14ac:dyDescent="0.25">
      <c r="A3115" s="2" t="s">
        <v>59</v>
      </c>
      <c r="B3115" s="2" t="s">
        <v>60</v>
      </c>
      <c r="C3115" s="2" t="s">
        <v>25916</v>
      </c>
      <c r="D3115" s="2" t="s">
        <v>25917</v>
      </c>
      <c r="E3115" s="2" t="s">
        <v>25918</v>
      </c>
      <c r="F3115" s="3" t="s">
        <v>25933</v>
      </c>
      <c r="G3115" s="3" t="s">
        <v>62</v>
      </c>
      <c r="I3115" s="3" t="s">
        <v>62</v>
      </c>
      <c r="J3115" s="3" t="s">
        <v>63</v>
      </c>
      <c r="K3115" s="3" t="s">
        <v>64</v>
      </c>
      <c r="L3115" s="2" t="s">
        <v>25883</v>
      </c>
      <c r="M3115" s="2" t="s">
        <v>25920</v>
      </c>
      <c r="N3115" s="3" t="s">
        <v>681</v>
      </c>
      <c r="P3115" s="3" t="s">
        <v>90</v>
      </c>
      <c r="R3115" s="3" t="s">
        <v>67</v>
      </c>
      <c r="S3115" s="4">
        <v>7</v>
      </c>
      <c r="T3115" s="4">
        <v>35</v>
      </c>
      <c r="U3115" s="5" t="s">
        <v>25934</v>
      </c>
      <c r="V3115" s="5" t="s">
        <v>4192</v>
      </c>
      <c r="W3115" s="5" t="s">
        <v>69</v>
      </c>
      <c r="X3115" s="5" t="s">
        <v>69</v>
      </c>
      <c r="Y3115" s="4">
        <v>126</v>
      </c>
      <c r="Z3115" s="4">
        <v>12</v>
      </c>
      <c r="AA3115" s="4">
        <v>20</v>
      </c>
      <c r="AB3115" s="4">
        <v>1</v>
      </c>
      <c r="AC3115" s="4">
        <v>1</v>
      </c>
      <c r="AD3115" s="4">
        <v>62</v>
      </c>
      <c r="AE3115" s="4">
        <v>92</v>
      </c>
      <c r="AF3115" s="4">
        <v>0</v>
      </c>
      <c r="AG3115" s="4">
        <v>0</v>
      </c>
      <c r="AH3115" s="4">
        <v>60</v>
      </c>
      <c r="AI3115" s="4">
        <v>87</v>
      </c>
      <c r="AJ3115" s="4">
        <v>7</v>
      </c>
      <c r="AK3115" s="4">
        <v>12</v>
      </c>
      <c r="AL3115" s="4">
        <v>39</v>
      </c>
      <c r="AM3115" s="4">
        <v>54</v>
      </c>
      <c r="AN3115" s="4">
        <v>0</v>
      </c>
      <c r="AO3115" s="4">
        <v>1</v>
      </c>
      <c r="AP3115" s="4">
        <v>7</v>
      </c>
      <c r="AQ3115" s="4">
        <v>13</v>
      </c>
      <c r="AR3115" s="3" t="s">
        <v>63</v>
      </c>
      <c r="AS3115" s="3" t="s">
        <v>63</v>
      </c>
      <c r="AT3115" s="3" t="s">
        <v>62</v>
      </c>
      <c r="AU3115" s="6" t="str">
        <f>HYPERLINK("http://catalog.hathitrust.org/Record/001059957","HathiTrust Record")</f>
        <v>HathiTrust Record</v>
      </c>
      <c r="AV3115" s="6" t="str">
        <f>HYPERLINK("http://mcgill.on.worldcat.org/oclc/14916011","Catalog Record")</f>
        <v>Catalog Record</v>
      </c>
      <c r="AW3115" s="6" t="str">
        <f>HYPERLINK("http://www.worldcat.org/oclc/14916011","WorldCat Record")</f>
        <v>WorldCat Record</v>
      </c>
      <c r="AX3115" s="3" t="s">
        <v>25921</v>
      </c>
      <c r="AY3115" s="3" t="s">
        <v>25922</v>
      </c>
      <c r="AZ3115" s="3" t="s">
        <v>25923</v>
      </c>
      <c r="BA3115" s="3" t="s">
        <v>25923</v>
      </c>
      <c r="BB3115" s="3" t="s">
        <v>25935</v>
      </c>
      <c r="BC3115" s="3" t="s">
        <v>82</v>
      </c>
      <c r="BD3115" s="3" t="s">
        <v>70</v>
      </c>
      <c r="BF3115" s="3" t="s">
        <v>25935</v>
      </c>
      <c r="BG3115" s="3" t="s">
        <v>25936</v>
      </c>
    </row>
    <row r="3116" spans="1:59" ht="75" x14ac:dyDescent="0.25">
      <c r="A3116" s="2" t="s">
        <v>59</v>
      </c>
      <c r="B3116" s="2" t="s">
        <v>60</v>
      </c>
      <c r="C3116" s="2" t="s">
        <v>25937</v>
      </c>
      <c r="D3116" s="2" t="s">
        <v>25938</v>
      </c>
      <c r="E3116" s="2" t="s">
        <v>25939</v>
      </c>
      <c r="G3116" s="3" t="s">
        <v>63</v>
      </c>
      <c r="I3116" s="3" t="s">
        <v>63</v>
      </c>
      <c r="J3116" s="3" t="s">
        <v>63</v>
      </c>
      <c r="K3116" s="3" t="s">
        <v>64</v>
      </c>
      <c r="L3116" s="2" t="s">
        <v>25940</v>
      </c>
      <c r="M3116" s="2" t="s">
        <v>4727</v>
      </c>
      <c r="N3116" s="3" t="s">
        <v>106</v>
      </c>
      <c r="P3116" s="3" t="s">
        <v>90</v>
      </c>
      <c r="R3116" s="3" t="s">
        <v>67</v>
      </c>
      <c r="S3116" s="4">
        <v>0</v>
      </c>
      <c r="T3116" s="4">
        <v>0</v>
      </c>
      <c r="W3116" s="5" t="s">
        <v>9728</v>
      </c>
      <c r="X3116" s="5" t="s">
        <v>9728</v>
      </c>
      <c r="Y3116" s="4">
        <v>45</v>
      </c>
      <c r="Z3116" s="4">
        <v>5</v>
      </c>
      <c r="AA3116" s="4">
        <v>5</v>
      </c>
      <c r="AB3116" s="4">
        <v>1</v>
      </c>
      <c r="AC3116" s="4">
        <v>1</v>
      </c>
      <c r="AD3116" s="4">
        <v>35</v>
      </c>
      <c r="AE3116" s="4">
        <v>35</v>
      </c>
      <c r="AF3116" s="4">
        <v>0</v>
      </c>
      <c r="AG3116" s="4">
        <v>0</v>
      </c>
      <c r="AH3116" s="4">
        <v>34</v>
      </c>
      <c r="AI3116" s="4">
        <v>34</v>
      </c>
      <c r="AJ3116" s="4">
        <v>3</v>
      </c>
      <c r="AK3116" s="4">
        <v>3</v>
      </c>
      <c r="AL3116" s="4">
        <v>27</v>
      </c>
      <c r="AM3116" s="4">
        <v>27</v>
      </c>
      <c r="AN3116" s="4">
        <v>0</v>
      </c>
      <c r="AO3116" s="4">
        <v>0</v>
      </c>
      <c r="AP3116" s="4">
        <v>3</v>
      </c>
      <c r="AQ3116" s="4">
        <v>3</v>
      </c>
      <c r="AR3116" s="3" t="s">
        <v>63</v>
      </c>
      <c r="AS3116" s="3" t="s">
        <v>63</v>
      </c>
      <c r="AT3116" s="3" t="s">
        <v>63</v>
      </c>
      <c r="AV3116" s="6" t="str">
        <f>HYPERLINK("http://mcgill.on.worldcat.org/oclc/950002512","Catalog Record")</f>
        <v>Catalog Record</v>
      </c>
      <c r="AW3116" s="6" t="str">
        <f>HYPERLINK("http://www.worldcat.org/oclc/950002512","WorldCat Record")</f>
        <v>WorldCat Record</v>
      </c>
      <c r="AX3116" s="3" t="s">
        <v>25941</v>
      </c>
      <c r="AY3116" s="3" t="s">
        <v>25942</v>
      </c>
      <c r="AZ3116" s="3" t="s">
        <v>25943</v>
      </c>
      <c r="BA3116" s="3" t="s">
        <v>25943</v>
      </c>
      <c r="BB3116" s="3" t="s">
        <v>25944</v>
      </c>
      <c r="BC3116" s="3" t="s">
        <v>82</v>
      </c>
      <c r="BD3116" s="3" t="s">
        <v>70</v>
      </c>
      <c r="BE3116" s="3" t="s">
        <v>25945</v>
      </c>
      <c r="BF3116" s="3" t="s">
        <v>25944</v>
      </c>
      <c r="BG3116" s="3" t="s">
        <v>25946</v>
      </c>
    </row>
    <row r="3117" spans="1:59" ht="75" x14ac:dyDescent="0.25">
      <c r="A3117" s="2" t="s">
        <v>59</v>
      </c>
      <c r="B3117" s="2" t="s">
        <v>60</v>
      </c>
      <c r="C3117" s="2" t="s">
        <v>25947</v>
      </c>
      <c r="D3117" s="2" t="s">
        <v>25948</v>
      </c>
      <c r="E3117" s="2" t="s">
        <v>25949</v>
      </c>
      <c r="G3117" s="3" t="s">
        <v>63</v>
      </c>
      <c r="I3117" s="3" t="s">
        <v>63</v>
      </c>
      <c r="J3117" s="3" t="s">
        <v>63</v>
      </c>
      <c r="K3117" s="3" t="s">
        <v>64</v>
      </c>
      <c r="L3117" s="2" t="s">
        <v>25950</v>
      </c>
      <c r="M3117" s="2" t="s">
        <v>25951</v>
      </c>
      <c r="N3117" s="3" t="s">
        <v>427</v>
      </c>
      <c r="P3117" s="3" t="s">
        <v>90</v>
      </c>
      <c r="R3117" s="3" t="s">
        <v>67</v>
      </c>
      <c r="S3117" s="4">
        <v>8</v>
      </c>
      <c r="T3117" s="4">
        <v>8</v>
      </c>
      <c r="U3117" s="5" t="s">
        <v>8116</v>
      </c>
      <c r="V3117" s="5" t="s">
        <v>8116</v>
      </c>
      <c r="W3117" s="5" t="s">
        <v>69</v>
      </c>
      <c r="X3117" s="5" t="s">
        <v>69</v>
      </c>
      <c r="Y3117" s="4">
        <v>72</v>
      </c>
      <c r="Z3117" s="4">
        <v>8</v>
      </c>
      <c r="AA3117" s="4">
        <v>8</v>
      </c>
      <c r="AB3117" s="4">
        <v>1</v>
      </c>
      <c r="AC3117" s="4">
        <v>1</v>
      </c>
      <c r="AD3117" s="4">
        <v>45</v>
      </c>
      <c r="AE3117" s="4">
        <v>45</v>
      </c>
      <c r="AF3117" s="4">
        <v>0</v>
      </c>
      <c r="AG3117" s="4">
        <v>0</v>
      </c>
      <c r="AH3117" s="4">
        <v>42</v>
      </c>
      <c r="AI3117" s="4">
        <v>42</v>
      </c>
      <c r="AJ3117" s="4">
        <v>6</v>
      </c>
      <c r="AK3117" s="4">
        <v>6</v>
      </c>
      <c r="AL3117" s="4">
        <v>33</v>
      </c>
      <c r="AM3117" s="4">
        <v>33</v>
      </c>
      <c r="AN3117" s="4">
        <v>0</v>
      </c>
      <c r="AO3117" s="4">
        <v>0</v>
      </c>
      <c r="AP3117" s="4">
        <v>6</v>
      </c>
      <c r="AQ3117" s="4">
        <v>6</v>
      </c>
      <c r="AR3117" s="3" t="s">
        <v>63</v>
      </c>
      <c r="AS3117" s="3" t="s">
        <v>63</v>
      </c>
      <c r="AT3117" s="3" t="s">
        <v>62</v>
      </c>
      <c r="AU3117" s="6" t="str">
        <f>HYPERLINK("http://catalog.hathitrust.org/Record/002053555","HathiTrust Record")</f>
        <v>HathiTrust Record</v>
      </c>
      <c r="AV3117" s="6" t="str">
        <f>HYPERLINK("http://mcgill.on.worldcat.org/oclc/20134133","Catalog Record")</f>
        <v>Catalog Record</v>
      </c>
      <c r="AW3117" s="6" t="str">
        <f>HYPERLINK("http://www.worldcat.org/oclc/20134133","WorldCat Record")</f>
        <v>WorldCat Record</v>
      </c>
      <c r="AX3117" s="3" t="s">
        <v>25952</v>
      </c>
      <c r="AY3117" s="3" t="s">
        <v>25953</v>
      </c>
      <c r="AZ3117" s="3" t="s">
        <v>25954</v>
      </c>
      <c r="BA3117" s="3" t="s">
        <v>25954</v>
      </c>
      <c r="BB3117" s="3" t="s">
        <v>25955</v>
      </c>
      <c r="BC3117" s="3" t="s">
        <v>82</v>
      </c>
      <c r="BD3117" s="3" t="s">
        <v>70</v>
      </c>
      <c r="BE3117" s="3" t="s">
        <v>25956</v>
      </c>
      <c r="BF3117" s="3" t="s">
        <v>25955</v>
      </c>
      <c r="BG3117" s="3" t="s">
        <v>25957</v>
      </c>
    </row>
    <row r="3118" spans="1:59" ht="90" x14ac:dyDescent="0.25">
      <c r="A3118" s="2" t="s">
        <v>59</v>
      </c>
      <c r="B3118" s="2" t="s">
        <v>60</v>
      </c>
      <c r="C3118" s="2" t="s">
        <v>25958</v>
      </c>
      <c r="D3118" s="2" t="s">
        <v>25959</v>
      </c>
      <c r="E3118" s="2" t="s">
        <v>25960</v>
      </c>
      <c r="G3118" s="3" t="s">
        <v>63</v>
      </c>
      <c r="I3118" s="3" t="s">
        <v>63</v>
      </c>
      <c r="J3118" s="3" t="s">
        <v>63</v>
      </c>
      <c r="K3118" s="3" t="s">
        <v>64</v>
      </c>
      <c r="L3118" s="2" t="s">
        <v>25950</v>
      </c>
      <c r="M3118" s="2" t="s">
        <v>25961</v>
      </c>
      <c r="N3118" s="3" t="s">
        <v>1343</v>
      </c>
      <c r="P3118" s="3" t="s">
        <v>66</v>
      </c>
      <c r="Q3118" s="2" t="s">
        <v>25962</v>
      </c>
      <c r="R3118" s="3" t="s">
        <v>67</v>
      </c>
      <c r="S3118" s="4">
        <v>3</v>
      </c>
      <c r="T3118" s="4">
        <v>3</v>
      </c>
      <c r="U3118" s="5" t="s">
        <v>25963</v>
      </c>
      <c r="V3118" s="5" t="s">
        <v>25963</v>
      </c>
      <c r="W3118" s="5" t="s">
        <v>69</v>
      </c>
      <c r="X3118" s="5" t="s">
        <v>69</v>
      </c>
      <c r="Y3118" s="4">
        <v>164</v>
      </c>
      <c r="Z3118" s="4">
        <v>9</v>
      </c>
      <c r="AA3118" s="4">
        <v>10</v>
      </c>
      <c r="AB3118" s="4">
        <v>1</v>
      </c>
      <c r="AC3118" s="4">
        <v>2</v>
      </c>
      <c r="AD3118" s="4">
        <v>71</v>
      </c>
      <c r="AE3118" s="4">
        <v>71</v>
      </c>
      <c r="AF3118" s="4">
        <v>0</v>
      </c>
      <c r="AG3118" s="4">
        <v>0</v>
      </c>
      <c r="AH3118" s="4">
        <v>66</v>
      </c>
      <c r="AI3118" s="4">
        <v>66</v>
      </c>
      <c r="AJ3118" s="4">
        <v>7</v>
      </c>
      <c r="AK3118" s="4">
        <v>7</v>
      </c>
      <c r="AL3118" s="4">
        <v>41</v>
      </c>
      <c r="AM3118" s="4">
        <v>41</v>
      </c>
      <c r="AN3118" s="4">
        <v>0</v>
      </c>
      <c r="AO3118" s="4">
        <v>0</v>
      </c>
      <c r="AP3118" s="4">
        <v>7</v>
      </c>
      <c r="AQ3118" s="4">
        <v>7</v>
      </c>
      <c r="AR3118" s="3" t="s">
        <v>63</v>
      </c>
      <c r="AS3118" s="3" t="s">
        <v>63</v>
      </c>
      <c r="AT3118" s="3" t="s">
        <v>62</v>
      </c>
      <c r="AU3118" s="6" t="str">
        <f>HYPERLINK("http://catalog.hathitrust.org/Record/007140452","HathiTrust Record")</f>
        <v>HathiTrust Record</v>
      </c>
      <c r="AV3118" s="6" t="str">
        <f>HYPERLINK("http://mcgill.on.worldcat.org/oclc/44920802","Catalog Record")</f>
        <v>Catalog Record</v>
      </c>
      <c r="AW3118" s="6" t="str">
        <f>HYPERLINK("http://www.worldcat.org/oclc/44920802","WorldCat Record")</f>
        <v>WorldCat Record</v>
      </c>
      <c r="AX3118" s="3" t="s">
        <v>25964</v>
      </c>
      <c r="AY3118" s="3" t="s">
        <v>25965</v>
      </c>
      <c r="AZ3118" s="3" t="s">
        <v>25966</v>
      </c>
      <c r="BA3118" s="3" t="s">
        <v>25966</v>
      </c>
      <c r="BB3118" s="3" t="s">
        <v>25967</v>
      </c>
      <c r="BC3118" s="3" t="s">
        <v>82</v>
      </c>
      <c r="BD3118" s="3" t="s">
        <v>70</v>
      </c>
      <c r="BE3118" s="3" t="s">
        <v>25968</v>
      </c>
      <c r="BF3118" s="3" t="s">
        <v>25967</v>
      </c>
      <c r="BG3118" s="3" t="s">
        <v>25969</v>
      </c>
    </row>
    <row r="3119" spans="1:59" ht="75" x14ac:dyDescent="0.25">
      <c r="A3119" s="2" t="s">
        <v>59</v>
      </c>
      <c r="B3119" s="2" t="s">
        <v>60</v>
      </c>
      <c r="C3119" s="2" t="s">
        <v>27281</v>
      </c>
      <c r="D3119" s="2" t="s">
        <v>27282</v>
      </c>
      <c r="E3119" s="2" t="s">
        <v>27283</v>
      </c>
      <c r="F3119" s="3" t="s">
        <v>27284</v>
      </c>
      <c r="G3119" s="3" t="s">
        <v>63</v>
      </c>
      <c r="I3119" s="3" t="s">
        <v>63</v>
      </c>
      <c r="J3119" s="3" t="s">
        <v>63</v>
      </c>
      <c r="K3119" s="3" t="s">
        <v>64</v>
      </c>
      <c r="L3119" s="2" t="s">
        <v>5944</v>
      </c>
      <c r="M3119" s="2" t="s">
        <v>27285</v>
      </c>
      <c r="N3119" s="3" t="s">
        <v>480</v>
      </c>
      <c r="P3119" s="3" t="s">
        <v>90</v>
      </c>
      <c r="Q3119" s="2" t="s">
        <v>27286</v>
      </c>
      <c r="R3119" s="3" t="s">
        <v>67</v>
      </c>
      <c r="S3119" s="4">
        <v>25</v>
      </c>
      <c r="T3119" s="4">
        <v>25</v>
      </c>
      <c r="U3119" s="5" t="s">
        <v>4539</v>
      </c>
      <c r="V3119" s="5" t="s">
        <v>4539</v>
      </c>
      <c r="W3119" s="5" t="s">
        <v>69</v>
      </c>
      <c r="X3119" s="5" t="s">
        <v>69</v>
      </c>
      <c r="Y3119" s="4">
        <v>27</v>
      </c>
      <c r="Z3119" s="4">
        <v>3</v>
      </c>
      <c r="AA3119" s="4">
        <v>3</v>
      </c>
      <c r="AB3119" s="4">
        <v>1</v>
      </c>
      <c r="AC3119" s="4">
        <v>1</v>
      </c>
      <c r="AD3119" s="4">
        <v>12</v>
      </c>
      <c r="AE3119" s="4">
        <v>12</v>
      </c>
      <c r="AF3119" s="4">
        <v>0</v>
      </c>
      <c r="AG3119" s="4">
        <v>0</v>
      </c>
      <c r="AH3119" s="4">
        <v>12</v>
      </c>
      <c r="AI3119" s="4">
        <v>12</v>
      </c>
      <c r="AJ3119" s="4">
        <v>2</v>
      </c>
      <c r="AK3119" s="4">
        <v>2</v>
      </c>
      <c r="AL3119" s="4">
        <v>8</v>
      </c>
      <c r="AM3119" s="4">
        <v>8</v>
      </c>
      <c r="AN3119" s="4">
        <v>0</v>
      </c>
      <c r="AO3119" s="4">
        <v>0</v>
      </c>
      <c r="AP3119" s="4">
        <v>2</v>
      </c>
      <c r="AQ3119" s="4">
        <v>2</v>
      </c>
      <c r="AR3119" s="3" t="s">
        <v>63</v>
      </c>
      <c r="AS3119" s="3" t="s">
        <v>63</v>
      </c>
      <c r="AT3119" s="3" t="s">
        <v>62</v>
      </c>
      <c r="AU3119" s="6" t="str">
        <f>HYPERLINK("http://catalog.hathitrust.org/Record/000809888","HathiTrust Record")</f>
        <v>HathiTrust Record</v>
      </c>
      <c r="AV3119" s="6" t="str">
        <f>HYPERLINK("http://mcgill.on.worldcat.org/oclc/24285503","Catalog Record")</f>
        <v>Catalog Record</v>
      </c>
      <c r="AW3119" s="6" t="str">
        <f>HYPERLINK("http://www.worldcat.org/oclc/24285503","WorldCat Record")</f>
        <v>WorldCat Record</v>
      </c>
      <c r="AX3119" s="3" t="s">
        <v>27287</v>
      </c>
      <c r="AY3119" s="3" t="s">
        <v>27288</v>
      </c>
      <c r="AZ3119" s="3" t="s">
        <v>27289</v>
      </c>
      <c r="BA3119" s="3" t="s">
        <v>27289</v>
      </c>
      <c r="BB3119" s="3" t="s">
        <v>27290</v>
      </c>
      <c r="BC3119" s="3" t="s">
        <v>82</v>
      </c>
      <c r="BD3119" s="3" t="s">
        <v>70</v>
      </c>
      <c r="BE3119" s="3" t="s">
        <v>27291</v>
      </c>
      <c r="BF3119" s="3" t="s">
        <v>27290</v>
      </c>
      <c r="BG3119" s="3" t="s">
        <v>27292</v>
      </c>
    </row>
    <row r="3120" spans="1:59" ht="75" x14ac:dyDescent="0.25">
      <c r="A3120" s="2" t="s">
        <v>59</v>
      </c>
      <c r="B3120" s="2" t="s">
        <v>60</v>
      </c>
      <c r="C3120" s="2" t="s">
        <v>27293</v>
      </c>
      <c r="D3120" s="2" t="s">
        <v>27294</v>
      </c>
      <c r="E3120" s="2" t="s">
        <v>27295</v>
      </c>
      <c r="F3120" s="3" t="s">
        <v>27296</v>
      </c>
      <c r="G3120" s="3" t="s">
        <v>63</v>
      </c>
      <c r="I3120" s="3" t="s">
        <v>63</v>
      </c>
      <c r="J3120" s="3" t="s">
        <v>63</v>
      </c>
      <c r="K3120" s="3" t="s">
        <v>64</v>
      </c>
      <c r="L3120" s="2" t="s">
        <v>5944</v>
      </c>
      <c r="M3120" s="2" t="s">
        <v>27297</v>
      </c>
      <c r="N3120" s="3" t="s">
        <v>427</v>
      </c>
      <c r="P3120" s="3" t="s">
        <v>90</v>
      </c>
      <c r="Q3120" s="2" t="s">
        <v>27298</v>
      </c>
      <c r="R3120" s="3" t="s">
        <v>67</v>
      </c>
      <c r="S3120" s="4">
        <v>39</v>
      </c>
      <c r="T3120" s="4">
        <v>39</v>
      </c>
      <c r="U3120" s="5" t="s">
        <v>27299</v>
      </c>
      <c r="V3120" s="5" t="s">
        <v>27299</v>
      </c>
      <c r="W3120" s="5" t="s">
        <v>69</v>
      </c>
      <c r="X3120" s="5" t="s">
        <v>69</v>
      </c>
      <c r="Y3120" s="4">
        <v>41</v>
      </c>
      <c r="Z3120" s="4">
        <v>6</v>
      </c>
      <c r="AA3120" s="4">
        <v>6</v>
      </c>
      <c r="AB3120" s="4">
        <v>1</v>
      </c>
      <c r="AC3120" s="4">
        <v>1</v>
      </c>
      <c r="AD3120" s="4">
        <v>21</v>
      </c>
      <c r="AE3120" s="4">
        <v>21</v>
      </c>
      <c r="AF3120" s="4">
        <v>0</v>
      </c>
      <c r="AG3120" s="4">
        <v>0</v>
      </c>
      <c r="AH3120" s="4">
        <v>21</v>
      </c>
      <c r="AI3120" s="4">
        <v>21</v>
      </c>
      <c r="AJ3120" s="4">
        <v>4</v>
      </c>
      <c r="AK3120" s="4">
        <v>4</v>
      </c>
      <c r="AL3120" s="4">
        <v>11</v>
      </c>
      <c r="AM3120" s="4">
        <v>11</v>
      </c>
      <c r="AN3120" s="4">
        <v>0</v>
      </c>
      <c r="AO3120" s="4">
        <v>0</v>
      </c>
      <c r="AP3120" s="4">
        <v>4</v>
      </c>
      <c r="AQ3120" s="4">
        <v>4</v>
      </c>
      <c r="AR3120" s="3" t="s">
        <v>63</v>
      </c>
      <c r="AS3120" s="3" t="s">
        <v>63</v>
      </c>
      <c r="AT3120" s="3" t="s">
        <v>62</v>
      </c>
      <c r="AU3120" s="6" t="str">
        <f>HYPERLINK("http://catalog.hathitrust.org/Record/000809888","HathiTrust Record")</f>
        <v>HathiTrust Record</v>
      </c>
      <c r="AV3120" s="6" t="str">
        <f>HYPERLINK("http://mcgill.on.worldcat.org/oclc/18324144","Catalog Record")</f>
        <v>Catalog Record</v>
      </c>
      <c r="AW3120" s="6" t="str">
        <f>HYPERLINK("http://www.worldcat.org/oclc/18324144","WorldCat Record")</f>
        <v>WorldCat Record</v>
      </c>
      <c r="AX3120" s="3" t="s">
        <v>27300</v>
      </c>
      <c r="AY3120" s="3" t="s">
        <v>27301</v>
      </c>
      <c r="AZ3120" s="3" t="s">
        <v>27302</v>
      </c>
      <c r="BA3120" s="3" t="s">
        <v>27302</v>
      </c>
      <c r="BB3120" s="3" t="s">
        <v>27303</v>
      </c>
      <c r="BC3120" s="3" t="s">
        <v>82</v>
      </c>
      <c r="BD3120" s="3" t="s">
        <v>70</v>
      </c>
      <c r="BE3120" s="3" t="s">
        <v>27304</v>
      </c>
      <c r="BF3120" s="3" t="s">
        <v>27303</v>
      </c>
      <c r="BG3120" s="3" t="s">
        <v>27305</v>
      </c>
    </row>
    <row r="3121" spans="1:59" ht="60" x14ac:dyDescent="0.25">
      <c r="A3121" s="2" t="s">
        <v>59</v>
      </c>
      <c r="B3121" s="2" t="s">
        <v>60</v>
      </c>
      <c r="C3121" s="2" t="s">
        <v>25970</v>
      </c>
      <c r="D3121" s="2" t="s">
        <v>25971</v>
      </c>
      <c r="E3121" s="2" t="s">
        <v>25972</v>
      </c>
      <c r="G3121" s="3" t="s">
        <v>63</v>
      </c>
      <c r="I3121" s="3" t="s">
        <v>62</v>
      </c>
      <c r="J3121" s="3" t="s">
        <v>62</v>
      </c>
      <c r="K3121" s="3" t="s">
        <v>64</v>
      </c>
      <c r="L3121" s="2" t="s">
        <v>5944</v>
      </c>
      <c r="M3121" s="2" t="s">
        <v>25973</v>
      </c>
      <c r="N3121" s="3" t="s">
        <v>2144</v>
      </c>
      <c r="P3121" s="3" t="s">
        <v>66</v>
      </c>
      <c r="R3121" s="3" t="s">
        <v>67</v>
      </c>
      <c r="S3121" s="4">
        <v>6</v>
      </c>
      <c r="T3121" s="4">
        <v>12</v>
      </c>
      <c r="U3121" s="5" t="s">
        <v>25974</v>
      </c>
      <c r="V3121" s="5" t="s">
        <v>25975</v>
      </c>
      <c r="W3121" s="5" t="s">
        <v>69</v>
      </c>
      <c r="X3121" s="5" t="s">
        <v>69</v>
      </c>
      <c r="Y3121" s="4">
        <v>89</v>
      </c>
      <c r="Z3121" s="4">
        <v>10</v>
      </c>
      <c r="AA3121" s="4">
        <v>23</v>
      </c>
      <c r="AB3121" s="4">
        <v>3</v>
      </c>
      <c r="AC3121" s="4">
        <v>3</v>
      </c>
      <c r="AD3121" s="4">
        <v>24</v>
      </c>
      <c r="AE3121" s="4">
        <v>79</v>
      </c>
      <c r="AF3121" s="4">
        <v>1</v>
      </c>
      <c r="AG3121" s="4">
        <v>1</v>
      </c>
      <c r="AH3121" s="4">
        <v>19</v>
      </c>
      <c r="AI3121" s="4">
        <v>70</v>
      </c>
      <c r="AJ3121" s="4">
        <v>7</v>
      </c>
      <c r="AK3121" s="4">
        <v>11</v>
      </c>
      <c r="AL3121" s="4">
        <v>15</v>
      </c>
      <c r="AM3121" s="4">
        <v>46</v>
      </c>
      <c r="AN3121" s="4">
        <v>0</v>
      </c>
      <c r="AO3121" s="4">
        <v>0</v>
      </c>
      <c r="AP3121" s="4">
        <v>8</v>
      </c>
      <c r="AQ3121" s="4">
        <v>13</v>
      </c>
      <c r="AR3121" s="3" t="s">
        <v>63</v>
      </c>
      <c r="AS3121" s="3" t="s">
        <v>63</v>
      </c>
      <c r="AT3121" s="3" t="s">
        <v>62</v>
      </c>
      <c r="AU3121" s="6" t="str">
        <f>HYPERLINK("http://catalog.hathitrust.org/Record/007019419","HathiTrust Record")</f>
        <v>HathiTrust Record</v>
      </c>
      <c r="AV3121" s="6" t="str">
        <f>HYPERLINK("http://mcgill.on.worldcat.org/oclc/2391285","Catalog Record")</f>
        <v>Catalog Record</v>
      </c>
      <c r="AW3121" s="6" t="str">
        <f>HYPERLINK("http://www.worldcat.org/oclc/2391285","WorldCat Record")</f>
        <v>WorldCat Record</v>
      </c>
      <c r="AX3121" s="3" t="s">
        <v>25976</v>
      </c>
      <c r="AY3121" s="3" t="s">
        <v>25977</v>
      </c>
      <c r="AZ3121" s="3" t="s">
        <v>25978</v>
      </c>
      <c r="BA3121" s="3" t="s">
        <v>25978</v>
      </c>
      <c r="BB3121" s="3" t="s">
        <v>25979</v>
      </c>
      <c r="BC3121" s="3" t="s">
        <v>82</v>
      </c>
      <c r="BD3121" s="3" t="s">
        <v>70</v>
      </c>
      <c r="BF3121" s="3" t="s">
        <v>25979</v>
      </c>
      <c r="BG3121" s="3" t="s">
        <v>25980</v>
      </c>
    </row>
    <row r="3122" spans="1:59" ht="60" x14ac:dyDescent="0.25">
      <c r="A3122" s="2" t="s">
        <v>59</v>
      </c>
      <c r="B3122" s="2" t="s">
        <v>60</v>
      </c>
      <c r="C3122" s="2" t="s">
        <v>25970</v>
      </c>
      <c r="D3122" s="2" t="s">
        <v>25971</v>
      </c>
      <c r="E3122" s="2" t="s">
        <v>25972</v>
      </c>
      <c r="G3122" s="3" t="s">
        <v>63</v>
      </c>
      <c r="I3122" s="3" t="s">
        <v>62</v>
      </c>
      <c r="J3122" s="3" t="s">
        <v>62</v>
      </c>
      <c r="K3122" s="3" t="s">
        <v>64</v>
      </c>
      <c r="L3122" s="2" t="s">
        <v>5944</v>
      </c>
      <c r="M3122" s="2" t="s">
        <v>25973</v>
      </c>
      <c r="N3122" s="3" t="s">
        <v>2144</v>
      </c>
      <c r="P3122" s="3" t="s">
        <v>66</v>
      </c>
      <c r="R3122" s="3" t="s">
        <v>67</v>
      </c>
      <c r="S3122" s="4">
        <v>6</v>
      </c>
      <c r="T3122" s="4">
        <v>12</v>
      </c>
      <c r="U3122" s="5" t="s">
        <v>25975</v>
      </c>
      <c r="V3122" s="5" t="s">
        <v>25975</v>
      </c>
      <c r="W3122" s="5" t="s">
        <v>69</v>
      </c>
      <c r="X3122" s="5" t="s">
        <v>69</v>
      </c>
      <c r="Y3122" s="4">
        <v>89</v>
      </c>
      <c r="Z3122" s="4">
        <v>10</v>
      </c>
      <c r="AA3122" s="4">
        <v>23</v>
      </c>
      <c r="AB3122" s="4">
        <v>3</v>
      </c>
      <c r="AC3122" s="4">
        <v>3</v>
      </c>
      <c r="AD3122" s="4">
        <v>24</v>
      </c>
      <c r="AE3122" s="4">
        <v>79</v>
      </c>
      <c r="AF3122" s="4">
        <v>1</v>
      </c>
      <c r="AG3122" s="4">
        <v>1</v>
      </c>
      <c r="AH3122" s="4">
        <v>19</v>
      </c>
      <c r="AI3122" s="4">
        <v>70</v>
      </c>
      <c r="AJ3122" s="4">
        <v>7</v>
      </c>
      <c r="AK3122" s="4">
        <v>11</v>
      </c>
      <c r="AL3122" s="4">
        <v>15</v>
      </c>
      <c r="AM3122" s="4">
        <v>46</v>
      </c>
      <c r="AN3122" s="4">
        <v>0</v>
      </c>
      <c r="AO3122" s="4">
        <v>0</v>
      </c>
      <c r="AP3122" s="4">
        <v>8</v>
      </c>
      <c r="AQ3122" s="4">
        <v>13</v>
      </c>
      <c r="AR3122" s="3" t="s">
        <v>63</v>
      </c>
      <c r="AS3122" s="3" t="s">
        <v>63</v>
      </c>
      <c r="AT3122" s="3" t="s">
        <v>62</v>
      </c>
      <c r="AU3122" s="6" t="str">
        <f>HYPERLINK("http://catalog.hathitrust.org/Record/007019419","HathiTrust Record")</f>
        <v>HathiTrust Record</v>
      </c>
      <c r="AV3122" s="6" t="str">
        <f>HYPERLINK("http://mcgill.on.worldcat.org/oclc/2391285","Catalog Record")</f>
        <v>Catalog Record</v>
      </c>
      <c r="AW3122" s="6" t="str">
        <f>HYPERLINK("http://www.worldcat.org/oclc/2391285","WorldCat Record")</f>
        <v>WorldCat Record</v>
      </c>
      <c r="AX3122" s="3" t="s">
        <v>25976</v>
      </c>
      <c r="AY3122" s="3" t="s">
        <v>25977</v>
      </c>
      <c r="AZ3122" s="3" t="s">
        <v>25978</v>
      </c>
      <c r="BA3122" s="3" t="s">
        <v>25978</v>
      </c>
      <c r="BB3122" s="3" t="s">
        <v>25981</v>
      </c>
      <c r="BC3122" s="3" t="s">
        <v>82</v>
      </c>
      <c r="BD3122" s="3" t="s">
        <v>70</v>
      </c>
      <c r="BF3122" s="3" t="s">
        <v>25981</v>
      </c>
      <c r="BG3122" s="3" t="s">
        <v>25982</v>
      </c>
    </row>
    <row r="3123" spans="1:59" ht="60" x14ac:dyDescent="0.25">
      <c r="A3123" s="2" t="s">
        <v>59</v>
      </c>
      <c r="B3123" s="2" t="s">
        <v>60</v>
      </c>
      <c r="C3123" s="2" t="s">
        <v>25983</v>
      </c>
      <c r="D3123" s="2" t="s">
        <v>25984</v>
      </c>
      <c r="E3123" s="2" t="s">
        <v>25985</v>
      </c>
      <c r="G3123" s="3" t="s">
        <v>63</v>
      </c>
      <c r="I3123" s="3" t="s">
        <v>62</v>
      </c>
      <c r="J3123" s="3" t="s">
        <v>63</v>
      </c>
      <c r="K3123" s="3" t="s">
        <v>64</v>
      </c>
      <c r="L3123" s="2" t="s">
        <v>5944</v>
      </c>
      <c r="M3123" s="2" t="s">
        <v>25986</v>
      </c>
      <c r="N3123" s="3" t="s">
        <v>681</v>
      </c>
      <c r="P3123" s="3" t="s">
        <v>66</v>
      </c>
      <c r="R3123" s="3" t="s">
        <v>67</v>
      </c>
      <c r="S3123" s="4">
        <v>5</v>
      </c>
      <c r="T3123" s="4">
        <v>5</v>
      </c>
      <c r="U3123" s="5" t="s">
        <v>25987</v>
      </c>
      <c r="V3123" s="5" t="s">
        <v>25987</v>
      </c>
      <c r="W3123" s="5" t="s">
        <v>69</v>
      </c>
      <c r="X3123" s="5" t="s">
        <v>69</v>
      </c>
      <c r="Y3123" s="4">
        <v>695</v>
      </c>
      <c r="Z3123" s="4">
        <v>42</v>
      </c>
      <c r="AA3123" s="4">
        <v>47</v>
      </c>
      <c r="AB3123" s="4">
        <v>3</v>
      </c>
      <c r="AC3123" s="4">
        <v>4</v>
      </c>
      <c r="AD3123" s="4">
        <v>121</v>
      </c>
      <c r="AE3123" s="4">
        <v>130</v>
      </c>
      <c r="AF3123" s="4">
        <v>1</v>
      </c>
      <c r="AG3123" s="4">
        <v>2</v>
      </c>
      <c r="AH3123" s="4">
        <v>99</v>
      </c>
      <c r="AI3123" s="4">
        <v>104</v>
      </c>
      <c r="AJ3123" s="4">
        <v>20</v>
      </c>
      <c r="AK3123" s="4">
        <v>24</v>
      </c>
      <c r="AL3123" s="4">
        <v>54</v>
      </c>
      <c r="AM3123" s="4">
        <v>58</v>
      </c>
      <c r="AN3123" s="4">
        <v>0</v>
      </c>
      <c r="AO3123" s="4">
        <v>0</v>
      </c>
      <c r="AP3123" s="4">
        <v>27</v>
      </c>
      <c r="AQ3123" s="4">
        <v>31</v>
      </c>
      <c r="AR3123" s="3" t="s">
        <v>63</v>
      </c>
      <c r="AS3123" s="3" t="s">
        <v>63</v>
      </c>
      <c r="AT3123" s="3" t="s">
        <v>62</v>
      </c>
      <c r="AU3123" s="6" t="str">
        <f>HYPERLINK("http://catalog.hathitrust.org/Record/001110446","HathiTrust Record")</f>
        <v>HathiTrust Record</v>
      </c>
      <c r="AV3123" s="6" t="str">
        <f>HYPERLINK("http://mcgill.on.worldcat.org/oclc/133514","Catalog Record")</f>
        <v>Catalog Record</v>
      </c>
      <c r="AW3123" s="6" t="str">
        <f>HYPERLINK("http://www.worldcat.org/oclc/133514","WorldCat Record")</f>
        <v>WorldCat Record</v>
      </c>
      <c r="AX3123" s="3" t="s">
        <v>25988</v>
      </c>
      <c r="AY3123" s="3" t="s">
        <v>25989</v>
      </c>
      <c r="AZ3123" s="3" t="s">
        <v>25990</v>
      </c>
      <c r="BA3123" s="3" t="s">
        <v>25990</v>
      </c>
      <c r="BB3123" s="3" t="s">
        <v>25991</v>
      </c>
      <c r="BC3123" s="3" t="s">
        <v>82</v>
      </c>
      <c r="BD3123" s="3" t="s">
        <v>70</v>
      </c>
      <c r="BE3123" s="3" t="s">
        <v>25992</v>
      </c>
      <c r="BF3123" s="3" t="s">
        <v>25991</v>
      </c>
      <c r="BG3123" s="3" t="s">
        <v>25993</v>
      </c>
    </row>
    <row r="3124" spans="1:59" ht="60" x14ac:dyDescent="0.25">
      <c r="A3124" s="2" t="s">
        <v>59</v>
      </c>
      <c r="B3124" s="2" t="s">
        <v>60</v>
      </c>
      <c r="C3124" s="2" t="s">
        <v>25994</v>
      </c>
      <c r="D3124" s="2" t="s">
        <v>25995</v>
      </c>
      <c r="E3124" s="2" t="s">
        <v>25996</v>
      </c>
      <c r="G3124" s="3" t="s">
        <v>63</v>
      </c>
      <c r="I3124" s="3" t="s">
        <v>63</v>
      </c>
      <c r="J3124" s="3" t="s">
        <v>63</v>
      </c>
      <c r="K3124" s="3" t="s">
        <v>64</v>
      </c>
      <c r="L3124" s="2" t="s">
        <v>14234</v>
      </c>
      <c r="M3124" s="2" t="s">
        <v>25997</v>
      </c>
      <c r="N3124" s="3" t="s">
        <v>76</v>
      </c>
      <c r="O3124" s="2" t="s">
        <v>1605</v>
      </c>
      <c r="P3124" s="3" t="s">
        <v>66</v>
      </c>
      <c r="R3124" s="3" t="s">
        <v>67</v>
      </c>
      <c r="S3124" s="4">
        <v>14</v>
      </c>
      <c r="T3124" s="4">
        <v>14</v>
      </c>
      <c r="U3124" s="5" t="s">
        <v>17751</v>
      </c>
      <c r="V3124" s="5" t="s">
        <v>17751</v>
      </c>
      <c r="W3124" s="5" t="s">
        <v>69</v>
      </c>
      <c r="X3124" s="5" t="s">
        <v>69</v>
      </c>
      <c r="Y3124" s="4">
        <v>326</v>
      </c>
      <c r="Z3124" s="4">
        <v>16</v>
      </c>
      <c r="AA3124" s="4">
        <v>19</v>
      </c>
      <c r="AB3124" s="4">
        <v>3</v>
      </c>
      <c r="AC3124" s="4">
        <v>4</v>
      </c>
      <c r="AD3124" s="4">
        <v>68</v>
      </c>
      <c r="AE3124" s="4">
        <v>70</v>
      </c>
      <c r="AF3124" s="4">
        <v>0</v>
      </c>
      <c r="AG3124" s="4">
        <v>0</v>
      </c>
      <c r="AH3124" s="4">
        <v>62</v>
      </c>
      <c r="AI3124" s="4">
        <v>63</v>
      </c>
      <c r="AJ3124" s="4">
        <v>8</v>
      </c>
      <c r="AK3124" s="4">
        <v>9</v>
      </c>
      <c r="AL3124" s="4">
        <v>41</v>
      </c>
      <c r="AM3124" s="4">
        <v>41</v>
      </c>
      <c r="AN3124" s="4">
        <v>0</v>
      </c>
      <c r="AO3124" s="4">
        <v>0</v>
      </c>
      <c r="AP3124" s="4">
        <v>8</v>
      </c>
      <c r="AQ3124" s="4">
        <v>10</v>
      </c>
      <c r="AR3124" s="3" t="s">
        <v>63</v>
      </c>
      <c r="AS3124" s="3" t="s">
        <v>63</v>
      </c>
      <c r="AT3124" s="3" t="s">
        <v>63</v>
      </c>
      <c r="AV3124" s="6" t="str">
        <f>HYPERLINK("http://mcgill.on.worldcat.org/oclc/745979758","Catalog Record")</f>
        <v>Catalog Record</v>
      </c>
      <c r="AW3124" s="6" t="str">
        <f>HYPERLINK("http://www.worldcat.org/oclc/745979758","WorldCat Record")</f>
        <v>WorldCat Record</v>
      </c>
      <c r="AX3124" s="3" t="s">
        <v>25998</v>
      </c>
      <c r="AY3124" s="3" t="s">
        <v>25999</v>
      </c>
      <c r="AZ3124" s="3" t="s">
        <v>26000</v>
      </c>
      <c r="BA3124" s="3" t="s">
        <v>26000</v>
      </c>
      <c r="BB3124" s="3" t="s">
        <v>26001</v>
      </c>
      <c r="BC3124" s="3" t="s">
        <v>82</v>
      </c>
      <c r="BD3124" s="3" t="s">
        <v>70</v>
      </c>
      <c r="BE3124" s="3" t="s">
        <v>26002</v>
      </c>
      <c r="BF3124" s="3" t="s">
        <v>26001</v>
      </c>
      <c r="BG3124" s="3" t="s">
        <v>26003</v>
      </c>
    </row>
    <row r="3125" spans="1:59" ht="60" x14ac:dyDescent="0.25">
      <c r="A3125" s="2" t="s">
        <v>59</v>
      </c>
      <c r="B3125" s="2" t="s">
        <v>60</v>
      </c>
      <c r="C3125" s="2" t="s">
        <v>26004</v>
      </c>
      <c r="D3125" s="2" t="s">
        <v>26005</v>
      </c>
      <c r="E3125" s="2" t="s">
        <v>26006</v>
      </c>
      <c r="G3125" s="3" t="s">
        <v>63</v>
      </c>
      <c r="I3125" s="3" t="s">
        <v>62</v>
      </c>
      <c r="J3125" s="3" t="s">
        <v>63</v>
      </c>
      <c r="K3125" s="3" t="s">
        <v>64</v>
      </c>
      <c r="L3125" s="2" t="s">
        <v>5944</v>
      </c>
      <c r="M3125" s="2" t="s">
        <v>26007</v>
      </c>
      <c r="N3125" s="3" t="s">
        <v>2535</v>
      </c>
      <c r="P3125" s="3" t="s">
        <v>66</v>
      </c>
      <c r="R3125" s="3" t="s">
        <v>67</v>
      </c>
      <c r="S3125" s="4">
        <v>13</v>
      </c>
      <c r="T3125" s="4">
        <v>38</v>
      </c>
      <c r="U3125" s="5" t="s">
        <v>17484</v>
      </c>
      <c r="V3125" s="5" t="s">
        <v>25987</v>
      </c>
      <c r="W3125" s="5" t="s">
        <v>69</v>
      </c>
      <c r="X3125" s="5" t="s">
        <v>69</v>
      </c>
      <c r="Y3125" s="4">
        <v>1114</v>
      </c>
      <c r="Z3125" s="4">
        <v>47</v>
      </c>
      <c r="AA3125" s="4">
        <v>51</v>
      </c>
      <c r="AB3125" s="4">
        <v>3</v>
      </c>
      <c r="AC3125" s="4">
        <v>4</v>
      </c>
      <c r="AD3125" s="4">
        <v>123</v>
      </c>
      <c r="AE3125" s="4">
        <v>128</v>
      </c>
      <c r="AF3125" s="4">
        <v>1</v>
      </c>
      <c r="AG3125" s="4">
        <v>2</v>
      </c>
      <c r="AH3125" s="4">
        <v>101</v>
      </c>
      <c r="AI3125" s="4">
        <v>104</v>
      </c>
      <c r="AJ3125" s="4">
        <v>20</v>
      </c>
      <c r="AK3125" s="4">
        <v>23</v>
      </c>
      <c r="AL3125" s="4">
        <v>58</v>
      </c>
      <c r="AM3125" s="4">
        <v>58</v>
      </c>
      <c r="AN3125" s="4">
        <v>0</v>
      </c>
      <c r="AO3125" s="4">
        <v>0</v>
      </c>
      <c r="AP3125" s="4">
        <v>27</v>
      </c>
      <c r="AQ3125" s="4">
        <v>30</v>
      </c>
      <c r="AR3125" s="3" t="s">
        <v>63</v>
      </c>
      <c r="AS3125" s="3" t="s">
        <v>63</v>
      </c>
      <c r="AT3125" s="3" t="s">
        <v>62</v>
      </c>
      <c r="AU3125" s="6" t="str">
        <f>HYPERLINK("http://catalog.hathitrust.org/Record/001108483","HathiTrust Record")</f>
        <v>HathiTrust Record</v>
      </c>
      <c r="AV3125" s="6" t="str">
        <f>HYPERLINK("http://mcgill.on.worldcat.org/oclc/447413","Catalog Record")</f>
        <v>Catalog Record</v>
      </c>
      <c r="AW3125" s="6" t="str">
        <f>HYPERLINK("http://www.worldcat.org/oclc/447413","WorldCat Record")</f>
        <v>WorldCat Record</v>
      </c>
      <c r="AX3125" s="3" t="s">
        <v>26008</v>
      </c>
      <c r="AY3125" s="3" t="s">
        <v>26009</v>
      </c>
      <c r="AZ3125" s="3" t="s">
        <v>26010</v>
      </c>
      <c r="BA3125" s="3" t="s">
        <v>26010</v>
      </c>
      <c r="BB3125" s="3" t="s">
        <v>26011</v>
      </c>
      <c r="BC3125" s="3" t="s">
        <v>82</v>
      </c>
      <c r="BD3125" s="3" t="s">
        <v>70</v>
      </c>
      <c r="BE3125" s="3" t="s">
        <v>26012</v>
      </c>
      <c r="BF3125" s="3" t="s">
        <v>26011</v>
      </c>
      <c r="BG3125" s="3" t="s">
        <v>26013</v>
      </c>
    </row>
    <row r="3126" spans="1:59" ht="60" x14ac:dyDescent="0.25">
      <c r="A3126" s="2" t="s">
        <v>59</v>
      </c>
      <c r="B3126" s="2" t="s">
        <v>60</v>
      </c>
      <c r="C3126" s="2" t="s">
        <v>26004</v>
      </c>
      <c r="D3126" s="2" t="s">
        <v>26005</v>
      </c>
      <c r="E3126" s="2" t="s">
        <v>26006</v>
      </c>
      <c r="G3126" s="3" t="s">
        <v>63</v>
      </c>
      <c r="I3126" s="3" t="s">
        <v>62</v>
      </c>
      <c r="J3126" s="3" t="s">
        <v>63</v>
      </c>
      <c r="K3126" s="3" t="s">
        <v>64</v>
      </c>
      <c r="L3126" s="2" t="s">
        <v>5944</v>
      </c>
      <c r="M3126" s="2" t="s">
        <v>26007</v>
      </c>
      <c r="N3126" s="3" t="s">
        <v>2535</v>
      </c>
      <c r="P3126" s="3" t="s">
        <v>66</v>
      </c>
      <c r="R3126" s="3" t="s">
        <v>67</v>
      </c>
      <c r="S3126" s="4">
        <v>13</v>
      </c>
      <c r="T3126" s="4">
        <v>38</v>
      </c>
      <c r="U3126" s="5" t="s">
        <v>25987</v>
      </c>
      <c r="V3126" s="5" t="s">
        <v>25987</v>
      </c>
      <c r="W3126" s="5" t="s">
        <v>69</v>
      </c>
      <c r="X3126" s="5" t="s">
        <v>69</v>
      </c>
      <c r="Y3126" s="4">
        <v>1114</v>
      </c>
      <c r="Z3126" s="4">
        <v>47</v>
      </c>
      <c r="AA3126" s="4">
        <v>51</v>
      </c>
      <c r="AB3126" s="4">
        <v>3</v>
      </c>
      <c r="AC3126" s="4">
        <v>4</v>
      </c>
      <c r="AD3126" s="4">
        <v>123</v>
      </c>
      <c r="AE3126" s="4">
        <v>128</v>
      </c>
      <c r="AF3126" s="4">
        <v>1</v>
      </c>
      <c r="AG3126" s="4">
        <v>2</v>
      </c>
      <c r="AH3126" s="4">
        <v>101</v>
      </c>
      <c r="AI3126" s="4">
        <v>104</v>
      </c>
      <c r="AJ3126" s="4">
        <v>20</v>
      </c>
      <c r="AK3126" s="4">
        <v>23</v>
      </c>
      <c r="AL3126" s="4">
        <v>58</v>
      </c>
      <c r="AM3126" s="4">
        <v>58</v>
      </c>
      <c r="AN3126" s="4">
        <v>0</v>
      </c>
      <c r="AO3126" s="4">
        <v>0</v>
      </c>
      <c r="AP3126" s="4">
        <v>27</v>
      </c>
      <c r="AQ3126" s="4">
        <v>30</v>
      </c>
      <c r="AR3126" s="3" t="s">
        <v>63</v>
      </c>
      <c r="AS3126" s="3" t="s">
        <v>63</v>
      </c>
      <c r="AT3126" s="3" t="s">
        <v>62</v>
      </c>
      <c r="AU3126" s="6" t="str">
        <f>HYPERLINK("http://catalog.hathitrust.org/Record/001108483","HathiTrust Record")</f>
        <v>HathiTrust Record</v>
      </c>
      <c r="AV3126" s="6" t="str">
        <f>HYPERLINK("http://mcgill.on.worldcat.org/oclc/447413","Catalog Record")</f>
        <v>Catalog Record</v>
      </c>
      <c r="AW3126" s="6" t="str">
        <f>HYPERLINK("http://www.worldcat.org/oclc/447413","WorldCat Record")</f>
        <v>WorldCat Record</v>
      </c>
      <c r="AX3126" s="3" t="s">
        <v>26008</v>
      </c>
      <c r="AY3126" s="3" t="s">
        <v>26009</v>
      </c>
      <c r="AZ3126" s="3" t="s">
        <v>26010</v>
      </c>
      <c r="BA3126" s="3" t="s">
        <v>26010</v>
      </c>
      <c r="BB3126" s="3" t="s">
        <v>26014</v>
      </c>
      <c r="BC3126" s="3" t="s">
        <v>82</v>
      </c>
      <c r="BD3126" s="3" t="s">
        <v>70</v>
      </c>
      <c r="BE3126" s="3" t="s">
        <v>26012</v>
      </c>
      <c r="BF3126" s="3" t="s">
        <v>26014</v>
      </c>
      <c r="BG3126" s="3" t="s">
        <v>26015</v>
      </c>
    </row>
    <row r="3127" spans="1:59" ht="60" x14ac:dyDescent="0.25">
      <c r="A3127" s="2" t="s">
        <v>59</v>
      </c>
      <c r="B3127" s="2" t="s">
        <v>60</v>
      </c>
      <c r="C3127" s="2" t="s">
        <v>26016</v>
      </c>
      <c r="D3127" s="2" t="s">
        <v>26017</v>
      </c>
      <c r="E3127" s="2" t="s">
        <v>26006</v>
      </c>
      <c r="G3127" s="3" t="s">
        <v>63</v>
      </c>
      <c r="I3127" s="3" t="s">
        <v>62</v>
      </c>
      <c r="J3127" s="3" t="s">
        <v>63</v>
      </c>
      <c r="K3127" s="3" t="s">
        <v>64</v>
      </c>
      <c r="L3127" s="2" t="s">
        <v>5944</v>
      </c>
      <c r="M3127" s="2" t="s">
        <v>26007</v>
      </c>
      <c r="N3127" s="3" t="s">
        <v>2535</v>
      </c>
      <c r="P3127" s="3" t="s">
        <v>66</v>
      </c>
      <c r="R3127" s="3" t="s">
        <v>67</v>
      </c>
      <c r="S3127" s="4">
        <v>12</v>
      </c>
      <c r="T3127" s="4">
        <v>38</v>
      </c>
      <c r="U3127" s="5" t="s">
        <v>26018</v>
      </c>
      <c r="V3127" s="5" t="s">
        <v>25987</v>
      </c>
      <c r="W3127" s="5" t="s">
        <v>69</v>
      </c>
      <c r="X3127" s="5" t="s">
        <v>69</v>
      </c>
      <c r="Y3127" s="4">
        <v>1114</v>
      </c>
      <c r="Z3127" s="4">
        <v>47</v>
      </c>
      <c r="AA3127" s="4">
        <v>51</v>
      </c>
      <c r="AB3127" s="4">
        <v>3</v>
      </c>
      <c r="AC3127" s="4">
        <v>4</v>
      </c>
      <c r="AD3127" s="4">
        <v>123</v>
      </c>
      <c r="AE3127" s="4">
        <v>128</v>
      </c>
      <c r="AF3127" s="4">
        <v>1</v>
      </c>
      <c r="AG3127" s="4">
        <v>2</v>
      </c>
      <c r="AH3127" s="4">
        <v>101</v>
      </c>
      <c r="AI3127" s="4">
        <v>104</v>
      </c>
      <c r="AJ3127" s="4">
        <v>20</v>
      </c>
      <c r="AK3127" s="4">
        <v>23</v>
      </c>
      <c r="AL3127" s="4">
        <v>58</v>
      </c>
      <c r="AM3127" s="4">
        <v>58</v>
      </c>
      <c r="AN3127" s="4">
        <v>0</v>
      </c>
      <c r="AO3127" s="4">
        <v>0</v>
      </c>
      <c r="AP3127" s="4">
        <v>27</v>
      </c>
      <c r="AQ3127" s="4">
        <v>30</v>
      </c>
      <c r="AR3127" s="3" t="s">
        <v>63</v>
      </c>
      <c r="AS3127" s="3" t="s">
        <v>63</v>
      </c>
      <c r="AT3127" s="3" t="s">
        <v>62</v>
      </c>
      <c r="AU3127" s="6" t="str">
        <f>HYPERLINK("http://catalog.hathitrust.org/Record/001108483","HathiTrust Record")</f>
        <v>HathiTrust Record</v>
      </c>
      <c r="AV3127" s="6" t="str">
        <f>HYPERLINK("http://mcgill.on.worldcat.org/oclc/447413","Catalog Record")</f>
        <v>Catalog Record</v>
      </c>
      <c r="AW3127" s="6" t="str">
        <f>HYPERLINK("http://www.worldcat.org/oclc/447413","WorldCat Record")</f>
        <v>WorldCat Record</v>
      </c>
      <c r="AX3127" s="3" t="s">
        <v>26008</v>
      </c>
      <c r="AY3127" s="3" t="s">
        <v>26009</v>
      </c>
      <c r="AZ3127" s="3" t="s">
        <v>26010</v>
      </c>
      <c r="BA3127" s="3" t="s">
        <v>26010</v>
      </c>
      <c r="BB3127" s="3" t="s">
        <v>26019</v>
      </c>
      <c r="BC3127" s="3" t="s">
        <v>82</v>
      </c>
      <c r="BD3127" s="3" t="s">
        <v>70</v>
      </c>
      <c r="BE3127" s="3" t="s">
        <v>26012</v>
      </c>
      <c r="BF3127" s="3" t="s">
        <v>26019</v>
      </c>
      <c r="BG3127" s="3" t="s">
        <v>26020</v>
      </c>
    </row>
    <row r="3128" spans="1:59" ht="60" x14ac:dyDescent="0.25">
      <c r="A3128" s="2" t="s">
        <v>59</v>
      </c>
      <c r="B3128" s="2" t="s">
        <v>60</v>
      </c>
      <c r="C3128" s="2" t="s">
        <v>26021</v>
      </c>
      <c r="D3128" s="2" t="s">
        <v>26022</v>
      </c>
      <c r="E3128" s="2" t="s">
        <v>26023</v>
      </c>
      <c r="G3128" s="3" t="s">
        <v>63</v>
      </c>
      <c r="I3128" s="3" t="s">
        <v>63</v>
      </c>
      <c r="J3128" s="3" t="s">
        <v>63</v>
      </c>
      <c r="K3128" s="3" t="s">
        <v>64</v>
      </c>
      <c r="L3128" s="2" t="s">
        <v>5944</v>
      </c>
      <c r="M3128" s="2" t="s">
        <v>23710</v>
      </c>
      <c r="N3128" s="3" t="s">
        <v>668</v>
      </c>
      <c r="P3128" s="3" t="s">
        <v>90</v>
      </c>
      <c r="R3128" s="3" t="s">
        <v>67</v>
      </c>
      <c r="S3128" s="4">
        <v>34</v>
      </c>
      <c r="T3128" s="4">
        <v>34</v>
      </c>
      <c r="U3128" s="5" t="s">
        <v>10010</v>
      </c>
      <c r="V3128" s="5" t="s">
        <v>10010</v>
      </c>
      <c r="W3128" s="5" t="s">
        <v>69</v>
      </c>
      <c r="X3128" s="5" t="s">
        <v>69</v>
      </c>
      <c r="Y3128" s="4">
        <v>63</v>
      </c>
      <c r="Z3128" s="4">
        <v>3</v>
      </c>
      <c r="AA3128" s="4">
        <v>3</v>
      </c>
      <c r="AB3128" s="4">
        <v>2</v>
      </c>
      <c r="AC3128" s="4">
        <v>2</v>
      </c>
      <c r="AD3128" s="4">
        <v>28</v>
      </c>
      <c r="AE3128" s="4">
        <v>28</v>
      </c>
      <c r="AF3128" s="4">
        <v>0</v>
      </c>
      <c r="AG3128" s="4">
        <v>0</v>
      </c>
      <c r="AH3128" s="4">
        <v>26</v>
      </c>
      <c r="AI3128" s="4">
        <v>26</v>
      </c>
      <c r="AJ3128" s="4">
        <v>1</v>
      </c>
      <c r="AK3128" s="4">
        <v>1</v>
      </c>
      <c r="AL3128" s="4">
        <v>22</v>
      </c>
      <c r="AM3128" s="4">
        <v>22</v>
      </c>
      <c r="AN3128" s="4">
        <v>0</v>
      </c>
      <c r="AO3128" s="4">
        <v>0</v>
      </c>
      <c r="AP3128" s="4">
        <v>1</v>
      </c>
      <c r="AQ3128" s="4">
        <v>1</v>
      </c>
      <c r="AR3128" s="3" t="s">
        <v>63</v>
      </c>
      <c r="AS3128" s="3" t="s">
        <v>63</v>
      </c>
      <c r="AT3128" s="3" t="s">
        <v>63</v>
      </c>
      <c r="AV3128" s="6" t="str">
        <f>HYPERLINK("http://mcgill.on.worldcat.org/oclc/21892126","Catalog Record")</f>
        <v>Catalog Record</v>
      </c>
      <c r="AW3128" s="6" t="str">
        <f>HYPERLINK("http://www.worldcat.org/oclc/21892126","WorldCat Record")</f>
        <v>WorldCat Record</v>
      </c>
      <c r="AX3128" s="3" t="s">
        <v>26024</v>
      </c>
      <c r="AY3128" s="3" t="s">
        <v>26025</v>
      </c>
      <c r="AZ3128" s="3" t="s">
        <v>26026</v>
      </c>
      <c r="BA3128" s="3" t="s">
        <v>26026</v>
      </c>
      <c r="BB3128" s="3" t="s">
        <v>26027</v>
      </c>
      <c r="BC3128" s="3" t="s">
        <v>82</v>
      </c>
      <c r="BD3128" s="3" t="s">
        <v>70</v>
      </c>
      <c r="BE3128" s="3" t="s">
        <v>26028</v>
      </c>
      <c r="BF3128" s="3" t="s">
        <v>26027</v>
      </c>
      <c r="BG3128" s="3" t="s">
        <v>26029</v>
      </c>
    </row>
    <row r="3129" spans="1:59" ht="60" x14ac:dyDescent="0.25">
      <c r="A3129" s="2" t="s">
        <v>59</v>
      </c>
      <c r="B3129" s="2" t="s">
        <v>60</v>
      </c>
      <c r="C3129" s="2" t="s">
        <v>26030</v>
      </c>
      <c r="D3129" s="2" t="s">
        <v>26031</v>
      </c>
      <c r="E3129" s="2" t="s">
        <v>26032</v>
      </c>
      <c r="G3129" s="3" t="s">
        <v>63</v>
      </c>
      <c r="I3129" s="3" t="s">
        <v>63</v>
      </c>
      <c r="J3129" s="3" t="s">
        <v>63</v>
      </c>
      <c r="K3129" s="3" t="s">
        <v>64</v>
      </c>
      <c r="L3129" s="2" t="s">
        <v>5944</v>
      </c>
      <c r="M3129" s="2" t="s">
        <v>26033</v>
      </c>
      <c r="N3129" s="3" t="s">
        <v>220</v>
      </c>
      <c r="P3129" s="3" t="s">
        <v>90</v>
      </c>
      <c r="R3129" s="3" t="s">
        <v>67</v>
      </c>
      <c r="S3129" s="4">
        <v>28</v>
      </c>
      <c r="T3129" s="4">
        <v>28</v>
      </c>
      <c r="U3129" s="5" t="s">
        <v>17588</v>
      </c>
      <c r="V3129" s="5" t="s">
        <v>17588</v>
      </c>
      <c r="W3129" s="5" t="s">
        <v>69</v>
      </c>
      <c r="X3129" s="5" t="s">
        <v>69</v>
      </c>
      <c r="Y3129" s="4">
        <v>77</v>
      </c>
      <c r="Z3129" s="4">
        <v>6</v>
      </c>
      <c r="AA3129" s="4">
        <v>6</v>
      </c>
      <c r="AB3129" s="4">
        <v>1</v>
      </c>
      <c r="AC3129" s="4">
        <v>1</v>
      </c>
      <c r="AD3129" s="4">
        <v>39</v>
      </c>
      <c r="AE3129" s="4">
        <v>39</v>
      </c>
      <c r="AF3129" s="4">
        <v>0</v>
      </c>
      <c r="AG3129" s="4">
        <v>0</v>
      </c>
      <c r="AH3129" s="4">
        <v>39</v>
      </c>
      <c r="AI3129" s="4">
        <v>39</v>
      </c>
      <c r="AJ3129" s="4">
        <v>3</v>
      </c>
      <c r="AK3129" s="4">
        <v>3</v>
      </c>
      <c r="AL3129" s="4">
        <v>30</v>
      </c>
      <c r="AM3129" s="4">
        <v>30</v>
      </c>
      <c r="AN3129" s="4">
        <v>0</v>
      </c>
      <c r="AO3129" s="4">
        <v>0</v>
      </c>
      <c r="AP3129" s="4">
        <v>3</v>
      </c>
      <c r="AQ3129" s="4">
        <v>3</v>
      </c>
      <c r="AR3129" s="3" t="s">
        <v>63</v>
      </c>
      <c r="AS3129" s="3" t="s">
        <v>63</v>
      </c>
      <c r="AT3129" s="3" t="s">
        <v>62</v>
      </c>
      <c r="AU3129" s="6" t="str">
        <f>HYPERLINK("http://catalog.hathitrust.org/Record/003246193","HathiTrust Record")</f>
        <v>HathiTrust Record</v>
      </c>
      <c r="AV3129" s="6" t="str">
        <f>HYPERLINK("http://mcgill.on.worldcat.org/oclc/38853698","Catalog Record")</f>
        <v>Catalog Record</v>
      </c>
      <c r="AW3129" s="6" t="str">
        <f>HYPERLINK("http://www.worldcat.org/oclc/38853698","WorldCat Record")</f>
        <v>WorldCat Record</v>
      </c>
      <c r="AX3129" s="3" t="s">
        <v>26034</v>
      </c>
      <c r="AY3129" s="3" t="s">
        <v>26035</v>
      </c>
      <c r="AZ3129" s="3" t="s">
        <v>26036</v>
      </c>
      <c r="BA3129" s="3" t="s">
        <v>26036</v>
      </c>
      <c r="BB3129" s="3" t="s">
        <v>26037</v>
      </c>
      <c r="BC3129" s="3" t="s">
        <v>82</v>
      </c>
      <c r="BD3129" s="3" t="s">
        <v>70</v>
      </c>
      <c r="BE3129" s="3" t="s">
        <v>26038</v>
      </c>
      <c r="BF3129" s="3" t="s">
        <v>26037</v>
      </c>
      <c r="BG3129" s="3" t="s">
        <v>26039</v>
      </c>
    </row>
    <row r="3130" spans="1:59" ht="60" x14ac:dyDescent="0.25">
      <c r="A3130" s="2" t="s">
        <v>59</v>
      </c>
      <c r="B3130" s="2" t="s">
        <v>60</v>
      </c>
      <c r="C3130" s="2" t="s">
        <v>26040</v>
      </c>
      <c r="D3130" s="2" t="s">
        <v>26041</v>
      </c>
      <c r="E3130" s="2" t="s">
        <v>26042</v>
      </c>
      <c r="G3130" s="3" t="s">
        <v>63</v>
      </c>
      <c r="I3130" s="3" t="s">
        <v>62</v>
      </c>
      <c r="J3130" s="3" t="s">
        <v>63</v>
      </c>
      <c r="K3130" s="3" t="s">
        <v>64</v>
      </c>
      <c r="L3130" s="2" t="s">
        <v>5944</v>
      </c>
      <c r="M3130" s="2" t="s">
        <v>26043</v>
      </c>
      <c r="N3130" s="3" t="s">
        <v>204</v>
      </c>
      <c r="P3130" s="3" t="s">
        <v>66</v>
      </c>
      <c r="Q3130" s="2" t="s">
        <v>26044</v>
      </c>
      <c r="R3130" s="3" t="s">
        <v>67</v>
      </c>
      <c r="S3130" s="4">
        <v>4</v>
      </c>
      <c r="T3130" s="4">
        <v>19</v>
      </c>
      <c r="U3130" s="5" t="s">
        <v>5835</v>
      </c>
      <c r="V3130" s="5" t="s">
        <v>5835</v>
      </c>
      <c r="W3130" s="5" t="s">
        <v>69</v>
      </c>
      <c r="X3130" s="5" t="s">
        <v>69</v>
      </c>
      <c r="Y3130" s="4">
        <v>193</v>
      </c>
      <c r="Z3130" s="4">
        <v>9</v>
      </c>
      <c r="AA3130" s="4">
        <v>25</v>
      </c>
      <c r="AB3130" s="4">
        <v>1</v>
      </c>
      <c r="AC3130" s="4">
        <v>4</v>
      </c>
      <c r="AD3130" s="4">
        <v>17</v>
      </c>
      <c r="AE3130" s="4">
        <v>111</v>
      </c>
      <c r="AF3130" s="4">
        <v>0</v>
      </c>
      <c r="AG3130" s="4">
        <v>2</v>
      </c>
      <c r="AH3130" s="4">
        <v>16</v>
      </c>
      <c r="AI3130" s="4">
        <v>100</v>
      </c>
      <c r="AJ3130" s="4">
        <v>5</v>
      </c>
      <c r="AK3130" s="4">
        <v>13</v>
      </c>
      <c r="AL3130" s="4">
        <v>8</v>
      </c>
      <c r="AM3130" s="4">
        <v>54</v>
      </c>
      <c r="AN3130" s="4">
        <v>0</v>
      </c>
      <c r="AO3130" s="4">
        <v>0</v>
      </c>
      <c r="AP3130" s="4">
        <v>5</v>
      </c>
      <c r="AQ3130" s="4">
        <v>16</v>
      </c>
      <c r="AR3130" s="3" t="s">
        <v>63</v>
      </c>
      <c r="AS3130" s="3" t="s">
        <v>63</v>
      </c>
      <c r="AT3130" s="3" t="s">
        <v>62</v>
      </c>
      <c r="AU3130" s="6" t="str">
        <f>HYPERLINK("http://catalog.hathitrust.org/Record/003102272","HathiTrust Record")</f>
        <v>HathiTrust Record</v>
      </c>
      <c r="AV3130" s="6" t="str">
        <f>HYPERLINK("http://mcgill.on.worldcat.org/oclc/150834698","Catalog Record")</f>
        <v>Catalog Record</v>
      </c>
      <c r="AW3130" s="6" t="str">
        <f>HYPERLINK("http://www.worldcat.org/oclc/150834698","WorldCat Record")</f>
        <v>WorldCat Record</v>
      </c>
      <c r="AX3130" s="3" t="s">
        <v>26045</v>
      </c>
      <c r="AY3130" s="3" t="s">
        <v>26046</v>
      </c>
      <c r="AZ3130" s="3" t="s">
        <v>26047</v>
      </c>
      <c r="BA3130" s="3" t="s">
        <v>26047</v>
      </c>
      <c r="BB3130" s="3" t="s">
        <v>26048</v>
      </c>
      <c r="BC3130" s="3" t="s">
        <v>82</v>
      </c>
      <c r="BD3130" s="3" t="s">
        <v>538</v>
      </c>
      <c r="BE3130" s="3" t="s">
        <v>26049</v>
      </c>
      <c r="BF3130" s="3" t="s">
        <v>26048</v>
      </c>
      <c r="BG3130" s="3" t="s">
        <v>26050</v>
      </c>
    </row>
    <row r="3131" spans="1:59" ht="60" x14ac:dyDescent="0.25">
      <c r="A3131" s="2" t="s">
        <v>59</v>
      </c>
      <c r="B3131" s="2" t="s">
        <v>60</v>
      </c>
      <c r="C3131" s="2" t="s">
        <v>26040</v>
      </c>
      <c r="D3131" s="2" t="s">
        <v>26041</v>
      </c>
      <c r="E3131" s="2" t="s">
        <v>26042</v>
      </c>
      <c r="G3131" s="3" t="s">
        <v>63</v>
      </c>
      <c r="I3131" s="3" t="s">
        <v>62</v>
      </c>
      <c r="J3131" s="3" t="s">
        <v>63</v>
      </c>
      <c r="K3131" s="3" t="s">
        <v>64</v>
      </c>
      <c r="L3131" s="2" t="s">
        <v>5944</v>
      </c>
      <c r="M3131" s="2" t="s">
        <v>26043</v>
      </c>
      <c r="N3131" s="3" t="s">
        <v>204</v>
      </c>
      <c r="P3131" s="3" t="s">
        <v>66</v>
      </c>
      <c r="Q3131" s="2" t="s">
        <v>26044</v>
      </c>
      <c r="R3131" s="3" t="s">
        <v>67</v>
      </c>
      <c r="S3131" s="4">
        <v>15</v>
      </c>
      <c r="T3131" s="4">
        <v>19</v>
      </c>
      <c r="U3131" s="5" t="s">
        <v>13212</v>
      </c>
      <c r="V3131" s="5" t="s">
        <v>5835</v>
      </c>
      <c r="W3131" s="5" t="s">
        <v>69</v>
      </c>
      <c r="X3131" s="5" t="s">
        <v>69</v>
      </c>
      <c r="Y3131" s="4">
        <v>193</v>
      </c>
      <c r="Z3131" s="4">
        <v>9</v>
      </c>
      <c r="AA3131" s="4">
        <v>25</v>
      </c>
      <c r="AB3131" s="4">
        <v>1</v>
      </c>
      <c r="AC3131" s="4">
        <v>4</v>
      </c>
      <c r="AD3131" s="4">
        <v>17</v>
      </c>
      <c r="AE3131" s="4">
        <v>111</v>
      </c>
      <c r="AF3131" s="4">
        <v>0</v>
      </c>
      <c r="AG3131" s="4">
        <v>2</v>
      </c>
      <c r="AH3131" s="4">
        <v>16</v>
      </c>
      <c r="AI3131" s="4">
        <v>100</v>
      </c>
      <c r="AJ3131" s="4">
        <v>5</v>
      </c>
      <c r="AK3131" s="4">
        <v>13</v>
      </c>
      <c r="AL3131" s="4">
        <v>8</v>
      </c>
      <c r="AM3131" s="4">
        <v>54</v>
      </c>
      <c r="AN3131" s="4">
        <v>0</v>
      </c>
      <c r="AO3131" s="4">
        <v>0</v>
      </c>
      <c r="AP3131" s="4">
        <v>5</v>
      </c>
      <c r="AQ3131" s="4">
        <v>16</v>
      </c>
      <c r="AR3131" s="3" t="s">
        <v>63</v>
      </c>
      <c r="AS3131" s="3" t="s">
        <v>63</v>
      </c>
      <c r="AT3131" s="3" t="s">
        <v>62</v>
      </c>
      <c r="AU3131" s="6" t="str">
        <f>HYPERLINK("http://catalog.hathitrust.org/Record/003102272","HathiTrust Record")</f>
        <v>HathiTrust Record</v>
      </c>
      <c r="AV3131" s="6" t="str">
        <f>HYPERLINK("http://mcgill.on.worldcat.org/oclc/150834698","Catalog Record")</f>
        <v>Catalog Record</v>
      </c>
      <c r="AW3131" s="6" t="str">
        <f>HYPERLINK("http://www.worldcat.org/oclc/150834698","WorldCat Record")</f>
        <v>WorldCat Record</v>
      </c>
      <c r="AX3131" s="3" t="s">
        <v>26045</v>
      </c>
      <c r="AY3131" s="3" t="s">
        <v>26046</v>
      </c>
      <c r="AZ3131" s="3" t="s">
        <v>26047</v>
      </c>
      <c r="BA3131" s="3" t="s">
        <v>26047</v>
      </c>
      <c r="BB3131" s="3" t="s">
        <v>26051</v>
      </c>
      <c r="BC3131" s="3" t="s">
        <v>82</v>
      </c>
      <c r="BD3131" s="3" t="s">
        <v>70</v>
      </c>
      <c r="BE3131" s="3" t="s">
        <v>26049</v>
      </c>
      <c r="BF3131" s="3" t="s">
        <v>26051</v>
      </c>
      <c r="BG3131" s="3" t="s">
        <v>26052</v>
      </c>
    </row>
    <row r="3132" spans="1:59" ht="60" x14ac:dyDescent="0.25">
      <c r="A3132" s="2" t="s">
        <v>59</v>
      </c>
      <c r="B3132" s="2" t="s">
        <v>60</v>
      </c>
      <c r="C3132" s="2" t="s">
        <v>26053</v>
      </c>
      <c r="D3132" s="2" t="s">
        <v>26054</v>
      </c>
      <c r="E3132" s="2" t="s">
        <v>26055</v>
      </c>
      <c r="G3132" s="3" t="s">
        <v>63</v>
      </c>
      <c r="I3132" s="3" t="s">
        <v>63</v>
      </c>
      <c r="J3132" s="3" t="s">
        <v>63</v>
      </c>
      <c r="K3132" s="3" t="s">
        <v>64</v>
      </c>
      <c r="L3132" s="2" t="s">
        <v>5944</v>
      </c>
      <c r="M3132" s="2" t="s">
        <v>26043</v>
      </c>
      <c r="N3132" s="3" t="s">
        <v>204</v>
      </c>
      <c r="P3132" s="3" t="s">
        <v>66</v>
      </c>
      <c r="Q3132" s="2" t="s">
        <v>26056</v>
      </c>
      <c r="R3132" s="3" t="s">
        <v>67</v>
      </c>
      <c r="S3132" s="4">
        <v>55</v>
      </c>
      <c r="T3132" s="4">
        <v>55</v>
      </c>
      <c r="U3132" s="5" t="s">
        <v>26057</v>
      </c>
      <c r="V3132" s="5" t="s">
        <v>26057</v>
      </c>
      <c r="W3132" s="5" t="s">
        <v>69</v>
      </c>
      <c r="X3132" s="5" t="s">
        <v>69</v>
      </c>
      <c r="Y3132" s="4">
        <v>199</v>
      </c>
      <c r="Z3132" s="4">
        <v>8</v>
      </c>
      <c r="AA3132" s="4">
        <v>11</v>
      </c>
      <c r="AB3132" s="4">
        <v>1</v>
      </c>
      <c r="AC3132" s="4">
        <v>2</v>
      </c>
      <c r="AD3132" s="4">
        <v>18</v>
      </c>
      <c r="AE3132" s="4">
        <v>19</v>
      </c>
      <c r="AF3132" s="4">
        <v>0</v>
      </c>
      <c r="AG3132" s="4">
        <v>1</v>
      </c>
      <c r="AH3132" s="4">
        <v>17</v>
      </c>
      <c r="AI3132" s="4">
        <v>17</v>
      </c>
      <c r="AJ3132" s="4">
        <v>5</v>
      </c>
      <c r="AK3132" s="4">
        <v>6</v>
      </c>
      <c r="AL3132" s="4">
        <v>8</v>
      </c>
      <c r="AM3132" s="4">
        <v>8</v>
      </c>
      <c r="AN3132" s="4">
        <v>0</v>
      </c>
      <c r="AO3132" s="4">
        <v>0</v>
      </c>
      <c r="AP3132" s="4">
        <v>5</v>
      </c>
      <c r="AQ3132" s="4">
        <v>5</v>
      </c>
      <c r="AR3132" s="3" t="s">
        <v>63</v>
      </c>
      <c r="AS3132" s="3" t="s">
        <v>63</v>
      </c>
      <c r="AT3132" s="3" t="s">
        <v>62</v>
      </c>
      <c r="AU3132" s="6" t="str">
        <f>HYPERLINK("http://catalog.hathitrust.org/Record/003102273","HathiTrust Record")</f>
        <v>HathiTrust Record</v>
      </c>
      <c r="AV3132" s="6" t="str">
        <f>HYPERLINK("http://mcgill.on.worldcat.org/oclc/228666201","Catalog Record")</f>
        <v>Catalog Record</v>
      </c>
      <c r="AW3132" s="6" t="str">
        <f>HYPERLINK("http://www.worldcat.org/oclc/228666201","WorldCat Record")</f>
        <v>WorldCat Record</v>
      </c>
      <c r="AX3132" s="3" t="s">
        <v>26058</v>
      </c>
      <c r="AY3132" s="3" t="s">
        <v>26059</v>
      </c>
      <c r="AZ3132" s="3" t="s">
        <v>26060</v>
      </c>
      <c r="BA3132" s="3" t="s">
        <v>26060</v>
      </c>
      <c r="BB3132" s="3" t="s">
        <v>26061</v>
      </c>
      <c r="BC3132" s="3" t="s">
        <v>82</v>
      </c>
      <c r="BD3132" s="3" t="s">
        <v>70</v>
      </c>
      <c r="BE3132" s="3" t="s">
        <v>26062</v>
      </c>
      <c r="BF3132" s="3" t="s">
        <v>26061</v>
      </c>
      <c r="BG3132" s="3" t="s">
        <v>26063</v>
      </c>
    </row>
    <row r="3133" spans="1:59" ht="60" x14ac:dyDescent="0.25">
      <c r="A3133" s="2" t="s">
        <v>59</v>
      </c>
      <c r="B3133" s="2" t="s">
        <v>60</v>
      </c>
      <c r="C3133" s="2" t="s">
        <v>26064</v>
      </c>
      <c r="D3133" s="2" t="s">
        <v>26065</v>
      </c>
      <c r="E3133" s="2" t="s">
        <v>26066</v>
      </c>
      <c r="G3133" s="3" t="s">
        <v>63</v>
      </c>
      <c r="I3133" s="3" t="s">
        <v>63</v>
      </c>
      <c r="J3133" s="3" t="s">
        <v>63</v>
      </c>
      <c r="K3133" s="3" t="s">
        <v>64</v>
      </c>
      <c r="L3133" s="2" t="s">
        <v>5944</v>
      </c>
      <c r="M3133" s="2" t="s">
        <v>26043</v>
      </c>
      <c r="N3133" s="3" t="s">
        <v>204</v>
      </c>
      <c r="P3133" s="3" t="s">
        <v>66</v>
      </c>
      <c r="Q3133" s="2" t="s">
        <v>26067</v>
      </c>
      <c r="R3133" s="3" t="s">
        <v>67</v>
      </c>
      <c r="S3133" s="4">
        <v>12</v>
      </c>
      <c r="T3133" s="4">
        <v>12</v>
      </c>
      <c r="U3133" s="5" t="s">
        <v>815</v>
      </c>
      <c r="V3133" s="5" t="s">
        <v>815</v>
      </c>
      <c r="W3133" s="5" t="s">
        <v>69</v>
      </c>
      <c r="X3133" s="5" t="s">
        <v>69</v>
      </c>
      <c r="Y3133" s="4">
        <v>150</v>
      </c>
      <c r="Z3133" s="4">
        <v>8</v>
      </c>
      <c r="AA3133" s="4">
        <v>22</v>
      </c>
      <c r="AB3133" s="4">
        <v>1</v>
      </c>
      <c r="AC3133" s="4">
        <v>3</v>
      </c>
      <c r="AD3133" s="4">
        <v>18</v>
      </c>
      <c r="AE3133" s="4">
        <v>110</v>
      </c>
      <c r="AF3133" s="4">
        <v>0</v>
      </c>
      <c r="AG3133" s="4">
        <v>2</v>
      </c>
      <c r="AH3133" s="4">
        <v>15</v>
      </c>
      <c r="AI3133" s="4">
        <v>97</v>
      </c>
      <c r="AJ3133" s="4">
        <v>4</v>
      </c>
      <c r="AK3133" s="4">
        <v>13</v>
      </c>
      <c r="AL3133" s="4">
        <v>10</v>
      </c>
      <c r="AM3133" s="4">
        <v>53</v>
      </c>
      <c r="AN3133" s="4">
        <v>0</v>
      </c>
      <c r="AO3133" s="4">
        <v>0</v>
      </c>
      <c r="AP3133" s="4">
        <v>4</v>
      </c>
      <c r="AQ3133" s="4">
        <v>16</v>
      </c>
      <c r="AR3133" s="3" t="s">
        <v>63</v>
      </c>
      <c r="AS3133" s="3" t="s">
        <v>63</v>
      </c>
      <c r="AT3133" s="3" t="s">
        <v>62</v>
      </c>
      <c r="AU3133" s="6" t="str">
        <f>HYPERLINK("http://catalog.hathitrust.org/Record/003102274","HathiTrust Record")</f>
        <v>HathiTrust Record</v>
      </c>
      <c r="AV3133" s="6" t="str">
        <f>HYPERLINK("http://mcgill.on.worldcat.org/oclc/228666200","Catalog Record")</f>
        <v>Catalog Record</v>
      </c>
      <c r="AW3133" s="6" t="str">
        <f>HYPERLINK("http://www.worldcat.org/oclc/228666200","WorldCat Record")</f>
        <v>WorldCat Record</v>
      </c>
      <c r="AX3133" s="3" t="s">
        <v>26068</v>
      </c>
      <c r="AY3133" s="3" t="s">
        <v>26069</v>
      </c>
      <c r="AZ3133" s="3" t="s">
        <v>26070</v>
      </c>
      <c r="BA3133" s="3" t="s">
        <v>26070</v>
      </c>
      <c r="BB3133" s="3" t="s">
        <v>26071</v>
      </c>
      <c r="BC3133" s="3" t="s">
        <v>82</v>
      </c>
      <c r="BD3133" s="3" t="s">
        <v>538</v>
      </c>
      <c r="BE3133" s="3" t="s">
        <v>26072</v>
      </c>
      <c r="BF3133" s="3" t="s">
        <v>26071</v>
      </c>
      <c r="BG3133" s="3" t="s">
        <v>26073</v>
      </c>
    </row>
    <row r="3134" spans="1:59" ht="60" x14ac:dyDescent="0.25">
      <c r="A3134" s="2" t="s">
        <v>59</v>
      </c>
      <c r="B3134" s="2" t="s">
        <v>60</v>
      </c>
      <c r="C3134" s="2" t="s">
        <v>26074</v>
      </c>
      <c r="D3134" s="2" t="s">
        <v>26075</v>
      </c>
      <c r="E3134" s="2" t="s">
        <v>26076</v>
      </c>
      <c r="G3134" s="3" t="s">
        <v>63</v>
      </c>
      <c r="I3134" s="3" t="s">
        <v>63</v>
      </c>
      <c r="J3134" s="3" t="s">
        <v>62</v>
      </c>
      <c r="K3134" s="3" t="s">
        <v>64</v>
      </c>
      <c r="L3134" s="2" t="s">
        <v>5944</v>
      </c>
      <c r="M3134" s="2" t="s">
        <v>26077</v>
      </c>
      <c r="N3134" s="3" t="s">
        <v>1113</v>
      </c>
      <c r="O3134" s="2" t="s">
        <v>26078</v>
      </c>
      <c r="P3134" s="3" t="s">
        <v>66</v>
      </c>
      <c r="R3134" s="3" t="s">
        <v>67</v>
      </c>
      <c r="S3134" s="4">
        <v>70</v>
      </c>
      <c r="T3134" s="4">
        <v>70</v>
      </c>
      <c r="U3134" s="5" t="s">
        <v>26079</v>
      </c>
      <c r="V3134" s="5" t="s">
        <v>26079</v>
      </c>
      <c r="W3134" s="5" t="s">
        <v>69</v>
      </c>
      <c r="X3134" s="5" t="s">
        <v>69</v>
      </c>
      <c r="Y3134" s="4">
        <v>197</v>
      </c>
      <c r="Z3134" s="4">
        <v>3</v>
      </c>
      <c r="AA3134" s="4">
        <v>57</v>
      </c>
      <c r="AB3134" s="4">
        <v>1</v>
      </c>
      <c r="AC3134" s="4">
        <v>4</v>
      </c>
      <c r="AD3134" s="4">
        <v>22</v>
      </c>
      <c r="AE3134" s="4">
        <v>124</v>
      </c>
      <c r="AF3134" s="4">
        <v>0</v>
      </c>
      <c r="AG3134" s="4">
        <v>1</v>
      </c>
      <c r="AH3134" s="4">
        <v>21</v>
      </c>
      <c r="AI3134" s="4">
        <v>104</v>
      </c>
      <c r="AJ3134" s="4">
        <v>0</v>
      </c>
      <c r="AK3134" s="4">
        <v>17</v>
      </c>
      <c r="AL3134" s="4">
        <v>14</v>
      </c>
      <c r="AM3134" s="4">
        <v>58</v>
      </c>
      <c r="AN3134" s="4">
        <v>0</v>
      </c>
      <c r="AO3134" s="4">
        <v>1</v>
      </c>
      <c r="AP3134" s="4">
        <v>1</v>
      </c>
      <c r="AQ3134" s="4">
        <v>25</v>
      </c>
      <c r="AR3134" s="3" t="s">
        <v>63</v>
      </c>
      <c r="AS3134" s="3" t="s">
        <v>63</v>
      </c>
      <c r="AT3134" s="3" t="s">
        <v>62</v>
      </c>
      <c r="AU3134" s="6" t="str">
        <f>HYPERLINK("http://catalog.hathitrust.org/Record/003026183","HathiTrust Record")</f>
        <v>HathiTrust Record</v>
      </c>
      <c r="AV3134" s="6" t="str">
        <f>HYPERLINK("http://mcgill.on.worldcat.org/oclc/36100994","Catalog Record")</f>
        <v>Catalog Record</v>
      </c>
      <c r="AW3134" s="6" t="str">
        <f>HYPERLINK("http://www.worldcat.org/oclc/36100994","WorldCat Record")</f>
        <v>WorldCat Record</v>
      </c>
      <c r="AX3134" s="3" t="s">
        <v>26080</v>
      </c>
      <c r="AY3134" s="3" t="s">
        <v>26081</v>
      </c>
      <c r="AZ3134" s="3" t="s">
        <v>26082</v>
      </c>
      <c r="BA3134" s="3" t="s">
        <v>26082</v>
      </c>
      <c r="BB3134" s="3" t="s">
        <v>26083</v>
      </c>
      <c r="BC3134" s="3" t="s">
        <v>82</v>
      </c>
      <c r="BD3134" s="3" t="s">
        <v>70</v>
      </c>
      <c r="BE3134" s="3" t="s">
        <v>26084</v>
      </c>
      <c r="BF3134" s="3" t="s">
        <v>26083</v>
      </c>
      <c r="BG3134" s="3" t="s">
        <v>26085</v>
      </c>
    </row>
    <row r="3135" spans="1:59" ht="60" x14ac:dyDescent="0.25">
      <c r="A3135" s="2" t="s">
        <v>59</v>
      </c>
      <c r="B3135" s="2" t="s">
        <v>60</v>
      </c>
      <c r="C3135" s="2" t="s">
        <v>26086</v>
      </c>
      <c r="D3135" s="2" t="s">
        <v>26087</v>
      </c>
      <c r="E3135" s="2" t="s">
        <v>26088</v>
      </c>
      <c r="G3135" s="3" t="s">
        <v>63</v>
      </c>
      <c r="I3135" s="3" t="s">
        <v>62</v>
      </c>
      <c r="J3135" s="3" t="s">
        <v>63</v>
      </c>
      <c r="K3135" s="3" t="s">
        <v>64</v>
      </c>
      <c r="L3135" s="2" t="s">
        <v>14234</v>
      </c>
      <c r="M3135" s="2" t="s">
        <v>26089</v>
      </c>
      <c r="N3135" s="3" t="s">
        <v>1296</v>
      </c>
      <c r="O3135" s="2" t="s">
        <v>1605</v>
      </c>
      <c r="P3135" s="3" t="s">
        <v>66</v>
      </c>
      <c r="R3135" s="3" t="s">
        <v>67</v>
      </c>
      <c r="S3135" s="4">
        <v>27</v>
      </c>
      <c r="T3135" s="4">
        <v>68</v>
      </c>
      <c r="U3135" s="5" t="s">
        <v>22431</v>
      </c>
      <c r="V3135" s="5" t="s">
        <v>26090</v>
      </c>
      <c r="W3135" s="5" t="s">
        <v>69</v>
      </c>
      <c r="X3135" s="5" t="s">
        <v>69</v>
      </c>
      <c r="Y3135" s="4">
        <v>1623</v>
      </c>
      <c r="Z3135" s="4">
        <v>56</v>
      </c>
      <c r="AA3135" s="4">
        <v>91</v>
      </c>
      <c r="AB3135" s="4">
        <v>4</v>
      </c>
      <c r="AC3135" s="4">
        <v>10</v>
      </c>
      <c r="AD3135" s="4">
        <v>126</v>
      </c>
      <c r="AE3135" s="4">
        <v>149</v>
      </c>
      <c r="AF3135" s="4">
        <v>1</v>
      </c>
      <c r="AG3135" s="4">
        <v>3</v>
      </c>
      <c r="AH3135" s="4">
        <v>103</v>
      </c>
      <c r="AI3135" s="4">
        <v>112</v>
      </c>
      <c r="AJ3135" s="4">
        <v>20</v>
      </c>
      <c r="AK3135" s="4">
        <v>24</v>
      </c>
      <c r="AL3135" s="4">
        <v>58</v>
      </c>
      <c r="AM3135" s="4">
        <v>62</v>
      </c>
      <c r="AN3135" s="4">
        <v>0</v>
      </c>
      <c r="AO3135" s="4">
        <v>0</v>
      </c>
      <c r="AP3135" s="4">
        <v>27</v>
      </c>
      <c r="AQ3135" s="4">
        <v>43</v>
      </c>
      <c r="AR3135" s="3" t="s">
        <v>63</v>
      </c>
      <c r="AS3135" s="3" t="s">
        <v>63</v>
      </c>
      <c r="AT3135" s="3" t="s">
        <v>62</v>
      </c>
      <c r="AU3135" s="6" t="str">
        <f>HYPERLINK("http://catalog.hathitrust.org/Record/001028974","HathiTrust Record")</f>
        <v>HathiTrust Record</v>
      </c>
      <c r="AV3135" s="6" t="str">
        <f>HYPERLINK("http://mcgill.on.worldcat.org/oclc/7218","Catalog Record")</f>
        <v>Catalog Record</v>
      </c>
      <c r="AW3135" s="6" t="str">
        <f>HYPERLINK("http://www.worldcat.org/oclc/7218","WorldCat Record")</f>
        <v>WorldCat Record</v>
      </c>
      <c r="AX3135" s="3" t="s">
        <v>26091</v>
      </c>
      <c r="AY3135" s="3" t="s">
        <v>26092</v>
      </c>
      <c r="AZ3135" s="3" t="s">
        <v>26093</v>
      </c>
      <c r="BA3135" s="3" t="s">
        <v>26093</v>
      </c>
      <c r="BB3135" s="3" t="s">
        <v>26094</v>
      </c>
      <c r="BC3135" s="3" t="s">
        <v>82</v>
      </c>
      <c r="BD3135" s="3" t="s">
        <v>70</v>
      </c>
      <c r="BE3135" s="3" t="s">
        <v>26095</v>
      </c>
      <c r="BF3135" s="3" t="s">
        <v>26094</v>
      </c>
      <c r="BG3135" s="3" t="s">
        <v>26096</v>
      </c>
    </row>
    <row r="3136" spans="1:59" ht="60" x14ac:dyDescent="0.25">
      <c r="A3136" s="2" t="s">
        <v>59</v>
      </c>
      <c r="B3136" s="2" t="s">
        <v>60</v>
      </c>
      <c r="C3136" s="2" t="s">
        <v>26086</v>
      </c>
      <c r="D3136" s="2" t="s">
        <v>26087</v>
      </c>
      <c r="E3136" s="2" t="s">
        <v>26088</v>
      </c>
      <c r="G3136" s="3" t="s">
        <v>63</v>
      </c>
      <c r="I3136" s="3" t="s">
        <v>62</v>
      </c>
      <c r="J3136" s="3" t="s">
        <v>63</v>
      </c>
      <c r="K3136" s="3" t="s">
        <v>64</v>
      </c>
      <c r="L3136" s="2" t="s">
        <v>14234</v>
      </c>
      <c r="M3136" s="2" t="s">
        <v>26089</v>
      </c>
      <c r="N3136" s="3" t="s">
        <v>1296</v>
      </c>
      <c r="O3136" s="2" t="s">
        <v>1605</v>
      </c>
      <c r="P3136" s="3" t="s">
        <v>66</v>
      </c>
      <c r="R3136" s="3" t="s">
        <v>67</v>
      </c>
      <c r="S3136" s="4">
        <v>20</v>
      </c>
      <c r="T3136" s="4">
        <v>68</v>
      </c>
      <c r="U3136" s="5" t="s">
        <v>26090</v>
      </c>
      <c r="V3136" s="5" t="s">
        <v>26090</v>
      </c>
      <c r="W3136" s="5" t="s">
        <v>69</v>
      </c>
      <c r="X3136" s="5" t="s">
        <v>69</v>
      </c>
      <c r="Y3136" s="4">
        <v>1623</v>
      </c>
      <c r="Z3136" s="4">
        <v>56</v>
      </c>
      <c r="AA3136" s="4">
        <v>91</v>
      </c>
      <c r="AB3136" s="4">
        <v>4</v>
      </c>
      <c r="AC3136" s="4">
        <v>10</v>
      </c>
      <c r="AD3136" s="4">
        <v>126</v>
      </c>
      <c r="AE3136" s="4">
        <v>149</v>
      </c>
      <c r="AF3136" s="4">
        <v>1</v>
      </c>
      <c r="AG3136" s="4">
        <v>3</v>
      </c>
      <c r="AH3136" s="4">
        <v>103</v>
      </c>
      <c r="AI3136" s="4">
        <v>112</v>
      </c>
      <c r="AJ3136" s="4">
        <v>20</v>
      </c>
      <c r="AK3136" s="4">
        <v>24</v>
      </c>
      <c r="AL3136" s="4">
        <v>58</v>
      </c>
      <c r="AM3136" s="4">
        <v>62</v>
      </c>
      <c r="AN3136" s="4">
        <v>0</v>
      </c>
      <c r="AO3136" s="4">
        <v>0</v>
      </c>
      <c r="AP3136" s="4">
        <v>27</v>
      </c>
      <c r="AQ3136" s="4">
        <v>43</v>
      </c>
      <c r="AR3136" s="3" t="s">
        <v>63</v>
      </c>
      <c r="AS3136" s="3" t="s">
        <v>63</v>
      </c>
      <c r="AT3136" s="3" t="s">
        <v>62</v>
      </c>
      <c r="AU3136" s="6" t="str">
        <f>HYPERLINK("http://catalog.hathitrust.org/Record/001028974","HathiTrust Record")</f>
        <v>HathiTrust Record</v>
      </c>
      <c r="AV3136" s="6" t="str">
        <f>HYPERLINK("http://mcgill.on.worldcat.org/oclc/7218","Catalog Record")</f>
        <v>Catalog Record</v>
      </c>
      <c r="AW3136" s="6" t="str">
        <f>HYPERLINK("http://www.worldcat.org/oclc/7218","WorldCat Record")</f>
        <v>WorldCat Record</v>
      </c>
      <c r="AX3136" s="3" t="s">
        <v>26091</v>
      </c>
      <c r="AY3136" s="3" t="s">
        <v>26092</v>
      </c>
      <c r="AZ3136" s="3" t="s">
        <v>26093</v>
      </c>
      <c r="BA3136" s="3" t="s">
        <v>26093</v>
      </c>
      <c r="BB3136" s="3" t="s">
        <v>26097</v>
      </c>
      <c r="BC3136" s="3" t="s">
        <v>82</v>
      </c>
      <c r="BD3136" s="3" t="s">
        <v>70</v>
      </c>
      <c r="BE3136" s="3" t="s">
        <v>26095</v>
      </c>
      <c r="BF3136" s="3" t="s">
        <v>26097</v>
      </c>
      <c r="BG3136" s="3" t="s">
        <v>26098</v>
      </c>
    </row>
    <row r="3137" spans="1:59" ht="60" x14ac:dyDescent="0.25">
      <c r="A3137" s="2" t="s">
        <v>59</v>
      </c>
      <c r="B3137" s="2" t="s">
        <v>60</v>
      </c>
      <c r="C3137" s="2" t="s">
        <v>26086</v>
      </c>
      <c r="D3137" s="2" t="s">
        <v>26087</v>
      </c>
      <c r="E3137" s="2" t="s">
        <v>26088</v>
      </c>
      <c r="G3137" s="3" t="s">
        <v>63</v>
      </c>
      <c r="I3137" s="3" t="s">
        <v>62</v>
      </c>
      <c r="J3137" s="3" t="s">
        <v>63</v>
      </c>
      <c r="K3137" s="3" t="s">
        <v>64</v>
      </c>
      <c r="L3137" s="2" t="s">
        <v>14234</v>
      </c>
      <c r="M3137" s="2" t="s">
        <v>26089</v>
      </c>
      <c r="N3137" s="3" t="s">
        <v>1296</v>
      </c>
      <c r="O3137" s="2" t="s">
        <v>1605</v>
      </c>
      <c r="P3137" s="3" t="s">
        <v>66</v>
      </c>
      <c r="R3137" s="3" t="s">
        <v>67</v>
      </c>
      <c r="S3137" s="4">
        <v>21</v>
      </c>
      <c r="T3137" s="4">
        <v>68</v>
      </c>
      <c r="U3137" s="5" t="s">
        <v>26099</v>
      </c>
      <c r="V3137" s="5" t="s">
        <v>26090</v>
      </c>
      <c r="W3137" s="5" t="s">
        <v>69</v>
      </c>
      <c r="X3137" s="5" t="s">
        <v>69</v>
      </c>
      <c r="Y3137" s="4">
        <v>1623</v>
      </c>
      <c r="Z3137" s="4">
        <v>56</v>
      </c>
      <c r="AA3137" s="4">
        <v>91</v>
      </c>
      <c r="AB3137" s="4">
        <v>4</v>
      </c>
      <c r="AC3137" s="4">
        <v>10</v>
      </c>
      <c r="AD3137" s="4">
        <v>126</v>
      </c>
      <c r="AE3137" s="4">
        <v>149</v>
      </c>
      <c r="AF3137" s="4">
        <v>1</v>
      </c>
      <c r="AG3137" s="4">
        <v>3</v>
      </c>
      <c r="AH3137" s="4">
        <v>103</v>
      </c>
      <c r="AI3137" s="4">
        <v>112</v>
      </c>
      <c r="AJ3137" s="4">
        <v>20</v>
      </c>
      <c r="AK3137" s="4">
        <v>24</v>
      </c>
      <c r="AL3137" s="4">
        <v>58</v>
      </c>
      <c r="AM3137" s="4">
        <v>62</v>
      </c>
      <c r="AN3137" s="4">
        <v>0</v>
      </c>
      <c r="AO3137" s="4">
        <v>0</v>
      </c>
      <c r="AP3137" s="4">
        <v>27</v>
      </c>
      <c r="AQ3137" s="4">
        <v>43</v>
      </c>
      <c r="AR3137" s="3" t="s">
        <v>63</v>
      </c>
      <c r="AS3137" s="3" t="s">
        <v>63</v>
      </c>
      <c r="AT3137" s="3" t="s">
        <v>62</v>
      </c>
      <c r="AU3137" s="6" t="str">
        <f>HYPERLINK("http://catalog.hathitrust.org/Record/001028974","HathiTrust Record")</f>
        <v>HathiTrust Record</v>
      </c>
      <c r="AV3137" s="6" t="str">
        <f>HYPERLINK("http://mcgill.on.worldcat.org/oclc/7218","Catalog Record")</f>
        <v>Catalog Record</v>
      </c>
      <c r="AW3137" s="6" t="str">
        <f>HYPERLINK("http://www.worldcat.org/oclc/7218","WorldCat Record")</f>
        <v>WorldCat Record</v>
      </c>
      <c r="AX3137" s="3" t="s">
        <v>26091</v>
      </c>
      <c r="AY3137" s="3" t="s">
        <v>26092</v>
      </c>
      <c r="AZ3137" s="3" t="s">
        <v>26093</v>
      </c>
      <c r="BA3137" s="3" t="s">
        <v>26093</v>
      </c>
      <c r="BB3137" s="3" t="s">
        <v>26100</v>
      </c>
      <c r="BC3137" s="3" t="s">
        <v>82</v>
      </c>
      <c r="BD3137" s="3" t="s">
        <v>538</v>
      </c>
      <c r="BE3137" s="3" t="s">
        <v>26095</v>
      </c>
      <c r="BF3137" s="3" t="s">
        <v>26100</v>
      </c>
      <c r="BG3137" s="3" t="s">
        <v>26101</v>
      </c>
    </row>
    <row r="3138" spans="1:59" ht="60" x14ac:dyDescent="0.25">
      <c r="A3138" s="2" t="s">
        <v>59</v>
      </c>
      <c r="B3138" s="2" t="s">
        <v>60</v>
      </c>
      <c r="C3138" s="2" t="s">
        <v>26102</v>
      </c>
      <c r="D3138" s="2" t="s">
        <v>26103</v>
      </c>
      <c r="E3138" s="2" t="s">
        <v>26104</v>
      </c>
      <c r="G3138" s="3" t="s">
        <v>63</v>
      </c>
      <c r="I3138" s="3" t="s">
        <v>63</v>
      </c>
      <c r="J3138" s="3" t="s">
        <v>63</v>
      </c>
      <c r="K3138" s="3" t="s">
        <v>64</v>
      </c>
      <c r="L3138" s="2" t="s">
        <v>26105</v>
      </c>
      <c r="M3138" s="2" t="s">
        <v>26106</v>
      </c>
      <c r="N3138" s="3" t="s">
        <v>1916</v>
      </c>
      <c r="P3138" s="3" t="s">
        <v>66</v>
      </c>
      <c r="Q3138" s="2" t="s">
        <v>26107</v>
      </c>
      <c r="R3138" s="3" t="s">
        <v>67</v>
      </c>
      <c r="S3138" s="4">
        <v>6</v>
      </c>
      <c r="T3138" s="4">
        <v>6</v>
      </c>
      <c r="U3138" s="5" t="s">
        <v>25987</v>
      </c>
      <c r="V3138" s="5" t="s">
        <v>25987</v>
      </c>
      <c r="W3138" s="5" t="s">
        <v>69</v>
      </c>
      <c r="X3138" s="5" t="s">
        <v>69</v>
      </c>
      <c r="Y3138" s="4">
        <v>154</v>
      </c>
      <c r="Z3138" s="4">
        <v>10</v>
      </c>
      <c r="AA3138" s="4">
        <v>10</v>
      </c>
      <c r="AB3138" s="4">
        <v>1</v>
      </c>
      <c r="AC3138" s="4">
        <v>1</v>
      </c>
      <c r="AD3138" s="4">
        <v>77</v>
      </c>
      <c r="AE3138" s="4">
        <v>77</v>
      </c>
      <c r="AF3138" s="4">
        <v>0</v>
      </c>
      <c r="AG3138" s="4">
        <v>0</v>
      </c>
      <c r="AH3138" s="4">
        <v>73</v>
      </c>
      <c r="AI3138" s="4">
        <v>73</v>
      </c>
      <c r="AJ3138" s="4">
        <v>7</v>
      </c>
      <c r="AK3138" s="4">
        <v>7</v>
      </c>
      <c r="AL3138" s="4">
        <v>48</v>
      </c>
      <c r="AM3138" s="4">
        <v>48</v>
      </c>
      <c r="AN3138" s="4">
        <v>0</v>
      </c>
      <c r="AO3138" s="4">
        <v>0</v>
      </c>
      <c r="AP3138" s="4">
        <v>8</v>
      </c>
      <c r="AQ3138" s="4">
        <v>8</v>
      </c>
      <c r="AR3138" s="3" t="s">
        <v>63</v>
      </c>
      <c r="AS3138" s="3" t="s">
        <v>63</v>
      </c>
      <c r="AT3138" s="3" t="s">
        <v>62</v>
      </c>
      <c r="AU3138" s="6" t="str">
        <f>HYPERLINK("http://catalog.hathitrust.org/Record/007105767","HathiTrust Record")</f>
        <v>HathiTrust Record</v>
      </c>
      <c r="AV3138" s="6" t="str">
        <f>HYPERLINK("http://mcgill.on.worldcat.org/oclc/11866975","Catalog Record")</f>
        <v>Catalog Record</v>
      </c>
      <c r="AW3138" s="6" t="str">
        <f>HYPERLINK("http://www.worldcat.org/oclc/11866975","WorldCat Record")</f>
        <v>WorldCat Record</v>
      </c>
      <c r="AX3138" s="3" t="s">
        <v>26108</v>
      </c>
      <c r="AY3138" s="3" t="s">
        <v>26109</v>
      </c>
      <c r="AZ3138" s="3" t="s">
        <v>26110</v>
      </c>
      <c r="BA3138" s="3" t="s">
        <v>26110</v>
      </c>
      <c r="BB3138" s="3" t="s">
        <v>26111</v>
      </c>
      <c r="BC3138" s="3" t="s">
        <v>82</v>
      </c>
      <c r="BD3138" s="3" t="s">
        <v>70</v>
      </c>
      <c r="BE3138" s="3" t="s">
        <v>26112</v>
      </c>
      <c r="BF3138" s="3" t="s">
        <v>26111</v>
      </c>
      <c r="BG3138" s="3" t="s">
        <v>26113</v>
      </c>
    </row>
    <row r="3139" spans="1:59" ht="60" x14ac:dyDescent="0.25">
      <c r="A3139" s="2" t="s">
        <v>59</v>
      </c>
      <c r="B3139" s="2" t="s">
        <v>60</v>
      </c>
      <c r="C3139" s="2" t="s">
        <v>26114</v>
      </c>
      <c r="D3139" s="2" t="s">
        <v>26115</v>
      </c>
      <c r="E3139" s="2" t="s">
        <v>26116</v>
      </c>
      <c r="G3139" s="3" t="s">
        <v>63</v>
      </c>
      <c r="I3139" s="3" t="s">
        <v>62</v>
      </c>
      <c r="J3139" s="3" t="s">
        <v>63</v>
      </c>
      <c r="K3139" s="3" t="s">
        <v>64</v>
      </c>
      <c r="L3139" s="2" t="s">
        <v>5944</v>
      </c>
      <c r="M3139" s="2" t="s">
        <v>26117</v>
      </c>
      <c r="N3139" s="3" t="s">
        <v>2271</v>
      </c>
      <c r="P3139" s="3" t="s">
        <v>66</v>
      </c>
      <c r="Q3139" s="2" t="s">
        <v>26118</v>
      </c>
      <c r="R3139" s="3" t="s">
        <v>67</v>
      </c>
      <c r="S3139" s="4">
        <v>27</v>
      </c>
      <c r="T3139" s="4">
        <v>27</v>
      </c>
      <c r="U3139" s="5" t="s">
        <v>7896</v>
      </c>
      <c r="V3139" s="5" t="s">
        <v>7896</v>
      </c>
      <c r="W3139" s="5" t="s">
        <v>69</v>
      </c>
      <c r="X3139" s="5" t="s">
        <v>69</v>
      </c>
      <c r="Y3139" s="4">
        <v>1047</v>
      </c>
      <c r="Z3139" s="4">
        <v>36</v>
      </c>
      <c r="AA3139" s="4">
        <v>59</v>
      </c>
      <c r="AB3139" s="4">
        <v>4</v>
      </c>
      <c r="AC3139" s="4">
        <v>7</v>
      </c>
      <c r="AD3139" s="4">
        <v>114</v>
      </c>
      <c r="AE3139" s="4">
        <v>129</v>
      </c>
      <c r="AF3139" s="4">
        <v>1</v>
      </c>
      <c r="AG3139" s="4">
        <v>2</v>
      </c>
      <c r="AH3139" s="4">
        <v>100</v>
      </c>
      <c r="AI3139" s="4">
        <v>105</v>
      </c>
      <c r="AJ3139" s="4">
        <v>14</v>
      </c>
      <c r="AK3139" s="4">
        <v>22</v>
      </c>
      <c r="AL3139" s="4">
        <v>54</v>
      </c>
      <c r="AM3139" s="4">
        <v>56</v>
      </c>
      <c r="AN3139" s="4">
        <v>0</v>
      </c>
      <c r="AO3139" s="4">
        <v>1</v>
      </c>
      <c r="AP3139" s="4">
        <v>20</v>
      </c>
      <c r="AQ3139" s="4">
        <v>30</v>
      </c>
      <c r="AR3139" s="3" t="s">
        <v>63</v>
      </c>
      <c r="AS3139" s="3" t="s">
        <v>63</v>
      </c>
      <c r="AT3139" s="3" t="s">
        <v>63</v>
      </c>
      <c r="AU3139" s="6" t="str">
        <f>HYPERLINK("http://catalog.hathitrust.org/Record/001060042","HathiTrust Record")</f>
        <v>HathiTrust Record</v>
      </c>
      <c r="AV3139" s="6" t="str">
        <f>HYPERLINK("http://mcgill.on.worldcat.org/oclc/265075","Catalog Record")</f>
        <v>Catalog Record</v>
      </c>
      <c r="AW3139" s="6" t="str">
        <f>HYPERLINK("http://www.worldcat.org/oclc/265075","WorldCat Record")</f>
        <v>WorldCat Record</v>
      </c>
      <c r="AX3139" s="3" t="s">
        <v>26119</v>
      </c>
      <c r="AY3139" s="3" t="s">
        <v>26120</v>
      </c>
      <c r="AZ3139" s="3" t="s">
        <v>26121</v>
      </c>
      <c r="BA3139" s="3" t="s">
        <v>26121</v>
      </c>
      <c r="BB3139" s="3" t="s">
        <v>26122</v>
      </c>
      <c r="BC3139" s="3" t="s">
        <v>82</v>
      </c>
      <c r="BD3139" s="3" t="s">
        <v>70</v>
      </c>
      <c r="BE3139" s="3" t="s">
        <v>26123</v>
      </c>
      <c r="BF3139" s="3" t="s">
        <v>26122</v>
      </c>
      <c r="BG3139" s="3" t="s">
        <v>26124</v>
      </c>
    </row>
    <row r="3140" spans="1:59" ht="60" x14ac:dyDescent="0.25">
      <c r="A3140" s="2" t="s">
        <v>59</v>
      </c>
      <c r="B3140" s="2" t="s">
        <v>60</v>
      </c>
      <c r="C3140" s="2" t="s">
        <v>26125</v>
      </c>
      <c r="D3140" s="2" t="s">
        <v>26126</v>
      </c>
      <c r="E3140" s="2" t="s">
        <v>26127</v>
      </c>
      <c r="G3140" s="3" t="s">
        <v>63</v>
      </c>
      <c r="I3140" s="3" t="s">
        <v>63</v>
      </c>
      <c r="J3140" s="3" t="s">
        <v>63</v>
      </c>
      <c r="K3140" s="3" t="s">
        <v>64</v>
      </c>
      <c r="L3140" s="2" t="s">
        <v>26128</v>
      </c>
      <c r="M3140" s="2" t="s">
        <v>4587</v>
      </c>
      <c r="N3140" s="3" t="s">
        <v>629</v>
      </c>
      <c r="P3140" s="3" t="s">
        <v>66</v>
      </c>
      <c r="Q3140" s="2" t="s">
        <v>1949</v>
      </c>
      <c r="R3140" s="3" t="s">
        <v>67</v>
      </c>
      <c r="S3140" s="4">
        <v>3</v>
      </c>
      <c r="T3140" s="4">
        <v>3</v>
      </c>
      <c r="U3140" s="5" t="s">
        <v>26129</v>
      </c>
      <c r="V3140" s="5" t="s">
        <v>26129</v>
      </c>
      <c r="W3140" s="5" t="s">
        <v>69</v>
      </c>
      <c r="X3140" s="5" t="s">
        <v>69</v>
      </c>
      <c r="Y3140" s="4">
        <v>112</v>
      </c>
      <c r="Z3140" s="4">
        <v>10</v>
      </c>
      <c r="AA3140" s="4">
        <v>102</v>
      </c>
      <c r="AB3140" s="4">
        <v>1</v>
      </c>
      <c r="AC3140" s="4">
        <v>20</v>
      </c>
      <c r="AD3140" s="4">
        <v>35</v>
      </c>
      <c r="AE3140" s="4">
        <v>123</v>
      </c>
      <c r="AF3140" s="4">
        <v>0</v>
      </c>
      <c r="AG3140" s="4">
        <v>8</v>
      </c>
      <c r="AH3140" s="4">
        <v>30</v>
      </c>
      <c r="AI3140" s="4">
        <v>84</v>
      </c>
      <c r="AJ3140" s="4">
        <v>6</v>
      </c>
      <c r="AK3140" s="4">
        <v>22</v>
      </c>
      <c r="AL3140" s="4">
        <v>21</v>
      </c>
      <c r="AM3140" s="4">
        <v>46</v>
      </c>
      <c r="AN3140" s="4">
        <v>0</v>
      </c>
      <c r="AO3140" s="4">
        <v>0</v>
      </c>
      <c r="AP3140" s="4">
        <v>7</v>
      </c>
      <c r="AQ3140" s="4">
        <v>45</v>
      </c>
      <c r="AR3140" s="3" t="s">
        <v>63</v>
      </c>
      <c r="AS3140" s="3" t="s">
        <v>63</v>
      </c>
      <c r="AT3140" s="3" t="s">
        <v>63</v>
      </c>
      <c r="AV3140" s="6" t="str">
        <f>HYPERLINK("http://mcgill.on.worldcat.org/oclc/782047793","Catalog Record")</f>
        <v>Catalog Record</v>
      </c>
      <c r="AW3140" s="6" t="str">
        <f>HYPERLINK("http://www.worldcat.org/oclc/782047793","WorldCat Record")</f>
        <v>WorldCat Record</v>
      </c>
      <c r="AX3140" s="3" t="s">
        <v>26130</v>
      </c>
      <c r="AY3140" s="3" t="s">
        <v>26131</v>
      </c>
      <c r="AZ3140" s="3" t="s">
        <v>26132</v>
      </c>
      <c r="BA3140" s="3" t="s">
        <v>26132</v>
      </c>
      <c r="BB3140" s="3" t="s">
        <v>26133</v>
      </c>
      <c r="BC3140" s="3" t="s">
        <v>82</v>
      </c>
      <c r="BD3140" s="3" t="s">
        <v>70</v>
      </c>
      <c r="BE3140" s="3" t="s">
        <v>26134</v>
      </c>
      <c r="BF3140" s="3" t="s">
        <v>26133</v>
      </c>
      <c r="BG3140" s="3" t="s">
        <v>26135</v>
      </c>
    </row>
    <row r="3141" spans="1:59" ht="60" x14ac:dyDescent="0.25">
      <c r="A3141" s="2" t="s">
        <v>59</v>
      </c>
      <c r="B3141" s="2" t="s">
        <v>60</v>
      </c>
      <c r="C3141" s="2" t="s">
        <v>26136</v>
      </c>
      <c r="D3141" s="2" t="s">
        <v>26137</v>
      </c>
      <c r="E3141" s="2" t="s">
        <v>26138</v>
      </c>
      <c r="G3141" s="3" t="s">
        <v>63</v>
      </c>
      <c r="I3141" s="3" t="s">
        <v>63</v>
      </c>
      <c r="J3141" s="3" t="s">
        <v>63</v>
      </c>
      <c r="K3141" s="3" t="s">
        <v>64</v>
      </c>
      <c r="L3141" s="2" t="s">
        <v>26139</v>
      </c>
      <c r="M3141" s="2" t="s">
        <v>3219</v>
      </c>
      <c r="N3141" s="3" t="s">
        <v>76</v>
      </c>
      <c r="P3141" s="3" t="s">
        <v>66</v>
      </c>
      <c r="R3141" s="3" t="s">
        <v>67</v>
      </c>
      <c r="S3141" s="4">
        <v>7</v>
      </c>
      <c r="T3141" s="4">
        <v>7</v>
      </c>
      <c r="U3141" s="5" t="s">
        <v>26140</v>
      </c>
      <c r="V3141" s="5" t="s">
        <v>26140</v>
      </c>
      <c r="W3141" s="5" t="s">
        <v>69</v>
      </c>
      <c r="X3141" s="5" t="s">
        <v>69</v>
      </c>
      <c r="Y3141" s="4">
        <v>188</v>
      </c>
      <c r="Z3141" s="4">
        <v>16</v>
      </c>
      <c r="AA3141" s="4">
        <v>17</v>
      </c>
      <c r="AB3141" s="4">
        <v>2</v>
      </c>
      <c r="AC3141" s="4">
        <v>2</v>
      </c>
      <c r="AD3141" s="4">
        <v>84</v>
      </c>
      <c r="AE3141" s="4">
        <v>84</v>
      </c>
      <c r="AF3141" s="4">
        <v>1</v>
      </c>
      <c r="AG3141" s="4">
        <v>1</v>
      </c>
      <c r="AH3141" s="4">
        <v>76</v>
      </c>
      <c r="AI3141" s="4">
        <v>76</v>
      </c>
      <c r="AJ3141" s="4">
        <v>14</v>
      </c>
      <c r="AK3141" s="4">
        <v>14</v>
      </c>
      <c r="AL3141" s="4">
        <v>48</v>
      </c>
      <c r="AM3141" s="4">
        <v>48</v>
      </c>
      <c r="AN3141" s="4">
        <v>0</v>
      </c>
      <c r="AO3141" s="4">
        <v>0</v>
      </c>
      <c r="AP3141" s="4">
        <v>14</v>
      </c>
      <c r="AQ3141" s="4">
        <v>14</v>
      </c>
      <c r="AR3141" s="3" t="s">
        <v>63</v>
      </c>
      <c r="AS3141" s="3" t="s">
        <v>63</v>
      </c>
      <c r="AT3141" s="3" t="s">
        <v>63</v>
      </c>
      <c r="AV3141" s="6" t="str">
        <f>HYPERLINK("http://mcgill.on.worldcat.org/oclc/754716660","Catalog Record")</f>
        <v>Catalog Record</v>
      </c>
      <c r="AW3141" s="6" t="str">
        <f>HYPERLINK("http://www.worldcat.org/oclc/754716660","WorldCat Record")</f>
        <v>WorldCat Record</v>
      </c>
      <c r="AX3141" s="3" t="s">
        <v>26141</v>
      </c>
      <c r="AY3141" s="3" t="s">
        <v>26142</v>
      </c>
      <c r="AZ3141" s="3" t="s">
        <v>26143</v>
      </c>
      <c r="BA3141" s="3" t="s">
        <v>26143</v>
      </c>
      <c r="BB3141" s="3" t="s">
        <v>26144</v>
      </c>
      <c r="BC3141" s="3" t="s">
        <v>82</v>
      </c>
      <c r="BD3141" s="3" t="s">
        <v>70</v>
      </c>
      <c r="BE3141" s="3" t="s">
        <v>26145</v>
      </c>
      <c r="BF3141" s="3" t="s">
        <v>26144</v>
      </c>
      <c r="BG3141" s="3" t="s">
        <v>26146</v>
      </c>
    </row>
    <row r="3142" spans="1:59" ht="60" x14ac:dyDescent="0.25">
      <c r="A3142" s="2" t="s">
        <v>59</v>
      </c>
      <c r="B3142" s="2" t="s">
        <v>60</v>
      </c>
      <c r="C3142" s="2" t="s">
        <v>26147</v>
      </c>
      <c r="D3142" s="2" t="s">
        <v>26148</v>
      </c>
      <c r="E3142" s="2" t="s">
        <v>26149</v>
      </c>
      <c r="G3142" s="3" t="s">
        <v>63</v>
      </c>
      <c r="I3142" s="3" t="s">
        <v>63</v>
      </c>
      <c r="J3142" s="3" t="s">
        <v>62</v>
      </c>
      <c r="K3142" s="3" t="s">
        <v>64</v>
      </c>
      <c r="L3142" s="2" t="s">
        <v>14234</v>
      </c>
      <c r="M3142" s="2" t="s">
        <v>26150</v>
      </c>
      <c r="N3142" s="3" t="s">
        <v>401</v>
      </c>
      <c r="O3142" s="2" t="s">
        <v>26151</v>
      </c>
      <c r="P3142" s="3" t="s">
        <v>66</v>
      </c>
      <c r="R3142" s="3" t="s">
        <v>67</v>
      </c>
      <c r="S3142" s="4">
        <v>3</v>
      </c>
      <c r="T3142" s="4">
        <v>3</v>
      </c>
      <c r="U3142" s="5" t="s">
        <v>26152</v>
      </c>
      <c r="V3142" s="5" t="s">
        <v>26152</v>
      </c>
      <c r="W3142" s="5" t="s">
        <v>69</v>
      </c>
      <c r="X3142" s="5" t="s">
        <v>69</v>
      </c>
      <c r="Y3142" s="4">
        <v>648</v>
      </c>
      <c r="Z3142" s="4">
        <v>38</v>
      </c>
      <c r="AA3142" s="4">
        <v>42</v>
      </c>
      <c r="AB3142" s="4">
        <v>3</v>
      </c>
      <c r="AC3142" s="4">
        <v>3</v>
      </c>
      <c r="AD3142" s="4">
        <v>126</v>
      </c>
      <c r="AE3142" s="4">
        <v>131</v>
      </c>
      <c r="AF3142" s="4">
        <v>1</v>
      </c>
      <c r="AG3142" s="4">
        <v>1</v>
      </c>
      <c r="AH3142" s="4">
        <v>101</v>
      </c>
      <c r="AI3142" s="4">
        <v>105</v>
      </c>
      <c r="AJ3142" s="4">
        <v>19</v>
      </c>
      <c r="AK3142" s="4">
        <v>20</v>
      </c>
      <c r="AL3142" s="4">
        <v>58</v>
      </c>
      <c r="AM3142" s="4">
        <v>60</v>
      </c>
      <c r="AN3142" s="4">
        <v>0</v>
      </c>
      <c r="AO3142" s="4">
        <v>0</v>
      </c>
      <c r="AP3142" s="4">
        <v>27</v>
      </c>
      <c r="AQ3142" s="4">
        <v>29</v>
      </c>
      <c r="AR3142" s="3" t="s">
        <v>63</v>
      </c>
      <c r="AS3142" s="3" t="s">
        <v>63</v>
      </c>
      <c r="AT3142" s="3" t="s">
        <v>62</v>
      </c>
      <c r="AU3142" s="6" t="str">
        <f>HYPERLINK("http://catalog.hathitrust.org/Record/001060045","HathiTrust Record")</f>
        <v>HathiTrust Record</v>
      </c>
      <c r="AV3142" s="6" t="str">
        <f>HYPERLINK("http://mcgill.on.worldcat.org/oclc/321206","Catalog Record")</f>
        <v>Catalog Record</v>
      </c>
      <c r="AW3142" s="6" t="str">
        <f>HYPERLINK("http://www.worldcat.org/oclc/321206","WorldCat Record")</f>
        <v>WorldCat Record</v>
      </c>
      <c r="AX3142" s="3" t="s">
        <v>26153</v>
      </c>
      <c r="AY3142" s="3" t="s">
        <v>26154</v>
      </c>
      <c r="AZ3142" s="3" t="s">
        <v>26155</v>
      </c>
      <c r="BA3142" s="3" t="s">
        <v>26155</v>
      </c>
      <c r="BB3142" s="3" t="s">
        <v>26156</v>
      </c>
      <c r="BC3142" s="3" t="s">
        <v>82</v>
      </c>
      <c r="BD3142" s="3" t="s">
        <v>70</v>
      </c>
      <c r="BF3142" s="3" t="s">
        <v>26156</v>
      </c>
      <c r="BG3142" s="3" t="s">
        <v>26157</v>
      </c>
    </row>
    <row r="3143" spans="1:59" ht="60" x14ac:dyDescent="0.25">
      <c r="A3143" s="2" t="s">
        <v>59</v>
      </c>
      <c r="B3143" s="2" t="s">
        <v>60</v>
      </c>
      <c r="C3143" s="2" t="s">
        <v>26158</v>
      </c>
      <c r="D3143" s="2" t="s">
        <v>26159</v>
      </c>
      <c r="E3143" s="2" t="s">
        <v>26160</v>
      </c>
      <c r="G3143" s="3" t="s">
        <v>63</v>
      </c>
      <c r="I3143" s="3" t="s">
        <v>62</v>
      </c>
      <c r="J3143" s="3" t="s">
        <v>63</v>
      </c>
      <c r="K3143" s="3" t="s">
        <v>64</v>
      </c>
      <c r="L3143" s="2" t="s">
        <v>14234</v>
      </c>
      <c r="M3143" s="2" t="s">
        <v>26161</v>
      </c>
      <c r="N3143" s="3" t="s">
        <v>758</v>
      </c>
      <c r="O3143" s="2" t="s">
        <v>26162</v>
      </c>
      <c r="P3143" s="3" t="s">
        <v>66</v>
      </c>
      <c r="R3143" s="3" t="s">
        <v>67</v>
      </c>
      <c r="S3143" s="4">
        <v>30</v>
      </c>
      <c r="T3143" s="4">
        <v>63</v>
      </c>
      <c r="U3143" s="5" t="s">
        <v>1813</v>
      </c>
      <c r="V3143" s="5" t="s">
        <v>1813</v>
      </c>
      <c r="W3143" s="5" t="s">
        <v>69</v>
      </c>
      <c r="X3143" s="5" t="s">
        <v>69</v>
      </c>
      <c r="Y3143" s="4">
        <v>787</v>
      </c>
      <c r="Z3143" s="4">
        <v>37</v>
      </c>
      <c r="AA3143" s="4">
        <v>58</v>
      </c>
      <c r="AB3143" s="4">
        <v>2</v>
      </c>
      <c r="AC3143" s="4">
        <v>7</v>
      </c>
      <c r="AD3143" s="4">
        <v>113</v>
      </c>
      <c r="AE3143" s="4">
        <v>126</v>
      </c>
      <c r="AF3143" s="4">
        <v>0</v>
      </c>
      <c r="AG3143" s="4">
        <v>4</v>
      </c>
      <c r="AH3143" s="4">
        <v>94</v>
      </c>
      <c r="AI3143" s="4">
        <v>99</v>
      </c>
      <c r="AJ3143" s="4">
        <v>16</v>
      </c>
      <c r="AK3143" s="4">
        <v>23</v>
      </c>
      <c r="AL3143" s="4">
        <v>52</v>
      </c>
      <c r="AM3143" s="4">
        <v>55</v>
      </c>
      <c r="AN3143" s="4">
        <v>0</v>
      </c>
      <c r="AO3143" s="4">
        <v>0</v>
      </c>
      <c r="AP3143" s="4">
        <v>23</v>
      </c>
      <c r="AQ3143" s="4">
        <v>31</v>
      </c>
      <c r="AR3143" s="3" t="s">
        <v>63</v>
      </c>
      <c r="AS3143" s="3" t="s">
        <v>63</v>
      </c>
      <c r="AT3143" s="3" t="s">
        <v>63</v>
      </c>
      <c r="AV3143" s="6" t="str">
        <f>HYPERLINK("http://mcgill.on.worldcat.org/oclc/289705","Catalog Record")</f>
        <v>Catalog Record</v>
      </c>
      <c r="AW3143" s="6" t="str">
        <f>HYPERLINK("http://www.worldcat.org/oclc/289705","WorldCat Record")</f>
        <v>WorldCat Record</v>
      </c>
      <c r="AX3143" s="3" t="s">
        <v>26163</v>
      </c>
      <c r="AY3143" s="3" t="s">
        <v>26164</v>
      </c>
      <c r="AZ3143" s="3" t="s">
        <v>26165</v>
      </c>
      <c r="BA3143" s="3" t="s">
        <v>26165</v>
      </c>
      <c r="BB3143" s="3" t="s">
        <v>26166</v>
      </c>
      <c r="BC3143" s="3" t="s">
        <v>82</v>
      </c>
      <c r="BD3143" s="3" t="s">
        <v>70</v>
      </c>
      <c r="BE3143" s="3" t="s">
        <v>26167</v>
      </c>
      <c r="BF3143" s="3" t="s">
        <v>26166</v>
      </c>
      <c r="BG3143" s="3" t="s">
        <v>26168</v>
      </c>
    </row>
    <row r="3144" spans="1:59" ht="60" x14ac:dyDescent="0.25">
      <c r="A3144" s="2" t="s">
        <v>59</v>
      </c>
      <c r="B3144" s="2" t="s">
        <v>60</v>
      </c>
      <c r="C3144" s="2" t="s">
        <v>26158</v>
      </c>
      <c r="D3144" s="2" t="s">
        <v>26159</v>
      </c>
      <c r="E3144" s="2" t="s">
        <v>26160</v>
      </c>
      <c r="G3144" s="3" t="s">
        <v>63</v>
      </c>
      <c r="I3144" s="3" t="s">
        <v>62</v>
      </c>
      <c r="J3144" s="3" t="s">
        <v>63</v>
      </c>
      <c r="K3144" s="3" t="s">
        <v>64</v>
      </c>
      <c r="L3144" s="2" t="s">
        <v>14234</v>
      </c>
      <c r="M3144" s="2" t="s">
        <v>26161</v>
      </c>
      <c r="N3144" s="3" t="s">
        <v>758</v>
      </c>
      <c r="O3144" s="2" t="s">
        <v>26162</v>
      </c>
      <c r="P3144" s="3" t="s">
        <v>66</v>
      </c>
      <c r="R3144" s="3" t="s">
        <v>67</v>
      </c>
      <c r="S3144" s="4">
        <v>33</v>
      </c>
      <c r="T3144" s="4">
        <v>63</v>
      </c>
      <c r="U3144" s="5" t="s">
        <v>3789</v>
      </c>
      <c r="V3144" s="5" t="s">
        <v>1813</v>
      </c>
      <c r="W3144" s="5" t="s">
        <v>69</v>
      </c>
      <c r="X3144" s="5" t="s">
        <v>69</v>
      </c>
      <c r="Y3144" s="4">
        <v>787</v>
      </c>
      <c r="Z3144" s="4">
        <v>37</v>
      </c>
      <c r="AA3144" s="4">
        <v>58</v>
      </c>
      <c r="AB3144" s="4">
        <v>2</v>
      </c>
      <c r="AC3144" s="4">
        <v>7</v>
      </c>
      <c r="AD3144" s="4">
        <v>113</v>
      </c>
      <c r="AE3144" s="4">
        <v>126</v>
      </c>
      <c r="AF3144" s="4">
        <v>0</v>
      </c>
      <c r="AG3144" s="4">
        <v>4</v>
      </c>
      <c r="AH3144" s="4">
        <v>94</v>
      </c>
      <c r="AI3144" s="4">
        <v>99</v>
      </c>
      <c r="AJ3144" s="4">
        <v>16</v>
      </c>
      <c r="AK3144" s="4">
        <v>23</v>
      </c>
      <c r="AL3144" s="4">
        <v>52</v>
      </c>
      <c r="AM3144" s="4">
        <v>55</v>
      </c>
      <c r="AN3144" s="4">
        <v>0</v>
      </c>
      <c r="AO3144" s="4">
        <v>0</v>
      </c>
      <c r="AP3144" s="4">
        <v>23</v>
      </c>
      <c r="AQ3144" s="4">
        <v>31</v>
      </c>
      <c r="AR3144" s="3" t="s">
        <v>63</v>
      </c>
      <c r="AS3144" s="3" t="s">
        <v>63</v>
      </c>
      <c r="AT3144" s="3" t="s">
        <v>63</v>
      </c>
      <c r="AV3144" s="6" t="str">
        <f>HYPERLINK("http://mcgill.on.worldcat.org/oclc/289705","Catalog Record")</f>
        <v>Catalog Record</v>
      </c>
      <c r="AW3144" s="6" t="str">
        <f>HYPERLINK("http://www.worldcat.org/oclc/289705","WorldCat Record")</f>
        <v>WorldCat Record</v>
      </c>
      <c r="AX3144" s="3" t="s">
        <v>26163</v>
      </c>
      <c r="AY3144" s="3" t="s">
        <v>26164</v>
      </c>
      <c r="AZ3144" s="3" t="s">
        <v>26165</v>
      </c>
      <c r="BA3144" s="3" t="s">
        <v>26165</v>
      </c>
      <c r="BB3144" s="3" t="s">
        <v>26169</v>
      </c>
      <c r="BC3144" s="3" t="s">
        <v>82</v>
      </c>
      <c r="BD3144" s="3" t="s">
        <v>70</v>
      </c>
      <c r="BE3144" s="3" t="s">
        <v>26167</v>
      </c>
      <c r="BF3144" s="3" t="s">
        <v>26169</v>
      </c>
      <c r="BG3144" s="3" t="s">
        <v>26170</v>
      </c>
    </row>
    <row r="3145" spans="1:59" ht="60" x14ac:dyDescent="0.25">
      <c r="A3145" s="2" t="s">
        <v>59</v>
      </c>
      <c r="B3145" s="2" t="s">
        <v>60</v>
      </c>
      <c r="C3145" s="2" t="s">
        <v>26171</v>
      </c>
      <c r="D3145" s="2" t="s">
        <v>26172</v>
      </c>
      <c r="E3145" s="2" t="s">
        <v>26173</v>
      </c>
      <c r="G3145" s="3" t="s">
        <v>63</v>
      </c>
      <c r="I3145" s="3" t="s">
        <v>62</v>
      </c>
      <c r="J3145" s="3" t="s">
        <v>62</v>
      </c>
      <c r="K3145" s="3" t="s">
        <v>64</v>
      </c>
      <c r="L3145" s="2" t="s">
        <v>5944</v>
      </c>
      <c r="M3145" s="2" t="s">
        <v>26174</v>
      </c>
      <c r="N3145" s="3" t="s">
        <v>154</v>
      </c>
      <c r="P3145" s="3" t="s">
        <v>66</v>
      </c>
      <c r="R3145" s="3" t="s">
        <v>67</v>
      </c>
      <c r="S3145" s="4">
        <v>135</v>
      </c>
      <c r="T3145" s="4">
        <v>250</v>
      </c>
      <c r="U3145" s="5" t="s">
        <v>26175</v>
      </c>
      <c r="V3145" s="5" t="s">
        <v>26175</v>
      </c>
      <c r="W3145" s="5" t="s">
        <v>69</v>
      </c>
      <c r="X3145" s="5" t="s">
        <v>69</v>
      </c>
      <c r="Y3145" s="4">
        <v>359</v>
      </c>
      <c r="Z3145" s="4">
        <v>22</v>
      </c>
      <c r="AA3145" s="4">
        <v>120</v>
      </c>
      <c r="AB3145" s="4">
        <v>1</v>
      </c>
      <c r="AC3145" s="4">
        <v>10</v>
      </c>
      <c r="AD3145" s="4">
        <v>59</v>
      </c>
      <c r="AE3145" s="4">
        <v>150</v>
      </c>
      <c r="AF3145" s="4">
        <v>0</v>
      </c>
      <c r="AG3145" s="4">
        <v>4</v>
      </c>
      <c r="AH3145" s="4">
        <v>52</v>
      </c>
      <c r="AI3145" s="4">
        <v>111</v>
      </c>
      <c r="AJ3145" s="4">
        <v>9</v>
      </c>
      <c r="AK3145" s="4">
        <v>27</v>
      </c>
      <c r="AL3145" s="4">
        <v>30</v>
      </c>
      <c r="AM3145" s="4">
        <v>60</v>
      </c>
      <c r="AN3145" s="4">
        <v>1</v>
      </c>
      <c r="AO3145" s="4">
        <v>1</v>
      </c>
      <c r="AP3145" s="4">
        <v>9</v>
      </c>
      <c r="AQ3145" s="4">
        <v>44</v>
      </c>
      <c r="AR3145" s="3" t="s">
        <v>63</v>
      </c>
      <c r="AS3145" s="3" t="s">
        <v>63</v>
      </c>
      <c r="AT3145" s="3" t="s">
        <v>62</v>
      </c>
      <c r="AU3145" s="6" t="str">
        <f>HYPERLINK("http://catalog.hathitrust.org/Record/000666559","HathiTrust Record")</f>
        <v>HathiTrust Record</v>
      </c>
      <c r="AV3145" s="6" t="str">
        <f>HYPERLINK("http://mcgill.on.worldcat.org/oclc/40449711","Catalog Record")</f>
        <v>Catalog Record</v>
      </c>
      <c r="AW3145" s="6" t="str">
        <f>HYPERLINK("http://www.worldcat.org/oclc/40449711","WorldCat Record")</f>
        <v>WorldCat Record</v>
      </c>
      <c r="AX3145" s="3" t="s">
        <v>26176</v>
      </c>
      <c r="AY3145" s="3" t="s">
        <v>26177</v>
      </c>
      <c r="AZ3145" s="3" t="s">
        <v>26178</v>
      </c>
      <c r="BA3145" s="3" t="s">
        <v>26178</v>
      </c>
      <c r="BB3145" s="3" t="s">
        <v>26179</v>
      </c>
      <c r="BC3145" s="3" t="s">
        <v>82</v>
      </c>
      <c r="BD3145" s="3" t="s">
        <v>70</v>
      </c>
      <c r="BF3145" s="3" t="s">
        <v>26179</v>
      </c>
      <c r="BG3145" s="3" t="s">
        <v>26180</v>
      </c>
    </row>
    <row r="3146" spans="1:59" ht="60" x14ac:dyDescent="0.25">
      <c r="A3146" s="2" t="s">
        <v>59</v>
      </c>
      <c r="B3146" s="2" t="s">
        <v>60</v>
      </c>
      <c r="C3146" s="2" t="s">
        <v>26171</v>
      </c>
      <c r="D3146" s="2" t="s">
        <v>26172</v>
      </c>
      <c r="E3146" s="2" t="s">
        <v>26173</v>
      </c>
      <c r="G3146" s="3" t="s">
        <v>63</v>
      </c>
      <c r="I3146" s="3" t="s">
        <v>62</v>
      </c>
      <c r="J3146" s="3" t="s">
        <v>62</v>
      </c>
      <c r="K3146" s="3" t="s">
        <v>64</v>
      </c>
      <c r="L3146" s="2" t="s">
        <v>5944</v>
      </c>
      <c r="M3146" s="2" t="s">
        <v>26174</v>
      </c>
      <c r="N3146" s="3" t="s">
        <v>154</v>
      </c>
      <c r="P3146" s="3" t="s">
        <v>66</v>
      </c>
      <c r="R3146" s="3" t="s">
        <v>67</v>
      </c>
      <c r="S3146" s="4">
        <v>115</v>
      </c>
      <c r="T3146" s="4">
        <v>250</v>
      </c>
      <c r="U3146" s="5" t="s">
        <v>26181</v>
      </c>
      <c r="V3146" s="5" t="s">
        <v>26175</v>
      </c>
      <c r="W3146" s="5" t="s">
        <v>69</v>
      </c>
      <c r="X3146" s="5" t="s">
        <v>69</v>
      </c>
      <c r="Y3146" s="4">
        <v>359</v>
      </c>
      <c r="Z3146" s="4">
        <v>22</v>
      </c>
      <c r="AA3146" s="4">
        <v>120</v>
      </c>
      <c r="AB3146" s="4">
        <v>1</v>
      </c>
      <c r="AC3146" s="4">
        <v>10</v>
      </c>
      <c r="AD3146" s="4">
        <v>59</v>
      </c>
      <c r="AE3146" s="4">
        <v>150</v>
      </c>
      <c r="AF3146" s="4">
        <v>0</v>
      </c>
      <c r="AG3146" s="4">
        <v>4</v>
      </c>
      <c r="AH3146" s="4">
        <v>52</v>
      </c>
      <c r="AI3146" s="4">
        <v>111</v>
      </c>
      <c r="AJ3146" s="4">
        <v>9</v>
      </c>
      <c r="AK3146" s="4">
        <v>27</v>
      </c>
      <c r="AL3146" s="4">
        <v>30</v>
      </c>
      <c r="AM3146" s="4">
        <v>60</v>
      </c>
      <c r="AN3146" s="4">
        <v>1</v>
      </c>
      <c r="AO3146" s="4">
        <v>1</v>
      </c>
      <c r="AP3146" s="4">
        <v>9</v>
      </c>
      <c r="AQ3146" s="4">
        <v>44</v>
      </c>
      <c r="AR3146" s="3" t="s">
        <v>63</v>
      </c>
      <c r="AS3146" s="3" t="s">
        <v>63</v>
      </c>
      <c r="AT3146" s="3" t="s">
        <v>62</v>
      </c>
      <c r="AU3146" s="6" t="str">
        <f>HYPERLINK("http://catalog.hathitrust.org/Record/000666559","HathiTrust Record")</f>
        <v>HathiTrust Record</v>
      </c>
      <c r="AV3146" s="6" t="str">
        <f>HYPERLINK("http://mcgill.on.worldcat.org/oclc/40449711","Catalog Record")</f>
        <v>Catalog Record</v>
      </c>
      <c r="AW3146" s="6" t="str">
        <f>HYPERLINK("http://www.worldcat.org/oclc/40449711","WorldCat Record")</f>
        <v>WorldCat Record</v>
      </c>
      <c r="AX3146" s="3" t="s">
        <v>26176</v>
      </c>
      <c r="AY3146" s="3" t="s">
        <v>26177</v>
      </c>
      <c r="AZ3146" s="3" t="s">
        <v>26178</v>
      </c>
      <c r="BA3146" s="3" t="s">
        <v>26178</v>
      </c>
      <c r="BB3146" s="3" t="s">
        <v>26182</v>
      </c>
      <c r="BC3146" s="3" t="s">
        <v>82</v>
      </c>
      <c r="BD3146" s="3" t="s">
        <v>70</v>
      </c>
      <c r="BF3146" s="3" t="s">
        <v>26182</v>
      </c>
      <c r="BG3146" s="3" t="s">
        <v>26183</v>
      </c>
    </row>
    <row r="3147" spans="1:59" ht="60" x14ac:dyDescent="0.25">
      <c r="A3147" s="2" t="s">
        <v>59</v>
      </c>
      <c r="B3147" s="2" t="s">
        <v>60</v>
      </c>
      <c r="C3147" s="2" t="s">
        <v>26184</v>
      </c>
      <c r="D3147" s="2" t="s">
        <v>26185</v>
      </c>
      <c r="E3147" s="2" t="s">
        <v>26186</v>
      </c>
      <c r="G3147" s="3" t="s">
        <v>63</v>
      </c>
      <c r="I3147" s="3" t="s">
        <v>63</v>
      </c>
      <c r="J3147" s="3" t="s">
        <v>62</v>
      </c>
      <c r="K3147" s="3" t="s">
        <v>64</v>
      </c>
      <c r="L3147" s="2" t="s">
        <v>5944</v>
      </c>
      <c r="M3147" s="2" t="s">
        <v>26187</v>
      </c>
      <c r="N3147" s="3" t="s">
        <v>681</v>
      </c>
      <c r="O3147" s="2" t="s">
        <v>976</v>
      </c>
      <c r="P3147" s="3" t="s">
        <v>66</v>
      </c>
      <c r="R3147" s="3" t="s">
        <v>67</v>
      </c>
      <c r="S3147" s="4">
        <v>40</v>
      </c>
      <c r="T3147" s="4">
        <v>40</v>
      </c>
      <c r="U3147" s="5" t="s">
        <v>26188</v>
      </c>
      <c r="V3147" s="5" t="s">
        <v>26188</v>
      </c>
      <c r="W3147" s="5" t="s">
        <v>69</v>
      </c>
      <c r="X3147" s="5" t="s">
        <v>69</v>
      </c>
      <c r="Y3147" s="4">
        <v>564</v>
      </c>
      <c r="Z3147" s="4">
        <v>35</v>
      </c>
      <c r="AA3147" s="4">
        <v>74</v>
      </c>
      <c r="AB3147" s="4">
        <v>3</v>
      </c>
      <c r="AC3147" s="4">
        <v>10</v>
      </c>
      <c r="AD3147" s="4">
        <v>102</v>
      </c>
      <c r="AE3147" s="4">
        <v>136</v>
      </c>
      <c r="AF3147" s="4">
        <v>2</v>
      </c>
      <c r="AG3147" s="4">
        <v>4</v>
      </c>
      <c r="AH3147" s="4">
        <v>84</v>
      </c>
      <c r="AI3147" s="4">
        <v>110</v>
      </c>
      <c r="AJ3147" s="4">
        <v>20</v>
      </c>
      <c r="AK3147" s="4">
        <v>26</v>
      </c>
      <c r="AL3147" s="4">
        <v>43</v>
      </c>
      <c r="AM3147" s="4">
        <v>57</v>
      </c>
      <c r="AN3147" s="4">
        <v>0</v>
      </c>
      <c r="AO3147" s="4">
        <v>1</v>
      </c>
      <c r="AP3147" s="4">
        <v>24</v>
      </c>
      <c r="AQ3147" s="4">
        <v>34</v>
      </c>
      <c r="AR3147" s="3" t="s">
        <v>63</v>
      </c>
      <c r="AS3147" s="3" t="s">
        <v>63</v>
      </c>
      <c r="AT3147" s="3" t="s">
        <v>62</v>
      </c>
      <c r="AU3147" s="6" t="str">
        <f>HYPERLINK("http://catalog.hathitrust.org/Record/004483561","HathiTrust Record")</f>
        <v>HathiTrust Record</v>
      </c>
      <c r="AV3147" s="6" t="str">
        <f>HYPERLINK("http://mcgill.on.worldcat.org/oclc/71429","Catalog Record")</f>
        <v>Catalog Record</v>
      </c>
      <c r="AW3147" s="6" t="str">
        <f>HYPERLINK("http://www.worldcat.org/oclc/71429","WorldCat Record")</f>
        <v>WorldCat Record</v>
      </c>
      <c r="AX3147" s="3" t="s">
        <v>26189</v>
      </c>
      <c r="AY3147" s="3" t="s">
        <v>26190</v>
      </c>
      <c r="AZ3147" s="3" t="s">
        <v>26191</v>
      </c>
      <c r="BA3147" s="3" t="s">
        <v>26191</v>
      </c>
      <c r="BB3147" s="3" t="s">
        <v>26192</v>
      </c>
      <c r="BC3147" s="3" t="s">
        <v>82</v>
      </c>
      <c r="BD3147" s="3" t="s">
        <v>70</v>
      </c>
      <c r="BE3147" s="3" t="s">
        <v>26193</v>
      </c>
      <c r="BF3147" s="3" t="s">
        <v>26192</v>
      </c>
      <c r="BG3147" s="3" t="s">
        <v>26194</v>
      </c>
    </row>
    <row r="3148" spans="1:59" ht="60" x14ac:dyDescent="0.25">
      <c r="A3148" s="2" t="s">
        <v>59</v>
      </c>
      <c r="B3148" s="2" t="s">
        <v>60</v>
      </c>
      <c r="C3148" s="2" t="s">
        <v>26195</v>
      </c>
      <c r="D3148" s="2" t="s">
        <v>26196</v>
      </c>
      <c r="E3148" s="2" t="s">
        <v>26197</v>
      </c>
      <c r="G3148" s="3" t="s">
        <v>63</v>
      </c>
      <c r="I3148" s="3" t="s">
        <v>62</v>
      </c>
      <c r="J3148" s="3" t="s">
        <v>62</v>
      </c>
      <c r="K3148" s="3" t="s">
        <v>64</v>
      </c>
      <c r="L3148" s="2" t="s">
        <v>5944</v>
      </c>
      <c r="M3148" s="2" t="s">
        <v>26198</v>
      </c>
      <c r="N3148" s="3" t="s">
        <v>1343</v>
      </c>
      <c r="O3148" s="2" t="s">
        <v>26199</v>
      </c>
      <c r="P3148" s="3" t="s">
        <v>66</v>
      </c>
      <c r="R3148" s="3" t="s">
        <v>67</v>
      </c>
      <c r="S3148" s="4">
        <v>40</v>
      </c>
      <c r="T3148" s="4">
        <v>75</v>
      </c>
      <c r="U3148" s="5" t="s">
        <v>26200</v>
      </c>
      <c r="V3148" s="5" t="s">
        <v>21503</v>
      </c>
      <c r="W3148" s="5" t="s">
        <v>69</v>
      </c>
      <c r="X3148" s="5" t="s">
        <v>69</v>
      </c>
      <c r="Y3148" s="4">
        <v>73</v>
      </c>
      <c r="Z3148" s="4">
        <v>4</v>
      </c>
      <c r="AA3148" s="4">
        <v>74</v>
      </c>
      <c r="AB3148" s="4">
        <v>2</v>
      </c>
      <c r="AC3148" s="4">
        <v>10</v>
      </c>
      <c r="AD3148" s="4">
        <v>3</v>
      </c>
      <c r="AE3148" s="4">
        <v>136</v>
      </c>
      <c r="AF3148" s="4">
        <v>0</v>
      </c>
      <c r="AG3148" s="4">
        <v>4</v>
      </c>
      <c r="AH3148" s="4">
        <v>2</v>
      </c>
      <c r="AI3148" s="4">
        <v>110</v>
      </c>
      <c r="AJ3148" s="4">
        <v>1</v>
      </c>
      <c r="AK3148" s="4">
        <v>26</v>
      </c>
      <c r="AL3148" s="4">
        <v>2</v>
      </c>
      <c r="AM3148" s="4">
        <v>57</v>
      </c>
      <c r="AN3148" s="4">
        <v>0</v>
      </c>
      <c r="AO3148" s="4">
        <v>1</v>
      </c>
      <c r="AP3148" s="4">
        <v>1</v>
      </c>
      <c r="AQ3148" s="4">
        <v>34</v>
      </c>
      <c r="AR3148" s="3" t="s">
        <v>63</v>
      </c>
      <c r="AS3148" s="3" t="s">
        <v>63</v>
      </c>
      <c r="AT3148" s="3" t="s">
        <v>63</v>
      </c>
      <c r="AV3148" s="6" t="str">
        <f>HYPERLINK("http://mcgill.on.worldcat.org/oclc/59558135","Catalog Record")</f>
        <v>Catalog Record</v>
      </c>
      <c r="AW3148" s="6" t="str">
        <f>HYPERLINK("http://www.worldcat.org/oclc/59558135","WorldCat Record")</f>
        <v>WorldCat Record</v>
      </c>
      <c r="AX3148" s="3" t="s">
        <v>26189</v>
      </c>
      <c r="AY3148" s="3" t="s">
        <v>26201</v>
      </c>
      <c r="AZ3148" s="3" t="s">
        <v>26202</v>
      </c>
      <c r="BA3148" s="3" t="s">
        <v>26202</v>
      </c>
      <c r="BB3148" s="3" t="s">
        <v>26203</v>
      </c>
      <c r="BC3148" s="3" t="s">
        <v>82</v>
      </c>
      <c r="BD3148" s="3" t="s">
        <v>70</v>
      </c>
      <c r="BE3148" s="3" t="s">
        <v>26204</v>
      </c>
      <c r="BF3148" s="3" t="s">
        <v>26203</v>
      </c>
      <c r="BG3148" s="3" t="s">
        <v>26205</v>
      </c>
    </row>
    <row r="3149" spans="1:59" ht="60" x14ac:dyDescent="0.25">
      <c r="A3149" s="2" t="s">
        <v>59</v>
      </c>
      <c r="B3149" s="2" t="s">
        <v>60</v>
      </c>
      <c r="C3149" s="2" t="s">
        <v>26195</v>
      </c>
      <c r="D3149" s="2" t="s">
        <v>26196</v>
      </c>
      <c r="E3149" s="2" t="s">
        <v>26197</v>
      </c>
      <c r="G3149" s="3" t="s">
        <v>63</v>
      </c>
      <c r="I3149" s="3" t="s">
        <v>62</v>
      </c>
      <c r="J3149" s="3" t="s">
        <v>62</v>
      </c>
      <c r="K3149" s="3" t="s">
        <v>64</v>
      </c>
      <c r="L3149" s="2" t="s">
        <v>5944</v>
      </c>
      <c r="M3149" s="2" t="s">
        <v>26198</v>
      </c>
      <c r="N3149" s="3" t="s">
        <v>1343</v>
      </c>
      <c r="O3149" s="2" t="s">
        <v>26199</v>
      </c>
      <c r="P3149" s="3" t="s">
        <v>66</v>
      </c>
      <c r="R3149" s="3" t="s">
        <v>67</v>
      </c>
      <c r="S3149" s="4">
        <v>5</v>
      </c>
      <c r="T3149" s="4">
        <v>75</v>
      </c>
      <c r="U3149" s="5" t="s">
        <v>5835</v>
      </c>
      <c r="V3149" s="5" t="s">
        <v>21503</v>
      </c>
      <c r="W3149" s="5" t="s">
        <v>69</v>
      </c>
      <c r="X3149" s="5" t="s">
        <v>69</v>
      </c>
      <c r="Y3149" s="4">
        <v>73</v>
      </c>
      <c r="Z3149" s="4">
        <v>4</v>
      </c>
      <c r="AA3149" s="4">
        <v>74</v>
      </c>
      <c r="AB3149" s="4">
        <v>2</v>
      </c>
      <c r="AC3149" s="4">
        <v>10</v>
      </c>
      <c r="AD3149" s="4">
        <v>3</v>
      </c>
      <c r="AE3149" s="4">
        <v>136</v>
      </c>
      <c r="AF3149" s="4">
        <v>0</v>
      </c>
      <c r="AG3149" s="4">
        <v>4</v>
      </c>
      <c r="AH3149" s="4">
        <v>2</v>
      </c>
      <c r="AI3149" s="4">
        <v>110</v>
      </c>
      <c r="AJ3149" s="4">
        <v>1</v>
      </c>
      <c r="AK3149" s="4">
        <v>26</v>
      </c>
      <c r="AL3149" s="4">
        <v>2</v>
      </c>
      <c r="AM3149" s="4">
        <v>57</v>
      </c>
      <c r="AN3149" s="4">
        <v>0</v>
      </c>
      <c r="AO3149" s="4">
        <v>1</v>
      </c>
      <c r="AP3149" s="4">
        <v>1</v>
      </c>
      <c r="AQ3149" s="4">
        <v>34</v>
      </c>
      <c r="AR3149" s="3" t="s">
        <v>63</v>
      </c>
      <c r="AS3149" s="3" t="s">
        <v>63</v>
      </c>
      <c r="AT3149" s="3" t="s">
        <v>63</v>
      </c>
      <c r="AV3149" s="6" t="str">
        <f>HYPERLINK("http://mcgill.on.worldcat.org/oclc/59558135","Catalog Record")</f>
        <v>Catalog Record</v>
      </c>
      <c r="AW3149" s="6" t="str">
        <f>HYPERLINK("http://www.worldcat.org/oclc/59558135","WorldCat Record")</f>
        <v>WorldCat Record</v>
      </c>
      <c r="AX3149" s="3" t="s">
        <v>26189</v>
      </c>
      <c r="AY3149" s="3" t="s">
        <v>26201</v>
      </c>
      <c r="AZ3149" s="3" t="s">
        <v>26202</v>
      </c>
      <c r="BA3149" s="3" t="s">
        <v>26202</v>
      </c>
      <c r="BB3149" s="3" t="s">
        <v>26206</v>
      </c>
      <c r="BC3149" s="3" t="s">
        <v>82</v>
      </c>
      <c r="BD3149" s="3" t="s">
        <v>538</v>
      </c>
      <c r="BE3149" s="3" t="s">
        <v>26204</v>
      </c>
      <c r="BF3149" s="3" t="s">
        <v>26206</v>
      </c>
      <c r="BG3149" s="3" t="s">
        <v>26207</v>
      </c>
    </row>
    <row r="3150" spans="1:59" ht="60" x14ac:dyDescent="0.25">
      <c r="A3150" s="2" t="s">
        <v>59</v>
      </c>
      <c r="B3150" s="2" t="s">
        <v>60</v>
      </c>
      <c r="C3150" s="2" t="s">
        <v>26195</v>
      </c>
      <c r="D3150" s="2" t="s">
        <v>26196</v>
      </c>
      <c r="E3150" s="2" t="s">
        <v>26197</v>
      </c>
      <c r="G3150" s="3" t="s">
        <v>63</v>
      </c>
      <c r="I3150" s="3" t="s">
        <v>62</v>
      </c>
      <c r="J3150" s="3" t="s">
        <v>62</v>
      </c>
      <c r="K3150" s="3" t="s">
        <v>64</v>
      </c>
      <c r="L3150" s="2" t="s">
        <v>5944</v>
      </c>
      <c r="M3150" s="2" t="s">
        <v>26198</v>
      </c>
      <c r="N3150" s="3" t="s">
        <v>1343</v>
      </c>
      <c r="O3150" s="2" t="s">
        <v>26199</v>
      </c>
      <c r="P3150" s="3" t="s">
        <v>66</v>
      </c>
      <c r="R3150" s="3" t="s">
        <v>67</v>
      </c>
      <c r="S3150" s="4">
        <v>24</v>
      </c>
      <c r="T3150" s="4">
        <v>75</v>
      </c>
      <c r="U3150" s="5" t="s">
        <v>4429</v>
      </c>
      <c r="V3150" s="5" t="s">
        <v>21503</v>
      </c>
      <c r="W3150" s="5" t="s">
        <v>69</v>
      </c>
      <c r="X3150" s="5" t="s">
        <v>69</v>
      </c>
      <c r="Y3150" s="4">
        <v>73</v>
      </c>
      <c r="Z3150" s="4">
        <v>4</v>
      </c>
      <c r="AA3150" s="4">
        <v>74</v>
      </c>
      <c r="AB3150" s="4">
        <v>2</v>
      </c>
      <c r="AC3150" s="4">
        <v>10</v>
      </c>
      <c r="AD3150" s="4">
        <v>3</v>
      </c>
      <c r="AE3150" s="4">
        <v>136</v>
      </c>
      <c r="AF3150" s="4">
        <v>0</v>
      </c>
      <c r="AG3150" s="4">
        <v>4</v>
      </c>
      <c r="AH3150" s="4">
        <v>2</v>
      </c>
      <c r="AI3150" s="4">
        <v>110</v>
      </c>
      <c r="AJ3150" s="4">
        <v>1</v>
      </c>
      <c r="AK3150" s="4">
        <v>26</v>
      </c>
      <c r="AL3150" s="4">
        <v>2</v>
      </c>
      <c r="AM3150" s="4">
        <v>57</v>
      </c>
      <c r="AN3150" s="4">
        <v>0</v>
      </c>
      <c r="AO3150" s="4">
        <v>1</v>
      </c>
      <c r="AP3150" s="4">
        <v>1</v>
      </c>
      <c r="AQ3150" s="4">
        <v>34</v>
      </c>
      <c r="AR3150" s="3" t="s">
        <v>63</v>
      </c>
      <c r="AS3150" s="3" t="s">
        <v>63</v>
      </c>
      <c r="AT3150" s="3" t="s">
        <v>63</v>
      </c>
      <c r="AV3150" s="6" t="str">
        <f>HYPERLINK("http://mcgill.on.worldcat.org/oclc/59558135","Catalog Record")</f>
        <v>Catalog Record</v>
      </c>
      <c r="AW3150" s="6" t="str">
        <f>HYPERLINK("http://www.worldcat.org/oclc/59558135","WorldCat Record")</f>
        <v>WorldCat Record</v>
      </c>
      <c r="AX3150" s="3" t="s">
        <v>26189</v>
      </c>
      <c r="AY3150" s="3" t="s">
        <v>26201</v>
      </c>
      <c r="AZ3150" s="3" t="s">
        <v>26202</v>
      </c>
      <c r="BA3150" s="3" t="s">
        <v>26202</v>
      </c>
      <c r="BB3150" s="3" t="s">
        <v>26208</v>
      </c>
      <c r="BC3150" s="3" t="s">
        <v>82</v>
      </c>
      <c r="BD3150" s="3" t="s">
        <v>70</v>
      </c>
      <c r="BE3150" s="3" t="s">
        <v>26204</v>
      </c>
      <c r="BF3150" s="3" t="s">
        <v>26208</v>
      </c>
      <c r="BG3150" s="3" t="s">
        <v>26209</v>
      </c>
    </row>
    <row r="3151" spans="1:59" ht="60" x14ac:dyDescent="0.25">
      <c r="A3151" s="2" t="s">
        <v>59</v>
      </c>
      <c r="B3151" s="2" t="s">
        <v>60</v>
      </c>
      <c r="C3151" s="2" t="s">
        <v>26195</v>
      </c>
      <c r="D3151" s="2" t="s">
        <v>26196</v>
      </c>
      <c r="E3151" s="2" t="s">
        <v>26197</v>
      </c>
      <c r="G3151" s="3" t="s">
        <v>63</v>
      </c>
      <c r="I3151" s="3" t="s">
        <v>62</v>
      </c>
      <c r="J3151" s="3" t="s">
        <v>62</v>
      </c>
      <c r="K3151" s="3" t="s">
        <v>64</v>
      </c>
      <c r="L3151" s="2" t="s">
        <v>5944</v>
      </c>
      <c r="M3151" s="2" t="s">
        <v>26198</v>
      </c>
      <c r="N3151" s="3" t="s">
        <v>1343</v>
      </c>
      <c r="O3151" s="2" t="s">
        <v>26199</v>
      </c>
      <c r="P3151" s="3" t="s">
        <v>66</v>
      </c>
      <c r="R3151" s="3" t="s">
        <v>67</v>
      </c>
      <c r="S3151" s="4">
        <v>6</v>
      </c>
      <c r="T3151" s="4">
        <v>75</v>
      </c>
      <c r="U3151" s="5" t="s">
        <v>21503</v>
      </c>
      <c r="V3151" s="5" t="s">
        <v>21503</v>
      </c>
      <c r="W3151" s="5" t="s">
        <v>69</v>
      </c>
      <c r="X3151" s="5" t="s">
        <v>69</v>
      </c>
      <c r="Y3151" s="4">
        <v>73</v>
      </c>
      <c r="Z3151" s="4">
        <v>4</v>
      </c>
      <c r="AA3151" s="4">
        <v>74</v>
      </c>
      <c r="AB3151" s="4">
        <v>2</v>
      </c>
      <c r="AC3151" s="4">
        <v>10</v>
      </c>
      <c r="AD3151" s="4">
        <v>3</v>
      </c>
      <c r="AE3151" s="4">
        <v>136</v>
      </c>
      <c r="AF3151" s="4">
        <v>0</v>
      </c>
      <c r="AG3151" s="4">
        <v>4</v>
      </c>
      <c r="AH3151" s="4">
        <v>2</v>
      </c>
      <c r="AI3151" s="4">
        <v>110</v>
      </c>
      <c r="AJ3151" s="4">
        <v>1</v>
      </c>
      <c r="AK3151" s="4">
        <v>26</v>
      </c>
      <c r="AL3151" s="4">
        <v>2</v>
      </c>
      <c r="AM3151" s="4">
        <v>57</v>
      </c>
      <c r="AN3151" s="4">
        <v>0</v>
      </c>
      <c r="AO3151" s="4">
        <v>1</v>
      </c>
      <c r="AP3151" s="4">
        <v>1</v>
      </c>
      <c r="AQ3151" s="4">
        <v>34</v>
      </c>
      <c r="AR3151" s="3" t="s">
        <v>63</v>
      </c>
      <c r="AS3151" s="3" t="s">
        <v>63</v>
      </c>
      <c r="AT3151" s="3" t="s">
        <v>63</v>
      </c>
      <c r="AV3151" s="6" t="str">
        <f>HYPERLINK("http://mcgill.on.worldcat.org/oclc/59558135","Catalog Record")</f>
        <v>Catalog Record</v>
      </c>
      <c r="AW3151" s="6" t="str">
        <f>HYPERLINK("http://www.worldcat.org/oclc/59558135","WorldCat Record")</f>
        <v>WorldCat Record</v>
      </c>
      <c r="AX3151" s="3" t="s">
        <v>26189</v>
      </c>
      <c r="AY3151" s="3" t="s">
        <v>26201</v>
      </c>
      <c r="AZ3151" s="3" t="s">
        <v>26202</v>
      </c>
      <c r="BA3151" s="3" t="s">
        <v>26202</v>
      </c>
      <c r="BB3151" s="3" t="s">
        <v>26210</v>
      </c>
      <c r="BC3151" s="3" t="s">
        <v>82</v>
      </c>
      <c r="BD3151" s="3" t="s">
        <v>70</v>
      </c>
      <c r="BE3151" s="3" t="s">
        <v>26204</v>
      </c>
      <c r="BF3151" s="3" t="s">
        <v>26210</v>
      </c>
      <c r="BG3151" s="3" t="s">
        <v>26211</v>
      </c>
    </row>
    <row r="3152" spans="1:59" ht="60" x14ac:dyDescent="0.25">
      <c r="A3152" s="2" t="s">
        <v>59</v>
      </c>
      <c r="B3152" s="2" t="s">
        <v>60</v>
      </c>
      <c r="C3152" s="2" t="s">
        <v>26212</v>
      </c>
      <c r="D3152" s="2" t="s">
        <v>26213</v>
      </c>
      <c r="E3152" s="2" t="s">
        <v>26214</v>
      </c>
      <c r="G3152" s="3" t="s">
        <v>63</v>
      </c>
      <c r="I3152" s="3" t="s">
        <v>63</v>
      </c>
      <c r="J3152" s="3" t="s">
        <v>62</v>
      </c>
      <c r="K3152" s="3" t="s">
        <v>64</v>
      </c>
      <c r="L3152" s="2" t="s">
        <v>5944</v>
      </c>
      <c r="M3152" s="2" t="s">
        <v>26215</v>
      </c>
      <c r="N3152" s="3" t="s">
        <v>918</v>
      </c>
      <c r="P3152" s="3" t="s">
        <v>90</v>
      </c>
      <c r="R3152" s="3" t="s">
        <v>67</v>
      </c>
      <c r="S3152" s="4">
        <v>40</v>
      </c>
      <c r="T3152" s="4">
        <v>40</v>
      </c>
      <c r="U3152" s="5" t="s">
        <v>9621</v>
      </c>
      <c r="V3152" s="5" t="s">
        <v>9621</v>
      </c>
      <c r="W3152" s="5" t="s">
        <v>69</v>
      </c>
      <c r="X3152" s="5" t="s">
        <v>69</v>
      </c>
      <c r="Y3152" s="4">
        <v>187</v>
      </c>
      <c r="Z3152" s="4">
        <v>12</v>
      </c>
      <c r="AA3152" s="4">
        <v>27</v>
      </c>
      <c r="AB3152" s="4">
        <v>1</v>
      </c>
      <c r="AC3152" s="4">
        <v>2</v>
      </c>
      <c r="AD3152" s="4">
        <v>77</v>
      </c>
      <c r="AE3152" s="4">
        <v>103</v>
      </c>
      <c r="AF3152" s="4">
        <v>0</v>
      </c>
      <c r="AG3152" s="4">
        <v>0</v>
      </c>
      <c r="AH3152" s="4">
        <v>71</v>
      </c>
      <c r="AI3152" s="4">
        <v>96</v>
      </c>
      <c r="AJ3152" s="4">
        <v>7</v>
      </c>
      <c r="AK3152" s="4">
        <v>14</v>
      </c>
      <c r="AL3152" s="4">
        <v>45</v>
      </c>
      <c r="AM3152" s="4">
        <v>53</v>
      </c>
      <c r="AN3152" s="4">
        <v>0</v>
      </c>
      <c r="AO3152" s="4">
        <v>0</v>
      </c>
      <c r="AP3152" s="4">
        <v>8</v>
      </c>
      <c r="AQ3152" s="4">
        <v>15</v>
      </c>
      <c r="AR3152" s="3" t="s">
        <v>63</v>
      </c>
      <c r="AS3152" s="3" t="s">
        <v>63</v>
      </c>
      <c r="AT3152" s="3" t="s">
        <v>62</v>
      </c>
      <c r="AU3152" s="6" t="str">
        <f>HYPERLINK("http://catalog.hathitrust.org/Record/000886399","HathiTrust Record")</f>
        <v>HathiTrust Record</v>
      </c>
      <c r="AV3152" s="6" t="str">
        <f>HYPERLINK("http://mcgill.on.worldcat.org/oclc/573526","Catalog Record")</f>
        <v>Catalog Record</v>
      </c>
      <c r="AW3152" s="6" t="str">
        <f>HYPERLINK("http://www.worldcat.org/oclc/573526","WorldCat Record")</f>
        <v>WorldCat Record</v>
      </c>
      <c r="AX3152" s="3" t="s">
        <v>26216</v>
      </c>
      <c r="AY3152" s="3" t="s">
        <v>26217</v>
      </c>
      <c r="AZ3152" s="3" t="s">
        <v>26218</v>
      </c>
      <c r="BA3152" s="3" t="s">
        <v>26218</v>
      </c>
      <c r="BB3152" s="3" t="s">
        <v>26219</v>
      </c>
      <c r="BC3152" s="3" t="s">
        <v>82</v>
      </c>
      <c r="BD3152" s="3" t="s">
        <v>70</v>
      </c>
      <c r="BF3152" s="3" t="s">
        <v>26219</v>
      </c>
      <c r="BG3152" s="3" t="s">
        <v>26220</v>
      </c>
    </row>
    <row r="3153" spans="1:59" ht="60" x14ac:dyDescent="0.25">
      <c r="A3153" s="2" t="s">
        <v>59</v>
      </c>
      <c r="B3153" s="2" t="s">
        <v>60</v>
      </c>
      <c r="C3153" s="2" t="s">
        <v>26221</v>
      </c>
      <c r="D3153" s="2" t="s">
        <v>26222</v>
      </c>
      <c r="E3153" s="2" t="s">
        <v>26223</v>
      </c>
      <c r="G3153" s="3" t="s">
        <v>63</v>
      </c>
      <c r="I3153" s="3" t="s">
        <v>63</v>
      </c>
      <c r="J3153" s="3" t="s">
        <v>62</v>
      </c>
      <c r="K3153" s="3" t="s">
        <v>64</v>
      </c>
      <c r="L3153" s="2" t="s">
        <v>26224</v>
      </c>
      <c r="M3153" s="2" t="s">
        <v>26225</v>
      </c>
      <c r="N3153" s="3" t="s">
        <v>468</v>
      </c>
      <c r="O3153" s="2" t="s">
        <v>26226</v>
      </c>
      <c r="P3153" s="3" t="s">
        <v>90</v>
      </c>
      <c r="R3153" s="3" t="s">
        <v>67</v>
      </c>
      <c r="S3153" s="4">
        <v>47</v>
      </c>
      <c r="T3153" s="4">
        <v>47</v>
      </c>
      <c r="U3153" s="5" t="s">
        <v>5904</v>
      </c>
      <c r="V3153" s="5" t="s">
        <v>5904</v>
      </c>
      <c r="W3153" s="5" t="s">
        <v>69</v>
      </c>
      <c r="X3153" s="5" t="s">
        <v>69</v>
      </c>
      <c r="Y3153" s="4">
        <v>107</v>
      </c>
      <c r="Z3153" s="4">
        <v>2</v>
      </c>
      <c r="AA3153" s="4">
        <v>27</v>
      </c>
      <c r="AB3153" s="4">
        <v>1</v>
      </c>
      <c r="AC3153" s="4">
        <v>2</v>
      </c>
      <c r="AD3153" s="4">
        <v>29</v>
      </c>
      <c r="AE3153" s="4">
        <v>103</v>
      </c>
      <c r="AF3153" s="4">
        <v>0</v>
      </c>
      <c r="AG3153" s="4">
        <v>0</v>
      </c>
      <c r="AH3153" s="4">
        <v>28</v>
      </c>
      <c r="AI3153" s="4">
        <v>96</v>
      </c>
      <c r="AJ3153" s="4">
        <v>0</v>
      </c>
      <c r="AK3153" s="4">
        <v>14</v>
      </c>
      <c r="AL3153" s="4">
        <v>18</v>
      </c>
      <c r="AM3153" s="4">
        <v>53</v>
      </c>
      <c r="AN3153" s="4">
        <v>0</v>
      </c>
      <c r="AO3153" s="4">
        <v>0</v>
      </c>
      <c r="AP3153" s="4">
        <v>0</v>
      </c>
      <c r="AQ3153" s="4">
        <v>15</v>
      </c>
      <c r="AR3153" s="3" t="s">
        <v>63</v>
      </c>
      <c r="AS3153" s="3" t="s">
        <v>63</v>
      </c>
      <c r="AT3153" s="3" t="s">
        <v>62</v>
      </c>
      <c r="AU3153" s="6" t="str">
        <f>HYPERLINK("http://catalog.hathitrust.org/Record/000721743","HathiTrust Record")</f>
        <v>HathiTrust Record</v>
      </c>
      <c r="AV3153" s="6" t="str">
        <f>HYPERLINK("http://mcgill.on.worldcat.org/oclc/2585852","Catalog Record")</f>
        <v>Catalog Record</v>
      </c>
      <c r="AW3153" s="6" t="str">
        <f>HYPERLINK("http://www.worldcat.org/oclc/2585852","WorldCat Record")</f>
        <v>WorldCat Record</v>
      </c>
      <c r="AX3153" s="3" t="s">
        <v>26216</v>
      </c>
      <c r="AY3153" s="3" t="s">
        <v>26227</v>
      </c>
      <c r="AZ3153" s="3" t="s">
        <v>26228</v>
      </c>
      <c r="BA3153" s="3" t="s">
        <v>26228</v>
      </c>
      <c r="BB3153" s="3" t="s">
        <v>26229</v>
      </c>
      <c r="BC3153" s="3" t="s">
        <v>82</v>
      </c>
      <c r="BD3153" s="3" t="s">
        <v>70</v>
      </c>
      <c r="BE3153" s="3" t="s">
        <v>26230</v>
      </c>
      <c r="BF3153" s="3" t="s">
        <v>26229</v>
      </c>
      <c r="BG3153" s="3" t="s">
        <v>26231</v>
      </c>
    </row>
    <row r="3154" spans="1:59" ht="60" x14ac:dyDescent="0.25">
      <c r="A3154" s="2" t="s">
        <v>59</v>
      </c>
      <c r="B3154" s="2" t="s">
        <v>60</v>
      </c>
      <c r="C3154" s="2" t="s">
        <v>26232</v>
      </c>
      <c r="D3154" s="2" t="s">
        <v>26233</v>
      </c>
      <c r="E3154" s="2" t="s">
        <v>26234</v>
      </c>
      <c r="G3154" s="3" t="s">
        <v>63</v>
      </c>
      <c r="I3154" s="3" t="s">
        <v>63</v>
      </c>
      <c r="J3154" s="3" t="s">
        <v>63</v>
      </c>
      <c r="K3154" s="3" t="s">
        <v>64</v>
      </c>
      <c r="M3154" s="2" t="s">
        <v>26235</v>
      </c>
      <c r="N3154" s="3" t="s">
        <v>531</v>
      </c>
      <c r="P3154" s="3" t="s">
        <v>66</v>
      </c>
      <c r="Q3154" s="2" t="s">
        <v>26236</v>
      </c>
      <c r="R3154" s="3" t="s">
        <v>67</v>
      </c>
      <c r="S3154" s="4">
        <v>53</v>
      </c>
      <c r="T3154" s="4">
        <v>53</v>
      </c>
      <c r="U3154" s="5" t="s">
        <v>26237</v>
      </c>
      <c r="V3154" s="5" t="s">
        <v>26237</v>
      </c>
      <c r="W3154" s="5" t="s">
        <v>69</v>
      </c>
      <c r="X3154" s="5" t="s">
        <v>69</v>
      </c>
      <c r="Y3154" s="4">
        <v>6</v>
      </c>
      <c r="Z3154" s="4">
        <v>2</v>
      </c>
      <c r="AA3154" s="4">
        <v>3</v>
      </c>
      <c r="AB3154" s="4">
        <v>1</v>
      </c>
      <c r="AC3154" s="4">
        <v>1</v>
      </c>
      <c r="AD3154" s="4">
        <v>1</v>
      </c>
      <c r="AE3154" s="4">
        <v>2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1</v>
      </c>
      <c r="AQ3154" s="4">
        <v>2</v>
      </c>
      <c r="AR3154" s="3" t="s">
        <v>63</v>
      </c>
      <c r="AS3154" s="3" t="s">
        <v>63</v>
      </c>
      <c r="AT3154" s="3" t="s">
        <v>62</v>
      </c>
      <c r="AU3154" s="6" t="str">
        <f>HYPERLINK("http://catalog.hathitrust.org/Record/007110794","HathiTrust Record")</f>
        <v>HathiTrust Record</v>
      </c>
      <c r="AV3154" s="6" t="str">
        <f>HYPERLINK("http://mcgill.on.worldcat.org/oclc/370353120","Catalog Record")</f>
        <v>Catalog Record</v>
      </c>
      <c r="AW3154" s="6" t="str">
        <f>HYPERLINK("http://www.worldcat.org/oclc/370353120","WorldCat Record")</f>
        <v>WorldCat Record</v>
      </c>
      <c r="AX3154" s="3" t="s">
        <v>26238</v>
      </c>
      <c r="AY3154" s="3" t="s">
        <v>26239</v>
      </c>
      <c r="AZ3154" s="3" t="s">
        <v>26240</v>
      </c>
      <c r="BA3154" s="3" t="s">
        <v>26240</v>
      </c>
      <c r="BB3154" s="3" t="s">
        <v>26241</v>
      </c>
      <c r="BC3154" s="3" t="s">
        <v>82</v>
      </c>
      <c r="BD3154" s="3" t="s">
        <v>70</v>
      </c>
      <c r="BE3154" s="3" t="s">
        <v>26242</v>
      </c>
      <c r="BF3154" s="3" t="s">
        <v>26241</v>
      </c>
      <c r="BG3154" s="3" t="s">
        <v>26243</v>
      </c>
    </row>
    <row r="3155" spans="1:59" ht="60" x14ac:dyDescent="0.25">
      <c r="A3155" s="2" t="s">
        <v>59</v>
      </c>
      <c r="B3155" s="2" t="s">
        <v>60</v>
      </c>
      <c r="C3155" s="2" t="s">
        <v>26244</v>
      </c>
      <c r="D3155" s="2" t="s">
        <v>26245</v>
      </c>
      <c r="E3155" s="2" t="s">
        <v>26246</v>
      </c>
      <c r="G3155" s="3" t="s">
        <v>63</v>
      </c>
      <c r="I3155" s="3" t="s">
        <v>63</v>
      </c>
      <c r="J3155" s="3" t="s">
        <v>63</v>
      </c>
      <c r="K3155" s="3" t="s">
        <v>64</v>
      </c>
      <c r="L3155" s="2" t="s">
        <v>26247</v>
      </c>
      <c r="M3155" s="2" t="s">
        <v>26248</v>
      </c>
      <c r="N3155" s="3" t="s">
        <v>374</v>
      </c>
      <c r="P3155" s="3" t="s">
        <v>66</v>
      </c>
      <c r="Q3155" s="2" t="s">
        <v>26249</v>
      </c>
      <c r="R3155" s="3" t="s">
        <v>67</v>
      </c>
      <c r="S3155" s="4">
        <v>36</v>
      </c>
      <c r="T3155" s="4">
        <v>36</v>
      </c>
      <c r="U3155" s="5" t="s">
        <v>16029</v>
      </c>
      <c r="V3155" s="5" t="s">
        <v>16029</v>
      </c>
      <c r="W3155" s="5" t="s">
        <v>69</v>
      </c>
      <c r="X3155" s="5" t="s">
        <v>69</v>
      </c>
      <c r="Y3155" s="4">
        <v>452</v>
      </c>
      <c r="Z3155" s="4">
        <v>11</v>
      </c>
      <c r="AA3155" s="4">
        <v>17</v>
      </c>
      <c r="AB3155" s="4">
        <v>1</v>
      </c>
      <c r="AC3155" s="4">
        <v>2</v>
      </c>
      <c r="AD3155" s="4">
        <v>79</v>
      </c>
      <c r="AE3155" s="4">
        <v>88</v>
      </c>
      <c r="AF3155" s="4">
        <v>0</v>
      </c>
      <c r="AG3155" s="4">
        <v>0</v>
      </c>
      <c r="AH3155" s="4">
        <v>75</v>
      </c>
      <c r="AI3155" s="4">
        <v>82</v>
      </c>
      <c r="AJ3155" s="4">
        <v>8</v>
      </c>
      <c r="AK3155" s="4">
        <v>12</v>
      </c>
      <c r="AL3155" s="4">
        <v>40</v>
      </c>
      <c r="AM3155" s="4">
        <v>42</v>
      </c>
      <c r="AN3155" s="4">
        <v>0</v>
      </c>
      <c r="AO3155" s="4">
        <v>0</v>
      </c>
      <c r="AP3155" s="4">
        <v>8</v>
      </c>
      <c r="AQ3155" s="4">
        <v>13</v>
      </c>
      <c r="AR3155" s="3" t="s">
        <v>63</v>
      </c>
      <c r="AS3155" s="3" t="s">
        <v>63</v>
      </c>
      <c r="AT3155" s="3" t="s">
        <v>62</v>
      </c>
      <c r="AU3155" s="6" t="str">
        <f>HYPERLINK("http://catalog.hathitrust.org/Record/007130578","HathiTrust Record")</f>
        <v>HathiTrust Record</v>
      </c>
      <c r="AV3155" s="6" t="str">
        <f>HYPERLINK("http://mcgill.on.worldcat.org/oclc/31206194","Catalog Record")</f>
        <v>Catalog Record</v>
      </c>
      <c r="AW3155" s="6" t="str">
        <f>HYPERLINK("http://www.worldcat.org/oclc/31206194","WorldCat Record")</f>
        <v>WorldCat Record</v>
      </c>
      <c r="AX3155" s="3" t="s">
        <v>26250</v>
      </c>
      <c r="AY3155" s="3" t="s">
        <v>26251</v>
      </c>
      <c r="AZ3155" s="3" t="s">
        <v>26252</v>
      </c>
      <c r="BA3155" s="3" t="s">
        <v>26252</v>
      </c>
      <c r="BB3155" s="3" t="s">
        <v>26253</v>
      </c>
      <c r="BC3155" s="3" t="s">
        <v>82</v>
      </c>
      <c r="BD3155" s="3" t="s">
        <v>70</v>
      </c>
      <c r="BE3155" s="3" t="s">
        <v>26254</v>
      </c>
      <c r="BF3155" s="3" t="s">
        <v>26253</v>
      </c>
      <c r="BG3155" s="3" t="s">
        <v>26255</v>
      </c>
    </row>
    <row r="3156" spans="1:59" ht="60" x14ac:dyDescent="0.25">
      <c r="A3156" s="2" t="s">
        <v>59</v>
      </c>
      <c r="B3156" s="2" t="s">
        <v>60</v>
      </c>
      <c r="C3156" s="2" t="s">
        <v>26256</v>
      </c>
      <c r="D3156" s="2" t="s">
        <v>26257</v>
      </c>
      <c r="E3156" s="2" t="s">
        <v>26258</v>
      </c>
      <c r="G3156" s="3" t="s">
        <v>63</v>
      </c>
      <c r="I3156" s="3" t="s">
        <v>62</v>
      </c>
      <c r="J3156" s="3" t="s">
        <v>63</v>
      </c>
      <c r="K3156" s="3" t="s">
        <v>64</v>
      </c>
      <c r="L3156" s="2" t="s">
        <v>26259</v>
      </c>
      <c r="M3156" s="2" t="s">
        <v>26260</v>
      </c>
      <c r="N3156" s="3" t="s">
        <v>939</v>
      </c>
      <c r="P3156" s="3" t="s">
        <v>66</v>
      </c>
      <c r="R3156" s="3" t="s">
        <v>67</v>
      </c>
      <c r="S3156" s="4">
        <v>35</v>
      </c>
      <c r="T3156" s="4">
        <v>35</v>
      </c>
      <c r="U3156" s="5" t="s">
        <v>4791</v>
      </c>
      <c r="V3156" s="5" t="s">
        <v>4791</v>
      </c>
      <c r="W3156" s="5" t="s">
        <v>69</v>
      </c>
      <c r="X3156" s="5" t="s">
        <v>69</v>
      </c>
      <c r="Y3156" s="4">
        <v>646</v>
      </c>
      <c r="Z3156" s="4">
        <v>26</v>
      </c>
      <c r="AA3156" s="4">
        <v>36</v>
      </c>
      <c r="AB3156" s="4">
        <v>4</v>
      </c>
      <c r="AC3156" s="4">
        <v>5</v>
      </c>
      <c r="AD3156" s="4">
        <v>97</v>
      </c>
      <c r="AE3156" s="4">
        <v>124</v>
      </c>
      <c r="AF3156" s="4">
        <v>2</v>
      </c>
      <c r="AG3156" s="4">
        <v>3</v>
      </c>
      <c r="AH3156" s="4">
        <v>81</v>
      </c>
      <c r="AI3156" s="4">
        <v>103</v>
      </c>
      <c r="AJ3156" s="4">
        <v>15</v>
      </c>
      <c r="AK3156" s="4">
        <v>22</v>
      </c>
      <c r="AL3156" s="4">
        <v>49</v>
      </c>
      <c r="AM3156" s="4">
        <v>59</v>
      </c>
      <c r="AN3156" s="4">
        <v>0</v>
      </c>
      <c r="AO3156" s="4">
        <v>0</v>
      </c>
      <c r="AP3156" s="4">
        <v>18</v>
      </c>
      <c r="AQ3156" s="4">
        <v>26</v>
      </c>
      <c r="AR3156" s="3" t="s">
        <v>63</v>
      </c>
      <c r="AS3156" s="3" t="s">
        <v>63</v>
      </c>
      <c r="AT3156" s="3" t="s">
        <v>62</v>
      </c>
      <c r="AU3156" s="6" t="str">
        <f>HYPERLINK("http://catalog.hathitrust.org/Record/000672483","HathiTrust Record")</f>
        <v>HathiTrust Record</v>
      </c>
      <c r="AV3156" s="6" t="str">
        <f>HYPERLINK("http://mcgill.on.worldcat.org/oclc/293600","Catalog Record")</f>
        <v>Catalog Record</v>
      </c>
      <c r="AW3156" s="6" t="str">
        <f>HYPERLINK("http://www.worldcat.org/oclc/293600","WorldCat Record")</f>
        <v>WorldCat Record</v>
      </c>
      <c r="AX3156" s="3" t="s">
        <v>26261</v>
      </c>
      <c r="AY3156" s="3" t="s">
        <v>26262</v>
      </c>
      <c r="AZ3156" s="3" t="s">
        <v>26263</v>
      </c>
      <c r="BA3156" s="3" t="s">
        <v>26263</v>
      </c>
      <c r="BB3156" s="3" t="s">
        <v>26264</v>
      </c>
      <c r="BC3156" s="3" t="s">
        <v>82</v>
      </c>
      <c r="BD3156" s="3" t="s">
        <v>70</v>
      </c>
      <c r="BF3156" s="3" t="s">
        <v>26264</v>
      </c>
      <c r="BG3156" s="3" t="s">
        <v>26265</v>
      </c>
    </row>
    <row r="3157" spans="1:59" ht="60" x14ac:dyDescent="0.25">
      <c r="A3157" s="2" t="s">
        <v>59</v>
      </c>
      <c r="B3157" s="2" t="s">
        <v>60</v>
      </c>
      <c r="C3157" s="2" t="s">
        <v>26266</v>
      </c>
      <c r="D3157" s="2" t="s">
        <v>26267</v>
      </c>
      <c r="E3157" s="2" t="s">
        <v>26268</v>
      </c>
      <c r="G3157" s="3" t="s">
        <v>63</v>
      </c>
      <c r="I3157" s="3" t="s">
        <v>62</v>
      </c>
      <c r="J3157" s="3" t="s">
        <v>63</v>
      </c>
      <c r="K3157" s="3" t="s">
        <v>64</v>
      </c>
      <c r="L3157" s="2" t="s">
        <v>5944</v>
      </c>
      <c r="M3157" s="2" t="s">
        <v>26269</v>
      </c>
      <c r="N3157" s="3" t="s">
        <v>1010</v>
      </c>
      <c r="P3157" s="3" t="s">
        <v>548</v>
      </c>
      <c r="Q3157" s="2" t="s">
        <v>26270</v>
      </c>
      <c r="R3157" s="3" t="s">
        <v>67</v>
      </c>
      <c r="S3157" s="4">
        <v>30</v>
      </c>
      <c r="T3157" s="4">
        <v>82</v>
      </c>
      <c r="U3157" s="5" t="s">
        <v>17792</v>
      </c>
      <c r="V3157" s="5" t="s">
        <v>4791</v>
      </c>
      <c r="W3157" s="5" t="s">
        <v>69</v>
      </c>
      <c r="X3157" s="5" t="s">
        <v>69</v>
      </c>
      <c r="Y3157" s="4">
        <v>29</v>
      </c>
      <c r="Z3157" s="4">
        <v>1</v>
      </c>
      <c r="AA3157" s="4">
        <v>13</v>
      </c>
      <c r="AB3157" s="4">
        <v>1</v>
      </c>
      <c r="AC3157" s="4">
        <v>8</v>
      </c>
      <c r="AD3157" s="4">
        <v>9</v>
      </c>
      <c r="AE3157" s="4">
        <v>17</v>
      </c>
      <c r="AF3157" s="4">
        <v>0</v>
      </c>
      <c r="AG3157" s="4">
        <v>4</v>
      </c>
      <c r="AH3157" s="4">
        <v>8</v>
      </c>
      <c r="AI3157" s="4">
        <v>11</v>
      </c>
      <c r="AJ3157" s="4">
        <v>0</v>
      </c>
      <c r="AK3157" s="4">
        <v>6</v>
      </c>
      <c r="AL3157" s="4">
        <v>8</v>
      </c>
      <c r="AM3157" s="4">
        <v>8</v>
      </c>
      <c r="AN3157" s="4">
        <v>0</v>
      </c>
      <c r="AO3157" s="4">
        <v>0</v>
      </c>
      <c r="AP3157" s="4">
        <v>0</v>
      </c>
      <c r="AQ3157" s="4">
        <v>5</v>
      </c>
      <c r="AR3157" s="3" t="s">
        <v>63</v>
      </c>
      <c r="AS3157" s="3" t="s">
        <v>63</v>
      </c>
      <c r="AT3157" s="3" t="s">
        <v>62</v>
      </c>
      <c r="AU3157" s="6" t="str">
        <f>HYPERLINK("http://catalog.hathitrust.org/Record/001837649","HathiTrust Record")</f>
        <v>HathiTrust Record</v>
      </c>
      <c r="AV3157" s="6" t="str">
        <f>HYPERLINK("http://mcgill.on.worldcat.org/oclc/2145644","Catalog Record")</f>
        <v>Catalog Record</v>
      </c>
      <c r="AW3157" s="6" t="str">
        <f>HYPERLINK("http://www.worldcat.org/oclc/2145644","WorldCat Record")</f>
        <v>WorldCat Record</v>
      </c>
      <c r="AX3157" s="3" t="s">
        <v>26271</v>
      </c>
      <c r="AY3157" s="3" t="s">
        <v>26272</v>
      </c>
      <c r="AZ3157" s="3" t="s">
        <v>26273</v>
      </c>
      <c r="BA3157" s="3" t="s">
        <v>26273</v>
      </c>
      <c r="BB3157" s="3" t="s">
        <v>26274</v>
      </c>
      <c r="BC3157" s="3" t="s">
        <v>82</v>
      </c>
      <c r="BD3157" s="3" t="s">
        <v>70</v>
      </c>
      <c r="BF3157" s="3" t="s">
        <v>26274</v>
      </c>
      <c r="BG3157" s="3" t="s">
        <v>26275</v>
      </c>
    </row>
    <row r="3158" spans="1:59" ht="60" x14ac:dyDescent="0.25">
      <c r="A3158" s="2" t="s">
        <v>59</v>
      </c>
      <c r="B3158" s="2" t="s">
        <v>60</v>
      </c>
      <c r="C3158" s="2" t="s">
        <v>26266</v>
      </c>
      <c r="D3158" s="2" t="s">
        <v>26267</v>
      </c>
      <c r="E3158" s="2" t="s">
        <v>26268</v>
      </c>
      <c r="G3158" s="3" t="s">
        <v>63</v>
      </c>
      <c r="I3158" s="3" t="s">
        <v>62</v>
      </c>
      <c r="J3158" s="3" t="s">
        <v>63</v>
      </c>
      <c r="K3158" s="3" t="s">
        <v>64</v>
      </c>
      <c r="L3158" s="2" t="s">
        <v>5944</v>
      </c>
      <c r="M3158" s="2" t="s">
        <v>26269</v>
      </c>
      <c r="N3158" s="3" t="s">
        <v>1010</v>
      </c>
      <c r="P3158" s="3" t="s">
        <v>548</v>
      </c>
      <c r="Q3158" s="2" t="s">
        <v>26270</v>
      </c>
      <c r="R3158" s="3" t="s">
        <v>67</v>
      </c>
      <c r="S3158" s="4">
        <v>52</v>
      </c>
      <c r="T3158" s="4">
        <v>82</v>
      </c>
      <c r="U3158" s="5" t="s">
        <v>4791</v>
      </c>
      <c r="V3158" s="5" t="s">
        <v>4791</v>
      </c>
      <c r="W3158" s="5" t="s">
        <v>69</v>
      </c>
      <c r="X3158" s="5" t="s">
        <v>69</v>
      </c>
      <c r="Y3158" s="4">
        <v>29</v>
      </c>
      <c r="Z3158" s="4">
        <v>1</v>
      </c>
      <c r="AA3158" s="4">
        <v>13</v>
      </c>
      <c r="AB3158" s="4">
        <v>1</v>
      </c>
      <c r="AC3158" s="4">
        <v>8</v>
      </c>
      <c r="AD3158" s="4">
        <v>9</v>
      </c>
      <c r="AE3158" s="4">
        <v>17</v>
      </c>
      <c r="AF3158" s="4">
        <v>0</v>
      </c>
      <c r="AG3158" s="4">
        <v>4</v>
      </c>
      <c r="AH3158" s="4">
        <v>8</v>
      </c>
      <c r="AI3158" s="4">
        <v>11</v>
      </c>
      <c r="AJ3158" s="4">
        <v>0</v>
      </c>
      <c r="AK3158" s="4">
        <v>6</v>
      </c>
      <c r="AL3158" s="4">
        <v>8</v>
      </c>
      <c r="AM3158" s="4">
        <v>8</v>
      </c>
      <c r="AN3158" s="4">
        <v>0</v>
      </c>
      <c r="AO3158" s="4">
        <v>0</v>
      </c>
      <c r="AP3158" s="4">
        <v>0</v>
      </c>
      <c r="AQ3158" s="4">
        <v>5</v>
      </c>
      <c r="AR3158" s="3" t="s">
        <v>63</v>
      </c>
      <c r="AS3158" s="3" t="s">
        <v>63</v>
      </c>
      <c r="AT3158" s="3" t="s">
        <v>62</v>
      </c>
      <c r="AU3158" s="6" t="str">
        <f>HYPERLINK("http://catalog.hathitrust.org/Record/001837649","HathiTrust Record")</f>
        <v>HathiTrust Record</v>
      </c>
      <c r="AV3158" s="6" t="str">
        <f>HYPERLINK("http://mcgill.on.worldcat.org/oclc/2145644","Catalog Record")</f>
        <v>Catalog Record</v>
      </c>
      <c r="AW3158" s="6" t="str">
        <f>HYPERLINK("http://www.worldcat.org/oclc/2145644","WorldCat Record")</f>
        <v>WorldCat Record</v>
      </c>
      <c r="AX3158" s="3" t="s">
        <v>26271</v>
      </c>
      <c r="AY3158" s="3" t="s">
        <v>26272</v>
      </c>
      <c r="AZ3158" s="3" t="s">
        <v>26273</v>
      </c>
      <c r="BA3158" s="3" t="s">
        <v>26273</v>
      </c>
      <c r="BB3158" s="3" t="s">
        <v>26276</v>
      </c>
      <c r="BC3158" s="3" t="s">
        <v>82</v>
      </c>
      <c r="BD3158" s="3" t="s">
        <v>70</v>
      </c>
      <c r="BF3158" s="3" t="s">
        <v>26276</v>
      </c>
      <c r="BG3158" s="3" t="s">
        <v>26277</v>
      </c>
    </row>
    <row r="3159" spans="1:59" ht="60" x14ac:dyDescent="0.25">
      <c r="A3159" s="2" t="s">
        <v>59</v>
      </c>
      <c r="B3159" s="2" t="s">
        <v>60</v>
      </c>
      <c r="C3159" s="2" t="s">
        <v>26278</v>
      </c>
      <c r="D3159" s="2" t="s">
        <v>26279</v>
      </c>
      <c r="E3159" s="2" t="s">
        <v>26280</v>
      </c>
      <c r="G3159" s="3" t="s">
        <v>63</v>
      </c>
      <c r="I3159" s="3" t="s">
        <v>63</v>
      </c>
      <c r="J3159" s="3" t="s">
        <v>63</v>
      </c>
      <c r="K3159" s="3" t="s">
        <v>64</v>
      </c>
      <c r="L3159" s="2" t="s">
        <v>5944</v>
      </c>
      <c r="M3159" s="2" t="s">
        <v>26281</v>
      </c>
      <c r="N3159" s="3" t="s">
        <v>2393</v>
      </c>
      <c r="P3159" s="3" t="s">
        <v>66</v>
      </c>
      <c r="R3159" s="3" t="s">
        <v>67</v>
      </c>
      <c r="S3159" s="4">
        <v>6</v>
      </c>
      <c r="T3159" s="4">
        <v>6</v>
      </c>
      <c r="U3159" s="5" t="s">
        <v>25934</v>
      </c>
      <c r="V3159" s="5" t="s">
        <v>25934</v>
      </c>
      <c r="W3159" s="5" t="s">
        <v>69</v>
      </c>
      <c r="X3159" s="5" t="s">
        <v>69</v>
      </c>
      <c r="Y3159" s="4">
        <v>1447</v>
      </c>
      <c r="Z3159" s="4">
        <v>58</v>
      </c>
      <c r="AA3159" s="4">
        <v>69</v>
      </c>
      <c r="AB3159" s="4">
        <v>5</v>
      </c>
      <c r="AC3159" s="4">
        <v>8</v>
      </c>
      <c r="AD3159" s="4">
        <v>129</v>
      </c>
      <c r="AE3159" s="4">
        <v>141</v>
      </c>
      <c r="AF3159" s="4">
        <v>2</v>
      </c>
      <c r="AG3159" s="4">
        <v>3</v>
      </c>
      <c r="AH3159" s="4">
        <v>101</v>
      </c>
      <c r="AI3159" s="4">
        <v>108</v>
      </c>
      <c r="AJ3159" s="4">
        <v>21</v>
      </c>
      <c r="AK3159" s="4">
        <v>23</v>
      </c>
      <c r="AL3159" s="4">
        <v>57</v>
      </c>
      <c r="AM3159" s="4">
        <v>61</v>
      </c>
      <c r="AN3159" s="4">
        <v>0</v>
      </c>
      <c r="AO3159" s="4">
        <v>0</v>
      </c>
      <c r="AP3159" s="4">
        <v>31</v>
      </c>
      <c r="AQ3159" s="4">
        <v>37</v>
      </c>
      <c r="AR3159" s="3" t="s">
        <v>63</v>
      </c>
      <c r="AS3159" s="3" t="s">
        <v>63</v>
      </c>
      <c r="AT3159" s="3" t="s">
        <v>62</v>
      </c>
      <c r="AU3159" s="6" t="str">
        <f>HYPERLINK("http://catalog.hathitrust.org/Record/000015278","HathiTrust Record")</f>
        <v>HathiTrust Record</v>
      </c>
      <c r="AV3159" s="6" t="str">
        <f>HYPERLINK("http://mcgill.on.worldcat.org/oclc/947946","Catalog Record")</f>
        <v>Catalog Record</v>
      </c>
      <c r="AW3159" s="6" t="str">
        <f>HYPERLINK("http://www.worldcat.org/oclc/947946","WorldCat Record")</f>
        <v>WorldCat Record</v>
      </c>
      <c r="AX3159" s="3" t="s">
        <v>26282</v>
      </c>
      <c r="AY3159" s="3" t="s">
        <v>26283</v>
      </c>
      <c r="AZ3159" s="3" t="s">
        <v>26284</v>
      </c>
      <c r="BA3159" s="3" t="s">
        <v>26284</v>
      </c>
      <c r="BB3159" s="3" t="s">
        <v>26285</v>
      </c>
      <c r="BC3159" s="3" t="s">
        <v>82</v>
      </c>
      <c r="BD3159" s="3" t="s">
        <v>538</v>
      </c>
      <c r="BE3159" s="3" t="s">
        <v>26286</v>
      </c>
      <c r="BF3159" s="3" t="s">
        <v>26285</v>
      </c>
      <c r="BG3159" s="3" t="s">
        <v>26287</v>
      </c>
    </row>
    <row r="3160" spans="1:59" ht="60" x14ac:dyDescent="0.25">
      <c r="A3160" s="2" t="s">
        <v>59</v>
      </c>
      <c r="B3160" s="2" t="s">
        <v>60</v>
      </c>
      <c r="C3160" s="2" t="s">
        <v>26288</v>
      </c>
      <c r="D3160" s="2" t="s">
        <v>26289</v>
      </c>
      <c r="E3160" s="2" t="s">
        <v>26290</v>
      </c>
      <c r="G3160" s="3" t="s">
        <v>63</v>
      </c>
      <c r="I3160" s="3" t="s">
        <v>63</v>
      </c>
      <c r="J3160" s="3" t="s">
        <v>62</v>
      </c>
      <c r="K3160" s="3" t="s">
        <v>64</v>
      </c>
      <c r="L3160" s="2" t="s">
        <v>14234</v>
      </c>
      <c r="M3160" s="2" t="s">
        <v>26291</v>
      </c>
      <c r="N3160" s="3" t="s">
        <v>401</v>
      </c>
      <c r="P3160" s="3" t="s">
        <v>66</v>
      </c>
      <c r="R3160" s="3" t="s">
        <v>67</v>
      </c>
      <c r="S3160" s="4">
        <v>14</v>
      </c>
      <c r="T3160" s="4">
        <v>14</v>
      </c>
      <c r="U3160" s="5" t="s">
        <v>16858</v>
      </c>
      <c r="V3160" s="5" t="s">
        <v>16858</v>
      </c>
      <c r="W3160" s="5" t="s">
        <v>69</v>
      </c>
      <c r="X3160" s="5" t="s">
        <v>69</v>
      </c>
      <c r="Y3160" s="4">
        <v>949</v>
      </c>
      <c r="Z3160" s="4">
        <v>27</v>
      </c>
      <c r="AA3160" s="4">
        <v>57</v>
      </c>
      <c r="AB3160" s="4">
        <v>2</v>
      </c>
      <c r="AC3160" s="4">
        <v>7</v>
      </c>
      <c r="AD3160" s="4">
        <v>110</v>
      </c>
      <c r="AE3160" s="4">
        <v>135</v>
      </c>
      <c r="AF3160" s="4">
        <v>1</v>
      </c>
      <c r="AG3160" s="4">
        <v>3</v>
      </c>
      <c r="AH3160" s="4">
        <v>92</v>
      </c>
      <c r="AI3160" s="4">
        <v>107</v>
      </c>
      <c r="AJ3160" s="4">
        <v>12</v>
      </c>
      <c r="AK3160" s="4">
        <v>23</v>
      </c>
      <c r="AL3160" s="4">
        <v>54</v>
      </c>
      <c r="AM3160" s="4">
        <v>60</v>
      </c>
      <c r="AN3160" s="4">
        <v>0</v>
      </c>
      <c r="AO3160" s="4">
        <v>3</v>
      </c>
      <c r="AP3160" s="4">
        <v>18</v>
      </c>
      <c r="AQ3160" s="4">
        <v>31</v>
      </c>
      <c r="AR3160" s="3" t="s">
        <v>63</v>
      </c>
      <c r="AS3160" s="3" t="s">
        <v>63</v>
      </c>
      <c r="AT3160" s="3" t="s">
        <v>62</v>
      </c>
      <c r="AU3160" s="6" t="str">
        <f>HYPERLINK("http://catalog.hathitrust.org/Record/001110448","HathiTrust Record")</f>
        <v>HathiTrust Record</v>
      </c>
      <c r="AV3160" s="6" t="str">
        <f>HYPERLINK("http://mcgill.on.worldcat.org/oclc/289706","Catalog Record")</f>
        <v>Catalog Record</v>
      </c>
      <c r="AW3160" s="6" t="str">
        <f>HYPERLINK("http://www.worldcat.org/oclc/289706","WorldCat Record")</f>
        <v>WorldCat Record</v>
      </c>
      <c r="AX3160" s="3" t="s">
        <v>26292</v>
      </c>
      <c r="AY3160" s="3" t="s">
        <v>26293</v>
      </c>
      <c r="AZ3160" s="3" t="s">
        <v>26294</v>
      </c>
      <c r="BA3160" s="3" t="s">
        <v>26294</v>
      </c>
      <c r="BB3160" s="3" t="s">
        <v>26295</v>
      </c>
      <c r="BC3160" s="3" t="s">
        <v>82</v>
      </c>
      <c r="BD3160" s="3" t="s">
        <v>538</v>
      </c>
      <c r="BE3160" s="3" t="s">
        <v>26296</v>
      </c>
      <c r="BF3160" s="3" t="s">
        <v>26295</v>
      </c>
      <c r="BG3160" s="3" t="s">
        <v>26297</v>
      </c>
    </row>
    <row r="3161" spans="1:59" ht="60" x14ac:dyDescent="0.25">
      <c r="A3161" s="2" t="s">
        <v>59</v>
      </c>
      <c r="B3161" s="2" t="s">
        <v>60</v>
      </c>
      <c r="C3161" s="2" t="s">
        <v>26298</v>
      </c>
      <c r="D3161" s="2" t="s">
        <v>26299</v>
      </c>
      <c r="E3161" s="2" t="s">
        <v>26290</v>
      </c>
      <c r="G3161" s="3" t="s">
        <v>63</v>
      </c>
      <c r="I3161" s="3" t="s">
        <v>63</v>
      </c>
      <c r="J3161" s="3" t="s">
        <v>62</v>
      </c>
      <c r="K3161" s="3" t="s">
        <v>64</v>
      </c>
      <c r="L3161" s="2" t="s">
        <v>5944</v>
      </c>
      <c r="M3161" s="2" t="s">
        <v>26300</v>
      </c>
      <c r="N3161" s="3" t="s">
        <v>401</v>
      </c>
      <c r="P3161" s="3" t="s">
        <v>66</v>
      </c>
      <c r="R3161" s="3" t="s">
        <v>67</v>
      </c>
      <c r="S3161" s="4">
        <v>40</v>
      </c>
      <c r="T3161" s="4">
        <v>40</v>
      </c>
      <c r="U3161" s="5" t="s">
        <v>26301</v>
      </c>
      <c r="V3161" s="5" t="s">
        <v>26301</v>
      </c>
      <c r="W3161" s="5" t="s">
        <v>69</v>
      </c>
      <c r="X3161" s="5" t="s">
        <v>69</v>
      </c>
      <c r="Y3161" s="4">
        <v>112</v>
      </c>
      <c r="Z3161" s="4">
        <v>5</v>
      </c>
      <c r="AA3161" s="4">
        <v>57</v>
      </c>
      <c r="AB3161" s="4">
        <v>1</v>
      </c>
      <c r="AC3161" s="4">
        <v>7</v>
      </c>
      <c r="AD3161" s="4">
        <v>18</v>
      </c>
      <c r="AE3161" s="4">
        <v>135</v>
      </c>
      <c r="AF3161" s="4">
        <v>0</v>
      </c>
      <c r="AG3161" s="4">
        <v>3</v>
      </c>
      <c r="AH3161" s="4">
        <v>16</v>
      </c>
      <c r="AI3161" s="4">
        <v>107</v>
      </c>
      <c r="AJ3161" s="4">
        <v>3</v>
      </c>
      <c r="AK3161" s="4">
        <v>23</v>
      </c>
      <c r="AL3161" s="4">
        <v>10</v>
      </c>
      <c r="AM3161" s="4">
        <v>60</v>
      </c>
      <c r="AN3161" s="4">
        <v>0</v>
      </c>
      <c r="AO3161" s="4">
        <v>3</v>
      </c>
      <c r="AP3161" s="4">
        <v>3</v>
      </c>
      <c r="AQ3161" s="4">
        <v>31</v>
      </c>
      <c r="AR3161" s="3" t="s">
        <v>63</v>
      </c>
      <c r="AS3161" s="3" t="s">
        <v>63</v>
      </c>
      <c r="AT3161" s="3" t="s">
        <v>63</v>
      </c>
      <c r="AV3161" s="6" t="str">
        <f>HYPERLINK("http://mcgill.on.worldcat.org/oclc/2356574","Catalog Record")</f>
        <v>Catalog Record</v>
      </c>
      <c r="AW3161" s="6" t="str">
        <f>HYPERLINK("http://www.worldcat.org/oclc/2356574","WorldCat Record")</f>
        <v>WorldCat Record</v>
      </c>
      <c r="AX3161" s="3" t="s">
        <v>26292</v>
      </c>
      <c r="AY3161" s="3" t="s">
        <v>26302</v>
      </c>
      <c r="AZ3161" s="3" t="s">
        <v>26303</v>
      </c>
      <c r="BA3161" s="3" t="s">
        <v>26303</v>
      </c>
      <c r="BB3161" s="3" t="s">
        <v>26304</v>
      </c>
      <c r="BC3161" s="3" t="s">
        <v>82</v>
      </c>
      <c r="BD3161" s="3" t="s">
        <v>70</v>
      </c>
      <c r="BF3161" s="3" t="s">
        <v>26304</v>
      </c>
      <c r="BG3161" s="3" t="s">
        <v>26305</v>
      </c>
    </row>
    <row r="3162" spans="1:59" ht="60" x14ac:dyDescent="0.25">
      <c r="A3162" s="2" t="s">
        <v>59</v>
      </c>
      <c r="B3162" s="2" t="s">
        <v>60</v>
      </c>
      <c r="C3162" s="2" t="s">
        <v>26306</v>
      </c>
      <c r="D3162" s="2" t="s">
        <v>26307</v>
      </c>
      <c r="E3162" s="2" t="s">
        <v>26308</v>
      </c>
      <c r="G3162" s="3" t="s">
        <v>63</v>
      </c>
      <c r="I3162" s="3" t="s">
        <v>63</v>
      </c>
      <c r="J3162" s="3" t="s">
        <v>63</v>
      </c>
      <c r="K3162" s="3" t="s">
        <v>64</v>
      </c>
      <c r="L3162" s="2" t="s">
        <v>26309</v>
      </c>
      <c r="M3162" s="2" t="s">
        <v>26310</v>
      </c>
      <c r="N3162" s="3" t="s">
        <v>274</v>
      </c>
      <c r="P3162" s="3" t="s">
        <v>66</v>
      </c>
      <c r="R3162" s="3" t="s">
        <v>67</v>
      </c>
      <c r="S3162" s="4">
        <v>29</v>
      </c>
      <c r="T3162" s="4">
        <v>29</v>
      </c>
      <c r="U3162" s="5" t="s">
        <v>14064</v>
      </c>
      <c r="V3162" s="5" t="s">
        <v>14064</v>
      </c>
      <c r="W3162" s="5" t="s">
        <v>69</v>
      </c>
      <c r="X3162" s="5" t="s">
        <v>69</v>
      </c>
      <c r="Y3162" s="4">
        <v>681</v>
      </c>
      <c r="Z3162" s="4">
        <v>37</v>
      </c>
      <c r="AA3162" s="4">
        <v>113</v>
      </c>
      <c r="AB3162" s="4">
        <v>3</v>
      </c>
      <c r="AC3162" s="4">
        <v>20</v>
      </c>
      <c r="AD3162" s="4">
        <v>123</v>
      </c>
      <c r="AE3162" s="4">
        <v>154</v>
      </c>
      <c r="AF3162" s="4">
        <v>1</v>
      </c>
      <c r="AG3162" s="4">
        <v>8</v>
      </c>
      <c r="AH3162" s="4">
        <v>108</v>
      </c>
      <c r="AI3162" s="4">
        <v>114</v>
      </c>
      <c r="AJ3162" s="4">
        <v>18</v>
      </c>
      <c r="AK3162" s="4">
        <v>26</v>
      </c>
      <c r="AL3162" s="4">
        <v>57</v>
      </c>
      <c r="AM3162" s="4">
        <v>59</v>
      </c>
      <c r="AN3162" s="4">
        <v>0</v>
      </c>
      <c r="AO3162" s="4">
        <v>0</v>
      </c>
      <c r="AP3162" s="4">
        <v>24</v>
      </c>
      <c r="AQ3162" s="4">
        <v>50</v>
      </c>
      <c r="AR3162" s="3" t="s">
        <v>63</v>
      </c>
      <c r="AS3162" s="3" t="s">
        <v>63</v>
      </c>
      <c r="AT3162" s="3" t="s">
        <v>63</v>
      </c>
      <c r="AV3162" s="6" t="str">
        <f>HYPERLINK("http://mcgill.on.worldcat.org/oclc/41211639","Catalog Record")</f>
        <v>Catalog Record</v>
      </c>
      <c r="AW3162" s="6" t="str">
        <f>HYPERLINK("http://www.worldcat.org/oclc/41211639","WorldCat Record")</f>
        <v>WorldCat Record</v>
      </c>
      <c r="AX3162" s="3" t="s">
        <v>26311</v>
      </c>
      <c r="AY3162" s="3" t="s">
        <v>26312</v>
      </c>
      <c r="AZ3162" s="3" t="s">
        <v>26313</v>
      </c>
      <c r="BA3162" s="3" t="s">
        <v>26313</v>
      </c>
      <c r="BB3162" s="3" t="s">
        <v>26314</v>
      </c>
      <c r="BC3162" s="3" t="s">
        <v>82</v>
      </c>
      <c r="BD3162" s="3" t="s">
        <v>70</v>
      </c>
      <c r="BE3162" s="3" t="s">
        <v>26315</v>
      </c>
      <c r="BF3162" s="3" t="s">
        <v>26314</v>
      </c>
      <c r="BG3162" s="3" t="s">
        <v>26316</v>
      </c>
    </row>
    <row r="3163" spans="1:59" ht="60" x14ac:dyDescent="0.25">
      <c r="A3163" s="2" t="s">
        <v>59</v>
      </c>
      <c r="B3163" s="2" t="s">
        <v>60</v>
      </c>
      <c r="C3163" s="2" t="s">
        <v>26317</v>
      </c>
      <c r="D3163" s="2" t="s">
        <v>26318</v>
      </c>
      <c r="E3163" s="2" t="s">
        <v>26319</v>
      </c>
      <c r="G3163" s="3" t="s">
        <v>63</v>
      </c>
      <c r="I3163" s="3" t="s">
        <v>63</v>
      </c>
      <c r="J3163" s="3" t="s">
        <v>63</v>
      </c>
      <c r="K3163" s="3" t="s">
        <v>64</v>
      </c>
      <c r="L3163" s="2" t="s">
        <v>26320</v>
      </c>
      <c r="M3163" s="2" t="s">
        <v>26321</v>
      </c>
      <c r="N3163" s="3" t="s">
        <v>427</v>
      </c>
      <c r="O3163" s="2" t="s">
        <v>590</v>
      </c>
      <c r="P3163" s="3" t="s">
        <v>66</v>
      </c>
      <c r="R3163" s="3" t="s">
        <v>67</v>
      </c>
      <c r="S3163" s="4">
        <v>15</v>
      </c>
      <c r="T3163" s="4">
        <v>15</v>
      </c>
      <c r="U3163" s="5" t="s">
        <v>26322</v>
      </c>
      <c r="V3163" s="5" t="s">
        <v>26322</v>
      </c>
      <c r="W3163" s="5" t="s">
        <v>69</v>
      </c>
      <c r="X3163" s="5" t="s">
        <v>69</v>
      </c>
      <c r="Y3163" s="4">
        <v>428</v>
      </c>
      <c r="Z3163" s="4">
        <v>22</v>
      </c>
      <c r="AA3163" s="4">
        <v>22</v>
      </c>
      <c r="AB3163" s="4">
        <v>2</v>
      </c>
      <c r="AC3163" s="4">
        <v>2</v>
      </c>
      <c r="AD3163" s="4">
        <v>115</v>
      </c>
      <c r="AE3163" s="4">
        <v>115</v>
      </c>
      <c r="AF3163" s="4">
        <v>1</v>
      </c>
      <c r="AG3163" s="4">
        <v>1</v>
      </c>
      <c r="AH3163" s="4">
        <v>103</v>
      </c>
      <c r="AI3163" s="4">
        <v>103</v>
      </c>
      <c r="AJ3163" s="4">
        <v>13</v>
      </c>
      <c r="AK3163" s="4">
        <v>13</v>
      </c>
      <c r="AL3163" s="4">
        <v>56</v>
      </c>
      <c r="AM3163" s="4">
        <v>56</v>
      </c>
      <c r="AN3163" s="4">
        <v>0</v>
      </c>
      <c r="AO3163" s="4">
        <v>0</v>
      </c>
      <c r="AP3163" s="4">
        <v>16</v>
      </c>
      <c r="AQ3163" s="4">
        <v>16</v>
      </c>
      <c r="AR3163" s="3" t="s">
        <v>63</v>
      </c>
      <c r="AS3163" s="3" t="s">
        <v>63</v>
      </c>
      <c r="AT3163" s="3" t="s">
        <v>63</v>
      </c>
      <c r="AV3163" s="6" t="str">
        <f>HYPERLINK("http://mcgill.on.worldcat.org/oclc/17649640","Catalog Record")</f>
        <v>Catalog Record</v>
      </c>
      <c r="AW3163" s="6" t="str">
        <f>HYPERLINK("http://www.worldcat.org/oclc/17649640","WorldCat Record")</f>
        <v>WorldCat Record</v>
      </c>
      <c r="AX3163" s="3" t="s">
        <v>26323</v>
      </c>
      <c r="AY3163" s="3" t="s">
        <v>26324</v>
      </c>
      <c r="AZ3163" s="3" t="s">
        <v>26325</v>
      </c>
      <c r="BA3163" s="3" t="s">
        <v>26325</v>
      </c>
      <c r="BB3163" s="3" t="s">
        <v>26326</v>
      </c>
      <c r="BC3163" s="3" t="s">
        <v>82</v>
      </c>
      <c r="BD3163" s="3" t="s">
        <v>70</v>
      </c>
      <c r="BE3163" s="3" t="s">
        <v>26327</v>
      </c>
      <c r="BF3163" s="3" t="s">
        <v>26326</v>
      </c>
      <c r="BG3163" s="3" t="s">
        <v>26328</v>
      </c>
    </row>
    <row r="3164" spans="1:59" ht="60" x14ac:dyDescent="0.25">
      <c r="A3164" s="2" t="s">
        <v>59</v>
      </c>
      <c r="B3164" s="2" t="s">
        <v>60</v>
      </c>
      <c r="C3164" s="2" t="s">
        <v>26329</v>
      </c>
      <c r="D3164" s="2" t="s">
        <v>26330</v>
      </c>
      <c r="E3164" s="2" t="s">
        <v>26331</v>
      </c>
      <c r="G3164" s="3" t="s">
        <v>63</v>
      </c>
      <c r="I3164" s="3" t="s">
        <v>62</v>
      </c>
      <c r="J3164" s="3" t="s">
        <v>62</v>
      </c>
      <c r="K3164" s="3" t="s">
        <v>64</v>
      </c>
      <c r="L3164" s="2" t="s">
        <v>5944</v>
      </c>
      <c r="M3164" s="2" t="s">
        <v>26332</v>
      </c>
      <c r="N3164" s="3" t="s">
        <v>213</v>
      </c>
      <c r="O3164" s="2" t="s">
        <v>1605</v>
      </c>
      <c r="P3164" s="3" t="s">
        <v>66</v>
      </c>
      <c r="R3164" s="3" t="s">
        <v>67</v>
      </c>
      <c r="S3164" s="4">
        <v>52</v>
      </c>
      <c r="T3164" s="4">
        <v>52</v>
      </c>
      <c r="U3164" s="5" t="s">
        <v>17742</v>
      </c>
      <c r="V3164" s="5" t="s">
        <v>17742</v>
      </c>
      <c r="W3164" s="5" t="s">
        <v>69</v>
      </c>
      <c r="X3164" s="5" t="s">
        <v>69</v>
      </c>
      <c r="Y3164" s="4">
        <v>537</v>
      </c>
      <c r="Z3164" s="4">
        <v>20</v>
      </c>
      <c r="AA3164" s="4">
        <v>82</v>
      </c>
      <c r="AB3164" s="4">
        <v>1</v>
      </c>
      <c r="AC3164" s="4">
        <v>5</v>
      </c>
      <c r="AD3164" s="4">
        <v>91</v>
      </c>
      <c r="AE3164" s="4">
        <v>145</v>
      </c>
      <c r="AF3164" s="4">
        <v>0</v>
      </c>
      <c r="AG3164" s="4">
        <v>1</v>
      </c>
      <c r="AH3164" s="4">
        <v>80</v>
      </c>
      <c r="AI3164" s="4">
        <v>109</v>
      </c>
      <c r="AJ3164" s="4">
        <v>11</v>
      </c>
      <c r="AK3164" s="4">
        <v>22</v>
      </c>
      <c r="AL3164" s="4">
        <v>48</v>
      </c>
      <c r="AM3164" s="4">
        <v>60</v>
      </c>
      <c r="AN3164" s="4">
        <v>0</v>
      </c>
      <c r="AO3164" s="4">
        <v>6</v>
      </c>
      <c r="AP3164" s="4">
        <v>13</v>
      </c>
      <c r="AQ3164" s="4">
        <v>41</v>
      </c>
      <c r="AR3164" s="3" t="s">
        <v>63</v>
      </c>
      <c r="AS3164" s="3" t="s">
        <v>63</v>
      </c>
      <c r="AT3164" s="3" t="s">
        <v>62</v>
      </c>
      <c r="AU3164" s="6" t="str">
        <f>HYPERLINK("http://catalog.hathitrust.org/Record/000672007","HathiTrust Record")</f>
        <v>HathiTrust Record</v>
      </c>
      <c r="AV3164" s="6" t="str">
        <f>HYPERLINK("http://mcgill.on.worldcat.org/oclc/861053","Catalog Record")</f>
        <v>Catalog Record</v>
      </c>
      <c r="AW3164" s="6" t="str">
        <f>HYPERLINK("http://www.worldcat.org/oclc/861053","WorldCat Record")</f>
        <v>WorldCat Record</v>
      </c>
      <c r="AX3164" s="3" t="s">
        <v>26333</v>
      </c>
      <c r="AY3164" s="3" t="s">
        <v>26334</v>
      </c>
      <c r="AZ3164" s="3" t="s">
        <v>26335</v>
      </c>
      <c r="BA3164" s="3" t="s">
        <v>26335</v>
      </c>
      <c r="BB3164" s="3" t="s">
        <v>26336</v>
      </c>
      <c r="BC3164" s="3" t="s">
        <v>82</v>
      </c>
      <c r="BD3164" s="3" t="s">
        <v>70</v>
      </c>
      <c r="BF3164" s="3" t="s">
        <v>26336</v>
      </c>
      <c r="BG3164" s="3" t="s">
        <v>26337</v>
      </c>
    </row>
    <row r="3165" spans="1:59" ht="60" x14ac:dyDescent="0.25">
      <c r="A3165" s="2" t="s">
        <v>59</v>
      </c>
      <c r="B3165" s="2" t="s">
        <v>60</v>
      </c>
      <c r="C3165" s="2" t="s">
        <v>26338</v>
      </c>
      <c r="D3165" s="2" t="s">
        <v>26339</v>
      </c>
      <c r="E3165" s="2" t="s">
        <v>26340</v>
      </c>
      <c r="G3165" s="3" t="s">
        <v>63</v>
      </c>
      <c r="I3165" s="3" t="s">
        <v>63</v>
      </c>
      <c r="J3165" s="3" t="s">
        <v>62</v>
      </c>
      <c r="K3165" s="3" t="s">
        <v>64</v>
      </c>
      <c r="L3165" s="2" t="s">
        <v>5944</v>
      </c>
      <c r="M3165" s="2" t="s">
        <v>12266</v>
      </c>
      <c r="N3165" s="3" t="s">
        <v>693</v>
      </c>
      <c r="P3165" s="3" t="s">
        <v>66</v>
      </c>
      <c r="Q3165" s="2" t="s">
        <v>26341</v>
      </c>
      <c r="R3165" s="3" t="s">
        <v>67</v>
      </c>
      <c r="S3165" s="4">
        <v>31</v>
      </c>
      <c r="T3165" s="4">
        <v>31</v>
      </c>
      <c r="U3165" s="5" t="s">
        <v>17565</v>
      </c>
      <c r="V3165" s="5" t="s">
        <v>17565</v>
      </c>
      <c r="W3165" s="5" t="s">
        <v>69</v>
      </c>
      <c r="X3165" s="5" t="s">
        <v>69</v>
      </c>
      <c r="Y3165" s="4">
        <v>365</v>
      </c>
      <c r="Z3165" s="4">
        <v>21</v>
      </c>
      <c r="AA3165" s="4">
        <v>82</v>
      </c>
      <c r="AB3165" s="4">
        <v>4</v>
      </c>
      <c r="AC3165" s="4">
        <v>5</v>
      </c>
      <c r="AD3165" s="4">
        <v>46</v>
      </c>
      <c r="AE3165" s="4">
        <v>145</v>
      </c>
      <c r="AF3165" s="4">
        <v>1</v>
      </c>
      <c r="AG3165" s="4">
        <v>1</v>
      </c>
      <c r="AH3165" s="4">
        <v>40</v>
      </c>
      <c r="AI3165" s="4">
        <v>109</v>
      </c>
      <c r="AJ3165" s="4">
        <v>5</v>
      </c>
      <c r="AK3165" s="4">
        <v>22</v>
      </c>
      <c r="AL3165" s="4">
        <v>26</v>
      </c>
      <c r="AM3165" s="4">
        <v>60</v>
      </c>
      <c r="AN3165" s="4">
        <v>0</v>
      </c>
      <c r="AO3165" s="4">
        <v>6</v>
      </c>
      <c r="AP3165" s="4">
        <v>6</v>
      </c>
      <c r="AQ3165" s="4">
        <v>41</v>
      </c>
      <c r="AR3165" s="3" t="s">
        <v>63</v>
      </c>
      <c r="AS3165" s="3" t="s">
        <v>63</v>
      </c>
      <c r="AT3165" s="3" t="s">
        <v>62</v>
      </c>
      <c r="AU3165" s="6" t="str">
        <f>HYPERLINK("http://catalog.hathitrust.org/Record/004377667","HathiTrust Record")</f>
        <v>HathiTrust Record</v>
      </c>
      <c r="AV3165" s="6" t="str">
        <f>HYPERLINK("http://mcgill.on.worldcat.org/oclc/54952062","Catalog Record")</f>
        <v>Catalog Record</v>
      </c>
      <c r="AW3165" s="6" t="str">
        <f>HYPERLINK("http://www.worldcat.org/oclc/54952062","WorldCat Record")</f>
        <v>WorldCat Record</v>
      </c>
      <c r="AX3165" s="3" t="s">
        <v>26333</v>
      </c>
      <c r="AY3165" s="3" t="s">
        <v>26342</v>
      </c>
      <c r="AZ3165" s="3" t="s">
        <v>26343</v>
      </c>
      <c r="BA3165" s="3" t="s">
        <v>26343</v>
      </c>
      <c r="BB3165" s="3" t="s">
        <v>26344</v>
      </c>
      <c r="BC3165" s="3" t="s">
        <v>82</v>
      </c>
      <c r="BD3165" s="3" t="s">
        <v>70</v>
      </c>
      <c r="BE3165" s="3" t="s">
        <v>26345</v>
      </c>
      <c r="BF3165" s="3" t="s">
        <v>26344</v>
      </c>
      <c r="BG3165" s="3" t="s">
        <v>26346</v>
      </c>
    </row>
    <row r="3166" spans="1:59" ht="60" x14ac:dyDescent="0.25">
      <c r="A3166" s="2" t="s">
        <v>59</v>
      </c>
      <c r="B3166" s="2" t="s">
        <v>60</v>
      </c>
      <c r="C3166" s="2" t="s">
        <v>26347</v>
      </c>
      <c r="D3166" s="2" t="s">
        <v>26348</v>
      </c>
      <c r="E3166" s="2" t="s">
        <v>26349</v>
      </c>
      <c r="G3166" s="3" t="s">
        <v>63</v>
      </c>
      <c r="I3166" s="3" t="s">
        <v>63</v>
      </c>
      <c r="J3166" s="3" t="s">
        <v>63</v>
      </c>
      <c r="K3166" s="3" t="s">
        <v>64</v>
      </c>
      <c r="L3166" s="2" t="s">
        <v>26350</v>
      </c>
      <c r="M3166" s="2" t="s">
        <v>16751</v>
      </c>
      <c r="N3166" s="3" t="s">
        <v>161</v>
      </c>
      <c r="P3166" s="3" t="s">
        <v>66</v>
      </c>
      <c r="R3166" s="3" t="s">
        <v>67</v>
      </c>
      <c r="S3166" s="4">
        <v>9</v>
      </c>
      <c r="T3166" s="4">
        <v>9</v>
      </c>
      <c r="U3166" s="5" t="s">
        <v>17565</v>
      </c>
      <c r="V3166" s="5" t="s">
        <v>17565</v>
      </c>
      <c r="W3166" s="5" t="s">
        <v>69</v>
      </c>
      <c r="X3166" s="5" t="s">
        <v>69</v>
      </c>
      <c r="Y3166" s="4">
        <v>320</v>
      </c>
      <c r="Z3166" s="4">
        <v>23</v>
      </c>
      <c r="AA3166" s="4">
        <v>23</v>
      </c>
      <c r="AB3166" s="4">
        <v>1</v>
      </c>
      <c r="AC3166" s="4">
        <v>1</v>
      </c>
      <c r="AD3166" s="4">
        <v>108</v>
      </c>
      <c r="AE3166" s="4">
        <v>108</v>
      </c>
      <c r="AF3166" s="4">
        <v>0</v>
      </c>
      <c r="AG3166" s="4">
        <v>0</v>
      </c>
      <c r="AH3166" s="4">
        <v>100</v>
      </c>
      <c r="AI3166" s="4">
        <v>100</v>
      </c>
      <c r="AJ3166" s="4">
        <v>12</v>
      </c>
      <c r="AK3166" s="4">
        <v>12</v>
      </c>
      <c r="AL3166" s="4">
        <v>54</v>
      </c>
      <c r="AM3166" s="4">
        <v>54</v>
      </c>
      <c r="AN3166" s="4">
        <v>0</v>
      </c>
      <c r="AO3166" s="4">
        <v>0</v>
      </c>
      <c r="AP3166" s="4">
        <v>15</v>
      </c>
      <c r="AQ3166" s="4">
        <v>15</v>
      </c>
      <c r="AR3166" s="3" t="s">
        <v>63</v>
      </c>
      <c r="AS3166" s="3" t="s">
        <v>63</v>
      </c>
      <c r="AT3166" s="3" t="s">
        <v>62</v>
      </c>
      <c r="AU3166" s="6" t="str">
        <f>HYPERLINK("http://catalog.hathitrust.org/Record/001536163","HathiTrust Record")</f>
        <v>HathiTrust Record</v>
      </c>
      <c r="AV3166" s="6" t="str">
        <f>HYPERLINK("http://mcgill.on.worldcat.org/oclc/19517468","Catalog Record")</f>
        <v>Catalog Record</v>
      </c>
      <c r="AW3166" s="6" t="str">
        <f>HYPERLINK("http://www.worldcat.org/oclc/19517468","WorldCat Record")</f>
        <v>WorldCat Record</v>
      </c>
      <c r="AX3166" s="3" t="s">
        <v>26351</v>
      </c>
      <c r="AY3166" s="3" t="s">
        <v>26352</v>
      </c>
      <c r="AZ3166" s="3" t="s">
        <v>26353</v>
      </c>
      <c r="BA3166" s="3" t="s">
        <v>26353</v>
      </c>
      <c r="BB3166" s="3" t="s">
        <v>26354</v>
      </c>
      <c r="BC3166" s="3" t="s">
        <v>82</v>
      </c>
      <c r="BD3166" s="3" t="s">
        <v>70</v>
      </c>
      <c r="BE3166" s="3" t="s">
        <v>26355</v>
      </c>
      <c r="BF3166" s="3" t="s">
        <v>26354</v>
      </c>
      <c r="BG3166" s="3" t="s">
        <v>26356</v>
      </c>
    </row>
    <row r="3167" spans="1:59" ht="60" x14ac:dyDescent="0.25">
      <c r="A3167" s="2" t="s">
        <v>59</v>
      </c>
      <c r="B3167" s="2" t="s">
        <v>60</v>
      </c>
      <c r="C3167" s="2" t="s">
        <v>26357</v>
      </c>
      <c r="D3167" s="2" t="s">
        <v>26358</v>
      </c>
      <c r="E3167" s="2" t="s">
        <v>26359</v>
      </c>
      <c r="G3167" s="3" t="s">
        <v>63</v>
      </c>
      <c r="I3167" s="3" t="s">
        <v>63</v>
      </c>
      <c r="J3167" s="3" t="s">
        <v>63</v>
      </c>
      <c r="K3167" s="3" t="s">
        <v>64</v>
      </c>
      <c r="L3167" s="2" t="s">
        <v>26360</v>
      </c>
      <c r="M3167" s="2" t="s">
        <v>26361</v>
      </c>
      <c r="N3167" s="3" t="s">
        <v>1113</v>
      </c>
      <c r="P3167" s="3" t="s">
        <v>66</v>
      </c>
      <c r="R3167" s="3" t="s">
        <v>67</v>
      </c>
      <c r="S3167" s="4">
        <v>6</v>
      </c>
      <c r="T3167" s="4">
        <v>6</v>
      </c>
      <c r="U3167" s="5" t="s">
        <v>17565</v>
      </c>
      <c r="V3167" s="5" t="s">
        <v>17565</v>
      </c>
      <c r="W3167" s="5" t="s">
        <v>69</v>
      </c>
      <c r="X3167" s="5" t="s">
        <v>69</v>
      </c>
      <c r="Y3167" s="4">
        <v>290</v>
      </c>
      <c r="Z3167" s="4">
        <v>16</v>
      </c>
      <c r="AA3167" s="4">
        <v>87</v>
      </c>
      <c r="AB3167" s="4">
        <v>1</v>
      </c>
      <c r="AC3167" s="4">
        <v>15</v>
      </c>
      <c r="AD3167" s="4">
        <v>107</v>
      </c>
      <c r="AE3167" s="4">
        <v>149</v>
      </c>
      <c r="AF3167" s="4">
        <v>0</v>
      </c>
      <c r="AG3167" s="4">
        <v>8</v>
      </c>
      <c r="AH3167" s="4">
        <v>101</v>
      </c>
      <c r="AI3167" s="4">
        <v>112</v>
      </c>
      <c r="AJ3167" s="4">
        <v>12</v>
      </c>
      <c r="AK3167" s="4">
        <v>26</v>
      </c>
      <c r="AL3167" s="4">
        <v>56</v>
      </c>
      <c r="AM3167" s="4">
        <v>59</v>
      </c>
      <c r="AN3167" s="4">
        <v>0</v>
      </c>
      <c r="AO3167" s="4">
        <v>0</v>
      </c>
      <c r="AP3167" s="4">
        <v>12</v>
      </c>
      <c r="AQ3167" s="4">
        <v>47</v>
      </c>
      <c r="AR3167" s="3" t="s">
        <v>63</v>
      </c>
      <c r="AS3167" s="3" t="s">
        <v>63</v>
      </c>
      <c r="AT3167" s="3" t="s">
        <v>63</v>
      </c>
      <c r="AV3167" s="6" t="str">
        <f>HYPERLINK("http://mcgill.on.worldcat.org/oclc/36566006","Catalog Record")</f>
        <v>Catalog Record</v>
      </c>
      <c r="AW3167" s="6" t="str">
        <f>HYPERLINK("http://www.worldcat.org/oclc/36566006","WorldCat Record")</f>
        <v>WorldCat Record</v>
      </c>
      <c r="AX3167" s="3" t="s">
        <v>26362</v>
      </c>
      <c r="AY3167" s="3" t="s">
        <v>26363</v>
      </c>
      <c r="AZ3167" s="3" t="s">
        <v>26364</v>
      </c>
      <c r="BA3167" s="3" t="s">
        <v>26364</v>
      </c>
      <c r="BB3167" s="3" t="s">
        <v>26365</v>
      </c>
      <c r="BC3167" s="3" t="s">
        <v>82</v>
      </c>
      <c r="BD3167" s="3" t="s">
        <v>70</v>
      </c>
      <c r="BE3167" s="3" t="s">
        <v>26366</v>
      </c>
      <c r="BF3167" s="3" t="s">
        <v>26365</v>
      </c>
      <c r="BG3167" s="3" t="s">
        <v>26367</v>
      </c>
    </row>
    <row r="3168" spans="1:59" ht="60" x14ac:dyDescent="0.25">
      <c r="A3168" s="2" t="s">
        <v>59</v>
      </c>
      <c r="B3168" s="2" t="s">
        <v>60</v>
      </c>
      <c r="C3168" s="2" t="s">
        <v>26368</v>
      </c>
      <c r="D3168" s="2" t="s">
        <v>26369</v>
      </c>
      <c r="E3168" s="2" t="s">
        <v>26370</v>
      </c>
      <c r="G3168" s="3" t="s">
        <v>63</v>
      </c>
      <c r="I3168" s="3" t="s">
        <v>63</v>
      </c>
      <c r="J3168" s="3" t="s">
        <v>62</v>
      </c>
      <c r="K3168" s="3" t="s">
        <v>64</v>
      </c>
      <c r="L3168" s="2" t="s">
        <v>5944</v>
      </c>
      <c r="M3168" s="2" t="s">
        <v>26371</v>
      </c>
      <c r="N3168" s="3" t="s">
        <v>1010</v>
      </c>
      <c r="P3168" s="3" t="s">
        <v>66</v>
      </c>
      <c r="R3168" s="3" t="s">
        <v>67</v>
      </c>
      <c r="S3168" s="4">
        <v>15</v>
      </c>
      <c r="T3168" s="4">
        <v>15</v>
      </c>
      <c r="U3168" s="5" t="s">
        <v>2195</v>
      </c>
      <c r="V3168" s="5" t="s">
        <v>2195</v>
      </c>
      <c r="W3168" s="5" t="s">
        <v>69</v>
      </c>
      <c r="X3168" s="5" t="s">
        <v>69</v>
      </c>
      <c r="Y3168" s="4">
        <v>823</v>
      </c>
      <c r="Z3168" s="4">
        <v>35</v>
      </c>
      <c r="AA3168" s="4">
        <v>73</v>
      </c>
      <c r="AB3168" s="4">
        <v>4</v>
      </c>
      <c r="AC3168" s="4">
        <v>9</v>
      </c>
      <c r="AD3168" s="4">
        <v>112</v>
      </c>
      <c r="AE3168" s="4">
        <v>144</v>
      </c>
      <c r="AF3168" s="4">
        <v>1</v>
      </c>
      <c r="AG3168" s="4">
        <v>3</v>
      </c>
      <c r="AH3168" s="4">
        <v>94</v>
      </c>
      <c r="AI3168" s="4">
        <v>111</v>
      </c>
      <c r="AJ3168" s="4">
        <v>16</v>
      </c>
      <c r="AK3168" s="4">
        <v>23</v>
      </c>
      <c r="AL3168" s="4">
        <v>51</v>
      </c>
      <c r="AM3168" s="4">
        <v>60</v>
      </c>
      <c r="AN3168" s="4">
        <v>0</v>
      </c>
      <c r="AO3168" s="4">
        <v>6</v>
      </c>
      <c r="AP3168" s="4">
        <v>21</v>
      </c>
      <c r="AQ3168" s="4">
        <v>36</v>
      </c>
      <c r="AR3168" s="3" t="s">
        <v>63</v>
      </c>
      <c r="AS3168" s="3" t="s">
        <v>63</v>
      </c>
      <c r="AT3168" s="3" t="s">
        <v>62</v>
      </c>
      <c r="AU3168" s="6" t="str">
        <f>HYPERLINK("http://catalog.hathitrust.org/Record/001054899","HathiTrust Record")</f>
        <v>HathiTrust Record</v>
      </c>
      <c r="AV3168" s="6" t="str">
        <f>HYPERLINK("http://mcgill.on.worldcat.org/oclc/292275","Catalog Record")</f>
        <v>Catalog Record</v>
      </c>
      <c r="AW3168" s="6" t="str">
        <f>HYPERLINK("http://www.worldcat.org/oclc/292275","WorldCat Record")</f>
        <v>WorldCat Record</v>
      </c>
      <c r="AX3168" s="3" t="s">
        <v>26372</v>
      </c>
      <c r="AY3168" s="3" t="s">
        <v>26373</v>
      </c>
      <c r="AZ3168" s="3" t="s">
        <v>26374</v>
      </c>
      <c r="BA3168" s="3" t="s">
        <v>26374</v>
      </c>
      <c r="BB3168" s="3" t="s">
        <v>26375</v>
      </c>
      <c r="BC3168" s="3" t="s">
        <v>82</v>
      </c>
      <c r="BD3168" s="3" t="s">
        <v>70</v>
      </c>
      <c r="BF3168" s="3" t="s">
        <v>26375</v>
      </c>
      <c r="BG3168" s="3" t="s">
        <v>26376</v>
      </c>
    </row>
    <row r="3169" spans="1:59" ht="60" x14ac:dyDescent="0.25">
      <c r="A3169" s="2" t="s">
        <v>59</v>
      </c>
      <c r="B3169" s="2" t="s">
        <v>60</v>
      </c>
      <c r="C3169" s="2" t="s">
        <v>26377</v>
      </c>
      <c r="D3169" s="2" t="s">
        <v>26378</v>
      </c>
      <c r="E3169" s="2" t="s">
        <v>26370</v>
      </c>
      <c r="G3169" s="3" t="s">
        <v>63</v>
      </c>
      <c r="I3169" s="3" t="s">
        <v>63</v>
      </c>
      <c r="J3169" s="3" t="s">
        <v>62</v>
      </c>
      <c r="K3169" s="3" t="s">
        <v>64</v>
      </c>
      <c r="L3169" s="2" t="s">
        <v>5944</v>
      </c>
      <c r="M3169" s="2" t="s">
        <v>26379</v>
      </c>
      <c r="N3169" s="3" t="s">
        <v>161</v>
      </c>
      <c r="O3169" s="2" t="s">
        <v>26380</v>
      </c>
      <c r="P3169" s="3" t="s">
        <v>66</v>
      </c>
      <c r="Q3169" s="2" t="s">
        <v>26118</v>
      </c>
      <c r="R3169" s="3" t="s">
        <v>67</v>
      </c>
      <c r="S3169" s="4">
        <v>12</v>
      </c>
      <c r="T3169" s="4">
        <v>12</v>
      </c>
      <c r="U3169" s="5" t="s">
        <v>24862</v>
      </c>
      <c r="V3169" s="5" t="s">
        <v>24862</v>
      </c>
      <c r="W3169" s="5" t="s">
        <v>69</v>
      </c>
      <c r="X3169" s="5" t="s">
        <v>69</v>
      </c>
      <c r="Y3169" s="4">
        <v>380</v>
      </c>
      <c r="Z3169" s="4">
        <v>19</v>
      </c>
      <c r="AA3169" s="4">
        <v>73</v>
      </c>
      <c r="AB3169" s="4">
        <v>3</v>
      </c>
      <c r="AC3169" s="4">
        <v>9</v>
      </c>
      <c r="AD3169" s="4">
        <v>38</v>
      </c>
      <c r="AE3169" s="4">
        <v>144</v>
      </c>
      <c r="AF3169" s="4">
        <v>0</v>
      </c>
      <c r="AG3169" s="4">
        <v>3</v>
      </c>
      <c r="AH3169" s="4">
        <v>31</v>
      </c>
      <c r="AI3169" s="4">
        <v>111</v>
      </c>
      <c r="AJ3169" s="4">
        <v>2</v>
      </c>
      <c r="AK3169" s="4">
        <v>23</v>
      </c>
      <c r="AL3169" s="4">
        <v>22</v>
      </c>
      <c r="AM3169" s="4">
        <v>60</v>
      </c>
      <c r="AN3169" s="4">
        <v>0</v>
      </c>
      <c r="AO3169" s="4">
        <v>6</v>
      </c>
      <c r="AP3169" s="4">
        <v>7</v>
      </c>
      <c r="AQ3169" s="4">
        <v>36</v>
      </c>
      <c r="AR3169" s="3" t="s">
        <v>63</v>
      </c>
      <c r="AS3169" s="3" t="s">
        <v>63</v>
      </c>
      <c r="AT3169" s="3" t="s">
        <v>63</v>
      </c>
      <c r="AV3169" s="6" t="str">
        <f>HYPERLINK("http://mcgill.on.worldcat.org/oclc/19971258","Catalog Record")</f>
        <v>Catalog Record</v>
      </c>
      <c r="AW3169" s="6" t="str">
        <f>HYPERLINK("http://www.worldcat.org/oclc/19971258","WorldCat Record")</f>
        <v>WorldCat Record</v>
      </c>
      <c r="AX3169" s="3" t="s">
        <v>26372</v>
      </c>
      <c r="AY3169" s="3" t="s">
        <v>26381</v>
      </c>
      <c r="AZ3169" s="3" t="s">
        <v>26382</v>
      </c>
      <c r="BA3169" s="3" t="s">
        <v>26382</v>
      </c>
      <c r="BB3169" s="3" t="s">
        <v>26383</v>
      </c>
      <c r="BC3169" s="3" t="s">
        <v>82</v>
      </c>
      <c r="BD3169" s="3" t="s">
        <v>70</v>
      </c>
      <c r="BE3169" s="3" t="s">
        <v>26384</v>
      </c>
      <c r="BF3169" s="3" t="s">
        <v>26383</v>
      </c>
      <c r="BG3169" s="3" t="s">
        <v>26385</v>
      </c>
    </row>
    <row r="3170" spans="1:59" ht="60" x14ac:dyDescent="0.25">
      <c r="A3170" s="2" t="s">
        <v>59</v>
      </c>
      <c r="B3170" s="2" t="s">
        <v>60</v>
      </c>
      <c r="C3170" s="2" t="s">
        <v>26386</v>
      </c>
      <c r="D3170" s="2" t="s">
        <v>26387</v>
      </c>
      <c r="E3170" s="2" t="s">
        <v>26388</v>
      </c>
      <c r="G3170" s="3" t="s">
        <v>63</v>
      </c>
      <c r="I3170" s="3" t="s">
        <v>63</v>
      </c>
      <c r="J3170" s="3" t="s">
        <v>63</v>
      </c>
      <c r="K3170" s="3" t="s">
        <v>64</v>
      </c>
      <c r="M3170" s="2" t="s">
        <v>26389</v>
      </c>
      <c r="N3170" s="3" t="s">
        <v>1113</v>
      </c>
      <c r="P3170" s="3" t="s">
        <v>66</v>
      </c>
      <c r="Q3170" s="2" t="s">
        <v>10845</v>
      </c>
      <c r="R3170" s="3" t="s">
        <v>67</v>
      </c>
      <c r="S3170" s="4">
        <v>11</v>
      </c>
      <c r="T3170" s="4">
        <v>11</v>
      </c>
      <c r="U3170" s="5" t="s">
        <v>26390</v>
      </c>
      <c r="V3170" s="5" t="s">
        <v>26390</v>
      </c>
      <c r="W3170" s="5" t="s">
        <v>69</v>
      </c>
      <c r="X3170" s="5" t="s">
        <v>69</v>
      </c>
      <c r="Y3170" s="4">
        <v>210</v>
      </c>
      <c r="Z3170" s="4">
        <v>13</v>
      </c>
      <c r="AA3170" s="4">
        <v>13</v>
      </c>
      <c r="AB3170" s="4">
        <v>1</v>
      </c>
      <c r="AC3170" s="4">
        <v>1</v>
      </c>
      <c r="AD3170" s="4">
        <v>85</v>
      </c>
      <c r="AE3170" s="4">
        <v>86</v>
      </c>
      <c r="AF3170" s="4">
        <v>0</v>
      </c>
      <c r="AG3170" s="4">
        <v>0</v>
      </c>
      <c r="AH3170" s="4">
        <v>80</v>
      </c>
      <c r="AI3170" s="4">
        <v>81</v>
      </c>
      <c r="AJ3170" s="4">
        <v>10</v>
      </c>
      <c r="AK3170" s="4">
        <v>10</v>
      </c>
      <c r="AL3170" s="4">
        <v>46</v>
      </c>
      <c r="AM3170" s="4">
        <v>47</v>
      </c>
      <c r="AN3170" s="4">
        <v>0</v>
      </c>
      <c r="AO3170" s="4">
        <v>0</v>
      </c>
      <c r="AP3170" s="4">
        <v>10</v>
      </c>
      <c r="AQ3170" s="4">
        <v>10</v>
      </c>
      <c r="AR3170" s="3" t="s">
        <v>63</v>
      </c>
      <c r="AS3170" s="3" t="s">
        <v>63</v>
      </c>
      <c r="AT3170" s="3" t="s">
        <v>62</v>
      </c>
      <c r="AU3170" s="6" t="str">
        <f>HYPERLINK("http://catalog.hathitrust.org/Record/003953565","HathiTrust Record")</f>
        <v>HathiTrust Record</v>
      </c>
      <c r="AV3170" s="6" t="str">
        <f>HYPERLINK("http://mcgill.on.worldcat.org/oclc/37024889","Catalog Record")</f>
        <v>Catalog Record</v>
      </c>
      <c r="AW3170" s="6" t="str">
        <f>HYPERLINK("http://www.worldcat.org/oclc/37024889","WorldCat Record")</f>
        <v>WorldCat Record</v>
      </c>
      <c r="AX3170" s="3" t="s">
        <v>26391</v>
      </c>
      <c r="AY3170" s="3" t="s">
        <v>26392</v>
      </c>
      <c r="AZ3170" s="3" t="s">
        <v>26393</v>
      </c>
      <c r="BA3170" s="3" t="s">
        <v>26393</v>
      </c>
      <c r="BB3170" s="3" t="s">
        <v>26394</v>
      </c>
      <c r="BC3170" s="3" t="s">
        <v>82</v>
      </c>
      <c r="BD3170" s="3" t="s">
        <v>70</v>
      </c>
      <c r="BE3170" s="3" t="s">
        <v>26395</v>
      </c>
      <c r="BF3170" s="3" t="s">
        <v>26394</v>
      </c>
      <c r="BG3170" s="3" t="s">
        <v>26396</v>
      </c>
    </row>
    <row r="3171" spans="1:59" ht="60" x14ac:dyDescent="0.25">
      <c r="A3171" s="2" t="s">
        <v>59</v>
      </c>
      <c r="B3171" s="2" t="s">
        <v>60</v>
      </c>
      <c r="C3171" s="2" t="s">
        <v>26397</v>
      </c>
      <c r="D3171" s="2" t="s">
        <v>26398</v>
      </c>
      <c r="E3171" s="2" t="s">
        <v>26399</v>
      </c>
      <c r="G3171" s="3" t="s">
        <v>63</v>
      </c>
      <c r="I3171" s="3" t="s">
        <v>63</v>
      </c>
      <c r="J3171" s="3" t="s">
        <v>63</v>
      </c>
      <c r="K3171" s="3" t="s">
        <v>64</v>
      </c>
      <c r="L3171" s="2" t="s">
        <v>14380</v>
      </c>
      <c r="M3171" s="2" t="s">
        <v>26400</v>
      </c>
      <c r="N3171" s="3" t="s">
        <v>176</v>
      </c>
      <c r="P3171" s="3" t="s">
        <v>66</v>
      </c>
      <c r="Q3171" s="2" t="s">
        <v>26401</v>
      </c>
      <c r="R3171" s="3" t="s">
        <v>67</v>
      </c>
      <c r="S3171" s="4">
        <v>7</v>
      </c>
      <c r="T3171" s="4">
        <v>7</v>
      </c>
      <c r="U3171" s="5" t="s">
        <v>26402</v>
      </c>
      <c r="V3171" s="5" t="s">
        <v>26402</v>
      </c>
      <c r="W3171" s="5" t="s">
        <v>69</v>
      </c>
      <c r="X3171" s="5" t="s">
        <v>69</v>
      </c>
      <c r="Y3171" s="4">
        <v>165</v>
      </c>
      <c r="Z3171" s="4">
        <v>12</v>
      </c>
      <c r="AA3171" s="4">
        <v>13</v>
      </c>
      <c r="AB3171" s="4">
        <v>1</v>
      </c>
      <c r="AC3171" s="4">
        <v>2</v>
      </c>
      <c r="AD3171" s="4">
        <v>77</v>
      </c>
      <c r="AE3171" s="4">
        <v>78</v>
      </c>
      <c r="AF3171" s="4">
        <v>0</v>
      </c>
      <c r="AG3171" s="4">
        <v>1</v>
      </c>
      <c r="AH3171" s="4">
        <v>72</v>
      </c>
      <c r="AI3171" s="4">
        <v>73</v>
      </c>
      <c r="AJ3171" s="4">
        <v>9</v>
      </c>
      <c r="AK3171" s="4">
        <v>10</v>
      </c>
      <c r="AL3171" s="4">
        <v>41</v>
      </c>
      <c r="AM3171" s="4">
        <v>41</v>
      </c>
      <c r="AN3171" s="4">
        <v>0</v>
      </c>
      <c r="AO3171" s="4">
        <v>0</v>
      </c>
      <c r="AP3171" s="4">
        <v>9</v>
      </c>
      <c r="AQ3171" s="4">
        <v>10</v>
      </c>
      <c r="AR3171" s="3" t="s">
        <v>63</v>
      </c>
      <c r="AS3171" s="3" t="s">
        <v>63</v>
      </c>
      <c r="AT3171" s="3" t="s">
        <v>63</v>
      </c>
      <c r="AV3171" s="6" t="str">
        <f>HYPERLINK("http://mcgill.on.worldcat.org/oclc/37770255","Catalog Record")</f>
        <v>Catalog Record</v>
      </c>
      <c r="AW3171" s="6" t="str">
        <f>HYPERLINK("http://www.worldcat.org/oclc/37770255","WorldCat Record")</f>
        <v>WorldCat Record</v>
      </c>
      <c r="AX3171" s="3" t="s">
        <v>26403</v>
      </c>
      <c r="AY3171" s="3" t="s">
        <v>26404</v>
      </c>
      <c r="AZ3171" s="3" t="s">
        <v>26405</v>
      </c>
      <c r="BA3171" s="3" t="s">
        <v>26405</v>
      </c>
      <c r="BB3171" s="3" t="s">
        <v>26406</v>
      </c>
      <c r="BC3171" s="3" t="s">
        <v>82</v>
      </c>
      <c r="BD3171" s="3" t="s">
        <v>70</v>
      </c>
      <c r="BE3171" s="3" t="s">
        <v>26407</v>
      </c>
      <c r="BF3171" s="3" t="s">
        <v>26406</v>
      </c>
      <c r="BG3171" s="3" t="s">
        <v>26408</v>
      </c>
    </row>
    <row r="3172" spans="1:59" ht="60" x14ac:dyDescent="0.25">
      <c r="A3172" s="2" t="s">
        <v>59</v>
      </c>
      <c r="B3172" s="2" t="s">
        <v>60</v>
      </c>
      <c r="C3172" s="2" t="s">
        <v>26409</v>
      </c>
      <c r="D3172" s="2" t="s">
        <v>26410</v>
      </c>
      <c r="E3172" s="2" t="s">
        <v>26370</v>
      </c>
      <c r="G3172" s="3" t="s">
        <v>63</v>
      </c>
      <c r="I3172" s="3" t="s">
        <v>63</v>
      </c>
      <c r="J3172" s="3" t="s">
        <v>62</v>
      </c>
      <c r="K3172" s="3" t="s">
        <v>64</v>
      </c>
      <c r="L3172" s="2" t="s">
        <v>5944</v>
      </c>
      <c r="M3172" s="2" t="s">
        <v>26411</v>
      </c>
      <c r="N3172" s="3" t="s">
        <v>2225</v>
      </c>
      <c r="O3172" s="2" t="s">
        <v>26412</v>
      </c>
      <c r="P3172" s="3" t="s">
        <v>66</v>
      </c>
      <c r="R3172" s="3" t="s">
        <v>67</v>
      </c>
      <c r="S3172" s="4">
        <v>38</v>
      </c>
      <c r="T3172" s="4">
        <v>38</v>
      </c>
      <c r="U3172" s="5" t="s">
        <v>5835</v>
      </c>
      <c r="V3172" s="5" t="s">
        <v>5835</v>
      </c>
      <c r="W3172" s="5" t="s">
        <v>69</v>
      </c>
      <c r="X3172" s="5" t="s">
        <v>69</v>
      </c>
      <c r="Y3172" s="4">
        <v>269</v>
      </c>
      <c r="Z3172" s="4">
        <v>10</v>
      </c>
      <c r="AA3172" s="4">
        <v>73</v>
      </c>
      <c r="AB3172" s="4">
        <v>1</v>
      </c>
      <c r="AC3172" s="4">
        <v>9</v>
      </c>
      <c r="AD3172" s="4">
        <v>48</v>
      </c>
      <c r="AE3172" s="4">
        <v>144</v>
      </c>
      <c r="AF3172" s="4">
        <v>0</v>
      </c>
      <c r="AG3172" s="4">
        <v>3</v>
      </c>
      <c r="AH3172" s="4">
        <v>44</v>
      </c>
      <c r="AI3172" s="4">
        <v>111</v>
      </c>
      <c r="AJ3172" s="4">
        <v>3</v>
      </c>
      <c r="AK3172" s="4">
        <v>23</v>
      </c>
      <c r="AL3172" s="4">
        <v>27</v>
      </c>
      <c r="AM3172" s="4">
        <v>60</v>
      </c>
      <c r="AN3172" s="4">
        <v>5</v>
      </c>
      <c r="AO3172" s="4">
        <v>6</v>
      </c>
      <c r="AP3172" s="4">
        <v>5</v>
      </c>
      <c r="AQ3172" s="4">
        <v>36</v>
      </c>
      <c r="AR3172" s="3" t="s">
        <v>63</v>
      </c>
      <c r="AS3172" s="3" t="s">
        <v>63</v>
      </c>
      <c r="AT3172" s="3" t="s">
        <v>62</v>
      </c>
      <c r="AU3172" s="6" t="str">
        <f>HYPERLINK("http://catalog.hathitrust.org/Record/101892619","HathiTrust Record")</f>
        <v>HathiTrust Record</v>
      </c>
      <c r="AV3172" s="6" t="str">
        <f>HYPERLINK("http://mcgill.on.worldcat.org/oclc/1045201","Catalog Record")</f>
        <v>Catalog Record</v>
      </c>
      <c r="AW3172" s="6" t="str">
        <f>HYPERLINK("http://www.worldcat.org/oclc/1045201","WorldCat Record")</f>
        <v>WorldCat Record</v>
      </c>
      <c r="AX3172" s="3" t="s">
        <v>26372</v>
      </c>
      <c r="AY3172" s="3" t="s">
        <v>26413</v>
      </c>
      <c r="AZ3172" s="3" t="s">
        <v>26414</v>
      </c>
      <c r="BA3172" s="3" t="s">
        <v>26414</v>
      </c>
      <c r="BB3172" s="3" t="s">
        <v>26415</v>
      </c>
      <c r="BC3172" s="3" t="s">
        <v>82</v>
      </c>
      <c r="BD3172" s="3" t="s">
        <v>538</v>
      </c>
      <c r="BF3172" s="3" t="s">
        <v>26415</v>
      </c>
      <c r="BG3172" s="3" t="s">
        <v>26416</v>
      </c>
    </row>
    <row r="3173" spans="1:59" ht="60" x14ac:dyDescent="0.25">
      <c r="A3173" s="2" t="s">
        <v>59</v>
      </c>
      <c r="B3173" s="2" t="s">
        <v>60</v>
      </c>
      <c r="C3173" s="2" t="s">
        <v>26417</v>
      </c>
      <c r="D3173" s="2" t="s">
        <v>26418</v>
      </c>
      <c r="E3173" s="2" t="s">
        <v>26419</v>
      </c>
      <c r="G3173" s="3" t="s">
        <v>63</v>
      </c>
      <c r="I3173" s="3" t="s">
        <v>63</v>
      </c>
      <c r="J3173" s="3" t="s">
        <v>63</v>
      </c>
      <c r="K3173" s="3" t="s">
        <v>64</v>
      </c>
      <c r="L3173" s="2" t="s">
        <v>5944</v>
      </c>
      <c r="M3173" s="2" t="s">
        <v>26420</v>
      </c>
      <c r="N3173" s="3" t="s">
        <v>758</v>
      </c>
      <c r="P3173" s="3" t="s">
        <v>548</v>
      </c>
      <c r="Q3173" s="2" t="s">
        <v>26421</v>
      </c>
      <c r="R3173" s="3" t="s">
        <v>67</v>
      </c>
      <c r="S3173" s="4">
        <v>7</v>
      </c>
      <c r="T3173" s="4">
        <v>7</v>
      </c>
      <c r="U3173" s="5" t="s">
        <v>14177</v>
      </c>
      <c r="V3173" s="5" t="s">
        <v>14177</v>
      </c>
      <c r="W3173" s="5" t="s">
        <v>69</v>
      </c>
      <c r="X3173" s="5" t="s">
        <v>69</v>
      </c>
      <c r="Y3173" s="4">
        <v>6</v>
      </c>
      <c r="Z3173" s="4">
        <v>2</v>
      </c>
      <c r="AA3173" s="4">
        <v>4</v>
      </c>
      <c r="AB3173" s="4">
        <v>1</v>
      </c>
      <c r="AC3173" s="4">
        <v>3</v>
      </c>
      <c r="AD3173" s="4">
        <v>3</v>
      </c>
      <c r="AE3173" s="4">
        <v>8</v>
      </c>
      <c r="AF3173" s="4">
        <v>0</v>
      </c>
      <c r="AG3173" s="4">
        <v>1</v>
      </c>
      <c r="AH3173" s="4">
        <v>3</v>
      </c>
      <c r="AI3173" s="4">
        <v>6</v>
      </c>
      <c r="AJ3173" s="4">
        <v>1</v>
      </c>
      <c r="AK3173" s="4">
        <v>2</v>
      </c>
      <c r="AL3173" s="4">
        <v>2</v>
      </c>
      <c r="AM3173" s="4">
        <v>4</v>
      </c>
      <c r="AN3173" s="4">
        <v>0</v>
      </c>
      <c r="AO3173" s="4">
        <v>0</v>
      </c>
      <c r="AP3173" s="4">
        <v>1</v>
      </c>
      <c r="AQ3173" s="4">
        <v>2</v>
      </c>
      <c r="AR3173" s="3" t="s">
        <v>63</v>
      </c>
      <c r="AS3173" s="3" t="s">
        <v>63</v>
      </c>
      <c r="AT3173" s="3" t="s">
        <v>62</v>
      </c>
      <c r="AU3173" s="6" t="str">
        <f>HYPERLINK("http://catalog.hathitrust.org/Record/000725672","HathiTrust Record")</f>
        <v>HathiTrust Record</v>
      </c>
      <c r="AV3173" s="6" t="str">
        <f>HYPERLINK("http://mcgill.on.worldcat.org/oclc/23395682","Catalog Record")</f>
        <v>Catalog Record</v>
      </c>
      <c r="AW3173" s="6" t="str">
        <f>HYPERLINK("http://www.worldcat.org/oclc/23395682","WorldCat Record")</f>
        <v>WorldCat Record</v>
      </c>
      <c r="AX3173" s="3" t="s">
        <v>26422</v>
      </c>
      <c r="AY3173" s="3" t="s">
        <v>26423</v>
      </c>
      <c r="AZ3173" s="3" t="s">
        <v>26424</v>
      </c>
      <c r="BA3173" s="3" t="s">
        <v>26424</v>
      </c>
      <c r="BB3173" s="3" t="s">
        <v>26425</v>
      </c>
      <c r="BC3173" s="3" t="s">
        <v>82</v>
      </c>
      <c r="BD3173" s="3" t="s">
        <v>70</v>
      </c>
      <c r="BF3173" s="3" t="s">
        <v>26425</v>
      </c>
      <c r="BG3173" s="3" t="s">
        <v>26426</v>
      </c>
    </row>
    <row r="3174" spans="1:59" ht="60" x14ac:dyDescent="0.25">
      <c r="A3174" s="2" t="s">
        <v>59</v>
      </c>
      <c r="B3174" s="2" t="s">
        <v>60</v>
      </c>
      <c r="C3174" s="2" t="s">
        <v>26427</v>
      </c>
      <c r="D3174" s="2" t="s">
        <v>26428</v>
      </c>
      <c r="E3174" s="2" t="s">
        <v>26429</v>
      </c>
      <c r="G3174" s="3" t="s">
        <v>63</v>
      </c>
      <c r="I3174" s="3" t="s">
        <v>63</v>
      </c>
      <c r="J3174" s="3" t="s">
        <v>63</v>
      </c>
      <c r="K3174" s="3" t="s">
        <v>64</v>
      </c>
      <c r="L3174" s="2" t="s">
        <v>14234</v>
      </c>
      <c r="M3174" s="2" t="s">
        <v>26430</v>
      </c>
      <c r="N3174" s="3" t="s">
        <v>26431</v>
      </c>
      <c r="P3174" s="3" t="s">
        <v>66</v>
      </c>
      <c r="R3174" s="3" t="s">
        <v>67</v>
      </c>
      <c r="S3174" s="4">
        <v>39</v>
      </c>
      <c r="T3174" s="4">
        <v>39</v>
      </c>
      <c r="U3174" s="5" t="s">
        <v>26432</v>
      </c>
      <c r="V3174" s="5" t="s">
        <v>26432</v>
      </c>
      <c r="W3174" s="5" t="s">
        <v>69</v>
      </c>
      <c r="X3174" s="5" t="s">
        <v>69</v>
      </c>
      <c r="Y3174" s="4">
        <v>135</v>
      </c>
      <c r="Z3174" s="4">
        <v>4</v>
      </c>
      <c r="AA3174" s="4">
        <v>59</v>
      </c>
      <c r="AB3174" s="4">
        <v>1</v>
      </c>
      <c r="AC3174" s="4">
        <v>6</v>
      </c>
      <c r="AD3174" s="4">
        <v>48</v>
      </c>
      <c r="AE3174" s="4">
        <v>139</v>
      </c>
      <c r="AF3174" s="4">
        <v>0</v>
      </c>
      <c r="AG3174" s="4">
        <v>2</v>
      </c>
      <c r="AH3174" s="4">
        <v>46</v>
      </c>
      <c r="AI3174" s="4">
        <v>110</v>
      </c>
      <c r="AJ3174" s="4">
        <v>3</v>
      </c>
      <c r="AK3174" s="4">
        <v>24</v>
      </c>
      <c r="AL3174" s="4">
        <v>30</v>
      </c>
      <c r="AM3174" s="4">
        <v>62</v>
      </c>
      <c r="AN3174" s="4">
        <v>0</v>
      </c>
      <c r="AO3174" s="4">
        <v>0</v>
      </c>
      <c r="AP3174" s="4">
        <v>3</v>
      </c>
      <c r="AQ3174" s="4">
        <v>33</v>
      </c>
      <c r="AR3174" s="3" t="s">
        <v>63</v>
      </c>
      <c r="AS3174" s="3" t="s">
        <v>63</v>
      </c>
      <c r="AT3174" s="3" t="s">
        <v>62</v>
      </c>
      <c r="AU3174" s="6" t="str">
        <f>HYPERLINK("http://catalog.hathitrust.org/Record/002899603","HathiTrust Record")</f>
        <v>HathiTrust Record</v>
      </c>
      <c r="AV3174" s="6" t="str">
        <f>HYPERLINK("http://mcgill.on.worldcat.org/oclc/2381791","Catalog Record")</f>
        <v>Catalog Record</v>
      </c>
      <c r="AW3174" s="6" t="str">
        <f>HYPERLINK("http://www.worldcat.org/oclc/2381791","WorldCat Record")</f>
        <v>WorldCat Record</v>
      </c>
      <c r="AX3174" s="3" t="s">
        <v>26433</v>
      </c>
      <c r="AY3174" s="3" t="s">
        <v>26434</v>
      </c>
      <c r="AZ3174" s="3" t="s">
        <v>26435</v>
      </c>
      <c r="BA3174" s="3" t="s">
        <v>26435</v>
      </c>
      <c r="BB3174" s="3" t="s">
        <v>26436</v>
      </c>
      <c r="BC3174" s="3" t="s">
        <v>82</v>
      </c>
      <c r="BD3174" s="3" t="s">
        <v>538</v>
      </c>
      <c r="BF3174" s="3" t="s">
        <v>26436</v>
      </c>
      <c r="BG3174" s="3" t="s">
        <v>26437</v>
      </c>
    </row>
    <row r="3175" spans="1:59" ht="60" x14ac:dyDescent="0.25">
      <c r="A3175" s="2" t="s">
        <v>59</v>
      </c>
      <c r="B3175" s="2" t="s">
        <v>60</v>
      </c>
      <c r="C3175" s="2" t="s">
        <v>26438</v>
      </c>
      <c r="D3175" s="2" t="s">
        <v>26439</v>
      </c>
      <c r="E3175" s="2" t="s">
        <v>26440</v>
      </c>
      <c r="G3175" s="3" t="s">
        <v>63</v>
      </c>
      <c r="I3175" s="3" t="s">
        <v>63</v>
      </c>
      <c r="J3175" s="3" t="s">
        <v>62</v>
      </c>
      <c r="K3175" s="3" t="s">
        <v>64</v>
      </c>
      <c r="L3175" s="2" t="s">
        <v>5944</v>
      </c>
      <c r="M3175" s="2" t="s">
        <v>26441</v>
      </c>
      <c r="N3175" s="3" t="s">
        <v>401</v>
      </c>
      <c r="P3175" s="3" t="s">
        <v>66</v>
      </c>
      <c r="R3175" s="3" t="s">
        <v>67</v>
      </c>
      <c r="S3175" s="4">
        <v>30</v>
      </c>
      <c r="T3175" s="4">
        <v>30</v>
      </c>
      <c r="U3175" s="5" t="s">
        <v>3861</v>
      </c>
      <c r="V3175" s="5" t="s">
        <v>3861</v>
      </c>
      <c r="W3175" s="5" t="s">
        <v>69</v>
      </c>
      <c r="X3175" s="5" t="s">
        <v>69</v>
      </c>
      <c r="Y3175" s="4">
        <v>138</v>
      </c>
      <c r="Z3175" s="4">
        <v>8</v>
      </c>
      <c r="AA3175" s="4">
        <v>53</v>
      </c>
      <c r="AB3175" s="4">
        <v>1</v>
      </c>
      <c r="AC3175" s="4">
        <v>7</v>
      </c>
      <c r="AD3175" s="4">
        <v>20</v>
      </c>
      <c r="AE3175" s="4">
        <v>130</v>
      </c>
      <c r="AF3175" s="4">
        <v>0</v>
      </c>
      <c r="AG3175" s="4">
        <v>1</v>
      </c>
      <c r="AH3175" s="4">
        <v>15</v>
      </c>
      <c r="AI3175" s="4">
        <v>105</v>
      </c>
      <c r="AJ3175" s="4">
        <v>5</v>
      </c>
      <c r="AK3175" s="4">
        <v>20</v>
      </c>
      <c r="AL3175" s="4">
        <v>9</v>
      </c>
      <c r="AM3175" s="4">
        <v>59</v>
      </c>
      <c r="AN3175" s="4">
        <v>5</v>
      </c>
      <c r="AO3175" s="4">
        <v>5</v>
      </c>
      <c r="AP3175" s="4">
        <v>7</v>
      </c>
      <c r="AQ3175" s="4">
        <v>30</v>
      </c>
      <c r="AR3175" s="3" t="s">
        <v>63</v>
      </c>
      <c r="AS3175" s="3" t="s">
        <v>63</v>
      </c>
      <c r="AT3175" s="3" t="s">
        <v>62</v>
      </c>
      <c r="AU3175" s="6" t="str">
        <f>HYPERLINK("http://catalog.hathitrust.org/Record/011244454","HathiTrust Record")</f>
        <v>HathiTrust Record</v>
      </c>
      <c r="AV3175" s="6" t="str">
        <f>HYPERLINK("http://mcgill.on.worldcat.org/oclc/2124185","Catalog Record")</f>
        <v>Catalog Record</v>
      </c>
      <c r="AW3175" s="6" t="str">
        <f>HYPERLINK("http://www.worldcat.org/oclc/2124185","WorldCat Record")</f>
        <v>WorldCat Record</v>
      </c>
      <c r="AX3175" s="3" t="s">
        <v>26442</v>
      </c>
      <c r="AY3175" s="3" t="s">
        <v>26443</v>
      </c>
      <c r="AZ3175" s="3" t="s">
        <v>26444</v>
      </c>
      <c r="BA3175" s="3" t="s">
        <v>26444</v>
      </c>
      <c r="BB3175" s="3" t="s">
        <v>26445</v>
      </c>
      <c r="BC3175" s="3" t="s">
        <v>82</v>
      </c>
      <c r="BD3175" s="3" t="s">
        <v>70</v>
      </c>
      <c r="BF3175" s="3" t="s">
        <v>26445</v>
      </c>
      <c r="BG3175" s="3" t="s">
        <v>26446</v>
      </c>
    </row>
    <row r="3176" spans="1:59" ht="60" x14ac:dyDescent="0.25">
      <c r="A3176" s="2" t="s">
        <v>59</v>
      </c>
      <c r="B3176" s="2" t="s">
        <v>60</v>
      </c>
      <c r="C3176" s="2" t="s">
        <v>26447</v>
      </c>
      <c r="D3176" s="2" t="s">
        <v>26448</v>
      </c>
      <c r="E3176" s="2" t="s">
        <v>26449</v>
      </c>
      <c r="G3176" s="3" t="s">
        <v>63</v>
      </c>
      <c r="I3176" s="3" t="s">
        <v>62</v>
      </c>
      <c r="J3176" s="3" t="s">
        <v>62</v>
      </c>
      <c r="K3176" s="3" t="s">
        <v>64</v>
      </c>
      <c r="L3176" s="2" t="s">
        <v>5944</v>
      </c>
      <c r="M3176" s="2" t="s">
        <v>26450</v>
      </c>
      <c r="N3176" s="3" t="s">
        <v>2225</v>
      </c>
      <c r="O3176" s="2" t="s">
        <v>1605</v>
      </c>
      <c r="P3176" s="3" t="s">
        <v>66</v>
      </c>
      <c r="R3176" s="3" t="s">
        <v>67</v>
      </c>
      <c r="S3176" s="4">
        <v>15</v>
      </c>
      <c r="T3176" s="4">
        <v>15</v>
      </c>
      <c r="U3176" s="5" t="s">
        <v>17751</v>
      </c>
      <c r="V3176" s="5" t="s">
        <v>17751</v>
      </c>
      <c r="W3176" s="5" t="s">
        <v>69</v>
      </c>
      <c r="X3176" s="5" t="s">
        <v>69</v>
      </c>
      <c r="Y3176" s="4">
        <v>746</v>
      </c>
      <c r="Z3176" s="4">
        <v>29</v>
      </c>
      <c r="AA3176" s="4">
        <v>53</v>
      </c>
      <c r="AB3176" s="4">
        <v>4</v>
      </c>
      <c r="AC3176" s="4">
        <v>7</v>
      </c>
      <c r="AD3176" s="4">
        <v>109</v>
      </c>
      <c r="AE3176" s="4">
        <v>130</v>
      </c>
      <c r="AF3176" s="4">
        <v>1</v>
      </c>
      <c r="AG3176" s="4">
        <v>1</v>
      </c>
      <c r="AH3176" s="4">
        <v>93</v>
      </c>
      <c r="AI3176" s="4">
        <v>105</v>
      </c>
      <c r="AJ3176" s="4">
        <v>14</v>
      </c>
      <c r="AK3176" s="4">
        <v>20</v>
      </c>
      <c r="AL3176" s="4">
        <v>52</v>
      </c>
      <c r="AM3176" s="4">
        <v>59</v>
      </c>
      <c r="AN3176" s="4">
        <v>0</v>
      </c>
      <c r="AO3176" s="4">
        <v>5</v>
      </c>
      <c r="AP3176" s="4">
        <v>19</v>
      </c>
      <c r="AQ3176" s="4">
        <v>30</v>
      </c>
      <c r="AR3176" s="3" t="s">
        <v>63</v>
      </c>
      <c r="AS3176" s="3" t="s">
        <v>63</v>
      </c>
      <c r="AT3176" s="3" t="s">
        <v>62</v>
      </c>
      <c r="AU3176" s="6" t="str">
        <f>HYPERLINK("http://catalog.hathitrust.org/Record/001060046","HathiTrust Record")</f>
        <v>HathiTrust Record</v>
      </c>
      <c r="AV3176" s="6" t="str">
        <f>HYPERLINK("http://mcgill.on.worldcat.org/oclc/167454","Catalog Record")</f>
        <v>Catalog Record</v>
      </c>
      <c r="AW3176" s="6" t="str">
        <f>HYPERLINK("http://www.worldcat.org/oclc/167454","WorldCat Record")</f>
        <v>WorldCat Record</v>
      </c>
      <c r="AX3176" s="3" t="s">
        <v>26442</v>
      </c>
      <c r="AY3176" s="3" t="s">
        <v>26451</v>
      </c>
      <c r="AZ3176" s="3" t="s">
        <v>26452</v>
      </c>
      <c r="BA3176" s="3" t="s">
        <v>26452</v>
      </c>
      <c r="BB3176" s="3" t="s">
        <v>26453</v>
      </c>
      <c r="BC3176" s="3" t="s">
        <v>82</v>
      </c>
      <c r="BD3176" s="3" t="s">
        <v>70</v>
      </c>
      <c r="BF3176" s="3" t="s">
        <v>26453</v>
      </c>
      <c r="BG3176" s="3" t="s">
        <v>26454</v>
      </c>
    </row>
    <row r="3177" spans="1:59" ht="60" x14ac:dyDescent="0.25">
      <c r="A3177" s="2" t="s">
        <v>59</v>
      </c>
      <c r="B3177" s="2" t="s">
        <v>60</v>
      </c>
      <c r="C3177" s="2" t="s">
        <v>26447</v>
      </c>
      <c r="D3177" s="2" t="s">
        <v>26448</v>
      </c>
      <c r="E3177" s="2" t="s">
        <v>26449</v>
      </c>
      <c r="G3177" s="3" t="s">
        <v>63</v>
      </c>
      <c r="I3177" s="3" t="s">
        <v>62</v>
      </c>
      <c r="J3177" s="3" t="s">
        <v>62</v>
      </c>
      <c r="K3177" s="3" t="s">
        <v>64</v>
      </c>
      <c r="L3177" s="2" t="s">
        <v>5944</v>
      </c>
      <c r="M3177" s="2" t="s">
        <v>26450</v>
      </c>
      <c r="N3177" s="3" t="s">
        <v>2225</v>
      </c>
      <c r="O3177" s="2" t="s">
        <v>1605</v>
      </c>
      <c r="P3177" s="3" t="s">
        <v>66</v>
      </c>
      <c r="R3177" s="3" t="s">
        <v>67</v>
      </c>
      <c r="S3177" s="4">
        <v>0</v>
      </c>
      <c r="T3177" s="4">
        <v>15</v>
      </c>
      <c r="V3177" s="5" t="s">
        <v>17751</v>
      </c>
      <c r="W3177" s="5" t="s">
        <v>69</v>
      </c>
      <c r="X3177" s="5" t="s">
        <v>69</v>
      </c>
      <c r="Y3177" s="4">
        <v>746</v>
      </c>
      <c r="Z3177" s="4">
        <v>29</v>
      </c>
      <c r="AA3177" s="4">
        <v>53</v>
      </c>
      <c r="AB3177" s="4">
        <v>4</v>
      </c>
      <c r="AC3177" s="4">
        <v>7</v>
      </c>
      <c r="AD3177" s="4">
        <v>109</v>
      </c>
      <c r="AE3177" s="4">
        <v>130</v>
      </c>
      <c r="AF3177" s="4">
        <v>1</v>
      </c>
      <c r="AG3177" s="4">
        <v>1</v>
      </c>
      <c r="AH3177" s="4">
        <v>93</v>
      </c>
      <c r="AI3177" s="4">
        <v>105</v>
      </c>
      <c r="AJ3177" s="4">
        <v>14</v>
      </c>
      <c r="AK3177" s="4">
        <v>20</v>
      </c>
      <c r="AL3177" s="4">
        <v>52</v>
      </c>
      <c r="AM3177" s="4">
        <v>59</v>
      </c>
      <c r="AN3177" s="4">
        <v>0</v>
      </c>
      <c r="AO3177" s="4">
        <v>5</v>
      </c>
      <c r="AP3177" s="4">
        <v>19</v>
      </c>
      <c r="AQ3177" s="4">
        <v>30</v>
      </c>
      <c r="AR3177" s="3" t="s">
        <v>63</v>
      </c>
      <c r="AS3177" s="3" t="s">
        <v>63</v>
      </c>
      <c r="AT3177" s="3" t="s">
        <v>62</v>
      </c>
      <c r="AU3177" s="6" t="str">
        <f>HYPERLINK("http://catalog.hathitrust.org/Record/001060046","HathiTrust Record")</f>
        <v>HathiTrust Record</v>
      </c>
      <c r="AV3177" s="6" t="str">
        <f>HYPERLINK("http://mcgill.on.worldcat.org/oclc/167454","Catalog Record")</f>
        <v>Catalog Record</v>
      </c>
      <c r="AW3177" s="6" t="str">
        <f>HYPERLINK("http://www.worldcat.org/oclc/167454","WorldCat Record")</f>
        <v>WorldCat Record</v>
      </c>
      <c r="AX3177" s="3" t="s">
        <v>26442</v>
      </c>
      <c r="AY3177" s="3" t="s">
        <v>26451</v>
      </c>
      <c r="AZ3177" s="3" t="s">
        <v>26452</v>
      </c>
      <c r="BA3177" s="3" t="s">
        <v>26452</v>
      </c>
      <c r="BB3177" s="3" t="s">
        <v>26455</v>
      </c>
      <c r="BC3177" s="3" t="s">
        <v>82</v>
      </c>
      <c r="BD3177" s="3" t="s">
        <v>70</v>
      </c>
      <c r="BF3177" s="3" t="s">
        <v>26455</v>
      </c>
      <c r="BG3177" s="3" t="s">
        <v>26456</v>
      </c>
    </row>
    <row r="3178" spans="1:59" ht="60" x14ac:dyDescent="0.25">
      <c r="A3178" s="2" t="s">
        <v>59</v>
      </c>
      <c r="B3178" s="2" t="s">
        <v>60</v>
      </c>
      <c r="C3178" s="2" t="s">
        <v>26457</v>
      </c>
      <c r="D3178" s="2" t="s">
        <v>26458</v>
      </c>
      <c r="E3178" s="2" t="s">
        <v>26459</v>
      </c>
      <c r="G3178" s="3" t="s">
        <v>63</v>
      </c>
      <c r="I3178" s="3" t="s">
        <v>63</v>
      </c>
      <c r="J3178" s="3" t="s">
        <v>62</v>
      </c>
      <c r="K3178" s="3" t="s">
        <v>64</v>
      </c>
      <c r="L3178" s="2" t="s">
        <v>5944</v>
      </c>
      <c r="M3178" s="2" t="s">
        <v>26460</v>
      </c>
      <c r="N3178" s="3" t="s">
        <v>2535</v>
      </c>
      <c r="P3178" s="3" t="s">
        <v>66</v>
      </c>
      <c r="R3178" s="3" t="s">
        <v>67</v>
      </c>
      <c r="S3178" s="4">
        <v>45</v>
      </c>
      <c r="T3178" s="4">
        <v>45</v>
      </c>
      <c r="U3178" s="5" t="s">
        <v>2195</v>
      </c>
      <c r="V3178" s="5" t="s">
        <v>2195</v>
      </c>
      <c r="W3178" s="5" t="s">
        <v>69</v>
      </c>
      <c r="X3178" s="5" t="s">
        <v>69</v>
      </c>
      <c r="Y3178" s="4">
        <v>1117</v>
      </c>
      <c r="Z3178" s="4">
        <v>52</v>
      </c>
      <c r="AA3178" s="4">
        <v>60</v>
      </c>
      <c r="AB3178" s="4">
        <v>3</v>
      </c>
      <c r="AC3178" s="4">
        <v>6</v>
      </c>
      <c r="AD3178" s="4">
        <v>133</v>
      </c>
      <c r="AE3178" s="4">
        <v>136</v>
      </c>
      <c r="AF3178" s="4">
        <v>2</v>
      </c>
      <c r="AG3178" s="4">
        <v>3</v>
      </c>
      <c r="AH3178" s="4">
        <v>107</v>
      </c>
      <c r="AI3178" s="4">
        <v>107</v>
      </c>
      <c r="AJ3178" s="4">
        <v>22</v>
      </c>
      <c r="AK3178" s="4">
        <v>24</v>
      </c>
      <c r="AL3178" s="4">
        <v>59</v>
      </c>
      <c r="AM3178" s="4">
        <v>59</v>
      </c>
      <c r="AN3178" s="4">
        <v>0</v>
      </c>
      <c r="AO3178" s="4">
        <v>0</v>
      </c>
      <c r="AP3178" s="4">
        <v>30</v>
      </c>
      <c r="AQ3178" s="4">
        <v>32</v>
      </c>
      <c r="AR3178" s="3" t="s">
        <v>63</v>
      </c>
      <c r="AS3178" s="3" t="s">
        <v>63</v>
      </c>
      <c r="AT3178" s="3" t="s">
        <v>62</v>
      </c>
      <c r="AU3178" s="6" t="str">
        <f>HYPERLINK("http://catalog.hathitrust.org/Record/000770876","HathiTrust Record")</f>
        <v>HathiTrust Record</v>
      </c>
      <c r="AV3178" s="6" t="str">
        <f>HYPERLINK("http://mcgill.on.worldcat.org/oclc/618438","Catalog Record")</f>
        <v>Catalog Record</v>
      </c>
      <c r="AW3178" s="6" t="str">
        <f>HYPERLINK("http://www.worldcat.org/oclc/618438","WorldCat Record")</f>
        <v>WorldCat Record</v>
      </c>
      <c r="AX3178" s="3" t="s">
        <v>26461</v>
      </c>
      <c r="AY3178" s="3" t="s">
        <v>26462</v>
      </c>
      <c r="AZ3178" s="3" t="s">
        <v>26463</v>
      </c>
      <c r="BA3178" s="3" t="s">
        <v>26463</v>
      </c>
      <c r="BB3178" s="3" t="s">
        <v>26464</v>
      </c>
      <c r="BC3178" s="3" t="s">
        <v>82</v>
      </c>
      <c r="BD3178" s="3" t="s">
        <v>70</v>
      </c>
      <c r="BE3178" s="3" t="s">
        <v>26465</v>
      </c>
      <c r="BF3178" s="3" t="s">
        <v>26464</v>
      </c>
      <c r="BG3178" s="3" t="s">
        <v>26466</v>
      </c>
    </row>
    <row r="3179" spans="1:59" ht="60" x14ac:dyDescent="0.25">
      <c r="A3179" s="2" t="s">
        <v>59</v>
      </c>
      <c r="B3179" s="2" t="s">
        <v>60</v>
      </c>
      <c r="C3179" s="2" t="s">
        <v>26467</v>
      </c>
      <c r="D3179" s="2" t="s">
        <v>26468</v>
      </c>
      <c r="E3179" s="2" t="s">
        <v>26469</v>
      </c>
      <c r="G3179" s="3" t="s">
        <v>63</v>
      </c>
      <c r="I3179" s="3" t="s">
        <v>63</v>
      </c>
      <c r="J3179" s="3" t="s">
        <v>63</v>
      </c>
      <c r="K3179" s="3" t="s">
        <v>64</v>
      </c>
      <c r="L3179" s="2" t="s">
        <v>5944</v>
      </c>
      <c r="M3179" s="2" t="s">
        <v>26470</v>
      </c>
      <c r="N3179" s="3" t="s">
        <v>130</v>
      </c>
      <c r="O3179" s="2" t="s">
        <v>26471</v>
      </c>
      <c r="P3179" s="3" t="s">
        <v>66</v>
      </c>
      <c r="R3179" s="3" t="s">
        <v>67</v>
      </c>
      <c r="S3179" s="4">
        <v>2</v>
      </c>
      <c r="T3179" s="4">
        <v>2</v>
      </c>
      <c r="U3179" s="5" t="s">
        <v>26472</v>
      </c>
      <c r="V3179" s="5" t="s">
        <v>26472</v>
      </c>
      <c r="W3179" s="5" t="s">
        <v>69</v>
      </c>
      <c r="X3179" s="5" t="s">
        <v>69</v>
      </c>
      <c r="Y3179" s="4">
        <v>395</v>
      </c>
      <c r="Z3179" s="4">
        <v>13</v>
      </c>
      <c r="AA3179" s="4">
        <v>16</v>
      </c>
      <c r="AB3179" s="4">
        <v>2</v>
      </c>
      <c r="AC3179" s="4">
        <v>3</v>
      </c>
      <c r="AD3179" s="4">
        <v>55</v>
      </c>
      <c r="AE3179" s="4">
        <v>59</v>
      </c>
      <c r="AF3179" s="4">
        <v>1</v>
      </c>
      <c r="AG3179" s="4">
        <v>1</v>
      </c>
      <c r="AH3179" s="4">
        <v>50</v>
      </c>
      <c r="AI3179" s="4">
        <v>53</v>
      </c>
      <c r="AJ3179" s="4">
        <v>4</v>
      </c>
      <c r="AK3179" s="4">
        <v>6</v>
      </c>
      <c r="AL3179" s="4">
        <v>29</v>
      </c>
      <c r="AM3179" s="4">
        <v>30</v>
      </c>
      <c r="AN3179" s="4">
        <v>0</v>
      </c>
      <c r="AO3179" s="4">
        <v>0</v>
      </c>
      <c r="AP3179" s="4">
        <v>6</v>
      </c>
      <c r="AQ3179" s="4">
        <v>8</v>
      </c>
      <c r="AR3179" s="3" t="s">
        <v>63</v>
      </c>
      <c r="AS3179" s="3" t="s">
        <v>63</v>
      </c>
      <c r="AT3179" s="3" t="s">
        <v>63</v>
      </c>
      <c r="AV3179" s="6" t="str">
        <f>HYPERLINK("http://mcgill.on.worldcat.org/oclc/798058777","Catalog Record")</f>
        <v>Catalog Record</v>
      </c>
      <c r="AW3179" s="6" t="str">
        <f>HYPERLINK("http://www.worldcat.org/oclc/798058777","WorldCat Record")</f>
        <v>WorldCat Record</v>
      </c>
      <c r="AX3179" s="3" t="s">
        <v>26473</v>
      </c>
      <c r="AY3179" s="3" t="s">
        <v>26474</v>
      </c>
      <c r="AZ3179" s="3" t="s">
        <v>26475</v>
      </c>
      <c r="BA3179" s="3" t="s">
        <v>26475</v>
      </c>
      <c r="BB3179" s="3" t="s">
        <v>26476</v>
      </c>
      <c r="BC3179" s="3" t="s">
        <v>82</v>
      </c>
      <c r="BD3179" s="3" t="s">
        <v>70</v>
      </c>
      <c r="BE3179" s="3" t="s">
        <v>26477</v>
      </c>
      <c r="BF3179" s="3" t="s">
        <v>26476</v>
      </c>
      <c r="BG3179" s="3" t="s">
        <v>26478</v>
      </c>
    </row>
    <row r="3180" spans="1:59" ht="60" x14ac:dyDescent="0.25">
      <c r="A3180" s="2" t="s">
        <v>59</v>
      </c>
      <c r="B3180" s="2" t="s">
        <v>60</v>
      </c>
      <c r="C3180" s="2" t="s">
        <v>26479</v>
      </c>
      <c r="D3180" s="2" t="s">
        <v>26480</v>
      </c>
      <c r="E3180" s="2" t="s">
        <v>26481</v>
      </c>
      <c r="G3180" s="3" t="s">
        <v>63</v>
      </c>
      <c r="I3180" s="3" t="s">
        <v>63</v>
      </c>
      <c r="J3180" s="3" t="s">
        <v>63</v>
      </c>
      <c r="K3180" s="3" t="s">
        <v>64</v>
      </c>
      <c r="L3180" s="2" t="s">
        <v>5944</v>
      </c>
      <c r="M3180" s="2" t="s">
        <v>26482</v>
      </c>
      <c r="N3180" s="3" t="s">
        <v>706</v>
      </c>
      <c r="P3180" s="3" t="s">
        <v>66</v>
      </c>
      <c r="R3180" s="3" t="s">
        <v>67</v>
      </c>
      <c r="S3180" s="4">
        <v>17</v>
      </c>
      <c r="T3180" s="4">
        <v>17</v>
      </c>
      <c r="U3180" s="5" t="s">
        <v>5835</v>
      </c>
      <c r="V3180" s="5" t="s">
        <v>5835</v>
      </c>
      <c r="W3180" s="5" t="s">
        <v>69</v>
      </c>
      <c r="X3180" s="5" t="s">
        <v>69</v>
      </c>
      <c r="Y3180" s="4">
        <v>1083</v>
      </c>
      <c r="Z3180" s="4">
        <v>46</v>
      </c>
      <c r="AA3180" s="4">
        <v>53</v>
      </c>
      <c r="AB3180" s="4">
        <v>2</v>
      </c>
      <c r="AC3180" s="4">
        <v>6</v>
      </c>
      <c r="AD3180" s="4">
        <v>121</v>
      </c>
      <c r="AE3180" s="4">
        <v>125</v>
      </c>
      <c r="AF3180" s="4">
        <v>0</v>
      </c>
      <c r="AG3180" s="4">
        <v>1</v>
      </c>
      <c r="AH3180" s="4">
        <v>102</v>
      </c>
      <c r="AI3180" s="4">
        <v>104</v>
      </c>
      <c r="AJ3180" s="4">
        <v>14</v>
      </c>
      <c r="AK3180" s="4">
        <v>14</v>
      </c>
      <c r="AL3180" s="4">
        <v>58</v>
      </c>
      <c r="AM3180" s="4">
        <v>61</v>
      </c>
      <c r="AN3180" s="4">
        <v>0</v>
      </c>
      <c r="AO3180" s="4">
        <v>0</v>
      </c>
      <c r="AP3180" s="4">
        <v>22</v>
      </c>
      <c r="AQ3180" s="4">
        <v>23</v>
      </c>
      <c r="AR3180" s="3" t="s">
        <v>63</v>
      </c>
      <c r="AS3180" s="3" t="s">
        <v>63</v>
      </c>
      <c r="AT3180" s="3" t="s">
        <v>62</v>
      </c>
      <c r="AU3180" s="6" t="str">
        <f>HYPERLINK("http://catalog.hathitrust.org/Record/000804837","HathiTrust Record")</f>
        <v>HathiTrust Record</v>
      </c>
      <c r="AV3180" s="6" t="str">
        <f>HYPERLINK("http://mcgill.on.worldcat.org/oclc/13822927","Catalog Record")</f>
        <v>Catalog Record</v>
      </c>
      <c r="AW3180" s="6" t="str">
        <f>HYPERLINK("http://www.worldcat.org/oclc/13822927","WorldCat Record")</f>
        <v>WorldCat Record</v>
      </c>
      <c r="AX3180" s="3" t="s">
        <v>26483</v>
      </c>
      <c r="AY3180" s="3" t="s">
        <v>26484</v>
      </c>
      <c r="AZ3180" s="3" t="s">
        <v>26485</v>
      </c>
      <c r="BA3180" s="3" t="s">
        <v>26485</v>
      </c>
      <c r="BB3180" s="3" t="s">
        <v>26486</v>
      </c>
      <c r="BC3180" s="3" t="s">
        <v>82</v>
      </c>
      <c r="BD3180" s="3" t="s">
        <v>538</v>
      </c>
      <c r="BE3180" s="3" t="s">
        <v>26487</v>
      </c>
      <c r="BF3180" s="3" t="s">
        <v>26486</v>
      </c>
      <c r="BG3180" s="3" t="s">
        <v>26488</v>
      </c>
    </row>
    <row r="3181" spans="1:59" ht="60" x14ac:dyDescent="0.25">
      <c r="A3181" s="2" t="s">
        <v>59</v>
      </c>
      <c r="B3181" s="2" t="s">
        <v>60</v>
      </c>
      <c r="C3181" s="2" t="s">
        <v>26489</v>
      </c>
      <c r="D3181" s="2" t="s">
        <v>26490</v>
      </c>
      <c r="E3181" s="2" t="s">
        <v>26491</v>
      </c>
      <c r="G3181" s="3" t="s">
        <v>63</v>
      </c>
      <c r="I3181" s="3" t="s">
        <v>63</v>
      </c>
      <c r="J3181" s="3" t="s">
        <v>62</v>
      </c>
      <c r="K3181" s="3" t="s">
        <v>64</v>
      </c>
      <c r="L3181" s="2" t="s">
        <v>5944</v>
      </c>
      <c r="M3181" s="2" t="s">
        <v>26492</v>
      </c>
      <c r="N3181" s="3" t="s">
        <v>300</v>
      </c>
      <c r="P3181" s="3" t="s">
        <v>66</v>
      </c>
      <c r="R3181" s="3" t="s">
        <v>67</v>
      </c>
      <c r="S3181" s="4">
        <v>16</v>
      </c>
      <c r="T3181" s="4">
        <v>16</v>
      </c>
      <c r="U3181" s="5" t="s">
        <v>26402</v>
      </c>
      <c r="V3181" s="5" t="s">
        <v>26402</v>
      </c>
      <c r="W3181" s="5" t="s">
        <v>69</v>
      </c>
      <c r="X3181" s="5" t="s">
        <v>69</v>
      </c>
      <c r="Y3181" s="4">
        <v>10</v>
      </c>
      <c r="Z3181" s="4">
        <v>2</v>
      </c>
      <c r="AA3181" s="4">
        <v>44</v>
      </c>
      <c r="AB3181" s="4">
        <v>1</v>
      </c>
      <c r="AC3181" s="4">
        <v>6</v>
      </c>
      <c r="AD3181" s="4">
        <v>3</v>
      </c>
      <c r="AE3181" s="4">
        <v>123</v>
      </c>
      <c r="AF3181" s="4">
        <v>0</v>
      </c>
      <c r="AG3181" s="4">
        <v>3</v>
      </c>
      <c r="AH3181" s="4">
        <v>3</v>
      </c>
      <c r="AI3181" s="4">
        <v>104</v>
      </c>
      <c r="AJ3181" s="4">
        <v>1</v>
      </c>
      <c r="AK3181" s="4">
        <v>17</v>
      </c>
      <c r="AL3181" s="4">
        <v>0</v>
      </c>
      <c r="AM3181" s="4">
        <v>57</v>
      </c>
      <c r="AN3181" s="4">
        <v>0</v>
      </c>
      <c r="AO3181" s="4">
        <v>2</v>
      </c>
      <c r="AP3181" s="4">
        <v>1</v>
      </c>
      <c r="AQ3181" s="4">
        <v>23</v>
      </c>
      <c r="AR3181" s="3" t="s">
        <v>63</v>
      </c>
      <c r="AS3181" s="3" t="s">
        <v>63</v>
      </c>
      <c r="AT3181" s="3" t="s">
        <v>63</v>
      </c>
      <c r="AV3181" s="6" t="str">
        <f>HYPERLINK("http://mcgill.on.worldcat.org/oclc/29113881","Catalog Record")</f>
        <v>Catalog Record</v>
      </c>
      <c r="AW3181" s="6" t="str">
        <f>HYPERLINK("http://www.worldcat.org/oclc/29113881","WorldCat Record")</f>
        <v>WorldCat Record</v>
      </c>
      <c r="AX3181" s="3" t="s">
        <v>26493</v>
      </c>
      <c r="AY3181" s="3" t="s">
        <v>26494</v>
      </c>
      <c r="AZ3181" s="3" t="s">
        <v>26495</v>
      </c>
      <c r="BA3181" s="3" t="s">
        <v>26495</v>
      </c>
      <c r="BB3181" s="3" t="s">
        <v>26496</v>
      </c>
      <c r="BC3181" s="3" t="s">
        <v>82</v>
      </c>
      <c r="BD3181" s="3" t="s">
        <v>70</v>
      </c>
      <c r="BF3181" s="3" t="s">
        <v>26496</v>
      </c>
      <c r="BG3181" s="3" t="s">
        <v>26497</v>
      </c>
    </row>
    <row r="3182" spans="1:59" ht="75" x14ac:dyDescent="0.25">
      <c r="A3182" s="2" t="s">
        <v>59</v>
      </c>
      <c r="B3182" s="2" t="s">
        <v>60</v>
      </c>
      <c r="C3182" s="2" t="s">
        <v>26498</v>
      </c>
      <c r="D3182" s="2" t="s">
        <v>26499</v>
      </c>
      <c r="E3182" s="2" t="s">
        <v>26500</v>
      </c>
      <c r="G3182" s="3" t="s">
        <v>63</v>
      </c>
      <c r="I3182" s="3" t="s">
        <v>63</v>
      </c>
      <c r="J3182" s="3" t="s">
        <v>62</v>
      </c>
      <c r="K3182" s="3" t="s">
        <v>64</v>
      </c>
      <c r="L3182" s="2" t="s">
        <v>14234</v>
      </c>
      <c r="M3182" s="2" t="s">
        <v>26501</v>
      </c>
      <c r="N3182" s="3" t="s">
        <v>300</v>
      </c>
      <c r="P3182" s="3" t="s">
        <v>66</v>
      </c>
      <c r="R3182" s="3" t="s">
        <v>67</v>
      </c>
      <c r="S3182" s="4">
        <v>29</v>
      </c>
      <c r="T3182" s="4">
        <v>29</v>
      </c>
      <c r="U3182" s="5" t="s">
        <v>22431</v>
      </c>
      <c r="V3182" s="5" t="s">
        <v>22431</v>
      </c>
      <c r="W3182" s="5" t="s">
        <v>69</v>
      </c>
      <c r="X3182" s="5" t="s">
        <v>69</v>
      </c>
      <c r="Y3182" s="4">
        <v>209</v>
      </c>
      <c r="Z3182" s="4">
        <v>29</v>
      </c>
      <c r="AA3182" s="4">
        <v>44</v>
      </c>
      <c r="AB3182" s="4">
        <v>5</v>
      </c>
      <c r="AC3182" s="4">
        <v>6</v>
      </c>
      <c r="AD3182" s="4">
        <v>39</v>
      </c>
      <c r="AE3182" s="4">
        <v>123</v>
      </c>
      <c r="AF3182" s="4">
        <v>2</v>
      </c>
      <c r="AG3182" s="4">
        <v>3</v>
      </c>
      <c r="AH3182" s="4">
        <v>30</v>
      </c>
      <c r="AI3182" s="4">
        <v>104</v>
      </c>
      <c r="AJ3182" s="4">
        <v>10</v>
      </c>
      <c r="AK3182" s="4">
        <v>17</v>
      </c>
      <c r="AL3182" s="4">
        <v>16</v>
      </c>
      <c r="AM3182" s="4">
        <v>57</v>
      </c>
      <c r="AN3182" s="4">
        <v>0</v>
      </c>
      <c r="AO3182" s="4">
        <v>2</v>
      </c>
      <c r="AP3182" s="4">
        <v>13</v>
      </c>
      <c r="AQ3182" s="4">
        <v>23</v>
      </c>
      <c r="AR3182" s="3" t="s">
        <v>63</v>
      </c>
      <c r="AS3182" s="3" t="s">
        <v>63</v>
      </c>
      <c r="AT3182" s="3" t="s">
        <v>62</v>
      </c>
      <c r="AU3182" s="6" t="str">
        <f>HYPERLINK("http://catalog.hathitrust.org/Record/007122166","HathiTrust Record")</f>
        <v>HathiTrust Record</v>
      </c>
      <c r="AV3182" s="6" t="str">
        <f>HYPERLINK("http://mcgill.on.worldcat.org/oclc/70864043","Catalog Record")</f>
        <v>Catalog Record</v>
      </c>
      <c r="AW3182" s="6" t="str">
        <f>HYPERLINK("http://www.worldcat.org/oclc/70864043","WorldCat Record")</f>
        <v>WorldCat Record</v>
      </c>
      <c r="AX3182" s="3" t="s">
        <v>26493</v>
      </c>
      <c r="AY3182" s="3" t="s">
        <v>26502</v>
      </c>
      <c r="AZ3182" s="3" t="s">
        <v>26503</v>
      </c>
      <c r="BA3182" s="3" t="s">
        <v>26503</v>
      </c>
      <c r="BB3182" s="3" t="s">
        <v>26504</v>
      </c>
      <c r="BC3182" s="3" t="s">
        <v>82</v>
      </c>
      <c r="BD3182" s="3" t="s">
        <v>70</v>
      </c>
      <c r="BE3182" s="3" t="s">
        <v>26505</v>
      </c>
      <c r="BF3182" s="3" t="s">
        <v>26504</v>
      </c>
      <c r="BG3182" s="3" t="s">
        <v>26506</v>
      </c>
    </row>
    <row r="3183" spans="1:59" ht="60" x14ac:dyDescent="0.25">
      <c r="A3183" s="2" t="s">
        <v>59</v>
      </c>
      <c r="B3183" s="2" t="s">
        <v>60</v>
      </c>
      <c r="C3183" s="2" t="s">
        <v>26507</v>
      </c>
      <c r="D3183" s="2" t="s">
        <v>26508</v>
      </c>
      <c r="E3183" s="2" t="s">
        <v>26500</v>
      </c>
      <c r="G3183" s="3" t="s">
        <v>63</v>
      </c>
      <c r="I3183" s="3" t="s">
        <v>63</v>
      </c>
      <c r="J3183" s="3" t="s">
        <v>62</v>
      </c>
      <c r="K3183" s="3" t="s">
        <v>64</v>
      </c>
      <c r="L3183" s="2" t="s">
        <v>5944</v>
      </c>
      <c r="M3183" s="2" t="s">
        <v>26509</v>
      </c>
      <c r="N3183" s="3" t="s">
        <v>668</v>
      </c>
      <c r="O3183" s="2" t="s">
        <v>26078</v>
      </c>
      <c r="P3183" s="3" t="s">
        <v>66</v>
      </c>
      <c r="Q3183" s="2" t="s">
        <v>26118</v>
      </c>
      <c r="R3183" s="3" t="s">
        <v>67</v>
      </c>
      <c r="S3183" s="4">
        <v>15</v>
      </c>
      <c r="T3183" s="4">
        <v>15</v>
      </c>
      <c r="U3183" s="5" t="s">
        <v>5835</v>
      </c>
      <c r="V3183" s="5" t="s">
        <v>5835</v>
      </c>
      <c r="W3183" s="5" t="s">
        <v>69</v>
      </c>
      <c r="X3183" s="5" t="s">
        <v>69</v>
      </c>
      <c r="Y3183" s="4">
        <v>251</v>
      </c>
      <c r="Z3183" s="4">
        <v>5</v>
      </c>
      <c r="AA3183" s="4">
        <v>44</v>
      </c>
      <c r="AB3183" s="4">
        <v>1</v>
      </c>
      <c r="AC3183" s="4">
        <v>6</v>
      </c>
      <c r="AD3183" s="4">
        <v>25</v>
      </c>
      <c r="AE3183" s="4">
        <v>123</v>
      </c>
      <c r="AF3183" s="4">
        <v>0</v>
      </c>
      <c r="AG3183" s="4">
        <v>3</v>
      </c>
      <c r="AH3183" s="4">
        <v>23</v>
      </c>
      <c r="AI3183" s="4">
        <v>104</v>
      </c>
      <c r="AJ3183" s="4">
        <v>2</v>
      </c>
      <c r="AK3183" s="4">
        <v>17</v>
      </c>
      <c r="AL3183" s="4">
        <v>13</v>
      </c>
      <c r="AM3183" s="4">
        <v>57</v>
      </c>
      <c r="AN3183" s="4">
        <v>0</v>
      </c>
      <c r="AO3183" s="4">
        <v>2</v>
      </c>
      <c r="AP3183" s="4">
        <v>2</v>
      </c>
      <c r="AQ3183" s="4">
        <v>23</v>
      </c>
      <c r="AR3183" s="3" t="s">
        <v>63</v>
      </c>
      <c r="AS3183" s="3" t="s">
        <v>63</v>
      </c>
      <c r="AT3183" s="3" t="s">
        <v>62</v>
      </c>
      <c r="AU3183" s="6" t="str">
        <f>HYPERLINK("http://catalog.hathitrust.org/Record/007019471","HathiTrust Record")</f>
        <v>HathiTrust Record</v>
      </c>
      <c r="AV3183" s="6" t="str">
        <f>HYPERLINK("http://mcgill.on.worldcat.org/oclc/21231988","Catalog Record")</f>
        <v>Catalog Record</v>
      </c>
      <c r="AW3183" s="6" t="str">
        <f>HYPERLINK("http://www.worldcat.org/oclc/21231988","WorldCat Record")</f>
        <v>WorldCat Record</v>
      </c>
      <c r="AX3183" s="3" t="s">
        <v>26493</v>
      </c>
      <c r="AY3183" s="3" t="s">
        <v>26510</v>
      </c>
      <c r="AZ3183" s="3" t="s">
        <v>26511</v>
      </c>
      <c r="BA3183" s="3" t="s">
        <v>26511</v>
      </c>
      <c r="BB3183" s="3" t="s">
        <v>26512</v>
      </c>
      <c r="BC3183" s="3" t="s">
        <v>82</v>
      </c>
      <c r="BD3183" s="3" t="s">
        <v>538</v>
      </c>
      <c r="BE3183" s="3" t="s">
        <v>26513</v>
      </c>
      <c r="BF3183" s="3" t="s">
        <v>26512</v>
      </c>
      <c r="BG3183" s="3" t="s">
        <v>26514</v>
      </c>
    </row>
    <row r="3184" spans="1:59" ht="60" x14ac:dyDescent="0.25">
      <c r="A3184" s="2" t="s">
        <v>59</v>
      </c>
      <c r="B3184" s="2" t="s">
        <v>60</v>
      </c>
      <c r="C3184" s="2" t="s">
        <v>26516</v>
      </c>
      <c r="D3184" s="2" t="s">
        <v>26517</v>
      </c>
      <c r="E3184" s="2" t="s">
        <v>26518</v>
      </c>
      <c r="G3184" s="3" t="s">
        <v>63</v>
      </c>
      <c r="I3184" s="3" t="s">
        <v>63</v>
      </c>
      <c r="J3184" s="3" t="s">
        <v>63</v>
      </c>
      <c r="K3184" s="3" t="s">
        <v>64</v>
      </c>
      <c r="L3184" s="2" t="s">
        <v>26519</v>
      </c>
      <c r="M3184" s="2" t="s">
        <v>26520</v>
      </c>
      <c r="N3184" s="3" t="s">
        <v>1557</v>
      </c>
      <c r="P3184" s="3" t="s">
        <v>66</v>
      </c>
      <c r="Q3184" s="2" t="s">
        <v>26521</v>
      </c>
      <c r="R3184" s="3" t="s">
        <v>67</v>
      </c>
      <c r="S3184" s="4">
        <v>4</v>
      </c>
      <c r="T3184" s="4">
        <v>4</v>
      </c>
      <c r="U3184" s="5" t="s">
        <v>26522</v>
      </c>
      <c r="V3184" s="5" t="s">
        <v>26522</v>
      </c>
      <c r="W3184" s="5" t="s">
        <v>69</v>
      </c>
      <c r="X3184" s="5" t="s">
        <v>69</v>
      </c>
      <c r="Y3184" s="4">
        <v>148</v>
      </c>
      <c r="Z3184" s="4">
        <v>7</v>
      </c>
      <c r="AA3184" s="4">
        <v>10</v>
      </c>
      <c r="AB3184" s="4">
        <v>1</v>
      </c>
      <c r="AC3184" s="4">
        <v>3</v>
      </c>
      <c r="AD3184" s="4">
        <v>58</v>
      </c>
      <c r="AE3184" s="4">
        <v>62</v>
      </c>
      <c r="AF3184" s="4">
        <v>0</v>
      </c>
      <c r="AG3184" s="4">
        <v>0</v>
      </c>
      <c r="AH3184" s="4">
        <v>52</v>
      </c>
      <c r="AI3184" s="4">
        <v>56</v>
      </c>
      <c r="AJ3184" s="4">
        <v>6</v>
      </c>
      <c r="AK3184" s="4">
        <v>7</v>
      </c>
      <c r="AL3184" s="4">
        <v>35</v>
      </c>
      <c r="AM3184" s="4">
        <v>36</v>
      </c>
      <c r="AN3184" s="4">
        <v>0</v>
      </c>
      <c r="AO3184" s="4">
        <v>0</v>
      </c>
      <c r="AP3184" s="4">
        <v>6</v>
      </c>
      <c r="AQ3184" s="4">
        <v>7</v>
      </c>
      <c r="AR3184" s="3" t="s">
        <v>63</v>
      </c>
      <c r="AS3184" s="3" t="s">
        <v>63</v>
      </c>
      <c r="AT3184" s="3" t="s">
        <v>63</v>
      </c>
      <c r="AV3184" s="6" t="str">
        <f>HYPERLINK("http://mcgill.on.worldcat.org/oclc/962552499","Catalog Record")</f>
        <v>Catalog Record</v>
      </c>
      <c r="AW3184" s="6" t="str">
        <f>HYPERLINK("http://www.worldcat.org/oclc/962552499","WorldCat Record")</f>
        <v>WorldCat Record</v>
      </c>
      <c r="AX3184" s="3" t="s">
        <v>26523</v>
      </c>
      <c r="AY3184" s="3" t="s">
        <v>26524</v>
      </c>
      <c r="AZ3184" s="3" t="s">
        <v>26525</v>
      </c>
      <c r="BA3184" s="3" t="s">
        <v>26525</v>
      </c>
      <c r="BB3184" s="3" t="s">
        <v>26526</v>
      </c>
      <c r="BC3184" s="3" t="s">
        <v>82</v>
      </c>
      <c r="BD3184" s="3" t="s">
        <v>70</v>
      </c>
      <c r="BE3184" s="3" t="s">
        <v>26527</v>
      </c>
      <c r="BF3184" s="3" t="s">
        <v>26526</v>
      </c>
      <c r="BG3184" s="3" t="s">
        <v>26528</v>
      </c>
    </row>
    <row r="3185" spans="1:59" ht="60" x14ac:dyDescent="0.25">
      <c r="A3185" s="2" t="s">
        <v>59</v>
      </c>
      <c r="B3185" s="2" t="s">
        <v>60</v>
      </c>
      <c r="C3185" s="2" t="s">
        <v>26529</v>
      </c>
      <c r="D3185" s="2" t="s">
        <v>26530</v>
      </c>
      <c r="E3185" s="2" t="s">
        <v>26531</v>
      </c>
      <c r="G3185" s="3" t="s">
        <v>63</v>
      </c>
      <c r="I3185" s="3" t="s">
        <v>63</v>
      </c>
      <c r="J3185" s="3" t="s">
        <v>62</v>
      </c>
      <c r="K3185" s="3" t="s">
        <v>64</v>
      </c>
      <c r="L3185" s="2" t="s">
        <v>14234</v>
      </c>
      <c r="M3185" s="2" t="s">
        <v>26532</v>
      </c>
      <c r="N3185" s="3" t="s">
        <v>274</v>
      </c>
      <c r="P3185" s="3" t="s">
        <v>66</v>
      </c>
      <c r="Q3185" s="2" t="s">
        <v>26533</v>
      </c>
      <c r="R3185" s="3" t="s">
        <v>67</v>
      </c>
      <c r="S3185" s="4">
        <v>17</v>
      </c>
      <c r="T3185" s="4">
        <v>17</v>
      </c>
      <c r="U3185" s="5" t="s">
        <v>11700</v>
      </c>
      <c r="V3185" s="5" t="s">
        <v>11700</v>
      </c>
      <c r="W3185" s="5" t="s">
        <v>69</v>
      </c>
      <c r="X3185" s="5" t="s">
        <v>69</v>
      </c>
      <c r="Y3185" s="4">
        <v>460</v>
      </c>
      <c r="Z3185" s="4">
        <v>12</v>
      </c>
      <c r="AA3185" s="4">
        <v>99</v>
      </c>
      <c r="AB3185" s="4">
        <v>1</v>
      </c>
      <c r="AC3185" s="4">
        <v>11</v>
      </c>
      <c r="AD3185" s="4">
        <v>43</v>
      </c>
      <c r="AE3185" s="4">
        <v>160</v>
      </c>
      <c r="AF3185" s="4">
        <v>0</v>
      </c>
      <c r="AG3185" s="4">
        <v>6</v>
      </c>
      <c r="AH3185" s="4">
        <v>40</v>
      </c>
      <c r="AI3185" s="4">
        <v>112</v>
      </c>
      <c r="AJ3185" s="4">
        <v>1</v>
      </c>
      <c r="AK3185" s="4">
        <v>28</v>
      </c>
      <c r="AL3185" s="4">
        <v>28</v>
      </c>
      <c r="AM3185" s="4">
        <v>63</v>
      </c>
      <c r="AN3185" s="4">
        <v>0</v>
      </c>
      <c r="AO3185" s="4">
        <v>5</v>
      </c>
      <c r="AP3185" s="4">
        <v>2</v>
      </c>
      <c r="AQ3185" s="4">
        <v>50</v>
      </c>
      <c r="AR3185" s="3" t="s">
        <v>63</v>
      </c>
      <c r="AS3185" s="3" t="s">
        <v>63</v>
      </c>
      <c r="AT3185" s="3" t="s">
        <v>63</v>
      </c>
      <c r="AV3185" s="6" t="str">
        <f>HYPERLINK("http://mcgill.on.worldcat.org/oclc/40521191","Catalog Record")</f>
        <v>Catalog Record</v>
      </c>
      <c r="AW3185" s="6" t="str">
        <f>HYPERLINK("http://www.worldcat.org/oclc/40521191","WorldCat Record")</f>
        <v>WorldCat Record</v>
      </c>
      <c r="AX3185" s="3" t="s">
        <v>26534</v>
      </c>
      <c r="AY3185" s="3" t="s">
        <v>26535</v>
      </c>
      <c r="AZ3185" s="3" t="s">
        <v>26536</v>
      </c>
      <c r="BA3185" s="3" t="s">
        <v>26536</v>
      </c>
      <c r="BB3185" s="3" t="s">
        <v>26537</v>
      </c>
      <c r="BC3185" s="3" t="s">
        <v>82</v>
      </c>
      <c r="BD3185" s="3" t="s">
        <v>538</v>
      </c>
      <c r="BE3185" s="3" t="s">
        <v>26538</v>
      </c>
      <c r="BF3185" s="3" t="s">
        <v>26537</v>
      </c>
      <c r="BG3185" s="3" t="s">
        <v>26539</v>
      </c>
    </row>
    <row r="3186" spans="1:59" ht="60" x14ac:dyDescent="0.25">
      <c r="A3186" s="2" t="s">
        <v>59</v>
      </c>
      <c r="B3186" s="2" t="s">
        <v>60</v>
      </c>
      <c r="C3186" s="2" t="s">
        <v>26540</v>
      </c>
      <c r="D3186" s="2" t="s">
        <v>26541</v>
      </c>
      <c r="E3186" s="2" t="s">
        <v>26542</v>
      </c>
      <c r="G3186" s="3" t="s">
        <v>63</v>
      </c>
      <c r="I3186" s="3" t="s">
        <v>63</v>
      </c>
      <c r="J3186" s="3" t="s">
        <v>63</v>
      </c>
      <c r="K3186" s="3" t="s">
        <v>64</v>
      </c>
      <c r="L3186" s="2" t="s">
        <v>26543</v>
      </c>
      <c r="M3186" s="2" t="s">
        <v>26544</v>
      </c>
      <c r="N3186" s="3" t="s">
        <v>190</v>
      </c>
      <c r="O3186" s="2" t="s">
        <v>1605</v>
      </c>
      <c r="P3186" s="3" t="s">
        <v>66</v>
      </c>
      <c r="R3186" s="3" t="s">
        <v>67</v>
      </c>
      <c r="S3186" s="4">
        <v>3</v>
      </c>
      <c r="T3186" s="4">
        <v>3</v>
      </c>
      <c r="U3186" s="5" t="s">
        <v>26545</v>
      </c>
      <c r="V3186" s="5" t="s">
        <v>26545</v>
      </c>
      <c r="W3186" s="5" t="s">
        <v>69</v>
      </c>
      <c r="X3186" s="5" t="s">
        <v>69</v>
      </c>
      <c r="Y3186" s="4">
        <v>91</v>
      </c>
      <c r="Z3186" s="4">
        <v>7</v>
      </c>
      <c r="AA3186" s="4">
        <v>7</v>
      </c>
      <c r="AB3186" s="4">
        <v>1</v>
      </c>
      <c r="AC3186" s="4">
        <v>1</v>
      </c>
      <c r="AD3186" s="4">
        <v>48</v>
      </c>
      <c r="AE3186" s="4">
        <v>48</v>
      </c>
      <c r="AF3186" s="4">
        <v>0</v>
      </c>
      <c r="AG3186" s="4">
        <v>0</v>
      </c>
      <c r="AH3186" s="4">
        <v>45</v>
      </c>
      <c r="AI3186" s="4">
        <v>45</v>
      </c>
      <c r="AJ3186" s="4">
        <v>4</v>
      </c>
      <c r="AK3186" s="4">
        <v>4</v>
      </c>
      <c r="AL3186" s="4">
        <v>27</v>
      </c>
      <c r="AM3186" s="4">
        <v>27</v>
      </c>
      <c r="AN3186" s="4">
        <v>0</v>
      </c>
      <c r="AO3186" s="4">
        <v>0</v>
      </c>
      <c r="AP3186" s="4">
        <v>4</v>
      </c>
      <c r="AQ3186" s="4">
        <v>4</v>
      </c>
      <c r="AR3186" s="3" t="s">
        <v>63</v>
      </c>
      <c r="AS3186" s="3" t="s">
        <v>63</v>
      </c>
      <c r="AT3186" s="3" t="s">
        <v>63</v>
      </c>
      <c r="AV3186" s="6" t="str">
        <f>HYPERLINK("http://mcgill.on.worldcat.org/oclc/62085463","Catalog Record")</f>
        <v>Catalog Record</v>
      </c>
      <c r="AW3186" s="6" t="str">
        <f>HYPERLINK("http://www.worldcat.org/oclc/62085463","WorldCat Record")</f>
        <v>WorldCat Record</v>
      </c>
      <c r="AX3186" s="3" t="s">
        <v>26546</v>
      </c>
      <c r="AY3186" s="3" t="s">
        <v>26547</v>
      </c>
      <c r="AZ3186" s="3" t="s">
        <v>26548</v>
      </c>
      <c r="BA3186" s="3" t="s">
        <v>26548</v>
      </c>
      <c r="BB3186" s="3" t="s">
        <v>26549</v>
      </c>
      <c r="BC3186" s="3" t="s">
        <v>82</v>
      </c>
      <c r="BD3186" s="3" t="s">
        <v>70</v>
      </c>
      <c r="BE3186" s="3" t="s">
        <v>26550</v>
      </c>
      <c r="BF3186" s="3" t="s">
        <v>26549</v>
      </c>
      <c r="BG3186" s="3" t="s">
        <v>26551</v>
      </c>
    </row>
    <row r="3187" spans="1:59" ht="60" x14ac:dyDescent="0.25">
      <c r="A3187" s="2" t="s">
        <v>59</v>
      </c>
      <c r="B3187" s="2" t="s">
        <v>60</v>
      </c>
      <c r="C3187" s="2" t="s">
        <v>26552</v>
      </c>
      <c r="D3187" s="2" t="s">
        <v>26553</v>
      </c>
      <c r="E3187" s="2" t="s">
        <v>26554</v>
      </c>
      <c r="G3187" s="3" t="s">
        <v>63</v>
      </c>
      <c r="I3187" s="3" t="s">
        <v>63</v>
      </c>
      <c r="J3187" s="3" t="s">
        <v>63</v>
      </c>
      <c r="K3187" s="3" t="s">
        <v>64</v>
      </c>
      <c r="L3187" s="2" t="s">
        <v>14234</v>
      </c>
      <c r="M3187" s="2" t="s">
        <v>26555</v>
      </c>
      <c r="N3187" s="3" t="s">
        <v>143</v>
      </c>
      <c r="P3187" s="3" t="s">
        <v>66</v>
      </c>
      <c r="R3187" s="3" t="s">
        <v>67</v>
      </c>
      <c r="S3187" s="4">
        <v>6</v>
      </c>
      <c r="T3187" s="4">
        <v>6</v>
      </c>
      <c r="U3187" s="5" t="s">
        <v>276</v>
      </c>
      <c r="V3187" s="5" t="s">
        <v>276</v>
      </c>
      <c r="W3187" s="5" t="s">
        <v>69</v>
      </c>
      <c r="X3187" s="5" t="s">
        <v>69</v>
      </c>
      <c r="Y3187" s="4">
        <v>132</v>
      </c>
      <c r="Z3187" s="4">
        <v>9</v>
      </c>
      <c r="AA3187" s="4">
        <v>29</v>
      </c>
      <c r="AB3187" s="4">
        <v>1</v>
      </c>
      <c r="AC3187" s="4">
        <v>4</v>
      </c>
      <c r="AD3187" s="4">
        <v>40</v>
      </c>
      <c r="AE3187" s="4">
        <v>90</v>
      </c>
      <c r="AF3187" s="4">
        <v>0</v>
      </c>
      <c r="AG3187" s="4">
        <v>0</v>
      </c>
      <c r="AH3187" s="4">
        <v>37</v>
      </c>
      <c r="AI3187" s="4">
        <v>82</v>
      </c>
      <c r="AJ3187" s="4">
        <v>7</v>
      </c>
      <c r="AK3187" s="4">
        <v>12</v>
      </c>
      <c r="AL3187" s="4">
        <v>30</v>
      </c>
      <c r="AM3187" s="4">
        <v>48</v>
      </c>
      <c r="AN3187" s="4">
        <v>0</v>
      </c>
      <c r="AO3187" s="4">
        <v>0</v>
      </c>
      <c r="AP3187" s="4">
        <v>7</v>
      </c>
      <c r="AQ3187" s="4">
        <v>12</v>
      </c>
      <c r="AR3187" s="3" t="s">
        <v>63</v>
      </c>
      <c r="AS3187" s="3" t="s">
        <v>63</v>
      </c>
      <c r="AT3187" s="3" t="s">
        <v>63</v>
      </c>
      <c r="AV3187" s="6" t="str">
        <f>HYPERLINK("http://mcgill.on.worldcat.org/oclc/876285295","Catalog Record")</f>
        <v>Catalog Record</v>
      </c>
      <c r="AW3187" s="6" t="str">
        <f>HYPERLINK("http://www.worldcat.org/oclc/876285295","WorldCat Record")</f>
        <v>WorldCat Record</v>
      </c>
      <c r="AX3187" s="3" t="s">
        <v>26556</v>
      </c>
      <c r="AY3187" s="3" t="s">
        <v>26557</v>
      </c>
      <c r="AZ3187" s="3" t="s">
        <v>26558</v>
      </c>
      <c r="BA3187" s="3" t="s">
        <v>26558</v>
      </c>
      <c r="BB3187" s="3" t="s">
        <v>26559</v>
      </c>
      <c r="BC3187" s="3" t="s">
        <v>82</v>
      </c>
      <c r="BD3187" s="3" t="s">
        <v>70</v>
      </c>
      <c r="BE3187" s="3" t="s">
        <v>26560</v>
      </c>
      <c r="BF3187" s="3" t="s">
        <v>26559</v>
      </c>
      <c r="BG3187" s="3" t="s">
        <v>26561</v>
      </c>
    </row>
    <row r="3188" spans="1:59" ht="60" x14ac:dyDescent="0.25">
      <c r="A3188" s="2" t="s">
        <v>59</v>
      </c>
      <c r="B3188" s="2" t="s">
        <v>60</v>
      </c>
      <c r="C3188" s="2" t="s">
        <v>26562</v>
      </c>
      <c r="D3188" s="2" t="s">
        <v>26563</v>
      </c>
      <c r="E3188" s="2" t="s">
        <v>26564</v>
      </c>
      <c r="G3188" s="3" t="s">
        <v>63</v>
      </c>
      <c r="I3188" s="3" t="s">
        <v>62</v>
      </c>
      <c r="J3188" s="3" t="s">
        <v>62</v>
      </c>
      <c r="K3188" s="3" t="s">
        <v>64</v>
      </c>
      <c r="L3188" s="2" t="s">
        <v>5944</v>
      </c>
      <c r="M3188" s="2" t="s">
        <v>26565</v>
      </c>
      <c r="N3188" s="3" t="s">
        <v>401</v>
      </c>
      <c r="O3188" s="2" t="s">
        <v>718</v>
      </c>
      <c r="P3188" s="3" t="s">
        <v>66</v>
      </c>
      <c r="R3188" s="3" t="s">
        <v>67</v>
      </c>
      <c r="S3188" s="4">
        <v>36</v>
      </c>
      <c r="T3188" s="4">
        <v>94</v>
      </c>
      <c r="U3188" s="5" t="s">
        <v>3789</v>
      </c>
      <c r="V3188" s="5" t="s">
        <v>3789</v>
      </c>
      <c r="W3188" s="5" t="s">
        <v>69</v>
      </c>
      <c r="X3188" s="5" t="s">
        <v>69</v>
      </c>
      <c r="Y3188" s="4">
        <v>2050</v>
      </c>
      <c r="Z3188" s="4">
        <v>60</v>
      </c>
      <c r="AA3188" s="4">
        <v>99</v>
      </c>
      <c r="AB3188" s="4">
        <v>3</v>
      </c>
      <c r="AC3188" s="4">
        <v>11</v>
      </c>
      <c r="AD3188" s="4">
        <v>139</v>
      </c>
      <c r="AE3188" s="4">
        <v>160</v>
      </c>
      <c r="AF3188" s="4">
        <v>1</v>
      </c>
      <c r="AG3188" s="4">
        <v>6</v>
      </c>
      <c r="AH3188" s="4">
        <v>106</v>
      </c>
      <c r="AI3188" s="4">
        <v>112</v>
      </c>
      <c r="AJ3188" s="4">
        <v>19</v>
      </c>
      <c r="AK3188" s="4">
        <v>28</v>
      </c>
      <c r="AL3188" s="4">
        <v>61</v>
      </c>
      <c r="AM3188" s="4">
        <v>63</v>
      </c>
      <c r="AN3188" s="4">
        <v>0</v>
      </c>
      <c r="AO3188" s="4">
        <v>5</v>
      </c>
      <c r="AP3188" s="4">
        <v>33</v>
      </c>
      <c r="AQ3188" s="4">
        <v>50</v>
      </c>
      <c r="AR3188" s="3" t="s">
        <v>63</v>
      </c>
      <c r="AS3188" s="3" t="s">
        <v>63</v>
      </c>
      <c r="AT3188" s="3" t="s">
        <v>62</v>
      </c>
      <c r="AU3188" s="6" t="str">
        <f>HYPERLINK("http://catalog.hathitrust.org/Record/000672487","HathiTrust Record")</f>
        <v>HathiTrust Record</v>
      </c>
      <c r="AV3188" s="6" t="str">
        <f>HYPERLINK("http://mcgill.on.worldcat.org/oclc/321204","Catalog Record")</f>
        <v>Catalog Record</v>
      </c>
      <c r="AW3188" s="6" t="str">
        <f>HYPERLINK("http://www.worldcat.org/oclc/321204","WorldCat Record")</f>
        <v>WorldCat Record</v>
      </c>
      <c r="AX3188" s="3" t="s">
        <v>26534</v>
      </c>
      <c r="AY3188" s="3" t="s">
        <v>26566</v>
      </c>
      <c r="AZ3188" s="3" t="s">
        <v>26567</v>
      </c>
      <c r="BA3188" s="3" t="s">
        <v>26567</v>
      </c>
      <c r="BB3188" s="3" t="s">
        <v>26568</v>
      </c>
      <c r="BC3188" s="3" t="s">
        <v>82</v>
      </c>
      <c r="BD3188" s="3" t="s">
        <v>70</v>
      </c>
      <c r="BF3188" s="3" t="s">
        <v>26568</v>
      </c>
      <c r="BG3188" s="3" t="s">
        <v>26569</v>
      </c>
    </row>
    <row r="3189" spans="1:59" ht="60" x14ac:dyDescent="0.25">
      <c r="A3189" s="2" t="s">
        <v>59</v>
      </c>
      <c r="B3189" s="2" t="s">
        <v>60</v>
      </c>
      <c r="C3189" s="2" t="s">
        <v>26562</v>
      </c>
      <c r="D3189" s="2" t="s">
        <v>26563</v>
      </c>
      <c r="E3189" s="2" t="s">
        <v>26564</v>
      </c>
      <c r="G3189" s="3" t="s">
        <v>63</v>
      </c>
      <c r="I3189" s="3" t="s">
        <v>62</v>
      </c>
      <c r="J3189" s="3" t="s">
        <v>62</v>
      </c>
      <c r="K3189" s="3" t="s">
        <v>64</v>
      </c>
      <c r="L3189" s="2" t="s">
        <v>5944</v>
      </c>
      <c r="M3189" s="2" t="s">
        <v>26565</v>
      </c>
      <c r="N3189" s="3" t="s">
        <v>401</v>
      </c>
      <c r="O3189" s="2" t="s">
        <v>718</v>
      </c>
      <c r="P3189" s="3" t="s">
        <v>66</v>
      </c>
      <c r="R3189" s="3" t="s">
        <v>67</v>
      </c>
      <c r="S3189" s="4">
        <v>19</v>
      </c>
      <c r="T3189" s="4">
        <v>94</v>
      </c>
      <c r="U3189" s="5" t="s">
        <v>13272</v>
      </c>
      <c r="V3189" s="5" t="s">
        <v>3789</v>
      </c>
      <c r="W3189" s="5" t="s">
        <v>69</v>
      </c>
      <c r="X3189" s="5" t="s">
        <v>69</v>
      </c>
      <c r="Y3189" s="4">
        <v>2050</v>
      </c>
      <c r="Z3189" s="4">
        <v>60</v>
      </c>
      <c r="AA3189" s="4">
        <v>99</v>
      </c>
      <c r="AB3189" s="4">
        <v>3</v>
      </c>
      <c r="AC3189" s="4">
        <v>11</v>
      </c>
      <c r="AD3189" s="4">
        <v>139</v>
      </c>
      <c r="AE3189" s="4">
        <v>160</v>
      </c>
      <c r="AF3189" s="4">
        <v>1</v>
      </c>
      <c r="AG3189" s="4">
        <v>6</v>
      </c>
      <c r="AH3189" s="4">
        <v>106</v>
      </c>
      <c r="AI3189" s="4">
        <v>112</v>
      </c>
      <c r="AJ3189" s="4">
        <v>19</v>
      </c>
      <c r="AK3189" s="4">
        <v>28</v>
      </c>
      <c r="AL3189" s="4">
        <v>61</v>
      </c>
      <c r="AM3189" s="4">
        <v>63</v>
      </c>
      <c r="AN3189" s="4">
        <v>0</v>
      </c>
      <c r="AO3189" s="4">
        <v>5</v>
      </c>
      <c r="AP3189" s="4">
        <v>33</v>
      </c>
      <c r="AQ3189" s="4">
        <v>50</v>
      </c>
      <c r="AR3189" s="3" t="s">
        <v>63</v>
      </c>
      <c r="AS3189" s="3" t="s">
        <v>63</v>
      </c>
      <c r="AT3189" s="3" t="s">
        <v>62</v>
      </c>
      <c r="AU3189" s="6" t="str">
        <f>HYPERLINK("http://catalog.hathitrust.org/Record/000672487","HathiTrust Record")</f>
        <v>HathiTrust Record</v>
      </c>
      <c r="AV3189" s="6" t="str">
        <f>HYPERLINK("http://mcgill.on.worldcat.org/oclc/321204","Catalog Record")</f>
        <v>Catalog Record</v>
      </c>
      <c r="AW3189" s="6" t="str">
        <f>HYPERLINK("http://www.worldcat.org/oclc/321204","WorldCat Record")</f>
        <v>WorldCat Record</v>
      </c>
      <c r="AX3189" s="3" t="s">
        <v>26534</v>
      </c>
      <c r="AY3189" s="3" t="s">
        <v>26566</v>
      </c>
      <c r="AZ3189" s="3" t="s">
        <v>26567</v>
      </c>
      <c r="BA3189" s="3" t="s">
        <v>26567</v>
      </c>
      <c r="BB3189" s="3" t="s">
        <v>26570</v>
      </c>
      <c r="BC3189" s="3" t="s">
        <v>82</v>
      </c>
      <c r="BD3189" s="3" t="s">
        <v>70</v>
      </c>
      <c r="BF3189" s="3" t="s">
        <v>26570</v>
      </c>
      <c r="BG3189" s="3" t="s">
        <v>26571</v>
      </c>
    </row>
    <row r="3190" spans="1:59" ht="60" x14ac:dyDescent="0.25">
      <c r="A3190" s="2" t="s">
        <v>59</v>
      </c>
      <c r="B3190" s="2" t="s">
        <v>60</v>
      </c>
      <c r="C3190" s="2" t="s">
        <v>26562</v>
      </c>
      <c r="D3190" s="2" t="s">
        <v>26563</v>
      </c>
      <c r="E3190" s="2" t="s">
        <v>26564</v>
      </c>
      <c r="G3190" s="3" t="s">
        <v>63</v>
      </c>
      <c r="I3190" s="3" t="s">
        <v>62</v>
      </c>
      <c r="J3190" s="3" t="s">
        <v>62</v>
      </c>
      <c r="K3190" s="3" t="s">
        <v>64</v>
      </c>
      <c r="L3190" s="2" t="s">
        <v>5944</v>
      </c>
      <c r="M3190" s="2" t="s">
        <v>26565</v>
      </c>
      <c r="N3190" s="3" t="s">
        <v>401</v>
      </c>
      <c r="O3190" s="2" t="s">
        <v>718</v>
      </c>
      <c r="P3190" s="3" t="s">
        <v>66</v>
      </c>
      <c r="R3190" s="3" t="s">
        <v>67</v>
      </c>
      <c r="S3190" s="4">
        <v>39</v>
      </c>
      <c r="T3190" s="4">
        <v>94</v>
      </c>
      <c r="U3190" s="5" t="s">
        <v>26572</v>
      </c>
      <c r="V3190" s="5" t="s">
        <v>3789</v>
      </c>
      <c r="W3190" s="5" t="s">
        <v>69</v>
      </c>
      <c r="X3190" s="5" t="s">
        <v>69</v>
      </c>
      <c r="Y3190" s="4">
        <v>2050</v>
      </c>
      <c r="Z3190" s="4">
        <v>60</v>
      </c>
      <c r="AA3190" s="4">
        <v>99</v>
      </c>
      <c r="AB3190" s="4">
        <v>3</v>
      </c>
      <c r="AC3190" s="4">
        <v>11</v>
      </c>
      <c r="AD3190" s="4">
        <v>139</v>
      </c>
      <c r="AE3190" s="4">
        <v>160</v>
      </c>
      <c r="AF3190" s="4">
        <v>1</v>
      </c>
      <c r="AG3190" s="4">
        <v>6</v>
      </c>
      <c r="AH3190" s="4">
        <v>106</v>
      </c>
      <c r="AI3190" s="4">
        <v>112</v>
      </c>
      <c r="AJ3190" s="4">
        <v>19</v>
      </c>
      <c r="AK3190" s="4">
        <v>28</v>
      </c>
      <c r="AL3190" s="4">
        <v>61</v>
      </c>
      <c r="AM3190" s="4">
        <v>63</v>
      </c>
      <c r="AN3190" s="4">
        <v>0</v>
      </c>
      <c r="AO3190" s="4">
        <v>5</v>
      </c>
      <c r="AP3190" s="4">
        <v>33</v>
      </c>
      <c r="AQ3190" s="4">
        <v>50</v>
      </c>
      <c r="AR3190" s="3" t="s">
        <v>63</v>
      </c>
      <c r="AS3190" s="3" t="s">
        <v>63</v>
      </c>
      <c r="AT3190" s="3" t="s">
        <v>62</v>
      </c>
      <c r="AU3190" s="6" t="str">
        <f>HYPERLINK("http://catalog.hathitrust.org/Record/000672487","HathiTrust Record")</f>
        <v>HathiTrust Record</v>
      </c>
      <c r="AV3190" s="6" t="str">
        <f>HYPERLINK("http://mcgill.on.worldcat.org/oclc/321204","Catalog Record")</f>
        <v>Catalog Record</v>
      </c>
      <c r="AW3190" s="6" t="str">
        <f>HYPERLINK("http://www.worldcat.org/oclc/321204","WorldCat Record")</f>
        <v>WorldCat Record</v>
      </c>
      <c r="AX3190" s="3" t="s">
        <v>26534</v>
      </c>
      <c r="AY3190" s="3" t="s">
        <v>26566</v>
      </c>
      <c r="AZ3190" s="3" t="s">
        <v>26567</v>
      </c>
      <c r="BA3190" s="3" t="s">
        <v>26567</v>
      </c>
      <c r="BB3190" s="3" t="s">
        <v>26573</v>
      </c>
      <c r="BC3190" s="3" t="s">
        <v>82</v>
      </c>
      <c r="BD3190" s="3" t="s">
        <v>70</v>
      </c>
      <c r="BF3190" s="3" t="s">
        <v>26573</v>
      </c>
      <c r="BG3190" s="3" t="s">
        <v>26574</v>
      </c>
    </row>
    <row r="3191" spans="1:59" ht="60" x14ac:dyDescent="0.25">
      <c r="A3191" s="2" t="s">
        <v>59</v>
      </c>
      <c r="B3191" s="2" t="s">
        <v>60</v>
      </c>
      <c r="C3191" s="2" t="s">
        <v>26584</v>
      </c>
      <c r="D3191" s="2" t="s">
        <v>26585</v>
      </c>
      <c r="E3191" s="2" t="s">
        <v>26586</v>
      </c>
      <c r="G3191" s="3" t="s">
        <v>63</v>
      </c>
      <c r="I3191" s="3" t="s">
        <v>63</v>
      </c>
      <c r="J3191" s="3" t="s">
        <v>63</v>
      </c>
      <c r="K3191" s="3" t="s">
        <v>64</v>
      </c>
      <c r="L3191" s="2" t="s">
        <v>17017</v>
      </c>
      <c r="M3191" s="2" t="s">
        <v>26587</v>
      </c>
      <c r="N3191" s="3" t="s">
        <v>480</v>
      </c>
      <c r="P3191" s="3" t="s">
        <v>66</v>
      </c>
      <c r="R3191" s="3" t="s">
        <v>67</v>
      </c>
      <c r="S3191" s="4">
        <v>46</v>
      </c>
      <c r="T3191" s="4">
        <v>46</v>
      </c>
      <c r="U3191" s="5" t="s">
        <v>4791</v>
      </c>
      <c r="V3191" s="5" t="s">
        <v>4791</v>
      </c>
      <c r="W3191" s="5" t="s">
        <v>69</v>
      </c>
      <c r="X3191" s="5" t="s">
        <v>69</v>
      </c>
      <c r="Y3191" s="4">
        <v>505</v>
      </c>
      <c r="Z3191" s="4">
        <v>23</v>
      </c>
      <c r="AA3191" s="4">
        <v>32</v>
      </c>
      <c r="AB3191" s="4">
        <v>1</v>
      </c>
      <c r="AC3191" s="4">
        <v>7</v>
      </c>
      <c r="AD3191" s="4">
        <v>116</v>
      </c>
      <c r="AE3191" s="4">
        <v>121</v>
      </c>
      <c r="AF3191" s="4">
        <v>0</v>
      </c>
      <c r="AG3191" s="4">
        <v>1</v>
      </c>
      <c r="AH3191" s="4">
        <v>102</v>
      </c>
      <c r="AI3191" s="4">
        <v>106</v>
      </c>
      <c r="AJ3191" s="4">
        <v>17</v>
      </c>
      <c r="AK3191" s="4">
        <v>19</v>
      </c>
      <c r="AL3191" s="4">
        <v>57</v>
      </c>
      <c r="AM3191" s="4">
        <v>59</v>
      </c>
      <c r="AN3191" s="4">
        <v>0</v>
      </c>
      <c r="AO3191" s="4">
        <v>0</v>
      </c>
      <c r="AP3191" s="4">
        <v>19</v>
      </c>
      <c r="AQ3191" s="4">
        <v>21</v>
      </c>
      <c r="AR3191" s="3" t="s">
        <v>63</v>
      </c>
      <c r="AS3191" s="3" t="s">
        <v>63</v>
      </c>
      <c r="AT3191" s="3" t="s">
        <v>63</v>
      </c>
      <c r="AV3191" s="6" t="str">
        <f>HYPERLINK("http://mcgill.on.worldcat.org/oclc/21593772","Catalog Record")</f>
        <v>Catalog Record</v>
      </c>
      <c r="AW3191" s="6" t="str">
        <f>HYPERLINK("http://www.worldcat.org/oclc/21593772","WorldCat Record")</f>
        <v>WorldCat Record</v>
      </c>
      <c r="AX3191" s="3" t="s">
        <v>26588</v>
      </c>
      <c r="AY3191" s="3" t="s">
        <v>26589</v>
      </c>
      <c r="AZ3191" s="3" t="s">
        <v>26590</v>
      </c>
      <c r="BA3191" s="3" t="s">
        <v>26590</v>
      </c>
      <c r="BB3191" s="3" t="s">
        <v>26591</v>
      </c>
      <c r="BC3191" s="3" t="s">
        <v>82</v>
      </c>
      <c r="BD3191" s="3" t="s">
        <v>70</v>
      </c>
      <c r="BE3191" s="3" t="s">
        <v>26592</v>
      </c>
      <c r="BF3191" s="3" t="s">
        <v>26591</v>
      </c>
      <c r="BG3191" s="3" t="s">
        <v>26593</v>
      </c>
    </row>
    <row r="3192" spans="1:59" ht="60" x14ac:dyDescent="0.25">
      <c r="A3192" s="2" t="s">
        <v>59</v>
      </c>
      <c r="B3192" s="2" t="s">
        <v>60</v>
      </c>
      <c r="C3192" s="2" t="s">
        <v>26594</v>
      </c>
      <c r="D3192" s="2" t="s">
        <v>26595</v>
      </c>
      <c r="E3192" s="2" t="s">
        <v>26596</v>
      </c>
      <c r="G3192" s="3" t="s">
        <v>63</v>
      </c>
      <c r="I3192" s="3" t="s">
        <v>63</v>
      </c>
      <c r="J3192" s="3" t="s">
        <v>63</v>
      </c>
      <c r="K3192" s="3" t="s">
        <v>64</v>
      </c>
      <c r="L3192" s="2" t="s">
        <v>26597</v>
      </c>
      <c r="M3192" s="2" t="s">
        <v>26598</v>
      </c>
      <c r="N3192" s="3" t="s">
        <v>1023</v>
      </c>
      <c r="P3192" s="3" t="s">
        <v>66</v>
      </c>
      <c r="Q3192" s="2" t="s">
        <v>26599</v>
      </c>
      <c r="R3192" s="3" t="s">
        <v>67</v>
      </c>
      <c r="S3192" s="4">
        <v>11</v>
      </c>
      <c r="T3192" s="4">
        <v>11</v>
      </c>
      <c r="U3192" s="5" t="s">
        <v>24095</v>
      </c>
      <c r="V3192" s="5" t="s">
        <v>24095</v>
      </c>
      <c r="W3192" s="5" t="s">
        <v>69</v>
      </c>
      <c r="X3192" s="5" t="s">
        <v>69</v>
      </c>
      <c r="Y3192" s="4">
        <v>101</v>
      </c>
      <c r="Z3192" s="4">
        <v>9</v>
      </c>
      <c r="AA3192" s="4">
        <v>10</v>
      </c>
      <c r="AB3192" s="4">
        <v>1</v>
      </c>
      <c r="AC3192" s="4">
        <v>2</v>
      </c>
      <c r="AD3192" s="4">
        <v>58</v>
      </c>
      <c r="AE3192" s="4">
        <v>59</v>
      </c>
      <c r="AF3192" s="4">
        <v>0</v>
      </c>
      <c r="AG3192" s="4">
        <v>1</v>
      </c>
      <c r="AH3192" s="4">
        <v>53</v>
      </c>
      <c r="AI3192" s="4">
        <v>53</v>
      </c>
      <c r="AJ3192" s="4">
        <v>7</v>
      </c>
      <c r="AK3192" s="4">
        <v>8</v>
      </c>
      <c r="AL3192" s="4">
        <v>38</v>
      </c>
      <c r="AM3192" s="4">
        <v>38</v>
      </c>
      <c r="AN3192" s="4">
        <v>0</v>
      </c>
      <c r="AO3192" s="4">
        <v>0</v>
      </c>
      <c r="AP3192" s="4">
        <v>7</v>
      </c>
      <c r="AQ3192" s="4">
        <v>8</v>
      </c>
      <c r="AR3192" s="3" t="s">
        <v>63</v>
      </c>
      <c r="AS3192" s="3" t="s">
        <v>63</v>
      </c>
      <c r="AT3192" s="3" t="s">
        <v>62</v>
      </c>
      <c r="AU3192" s="6" t="str">
        <f>HYPERLINK("http://catalog.hathitrust.org/Record/002992771","HathiTrust Record")</f>
        <v>HathiTrust Record</v>
      </c>
      <c r="AV3192" s="6" t="str">
        <f>HYPERLINK("http://mcgill.on.worldcat.org/oclc/32299026","Catalog Record")</f>
        <v>Catalog Record</v>
      </c>
      <c r="AW3192" s="6" t="str">
        <f>HYPERLINK("http://www.worldcat.org/oclc/32299026","WorldCat Record")</f>
        <v>WorldCat Record</v>
      </c>
      <c r="AX3192" s="3" t="s">
        <v>26600</v>
      </c>
      <c r="AY3192" s="3" t="s">
        <v>26601</v>
      </c>
      <c r="AZ3192" s="3" t="s">
        <v>26602</v>
      </c>
      <c r="BA3192" s="3" t="s">
        <v>26602</v>
      </c>
      <c r="BB3192" s="3" t="s">
        <v>26603</v>
      </c>
      <c r="BC3192" s="3" t="s">
        <v>82</v>
      </c>
      <c r="BD3192" s="3" t="s">
        <v>70</v>
      </c>
      <c r="BE3192" s="3" t="s">
        <v>26604</v>
      </c>
      <c r="BF3192" s="3" t="s">
        <v>26603</v>
      </c>
      <c r="BG3192" s="3" t="s">
        <v>26605</v>
      </c>
    </row>
    <row r="3193" spans="1:59" ht="60" x14ac:dyDescent="0.25">
      <c r="A3193" s="2" t="s">
        <v>59</v>
      </c>
      <c r="B3193" s="2" t="s">
        <v>60</v>
      </c>
      <c r="C3193" s="2" t="s">
        <v>26606</v>
      </c>
      <c r="D3193" s="2" t="s">
        <v>26607</v>
      </c>
      <c r="E3193" s="2" t="s">
        <v>26608</v>
      </c>
      <c r="G3193" s="3" t="s">
        <v>63</v>
      </c>
      <c r="I3193" s="3" t="s">
        <v>63</v>
      </c>
      <c r="J3193" s="3" t="s">
        <v>63</v>
      </c>
      <c r="K3193" s="3" t="s">
        <v>64</v>
      </c>
      <c r="L3193" s="2" t="s">
        <v>26609</v>
      </c>
      <c r="M3193" s="2" t="s">
        <v>26610</v>
      </c>
      <c r="N3193" s="3" t="s">
        <v>2393</v>
      </c>
      <c r="P3193" s="3" t="s">
        <v>66</v>
      </c>
      <c r="R3193" s="3" t="s">
        <v>67</v>
      </c>
      <c r="S3193" s="4">
        <v>19</v>
      </c>
      <c r="T3193" s="4">
        <v>19</v>
      </c>
      <c r="U3193" s="5" t="s">
        <v>5722</v>
      </c>
      <c r="V3193" s="5" t="s">
        <v>5722</v>
      </c>
      <c r="W3193" s="5" t="s">
        <v>69</v>
      </c>
      <c r="X3193" s="5" t="s">
        <v>69</v>
      </c>
      <c r="Y3193" s="4">
        <v>559</v>
      </c>
      <c r="Z3193" s="4">
        <v>29</v>
      </c>
      <c r="AA3193" s="4">
        <v>38</v>
      </c>
      <c r="AB3193" s="4">
        <v>3</v>
      </c>
      <c r="AC3193" s="4">
        <v>4</v>
      </c>
      <c r="AD3193" s="4">
        <v>116</v>
      </c>
      <c r="AE3193" s="4">
        <v>126</v>
      </c>
      <c r="AF3193" s="4">
        <v>1</v>
      </c>
      <c r="AG3193" s="4">
        <v>2</v>
      </c>
      <c r="AH3193" s="4">
        <v>99</v>
      </c>
      <c r="AI3193" s="4">
        <v>103</v>
      </c>
      <c r="AJ3193" s="4">
        <v>15</v>
      </c>
      <c r="AK3193" s="4">
        <v>22</v>
      </c>
      <c r="AL3193" s="4">
        <v>58</v>
      </c>
      <c r="AM3193" s="4">
        <v>58</v>
      </c>
      <c r="AN3193" s="4">
        <v>0</v>
      </c>
      <c r="AO3193" s="4">
        <v>0</v>
      </c>
      <c r="AP3193" s="4">
        <v>18</v>
      </c>
      <c r="AQ3193" s="4">
        <v>27</v>
      </c>
      <c r="AR3193" s="3" t="s">
        <v>63</v>
      </c>
      <c r="AS3193" s="3" t="s">
        <v>63</v>
      </c>
      <c r="AT3193" s="3" t="s">
        <v>63</v>
      </c>
      <c r="AV3193" s="6" t="str">
        <f>HYPERLINK("http://mcgill.on.worldcat.org/oclc/1144821","Catalog Record")</f>
        <v>Catalog Record</v>
      </c>
      <c r="AW3193" s="6" t="str">
        <f>HYPERLINK("http://www.worldcat.org/oclc/1144821","WorldCat Record")</f>
        <v>WorldCat Record</v>
      </c>
      <c r="AX3193" s="3" t="s">
        <v>26611</v>
      </c>
      <c r="AY3193" s="3" t="s">
        <v>26612</v>
      </c>
      <c r="AZ3193" s="3" t="s">
        <v>26613</v>
      </c>
      <c r="BA3193" s="3" t="s">
        <v>26613</v>
      </c>
      <c r="BB3193" s="3" t="s">
        <v>26614</v>
      </c>
      <c r="BC3193" s="3" t="s">
        <v>82</v>
      </c>
      <c r="BD3193" s="3" t="s">
        <v>70</v>
      </c>
      <c r="BE3193" s="3" t="s">
        <v>26615</v>
      </c>
      <c r="BF3193" s="3" t="s">
        <v>26614</v>
      </c>
      <c r="BG3193" s="3" t="s">
        <v>26616</v>
      </c>
    </row>
    <row r="3194" spans="1:59" ht="60" x14ac:dyDescent="0.25">
      <c r="A3194" s="2" t="s">
        <v>59</v>
      </c>
      <c r="B3194" s="2" t="s">
        <v>60</v>
      </c>
      <c r="C3194" s="2" t="s">
        <v>26617</v>
      </c>
      <c r="D3194" s="2" t="s">
        <v>26618</v>
      </c>
      <c r="E3194" s="2" t="s">
        <v>26619</v>
      </c>
      <c r="G3194" s="3" t="s">
        <v>63</v>
      </c>
      <c r="I3194" s="3" t="s">
        <v>63</v>
      </c>
      <c r="J3194" s="3" t="s">
        <v>63</v>
      </c>
      <c r="K3194" s="3" t="s">
        <v>64</v>
      </c>
      <c r="L3194" s="2" t="s">
        <v>26620</v>
      </c>
      <c r="M3194" s="2" t="s">
        <v>26621</v>
      </c>
      <c r="N3194" s="3" t="s">
        <v>629</v>
      </c>
      <c r="O3194" s="2" t="s">
        <v>590</v>
      </c>
      <c r="P3194" s="3" t="s">
        <v>66</v>
      </c>
      <c r="R3194" s="3" t="s">
        <v>67</v>
      </c>
      <c r="S3194" s="4">
        <v>4</v>
      </c>
      <c r="T3194" s="4">
        <v>4</v>
      </c>
      <c r="U3194" s="5" t="s">
        <v>17896</v>
      </c>
      <c r="V3194" s="5" t="s">
        <v>17896</v>
      </c>
      <c r="W3194" s="5" t="s">
        <v>69</v>
      </c>
      <c r="X3194" s="5" t="s">
        <v>69</v>
      </c>
      <c r="Y3194" s="4">
        <v>241</v>
      </c>
      <c r="Z3194" s="4">
        <v>14</v>
      </c>
      <c r="AA3194" s="4">
        <v>16</v>
      </c>
      <c r="AB3194" s="4">
        <v>1</v>
      </c>
      <c r="AC3194" s="4">
        <v>2</v>
      </c>
      <c r="AD3194" s="4">
        <v>76</v>
      </c>
      <c r="AE3194" s="4">
        <v>80</v>
      </c>
      <c r="AF3194" s="4">
        <v>0</v>
      </c>
      <c r="AG3194" s="4">
        <v>1</v>
      </c>
      <c r="AH3194" s="4">
        <v>71</v>
      </c>
      <c r="AI3194" s="4">
        <v>74</v>
      </c>
      <c r="AJ3194" s="4">
        <v>8</v>
      </c>
      <c r="AK3194" s="4">
        <v>10</v>
      </c>
      <c r="AL3194" s="4">
        <v>44</v>
      </c>
      <c r="AM3194" s="4">
        <v>44</v>
      </c>
      <c r="AN3194" s="4">
        <v>0</v>
      </c>
      <c r="AO3194" s="4">
        <v>0</v>
      </c>
      <c r="AP3194" s="4">
        <v>8</v>
      </c>
      <c r="AQ3194" s="4">
        <v>10</v>
      </c>
      <c r="AR3194" s="3" t="s">
        <v>63</v>
      </c>
      <c r="AS3194" s="3" t="s">
        <v>63</v>
      </c>
      <c r="AT3194" s="3" t="s">
        <v>63</v>
      </c>
      <c r="AV3194" s="6" t="str">
        <f>HYPERLINK("http://mcgill.on.worldcat.org/oclc/668194786","Catalog Record")</f>
        <v>Catalog Record</v>
      </c>
      <c r="AW3194" s="6" t="str">
        <f>HYPERLINK("http://www.worldcat.org/oclc/668194786","WorldCat Record")</f>
        <v>WorldCat Record</v>
      </c>
      <c r="AX3194" s="3" t="s">
        <v>26622</v>
      </c>
      <c r="AY3194" s="3" t="s">
        <v>26623</v>
      </c>
      <c r="AZ3194" s="3" t="s">
        <v>26624</v>
      </c>
      <c r="BA3194" s="3" t="s">
        <v>26624</v>
      </c>
      <c r="BB3194" s="3" t="s">
        <v>26625</v>
      </c>
      <c r="BC3194" s="3" t="s">
        <v>82</v>
      </c>
      <c r="BD3194" s="3" t="s">
        <v>70</v>
      </c>
      <c r="BE3194" s="3" t="s">
        <v>26626</v>
      </c>
      <c r="BF3194" s="3" t="s">
        <v>26625</v>
      </c>
      <c r="BG3194" s="3" t="s">
        <v>26627</v>
      </c>
    </row>
    <row r="3195" spans="1:59" ht="60" x14ac:dyDescent="0.25">
      <c r="A3195" s="2" t="s">
        <v>59</v>
      </c>
      <c r="B3195" s="2" t="s">
        <v>60</v>
      </c>
      <c r="C3195" s="2" t="s">
        <v>26628</v>
      </c>
      <c r="D3195" s="2" t="s">
        <v>26629</v>
      </c>
      <c r="E3195" s="2" t="s">
        <v>26630</v>
      </c>
      <c r="G3195" s="3" t="s">
        <v>63</v>
      </c>
      <c r="I3195" s="3" t="s">
        <v>63</v>
      </c>
      <c r="J3195" s="3" t="s">
        <v>63</v>
      </c>
      <c r="K3195" s="3" t="s">
        <v>64</v>
      </c>
      <c r="M3195" s="2" t="s">
        <v>26631</v>
      </c>
      <c r="N3195" s="3" t="s">
        <v>220</v>
      </c>
      <c r="P3195" s="3" t="s">
        <v>548</v>
      </c>
      <c r="Q3195" s="2" t="s">
        <v>26632</v>
      </c>
      <c r="R3195" s="3" t="s">
        <v>67</v>
      </c>
      <c r="S3195" s="4">
        <v>9</v>
      </c>
      <c r="T3195" s="4">
        <v>9</v>
      </c>
      <c r="U3195" s="5" t="s">
        <v>4791</v>
      </c>
      <c r="V3195" s="5" t="s">
        <v>4791</v>
      </c>
      <c r="W3195" s="5" t="s">
        <v>69</v>
      </c>
      <c r="X3195" s="5" t="s">
        <v>69</v>
      </c>
      <c r="Y3195" s="4">
        <v>56</v>
      </c>
      <c r="Z3195" s="4">
        <v>5</v>
      </c>
      <c r="AA3195" s="4">
        <v>5</v>
      </c>
      <c r="AB3195" s="4">
        <v>1</v>
      </c>
      <c r="AC3195" s="4">
        <v>1</v>
      </c>
      <c r="AD3195" s="4">
        <v>30</v>
      </c>
      <c r="AE3195" s="4">
        <v>30</v>
      </c>
      <c r="AF3195" s="4">
        <v>0</v>
      </c>
      <c r="AG3195" s="4">
        <v>0</v>
      </c>
      <c r="AH3195" s="4">
        <v>29</v>
      </c>
      <c r="AI3195" s="4">
        <v>29</v>
      </c>
      <c r="AJ3195" s="4">
        <v>3</v>
      </c>
      <c r="AK3195" s="4">
        <v>3</v>
      </c>
      <c r="AL3195" s="4">
        <v>23</v>
      </c>
      <c r="AM3195" s="4">
        <v>23</v>
      </c>
      <c r="AN3195" s="4">
        <v>0</v>
      </c>
      <c r="AO3195" s="4">
        <v>0</v>
      </c>
      <c r="AP3195" s="4">
        <v>3</v>
      </c>
      <c r="AQ3195" s="4">
        <v>3</v>
      </c>
      <c r="AR3195" s="3" t="s">
        <v>63</v>
      </c>
      <c r="AS3195" s="3" t="s">
        <v>63</v>
      </c>
      <c r="AT3195" s="3" t="s">
        <v>62</v>
      </c>
      <c r="AU3195" s="6" t="str">
        <f>HYPERLINK("http://catalog.hathitrust.org/Record/003353835","HathiTrust Record")</f>
        <v>HathiTrust Record</v>
      </c>
      <c r="AV3195" s="6" t="str">
        <f>HYPERLINK("http://mcgill.on.worldcat.org/oclc/30436619","Catalog Record")</f>
        <v>Catalog Record</v>
      </c>
      <c r="AW3195" s="6" t="str">
        <f>HYPERLINK("http://www.worldcat.org/oclc/30436619","WorldCat Record")</f>
        <v>WorldCat Record</v>
      </c>
      <c r="AX3195" s="3" t="s">
        <v>26633</v>
      </c>
      <c r="AY3195" s="3" t="s">
        <v>26634</v>
      </c>
      <c r="AZ3195" s="3" t="s">
        <v>26635</v>
      </c>
      <c r="BA3195" s="3" t="s">
        <v>26635</v>
      </c>
      <c r="BB3195" s="3" t="s">
        <v>26636</v>
      </c>
      <c r="BC3195" s="3" t="s">
        <v>82</v>
      </c>
      <c r="BD3195" s="3" t="s">
        <v>70</v>
      </c>
      <c r="BE3195" s="3" t="s">
        <v>26637</v>
      </c>
      <c r="BF3195" s="3" t="s">
        <v>26636</v>
      </c>
      <c r="BG3195" s="3" t="s">
        <v>26638</v>
      </c>
    </row>
    <row r="3196" spans="1:59" ht="60" x14ac:dyDescent="0.25">
      <c r="A3196" s="2" t="s">
        <v>59</v>
      </c>
      <c r="B3196" s="2" t="s">
        <v>60</v>
      </c>
      <c r="C3196" s="2" t="s">
        <v>26639</v>
      </c>
      <c r="D3196" s="2" t="s">
        <v>26640</v>
      </c>
      <c r="E3196" s="2" t="s">
        <v>26641</v>
      </c>
      <c r="G3196" s="3" t="s">
        <v>63</v>
      </c>
      <c r="I3196" s="3" t="s">
        <v>63</v>
      </c>
      <c r="J3196" s="3" t="s">
        <v>63</v>
      </c>
      <c r="K3196" s="3" t="s">
        <v>64</v>
      </c>
      <c r="L3196" s="2" t="s">
        <v>26309</v>
      </c>
      <c r="M3196" s="2" t="s">
        <v>19963</v>
      </c>
      <c r="N3196" s="3" t="s">
        <v>668</v>
      </c>
      <c r="P3196" s="3" t="s">
        <v>66</v>
      </c>
      <c r="R3196" s="3" t="s">
        <v>67</v>
      </c>
      <c r="S3196" s="4">
        <v>27</v>
      </c>
      <c r="T3196" s="4">
        <v>27</v>
      </c>
      <c r="U3196" s="5" t="s">
        <v>26642</v>
      </c>
      <c r="V3196" s="5" t="s">
        <v>26642</v>
      </c>
      <c r="W3196" s="5" t="s">
        <v>69</v>
      </c>
      <c r="X3196" s="5" t="s">
        <v>69</v>
      </c>
      <c r="Y3196" s="4">
        <v>1383</v>
      </c>
      <c r="Z3196" s="4">
        <v>46</v>
      </c>
      <c r="AA3196" s="4">
        <v>64</v>
      </c>
      <c r="AB3196" s="4">
        <v>5</v>
      </c>
      <c r="AC3196" s="4">
        <v>9</v>
      </c>
      <c r="AD3196" s="4">
        <v>125</v>
      </c>
      <c r="AE3196" s="4">
        <v>138</v>
      </c>
      <c r="AF3196" s="4">
        <v>2</v>
      </c>
      <c r="AG3196" s="4">
        <v>3</v>
      </c>
      <c r="AH3196" s="4">
        <v>103</v>
      </c>
      <c r="AI3196" s="4">
        <v>110</v>
      </c>
      <c r="AJ3196" s="4">
        <v>16</v>
      </c>
      <c r="AK3196" s="4">
        <v>23</v>
      </c>
      <c r="AL3196" s="4">
        <v>56</v>
      </c>
      <c r="AM3196" s="4">
        <v>59</v>
      </c>
      <c r="AN3196" s="4">
        <v>0</v>
      </c>
      <c r="AO3196" s="4">
        <v>0</v>
      </c>
      <c r="AP3196" s="4">
        <v>25</v>
      </c>
      <c r="AQ3196" s="4">
        <v>33</v>
      </c>
      <c r="AR3196" s="3" t="s">
        <v>63</v>
      </c>
      <c r="AS3196" s="3" t="s">
        <v>63</v>
      </c>
      <c r="AT3196" s="3" t="s">
        <v>62</v>
      </c>
      <c r="AU3196" s="6" t="str">
        <f>HYPERLINK("http://catalog.hathitrust.org/Record/002208599","HathiTrust Record")</f>
        <v>HathiTrust Record</v>
      </c>
      <c r="AV3196" s="6" t="str">
        <f>HYPERLINK("http://mcgill.on.worldcat.org/oclc/21037765","Catalog Record")</f>
        <v>Catalog Record</v>
      </c>
      <c r="AW3196" s="6" t="str">
        <f>HYPERLINK("http://www.worldcat.org/oclc/21037765","WorldCat Record")</f>
        <v>WorldCat Record</v>
      </c>
      <c r="AX3196" s="3" t="s">
        <v>26643</v>
      </c>
      <c r="AY3196" s="3" t="s">
        <v>26644</v>
      </c>
      <c r="AZ3196" s="3" t="s">
        <v>26645</v>
      </c>
      <c r="BA3196" s="3" t="s">
        <v>26645</v>
      </c>
      <c r="BB3196" s="3" t="s">
        <v>26646</v>
      </c>
      <c r="BC3196" s="3" t="s">
        <v>82</v>
      </c>
      <c r="BD3196" s="3" t="s">
        <v>70</v>
      </c>
      <c r="BE3196" s="3" t="s">
        <v>26647</v>
      </c>
      <c r="BF3196" s="3" t="s">
        <v>26646</v>
      </c>
      <c r="BG3196" s="3" t="s">
        <v>26648</v>
      </c>
    </row>
    <row r="3197" spans="1:59" ht="60" x14ac:dyDescent="0.25">
      <c r="A3197" s="2" t="s">
        <v>59</v>
      </c>
      <c r="B3197" s="2" t="s">
        <v>60</v>
      </c>
      <c r="C3197" s="2" t="s">
        <v>26649</v>
      </c>
      <c r="D3197" s="2" t="s">
        <v>26650</v>
      </c>
      <c r="E3197" s="2" t="s">
        <v>26651</v>
      </c>
      <c r="G3197" s="3" t="s">
        <v>63</v>
      </c>
      <c r="I3197" s="3" t="s">
        <v>63</v>
      </c>
      <c r="J3197" s="3" t="s">
        <v>63</v>
      </c>
      <c r="K3197" s="3" t="s">
        <v>64</v>
      </c>
      <c r="L3197" s="2" t="s">
        <v>26309</v>
      </c>
      <c r="M3197" s="2" t="s">
        <v>26652</v>
      </c>
      <c r="N3197" s="3" t="s">
        <v>629</v>
      </c>
      <c r="P3197" s="3" t="s">
        <v>66</v>
      </c>
      <c r="R3197" s="3" t="s">
        <v>67</v>
      </c>
      <c r="S3197" s="4">
        <v>10</v>
      </c>
      <c r="T3197" s="4">
        <v>10</v>
      </c>
      <c r="U3197" s="5" t="s">
        <v>5722</v>
      </c>
      <c r="V3197" s="5" t="s">
        <v>5722</v>
      </c>
      <c r="W3197" s="5" t="s">
        <v>69</v>
      </c>
      <c r="X3197" s="5" t="s">
        <v>69</v>
      </c>
      <c r="Y3197" s="4">
        <v>508</v>
      </c>
      <c r="Z3197" s="4">
        <v>28</v>
      </c>
      <c r="AA3197" s="4">
        <v>88</v>
      </c>
      <c r="AB3197" s="4">
        <v>3</v>
      </c>
      <c r="AC3197" s="4">
        <v>16</v>
      </c>
      <c r="AD3197" s="4">
        <v>98</v>
      </c>
      <c r="AE3197" s="4">
        <v>133</v>
      </c>
      <c r="AF3197" s="4">
        <v>1</v>
      </c>
      <c r="AG3197" s="4">
        <v>8</v>
      </c>
      <c r="AH3197" s="4">
        <v>85</v>
      </c>
      <c r="AI3197" s="4">
        <v>97</v>
      </c>
      <c r="AJ3197" s="4">
        <v>15</v>
      </c>
      <c r="AK3197" s="4">
        <v>25</v>
      </c>
      <c r="AL3197" s="4">
        <v>52</v>
      </c>
      <c r="AM3197" s="4">
        <v>55</v>
      </c>
      <c r="AN3197" s="4">
        <v>0</v>
      </c>
      <c r="AO3197" s="4">
        <v>0</v>
      </c>
      <c r="AP3197" s="4">
        <v>18</v>
      </c>
      <c r="AQ3197" s="4">
        <v>44</v>
      </c>
      <c r="AR3197" s="3" t="s">
        <v>63</v>
      </c>
      <c r="AS3197" s="3" t="s">
        <v>63</v>
      </c>
      <c r="AT3197" s="3" t="s">
        <v>63</v>
      </c>
      <c r="AV3197" s="6" t="str">
        <f>HYPERLINK("http://mcgill.on.worldcat.org/oclc/706467117","Catalog Record")</f>
        <v>Catalog Record</v>
      </c>
      <c r="AW3197" s="6" t="str">
        <f>HYPERLINK("http://www.worldcat.org/oclc/706467117","WorldCat Record")</f>
        <v>WorldCat Record</v>
      </c>
      <c r="AX3197" s="3" t="s">
        <v>26653</v>
      </c>
      <c r="AY3197" s="3" t="s">
        <v>26654</v>
      </c>
      <c r="AZ3197" s="3" t="s">
        <v>26655</v>
      </c>
      <c r="BA3197" s="3" t="s">
        <v>26655</v>
      </c>
      <c r="BB3197" s="3" t="s">
        <v>26656</v>
      </c>
      <c r="BC3197" s="3" t="s">
        <v>82</v>
      </c>
      <c r="BD3197" s="3" t="s">
        <v>70</v>
      </c>
      <c r="BE3197" s="3" t="s">
        <v>26657</v>
      </c>
      <c r="BF3197" s="3" t="s">
        <v>26656</v>
      </c>
      <c r="BG3197" s="3" t="s">
        <v>26658</v>
      </c>
    </row>
    <row r="3198" spans="1:59" ht="60" x14ac:dyDescent="0.25">
      <c r="A3198" s="2" t="s">
        <v>59</v>
      </c>
      <c r="B3198" s="2" t="s">
        <v>60</v>
      </c>
      <c r="C3198" s="2" t="s">
        <v>26659</v>
      </c>
      <c r="D3198" s="2" t="s">
        <v>26660</v>
      </c>
      <c r="E3198" s="2" t="s">
        <v>26661</v>
      </c>
      <c r="G3198" s="3" t="s">
        <v>63</v>
      </c>
      <c r="I3198" s="3" t="s">
        <v>63</v>
      </c>
      <c r="J3198" s="3" t="s">
        <v>63</v>
      </c>
      <c r="K3198" s="3" t="s">
        <v>64</v>
      </c>
      <c r="L3198" s="2" t="s">
        <v>26662</v>
      </c>
      <c r="M3198" s="2" t="s">
        <v>26663</v>
      </c>
      <c r="N3198" s="3" t="s">
        <v>849</v>
      </c>
      <c r="P3198" s="3" t="s">
        <v>548</v>
      </c>
      <c r="Q3198" s="2" t="s">
        <v>26664</v>
      </c>
      <c r="R3198" s="3" t="s">
        <v>67</v>
      </c>
      <c r="S3198" s="4">
        <v>9</v>
      </c>
      <c r="T3198" s="4">
        <v>9</v>
      </c>
      <c r="U3198" s="5" t="s">
        <v>4791</v>
      </c>
      <c r="V3198" s="5" t="s">
        <v>4791</v>
      </c>
      <c r="W3198" s="5" t="s">
        <v>69</v>
      </c>
      <c r="X3198" s="5" t="s">
        <v>69</v>
      </c>
      <c r="Y3198" s="4">
        <v>63</v>
      </c>
      <c r="Z3198" s="4">
        <v>13</v>
      </c>
      <c r="AA3198" s="4">
        <v>17</v>
      </c>
      <c r="AB3198" s="4">
        <v>1</v>
      </c>
      <c r="AC3198" s="4">
        <v>5</v>
      </c>
      <c r="AD3198" s="4">
        <v>28</v>
      </c>
      <c r="AE3198" s="4">
        <v>31</v>
      </c>
      <c r="AF3198" s="4">
        <v>0</v>
      </c>
      <c r="AG3198" s="4">
        <v>3</v>
      </c>
      <c r="AH3198" s="4">
        <v>25</v>
      </c>
      <c r="AI3198" s="4">
        <v>26</v>
      </c>
      <c r="AJ3198" s="4">
        <v>9</v>
      </c>
      <c r="AK3198" s="4">
        <v>12</v>
      </c>
      <c r="AL3198" s="4">
        <v>16</v>
      </c>
      <c r="AM3198" s="4">
        <v>16</v>
      </c>
      <c r="AN3198" s="4">
        <v>0</v>
      </c>
      <c r="AO3198" s="4">
        <v>0</v>
      </c>
      <c r="AP3198" s="4">
        <v>9</v>
      </c>
      <c r="AQ3198" s="4">
        <v>11</v>
      </c>
      <c r="AR3198" s="3" t="s">
        <v>63</v>
      </c>
      <c r="AS3198" s="3" t="s">
        <v>63</v>
      </c>
      <c r="AT3198" s="3" t="s">
        <v>62</v>
      </c>
      <c r="AU3198" s="6" t="str">
        <f>HYPERLINK("http://catalog.hathitrust.org/Record/009513383","HathiTrust Record")</f>
        <v>HathiTrust Record</v>
      </c>
      <c r="AV3198" s="6" t="str">
        <f>HYPERLINK("http://mcgill.on.worldcat.org/oclc/8053118","Catalog Record")</f>
        <v>Catalog Record</v>
      </c>
      <c r="AW3198" s="6" t="str">
        <f>HYPERLINK("http://www.worldcat.org/oclc/8053118","WorldCat Record")</f>
        <v>WorldCat Record</v>
      </c>
      <c r="AX3198" s="3" t="s">
        <v>26665</v>
      </c>
      <c r="AY3198" s="3" t="s">
        <v>26666</v>
      </c>
      <c r="AZ3198" s="3" t="s">
        <v>26667</v>
      </c>
      <c r="BA3198" s="3" t="s">
        <v>26667</v>
      </c>
      <c r="BB3198" s="3" t="s">
        <v>26668</v>
      </c>
      <c r="BC3198" s="3" t="s">
        <v>82</v>
      </c>
      <c r="BD3198" s="3" t="s">
        <v>70</v>
      </c>
      <c r="BF3198" s="3" t="s">
        <v>26668</v>
      </c>
      <c r="BG3198" s="3" t="s">
        <v>26669</v>
      </c>
    </row>
    <row r="3199" spans="1:59" ht="60" x14ac:dyDescent="0.25">
      <c r="A3199" s="2" t="s">
        <v>59</v>
      </c>
      <c r="B3199" s="2" t="s">
        <v>60</v>
      </c>
      <c r="C3199" s="2" t="s">
        <v>26670</v>
      </c>
      <c r="D3199" s="2" t="s">
        <v>26671</v>
      </c>
      <c r="E3199" s="2" t="s">
        <v>26672</v>
      </c>
      <c r="G3199" s="3" t="s">
        <v>63</v>
      </c>
      <c r="I3199" s="3" t="s">
        <v>63</v>
      </c>
      <c r="J3199" s="3" t="s">
        <v>63</v>
      </c>
      <c r="K3199" s="3" t="s">
        <v>64</v>
      </c>
      <c r="M3199" s="2" t="s">
        <v>26673</v>
      </c>
      <c r="N3199" s="3" t="s">
        <v>190</v>
      </c>
      <c r="O3199" s="2" t="s">
        <v>590</v>
      </c>
      <c r="P3199" s="3" t="s">
        <v>66</v>
      </c>
      <c r="Q3199" s="2" t="s">
        <v>8323</v>
      </c>
      <c r="R3199" s="3" t="s">
        <v>67</v>
      </c>
      <c r="S3199" s="4">
        <v>25</v>
      </c>
      <c r="T3199" s="4">
        <v>25</v>
      </c>
      <c r="U3199" s="5" t="s">
        <v>8288</v>
      </c>
      <c r="V3199" s="5" t="s">
        <v>8288</v>
      </c>
      <c r="W3199" s="5" t="s">
        <v>69</v>
      </c>
      <c r="X3199" s="5" t="s">
        <v>69</v>
      </c>
      <c r="Y3199" s="4">
        <v>552</v>
      </c>
      <c r="Z3199" s="4">
        <v>26</v>
      </c>
      <c r="AA3199" s="4">
        <v>32</v>
      </c>
      <c r="AB3199" s="4">
        <v>2</v>
      </c>
      <c r="AC3199" s="4">
        <v>7</v>
      </c>
      <c r="AD3199" s="4">
        <v>113</v>
      </c>
      <c r="AE3199" s="4">
        <v>118</v>
      </c>
      <c r="AF3199" s="4">
        <v>0</v>
      </c>
      <c r="AG3199" s="4">
        <v>4</v>
      </c>
      <c r="AH3199" s="4">
        <v>102</v>
      </c>
      <c r="AI3199" s="4">
        <v>103</v>
      </c>
      <c r="AJ3199" s="4">
        <v>18</v>
      </c>
      <c r="AK3199" s="4">
        <v>22</v>
      </c>
      <c r="AL3199" s="4">
        <v>58</v>
      </c>
      <c r="AM3199" s="4">
        <v>58</v>
      </c>
      <c r="AN3199" s="4">
        <v>0</v>
      </c>
      <c r="AO3199" s="4">
        <v>0</v>
      </c>
      <c r="AP3199" s="4">
        <v>19</v>
      </c>
      <c r="AQ3199" s="4">
        <v>23</v>
      </c>
      <c r="AR3199" s="3" t="s">
        <v>63</v>
      </c>
      <c r="AS3199" s="3" t="s">
        <v>63</v>
      </c>
      <c r="AT3199" s="3" t="s">
        <v>63</v>
      </c>
      <c r="AV3199" s="6" t="str">
        <f>HYPERLINK("http://mcgill.on.worldcat.org/oclc/58555979","Catalog Record")</f>
        <v>Catalog Record</v>
      </c>
      <c r="AW3199" s="6" t="str">
        <f>HYPERLINK("http://www.worldcat.org/oclc/58555979","WorldCat Record")</f>
        <v>WorldCat Record</v>
      </c>
      <c r="AX3199" s="3" t="s">
        <v>26674</v>
      </c>
      <c r="AY3199" s="3" t="s">
        <v>26675</v>
      </c>
      <c r="AZ3199" s="3" t="s">
        <v>26676</v>
      </c>
      <c r="BA3199" s="3" t="s">
        <v>26676</v>
      </c>
      <c r="BB3199" s="3" t="s">
        <v>26677</v>
      </c>
      <c r="BC3199" s="3" t="s">
        <v>82</v>
      </c>
      <c r="BD3199" s="3" t="s">
        <v>70</v>
      </c>
      <c r="BE3199" s="3" t="s">
        <v>26678</v>
      </c>
      <c r="BF3199" s="3" t="s">
        <v>26677</v>
      </c>
      <c r="BG3199" s="3" t="s">
        <v>26679</v>
      </c>
    </row>
    <row r="3200" spans="1:59" ht="60" x14ac:dyDescent="0.25">
      <c r="A3200" s="2" t="s">
        <v>59</v>
      </c>
      <c r="B3200" s="2" t="s">
        <v>60</v>
      </c>
      <c r="C3200" s="2" t="s">
        <v>26680</v>
      </c>
      <c r="D3200" s="2" t="s">
        <v>26681</v>
      </c>
      <c r="E3200" s="2" t="s">
        <v>26682</v>
      </c>
      <c r="G3200" s="3" t="s">
        <v>63</v>
      </c>
      <c r="I3200" s="3" t="s">
        <v>63</v>
      </c>
      <c r="J3200" s="3" t="s">
        <v>63</v>
      </c>
      <c r="K3200" s="3" t="s">
        <v>64</v>
      </c>
      <c r="L3200" s="2" t="s">
        <v>26683</v>
      </c>
      <c r="M3200" s="2" t="s">
        <v>26684</v>
      </c>
      <c r="N3200" s="3" t="s">
        <v>455</v>
      </c>
      <c r="P3200" s="3" t="s">
        <v>66</v>
      </c>
      <c r="R3200" s="3" t="s">
        <v>67</v>
      </c>
      <c r="S3200" s="4">
        <v>38</v>
      </c>
      <c r="T3200" s="4">
        <v>38</v>
      </c>
      <c r="U3200" s="5" t="s">
        <v>26685</v>
      </c>
      <c r="V3200" s="5" t="s">
        <v>26685</v>
      </c>
      <c r="W3200" s="5" t="s">
        <v>69</v>
      </c>
      <c r="X3200" s="5" t="s">
        <v>69</v>
      </c>
      <c r="Y3200" s="4">
        <v>328</v>
      </c>
      <c r="Z3200" s="4">
        <v>12</v>
      </c>
      <c r="AA3200" s="4">
        <v>28</v>
      </c>
      <c r="AB3200" s="4">
        <v>1</v>
      </c>
      <c r="AC3200" s="4">
        <v>3</v>
      </c>
      <c r="AD3200" s="4">
        <v>66</v>
      </c>
      <c r="AE3200" s="4">
        <v>114</v>
      </c>
      <c r="AF3200" s="4">
        <v>0</v>
      </c>
      <c r="AG3200" s="4">
        <v>2</v>
      </c>
      <c r="AH3200" s="4">
        <v>58</v>
      </c>
      <c r="AI3200" s="4">
        <v>99</v>
      </c>
      <c r="AJ3200" s="4">
        <v>5</v>
      </c>
      <c r="AK3200" s="4">
        <v>19</v>
      </c>
      <c r="AL3200" s="4">
        <v>33</v>
      </c>
      <c r="AM3200" s="4">
        <v>53</v>
      </c>
      <c r="AN3200" s="4">
        <v>0</v>
      </c>
      <c r="AO3200" s="4">
        <v>0</v>
      </c>
      <c r="AP3200" s="4">
        <v>10</v>
      </c>
      <c r="AQ3200" s="4">
        <v>25</v>
      </c>
      <c r="AR3200" s="3" t="s">
        <v>63</v>
      </c>
      <c r="AS3200" s="3" t="s">
        <v>63</v>
      </c>
      <c r="AT3200" s="3" t="s">
        <v>63</v>
      </c>
      <c r="AV3200" s="6" t="str">
        <f>HYPERLINK("http://mcgill.on.worldcat.org/oclc/9370877","Catalog Record")</f>
        <v>Catalog Record</v>
      </c>
      <c r="AW3200" s="6" t="str">
        <f>HYPERLINK("http://www.worldcat.org/oclc/9370877","WorldCat Record")</f>
        <v>WorldCat Record</v>
      </c>
      <c r="AX3200" s="3" t="s">
        <v>26686</v>
      </c>
      <c r="AY3200" s="3" t="s">
        <v>26687</v>
      </c>
      <c r="AZ3200" s="3" t="s">
        <v>26688</v>
      </c>
      <c r="BA3200" s="3" t="s">
        <v>26688</v>
      </c>
      <c r="BB3200" s="3" t="s">
        <v>26689</v>
      </c>
      <c r="BC3200" s="3" t="s">
        <v>82</v>
      </c>
      <c r="BD3200" s="3" t="s">
        <v>70</v>
      </c>
      <c r="BE3200" s="3" t="s">
        <v>26690</v>
      </c>
      <c r="BF3200" s="3" t="s">
        <v>26689</v>
      </c>
      <c r="BG3200" s="3" t="s">
        <v>26691</v>
      </c>
    </row>
    <row r="3201" spans="1:59" ht="60" x14ac:dyDescent="0.25">
      <c r="A3201" s="2" t="s">
        <v>59</v>
      </c>
      <c r="B3201" s="2" t="s">
        <v>60</v>
      </c>
      <c r="C3201" s="2" t="s">
        <v>26692</v>
      </c>
      <c r="D3201" s="2" t="s">
        <v>26693</v>
      </c>
      <c r="E3201" s="2" t="s">
        <v>26694</v>
      </c>
      <c r="G3201" s="3" t="s">
        <v>63</v>
      </c>
      <c r="I3201" s="3" t="s">
        <v>63</v>
      </c>
      <c r="J3201" s="3" t="s">
        <v>63</v>
      </c>
      <c r="K3201" s="3" t="s">
        <v>64</v>
      </c>
      <c r="L3201" s="2" t="s">
        <v>6043</v>
      </c>
      <c r="M3201" s="2" t="s">
        <v>15608</v>
      </c>
      <c r="N3201" s="3" t="s">
        <v>531</v>
      </c>
      <c r="P3201" s="3" t="s">
        <v>66</v>
      </c>
      <c r="Q3201" s="2" t="s">
        <v>5294</v>
      </c>
      <c r="R3201" s="3" t="s">
        <v>67</v>
      </c>
      <c r="S3201" s="4">
        <v>3</v>
      </c>
      <c r="T3201" s="4">
        <v>3</v>
      </c>
      <c r="U3201" s="5" t="s">
        <v>4314</v>
      </c>
      <c r="V3201" s="5" t="s">
        <v>4314</v>
      </c>
      <c r="W3201" s="5" t="s">
        <v>69</v>
      </c>
      <c r="X3201" s="5" t="s">
        <v>69</v>
      </c>
      <c r="Y3201" s="4">
        <v>409</v>
      </c>
      <c r="Z3201" s="4">
        <v>29</v>
      </c>
      <c r="AA3201" s="4">
        <v>31</v>
      </c>
      <c r="AB3201" s="4">
        <v>1</v>
      </c>
      <c r="AC3201" s="4">
        <v>3</v>
      </c>
      <c r="AD3201" s="4">
        <v>114</v>
      </c>
      <c r="AE3201" s="4">
        <v>116</v>
      </c>
      <c r="AF3201" s="4">
        <v>0</v>
      </c>
      <c r="AG3201" s="4">
        <v>2</v>
      </c>
      <c r="AH3201" s="4">
        <v>99</v>
      </c>
      <c r="AI3201" s="4">
        <v>100</v>
      </c>
      <c r="AJ3201" s="4">
        <v>18</v>
      </c>
      <c r="AK3201" s="4">
        <v>20</v>
      </c>
      <c r="AL3201" s="4">
        <v>57</v>
      </c>
      <c r="AM3201" s="4">
        <v>57</v>
      </c>
      <c r="AN3201" s="4">
        <v>0</v>
      </c>
      <c r="AO3201" s="4">
        <v>0</v>
      </c>
      <c r="AP3201" s="4">
        <v>22</v>
      </c>
      <c r="AQ3201" s="4">
        <v>23</v>
      </c>
      <c r="AR3201" s="3" t="s">
        <v>63</v>
      </c>
      <c r="AS3201" s="3" t="s">
        <v>63</v>
      </c>
      <c r="AT3201" s="3" t="s">
        <v>63</v>
      </c>
      <c r="AV3201" s="6" t="str">
        <f>HYPERLINK("http://mcgill.on.worldcat.org/oclc/24380019","Catalog Record")</f>
        <v>Catalog Record</v>
      </c>
      <c r="AW3201" s="6" t="str">
        <f>HYPERLINK("http://www.worldcat.org/oclc/24380019","WorldCat Record")</f>
        <v>WorldCat Record</v>
      </c>
      <c r="AX3201" s="3" t="s">
        <v>26695</v>
      </c>
      <c r="AY3201" s="3" t="s">
        <v>26696</v>
      </c>
      <c r="AZ3201" s="3" t="s">
        <v>26697</v>
      </c>
      <c r="BA3201" s="3" t="s">
        <v>26697</v>
      </c>
      <c r="BB3201" s="3" t="s">
        <v>26698</v>
      </c>
      <c r="BC3201" s="3" t="s">
        <v>82</v>
      </c>
      <c r="BD3201" s="3" t="s">
        <v>70</v>
      </c>
      <c r="BE3201" s="3" t="s">
        <v>26699</v>
      </c>
      <c r="BF3201" s="3" t="s">
        <v>26698</v>
      </c>
      <c r="BG3201" s="3" t="s">
        <v>26700</v>
      </c>
    </row>
    <row r="3202" spans="1:59" ht="60" x14ac:dyDescent="0.25">
      <c r="A3202" s="2" t="s">
        <v>59</v>
      </c>
      <c r="B3202" s="2" t="s">
        <v>60</v>
      </c>
      <c r="C3202" s="2" t="s">
        <v>26701</v>
      </c>
      <c r="D3202" s="2" t="s">
        <v>26702</v>
      </c>
      <c r="E3202" s="2" t="s">
        <v>26703</v>
      </c>
      <c r="G3202" s="3" t="s">
        <v>63</v>
      </c>
      <c r="I3202" s="3" t="s">
        <v>63</v>
      </c>
      <c r="J3202" s="3" t="s">
        <v>63</v>
      </c>
      <c r="K3202" s="3" t="s">
        <v>64</v>
      </c>
      <c r="L3202" s="2" t="s">
        <v>26704</v>
      </c>
      <c r="M3202" s="2" t="s">
        <v>26705</v>
      </c>
      <c r="N3202" s="3" t="s">
        <v>234</v>
      </c>
      <c r="P3202" s="3" t="s">
        <v>66</v>
      </c>
      <c r="R3202" s="3" t="s">
        <v>67</v>
      </c>
      <c r="S3202" s="4">
        <v>4</v>
      </c>
      <c r="T3202" s="4">
        <v>4</v>
      </c>
      <c r="U3202" s="5" t="s">
        <v>14064</v>
      </c>
      <c r="V3202" s="5" t="s">
        <v>14064</v>
      </c>
      <c r="W3202" s="5" t="s">
        <v>69</v>
      </c>
      <c r="X3202" s="5" t="s">
        <v>69</v>
      </c>
      <c r="Y3202" s="4">
        <v>181</v>
      </c>
      <c r="Z3202" s="4">
        <v>10</v>
      </c>
      <c r="AA3202" s="4">
        <v>101</v>
      </c>
      <c r="AB3202" s="4">
        <v>1</v>
      </c>
      <c r="AC3202" s="4">
        <v>18</v>
      </c>
      <c r="AD3202" s="4">
        <v>78</v>
      </c>
      <c r="AE3202" s="4">
        <v>136</v>
      </c>
      <c r="AF3202" s="4">
        <v>0</v>
      </c>
      <c r="AG3202" s="4">
        <v>8</v>
      </c>
      <c r="AH3202" s="4">
        <v>75</v>
      </c>
      <c r="AI3202" s="4">
        <v>99</v>
      </c>
      <c r="AJ3202" s="4">
        <v>7</v>
      </c>
      <c r="AK3202" s="4">
        <v>22</v>
      </c>
      <c r="AL3202" s="4">
        <v>48</v>
      </c>
      <c r="AM3202" s="4">
        <v>54</v>
      </c>
      <c r="AN3202" s="4">
        <v>0</v>
      </c>
      <c r="AO3202" s="4">
        <v>0</v>
      </c>
      <c r="AP3202" s="4">
        <v>8</v>
      </c>
      <c r="AQ3202" s="4">
        <v>44</v>
      </c>
      <c r="AR3202" s="3" t="s">
        <v>63</v>
      </c>
      <c r="AS3202" s="3" t="s">
        <v>63</v>
      </c>
      <c r="AT3202" s="3" t="s">
        <v>62</v>
      </c>
      <c r="AU3202" s="6" t="str">
        <f>HYPERLINK("http://catalog.hathitrust.org/Record/005222224","HathiTrust Record")</f>
        <v>HathiTrust Record</v>
      </c>
      <c r="AV3202" s="6" t="str">
        <f>HYPERLINK("http://mcgill.on.worldcat.org/oclc/65430798","Catalog Record")</f>
        <v>Catalog Record</v>
      </c>
      <c r="AW3202" s="6" t="str">
        <f>HYPERLINK("http://www.worldcat.org/oclc/65430798","WorldCat Record")</f>
        <v>WorldCat Record</v>
      </c>
      <c r="AX3202" s="3" t="s">
        <v>26706</v>
      </c>
      <c r="AY3202" s="3" t="s">
        <v>26707</v>
      </c>
      <c r="AZ3202" s="3" t="s">
        <v>26708</v>
      </c>
      <c r="BA3202" s="3" t="s">
        <v>26708</v>
      </c>
      <c r="BB3202" s="3" t="s">
        <v>26709</v>
      </c>
      <c r="BC3202" s="3" t="s">
        <v>82</v>
      </c>
      <c r="BD3202" s="3" t="s">
        <v>70</v>
      </c>
      <c r="BE3202" s="3" t="s">
        <v>26710</v>
      </c>
      <c r="BF3202" s="3" t="s">
        <v>26709</v>
      </c>
      <c r="BG3202" s="3" t="s">
        <v>26711</v>
      </c>
    </row>
    <row r="3203" spans="1:59" ht="60" x14ac:dyDescent="0.25">
      <c r="A3203" s="2" t="s">
        <v>59</v>
      </c>
      <c r="B3203" s="2" t="s">
        <v>60</v>
      </c>
      <c r="C3203" s="2" t="s">
        <v>26712</v>
      </c>
      <c r="D3203" s="2" t="s">
        <v>26713</v>
      </c>
      <c r="E3203" s="2" t="s">
        <v>26714</v>
      </c>
      <c r="G3203" s="3" t="s">
        <v>63</v>
      </c>
      <c r="I3203" s="3" t="s">
        <v>63</v>
      </c>
      <c r="J3203" s="3" t="s">
        <v>63</v>
      </c>
      <c r="K3203" s="3" t="s">
        <v>64</v>
      </c>
      <c r="L3203" s="2" t="s">
        <v>26715</v>
      </c>
      <c r="M3203" s="2" t="s">
        <v>26716</v>
      </c>
      <c r="N3203" s="3" t="s">
        <v>629</v>
      </c>
      <c r="P3203" s="3" t="s">
        <v>66</v>
      </c>
      <c r="Q3203" s="2" t="s">
        <v>3902</v>
      </c>
      <c r="R3203" s="3" t="s">
        <v>67</v>
      </c>
      <c r="S3203" s="4">
        <v>1</v>
      </c>
      <c r="T3203" s="4">
        <v>1</v>
      </c>
      <c r="U3203" s="5" t="s">
        <v>10660</v>
      </c>
      <c r="V3203" s="5" t="s">
        <v>10660</v>
      </c>
      <c r="W3203" s="5" t="s">
        <v>69</v>
      </c>
      <c r="X3203" s="5" t="s">
        <v>69</v>
      </c>
      <c r="Y3203" s="4">
        <v>175</v>
      </c>
      <c r="Z3203" s="4">
        <v>14</v>
      </c>
      <c r="AA3203" s="4">
        <v>20</v>
      </c>
      <c r="AB3203" s="4">
        <v>1</v>
      </c>
      <c r="AC3203" s="4">
        <v>5</v>
      </c>
      <c r="AD3203" s="4">
        <v>84</v>
      </c>
      <c r="AE3203" s="4">
        <v>91</v>
      </c>
      <c r="AF3203" s="4">
        <v>0</v>
      </c>
      <c r="AG3203" s="4">
        <v>1</v>
      </c>
      <c r="AH3203" s="4">
        <v>77</v>
      </c>
      <c r="AI3203" s="4">
        <v>81</v>
      </c>
      <c r="AJ3203" s="4">
        <v>12</v>
      </c>
      <c r="AK3203" s="4">
        <v>13</v>
      </c>
      <c r="AL3203" s="4">
        <v>49</v>
      </c>
      <c r="AM3203" s="4">
        <v>51</v>
      </c>
      <c r="AN3203" s="4">
        <v>0</v>
      </c>
      <c r="AO3203" s="4">
        <v>0</v>
      </c>
      <c r="AP3203" s="4">
        <v>12</v>
      </c>
      <c r="AQ3203" s="4">
        <v>15</v>
      </c>
      <c r="AR3203" s="3" t="s">
        <v>63</v>
      </c>
      <c r="AS3203" s="3" t="s">
        <v>63</v>
      </c>
      <c r="AT3203" s="3" t="s">
        <v>63</v>
      </c>
      <c r="AV3203" s="6" t="str">
        <f>HYPERLINK("http://mcgill.on.worldcat.org/oclc/695860327","Catalog Record")</f>
        <v>Catalog Record</v>
      </c>
      <c r="AW3203" s="6" t="str">
        <f>HYPERLINK("http://www.worldcat.org/oclc/695860327","WorldCat Record")</f>
        <v>WorldCat Record</v>
      </c>
      <c r="AX3203" s="3" t="s">
        <v>26717</v>
      </c>
      <c r="AY3203" s="3" t="s">
        <v>26718</v>
      </c>
      <c r="AZ3203" s="3" t="s">
        <v>26719</v>
      </c>
      <c r="BA3203" s="3" t="s">
        <v>26719</v>
      </c>
      <c r="BB3203" s="3" t="s">
        <v>26720</v>
      </c>
      <c r="BC3203" s="3" t="s">
        <v>82</v>
      </c>
      <c r="BD3203" s="3" t="s">
        <v>70</v>
      </c>
      <c r="BE3203" s="3" t="s">
        <v>26721</v>
      </c>
      <c r="BF3203" s="3" t="s">
        <v>26720</v>
      </c>
      <c r="BG3203" s="3" t="s">
        <v>26722</v>
      </c>
    </row>
    <row r="3204" spans="1:59" ht="60" x14ac:dyDescent="0.25">
      <c r="A3204" s="2" t="s">
        <v>59</v>
      </c>
      <c r="B3204" s="2" t="s">
        <v>60</v>
      </c>
      <c r="C3204" s="2" t="s">
        <v>26723</v>
      </c>
      <c r="D3204" s="2" t="s">
        <v>26724</v>
      </c>
      <c r="E3204" s="2" t="s">
        <v>26725</v>
      </c>
      <c r="G3204" s="3" t="s">
        <v>63</v>
      </c>
      <c r="I3204" s="3" t="s">
        <v>63</v>
      </c>
      <c r="J3204" s="3" t="s">
        <v>63</v>
      </c>
      <c r="K3204" s="3" t="s">
        <v>64</v>
      </c>
      <c r="L3204" s="2" t="s">
        <v>26309</v>
      </c>
      <c r="M3204" s="2" t="s">
        <v>26587</v>
      </c>
      <c r="N3204" s="3" t="s">
        <v>480</v>
      </c>
      <c r="P3204" s="3" t="s">
        <v>66</v>
      </c>
      <c r="R3204" s="3" t="s">
        <v>67</v>
      </c>
      <c r="S3204" s="4">
        <v>33</v>
      </c>
      <c r="T3204" s="4">
        <v>33</v>
      </c>
      <c r="U3204" s="5" t="s">
        <v>5835</v>
      </c>
      <c r="V3204" s="5" t="s">
        <v>5835</v>
      </c>
      <c r="W3204" s="5" t="s">
        <v>69</v>
      </c>
      <c r="X3204" s="5" t="s">
        <v>69</v>
      </c>
      <c r="Y3204" s="4">
        <v>1320</v>
      </c>
      <c r="Z3204" s="4">
        <v>44</v>
      </c>
      <c r="AA3204" s="4">
        <v>61</v>
      </c>
      <c r="AB3204" s="4">
        <v>3</v>
      </c>
      <c r="AC3204" s="4">
        <v>8</v>
      </c>
      <c r="AD3204" s="4">
        <v>127</v>
      </c>
      <c r="AE3204" s="4">
        <v>140</v>
      </c>
      <c r="AF3204" s="4">
        <v>1</v>
      </c>
      <c r="AG3204" s="4">
        <v>3</v>
      </c>
      <c r="AH3204" s="4">
        <v>107</v>
      </c>
      <c r="AI3204" s="4">
        <v>112</v>
      </c>
      <c r="AJ3204" s="4">
        <v>14</v>
      </c>
      <c r="AK3204" s="4">
        <v>22</v>
      </c>
      <c r="AL3204" s="4">
        <v>59</v>
      </c>
      <c r="AM3204" s="4">
        <v>60</v>
      </c>
      <c r="AN3204" s="4">
        <v>0</v>
      </c>
      <c r="AO3204" s="4">
        <v>2</v>
      </c>
      <c r="AP3204" s="4">
        <v>23</v>
      </c>
      <c r="AQ3204" s="4">
        <v>33</v>
      </c>
      <c r="AR3204" s="3" t="s">
        <v>63</v>
      </c>
      <c r="AS3204" s="3" t="s">
        <v>63</v>
      </c>
      <c r="AT3204" s="3" t="s">
        <v>63</v>
      </c>
      <c r="AV3204" s="6" t="str">
        <f>HYPERLINK("http://mcgill.on.worldcat.org/oclc/22906836","Catalog Record")</f>
        <v>Catalog Record</v>
      </c>
      <c r="AW3204" s="6" t="str">
        <f>HYPERLINK("http://www.worldcat.org/oclc/22906836","WorldCat Record")</f>
        <v>WorldCat Record</v>
      </c>
      <c r="AX3204" s="3" t="s">
        <v>26726</v>
      </c>
      <c r="AY3204" s="3" t="s">
        <v>26727</v>
      </c>
      <c r="AZ3204" s="3" t="s">
        <v>26728</v>
      </c>
      <c r="BA3204" s="3" t="s">
        <v>26728</v>
      </c>
      <c r="BB3204" s="3" t="s">
        <v>26729</v>
      </c>
      <c r="BC3204" s="3" t="s">
        <v>82</v>
      </c>
      <c r="BD3204" s="3" t="s">
        <v>538</v>
      </c>
      <c r="BE3204" s="3" t="s">
        <v>26730</v>
      </c>
      <c r="BF3204" s="3" t="s">
        <v>26729</v>
      </c>
      <c r="BG3204" s="3" t="s">
        <v>26731</v>
      </c>
    </row>
    <row r="3205" spans="1:59" ht="60" x14ac:dyDescent="0.25">
      <c r="A3205" s="2" t="s">
        <v>59</v>
      </c>
      <c r="B3205" s="2" t="s">
        <v>60</v>
      </c>
      <c r="C3205" s="2" t="s">
        <v>26732</v>
      </c>
      <c r="D3205" s="2" t="s">
        <v>26733</v>
      </c>
      <c r="E3205" s="2" t="s">
        <v>26734</v>
      </c>
      <c r="G3205" s="3" t="s">
        <v>63</v>
      </c>
      <c r="I3205" s="3" t="s">
        <v>62</v>
      </c>
      <c r="J3205" s="3" t="s">
        <v>63</v>
      </c>
      <c r="K3205" s="3" t="s">
        <v>64</v>
      </c>
      <c r="L3205" s="2" t="s">
        <v>26735</v>
      </c>
      <c r="M3205" s="2" t="s">
        <v>26736</v>
      </c>
      <c r="N3205" s="3" t="s">
        <v>918</v>
      </c>
      <c r="O3205" s="2" t="s">
        <v>976</v>
      </c>
      <c r="P3205" s="3" t="s">
        <v>66</v>
      </c>
      <c r="R3205" s="3" t="s">
        <v>67</v>
      </c>
      <c r="S3205" s="4">
        <v>0</v>
      </c>
      <c r="T3205" s="4">
        <v>14</v>
      </c>
      <c r="V3205" s="5" t="s">
        <v>26642</v>
      </c>
      <c r="W3205" s="5" t="s">
        <v>69</v>
      </c>
      <c r="X3205" s="5" t="s">
        <v>69</v>
      </c>
      <c r="Y3205" s="4">
        <v>1320</v>
      </c>
      <c r="Z3205" s="4">
        <v>49</v>
      </c>
      <c r="AA3205" s="4">
        <v>51</v>
      </c>
      <c r="AB3205" s="4">
        <v>3</v>
      </c>
      <c r="AC3205" s="4">
        <v>3</v>
      </c>
      <c r="AD3205" s="4">
        <v>131</v>
      </c>
      <c r="AE3205" s="4">
        <v>133</v>
      </c>
      <c r="AF3205" s="4">
        <v>1</v>
      </c>
      <c r="AG3205" s="4">
        <v>1</v>
      </c>
      <c r="AH3205" s="4">
        <v>103</v>
      </c>
      <c r="AI3205" s="4">
        <v>105</v>
      </c>
      <c r="AJ3205" s="4">
        <v>21</v>
      </c>
      <c r="AK3205" s="4">
        <v>23</v>
      </c>
      <c r="AL3205" s="4">
        <v>58</v>
      </c>
      <c r="AM3205" s="4">
        <v>58</v>
      </c>
      <c r="AN3205" s="4">
        <v>0</v>
      </c>
      <c r="AO3205" s="4">
        <v>0</v>
      </c>
      <c r="AP3205" s="4">
        <v>33</v>
      </c>
      <c r="AQ3205" s="4">
        <v>35</v>
      </c>
      <c r="AR3205" s="3" t="s">
        <v>63</v>
      </c>
      <c r="AS3205" s="3" t="s">
        <v>63</v>
      </c>
      <c r="AT3205" s="3" t="s">
        <v>63</v>
      </c>
      <c r="AV3205" s="6" t="str">
        <f>HYPERLINK("http://mcgill.on.worldcat.org/oclc/1175654","Catalog Record")</f>
        <v>Catalog Record</v>
      </c>
      <c r="AW3205" s="6" t="str">
        <f>HYPERLINK("http://www.worldcat.org/oclc/1175654","WorldCat Record")</f>
        <v>WorldCat Record</v>
      </c>
      <c r="AX3205" s="3" t="s">
        <v>26737</v>
      </c>
      <c r="AY3205" s="3" t="s">
        <v>26738</v>
      </c>
      <c r="AZ3205" s="3" t="s">
        <v>26739</v>
      </c>
      <c r="BA3205" s="3" t="s">
        <v>26739</v>
      </c>
      <c r="BB3205" s="3" t="s">
        <v>26740</v>
      </c>
      <c r="BC3205" s="3" t="s">
        <v>82</v>
      </c>
      <c r="BD3205" s="3" t="s">
        <v>70</v>
      </c>
      <c r="BF3205" s="3" t="s">
        <v>26740</v>
      </c>
      <c r="BG3205" s="3" t="s">
        <v>26741</v>
      </c>
    </row>
    <row r="3206" spans="1:59" ht="60" x14ac:dyDescent="0.25">
      <c r="A3206" s="2" t="s">
        <v>59</v>
      </c>
      <c r="B3206" s="2" t="s">
        <v>60</v>
      </c>
      <c r="C3206" s="2" t="s">
        <v>26732</v>
      </c>
      <c r="D3206" s="2" t="s">
        <v>26733</v>
      </c>
      <c r="E3206" s="2" t="s">
        <v>26734</v>
      </c>
      <c r="G3206" s="3" t="s">
        <v>63</v>
      </c>
      <c r="I3206" s="3" t="s">
        <v>62</v>
      </c>
      <c r="J3206" s="3" t="s">
        <v>63</v>
      </c>
      <c r="K3206" s="3" t="s">
        <v>64</v>
      </c>
      <c r="L3206" s="2" t="s">
        <v>26735</v>
      </c>
      <c r="M3206" s="2" t="s">
        <v>26736</v>
      </c>
      <c r="N3206" s="3" t="s">
        <v>918</v>
      </c>
      <c r="O3206" s="2" t="s">
        <v>976</v>
      </c>
      <c r="P3206" s="3" t="s">
        <v>66</v>
      </c>
      <c r="R3206" s="3" t="s">
        <v>67</v>
      </c>
      <c r="S3206" s="4">
        <v>5</v>
      </c>
      <c r="T3206" s="4">
        <v>14</v>
      </c>
      <c r="U3206" s="5" t="s">
        <v>26742</v>
      </c>
      <c r="V3206" s="5" t="s">
        <v>26642</v>
      </c>
      <c r="W3206" s="5" t="s">
        <v>69</v>
      </c>
      <c r="X3206" s="5" t="s">
        <v>69</v>
      </c>
      <c r="Y3206" s="4">
        <v>1320</v>
      </c>
      <c r="Z3206" s="4">
        <v>49</v>
      </c>
      <c r="AA3206" s="4">
        <v>51</v>
      </c>
      <c r="AB3206" s="4">
        <v>3</v>
      </c>
      <c r="AC3206" s="4">
        <v>3</v>
      </c>
      <c r="AD3206" s="4">
        <v>131</v>
      </c>
      <c r="AE3206" s="4">
        <v>133</v>
      </c>
      <c r="AF3206" s="4">
        <v>1</v>
      </c>
      <c r="AG3206" s="4">
        <v>1</v>
      </c>
      <c r="AH3206" s="4">
        <v>103</v>
      </c>
      <c r="AI3206" s="4">
        <v>105</v>
      </c>
      <c r="AJ3206" s="4">
        <v>21</v>
      </c>
      <c r="AK3206" s="4">
        <v>23</v>
      </c>
      <c r="AL3206" s="4">
        <v>58</v>
      </c>
      <c r="AM3206" s="4">
        <v>58</v>
      </c>
      <c r="AN3206" s="4">
        <v>0</v>
      </c>
      <c r="AO3206" s="4">
        <v>0</v>
      </c>
      <c r="AP3206" s="4">
        <v>33</v>
      </c>
      <c r="AQ3206" s="4">
        <v>35</v>
      </c>
      <c r="AR3206" s="3" t="s">
        <v>63</v>
      </c>
      <c r="AS3206" s="3" t="s">
        <v>63</v>
      </c>
      <c r="AT3206" s="3" t="s">
        <v>63</v>
      </c>
      <c r="AV3206" s="6" t="str">
        <f>HYPERLINK("http://mcgill.on.worldcat.org/oclc/1175654","Catalog Record")</f>
        <v>Catalog Record</v>
      </c>
      <c r="AW3206" s="6" t="str">
        <f>HYPERLINK("http://www.worldcat.org/oclc/1175654","WorldCat Record")</f>
        <v>WorldCat Record</v>
      </c>
      <c r="AX3206" s="3" t="s">
        <v>26737</v>
      </c>
      <c r="AY3206" s="3" t="s">
        <v>26738</v>
      </c>
      <c r="AZ3206" s="3" t="s">
        <v>26739</v>
      </c>
      <c r="BA3206" s="3" t="s">
        <v>26739</v>
      </c>
      <c r="BB3206" s="3" t="s">
        <v>26743</v>
      </c>
      <c r="BC3206" s="3" t="s">
        <v>82</v>
      </c>
      <c r="BD3206" s="3" t="s">
        <v>70</v>
      </c>
      <c r="BF3206" s="3" t="s">
        <v>26743</v>
      </c>
      <c r="BG3206" s="3" t="s">
        <v>26744</v>
      </c>
    </row>
    <row r="3207" spans="1:59" ht="60" x14ac:dyDescent="0.25">
      <c r="A3207" s="2" t="s">
        <v>59</v>
      </c>
      <c r="B3207" s="2" t="s">
        <v>60</v>
      </c>
      <c r="C3207" s="2" t="s">
        <v>26732</v>
      </c>
      <c r="D3207" s="2" t="s">
        <v>26733</v>
      </c>
      <c r="E3207" s="2" t="s">
        <v>26734</v>
      </c>
      <c r="G3207" s="3" t="s">
        <v>63</v>
      </c>
      <c r="I3207" s="3" t="s">
        <v>62</v>
      </c>
      <c r="J3207" s="3" t="s">
        <v>63</v>
      </c>
      <c r="K3207" s="3" t="s">
        <v>64</v>
      </c>
      <c r="L3207" s="2" t="s">
        <v>26735</v>
      </c>
      <c r="M3207" s="2" t="s">
        <v>26736</v>
      </c>
      <c r="N3207" s="3" t="s">
        <v>918</v>
      </c>
      <c r="O3207" s="2" t="s">
        <v>976</v>
      </c>
      <c r="P3207" s="3" t="s">
        <v>66</v>
      </c>
      <c r="R3207" s="3" t="s">
        <v>67</v>
      </c>
      <c r="S3207" s="4">
        <v>9</v>
      </c>
      <c r="T3207" s="4">
        <v>14</v>
      </c>
      <c r="U3207" s="5" t="s">
        <v>26642</v>
      </c>
      <c r="V3207" s="5" t="s">
        <v>26642</v>
      </c>
      <c r="W3207" s="5" t="s">
        <v>69</v>
      </c>
      <c r="X3207" s="5" t="s">
        <v>69</v>
      </c>
      <c r="Y3207" s="4">
        <v>1320</v>
      </c>
      <c r="Z3207" s="4">
        <v>49</v>
      </c>
      <c r="AA3207" s="4">
        <v>51</v>
      </c>
      <c r="AB3207" s="4">
        <v>3</v>
      </c>
      <c r="AC3207" s="4">
        <v>3</v>
      </c>
      <c r="AD3207" s="4">
        <v>131</v>
      </c>
      <c r="AE3207" s="4">
        <v>133</v>
      </c>
      <c r="AF3207" s="4">
        <v>1</v>
      </c>
      <c r="AG3207" s="4">
        <v>1</v>
      </c>
      <c r="AH3207" s="4">
        <v>103</v>
      </c>
      <c r="AI3207" s="4">
        <v>105</v>
      </c>
      <c r="AJ3207" s="4">
        <v>21</v>
      </c>
      <c r="AK3207" s="4">
        <v>23</v>
      </c>
      <c r="AL3207" s="4">
        <v>58</v>
      </c>
      <c r="AM3207" s="4">
        <v>58</v>
      </c>
      <c r="AN3207" s="4">
        <v>0</v>
      </c>
      <c r="AO3207" s="4">
        <v>0</v>
      </c>
      <c r="AP3207" s="4">
        <v>33</v>
      </c>
      <c r="AQ3207" s="4">
        <v>35</v>
      </c>
      <c r="AR3207" s="3" t="s">
        <v>63</v>
      </c>
      <c r="AS3207" s="3" t="s">
        <v>63</v>
      </c>
      <c r="AT3207" s="3" t="s">
        <v>63</v>
      </c>
      <c r="AV3207" s="6" t="str">
        <f>HYPERLINK("http://mcgill.on.worldcat.org/oclc/1175654","Catalog Record")</f>
        <v>Catalog Record</v>
      </c>
      <c r="AW3207" s="6" t="str">
        <f>HYPERLINK("http://www.worldcat.org/oclc/1175654","WorldCat Record")</f>
        <v>WorldCat Record</v>
      </c>
      <c r="AX3207" s="3" t="s">
        <v>26737</v>
      </c>
      <c r="AY3207" s="3" t="s">
        <v>26738</v>
      </c>
      <c r="AZ3207" s="3" t="s">
        <v>26739</v>
      </c>
      <c r="BA3207" s="3" t="s">
        <v>26739</v>
      </c>
      <c r="BB3207" s="3" t="s">
        <v>26745</v>
      </c>
      <c r="BC3207" s="3" t="s">
        <v>82</v>
      </c>
      <c r="BD3207" s="3" t="s">
        <v>70</v>
      </c>
      <c r="BF3207" s="3" t="s">
        <v>26745</v>
      </c>
      <c r="BG3207" s="3" t="s">
        <v>26746</v>
      </c>
    </row>
    <row r="3208" spans="1:59" ht="60" x14ac:dyDescent="0.25">
      <c r="A3208" s="2" t="s">
        <v>59</v>
      </c>
      <c r="B3208" s="2" t="s">
        <v>60</v>
      </c>
      <c r="C3208" s="2" t="s">
        <v>26747</v>
      </c>
      <c r="D3208" s="2" t="s">
        <v>26748</v>
      </c>
      <c r="E3208" s="2" t="s">
        <v>26749</v>
      </c>
      <c r="G3208" s="3" t="s">
        <v>63</v>
      </c>
      <c r="I3208" s="3" t="s">
        <v>63</v>
      </c>
      <c r="J3208" s="3" t="s">
        <v>63</v>
      </c>
      <c r="K3208" s="3" t="s">
        <v>64</v>
      </c>
      <c r="L3208" s="2" t="s">
        <v>26750</v>
      </c>
      <c r="M3208" s="2" t="s">
        <v>26751</v>
      </c>
      <c r="N3208" s="3" t="s">
        <v>65</v>
      </c>
      <c r="P3208" s="3" t="s">
        <v>66</v>
      </c>
      <c r="Q3208" s="2" t="s">
        <v>26752</v>
      </c>
      <c r="R3208" s="3" t="s">
        <v>67</v>
      </c>
      <c r="S3208" s="4">
        <v>24</v>
      </c>
      <c r="T3208" s="4">
        <v>24</v>
      </c>
      <c r="U3208" s="5" t="s">
        <v>4791</v>
      </c>
      <c r="V3208" s="5" t="s">
        <v>4791</v>
      </c>
      <c r="W3208" s="5" t="s">
        <v>69</v>
      </c>
      <c r="X3208" s="5" t="s">
        <v>69</v>
      </c>
      <c r="Y3208" s="4">
        <v>365</v>
      </c>
      <c r="Z3208" s="4">
        <v>28</v>
      </c>
      <c r="AA3208" s="4">
        <v>31</v>
      </c>
      <c r="AB3208" s="4">
        <v>2</v>
      </c>
      <c r="AC3208" s="4">
        <v>4</v>
      </c>
      <c r="AD3208" s="4">
        <v>111</v>
      </c>
      <c r="AE3208" s="4">
        <v>114</v>
      </c>
      <c r="AF3208" s="4">
        <v>1</v>
      </c>
      <c r="AG3208" s="4">
        <v>3</v>
      </c>
      <c r="AH3208" s="4">
        <v>97</v>
      </c>
      <c r="AI3208" s="4">
        <v>98</v>
      </c>
      <c r="AJ3208" s="4">
        <v>19</v>
      </c>
      <c r="AK3208" s="4">
        <v>22</v>
      </c>
      <c r="AL3208" s="4">
        <v>52</v>
      </c>
      <c r="AM3208" s="4">
        <v>52</v>
      </c>
      <c r="AN3208" s="4">
        <v>0</v>
      </c>
      <c r="AO3208" s="4">
        <v>0</v>
      </c>
      <c r="AP3208" s="4">
        <v>23</v>
      </c>
      <c r="AQ3208" s="4">
        <v>25</v>
      </c>
      <c r="AR3208" s="3" t="s">
        <v>63</v>
      </c>
      <c r="AS3208" s="3" t="s">
        <v>63</v>
      </c>
      <c r="AT3208" s="3" t="s">
        <v>62</v>
      </c>
      <c r="AU3208" s="6" t="str">
        <f>HYPERLINK("http://catalog.hathitrust.org/Record/000211077","HathiTrust Record")</f>
        <v>HathiTrust Record</v>
      </c>
      <c r="AV3208" s="6" t="str">
        <f>HYPERLINK("http://mcgill.on.worldcat.org/oclc/2831276","Catalog Record")</f>
        <v>Catalog Record</v>
      </c>
      <c r="AW3208" s="6" t="str">
        <f>HYPERLINK("http://www.worldcat.org/oclc/2831276","WorldCat Record")</f>
        <v>WorldCat Record</v>
      </c>
      <c r="AX3208" s="3" t="s">
        <v>26753</v>
      </c>
      <c r="AY3208" s="3" t="s">
        <v>26754</v>
      </c>
      <c r="AZ3208" s="3" t="s">
        <v>26755</v>
      </c>
      <c r="BA3208" s="3" t="s">
        <v>26755</v>
      </c>
      <c r="BB3208" s="3" t="s">
        <v>26756</v>
      </c>
      <c r="BC3208" s="3" t="s">
        <v>82</v>
      </c>
      <c r="BD3208" s="3" t="s">
        <v>70</v>
      </c>
      <c r="BE3208" s="3" t="s">
        <v>26757</v>
      </c>
      <c r="BF3208" s="3" t="s">
        <v>26756</v>
      </c>
      <c r="BG3208" s="3" t="s">
        <v>26758</v>
      </c>
    </row>
    <row r="3209" spans="1:59" ht="60" x14ac:dyDescent="0.25">
      <c r="A3209" s="2" t="s">
        <v>59</v>
      </c>
      <c r="B3209" s="2" t="s">
        <v>60</v>
      </c>
      <c r="C3209" s="2" t="s">
        <v>26759</v>
      </c>
      <c r="D3209" s="2" t="s">
        <v>26760</v>
      </c>
      <c r="E3209" s="2" t="s">
        <v>26761</v>
      </c>
      <c r="G3209" s="3" t="s">
        <v>63</v>
      </c>
      <c r="I3209" s="3" t="s">
        <v>63</v>
      </c>
      <c r="J3209" s="3" t="s">
        <v>63</v>
      </c>
      <c r="K3209" s="3" t="s">
        <v>64</v>
      </c>
      <c r="M3209" s="2" t="s">
        <v>26762</v>
      </c>
      <c r="N3209" s="3" t="s">
        <v>374</v>
      </c>
      <c r="P3209" s="3" t="s">
        <v>66</v>
      </c>
      <c r="Q3209" s="2" t="s">
        <v>26763</v>
      </c>
      <c r="R3209" s="3" t="s">
        <v>67</v>
      </c>
      <c r="S3209" s="4">
        <v>32</v>
      </c>
      <c r="T3209" s="4">
        <v>32</v>
      </c>
      <c r="U3209" s="5" t="s">
        <v>4791</v>
      </c>
      <c r="V3209" s="5" t="s">
        <v>4791</v>
      </c>
      <c r="W3209" s="5" t="s">
        <v>69</v>
      </c>
      <c r="X3209" s="5" t="s">
        <v>69</v>
      </c>
      <c r="Y3209" s="4">
        <v>408</v>
      </c>
      <c r="Z3209" s="4">
        <v>22</v>
      </c>
      <c r="AA3209" s="4">
        <v>25</v>
      </c>
      <c r="AB3209" s="4">
        <v>1</v>
      </c>
      <c r="AC3209" s="4">
        <v>4</v>
      </c>
      <c r="AD3209" s="4">
        <v>101</v>
      </c>
      <c r="AE3209" s="4">
        <v>102</v>
      </c>
      <c r="AF3209" s="4">
        <v>0</v>
      </c>
      <c r="AG3209" s="4">
        <v>1</v>
      </c>
      <c r="AH3209" s="4">
        <v>91</v>
      </c>
      <c r="AI3209" s="4">
        <v>91</v>
      </c>
      <c r="AJ3209" s="4">
        <v>13</v>
      </c>
      <c r="AK3209" s="4">
        <v>14</v>
      </c>
      <c r="AL3209" s="4">
        <v>50</v>
      </c>
      <c r="AM3209" s="4">
        <v>50</v>
      </c>
      <c r="AN3209" s="4">
        <v>0</v>
      </c>
      <c r="AO3209" s="4">
        <v>0</v>
      </c>
      <c r="AP3209" s="4">
        <v>16</v>
      </c>
      <c r="AQ3209" s="4">
        <v>17</v>
      </c>
      <c r="AR3209" s="3" t="s">
        <v>63</v>
      </c>
      <c r="AS3209" s="3" t="s">
        <v>63</v>
      </c>
      <c r="AT3209" s="3" t="s">
        <v>63</v>
      </c>
      <c r="AV3209" s="6" t="str">
        <f>HYPERLINK("http://mcgill.on.worldcat.org/oclc/31207628","Catalog Record")</f>
        <v>Catalog Record</v>
      </c>
      <c r="AW3209" s="6" t="str">
        <f>HYPERLINK("http://www.worldcat.org/oclc/31207628","WorldCat Record")</f>
        <v>WorldCat Record</v>
      </c>
      <c r="AX3209" s="3" t="s">
        <v>26764</v>
      </c>
      <c r="AY3209" s="3" t="s">
        <v>26765</v>
      </c>
      <c r="AZ3209" s="3" t="s">
        <v>26766</v>
      </c>
      <c r="BA3209" s="3" t="s">
        <v>26766</v>
      </c>
      <c r="BB3209" s="3" t="s">
        <v>26767</v>
      </c>
      <c r="BC3209" s="3" t="s">
        <v>82</v>
      </c>
      <c r="BD3209" s="3" t="s">
        <v>70</v>
      </c>
      <c r="BE3209" s="3" t="s">
        <v>26768</v>
      </c>
      <c r="BF3209" s="3" t="s">
        <v>26767</v>
      </c>
      <c r="BG3209" s="3" t="s">
        <v>26769</v>
      </c>
    </row>
    <row r="3210" spans="1:59" ht="60" x14ac:dyDescent="0.25">
      <c r="A3210" s="2" t="s">
        <v>59</v>
      </c>
      <c r="B3210" s="2" t="s">
        <v>60</v>
      </c>
      <c r="C3210" s="2" t="s">
        <v>26770</v>
      </c>
      <c r="D3210" s="2" t="s">
        <v>26771</v>
      </c>
      <c r="E3210" s="2" t="s">
        <v>26772</v>
      </c>
      <c r="G3210" s="3" t="s">
        <v>63</v>
      </c>
      <c r="I3210" s="3" t="s">
        <v>63</v>
      </c>
      <c r="J3210" s="3" t="s">
        <v>63</v>
      </c>
      <c r="K3210" s="3" t="s">
        <v>64</v>
      </c>
      <c r="L3210" s="2" t="s">
        <v>26773</v>
      </c>
      <c r="M3210" s="2" t="s">
        <v>4080</v>
      </c>
      <c r="N3210" s="3" t="s">
        <v>261</v>
      </c>
      <c r="O3210" s="2" t="s">
        <v>590</v>
      </c>
      <c r="P3210" s="3" t="s">
        <v>66</v>
      </c>
      <c r="R3210" s="3" t="s">
        <v>67</v>
      </c>
      <c r="S3210" s="4">
        <v>6</v>
      </c>
      <c r="T3210" s="4">
        <v>6</v>
      </c>
      <c r="U3210" s="5" t="s">
        <v>26774</v>
      </c>
      <c r="V3210" s="5" t="s">
        <v>26774</v>
      </c>
      <c r="W3210" s="5" t="s">
        <v>69</v>
      </c>
      <c r="X3210" s="5" t="s">
        <v>69</v>
      </c>
      <c r="Y3210" s="4">
        <v>182</v>
      </c>
      <c r="Z3210" s="4">
        <v>14</v>
      </c>
      <c r="AA3210" s="4">
        <v>16</v>
      </c>
      <c r="AB3210" s="4">
        <v>1</v>
      </c>
      <c r="AC3210" s="4">
        <v>3</v>
      </c>
      <c r="AD3210" s="4">
        <v>89</v>
      </c>
      <c r="AE3210" s="4">
        <v>89</v>
      </c>
      <c r="AF3210" s="4">
        <v>0</v>
      </c>
      <c r="AG3210" s="4">
        <v>0</v>
      </c>
      <c r="AH3210" s="4">
        <v>82</v>
      </c>
      <c r="AI3210" s="4">
        <v>82</v>
      </c>
      <c r="AJ3210" s="4">
        <v>11</v>
      </c>
      <c r="AK3210" s="4">
        <v>11</v>
      </c>
      <c r="AL3210" s="4">
        <v>51</v>
      </c>
      <c r="AM3210" s="4">
        <v>51</v>
      </c>
      <c r="AN3210" s="4">
        <v>0</v>
      </c>
      <c r="AO3210" s="4">
        <v>0</v>
      </c>
      <c r="AP3210" s="4">
        <v>11</v>
      </c>
      <c r="AQ3210" s="4">
        <v>11</v>
      </c>
      <c r="AR3210" s="3" t="s">
        <v>63</v>
      </c>
      <c r="AS3210" s="3" t="s">
        <v>63</v>
      </c>
      <c r="AT3210" s="3" t="s">
        <v>63</v>
      </c>
      <c r="AV3210" s="6" t="str">
        <f>HYPERLINK("http://mcgill.on.worldcat.org/oclc/85851515","Catalog Record")</f>
        <v>Catalog Record</v>
      </c>
      <c r="AW3210" s="6" t="str">
        <f>HYPERLINK("http://www.worldcat.org/oclc/85851515","WorldCat Record")</f>
        <v>WorldCat Record</v>
      </c>
      <c r="AX3210" s="3" t="s">
        <v>26775</v>
      </c>
      <c r="AY3210" s="3" t="s">
        <v>26776</v>
      </c>
      <c r="AZ3210" s="3" t="s">
        <v>26777</v>
      </c>
      <c r="BA3210" s="3" t="s">
        <v>26777</v>
      </c>
      <c r="BB3210" s="3" t="s">
        <v>26778</v>
      </c>
      <c r="BC3210" s="3" t="s">
        <v>82</v>
      </c>
      <c r="BD3210" s="3" t="s">
        <v>70</v>
      </c>
      <c r="BE3210" s="3" t="s">
        <v>26779</v>
      </c>
      <c r="BF3210" s="3" t="s">
        <v>26778</v>
      </c>
      <c r="BG3210" s="3" t="s">
        <v>26780</v>
      </c>
    </row>
    <row r="3211" spans="1:59" ht="60" x14ac:dyDescent="0.25">
      <c r="A3211" s="2" t="s">
        <v>59</v>
      </c>
      <c r="B3211" s="2" t="s">
        <v>60</v>
      </c>
      <c r="C3211" s="2" t="s">
        <v>26781</v>
      </c>
      <c r="D3211" s="2" t="s">
        <v>26782</v>
      </c>
      <c r="E3211" s="2" t="s">
        <v>26783</v>
      </c>
      <c r="G3211" s="3" t="s">
        <v>63</v>
      </c>
      <c r="I3211" s="3" t="s">
        <v>63</v>
      </c>
      <c r="J3211" s="3" t="s">
        <v>63</v>
      </c>
      <c r="K3211" s="3" t="s">
        <v>64</v>
      </c>
      <c r="L3211" s="2" t="s">
        <v>26784</v>
      </c>
      <c r="M3211" s="2" t="s">
        <v>26785</v>
      </c>
      <c r="N3211" s="3" t="s">
        <v>234</v>
      </c>
      <c r="P3211" s="3" t="s">
        <v>66</v>
      </c>
      <c r="Q3211" s="2" t="s">
        <v>26786</v>
      </c>
      <c r="R3211" s="3" t="s">
        <v>67</v>
      </c>
      <c r="S3211" s="4">
        <v>11</v>
      </c>
      <c r="T3211" s="4">
        <v>11</v>
      </c>
      <c r="U3211" s="5" t="s">
        <v>26787</v>
      </c>
      <c r="V3211" s="5" t="s">
        <v>26787</v>
      </c>
      <c r="W3211" s="5" t="s">
        <v>69</v>
      </c>
      <c r="X3211" s="5" t="s">
        <v>69</v>
      </c>
      <c r="Y3211" s="4">
        <v>72</v>
      </c>
      <c r="Z3211" s="4">
        <v>6</v>
      </c>
      <c r="AA3211" s="4">
        <v>13</v>
      </c>
      <c r="AB3211" s="4">
        <v>1</v>
      </c>
      <c r="AC3211" s="4">
        <v>3</v>
      </c>
      <c r="AD3211" s="4">
        <v>41</v>
      </c>
      <c r="AE3211" s="4">
        <v>54</v>
      </c>
      <c r="AF3211" s="4">
        <v>0</v>
      </c>
      <c r="AG3211" s="4">
        <v>1</v>
      </c>
      <c r="AH3211" s="4">
        <v>39</v>
      </c>
      <c r="AI3211" s="4">
        <v>47</v>
      </c>
      <c r="AJ3211" s="4">
        <v>4</v>
      </c>
      <c r="AK3211" s="4">
        <v>9</v>
      </c>
      <c r="AL3211" s="4">
        <v>34</v>
      </c>
      <c r="AM3211" s="4">
        <v>38</v>
      </c>
      <c r="AN3211" s="4">
        <v>0</v>
      </c>
      <c r="AO3211" s="4">
        <v>0</v>
      </c>
      <c r="AP3211" s="4">
        <v>4</v>
      </c>
      <c r="AQ3211" s="4">
        <v>10</v>
      </c>
      <c r="AR3211" s="3" t="s">
        <v>63</v>
      </c>
      <c r="AS3211" s="3" t="s">
        <v>63</v>
      </c>
      <c r="AT3211" s="3" t="s">
        <v>63</v>
      </c>
      <c r="AV3211" s="6" t="str">
        <f>HYPERLINK("http://mcgill.on.worldcat.org/oclc/70843370","Catalog Record")</f>
        <v>Catalog Record</v>
      </c>
      <c r="AW3211" s="6" t="str">
        <f>HYPERLINK("http://www.worldcat.org/oclc/70843370","WorldCat Record")</f>
        <v>WorldCat Record</v>
      </c>
      <c r="AX3211" s="3" t="s">
        <v>26788</v>
      </c>
      <c r="AY3211" s="3" t="s">
        <v>26789</v>
      </c>
      <c r="AZ3211" s="3" t="s">
        <v>26790</v>
      </c>
      <c r="BA3211" s="3" t="s">
        <v>26790</v>
      </c>
      <c r="BB3211" s="3" t="s">
        <v>26791</v>
      </c>
      <c r="BC3211" s="3" t="s">
        <v>82</v>
      </c>
      <c r="BD3211" s="3" t="s">
        <v>538</v>
      </c>
      <c r="BE3211" s="3" t="s">
        <v>26792</v>
      </c>
      <c r="BF3211" s="3" t="s">
        <v>26791</v>
      </c>
      <c r="BG3211" s="3" t="s">
        <v>26793</v>
      </c>
    </row>
    <row r="3212" spans="1:59" ht="60" x14ac:dyDescent="0.25">
      <c r="A3212" s="2" t="s">
        <v>59</v>
      </c>
      <c r="B3212" s="2" t="s">
        <v>60</v>
      </c>
      <c r="C3212" s="2" t="s">
        <v>26794</v>
      </c>
      <c r="D3212" s="2" t="s">
        <v>26795</v>
      </c>
      <c r="E3212" s="2" t="s">
        <v>26796</v>
      </c>
      <c r="G3212" s="3" t="s">
        <v>63</v>
      </c>
      <c r="I3212" s="3" t="s">
        <v>63</v>
      </c>
      <c r="J3212" s="3" t="s">
        <v>63</v>
      </c>
      <c r="K3212" s="3" t="s">
        <v>64</v>
      </c>
      <c r="L3212" s="2" t="s">
        <v>26797</v>
      </c>
      <c r="M3212" s="2" t="s">
        <v>26798</v>
      </c>
      <c r="N3212" s="3" t="s">
        <v>261</v>
      </c>
      <c r="P3212" s="3" t="s">
        <v>548</v>
      </c>
      <c r="R3212" s="3" t="s">
        <v>67</v>
      </c>
      <c r="S3212" s="4">
        <v>4</v>
      </c>
      <c r="T3212" s="4">
        <v>4</v>
      </c>
      <c r="U3212" s="5" t="s">
        <v>4791</v>
      </c>
      <c r="V3212" s="5" t="s">
        <v>4791</v>
      </c>
      <c r="W3212" s="5" t="s">
        <v>69</v>
      </c>
      <c r="X3212" s="5" t="s">
        <v>69</v>
      </c>
      <c r="Y3212" s="4">
        <v>22</v>
      </c>
      <c r="Z3212" s="4">
        <v>3</v>
      </c>
      <c r="AA3212" s="4">
        <v>6</v>
      </c>
      <c r="AB3212" s="4">
        <v>1</v>
      </c>
      <c r="AC3212" s="4">
        <v>3</v>
      </c>
      <c r="AD3212" s="4">
        <v>13</v>
      </c>
      <c r="AE3212" s="4">
        <v>16</v>
      </c>
      <c r="AF3212" s="4">
        <v>0</v>
      </c>
      <c r="AG3212" s="4">
        <v>2</v>
      </c>
      <c r="AH3212" s="4">
        <v>13</v>
      </c>
      <c r="AI3212" s="4">
        <v>15</v>
      </c>
      <c r="AJ3212" s="4">
        <v>1</v>
      </c>
      <c r="AK3212" s="4">
        <v>4</v>
      </c>
      <c r="AL3212" s="4">
        <v>10</v>
      </c>
      <c r="AM3212" s="4">
        <v>10</v>
      </c>
      <c r="AN3212" s="4">
        <v>0</v>
      </c>
      <c r="AO3212" s="4">
        <v>0</v>
      </c>
      <c r="AP3212" s="4">
        <v>1</v>
      </c>
      <c r="AQ3212" s="4">
        <v>3</v>
      </c>
      <c r="AR3212" s="3" t="s">
        <v>63</v>
      </c>
      <c r="AS3212" s="3" t="s">
        <v>63</v>
      </c>
      <c r="AT3212" s="3" t="s">
        <v>63</v>
      </c>
      <c r="AV3212" s="6" t="str">
        <f>HYPERLINK("http://mcgill.on.worldcat.org/oclc/209327476","Catalog Record")</f>
        <v>Catalog Record</v>
      </c>
      <c r="AW3212" s="6" t="str">
        <f>HYPERLINK("http://www.worldcat.org/oclc/209327476","WorldCat Record")</f>
        <v>WorldCat Record</v>
      </c>
      <c r="AX3212" s="3" t="s">
        <v>26799</v>
      </c>
      <c r="AY3212" s="3" t="s">
        <v>26800</v>
      </c>
      <c r="AZ3212" s="3" t="s">
        <v>26801</v>
      </c>
      <c r="BA3212" s="3" t="s">
        <v>26801</v>
      </c>
      <c r="BB3212" s="3" t="s">
        <v>26802</v>
      </c>
      <c r="BC3212" s="3" t="s">
        <v>82</v>
      </c>
      <c r="BD3212" s="3" t="s">
        <v>70</v>
      </c>
      <c r="BE3212" s="3" t="s">
        <v>26803</v>
      </c>
      <c r="BF3212" s="3" t="s">
        <v>26802</v>
      </c>
      <c r="BG3212" s="3" t="s">
        <v>26804</v>
      </c>
    </row>
    <row r="3213" spans="1:59" ht="60" x14ac:dyDescent="0.25">
      <c r="A3213" s="2" t="s">
        <v>59</v>
      </c>
      <c r="B3213" s="2" t="s">
        <v>60</v>
      </c>
      <c r="C3213" s="2" t="s">
        <v>26805</v>
      </c>
      <c r="D3213" s="2" t="s">
        <v>26806</v>
      </c>
      <c r="E3213" s="2" t="s">
        <v>26807</v>
      </c>
      <c r="G3213" s="3" t="s">
        <v>63</v>
      </c>
      <c r="I3213" s="3" t="s">
        <v>63</v>
      </c>
      <c r="J3213" s="3" t="s">
        <v>63</v>
      </c>
      <c r="K3213" s="3" t="s">
        <v>64</v>
      </c>
      <c r="L3213" s="2" t="s">
        <v>26808</v>
      </c>
      <c r="M3213" s="2" t="s">
        <v>26809</v>
      </c>
      <c r="N3213" s="3" t="s">
        <v>1916</v>
      </c>
      <c r="P3213" s="3" t="s">
        <v>66</v>
      </c>
      <c r="R3213" s="3" t="s">
        <v>67</v>
      </c>
      <c r="S3213" s="4">
        <v>19</v>
      </c>
      <c r="T3213" s="4">
        <v>19</v>
      </c>
      <c r="U3213" s="5" t="s">
        <v>10793</v>
      </c>
      <c r="V3213" s="5" t="s">
        <v>10793</v>
      </c>
      <c r="W3213" s="5" t="s">
        <v>69</v>
      </c>
      <c r="X3213" s="5" t="s">
        <v>69</v>
      </c>
      <c r="Y3213" s="4">
        <v>506</v>
      </c>
      <c r="Z3213" s="4">
        <v>31</v>
      </c>
      <c r="AA3213" s="4">
        <v>31</v>
      </c>
      <c r="AB3213" s="4">
        <v>1</v>
      </c>
      <c r="AC3213" s="4">
        <v>1</v>
      </c>
      <c r="AD3213" s="4">
        <v>120</v>
      </c>
      <c r="AE3213" s="4">
        <v>120</v>
      </c>
      <c r="AF3213" s="4">
        <v>0</v>
      </c>
      <c r="AG3213" s="4">
        <v>0</v>
      </c>
      <c r="AH3213" s="4">
        <v>106</v>
      </c>
      <c r="AI3213" s="4">
        <v>106</v>
      </c>
      <c r="AJ3213" s="4">
        <v>19</v>
      </c>
      <c r="AK3213" s="4">
        <v>19</v>
      </c>
      <c r="AL3213" s="4">
        <v>57</v>
      </c>
      <c r="AM3213" s="4">
        <v>57</v>
      </c>
      <c r="AN3213" s="4">
        <v>0</v>
      </c>
      <c r="AO3213" s="4">
        <v>0</v>
      </c>
      <c r="AP3213" s="4">
        <v>22</v>
      </c>
      <c r="AQ3213" s="4">
        <v>22</v>
      </c>
      <c r="AR3213" s="3" t="s">
        <v>63</v>
      </c>
      <c r="AS3213" s="3" t="s">
        <v>63</v>
      </c>
      <c r="AT3213" s="3" t="s">
        <v>62</v>
      </c>
      <c r="AU3213" s="6" t="str">
        <f>HYPERLINK("http://catalog.hathitrust.org/Record/000417796","HathiTrust Record")</f>
        <v>HathiTrust Record</v>
      </c>
      <c r="AV3213" s="6" t="str">
        <f>HYPERLINK("http://mcgill.on.worldcat.org/oclc/11549579","Catalog Record")</f>
        <v>Catalog Record</v>
      </c>
      <c r="AW3213" s="6" t="str">
        <f>HYPERLINK("http://www.worldcat.org/oclc/11549579","WorldCat Record")</f>
        <v>WorldCat Record</v>
      </c>
      <c r="AX3213" s="3" t="s">
        <v>26810</v>
      </c>
      <c r="AY3213" s="3" t="s">
        <v>26811</v>
      </c>
      <c r="AZ3213" s="3" t="s">
        <v>26812</v>
      </c>
      <c r="BA3213" s="3" t="s">
        <v>26812</v>
      </c>
      <c r="BB3213" s="3" t="s">
        <v>26813</v>
      </c>
      <c r="BC3213" s="3" t="s">
        <v>82</v>
      </c>
      <c r="BD3213" s="3" t="s">
        <v>70</v>
      </c>
      <c r="BE3213" s="3" t="s">
        <v>26814</v>
      </c>
      <c r="BF3213" s="3" t="s">
        <v>26813</v>
      </c>
      <c r="BG3213" s="3" t="s">
        <v>26815</v>
      </c>
    </row>
    <row r="3214" spans="1:59" ht="60" x14ac:dyDescent="0.25">
      <c r="A3214" s="2" t="s">
        <v>59</v>
      </c>
      <c r="B3214" s="2" t="s">
        <v>60</v>
      </c>
      <c r="C3214" s="2" t="s">
        <v>26816</v>
      </c>
      <c r="D3214" s="2" t="s">
        <v>26817</v>
      </c>
      <c r="E3214" s="2" t="s">
        <v>26818</v>
      </c>
      <c r="G3214" s="3" t="s">
        <v>63</v>
      </c>
      <c r="I3214" s="3" t="s">
        <v>63</v>
      </c>
      <c r="J3214" s="3" t="s">
        <v>63</v>
      </c>
      <c r="K3214" s="3" t="s">
        <v>64</v>
      </c>
      <c r="L3214" s="2" t="s">
        <v>26819</v>
      </c>
      <c r="M3214" s="2" t="s">
        <v>13291</v>
      </c>
      <c r="N3214" s="3" t="s">
        <v>261</v>
      </c>
      <c r="P3214" s="3" t="s">
        <v>66</v>
      </c>
      <c r="R3214" s="3" t="s">
        <v>67</v>
      </c>
      <c r="S3214" s="4">
        <v>2</v>
      </c>
      <c r="T3214" s="4">
        <v>2</v>
      </c>
      <c r="U3214" s="5" t="s">
        <v>26820</v>
      </c>
      <c r="V3214" s="5" t="s">
        <v>26820</v>
      </c>
      <c r="W3214" s="5" t="s">
        <v>69</v>
      </c>
      <c r="X3214" s="5" t="s">
        <v>69</v>
      </c>
      <c r="Y3214" s="4">
        <v>376</v>
      </c>
      <c r="Z3214" s="4">
        <v>26</v>
      </c>
      <c r="AA3214" s="4">
        <v>110</v>
      </c>
      <c r="AB3214" s="4">
        <v>2</v>
      </c>
      <c r="AC3214" s="4">
        <v>18</v>
      </c>
      <c r="AD3214" s="4">
        <v>104</v>
      </c>
      <c r="AE3214" s="4">
        <v>146</v>
      </c>
      <c r="AF3214" s="4">
        <v>0</v>
      </c>
      <c r="AG3214" s="4">
        <v>8</v>
      </c>
      <c r="AH3214" s="4">
        <v>95</v>
      </c>
      <c r="AI3214" s="4">
        <v>107</v>
      </c>
      <c r="AJ3214" s="4">
        <v>14</v>
      </c>
      <c r="AK3214" s="4">
        <v>26</v>
      </c>
      <c r="AL3214" s="4">
        <v>52</v>
      </c>
      <c r="AM3214" s="4">
        <v>56</v>
      </c>
      <c r="AN3214" s="4">
        <v>0</v>
      </c>
      <c r="AO3214" s="4">
        <v>0</v>
      </c>
      <c r="AP3214" s="4">
        <v>15</v>
      </c>
      <c r="AQ3214" s="4">
        <v>48</v>
      </c>
      <c r="AR3214" s="3" t="s">
        <v>63</v>
      </c>
      <c r="AS3214" s="3" t="s">
        <v>63</v>
      </c>
      <c r="AT3214" s="3" t="s">
        <v>63</v>
      </c>
      <c r="AV3214" s="6" t="str">
        <f>HYPERLINK("http://mcgill.on.worldcat.org/oclc/154677809","Catalog Record")</f>
        <v>Catalog Record</v>
      </c>
      <c r="AW3214" s="6" t="str">
        <f>HYPERLINK("http://www.worldcat.org/oclc/154677809","WorldCat Record")</f>
        <v>WorldCat Record</v>
      </c>
      <c r="AX3214" s="3" t="s">
        <v>26821</v>
      </c>
      <c r="AY3214" s="3" t="s">
        <v>26822</v>
      </c>
      <c r="AZ3214" s="3" t="s">
        <v>26823</v>
      </c>
      <c r="BA3214" s="3" t="s">
        <v>26823</v>
      </c>
      <c r="BB3214" s="3" t="s">
        <v>26824</v>
      </c>
      <c r="BC3214" s="3" t="s">
        <v>82</v>
      </c>
      <c r="BD3214" s="3" t="s">
        <v>70</v>
      </c>
      <c r="BE3214" s="3" t="s">
        <v>26825</v>
      </c>
      <c r="BF3214" s="3" t="s">
        <v>26824</v>
      </c>
      <c r="BG3214" s="3" t="s">
        <v>26826</v>
      </c>
    </row>
    <row r="3215" spans="1:59" ht="60" x14ac:dyDescent="0.25">
      <c r="A3215" s="2" t="s">
        <v>59</v>
      </c>
      <c r="B3215" s="2" t="s">
        <v>60</v>
      </c>
      <c r="C3215" s="2" t="s">
        <v>26827</v>
      </c>
      <c r="D3215" s="2" t="s">
        <v>26828</v>
      </c>
      <c r="E3215" s="2" t="s">
        <v>26829</v>
      </c>
      <c r="G3215" s="3" t="s">
        <v>63</v>
      </c>
      <c r="I3215" s="3" t="s">
        <v>63</v>
      </c>
      <c r="J3215" s="3" t="s">
        <v>63</v>
      </c>
      <c r="K3215" s="3" t="s">
        <v>64</v>
      </c>
      <c r="M3215" s="2" t="s">
        <v>4133</v>
      </c>
      <c r="N3215" s="3" t="s">
        <v>2103</v>
      </c>
      <c r="P3215" s="3" t="s">
        <v>66</v>
      </c>
      <c r="Q3215" s="2" t="s">
        <v>26830</v>
      </c>
      <c r="R3215" s="3" t="s">
        <v>67</v>
      </c>
      <c r="S3215" s="4">
        <v>19</v>
      </c>
      <c r="T3215" s="4">
        <v>19</v>
      </c>
      <c r="U3215" s="5" t="s">
        <v>10793</v>
      </c>
      <c r="V3215" s="5" t="s">
        <v>10793</v>
      </c>
      <c r="W3215" s="5" t="s">
        <v>69</v>
      </c>
      <c r="X3215" s="5" t="s">
        <v>69</v>
      </c>
      <c r="Y3215" s="4">
        <v>198</v>
      </c>
      <c r="Z3215" s="4">
        <v>9</v>
      </c>
      <c r="AA3215" s="4">
        <v>95</v>
      </c>
      <c r="AB3215" s="4">
        <v>1</v>
      </c>
      <c r="AC3215" s="4">
        <v>18</v>
      </c>
      <c r="AD3215" s="4">
        <v>85</v>
      </c>
      <c r="AE3215" s="4">
        <v>146</v>
      </c>
      <c r="AF3215" s="4">
        <v>0</v>
      </c>
      <c r="AG3215" s="4">
        <v>8</v>
      </c>
      <c r="AH3215" s="4">
        <v>79</v>
      </c>
      <c r="AI3215" s="4">
        <v>99</v>
      </c>
      <c r="AJ3215" s="4">
        <v>7</v>
      </c>
      <c r="AK3215" s="4">
        <v>25</v>
      </c>
      <c r="AL3215" s="4">
        <v>48</v>
      </c>
      <c r="AM3215" s="4">
        <v>53</v>
      </c>
      <c r="AN3215" s="4">
        <v>0</v>
      </c>
      <c r="AO3215" s="4">
        <v>0</v>
      </c>
      <c r="AP3215" s="4">
        <v>7</v>
      </c>
      <c r="AQ3215" s="4">
        <v>53</v>
      </c>
      <c r="AR3215" s="3" t="s">
        <v>63</v>
      </c>
      <c r="AS3215" s="3" t="s">
        <v>63</v>
      </c>
      <c r="AT3215" s="3" t="s">
        <v>62</v>
      </c>
      <c r="AU3215" s="6" t="str">
        <f>HYPERLINK("http://catalog.hathitrust.org/Record/004281000","HathiTrust Record")</f>
        <v>HathiTrust Record</v>
      </c>
      <c r="AV3215" s="6" t="str">
        <f>HYPERLINK("http://mcgill.on.worldcat.org/oclc/49681436","Catalog Record")</f>
        <v>Catalog Record</v>
      </c>
      <c r="AW3215" s="6" t="str">
        <f>HYPERLINK("http://www.worldcat.org/oclc/49681436","WorldCat Record")</f>
        <v>WorldCat Record</v>
      </c>
      <c r="AX3215" s="3" t="s">
        <v>26831</v>
      </c>
      <c r="AY3215" s="3" t="s">
        <v>26832</v>
      </c>
      <c r="AZ3215" s="3" t="s">
        <v>26833</v>
      </c>
      <c r="BA3215" s="3" t="s">
        <v>26833</v>
      </c>
      <c r="BB3215" s="3" t="s">
        <v>26834</v>
      </c>
      <c r="BC3215" s="3" t="s">
        <v>82</v>
      </c>
      <c r="BD3215" s="3" t="s">
        <v>70</v>
      </c>
      <c r="BE3215" s="3" t="s">
        <v>26835</v>
      </c>
      <c r="BF3215" s="3" t="s">
        <v>26834</v>
      </c>
      <c r="BG3215" s="3" t="s">
        <v>26836</v>
      </c>
    </row>
    <row r="3216" spans="1:59" ht="60" x14ac:dyDescent="0.25">
      <c r="A3216" s="2" t="s">
        <v>59</v>
      </c>
      <c r="B3216" s="2" t="s">
        <v>60</v>
      </c>
      <c r="C3216" s="2" t="s">
        <v>26837</v>
      </c>
      <c r="D3216" s="2" t="s">
        <v>26838</v>
      </c>
      <c r="E3216" s="2" t="s">
        <v>26839</v>
      </c>
      <c r="G3216" s="3" t="s">
        <v>63</v>
      </c>
      <c r="I3216" s="3" t="s">
        <v>63</v>
      </c>
      <c r="J3216" s="3" t="s">
        <v>63</v>
      </c>
      <c r="K3216" s="3" t="s">
        <v>64</v>
      </c>
      <c r="L3216" s="2" t="s">
        <v>26840</v>
      </c>
      <c r="M3216" s="2" t="s">
        <v>26841</v>
      </c>
      <c r="N3216" s="3" t="s">
        <v>2393</v>
      </c>
      <c r="P3216" s="3" t="s">
        <v>66</v>
      </c>
      <c r="R3216" s="3" t="s">
        <v>67</v>
      </c>
      <c r="S3216" s="4">
        <v>27</v>
      </c>
      <c r="T3216" s="4">
        <v>27</v>
      </c>
      <c r="U3216" s="5" t="s">
        <v>13356</v>
      </c>
      <c r="V3216" s="5" t="s">
        <v>13356</v>
      </c>
      <c r="W3216" s="5" t="s">
        <v>69</v>
      </c>
      <c r="X3216" s="5" t="s">
        <v>69</v>
      </c>
      <c r="Y3216" s="4">
        <v>911</v>
      </c>
      <c r="Z3216" s="4">
        <v>33</v>
      </c>
      <c r="AA3216" s="4">
        <v>46</v>
      </c>
      <c r="AB3216" s="4">
        <v>2</v>
      </c>
      <c r="AC3216" s="4">
        <v>6</v>
      </c>
      <c r="AD3216" s="4">
        <v>108</v>
      </c>
      <c r="AE3216" s="4">
        <v>127</v>
      </c>
      <c r="AF3216" s="4">
        <v>0</v>
      </c>
      <c r="AG3216" s="4">
        <v>4</v>
      </c>
      <c r="AH3216" s="4">
        <v>93</v>
      </c>
      <c r="AI3216" s="4">
        <v>101</v>
      </c>
      <c r="AJ3216" s="4">
        <v>12</v>
      </c>
      <c r="AK3216" s="4">
        <v>21</v>
      </c>
      <c r="AL3216" s="4">
        <v>53</v>
      </c>
      <c r="AM3216" s="4">
        <v>55</v>
      </c>
      <c r="AN3216" s="4">
        <v>0</v>
      </c>
      <c r="AO3216" s="4">
        <v>0</v>
      </c>
      <c r="AP3216" s="4">
        <v>19</v>
      </c>
      <c r="AQ3216" s="4">
        <v>31</v>
      </c>
      <c r="AR3216" s="3" t="s">
        <v>63</v>
      </c>
      <c r="AS3216" s="3" t="s">
        <v>63</v>
      </c>
      <c r="AT3216" s="3" t="s">
        <v>62</v>
      </c>
      <c r="AU3216" s="6" t="str">
        <f>HYPERLINK("http://catalog.hathitrust.org/Record/000032060","HathiTrust Record")</f>
        <v>HathiTrust Record</v>
      </c>
      <c r="AV3216" s="6" t="str">
        <f>HYPERLINK("http://mcgill.on.worldcat.org/oclc/1102867","Catalog Record")</f>
        <v>Catalog Record</v>
      </c>
      <c r="AW3216" s="6" t="str">
        <f>HYPERLINK("http://www.worldcat.org/oclc/1102867","WorldCat Record")</f>
        <v>WorldCat Record</v>
      </c>
      <c r="AX3216" s="3" t="s">
        <v>26842</v>
      </c>
      <c r="AY3216" s="3" t="s">
        <v>26843</v>
      </c>
      <c r="AZ3216" s="3" t="s">
        <v>26844</v>
      </c>
      <c r="BA3216" s="3" t="s">
        <v>26844</v>
      </c>
      <c r="BB3216" s="3" t="s">
        <v>26845</v>
      </c>
      <c r="BC3216" s="3" t="s">
        <v>82</v>
      </c>
      <c r="BD3216" s="3" t="s">
        <v>70</v>
      </c>
      <c r="BE3216" s="3" t="s">
        <v>26846</v>
      </c>
      <c r="BF3216" s="3" t="s">
        <v>26845</v>
      </c>
      <c r="BG3216" s="3" t="s">
        <v>26847</v>
      </c>
    </row>
    <row r="3217" spans="1:59" ht="60" x14ac:dyDescent="0.25">
      <c r="A3217" s="2" t="s">
        <v>59</v>
      </c>
      <c r="B3217" s="2" t="s">
        <v>60</v>
      </c>
      <c r="C3217" s="2" t="s">
        <v>26837</v>
      </c>
      <c r="D3217" s="2" t="s">
        <v>26838</v>
      </c>
      <c r="E3217" s="2" t="s">
        <v>26848</v>
      </c>
      <c r="G3217" s="3" t="s">
        <v>63</v>
      </c>
      <c r="I3217" s="3" t="s">
        <v>62</v>
      </c>
      <c r="J3217" s="3" t="s">
        <v>63</v>
      </c>
      <c r="K3217" s="3" t="s">
        <v>64</v>
      </c>
      <c r="L3217" s="2" t="s">
        <v>26849</v>
      </c>
      <c r="M3217" s="2" t="s">
        <v>26850</v>
      </c>
      <c r="N3217" s="3" t="s">
        <v>468</v>
      </c>
      <c r="P3217" s="3" t="s">
        <v>66</v>
      </c>
      <c r="Q3217" s="2" t="s">
        <v>26851</v>
      </c>
      <c r="R3217" s="3" t="s">
        <v>67</v>
      </c>
      <c r="S3217" s="4">
        <v>11</v>
      </c>
      <c r="T3217" s="4">
        <v>23</v>
      </c>
      <c r="U3217" s="5" t="s">
        <v>13982</v>
      </c>
      <c r="V3217" s="5" t="s">
        <v>13982</v>
      </c>
      <c r="W3217" s="5" t="s">
        <v>69</v>
      </c>
      <c r="X3217" s="5" t="s">
        <v>69</v>
      </c>
      <c r="Y3217" s="4">
        <v>1185</v>
      </c>
      <c r="Z3217" s="4">
        <v>49</v>
      </c>
      <c r="AA3217" s="4">
        <v>57</v>
      </c>
      <c r="AB3217" s="4">
        <v>3</v>
      </c>
      <c r="AC3217" s="4">
        <v>7</v>
      </c>
      <c r="AD3217" s="4">
        <v>134</v>
      </c>
      <c r="AE3217" s="4">
        <v>140</v>
      </c>
      <c r="AF3217" s="4">
        <v>2</v>
      </c>
      <c r="AG3217" s="4">
        <v>4</v>
      </c>
      <c r="AH3217" s="4">
        <v>109</v>
      </c>
      <c r="AI3217" s="4">
        <v>111</v>
      </c>
      <c r="AJ3217" s="4">
        <v>19</v>
      </c>
      <c r="AK3217" s="4">
        <v>23</v>
      </c>
      <c r="AL3217" s="4">
        <v>61</v>
      </c>
      <c r="AM3217" s="4">
        <v>61</v>
      </c>
      <c r="AN3217" s="4">
        <v>0</v>
      </c>
      <c r="AO3217" s="4">
        <v>0</v>
      </c>
      <c r="AP3217" s="4">
        <v>30</v>
      </c>
      <c r="AQ3217" s="4">
        <v>35</v>
      </c>
      <c r="AR3217" s="3" t="s">
        <v>63</v>
      </c>
      <c r="AS3217" s="3" t="s">
        <v>63</v>
      </c>
      <c r="AT3217" s="3" t="s">
        <v>62</v>
      </c>
      <c r="AU3217" s="6" t="str">
        <f>HYPERLINK("http://catalog.hathitrust.org/Record/002991917","HathiTrust Record")</f>
        <v>HathiTrust Record</v>
      </c>
      <c r="AV3217" s="6" t="str">
        <f>HYPERLINK("http://mcgill.on.worldcat.org/oclc/2005875","Catalog Record")</f>
        <v>Catalog Record</v>
      </c>
      <c r="AW3217" s="6" t="str">
        <f>HYPERLINK("http://www.worldcat.org/oclc/2005875","WorldCat Record")</f>
        <v>WorldCat Record</v>
      </c>
      <c r="AX3217" s="3" t="s">
        <v>26852</v>
      </c>
      <c r="AY3217" s="3" t="s">
        <v>26853</v>
      </c>
      <c r="AZ3217" s="3" t="s">
        <v>26854</v>
      </c>
      <c r="BA3217" s="3" t="s">
        <v>26854</v>
      </c>
      <c r="BB3217" s="3" t="s">
        <v>26855</v>
      </c>
      <c r="BC3217" s="3" t="s">
        <v>82</v>
      </c>
      <c r="BD3217" s="3" t="s">
        <v>70</v>
      </c>
      <c r="BE3217" s="3" t="s">
        <v>26856</v>
      </c>
      <c r="BF3217" s="3" t="s">
        <v>26855</v>
      </c>
      <c r="BG3217" s="3" t="s">
        <v>26857</v>
      </c>
    </row>
    <row r="3218" spans="1:59" ht="60" x14ac:dyDescent="0.25">
      <c r="A3218" s="2" t="s">
        <v>59</v>
      </c>
      <c r="B3218" s="2" t="s">
        <v>60</v>
      </c>
      <c r="C3218" s="2" t="s">
        <v>26837</v>
      </c>
      <c r="D3218" s="2" t="s">
        <v>26838</v>
      </c>
      <c r="E3218" s="2" t="s">
        <v>26848</v>
      </c>
      <c r="G3218" s="3" t="s">
        <v>63</v>
      </c>
      <c r="I3218" s="3" t="s">
        <v>62</v>
      </c>
      <c r="J3218" s="3" t="s">
        <v>63</v>
      </c>
      <c r="K3218" s="3" t="s">
        <v>64</v>
      </c>
      <c r="L3218" s="2" t="s">
        <v>26849</v>
      </c>
      <c r="M3218" s="2" t="s">
        <v>26850</v>
      </c>
      <c r="N3218" s="3" t="s">
        <v>468</v>
      </c>
      <c r="P3218" s="3" t="s">
        <v>66</v>
      </c>
      <c r="Q3218" s="2" t="s">
        <v>26851</v>
      </c>
      <c r="R3218" s="3" t="s">
        <v>67</v>
      </c>
      <c r="S3218" s="4">
        <v>12</v>
      </c>
      <c r="T3218" s="4">
        <v>23</v>
      </c>
      <c r="U3218" s="5" t="s">
        <v>19947</v>
      </c>
      <c r="V3218" s="5" t="s">
        <v>13982</v>
      </c>
      <c r="W3218" s="5" t="s">
        <v>69</v>
      </c>
      <c r="X3218" s="5" t="s">
        <v>69</v>
      </c>
      <c r="Y3218" s="4">
        <v>1185</v>
      </c>
      <c r="Z3218" s="4">
        <v>49</v>
      </c>
      <c r="AA3218" s="4">
        <v>57</v>
      </c>
      <c r="AB3218" s="4">
        <v>3</v>
      </c>
      <c r="AC3218" s="4">
        <v>7</v>
      </c>
      <c r="AD3218" s="4">
        <v>134</v>
      </c>
      <c r="AE3218" s="4">
        <v>140</v>
      </c>
      <c r="AF3218" s="4">
        <v>2</v>
      </c>
      <c r="AG3218" s="4">
        <v>4</v>
      </c>
      <c r="AH3218" s="4">
        <v>109</v>
      </c>
      <c r="AI3218" s="4">
        <v>111</v>
      </c>
      <c r="AJ3218" s="4">
        <v>19</v>
      </c>
      <c r="AK3218" s="4">
        <v>23</v>
      </c>
      <c r="AL3218" s="4">
        <v>61</v>
      </c>
      <c r="AM3218" s="4">
        <v>61</v>
      </c>
      <c r="AN3218" s="4">
        <v>0</v>
      </c>
      <c r="AO3218" s="4">
        <v>0</v>
      </c>
      <c r="AP3218" s="4">
        <v>30</v>
      </c>
      <c r="AQ3218" s="4">
        <v>35</v>
      </c>
      <c r="AR3218" s="3" t="s">
        <v>63</v>
      </c>
      <c r="AS3218" s="3" t="s">
        <v>63</v>
      </c>
      <c r="AT3218" s="3" t="s">
        <v>62</v>
      </c>
      <c r="AU3218" s="6" t="str">
        <f>HYPERLINK("http://catalog.hathitrust.org/Record/002991917","HathiTrust Record")</f>
        <v>HathiTrust Record</v>
      </c>
      <c r="AV3218" s="6" t="str">
        <f>HYPERLINK("http://mcgill.on.worldcat.org/oclc/2005875","Catalog Record")</f>
        <v>Catalog Record</v>
      </c>
      <c r="AW3218" s="6" t="str">
        <f>HYPERLINK("http://www.worldcat.org/oclc/2005875","WorldCat Record")</f>
        <v>WorldCat Record</v>
      </c>
      <c r="AX3218" s="3" t="s">
        <v>26852</v>
      </c>
      <c r="AY3218" s="3" t="s">
        <v>26853</v>
      </c>
      <c r="AZ3218" s="3" t="s">
        <v>26854</v>
      </c>
      <c r="BA3218" s="3" t="s">
        <v>26854</v>
      </c>
      <c r="BB3218" s="3" t="s">
        <v>26858</v>
      </c>
      <c r="BC3218" s="3" t="s">
        <v>82</v>
      </c>
      <c r="BD3218" s="3" t="s">
        <v>70</v>
      </c>
      <c r="BE3218" s="3" t="s">
        <v>26856</v>
      </c>
      <c r="BF3218" s="3" t="s">
        <v>26858</v>
      </c>
      <c r="BG3218" s="3" t="s">
        <v>26859</v>
      </c>
    </row>
    <row r="3219" spans="1:59" ht="60" x14ac:dyDescent="0.25">
      <c r="A3219" s="2" t="s">
        <v>59</v>
      </c>
      <c r="B3219" s="2" t="s">
        <v>60</v>
      </c>
      <c r="C3219" s="2" t="s">
        <v>26860</v>
      </c>
      <c r="D3219" s="2" t="s">
        <v>26861</v>
      </c>
      <c r="E3219" s="2" t="s">
        <v>26862</v>
      </c>
      <c r="G3219" s="3" t="s">
        <v>63</v>
      </c>
      <c r="I3219" s="3" t="s">
        <v>63</v>
      </c>
      <c r="J3219" s="3" t="s">
        <v>63</v>
      </c>
      <c r="K3219" s="3" t="s">
        <v>64</v>
      </c>
      <c r="L3219" s="2" t="s">
        <v>26863</v>
      </c>
      <c r="M3219" s="2" t="s">
        <v>26864</v>
      </c>
      <c r="N3219" s="3" t="s">
        <v>65</v>
      </c>
      <c r="P3219" s="3" t="s">
        <v>66</v>
      </c>
      <c r="Q3219" s="2" t="s">
        <v>26865</v>
      </c>
      <c r="R3219" s="3" t="s">
        <v>67</v>
      </c>
      <c r="S3219" s="4">
        <v>11</v>
      </c>
      <c r="T3219" s="4">
        <v>11</v>
      </c>
      <c r="U3219" s="5" t="s">
        <v>26742</v>
      </c>
      <c r="V3219" s="5" t="s">
        <v>26742</v>
      </c>
      <c r="W3219" s="5" t="s">
        <v>69</v>
      </c>
      <c r="X3219" s="5" t="s">
        <v>69</v>
      </c>
      <c r="Y3219" s="4">
        <v>290</v>
      </c>
      <c r="Z3219" s="4">
        <v>22</v>
      </c>
      <c r="AA3219" s="4">
        <v>24</v>
      </c>
      <c r="AB3219" s="4">
        <v>3</v>
      </c>
      <c r="AC3219" s="4">
        <v>5</v>
      </c>
      <c r="AD3219" s="4">
        <v>111</v>
      </c>
      <c r="AE3219" s="4">
        <v>111</v>
      </c>
      <c r="AF3219" s="4">
        <v>2</v>
      </c>
      <c r="AG3219" s="4">
        <v>2</v>
      </c>
      <c r="AH3219" s="4">
        <v>96</v>
      </c>
      <c r="AI3219" s="4">
        <v>96</v>
      </c>
      <c r="AJ3219" s="4">
        <v>16</v>
      </c>
      <c r="AK3219" s="4">
        <v>16</v>
      </c>
      <c r="AL3219" s="4">
        <v>55</v>
      </c>
      <c r="AM3219" s="4">
        <v>55</v>
      </c>
      <c r="AN3219" s="4">
        <v>0</v>
      </c>
      <c r="AO3219" s="4">
        <v>0</v>
      </c>
      <c r="AP3219" s="4">
        <v>19</v>
      </c>
      <c r="AQ3219" s="4">
        <v>19</v>
      </c>
      <c r="AR3219" s="3" t="s">
        <v>63</v>
      </c>
      <c r="AS3219" s="3" t="s">
        <v>63</v>
      </c>
      <c r="AT3219" s="3" t="s">
        <v>62</v>
      </c>
      <c r="AU3219" s="6" t="str">
        <f>HYPERLINK("http://catalog.hathitrust.org/Record/000700094","HathiTrust Record")</f>
        <v>HathiTrust Record</v>
      </c>
      <c r="AV3219" s="6" t="str">
        <f>HYPERLINK("http://mcgill.on.worldcat.org/oclc/3249893","Catalog Record")</f>
        <v>Catalog Record</v>
      </c>
      <c r="AW3219" s="6" t="str">
        <f>HYPERLINK("http://www.worldcat.org/oclc/3249893","WorldCat Record")</f>
        <v>WorldCat Record</v>
      </c>
      <c r="AX3219" s="3" t="s">
        <v>26866</v>
      </c>
      <c r="AY3219" s="3" t="s">
        <v>26867</v>
      </c>
      <c r="AZ3219" s="3" t="s">
        <v>26868</v>
      </c>
      <c r="BA3219" s="3" t="s">
        <v>26868</v>
      </c>
      <c r="BB3219" s="3" t="s">
        <v>26869</v>
      </c>
      <c r="BC3219" s="3" t="s">
        <v>82</v>
      </c>
      <c r="BD3219" s="3" t="s">
        <v>70</v>
      </c>
      <c r="BE3219" s="3" t="s">
        <v>26870</v>
      </c>
      <c r="BF3219" s="3" t="s">
        <v>26869</v>
      </c>
      <c r="BG3219" s="3" t="s">
        <v>26871</v>
      </c>
    </row>
    <row r="3220" spans="1:59" ht="60" x14ac:dyDescent="0.25">
      <c r="A3220" s="2" t="s">
        <v>59</v>
      </c>
      <c r="B3220" s="2" t="s">
        <v>60</v>
      </c>
      <c r="C3220" s="2" t="s">
        <v>26872</v>
      </c>
      <c r="D3220" s="2" t="s">
        <v>26873</v>
      </c>
      <c r="E3220" s="2" t="s">
        <v>26874</v>
      </c>
      <c r="G3220" s="3" t="s">
        <v>63</v>
      </c>
      <c r="I3220" s="3" t="s">
        <v>63</v>
      </c>
      <c r="J3220" s="3" t="s">
        <v>63</v>
      </c>
      <c r="K3220" s="3" t="s">
        <v>64</v>
      </c>
      <c r="L3220" s="2" t="s">
        <v>26875</v>
      </c>
      <c r="M3220" s="2" t="s">
        <v>26876</v>
      </c>
      <c r="N3220" s="3" t="s">
        <v>629</v>
      </c>
      <c r="P3220" s="3" t="s">
        <v>66</v>
      </c>
      <c r="Q3220" s="2" t="s">
        <v>26877</v>
      </c>
      <c r="R3220" s="3" t="s">
        <v>67</v>
      </c>
      <c r="S3220" s="4">
        <v>3</v>
      </c>
      <c r="T3220" s="4">
        <v>3</v>
      </c>
      <c r="U3220" s="5" t="s">
        <v>10660</v>
      </c>
      <c r="V3220" s="5" t="s">
        <v>10660</v>
      </c>
      <c r="W3220" s="5" t="s">
        <v>69</v>
      </c>
      <c r="X3220" s="5" t="s">
        <v>69</v>
      </c>
      <c r="Y3220" s="4">
        <v>202</v>
      </c>
      <c r="Z3220" s="4">
        <v>16</v>
      </c>
      <c r="AA3220" s="4">
        <v>21</v>
      </c>
      <c r="AB3220" s="4">
        <v>1</v>
      </c>
      <c r="AC3220" s="4">
        <v>3</v>
      </c>
      <c r="AD3220" s="4">
        <v>82</v>
      </c>
      <c r="AE3220" s="4">
        <v>90</v>
      </c>
      <c r="AF3220" s="4">
        <v>0</v>
      </c>
      <c r="AG3220" s="4">
        <v>1</v>
      </c>
      <c r="AH3220" s="4">
        <v>75</v>
      </c>
      <c r="AI3220" s="4">
        <v>81</v>
      </c>
      <c r="AJ3220" s="4">
        <v>13</v>
      </c>
      <c r="AK3220" s="4">
        <v>16</v>
      </c>
      <c r="AL3220" s="4">
        <v>47</v>
      </c>
      <c r="AM3220" s="4">
        <v>48</v>
      </c>
      <c r="AN3220" s="4">
        <v>0</v>
      </c>
      <c r="AO3220" s="4">
        <v>0</v>
      </c>
      <c r="AP3220" s="4">
        <v>14</v>
      </c>
      <c r="AQ3220" s="4">
        <v>18</v>
      </c>
      <c r="AR3220" s="3" t="s">
        <v>63</v>
      </c>
      <c r="AS3220" s="3" t="s">
        <v>63</v>
      </c>
      <c r="AT3220" s="3" t="s">
        <v>63</v>
      </c>
      <c r="AV3220" s="6" t="str">
        <f>HYPERLINK("http://mcgill.on.worldcat.org/oclc/669124502","Catalog Record")</f>
        <v>Catalog Record</v>
      </c>
      <c r="AW3220" s="6" t="str">
        <f>HYPERLINK("http://www.worldcat.org/oclc/669124502","WorldCat Record")</f>
        <v>WorldCat Record</v>
      </c>
      <c r="AX3220" s="3" t="s">
        <v>26878</v>
      </c>
      <c r="AY3220" s="3" t="s">
        <v>26879</v>
      </c>
      <c r="AZ3220" s="3" t="s">
        <v>26880</v>
      </c>
      <c r="BA3220" s="3" t="s">
        <v>26880</v>
      </c>
      <c r="BB3220" s="3" t="s">
        <v>26881</v>
      </c>
      <c r="BC3220" s="3" t="s">
        <v>82</v>
      </c>
      <c r="BD3220" s="3" t="s">
        <v>70</v>
      </c>
      <c r="BE3220" s="3" t="s">
        <v>26882</v>
      </c>
      <c r="BF3220" s="3" t="s">
        <v>26881</v>
      </c>
      <c r="BG3220" s="3" t="s">
        <v>26883</v>
      </c>
    </row>
    <row r="3221" spans="1:59" ht="60" x14ac:dyDescent="0.25">
      <c r="A3221" s="2" t="s">
        <v>59</v>
      </c>
      <c r="B3221" s="2" t="s">
        <v>60</v>
      </c>
      <c r="C3221" s="2" t="s">
        <v>26884</v>
      </c>
      <c r="D3221" s="2" t="s">
        <v>26885</v>
      </c>
      <c r="E3221" s="2" t="s">
        <v>26886</v>
      </c>
      <c r="G3221" s="3" t="s">
        <v>63</v>
      </c>
      <c r="I3221" s="3" t="s">
        <v>63</v>
      </c>
      <c r="J3221" s="3" t="s">
        <v>63</v>
      </c>
      <c r="K3221" s="3" t="s">
        <v>64</v>
      </c>
      <c r="L3221" s="2" t="s">
        <v>26887</v>
      </c>
      <c r="M3221" s="2" t="s">
        <v>21841</v>
      </c>
      <c r="N3221" s="3" t="s">
        <v>629</v>
      </c>
      <c r="P3221" s="3" t="s">
        <v>66</v>
      </c>
      <c r="R3221" s="3" t="s">
        <v>67</v>
      </c>
      <c r="S3221" s="4">
        <v>4</v>
      </c>
      <c r="T3221" s="4">
        <v>4</v>
      </c>
      <c r="U3221" s="5" t="s">
        <v>26888</v>
      </c>
      <c r="V3221" s="5" t="s">
        <v>26888</v>
      </c>
      <c r="W3221" s="5" t="s">
        <v>69</v>
      </c>
      <c r="X3221" s="5" t="s">
        <v>69</v>
      </c>
      <c r="Y3221" s="4">
        <v>162</v>
      </c>
      <c r="Z3221" s="4">
        <v>11</v>
      </c>
      <c r="AA3221" s="4">
        <v>15</v>
      </c>
      <c r="AB3221" s="4">
        <v>1</v>
      </c>
      <c r="AC3221" s="4">
        <v>4</v>
      </c>
      <c r="AD3221" s="4">
        <v>72</v>
      </c>
      <c r="AE3221" s="4">
        <v>75</v>
      </c>
      <c r="AF3221" s="4">
        <v>0</v>
      </c>
      <c r="AG3221" s="4">
        <v>1</v>
      </c>
      <c r="AH3221" s="4">
        <v>67</v>
      </c>
      <c r="AI3221" s="4">
        <v>69</v>
      </c>
      <c r="AJ3221" s="4">
        <v>8</v>
      </c>
      <c r="AK3221" s="4">
        <v>10</v>
      </c>
      <c r="AL3221" s="4">
        <v>46</v>
      </c>
      <c r="AM3221" s="4">
        <v>47</v>
      </c>
      <c r="AN3221" s="4">
        <v>0</v>
      </c>
      <c r="AO3221" s="4">
        <v>0</v>
      </c>
      <c r="AP3221" s="4">
        <v>8</v>
      </c>
      <c r="AQ3221" s="4">
        <v>10</v>
      </c>
      <c r="AR3221" s="3" t="s">
        <v>63</v>
      </c>
      <c r="AS3221" s="3" t="s">
        <v>63</v>
      </c>
      <c r="AT3221" s="3" t="s">
        <v>63</v>
      </c>
      <c r="AV3221" s="6" t="str">
        <f>HYPERLINK("http://mcgill.on.worldcat.org/oclc/630498288","Catalog Record")</f>
        <v>Catalog Record</v>
      </c>
      <c r="AW3221" s="6" t="str">
        <f>HYPERLINK("http://www.worldcat.org/oclc/630498288","WorldCat Record")</f>
        <v>WorldCat Record</v>
      </c>
      <c r="AX3221" s="3" t="s">
        <v>26889</v>
      </c>
      <c r="AY3221" s="3" t="s">
        <v>26890</v>
      </c>
      <c r="AZ3221" s="3" t="s">
        <v>26891</v>
      </c>
      <c r="BA3221" s="3" t="s">
        <v>26891</v>
      </c>
      <c r="BB3221" s="3" t="s">
        <v>26892</v>
      </c>
      <c r="BC3221" s="3" t="s">
        <v>82</v>
      </c>
      <c r="BD3221" s="3" t="s">
        <v>538</v>
      </c>
      <c r="BE3221" s="3" t="s">
        <v>26893</v>
      </c>
      <c r="BF3221" s="3" t="s">
        <v>26892</v>
      </c>
      <c r="BG3221" s="3" t="s">
        <v>26894</v>
      </c>
    </row>
    <row r="3222" spans="1:59" ht="60" x14ac:dyDescent="0.25">
      <c r="A3222" s="2" t="s">
        <v>59</v>
      </c>
      <c r="B3222" s="2" t="s">
        <v>60</v>
      </c>
      <c r="C3222" s="2" t="s">
        <v>26895</v>
      </c>
      <c r="D3222" s="2" t="s">
        <v>26896</v>
      </c>
      <c r="E3222" s="2" t="s">
        <v>26897</v>
      </c>
      <c r="G3222" s="3" t="s">
        <v>63</v>
      </c>
      <c r="I3222" s="3" t="s">
        <v>63</v>
      </c>
      <c r="J3222" s="3" t="s">
        <v>63</v>
      </c>
      <c r="K3222" s="3" t="s">
        <v>64</v>
      </c>
      <c r="L3222" s="2" t="s">
        <v>26898</v>
      </c>
      <c r="M3222" s="2" t="s">
        <v>5878</v>
      </c>
      <c r="N3222" s="3" t="s">
        <v>143</v>
      </c>
      <c r="P3222" s="3" t="s">
        <v>90</v>
      </c>
      <c r="Q3222" s="2" t="s">
        <v>4502</v>
      </c>
      <c r="R3222" s="3" t="s">
        <v>67</v>
      </c>
      <c r="S3222" s="4">
        <v>0</v>
      </c>
      <c r="T3222" s="4">
        <v>0</v>
      </c>
      <c r="W3222" s="5" t="s">
        <v>69</v>
      </c>
      <c r="X3222" s="5" t="s">
        <v>69</v>
      </c>
      <c r="Y3222" s="4">
        <v>36</v>
      </c>
      <c r="Z3222" s="4">
        <v>1</v>
      </c>
      <c r="AA3222" s="4">
        <v>1</v>
      </c>
      <c r="AB3222" s="4">
        <v>1</v>
      </c>
      <c r="AC3222" s="4">
        <v>1</v>
      </c>
      <c r="AD3222" s="4">
        <v>29</v>
      </c>
      <c r="AE3222" s="4">
        <v>29</v>
      </c>
      <c r="AF3222" s="4">
        <v>0</v>
      </c>
      <c r="AG3222" s="4">
        <v>0</v>
      </c>
      <c r="AH3222" s="4">
        <v>28</v>
      </c>
      <c r="AI3222" s="4">
        <v>28</v>
      </c>
      <c r="AJ3222" s="4">
        <v>0</v>
      </c>
      <c r="AK3222" s="4">
        <v>0</v>
      </c>
      <c r="AL3222" s="4">
        <v>22</v>
      </c>
      <c r="AM3222" s="4">
        <v>22</v>
      </c>
      <c r="AN3222" s="4">
        <v>0</v>
      </c>
      <c r="AO3222" s="4">
        <v>0</v>
      </c>
      <c r="AP3222" s="4">
        <v>0</v>
      </c>
      <c r="AQ3222" s="4">
        <v>0</v>
      </c>
      <c r="AR3222" s="3" t="s">
        <v>63</v>
      </c>
      <c r="AS3222" s="3" t="s">
        <v>63</v>
      </c>
      <c r="AT3222" s="3" t="s">
        <v>63</v>
      </c>
      <c r="AV3222" s="6" t="str">
        <f>HYPERLINK("http://mcgill.on.worldcat.org/oclc/896807306","Catalog Record")</f>
        <v>Catalog Record</v>
      </c>
      <c r="AW3222" s="6" t="str">
        <f>HYPERLINK("http://www.worldcat.org/oclc/896807306","WorldCat Record")</f>
        <v>WorldCat Record</v>
      </c>
      <c r="AX3222" s="3" t="s">
        <v>26899</v>
      </c>
      <c r="AY3222" s="3" t="s">
        <v>26900</v>
      </c>
      <c r="AZ3222" s="3" t="s">
        <v>26901</v>
      </c>
      <c r="BA3222" s="3" t="s">
        <v>26901</v>
      </c>
      <c r="BB3222" s="3" t="s">
        <v>26902</v>
      </c>
      <c r="BC3222" s="3" t="s">
        <v>82</v>
      </c>
      <c r="BD3222" s="3" t="s">
        <v>70</v>
      </c>
      <c r="BE3222" s="3" t="s">
        <v>26903</v>
      </c>
      <c r="BF3222" s="3" t="s">
        <v>26902</v>
      </c>
      <c r="BG3222" s="3" t="s">
        <v>26904</v>
      </c>
    </row>
    <row r="3223" spans="1:59" ht="60" x14ac:dyDescent="0.25">
      <c r="A3223" s="2" t="s">
        <v>59</v>
      </c>
      <c r="B3223" s="2" t="s">
        <v>60</v>
      </c>
      <c r="C3223" s="2" t="s">
        <v>26905</v>
      </c>
      <c r="D3223" s="2" t="s">
        <v>26906</v>
      </c>
      <c r="E3223" s="2" t="s">
        <v>26907</v>
      </c>
      <c r="G3223" s="3" t="s">
        <v>63</v>
      </c>
      <c r="I3223" s="3" t="s">
        <v>63</v>
      </c>
      <c r="J3223" s="3" t="s">
        <v>63</v>
      </c>
      <c r="K3223" s="3" t="s">
        <v>64</v>
      </c>
      <c r="L3223" s="2" t="s">
        <v>26908</v>
      </c>
      <c r="M3223" s="2" t="s">
        <v>26909</v>
      </c>
      <c r="N3223" s="3" t="s">
        <v>313</v>
      </c>
      <c r="P3223" s="3" t="s">
        <v>66</v>
      </c>
      <c r="R3223" s="3" t="s">
        <v>67</v>
      </c>
      <c r="S3223" s="4">
        <v>3</v>
      </c>
      <c r="T3223" s="4">
        <v>3</v>
      </c>
      <c r="U3223" s="5" t="s">
        <v>26910</v>
      </c>
      <c r="V3223" s="5" t="s">
        <v>26910</v>
      </c>
      <c r="W3223" s="5" t="s">
        <v>69</v>
      </c>
      <c r="X3223" s="5" t="s">
        <v>69</v>
      </c>
      <c r="Y3223" s="4">
        <v>330</v>
      </c>
      <c r="Z3223" s="4">
        <v>30</v>
      </c>
      <c r="AA3223" s="4">
        <v>118</v>
      </c>
      <c r="AB3223" s="4">
        <v>2</v>
      </c>
      <c r="AC3223" s="4">
        <v>19</v>
      </c>
      <c r="AD3223" s="4">
        <v>106</v>
      </c>
      <c r="AE3223" s="4">
        <v>144</v>
      </c>
      <c r="AF3223" s="4">
        <v>1</v>
      </c>
      <c r="AG3223" s="4">
        <v>8</v>
      </c>
      <c r="AH3223" s="4">
        <v>91</v>
      </c>
      <c r="AI3223" s="4">
        <v>102</v>
      </c>
      <c r="AJ3223" s="4">
        <v>22</v>
      </c>
      <c r="AK3223" s="4">
        <v>27</v>
      </c>
      <c r="AL3223" s="4">
        <v>53</v>
      </c>
      <c r="AM3223" s="4">
        <v>57</v>
      </c>
      <c r="AN3223" s="4">
        <v>0</v>
      </c>
      <c r="AO3223" s="4">
        <v>0</v>
      </c>
      <c r="AP3223" s="4">
        <v>23</v>
      </c>
      <c r="AQ3223" s="4">
        <v>51</v>
      </c>
      <c r="AR3223" s="3" t="s">
        <v>62</v>
      </c>
      <c r="AS3223" s="3" t="s">
        <v>63</v>
      </c>
      <c r="AT3223" s="3" t="s">
        <v>63</v>
      </c>
      <c r="AV3223" s="6" t="str">
        <f>HYPERLINK("http://mcgill.on.worldcat.org/oclc/434559384","Catalog Record")</f>
        <v>Catalog Record</v>
      </c>
      <c r="AW3223" s="6" t="str">
        <f>HYPERLINK("http://www.worldcat.org/oclc/434559384","WorldCat Record")</f>
        <v>WorldCat Record</v>
      </c>
      <c r="AX3223" s="3" t="s">
        <v>26911</v>
      </c>
      <c r="AY3223" s="3" t="s">
        <v>26912</v>
      </c>
      <c r="AZ3223" s="3" t="s">
        <v>26913</v>
      </c>
      <c r="BA3223" s="3" t="s">
        <v>26913</v>
      </c>
      <c r="BB3223" s="3" t="s">
        <v>26914</v>
      </c>
      <c r="BC3223" s="3" t="s">
        <v>82</v>
      </c>
      <c r="BD3223" s="3" t="s">
        <v>70</v>
      </c>
      <c r="BE3223" s="3" t="s">
        <v>26915</v>
      </c>
      <c r="BF3223" s="3" t="s">
        <v>26914</v>
      </c>
      <c r="BG3223" s="3" t="s">
        <v>26916</v>
      </c>
    </row>
    <row r="3224" spans="1:59" ht="60" x14ac:dyDescent="0.25">
      <c r="A3224" s="2" t="s">
        <v>59</v>
      </c>
      <c r="B3224" s="2" t="s">
        <v>60</v>
      </c>
      <c r="C3224" s="2" t="s">
        <v>26917</v>
      </c>
      <c r="D3224" s="2" t="s">
        <v>26918</v>
      </c>
      <c r="E3224" s="2" t="s">
        <v>26919</v>
      </c>
      <c r="G3224" s="3" t="s">
        <v>63</v>
      </c>
      <c r="I3224" s="3" t="s">
        <v>63</v>
      </c>
      <c r="J3224" s="3" t="s">
        <v>63</v>
      </c>
      <c r="K3224" s="3" t="s">
        <v>64</v>
      </c>
      <c r="L3224" s="2" t="s">
        <v>26920</v>
      </c>
      <c r="M3224" s="2" t="s">
        <v>26921</v>
      </c>
      <c r="N3224" s="3" t="s">
        <v>2535</v>
      </c>
      <c r="P3224" s="3" t="s">
        <v>66</v>
      </c>
      <c r="Q3224" s="2" t="s">
        <v>26922</v>
      </c>
      <c r="R3224" s="3" t="s">
        <v>67</v>
      </c>
      <c r="S3224" s="4">
        <v>11</v>
      </c>
      <c r="T3224" s="4">
        <v>11</v>
      </c>
      <c r="U3224" s="5" t="s">
        <v>26923</v>
      </c>
      <c r="V3224" s="5" t="s">
        <v>26923</v>
      </c>
      <c r="W3224" s="5" t="s">
        <v>69</v>
      </c>
      <c r="X3224" s="5" t="s">
        <v>69</v>
      </c>
      <c r="Y3224" s="4">
        <v>173</v>
      </c>
      <c r="Z3224" s="4">
        <v>8</v>
      </c>
      <c r="AA3224" s="4">
        <v>13</v>
      </c>
      <c r="AB3224" s="4">
        <v>2</v>
      </c>
      <c r="AC3224" s="4">
        <v>2</v>
      </c>
      <c r="AD3224" s="4">
        <v>66</v>
      </c>
      <c r="AE3224" s="4">
        <v>70</v>
      </c>
      <c r="AF3224" s="4">
        <v>1</v>
      </c>
      <c r="AG3224" s="4">
        <v>1</v>
      </c>
      <c r="AH3224" s="4">
        <v>60</v>
      </c>
      <c r="AI3224" s="4">
        <v>63</v>
      </c>
      <c r="AJ3224" s="4">
        <v>6</v>
      </c>
      <c r="AK3224" s="4">
        <v>10</v>
      </c>
      <c r="AL3224" s="4">
        <v>34</v>
      </c>
      <c r="AM3224" s="4">
        <v>35</v>
      </c>
      <c r="AN3224" s="4">
        <v>0</v>
      </c>
      <c r="AO3224" s="4">
        <v>0</v>
      </c>
      <c r="AP3224" s="4">
        <v>7</v>
      </c>
      <c r="AQ3224" s="4">
        <v>11</v>
      </c>
      <c r="AR3224" s="3" t="s">
        <v>63</v>
      </c>
      <c r="AS3224" s="3" t="s">
        <v>63</v>
      </c>
      <c r="AT3224" s="3" t="s">
        <v>62</v>
      </c>
      <c r="AU3224" s="6" t="str">
        <f>HYPERLINK("http://catalog.hathitrust.org/Record/001679152","HathiTrust Record")</f>
        <v>HathiTrust Record</v>
      </c>
      <c r="AV3224" s="6" t="str">
        <f>HYPERLINK("http://mcgill.on.worldcat.org/oclc/804433","Catalog Record")</f>
        <v>Catalog Record</v>
      </c>
      <c r="AW3224" s="6" t="str">
        <f>HYPERLINK("http://www.worldcat.org/oclc/804433","WorldCat Record")</f>
        <v>WorldCat Record</v>
      </c>
      <c r="AX3224" s="3" t="s">
        <v>26924</v>
      </c>
      <c r="AY3224" s="3" t="s">
        <v>26925</v>
      </c>
      <c r="AZ3224" s="3" t="s">
        <v>26926</v>
      </c>
      <c r="BA3224" s="3" t="s">
        <v>26926</v>
      </c>
      <c r="BB3224" s="3" t="s">
        <v>26927</v>
      </c>
      <c r="BC3224" s="3" t="s">
        <v>524</v>
      </c>
      <c r="BD3224" s="3" t="s">
        <v>70</v>
      </c>
      <c r="BE3224" s="3" t="s">
        <v>26928</v>
      </c>
      <c r="BF3224" s="3" t="s">
        <v>26927</v>
      </c>
      <c r="BG3224" s="3" t="s">
        <v>26929</v>
      </c>
    </row>
    <row r="3225" spans="1:59" ht="60" x14ac:dyDescent="0.25">
      <c r="A3225" s="2" t="s">
        <v>59</v>
      </c>
      <c r="B3225" s="2" t="s">
        <v>60</v>
      </c>
      <c r="C3225" s="2" t="s">
        <v>26930</v>
      </c>
      <c r="D3225" s="2" t="s">
        <v>26931</v>
      </c>
      <c r="E3225" s="2" t="s">
        <v>26932</v>
      </c>
      <c r="G3225" s="3" t="s">
        <v>63</v>
      </c>
      <c r="I3225" s="3" t="s">
        <v>63</v>
      </c>
      <c r="J3225" s="3" t="s">
        <v>63</v>
      </c>
      <c r="K3225" s="3" t="s">
        <v>64</v>
      </c>
      <c r="L3225" s="2" t="s">
        <v>26933</v>
      </c>
      <c r="M3225" s="2" t="s">
        <v>26934</v>
      </c>
      <c r="N3225" s="3" t="s">
        <v>3640</v>
      </c>
      <c r="P3225" s="3" t="s">
        <v>66</v>
      </c>
      <c r="R3225" s="3" t="s">
        <v>67</v>
      </c>
      <c r="S3225" s="4">
        <v>22</v>
      </c>
      <c r="T3225" s="4">
        <v>22</v>
      </c>
      <c r="U3225" s="5" t="s">
        <v>24095</v>
      </c>
      <c r="V3225" s="5" t="s">
        <v>24095</v>
      </c>
      <c r="W3225" s="5" t="s">
        <v>69</v>
      </c>
      <c r="X3225" s="5" t="s">
        <v>69</v>
      </c>
      <c r="Y3225" s="4">
        <v>495</v>
      </c>
      <c r="Z3225" s="4">
        <v>34</v>
      </c>
      <c r="AA3225" s="4">
        <v>38</v>
      </c>
      <c r="AB3225" s="4">
        <v>3</v>
      </c>
      <c r="AC3225" s="4">
        <v>3</v>
      </c>
      <c r="AD3225" s="4">
        <v>122</v>
      </c>
      <c r="AE3225" s="4">
        <v>126</v>
      </c>
      <c r="AF3225" s="4">
        <v>2</v>
      </c>
      <c r="AG3225" s="4">
        <v>2</v>
      </c>
      <c r="AH3225" s="4">
        <v>102</v>
      </c>
      <c r="AI3225" s="4">
        <v>102</v>
      </c>
      <c r="AJ3225" s="4">
        <v>16</v>
      </c>
      <c r="AK3225" s="4">
        <v>18</v>
      </c>
      <c r="AL3225" s="4">
        <v>54</v>
      </c>
      <c r="AM3225" s="4">
        <v>54</v>
      </c>
      <c r="AN3225" s="4">
        <v>0</v>
      </c>
      <c r="AO3225" s="4">
        <v>0</v>
      </c>
      <c r="AP3225" s="4">
        <v>26</v>
      </c>
      <c r="AQ3225" s="4">
        <v>30</v>
      </c>
      <c r="AR3225" s="3" t="s">
        <v>63</v>
      </c>
      <c r="AS3225" s="3" t="s">
        <v>63</v>
      </c>
      <c r="AT3225" s="3" t="s">
        <v>63</v>
      </c>
      <c r="AV3225" s="6" t="str">
        <f>HYPERLINK("http://mcgill.on.worldcat.org/oclc/8346562","Catalog Record")</f>
        <v>Catalog Record</v>
      </c>
      <c r="AW3225" s="6" t="str">
        <f>HYPERLINK("http://www.worldcat.org/oclc/8346562","WorldCat Record")</f>
        <v>WorldCat Record</v>
      </c>
      <c r="AX3225" s="3" t="s">
        <v>26935</v>
      </c>
      <c r="AY3225" s="3" t="s">
        <v>26936</v>
      </c>
      <c r="AZ3225" s="3" t="s">
        <v>26937</v>
      </c>
      <c r="BA3225" s="3" t="s">
        <v>26937</v>
      </c>
      <c r="BB3225" s="3" t="s">
        <v>26938</v>
      </c>
      <c r="BC3225" s="3" t="s">
        <v>82</v>
      </c>
      <c r="BD3225" s="3" t="s">
        <v>70</v>
      </c>
      <c r="BE3225" s="3" t="s">
        <v>26939</v>
      </c>
      <c r="BF3225" s="3" t="s">
        <v>26938</v>
      </c>
      <c r="BG3225" s="3" t="s">
        <v>26940</v>
      </c>
    </row>
    <row r="3226" spans="1:59" ht="60" x14ac:dyDescent="0.25">
      <c r="A3226" s="2" t="s">
        <v>59</v>
      </c>
      <c r="B3226" s="2" t="s">
        <v>60</v>
      </c>
      <c r="C3226" s="2" t="s">
        <v>26941</v>
      </c>
      <c r="D3226" s="2" t="s">
        <v>26942</v>
      </c>
      <c r="E3226" s="2" t="s">
        <v>26943</v>
      </c>
      <c r="G3226" s="3" t="s">
        <v>63</v>
      </c>
      <c r="I3226" s="3" t="s">
        <v>63</v>
      </c>
      <c r="J3226" s="3" t="s">
        <v>63</v>
      </c>
      <c r="K3226" s="3" t="s">
        <v>64</v>
      </c>
      <c r="M3226" s="2" t="s">
        <v>26944</v>
      </c>
      <c r="N3226" s="3" t="s">
        <v>274</v>
      </c>
      <c r="P3226" s="3" t="s">
        <v>66</v>
      </c>
      <c r="Q3226" s="2" t="s">
        <v>5294</v>
      </c>
      <c r="R3226" s="3" t="s">
        <v>67</v>
      </c>
      <c r="S3226" s="4">
        <v>10</v>
      </c>
      <c r="T3226" s="4">
        <v>10</v>
      </c>
      <c r="U3226" s="5" t="s">
        <v>26945</v>
      </c>
      <c r="V3226" s="5" t="s">
        <v>26945</v>
      </c>
      <c r="W3226" s="5" t="s">
        <v>69</v>
      </c>
      <c r="X3226" s="5" t="s">
        <v>69</v>
      </c>
      <c r="Y3226" s="4">
        <v>375</v>
      </c>
      <c r="Z3226" s="4">
        <v>27</v>
      </c>
      <c r="AA3226" s="4">
        <v>33</v>
      </c>
      <c r="AB3226" s="4">
        <v>2</v>
      </c>
      <c r="AC3226" s="4">
        <v>5</v>
      </c>
      <c r="AD3226" s="4">
        <v>108</v>
      </c>
      <c r="AE3226" s="4">
        <v>113</v>
      </c>
      <c r="AF3226" s="4">
        <v>1</v>
      </c>
      <c r="AG3226" s="4">
        <v>3</v>
      </c>
      <c r="AH3226" s="4">
        <v>96</v>
      </c>
      <c r="AI3226" s="4">
        <v>99</v>
      </c>
      <c r="AJ3226" s="4">
        <v>16</v>
      </c>
      <c r="AK3226" s="4">
        <v>21</v>
      </c>
      <c r="AL3226" s="4">
        <v>53</v>
      </c>
      <c r="AM3226" s="4">
        <v>53</v>
      </c>
      <c r="AN3226" s="4">
        <v>0</v>
      </c>
      <c r="AO3226" s="4">
        <v>0</v>
      </c>
      <c r="AP3226" s="4">
        <v>18</v>
      </c>
      <c r="AQ3226" s="4">
        <v>22</v>
      </c>
      <c r="AR3226" s="3" t="s">
        <v>63</v>
      </c>
      <c r="AS3226" s="3" t="s">
        <v>63</v>
      </c>
      <c r="AT3226" s="3" t="s">
        <v>63</v>
      </c>
      <c r="AV3226" s="6" t="str">
        <f>HYPERLINK("http://mcgill.on.worldcat.org/oclc/40052738","Catalog Record")</f>
        <v>Catalog Record</v>
      </c>
      <c r="AW3226" s="6" t="str">
        <f>HYPERLINK("http://www.worldcat.org/oclc/40052738","WorldCat Record")</f>
        <v>WorldCat Record</v>
      </c>
      <c r="AX3226" s="3" t="s">
        <v>26946</v>
      </c>
      <c r="AY3226" s="3" t="s">
        <v>26947</v>
      </c>
      <c r="AZ3226" s="3" t="s">
        <v>26948</v>
      </c>
      <c r="BA3226" s="3" t="s">
        <v>26948</v>
      </c>
      <c r="BB3226" s="3" t="s">
        <v>26949</v>
      </c>
      <c r="BC3226" s="3" t="s">
        <v>82</v>
      </c>
      <c r="BD3226" s="3" t="s">
        <v>70</v>
      </c>
      <c r="BE3226" s="3" t="s">
        <v>26950</v>
      </c>
      <c r="BF3226" s="3" t="s">
        <v>26949</v>
      </c>
      <c r="BG3226" s="3" t="s">
        <v>26951</v>
      </c>
    </row>
    <row r="3227" spans="1:59" ht="60" x14ac:dyDescent="0.25">
      <c r="A3227" s="2" t="s">
        <v>59</v>
      </c>
      <c r="B3227" s="2" t="s">
        <v>60</v>
      </c>
      <c r="C3227" s="2" t="s">
        <v>26952</v>
      </c>
      <c r="D3227" s="2" t="s">
        <v>26953</v>
      </c>
      <c r="E3227" s="2" t="s">
        <v>26954</v>
      </c>
      <c r="G3227" s="3" t="s">
        <v>63</v>
      </c>
      <c r="I3227" s="3" t="s">
        <v>63</v>
      </c>
      <c r="J3227" s="3" t="s">
        <v>63</v>
      </c>
      <c r="K3227" s="3" t="s">
        <v>64</v>
      </c>
      <c r="M3227" s="2" t="s">
        <v>26955</v>
      </c>
      <c r="N3227" s="3" t="s">
        <v>681</v>
      </c>
      <c r="P3227" s="3" t="s">
        <v>66</v>
      </c>
      <c r="Q3227" s="2" t="s">
        <v>26956</v>
      </c>
      <c r="R3227" s="3" t="s">
        <v>67</v>
      </c>
      <c r="S3227" s="4">
        <v>23</v>
      </c>
      <c r="T3227" s="4">
        <v>23</v>
      </c>
      <c r="U3227" s="5" t="s">
        <v>13356</v>
      </c>
      <c r="V3227" s="5" t="s">
        <v>13356</v>
      </c>
      <c r="W3227" s="5" t="s">
        <v>69</v>
      </c>
      <c r="X3227" s="5" t="s">
        <v>69</v>
      </c>
      <c r="Y3227" s="4">
        <v>866</v>
      </c>
      <c r="Z3227" s="4">
        <v>33</v>
      </c>
      <c r="AA3227" s="4">
        <v>46</v>
      </c>
      <c r="AB3227" s="4">
        <v>5</v>
      </c>
      <c r="AC3227" s="4">
        <v>8</v>
      </c>
      <c r="AD3227" s="4">
        <v>120</v>
      </c>
      <c r="AE3227" s="4">
        <v>134</v>
      </c>
      <c r="AF3227" s="4">
        <v>2</v>
      </c>
      <c r="AG3227" s="4">
        <v>4</v>
      </c>
      <c r="AH3227" s="4">
        <v>98</v>
      </c>
      <c r="AI3227" s="4">
        <v>106</v>
      </c>
      <c r="AJ3227" s="4">
        <v>18</v>
      </c>
      <c r="AK3227" s="4">
        <v>23</v>
      </c>
      <c r="AL3227" s="4">
        <v>57</v>
      </c>
      <c r="AM3227" s="4">
        <v>58</v>
      </c>
      <c r="AN3227" s="4">
        <v>0</v>
      </c>
      <c r="AO3227" s="4">
        <v>0</v>
      </c>
      <c r="AP3227" s="4">
        <v>27</v>
      </c>
      <c r="AQ3227" s="4">
        <v>33</v>
      </c>
      <c r="AR3227" s="3" t="s">
        <v>63</v>
      </c>
      <c r="AS3227" s="3" t="s">
        <v>63</v>
      </c>
      <c r="AT3227" s="3" t="s">
        <v>62</v>
      </c>
      <c r="AU3227" s="6" t="str">
        <f>HYPERLINK("http://catalog.hathitrust.org/Record/000672530","HathiTrust Record")</f>
        <v>HathiTrust Record</v>
      </c>
      <c r="AV3227" s="6" t="str">
        <f>HYPERLINK("http://mcgill.on.worldcat.org/oclc/74083","Catalog Record")</f>
        <v>Catalog Record</v>
      </c>
      <c r="AW3227" s="6" t="str">
        <f>HYPERLINK("http://www.worldcat.org/oclc/74083","WorldCat Record")</f>
        <v>WorldCat Record</v>
      </c>
      <c r="AX3227" s="3" t="s">
        <v>26957</v>
      </c>
      <c r="AY3227" s="3" t="s">
        <v>26958</v>
      </c>
      <c r="AZ3227" s="3" t="s">
        <v>26959</v>
      </c>
      <c r="BA3227" s="3" t="s">
        <v>26959</v>
      </c>
      <c r="BB3227" s="3" t="s">
        <v>26960</v>
      </c>
      <c r="BC3227" s="3" t="s">
        <v>82</v>
      </c>
      <c r="BD3227" s="3" t="s">
        <v>70</v>
      </c>
      <c r="BE3227" s="3" t="s">
        <v>26961</v>
      </c>
      <c r="BF3227" s="3" t="s">
        <v>26960</v>
      </c>
      <c r="BG3227" s="3" t="s">
        <v>26962</v>
      </c>
    </row>
    <row r="3228" spans="1:59" ht="60" x14ac:dyDescent="0.25">
      <c r="A3228" s="2" t="s">
        <v>59</v>
      </c>
      <c r="B3228" s="2" t="s">
        <v>60</v>
      </c>
      <c r="C3228" s="2" t="s">
        <v>26963</v>
      </c>
      <c r="D3228" s="2" t="s">
        <v>26964</v>
      </c>
      <c r="E3228" s="2" t="s">
        <v>26965</v>
      </c>
      <c r="G3228" s="3" t="s">
        <v>63</v>
      </c>
      <c r="I3228" s="3" t="s">
        <v>63</v>
      </c>
      <c r="J3228" s="3" t="s">
        <v>63</v>
      </c>
      <c r="K3228" s="3" t="s">
        <v>64</v>
      </c>
      <c r="M3228" s="2" t="s">
        <v>26966</v>
      </c>
      <c r="N3228" s="3" t="s">
        <v>247</v>
      </c>
      <c r="P3228" s="3" t="s">
        <v>66</v>
      </c>
      <c r="Q3228" s="2" t="s">
        <v>26967</v>
      </c>
      <c r="R3228" s="3" t="s">
        <v>67</v>
      </c>
      <c r="S3228" s="4">
        <v>35</v>
      </c>
      <c r="T3228" s="4">
        <v>35</v>
      </c>
      <c r="U3228" s="5" t="s">
        <v>26742</v>
      </c>
      <c r="V3228" s="5" t="s">
        <v>26742</v>
      </c>
      <c r="W3228" s="5" t="s">
        <v>69</v>
      </c>
      <c r="X3228" s="5" t="s">
        <v>69</v>
      </c>
      <c r="Y3228" s="4">
        <v>531</v>
      </c>
      <c r="Z3228" s="4">
        <v>33</v>
      </c>
      <c r="AA3228" s="4">
        <v>33</v>
      </c>
      <c r="AB3228" s="4">
        <v>1</v>
      </c>
      <c r="AC3228" s="4">
        <v>1</v>
      </c>
      <c r="AD3228" s="4">
        <v>118</v>
      </c>
      <c r="AE3228" s="4">
        <v>118</v>
      </c>
      <c r="AF3228" s="4">
        <v>0</v>
      </c>
      <c r="AG3228" s="4">
        <v>0</v>
      </c>
      <c r="AH3228" s="4">
        <v>100</v>
      </c>
      <c r="AI3228" s="4">
        <v>100</v>
      </c>
      <c r="AJ3228" s="4">
        <v>18</v>
      </c>
      <c r="AK3228" s="4">
        <v>18</v>
      </c>
      <c r="AL3228" s="4">
        <v>56</v>
      </c>
      <c r="AM3228" s="4">
        <v>56</v>
      </c>
      <c r="AN3228" s="4">
        <v>0</v>
      </c>
      <c r="AO3228" s="4">
        <v>0</v>
      </c>
      <c r="AP3228" s="4">
        <v>24</v>
      </c>
      <c r="AQ3228" s="4">
        <v>24</v>
      </c>
      <c r="AR3228" s="3" t="s">
        <v>63</v>
      </c>
      <c r="AS3228" s="3" t="s">
        <v>63</v>
      </c>
      <c r="AT3228" s="3" t="s">
        <v>62</v>
      </c>
      <c r="AU3228" s="6" t="str">
        <f>HYPERLINK("http://catalog.hathitrust.org/Record/000764431","HathiTrust Record")</f>
        <v>HathiTrust Record</v>
      </c>
      <c r="AV3228" s="6" t="str">
        <f>HYPERLINK("http://mcgill.on.worldcat.org/oclc/8282295","Catalog Record")</f>
        <v>Catalog Record</v>
      </c>
      <c r="AW3228" s="6" t="str">
        <f>HYPERLINK("http://www.worldcat.org/oclc/8282295","WorldCat Record")</f>
        <v>WorldCat Record</v>
      </c>
      <c r="AX3228" s="3" t="s">
        <v>26968</v>
      </c>
      <c r="AY3228" s="3" t="s">
        <v>26969</v>
      </c>
      <c r="AZ3228" s="3" t="s">
        <v>26970</v>
      </c>
      <c r="BA3228" s="3" t="s">
        <v>26970</v>
      </c>
      <c r="BB3228" s="3" t="s">
        <v>26971</v>
      </c>
      <c r="BC3228" s="3" t="s">
        <v>82</v>
      </c>
      <c r="BD3228" s="3" t="s">
        <v>70</v>
      </c>
      <c r="BE3228" s="3" t="s">
        <v>26972</v>
      </c>
      <c r="BF3228" s="3" t="s">
        <v>26971</v>
      </c>
      <c r="BG3228" s="3" t="s">
        <v>26973</v>
      </c>
    </row>
    <row r="3229" spans="1:59" ht="60" x14ac:dyDescent="0.25">
      <c r="A3229" s="2" t="s">
        <v>59</v>
      </c>
      <c r="B3229" s="2" t="s">
        <v>60</v>
      </c>
      <c r="C3229" s="2" t="s">
        <v>26974</v>
      </c>
      <c r="D3229" s="2" t="s">
        <v>26975</v>
      </c>
      <c r="E3229" s="2" t="s">
        <v>26976</v>
      </c>
      <c r="G3229" s="3" t="s">
        <v>63</v>
      </c>
      <c r="I3229" s="3" t="s">
        <v>62</v>
      </c>
      <c r="J3229" s="3" t="s">
        <v>63</v>
      </c>
      <c r="K3229" s="3" t="s">
        <v>64</v>
      </c>
      <c r="M3229" s="2" t="s">
        <v>26977</v>
      </c>
      <c r="N3229" s="3" t="s">
        <v>918</v>
      </c>
      <c r="P3229" s="3" t="s">
        <v>66</v>
      </c>
      <c r="R3229" s="3" t="s">
        <v>67</v>
      </c>
      <c r="S3229" s="4">
        <v>6</v>
      </c>
      <c r="T3229" s="4">
        <v>29</v>
      </c>
      <c r="U3229" s="5" t="s">
        <v>26978</v>
      </c>
      <c r="V3229" s="5" t="s">
        <v>988</v>
      </c>
      <c r="W3229" s="5" t="s">
        <v>69</v>
      </c>
      <c r="X3229" s="5" t="s">
        <v>69</v>
      </c>
      <c r="Y3229" s="4">
        <v>1024</v>
      </c>
      <c r="Z3229" s="4">
        <v>39</v>
      </c>
      <c r="AA3229" s="4">
        <v>44</v>
      </c>
      <c r="AB3229" s="4">
        <v>3</v>
      </c>
      <c r="AC3229" s="4">
        <v>5</v>
      </c>
      <c r="AD3229" s="4">
        <v>125</v>
      </c>
      <c r="AE3229" s="4">
        <v>127</v>
      </c>
      <c r="AF3229" s="4">
        <v>1</v>
      </c>
      <c r="AG3229" s="4">
        <v>2</v>
      </c>
      <c r="AH3229" s="4">
        <v>102</v>
      </c>
      <c r="AI3229" s="4">
        <v>102</v>
      </c>
      <c r="AJ3229" s="4">
        <v>19</v>
      </c>
      <c r="AK3229" s="4">
        <v>21</v>
      </c>
      <c r="AL3229" s="4">
        <v>55</v>
      </c>
      <c r="AM3229" s="4">
        <v>55</v>
      </c>
      <c r="AN3229" s="4">
        <v>0</v>
      </c>
      <c r="AO3229" s="4">
        <v>0</v>
      </c>
      <c r="AP3229" s="4">
        <v>28</v>
      </c>
      <c r="AQ3229" s="4">
        <v>29</v>
      </c>
      <c r="AR3229" s="3" t="s">
        <v>63</v>
      </c>
      <c r="AS3229" s="3" t="s">
        <v>63</v>
      </c>
      <c r="AT3229" s="3" t="s">
        <v>62</v>
      </c>
      <c r="AU3229" s="6" t="str">
        <f>HYPERLINK("http://catalog.hathitrust.org/Record/000672510","HathiTrust Record")</f>
        <v>HathiTrust Record</v>
      </c>
      <c r="AV3229" s="6" t="str">
        <f>HYPERLINK("http://mcgill.on.worldcat.org/oclc/293595","Catalog Record")</f>
        <v>Catalog Record</v>
      </c>
      <c r="AW3229" s="6" t="str">
        <f>HYPERLINK("http://www.worldcat.org/oclc/293595","WorldCat Record")</f>
        <v>WorldCat Record</v>
      </c>
      <c r="AX3229" s="3" t="s">
        <v>26979</v>
      </c>
      <c r="AY3229" s="3" t="s">
        <v>26980</v>
      </c>
      <c r="AZ3229" s="3" t="s">
        <v>26981</v>
      </c>
      <c r="BA3229" s="3" t="s">
        <v>26981</v>
      </c>
      <c r="BB3229" s="3" t="s">
        <v>26982</v>
      </c>
      <c r="BC3229" s="3" t="s">
        <v>82</v>
      </c>
      <c r="BD3229" s="3" t="s">
        <v>70</v>
      </c>
      <c r="BF3229" s="3" t="s">
        <v>26982</v>
      </c>
      <c r="BG3229" s="3" t="s">
        <v>26983</v>
      </c>
    </row>
    <row r="3230" spans="1:59" ht="60" x14ac:dyDescent="0.25">
      <c r="A3230" s="2" t="s">
        <v>59</v>
      </c>
      <c r="B3230" s="2" t="s">
        <v>60</v>
      </c>
      <c r="C3230" s="2" t="s">
        <v>26974</v>
      </c>
      <c r="D3230" s="2" t="s">
        <v>26975</v>
      </c>
      <c r="E3230" s="2" t="s">
        <v>26976</v>
      </c>
      <c r="G3230" s="3" t="s">
        <v>63</v>
      </c>
      <c r="I3230" s="3" t="s">
        <v>62</v>
      </c>
      <c r="J3230" s="3" t="s">
        <v>63</v>
      </c>
      <c r="K3230" s="3" t="s">
        <v>64</v>
      </c>
      <c r="M3230" s="2" t="s">
        <v>26977</v>
      </c>
      <c r="N3230" s="3" t="s">
        <v>918</v>
      </c>
      <c r="P3230" s="3" t="s">
        <v>66</v>
      </c>
      <c r="R3230" s="3" t="s">
        <v>67</v>
      </c>
      <c r="S3230" s="4">
        <v>4</v>
      </c>
      <c r="T3230" s="4">
        <v>29</v>
      </c>
      <c r="U3230" s="5" t="s">
        <v>26984</v>
      </c>
      <c r="V3230" s="5" t="s">
        <v>988</v>
      </c>
      <c r="W3230" s="5" t="s">
        <v>69</v>
      </c>
      <c r="X3230" s="5" t="s">
        <v>69</v>
      </c>
      <c r="Y3230" s="4">
        <v>1024</v>
      </c>
      <c r="Z3230" s="4">
        <v>39</v>
      </c>
      <c r="AA3230" s="4">
        <v>44</v>
      </c>
      <c r="AB3230" s="4">
        <v>3</v>
      </c>
      <c r="AC3230" s="4">
        <v>5</v>
      </c>
      <c r="AD3230" s="4">
        <v>125</v>
      </c>
      <c r="AE3230" s="4">
        <v>127</v>
      </c>
      <c r="AF3230" s="4">
        <v>1</v>
      </c>
      <c r="AG3230" s="4">
        <v>2</v>
      </c>
      <c r="AH3230" s="4">
        <v>102</v>
      </c>
      <c r="AI3230" s="4">
        <v>102</v>
      </c>
      <c r="AJ3230" s="4">
        <v>19</v>
      </c>
      <c r="AK3230" s="4">
        <v>21</v>
      </c>
      <c r="AL3230" s="4">
        <v>55</v>
      </c>
      <c r="AM3230" s="4">
        <v>55</v>
      </c>
      <c r="AN3230" s="4">
        <v>0</v>
      </c>
      <c r="AO3230" s="4">
        <v>0</v>
      </c>
      <c r="AP3230" s="4">
        <v>28</v>
      </c>
      <c r="AQ3230" s="4">
        <v>29</v>
      </c>
      <c r="AR3230" s="3" t="s">
        <v>63</v>
      </c>
      <c r="AS3230" s="3" t="s">
        <v>63</v>
      </c>
      <c r="AT3230" s="3" t="s">
        <v>62</v>
      </c>
      <c r="AU3230" s="6" t="str">
        <f>HYPERLINK("http://catalog.hathitrust.org/Record/000672510","HathiTrust Record")</f>
        <v>HathiTrust Record</v>
      </c>
      <c r="AV3230" s="6" t="str">
        <f>HYPERLINK("http://mcgill.on.worldcat.org/oclc/293595","Catalog Record")</f>
        <v>Catalog Record</v>
      </c>
      <c r="AW3230" s="6" t="str">
        <f>HYPERLINK("http://www.worldcat.org/oclc/293595","WorldCat Record")</f>
        <v>WorldCat Record</v>
      </c>
      <c r="AX3230" s="3" t="s">
        <v>26979</v>
      </c>
      <c r="AY3230" s="3" t="s">
        <v>26980</v>
      </c>
      <c r="AZ3230" s="3" t="s">
        <v>26981</v>
      </c>
      <c r="BA3230" s="3" t="s">
        <v>26981</v>
      </c>
      <c r="BB3230" s="3" t="s">
        <v>26985</v>
      </c>
      <c r="BC3230" s="3" t="s">
        <v>82</v>
      </c>
      <c r="BD3230" s="3" t="s">
        <v>70</v>
      </c>
      <c r="BF3230" s="3" t="s">
        <v>26985</v>
      </c>
      <c r="BG3230" s="3" t="s">
        <v>26986</v>
      </c>
    </row>
    <row r="3231" spans="1:59" ht="60" x14ac:dyDescent="0.25">
      <c r="A3231" s="2" t="s">
        <v>59</v>
      </c>
      <c r="B3231" s="2" t="s">
        <v>60</v>
      </c>
      <c r="C3231" s="2" t="s">
        <v>26974</v>
      </c>
      <c r="D3231" s="2" t="s">
        <v>26975</v>
      </c>
      <c r="E3231" s="2" t="s">
        <v>26976</v>
      </c>
      <c r="G3231" s="3" t="s">
        <v>63</v>
      </c>
      <c r="I3231" s="3" t="s">
        <v>62</v>
      </c>
      <c r="J3231" s="3" t="s">
        <v>63</v>
      </c>
      <c r="K3231" s="3" t="s">
        <v>64</v>
      </c>
      <c r="M3231" s="2" t="s">
        <v>26977</v>
      </c>
      <c r="N3231" s="3" t="s">
        <v>918</v>
      </c>
      <c r="P3231" s="3" t="s">
        <v>66</v>
      </c>
      <c r="R3231" s="3" t="s">
        <v>67</v>
      </c>
      <c r="S3231" s="4">
        <v>14</v>
      </c>
      <c r="T3231" s="4">
        <v>29</v>
      </c>
      <c r="U3231" s="5" t="s">
        <v>19947</v>
      </c>
      <c r="V3231" s="5" t="s">
        <v>988</v>
      </c>
      <c r="W3231" s="5" t="s">
        <v>69</v>
      </c>
      <c r="X3231" s="5" t="s">
        <v>69</v>
      </c>
      <c r="Y3231" s="4">
        <v>1024</v>
      </c>
      <c r="Z3231" s="4">
        <v>39</v>
      </c>
      <c r="AA3231" s="4">
        <v>44</v>
      </c>
      <c r="AB3231" s="4">
        <v>3</v>
      </c>
      <c r="AC3231" s="4">
        <v>5</v>
      </c>
      <c r="AD3231" s="4">
        <v>125</v>
      </c>
      <c r="AE3231" s="4">
        <v>127</v>
      </c>
      <c r="AF3231" s="4">
        <v>1</v>
      </c>
      <c r="AG3231" s="4">
        <v>2</v>
      </c>
      <c r="AH3231" s="4">
        <v>102</v>
      </c>
      <c r="AI3231" s="4">
        <v>102</v>
      </c>
      <c r="AJ3231" s="4">
        <v>19</v>
      </c>
      <c r="AK3231" s="4">
        <v>21</v>
      </c>
      <c r="AL3231" s="4">
        <v>55</v>
      </c>
      <c r="AM3231" s="4">
        <v>55</v>
      </c>
      <c r="AN3231" s="4">
        <v>0</v>
      </c>
      <c r="AO3231" s="4">
        <v>0</v>
      </c>
      <c r="AP3231" s="4">
        <v>28</v>
      </c>
      <c r="AQ3231" s="4">
        <v>29</v>
      </c>
      <c r="AR3231" s="3" t="s">
        <v>63</v>
      </c>
      <c r="AS3231" s="3" t="s">
        <v>63</v>
      </c>
      <c r="AT3231" s="3" t="s">
        <v>62</v>
      </c>
      <c r="AU3231" s="6" t="str">
        <f>HYPERLINK("http://catalog.hathitrust.org/Record/000672510","HathiTrust Record")</f>
        <v>HathiTrust Record</v>
      </c>
      <c r="AV3231" s="6" t="str">
        <f>HYPERLINK("http://mcgill.on.worldcat.org/oclc/293595","Catalog Record")</f>
        <v>Catalog Record</v>
      </c>
      <c r="AW3231" s="6" t="str">
        <f>HYPERLINK("http://www.worldcat.org/oclc/293595","WorldCat Record")</f>
        <v>WorldCat Record</v>
      </c>
      <c r="AX3231" s="3" t="s">
        <v>26979</v>
      </c>
      <c r="AY3231" s="3" t="s">
        <v>26980</v>
      </c>
      <c r="AZ3231" s="3" t="s">
        <v>26981</v>
      </c>
      <c r="BA3231" s="3" t="s">
        <v>26981</v>
      </c>
      <c r="BB3231" s="3" t="s">
        <v>26987</v>
      </c>
      <c r="BC3231" s="3" t="s">
        <v>82</v>
      </c>
      <c r="BD3231" s="3" t="s">
        <v>70</v>
      </c>
      <c r="BF3231" s="3" t="s">
        <v>26987</v>
      </c>
      <c r="BG3231" s="3" t="s">
        <v>26988</v>
      </c>
    </row>
    <row r="3232" spans="1:59" ht="60" x14ac:dyDescent="0.25">
      <c r="A3232" s="2" t="s">
        <v>59</v>
      </c>
      <c r="B3232" s="2" t="s">
        <v>60</v>
      </c>
      <c r="C3232" s="2" t="s">
        <v>26974</v>
      </c>
      <c r="D3232" s="2" t="s">
        <v>26975</v>
      </c>
      <c r="E3232" s="2" t="s">
        <v>26976</v>
      </c>
      <c r="G3232" s="3" t="s">
        <v>63</v>
      </c>
      <c r="I3232" s="3" t="s">
        <v>62</v>
      </c>
      <c r="J3232" s="3" t="s">
        <v>63</v>
      </c>
      <c r="K3232" s="3" t="s">
        <v>64</v>
      </c>
      <c r="M3232" s="2" t="s">
        <v>26977</v>
      </c>
      <c r="N3232" s="3" t="s">
        <v>918</v>
      </c>
      <c r="P3232" s="3" t="s">
        <v>66</v>
      </c>
      <c r="R3232" s="3" t="s">
        <v>67</v>
      </c>
      <c r="S3232" s="4">
        <v>0</v>
      </c>
      <c r="T3232" s="4">
        <v>29</v>
      </c>
      <c r="V3232" s="5" t="s">
        <v>988</v>
      </c>
      <c r="W3232" s="5" t="s">
        <v>69</v>
      </c>
      <c r="X3232" s="5" t="s">
        <v>69</v>
      </c>
      <c r="Y3232" s="4">
        <v>1024</v>
      </c>
      <c r="Z3232" s="4">
        <v>39</v>
      </c>
      <c r="AA3232" s="4">
        <v>44</v>
      </c>
      <c r="AB3232" s="4">
        <v>3</v>
      </c>
      <c r="AC3232" s="4">
        <v>5</v>
      </c>
      <c r="AD3232" s="4">
        <v>125</v>
      </c>
      <c r="AE3232" s="4">
        <v>127</v>
      </c>
      <c r="AF3232" s="4">
        <v>1</v>
      </c>
      <c r="AG3232" s="4">
        <v>2</v>
      </c>
      <c r="AH3232" s="4">
        <v>102</v>
      </c>
      <c r="AI3232" s="4">
        <v>102</v>
      </c>
      <c r="AJ3232" s="4">
        <v>19</v>
      </c>
      <c r="AK3232" s="4">
        <v>21</v>
      </c>
      <c r="AL3232" s="4">
        <v>55</v>
      </c>
      <c r="AM3232" s="4">
        <v>55</v>
      </c>
      <c r="AN3232" s="4">
        <v>0</v>
      </c>
      <c r="AO3232" s="4">
        <v>0</v>
      </c>
      <c r="AP3232" s="4">
        <v>28</v>
      </c>
      <c r="AQ3232" s="4">
        <v>29</v>
      </c>
      <c r="AR3232" s="3" t="s">
        <v>63</v>
      </c>
      <c r="AS3232" s="3" t="s">
        <v>63</v>
      </c>
      <c r="AT3232" s="3" t="s">
        <v>62</v>
      </c>
      <c r="AU3232" s="6" t="str">
        <f>HYPERLINK("http://catalog.hathitrust.org/Record/000672510","HathiTrust Record")</f>
        <v>HathiTrust Record</v>
      </c>
      <c r="AV3232" s="6" t="str">
        <f>HYPERLINK("http://mcgill.on.worldcat.org/oclc/293595","Catalog Record")</f>
        <v>Catalog Record</v>
      </c>
      <c r="AW3232" s="6" t="str">
        <f>HYPERLINK("http://www.worldcat.org/oclc/293595","WorldCat Record")</f>
        <v>WorldCat Record</v>
      </c>
      <c r="AX3232" s="3" t="s">
        <v>26979</v>
      </c>
      <c r="AY3232" s="3" t="s">
        <v>26980</v>
      </c>
      <c r="AZ3232" s="3" t="s">
        <v>26981</v>
      </c>
      <c r="BA3232" s="3" t="s">
        <v>26981</v>
      </c>
      <c r="BB3232" s="3" t="s">
        <v>26989</v>
      </c>
      <c r="BC3232" s="3" t="s">
        <v>82</v>
      </c>
      <c r="BD3232" s="3" t="s">
        <v>70</v>
      </c>
      <c r="BF3232" s="3" t="s">
        <v>26989</v>
      </c>
      <c r="BG3232" s="3" t="s">
        <v>26990</v>
      </c>
    </row>
    <row r="3233" spans="1:59" ht="60" x14ac:dyDescent="0.25">
      <c r="A3233" s="2" t="s">
        <v>59</v>
      </c>
      <c r="B3233" s="2" t="s">
        <v>60</v>
      </c>
      <c r="C3233" s="2" t="s">
        <v>26974</v>
      </c>
      <c r="D3233" s="2" t="s">
        <v>26975</v>
      </c>
      <c r="E3233" s="2" t="s">
        <v>26976</v>
      </c>
      <c r="G3233" s="3" t="s">
        <v>63</v>
      </c>
      <c r="I3233" s="3" t="s">
        <v>62</v>
      </c>
      <c r="J3233" s="3" t="s">
        <v>63</v>
      </c>
      <c r="K3233" s="3" t="s">
        <v>64</v>
      </c>
      <c r="M3233" s="2" t="s">
        <v>26977</v>
      </c>
      <c r="N3233" s="3" t="s">
        <v>918</v>
      </c>
      <c r="P3233" s="3" t="s">
        <v>66</v>
      </c>
      <c r="R3233" s="3" t="s">
        <v>67</v>
      </c>
      <c r="S3233" s="4">
        <v>5</v>
      </c>
      <c r="T3233" s="4">
        <v>29</v>
      </c>
      <c r="U3233" s="5" t="s">
        <v>988</v>
      </c>
      <c r="V3233" s="5" t="s">
        <v>988</v>
      </c>
      <c r="W3233" s="5" t="s">
        <v>69</v>
      </c>
      <c r="X3233" s="5" t="s">
        <v>69</v>
      </c>
      <c r="Y3233" s="4">
        <v>1024</v>
      </c>
      <c r="Z3233" s="4">
        <v>39</v>
      </c>
      <c r="AA3233" s="4">
        <v>44</v>
      </c>
      <c r="AB3233" s="4">
        <v>3</v>
      </c>
      <c r="AC3233" s="4">
        <v>5</v>
      </c>
      <c r="AD3233" s="4">
        <v>125</v>
      </c>
      <c r="AE3233" s="4">
        <v>127</v>
      </c>
      <c r="AF3233" s="4">
        <v>1</v>
      </c>
      <c r="AG3233" s="4">
        <v>2</v>
      </c>
      <c r="AH3233" s="4">
        <v>102</v>
      </c>
      <c r="AI3233" s="4">
        <v>102</v>
      </c>
      <c r="AJ3233" s="4">
        <v>19</v>
      </c>
      <c r="AK3233" s="4">
        <v>21</v>
      </c>
      <c r="AL3233" s="4">
        <v>55</v>
      </c>
      <c r="AM3233" s="4">
        <v>55</v>
      </c>
      <c r="AN3233" s="4">
        <v>0</v>
      </c>
      <c r="AO3233" s="4">
        <v>0</v>
      </c>
      <c r="AP3233" s="4">
        <v>28</v>
      </c>
      <c r="AQ3233" s="4">
        <v>29</v>
      </c>
      <c r="AR3233" s="3" t="s">
        <v>63</v>
      </c>
      <c r="AS3233" s="3" t="s">
        <v>63</v>
      </c>
      <c r="AT3233" s="3" t="s">
        <v>62</v>
      </c>
      <c r="AU3233" s="6" t="str">
        <f>HYPERLINK("http://catalog.hathitrust.org/Record/000672510","HathiTrust Record")</f>
        <v>HathiTrust Record</v>
      </c>
      <c r="AV3233" s="6" t="str">
        <f>HYPERLINK("http://mcgill.on.worldcat.org/oclc/293595","Catalog Record")</f>
        <v>Catalog Record</v>
      </c>
      <c r="AW3233" s="6" t="str">
        <f>HYPERLINK("http://www.worldcat.org/oclc/293595","WorldCat Record")</f>
        <v>WorldCat Record</v>
      </c>
      <c r="AX3233" s="3" t="s">
        <v>26979</v>
      </c>
      <c r="AY3233" s="3" t="s">
        <v>26980</v>
      </c>
      <c r="AZ3233" s="3" t="s">
        <v>26981</v>
      </c>
      <c r="BA3233" s="3" t="s">
        <v>26981</v>
      </c>
      <c r="BB3233" s="3" t="s">
        <v>26991</v>
      </c>
      <c r="BC3233" s="3" t="s">
        <v>82</v>
      </c>
      <c r="BD3233" s="3" t="s">
        <v>70</v>
      </c>
      <c r="BF3233" s="3" t="s">
        <v>26991</v>
      </c>
      <c r="BG3233" s="3" t="s">
        <v>26992</v>
      </c>
    </row>
    <row r="3234" spans="1:59" ht="60" x14ac:dyDescent="0.25">
      <c r="A3234" s="2" t="s">
        <v>59</v>
      </c>
      <c r="B3234" s="2" t="s">
        <v>60</v>
      </c>
      <c r="C3234" s="2" t="s">
        <v>26993</v>
      </c>
      <c r="D3234" s="2" t="s">
        <v>26994</v>
      </c>
      <c r="E3234" s="2" t="s">
        <v>26995</v>
      </c>
      <c r="G3234" s="3" t="s">
        <v>63</v>
      </c>
      <c r="I3234" s="3" t="s">
        <v>63</v>
      </c>
      <c r="J3234" s="3" t="s">
        <v>63</v>
      </c>
      <c r="K3234" s="3" t="s">
        <v>64</v>
      </c>
      <c r="M3234" s="2" t="s">
        <v>25106</v>
      </c>
      <c r="N3234" s="3" t="s">
        <v>1557</v>
      </c>
      <c r="P3234" s="3" t="s">
        <v>66</v>
      </c>
      <c r="R3234" s="3" t="s">
        <v>67</v>
      </c>
      <c r="S3234" s="4">
        <v>3</v>
      </c>
      <c r="T3234" s="4">
        <v>3</v>
      </c>
      <c r="U3234" s="5" t="s">
        <v>26996</v>
      </c>
      <c r="V3234" s="5" t="s">
        <v>26996</v>
      </c>
      <c r="W3234" s="5" t="s">
        <v>69</v>
      </c>
      <c r="X3234" s="5" t="s">
        <v>69</v>
      </c>
      <c r="Y3234" s="4">
        <v>92</v>
      </c>
      <c r="Z3234" s="4">
        <v>10</v>
      </c>
      <c r="AA3234" s="4">
        <v>10</v>
      </c>
      <c r="AB3234" s="4">
        <v>1</v>
      </c>
      <c r="AC3234" s="4">
        <v>1</v>
      </c>
      <c r="AD3234" s="4">
        <v>52</v>
      </c>
      <c r="AE3234" s="4">
        <v>52</v>
      </c>
      <c r="AF3234" s="4">
        <v>0</v>
      </c>
      <c r="AG3234" s="4">
        <v>0</v>
      </c>
      <c r="AH3234" s="4">
        <v>46</v>
      </c>
      <c r="AI3234" s="4">
        <v>46</v>
      </c>
      <c r="AJ3234" s="4">
        <v>9</v>
      </c>
      <c r="AK3234" s="4">
        <v>9</v>
      </c>
      <c r="AL3234" s="4">
        <v>34</v>
      </c>
      <c r="AM3234" s="4">
        <v>34</v>
      </c>
      <c r="AN3234" s="4">
        <v>0</v>
      </c>
      <c r="AO3234" s="4">
        <v>0</v>
      </c>
      <c r="AP3234" s="4">
        <v>9</v>
      </c>
      <c r="AQ3234" s="4">
        <v>9</v>
      </c>
      <c r="AR3234" s="3" t="s">
        <v>63</v>
      </c>
      <c r="AS3234" s="3" t="s">
        <v>63</v>
      </c>
      <c r="AT3234" s="3" t="s">
        <v>63</v>
      </c>
      <c r="AV3234" s="6" t="str">
        <f>HYPERLINK("http://mcgill.on.worldcat.org/oclc/948340218","Catalog Record")</f>
        <v>Catalog Record</v>
      </c>
      <c r="AW3234" s="6" t="str">
        <f>HYPERLINK("http://www.worldcat.org/oclc/948340218","WorldCat Record")</f>
        <v>WorldCat Record</v>
      </c>
      <c r="AX3234" s="3" t="s">
        <v>26997</v>
      </c>
      <c r="AY3234" s="3" t="s">
        <v>26998</v>
      </c>
      <c r="AZ3234" s="3" t="s">
        <v>26999</v>
      </c>
      <c r="BA3234" s="3" t="s">
        <v>26999</v>
      </c>
      <c r="BB3234" s="3" t="s">
        <v>27000</v>
      </c>
      <c r="BC3234" s="3" t="s">
        <v>82</v>
      </c>
      <c r="BD3234" s="3" t="s">
        <v>70</v>
      </c>
      <c r="BE3234" s="3" t="s">
        <v>27001</v>
      </c>
      <c r="BF3234" s="3" t="s">
        <v>27000</v>
      </c>
      <c r="BG3234" s="3" t="s">
        <v>27002</v>
      </c>
    </row>
    <row r="3235" spans="1:59" ht="60" x14ac:dyDescent="0.25">
      <c r="A3235" s="2" t="s">
        <v>59</v>
      </c>
      <c r="B3235" s="2" t="s">
        <v>60</v>
      </c>
      <c r="C3235" s="2" t="s">
        <v>27003</v>
      </c>
      <c r="D3235" s="2" t="s">
        <v>27004</v>
      </c>
      <c r="E3235" s="2" t="s">
        <v>27005</v>
      </c>
      <c r="G3235" s="3" t="s">
        <v>63</v>
      </c>
      <c r="I3235" s="3" t="s">
        <v>63</v>
      </c>
      <c r="J3235" s="3" t="s">
        <v>63</v>
      </c>
      <c r="K3235" s="3" t="s">
        <v>64</v>
      </c>
      <c r="M3235" s="2" t="s">
        <v>27006</v>
      </c>
      <c r="N3235" s="3" t="s">
        <v>1557</v>
      </c>
      <c r="P3235" s="3" t="s">
        <v>66</v>
      </c>
      <c r="R3235" s="3" t="s">
        <v>67</v>
      </c>
      <c r="S3235" s="4">
        <v>2</v>
      </c>
      <c r="T3235" s="4">
        <v>2</v>
      </c>
      <c r="U3235" s="5" t="s">
        <v>13356</v>
      </c>
      <c r="V3235" s="5" t="s">
        <v>13356</v>
      </c>
      <c r="W3235" s="5" t="s">
        <v>69</v>
      </c>
      <c r="X3235" s="5" t="s">
        <v>69</v>
      </c>
      <c r="Y3235" s="4">
        <v>143</v>
      </c>
      <c r="Z3235" s="4">
        <v>8</v>
      </c>
      <c r="AA3235" s="4">
        <v>12</v>
      </c>
      <c r="AB3235" s="4">
        <v>1</v>
      </c>
      <c r="AC3235" s="4">
        <v>3</v>
      </c>
      <c r="AD3235" s="4">
        <v>53</v>
      </c>
      <c r="AE3235" s="4">
        <v>57</v>
      </c>
      <c r="AF3235" s="4">
        <v>0</v>
      </c>
      <c r="AG3235" s="4">
        <v>0</v>
      </c>
      <c r="AH3235" s="4">
        <v>48</v>
      </c>
      <c r="AI3235" s="4">
        <v>51</v>
      </c>
      <c r="AJ3235" s="4">
        <v>6</v>
      </c>
      <c r="AK3235" s="4">
        <v>8</v>
      </c>
      <c r="AL3235" s="4">
        <v>34</v>
      </c>
      <c r="AM3235" s="4">
        <v>36</v>
      </c>
      <c r="AN3235" s="4">
        <v>0</v>
      </c>
      <c r="AO3235" s="4">
        <v>0</v>
      </c>
      <c r="AP3235" s="4">
        <v>6</v>
      </c>
      <c r="AQ3235" s="4">
        <v>8</v>
      </c>
      <c r="AR3235" s="3" t="s">
        <v>63</v>
      </c>
      <c r="AS3235" s="3" t="s">
        <v>63</v>
      </c>
      <c r="AT3235" s="3" t="s">
        <v>63</v>
      </c>
      <c r="AV3235" s="6" t="str">
        <f>HYPERLINK("http://mcgill.on.worldcat.org/oclc/992409784","Catalog Record")</f>
        <v>Catalog Record</v>
      </c>
      <c r="AW3235" s="6" t="str">
        <f>HYPERLINK("http://www.worldcat.org/oclc/992409784","WorldCat Record")</f>
        <v>WorldCat Record</v>
      </c>
      <c r="AX3235" s="3" t="s">
        <v>27007</v>
      </c>
      <c r="AY3235" s="3" t="s">
        <v>27008</v>
      </c>
      <c r="AZ3235" s="3" t="s">
        <v>27009</v>
      </c>
      <c r="BA3235" s="3" t="s">
        <v>27009</v>
      </c>
      <c r="BB3235" s="3" t="s">
        <v>27010</v>
      </c>
      <c r="BC3235" s="3" t="s">
        <v>82</v>
      </c>
      <c r="BD3235" s="3" t="s">
        <v>70</v>
      </c>
      <c r="BE3235" s="3" t="s">
        <v>27011</v>
      </c>
      <c r="BF3235" s="3" t="s">
        <v>27010</v>
      </c>
      <c r="BG3235" s="3" t="s">
        <v>27012</v>
      </c>
    </row>
    <row r="3236" spans="1:59" ht="60" x14ac:dyDescent="0.25">
      <c r="A3236" s="2" t="s">
        <v>59</v>
      </c>
      <c r="B3236" s="2" t="s">
        <v>60</v>
      </c>
      <c r="C3236" s="2" t="s">
        <v>27013</v>
      </c>
      <c r="D3236" s="2" t="s">
        <v>27014</v>
      </c>
      <c r="E3236" s="2" t="s">
        <v>27015</v>
      </c>
      <c r="F3236" s="3" t="s">
        <v>5684</v>
      </c>
      <c r="G3236" s="3" t="s">
        <v>62</v>
      </c>
      <c r="I3236" s="3" t="s">
        <v>63</v>
      </c>
      <c r="J3236" s="3" t="s">
        <v>63</v>
      </c>
      <c r="K3236" s="3" t="s">
        <v>64</v>
      </c>
      <c r="M3236" s="2" t="s">
        <v>27016</v>
      </c>
      <c r="N3236" s="3" t="s">
        <v>362</v>
      </c>
      <c r="P3236" s="3" t="s">
        <v>66</v>
      </c>
      <c r="Q3236" s="2" t="s">
        <v>27017</v>
      </c>
      <c r="R3236" s="3" t="s">
        <v>67</v>
      </c>
      <c r="S3236" s="4">
        <v>15</v>
      </c>
      <c r="T3236" s="4">
        <v>23</v>
      </c>
      <c r="U3236" s="5" t="s">
        <v>27018</v>
      </c>
      <c r="V3236" s="5" t="s">
        <v>27018</v>
      </c>
      <c r="W3236" s="5" t="s">
        <v>69</v>
      </c>
      <c r="X3236" s="5" t="s">
        <v>69</v>
      </c>
      <c r="Y3236" s="4">
        <v>5</v>
      </c>
      <c r="Z3236" s="4">
        <v>2</v>
      </c>
      <c r="AA3236" s="4">
        <v>15</v>
      </c>
      <c r="AB3236" s="4">
        <v>2</v>
      </c>
      <c r="AC3236" s="4">
        <v>2</v>
      </c>
      <c r="AD3236" s="4">
        <v>2</v>
      </c>
      <c r="AE3236" s="4">
        <v>88</v>
      </c>
      <c r="AF3236" s="4">
        <v>0</v>
      </c>
      <c r="AG3236" s="4">
        <v>0</v>
      </c>
      <c r="AH3236" s="4">
        <v>2</v>
      </c>
      <c r="AI3236" s="4">
        <v>79</v>
      </c>
      <c r="AJ3236" s="4">
        <v>0</v>
      </c>
      <c r="AK3236" s="4">
        <v>11</v>
      </c>
      <c r="AL3236" s="4">
        <v>2</v>
      </c>
      <c r="AM3236" s="4">
        <v>50</v>
      </c>
      <c r="AN3236" s="4">
        <v>0</v>
      </c>
      <c r="AO3236" s="4">
        <v>0</v>
      </c>
      <c r="AP3236" s="4">
        <v>0</v>
      </c>
      <c r="AQ3236" s="4">
        <v>11</v>
      </c>
      <c r="AR3236" s="3" t="s">
        <v>63</v>
      </c>
      <c r="AS3236" s="3" t="s">
        <v>63</v>
      </c>
      <c r="AT3236" s="3" t="s">
        <v>63</v>
      </c>
      <c r="AV3236" s="6" t="str">
        <f>HYPERLINK("http://mcgill.on.worldcat.org/oclc/428074169","Catalog Record")</f>
        <v>Catalog Record</v>
      </c>
      <c r="AW3236" s="6" t="str">
        <f>HYPERLINK("http://www.worldcat.org/oclc/428074169","WorldCat Record")</f>
        <v>WorldCat Record</v>
      </c>
      <c r="AX3236" s="3" t="s">
        <v>27019</v>
      </c>
      <c r="AY3236" s="3" t="s">
        <v>27020</v>
      </c>
      <c r="AZ3236" s="3" t="s">
        <v>27021</v>
      </c>
      <c r="BA3236" s="3" t="s">
        <v>27021</v>
      </c>
      <c r="BB3236" s="3" t="s">
        <v>27022</v>
      </c>
      <c r="BC3236" s="3" t="s">
        <v>82</v>
      </c>
      <c r="BD3236" s="3" t="s">
        <v>70</v>
      </c>
      <c r="BE3236" s="3" t="s">
        <v>27023</v>
      </c>
      <c r="BF3236" s="3" t="s">
        <v>27022</v>
      </c>
      <c r="BG3236" s="3" t="s">
        <v>27024</v>
      </c>
    </row>
    <row r="3237" spans="1:59" ht="60" x14ac:dyDescent="0.25">
      <c r="A3237" s="2" t="s">
        <v>59</v>
      </c>
      <c r="B3237" s="2" t="s">
        <v>60</v>
      </c>
      <c r="C3237" s="2" t="s">
        <v>27013</v>
      </c>
      <c r="D3237" s="2" t="s">
        <v>27014</v>
      </c>
      <c r="E3237" s="2" t="s">
        <v>27015</v>
      </c>
      <c r="F3237" s="3" t="s">
        <v>5696</v>
      </c>
      <c r="G3237" s="3" t="s">
        <v>62</v>
      </c>
      <c r="I3237" s="3" t="s">
        <v>63</v>
      </c>
      <c r="J3237" s="3" t="s">
        <v>63</v>
      </c>
      <c r="K3237" s="3" t="s">
        <v>64</v>
      </c>
      <c r="M3237" s="2" t="s">
        <v>27016</v>
      </c>
      <c r="N3237" s="3" t="s">
        <v>362</v>
      </c>
      <c r="P3237" s="3" t="s">
        <v>66</v>
      </c>
      <c r="Q3237" s="2" t="s">
        <v>27017</v>
      </c>
      <c r="R3237" s="3" t="s">
        <v>67</v>
      </c>
      <c r="S3237" s="4">
        <v>8</v>
      </c>
      <c r="T3237" s="4">
        <v>23</v>
      </c>
      <c r="U3237" s="5" t="s">
        <v>27018</v>
      </c>
      <c r="V3237" s="5" t="s">
        <v>27018</v>
      </c>
      <c r="W3237" s="5" t="s">
        <v>69</v>
      </c>
      <c r="X3237" s="5" t="s">
        <v>69</v>
      </c>
      <c r="Y3237" s="4">
        <v>5</v>
      </c>
      <c r="Z3237" s="4">
        <v>2</v>
      </c>
      <c r="AA3237" s="4">
        <v>15</v>
      </c>
      <c r="AB3237" s="4">
        <v>2</v>
      </c>
      <c r="AC3237" s="4">
        <v>2</v>
      </c>
      <c r="AD3237" s="4">
        <v>2</v>
      </c>
      <c r="AE3237" s="4">
        <v>88</v>
      </c>
      <c r="AF3237" s="4">
        <v>0</v>
      </c>
      <c r="AG3237" s="4">
        <v>0</v>
      </c>
      <c r="AH3237" s="4">
        <v>2</v>
      </c>
      <c r="AI3237" s="4">
        <v>79</v>
      </c>
      <c r="AJ3237" s="4">
        <v>0</v>
      </c>
      <c r="AK3237" s="4">
        <v>11</v>
      </c>
      <c r="AL3237" s="4">
        <v>2</v>
      </c>
      <c r="AM3237" s="4">
        <v>50</v>
      </c>
      <c r="AN3237" s="4">
        <v>0</v>
      </c>
      <c r="AO3237" s="4">
        <v>0</v>
      </c>
      <c r="AP3237" s="4">
        <v>0</v>
      </c>
      <c r="AQ3237" s="4">
        <v>11</v>
      </c>
      <c r="AR3237" s="3" t="s">
        <v>63</v>
      </c>
      <c r="AS3237" s="3" t="s">
        <v>63</v>
      </c>
      <c r="AT3237" s="3" t="s">
        <v>63</v>
      </c>
      <c r="AV3237" s="6" t="str">
        <f>HYPERLINK("http://mcgill.on.worldcat.org/oclc/428074169","Catalog Record")</f>
        <v>Catalog Record</v>
      </c>
      <c r="AW3237" s="6" t="str">
        <f>HYPERLINK("http://www.worldcat.org/oclc/428074169","WorldCat Record")</f>
        <v>WorldCat Record</v>
      </c>
      <c r="AX3237" s="3" t="s">
        <v>27019</v>
      </c>
      <c r="AY3237" s="3" t="s">
        <v>27020</v>
      </c>
      <c r="AZ3237" s="3" t="s">
        <v>27021</v>
      </c>
      <c r="BA3237" s="3" t="s">
        <v>27021</v>
      </c>
      <c r="BB3237" s="3" t="s">
        <v>27025</v>
      </c>
      <c r="BC3237" s="3" t="s">
        <v>82</v>
      </c>
      <c r="BD3237" s="3" t="s">
        <v>70</v>
      </c>
      <c r="BE3237" s="3" t="s">
        <v>27023</v>
      </c>
      <c r="BF3237" s="3" t="s">
        <v>27025</v>
      </c>
      <c r="BG3237" s="3" t="s">
        <v>27026</v>
      </c>
    </row>
    <row r="3238" spans="1:59" ht="60" x14ac:dyDescent="0.25">
      <c r="A3238" s="2" t="s">
        <v>59</v>
      </c>
      <c r="B3238" s="2" t="s">
        <v>60</v>
      </c>
      <c r="C3238" s="2" t="s">
        <v>27027</v>
      </c>
      <c r="D3238" s="2" t="s">
        <v>27028</v>
      </c>
      <c r="E3238" s="2" t="s">
        <v>27029</v>
      </c>
      <c r="G3238" s="3" t="s">
        <v>63</v>
      </c>
      <c r="I3238" s="3" t="s">
        <v>62</v>
      </c>
      <c r="J3238" s="3" t="s">
        <v>63</v>
      </c>
      <c r="K3238" s="3" t="s">
        <v>64</v>
      </c>
      <c r="L3238" s="2" t="s">
        <v>27030</v>
      </c>
      <c r="M3238" s="2" t="s">
        <v>27031</v>
      </c>
      <c r="N3238" s="3" t="s">
        <v>2951</v>
      </c>
      <c r="P3238" s="3" t="s">
        <v>66</v>
      </c>
      <c r="R3238" s="3" t="s">
        <v>67</v>
      </c>
      <c r="S3238" s="4">
        <v>6</v>
      </c>
      <c r="T3238" s="4">
        <v>19</v>
      </c>
      <c r="U3238" s="5" t="s">
        <v>13982</v>
      </c>
      <c r="V3238" s="5" t="s">
        <v>13982</v>
      </c>
      <c r="W3238" s="5" t="s">
        <v>69</v>
      </c>
      <c r="X3238" s="5" t="s">
        <v>69</v>
      </c>
      <c r="Y3238" s="4">
        <v>760</v>
      </c>
      <c r="Z3238" s="4">
        <v>38</v>
      </c>
      <c r="AA3238" s="4">
        <v>44</v>
      </c>
      <c r="AB3238" s="4">
        <v>3</v>
      </c>
      <c r="AC3238" s="4">
        <v>7</v>
      </c>
      <c r="AD3238" s="4">
        <v>124</v>
      </c>
      <c r="AE3238" s="4">
        <v>128</v>
      </c>
      <c r="AF3238" s="4">
        <v>1</v>
      </c>
      <c r="AG3238" s="4">
        <v>4</v>
      </c>
      <c r="AH3238" s="4">
        <v>104</v>
      </c>
      <c r="AI3238" s="4">
        <v>105</v>
      </c>
      <c r="AJ3238" s="4">
        <v>20</v>
      </c>
      <c r="AK3238" s="4">
        <v>23</v>
      </c>
      <c r="AL3238" s="4">
        <v>56</v>
      </c>
      <c r="AM3238" s="4">
        <v>56</v>
      </c>
      <c r="AN3238" s="4">
        <v>0</v>
      </c>
      <c r="AO3238" s="4">
        <v>0</v>
      </c>
      <c r="AP3238" s="4">
        <v>26</v>
      </c>
      <c r="AQ3238" s="4">
        <v>29</v>
      </c>
      <c r="AR3238" s="3" t="s">
        <v>63</v>
      </c>
      <c r="AS3238" s="3" t="s">
        <v>63</v>
      </c>
      <c r="AT3238" s="3" t="s">
        <v>62</v>
      </c>
      <c r="AU3238" s="6" t="str">
        <f>HYPERLINK("http://catalog.hathitrust.org/Record/000731368","HathiTrust Record")</f>
        <v>HathiTrust Record</v>
      </c>
      <c r="AV3238" s="6" t="str">
        <f>HYPERLINK("http://mcgill.on.worldcat.org/oclc/6331623","Catalog Record")</f>
        <v>Catalog Record</v>
      </c>
      <c r="AW3238" s="6" t="str">
        <f>HYPERLINK("http://www.worldcat.org/oclc/6331623","WorldCat Record")</f>
        <v>WorldCat Record</v>
      </c>
      <c r="AX3238" s="3" t="s">
        <v>27032</v>
      </c>
      <c r="AY3238" s="3" t="s">
        <v>27033</v>
      </c>
      <c r="AZ3238" s="3" t="s">
        <v>27034</v>
      </c>
      <c r="BA3238" s="3" t="s">
        <v>27034</v>
      </c>
      <c r="BB3238" s="3" t="s">
        <v>27035</v>
      </c>
      <c r="BC3238" s="3" t="s">
        <v>82</v>
      </c>
      <c r="BD3238" s="3" t="s">
        <v>70</v>
      </c>
      <c r="BE3238" s="3" t="s">
        <v>27036</v>
      </c>
      <c r="BF3238" s="3" t="s">
        <v>27035</v>
      </c>
      <c r="BG3238" s="3" t="s">
        <v>27037</v>
      </c>
    </row>
    <row r="3239" spans="1:59" ht="60" x14ac:dyDescent="0.25">
      <c r="A3239" s="2" t="s">
        <v>59</v>
      </c>
      <c r="B3239" s="2" t="s">
        <v>60</v>
      </c>
      <c r="C3239" s="2" t="s">
        <v>27027</v>
      </c>
      <c r="D3239" s="2" t="s">
        <v>27028</v>
      </c>
      <c r="E3239" s="2" t="s">
        <v>27029</v>
      </c>
      <c r="G3239" s="3" t="s">
        <v>63</v>
      </c>
      <c r="I3239" s="3" t="s">
        <v>62</v>
      </c>
      <c r="J3239" s="3" t="s">
        <v>63</v>
      </c>
      <c r="K3239" s="3" t="s">
        <v>64</v>
      </c>
      <c r="L3239" s="2" t="s">
        <v>27030</v>
      </c>
      <c r="M3239" s="2" t="s">
        <v>27031</v>
      </c>
      <c r="N3239" s="3" t="s">
        <v>2951</v>
      </c>
      <c r="P3239" s="3" t="s">
        <v>66</v>
      </c>
      <c r="R3239" s="3" t="s">
        <v>67</v>
      </c>
      <c r="S3239" s="4">
        <v>13</v>
      </c>
      <c r="T3239" s="4">
        <v>19</v>
      </c>
      <c r="U3239" s="5" t="s">
        <v>27038</v>
      </c>
      <c r="V3239" s="5" t="s">
        <v>13982</v>
      </c>
      <c r="W3239" s="5" t="s">
        <v>69</v>
      </c>
      <c r="X3239" s="5" t="s">
        <v>69</v>
      </c>
      <c r="Y3239" s="4">
        <v>760</v>
      </c>
      <c r="Z3239" s="4">
        <v>38</v>
      </c>
      <c r="AA3239" s="4">
        <v>44</v>
      </c>
      <c r="AB3239" s="4">
        <v>3</v>
      </c>
      <c r="AC3239" s="4">
        <v>7</v>
      </c>
      <c r="AD3239" s="4">
        <v>124</v>
      </c>
      <c r="AE3239" s="4">
        <v>128</v>
      </c>
      <c r="AF3239" s="4">
        <v>1</v>
      </c>
      <c r="AG3239" s="4">
        <v>4</v>
      </c>
      <c r="AH3239" s="4">
        <v>104</v>
      </c>
      <c r="AI3239" s="4">
        <v>105</v>
      </c>
      <c r="AJ3239" s="4">
        <v>20</v>
      </c>
      <c r="AK3239" s="4">
        <v>23</v>
      </c>
      <c r="AL3239" s="4">
        <v>56</v>
      </c>
      <c r="AM3239" s="4">
        <v>56</v>
      </c>
      <c r="AN3239" s="4">
        <v>0</v>
      </c>
      <c r="AO3239" s="4">
        <v>0</v>
      </c>
      <c r="AP3239" s="4">
        <v>26</v>
      </c>
      <c r="AQ3239" s="4">
        <v>29</v>
      </c>
      <c r="AR3239" s="3" t="s">
        <v>63</v>
      </c>
      <c r="AS3239" s="3" t="s">
        <v>63</v>
      </c>
      <c r="AT3239" s="3" t="s">
        <v>62</v>
      </c>
      <c r="AU3239" s="6" t="str">
        <f>HYPERLINK("http://catalog.hathitrust.org/Record/000731368","HathiTrust Record")</f>
        <v>HathiTrust Record</v>
      </c>
      <c r="AV3239" s="6" t="str">
        <f>HYPERLINK("http://mcgill.on.worldcat.org/oclc/6331623","Catalog Record")</f>
        <v>Catalog Record</v>
      </c>
      <c r="AW3239" s="6" t="str">
        <f>HYPERLINK("http://www.worldcat.org/oclc/6331623","WorldCat Record")</f>
        <v>WorldCat Record</v>
      </c>
      <c r="AX3239" s="3" t="s">
        <v>27032</v>
      </c>
      <c r="AY3239" s="3" t="s">
        <v>27033</v>
      </c>
      <c r="AZ3239" s="3" t="s">
        <v>27034</v>
      </c>
      <c r="BA3239" s="3" t="s">
        <v>27034</v>
      </c>
      <c r="BB3239" s="3" t="s">
        <v>27039</v>
      </c>
      <c r="BC3239" s="3" t="s">
        <v>82</v>
      </c>
      <c r="BD3239" s="3" t="s">
        <v>70</v>
      </c>
      <c r="BE3239" s="3" t="s">
        <v>27036</v>
      </c>
      <c r="BF3239" s="3" t="s">
        <v>27039</v>
      </c>
      <c r="BG3239" s="3" t="s">
        <v>27040</v>
      </c>
    </row>
    <row r="3240" spans="1:59" ht="60" x14ac:dyDescent="0.25">
      <c r="A3240" s="2" t="s">
        <v>59</v>
      </c>
      <c r="B3240" s="2" t="s">
        <v>60</v>
      </c>
      <c r="C3240" s="2" t="s">
        <v>27041</v>
      </c>
      <c r="D3240" s="2" t="s">
        <v>27042</v>
      </c>
      <c r="E3240" s="2" t="s">
        <v>27043</v>
      </c>
      <c r="G3240" s="3" t="s">
        <v>63</v>
      </c>
      <c r="I3240" s="3" t="s">
        <v>62</v>
      </c>
      <c r="J3240" s="3" t="s">
        <v>63</v>
      </c>
      <c r="K3240" s="3" t="s">
        <v>64</v>
      </c>
      <c r="L3240" s="2" t="s">
        <v>27044</v>
      </c>
      <c r="M3240" s="2" t="s">
        <v>454</v>
      </c>
      <c r="N3240" s="3" t="s">
        <v>455</v>
      </c>
      <c r="P3240" s="3" t="s">
        <v>66</v>
      </c>
      <c r="Q3240" s="2" t="s">
        <v>5294</v>
      </c>
      <c r="R3240" s="3" t="s">
        <v>67</v>
      </c>
      <c r="S3240" s="4">
        <v>14</v>
      </c>
      <c r="T3240" s="4">
        <v>32</v>
      </c>
      <c r="U3240" s="5" t="s">
        <v>26984</v>
      </c>
      <c r="V3240" s="5" t="s">
        <v>14693</v>
      </c>
      <c r="W3240" s="5" t="s">
        <v>69</v>
      </c>
      <c r="X3240" s="5" t="s">
        <v>69</v>
      </c>
      <c r="Y3240" s="4">
        <v>652</v>
      </c>
      <c r="Z3240" s="4">
        <v>40</v>
      </c>
      <c r="AA3240" s="4">
        <v>43</v>
      </c>
      <c r="AB3240" s="4">
        <v>2</v>
      </c>
      <c r="AC3240" s="4">
        <v>5</v>
      </c>
      <c r="AD3240" s="4">
        <v>132</v>
      </c>
      <c r="AE3240" s="4">
        <v>134</v>
      </c>
      <c r="AF3240" s="4">
        <v>1</v>
      </c>
      <c r="AG3240" s="4">
        <v>3</v>
      </c>
      <c r="AH3240" s="4">
        <v>110</v>
      </c>
      <c r="AI3240" s="4">
        <v>110</v>
      </c>
      <c r="AJ3240" s="4">
        <v>19</v>
      </c>
      <c r="AK3240" s="4">
        <v>21</v>
      </c>
      <c r="AL3240" s="4">
        <v>60</v>
      </c>
      <c r="AM3240" s="4">
        <v>60</v>
      </c>
      <c r="AN3240" s="4">
        <v>0</v>
      </c>
      <c r="AO3240" s="4">
        <v>0</v>
      </c>
      <c r="AP3240" s="4">
        <v>29</v>
      </c>
      <c r="AQ3240" s="4">
        <v>30</v>
      </c>
      <c r="AR3240" s="3" t="s">
        <v>63</v>
      </c>
      <c r="AS3240" s="3" t="s">
        <v>63</v>
      </c>
      <c r="AT3240" s="3" t="s">
        <v>63</v>
      </c>
      <c r="AV3240" s="6" t="str">
        <f>HYPERLINK("http://mcgill.on.worldcat.org/oclc/10123462","Catalog Record")</f>
        <v>Catalog Record</v>
      </c>
      <c r="AW3240" s="6" t="str">
        <f>HYPERLINK("http://www.worldcat.org/oclc/10123462","WorldCat Record")</f>
        <v>WorldCat Record</v>
      </c>
      <c r="AX3240" s="3" t="s">
        <v>27045</v>
      </c>
      <c r="AY3240" s="3" t="s">
        <v>27046</v>
      </c>
      <c r="AZ3240" s="3" t="s">
        <v>27047</v>
      </c>
      <c r="BA3240" s="3" t="s">
        <v>27047</v>
      </c>
      <c r="BB3240" s="3" t="s">
        <v>27048</v>
      </c>
      <c r="BC3240" s="3" t="s">
        <v>82</v>
      </c>
      <c r="BD3240" s="3" t="s">
        <v>70</v>
      </c>
      <c r="BE3240" s="3" t="s">
        <v>27049</v>
      </c>
      <c r="BF3240" s="3" t="s">
        <v>27048</v>
      </c>
      <c r="BG3240" s="3" t="s">
        <v>27050</v>
      </c>
    </row>
    <row r="3241" spans="1:59" ht="60" x14ac:dyDescent="0.25">
      <c r="A3241" s="2" t="s">
        <v>59</v>
      </c>
      <c r="B3241" s="2" t="s">
        <v>60</v>
      </c>
      <c r="C3241" s="2" t="s">
        <v>27041</v>
      </c>
      <c r="D3241" s="2" t="s">
        <v>27042</v>
      </c>
      <c r="E3241" s="2" t="s">
        <v>27043</v>
      </c>
      <c r="G3241" s="3" t="s">
        <v>63</v>
      </c>
      <c r="I3241" s="3" t="s">
        <v>62</v>
      </c>
      <c r="J3241" s="3" t="s">
        <v>63</v>
      </c>
      <c r="K3241" s="3" t="s">
        <v>64</v>
      </c>
      <c r="L3241" s="2" t="s">
        <v>27044</v>
      </c>
      <c r="M3241" s="2" t="s">
        <v>454</v>
      </c>
      <c r="N3241" s="3" t="s">
        <v>455</v>
      </c>
      <c r="P3241" s="3" t="s">
        <v>66</v>
      </c>
      <c r="Q3241" s="2" t="s">
        <v>5294</v>
      </c>
      <c r="R3241" s="3" t="s">
        <v>67</v>
      </c>
      <c r="S3241" s="4">
        <v>18</v>
      </c>
      <c r="T3241" s="4">
        <v>32</v>
      </c>
      <c r="U3241" s="5" t="s">
        <v>14693</v>
      </c>
      <c r="V3241" s="5" t="s">
        <v>14693</v>
      </c>
      <c r="W3241" s="5" t="s">
        <v>69</v>
      </c>
      <c r="X3241" s="5" t="s">
        <v>69</v>
      </c>
      <c r="Y3241" s="4">
        <v>652</v>
      </c>
      <c r="Z3241" s="4">
        <v>40</v>
      </c>
      <c r="AA3241" s="4">
        <v>43</v>
      </c>
      <c r="AB3241" s="4">
        <v>2</v>
      </c>
      <c r="AC3241" s="4">
        <v>5</v>
      </c>
      <c r="AD3241" s="4">
        <v>132</v>
      </c>
      <c r="AE3241" s="4">
        <v>134</v>
      </c>
      <c r="AF3241" s="4">
        <v>1</v>
      </c>
      <c r="AG3241" s="4">
        <v>3</v>
      </c>
      <c r="AH3241" s="4">
        <v>110</v>
      </c>
      <c r="AI3241" s="4">
        <v>110</v>
      </c>
      <c r="AJ3241" s="4">
        <v>19</v>
      </c>
      <c r="AK3241" s="4">
        <v>21</v>
      </c>
      <c r="AL3241" s="4">
        <v>60</v>
      </c>
      <c r="AM3241" s="4">
        <v>60</v>
      </c>
      <c r="AN3241" s="4">
        <v>0</v>
      </c>
      <c r="AO3241" s="4">
        <v>0</v>
      </c>
      <c r="AP3241" s="4">
        <v>29</v>
      </c>
      <c r="AQ3241" s="4">
        <v>30</v>
      </c>
      <c r="AR3241" s="3" t="s">
        <v>63</v>
      </c>
      <c r="AS3241" s="3" t="s">
        <v>63</v>
      </c>
      <c r="AT3241" s="3" t="s">
        <v>63</v>
      </c>
      <c r="AV3241" s="6" t="str">
        <f>HYPERLINK("http://mcgill.on.worldcat.org/oclc/10123462","Catalog Record")</f>
        <v>Catalog Record</v>
      </c>
      <c r="AW3241" s="6" t="str">
        <f>HYPERLINK("http://www.worldcat.org/oclc/10123462","WorldCat Record")</f>
        <v>WorldCat Record</v>
      </c>
      <c r="AX3241" s="3" t="s">
        <v>27045</v>
      </c>
      <c r="AY3241" s="3" t="s">
        <v>27046</v>
      </c>
      <c r="AZ3241" s="3" t="s">
        <v>27047</v>
      </c>
      <c r="BA3241" s="3" t="s">
        <v>27047</v>
      </c>
      <c r="BB3241" s="3" t="s">
        <v>27051</v>
      </c>
      <c r="BC3241" s="3" t="s">
        <v>82</v>
      </c>
      <c r="BD3241" s="3" t="s">
        <v>70</v>
      </c>
      <c r="BE3241" s="3" t="s">
        <v>27049</v>
      </c>
      <c r="BF3241" s="3" t="s">
        <v>27051</v>
      </c>
      <c r="BG3241" s="3" t="s">
        <v>27052</v>
      </c>
    </row>
    <row r="3242" spans="1:59" ht="60" x14ac:dyDescent="0.25">
      <c r="A3242" s="2" t="s">
        <v>59</v>
      </c>
      <c r="B3242" s="2" t="s">
        <v>60</v>
      </c>
      <c r="C3242" s="2" t="s">
        <v>27053</v>
      </c>
      <c r="D3242" s="2" t="s">
        <v>27054</v>
      </c>
      <c r="E3242" s="2" t="s">
        <v>27055</v>
      </c>
      <c r="G3242" s="3" t="s">
        <v>63</v>
      </c>
      <c r="I3242" s="3" t="s">
        <v>63</v>
      </c>
      <c r="J3242" s="3" t="s">
        <v>63</v>
      </c>
      <c r="K3242" s="3" t="s">
        <v>64</v>
      </c>
      <c r="L3242" s="2" t="s">
        <v>27056</v>
      </c>
      <c r="M3242" s="2" t="s">
        <v>27057</v>
      </c>
      <c r="N3242" s="3" t="s">
        <v>2765</v>
      </c>
      <c r="P3242" s="3" t="s">
        <v>66</v>
      </c>
      <c r="R3242" s="3" t="s">
        <v>67</v>
      </c>
      <c r="S3242" s="4">
        <v>2</v>
      </c>
      <c r="T3242" s="4">
        <v>2</v>
      </c>
      <c r="U3242" s="5" t="s">
        <v>27058</v>
      </c>
      <c r="V3242" s="5" t="s">
        <v>27058</v>
      </c>
      <c r="W3242" s="5" t="s">
        <v>69</v>
      </c>
      <c r="X3242" s="5" t="s">
        <v>69</v>
      </c>
      <c r="Y3242" s="4">
        <v>648</v>
      </c>
      <c r="Z3242" s="4">
        <v>20</v>
      </c>
      <c r="AA3242" s="4">
        <v>24</v>
      </c>
      <c r="AB3242" s="4">
        <v>1</v>
      </c>
      <c r="AC3242" s="4">
        <v>4</v>
      </c>
      <c r="AD3242" s="4">
        <v>76</v>
      </c>
      <c r="AE3242" s="4">
        <v>78</v>
      </c>
      <c r="AF3242" s="4">
        <v>0</v>
      </c>
      <c r="AG3242" s="4">
        <v>0</v>
      </c>
      <c r="AH3242" s="4">
        <v>72</v>
      </c>
      <c r="AI3242" s="4">
        <v>73</v>
      </c>
      <c r="AJ3242" s="4">
        <v>8</v>
      </c>
      <c r="AK3242" s="4">
        <v>9</v>
      </c>
      <c r="AL3242" s="4">
        <v>48</v>
      </c>
      <c r="AM3242" s="4">
        <v>48</v>
      </c>
      <c r="AN3242" s="4">
        <v>0</v>
      </c>
      <c r="AO3242" s="4">
        <v>0</v>
      </c>
      <c r="AP3242" s="4">
        <v>8</v>
      </c>
      <c r="AQ3242" s="4">
        <v>9</v>
      </c>
      <c r="AR3242" s="3" t="s">
        <v>63</v>
      </c>
      <c r="AS3242" s="3" t="s">
        <v>63</v>
      </c>
      <c r="AT3242" s="3" t="s">
        <v>63</v>
      </c>
      <c r="AV3242" s="6" t="str">
        <f>HYPERLINK("http://mcgill.on.worldcat.org/oclc/897946344","Catalog Record")</f>
        <v>Catalog Record</v>
      </c>
      <c r="AW3242" s="6" t="str">
        <f>HYPERLINK("http://www.worldcat.org/oclc/897946344","WorldCat Record")</f>
        <v>WorldCat Record</v>
      </c>
      <c r="AX3242" s="3" t="s">
        <v>27059</v>
      </c>
      <c r="AY3242" s="3" t="s">
        <v>27060</v>
      </c>
      <c r="AZ3242" s="3" t="s">
        <v>27061</v>
      </c>
      <c r="BA3242" s="3" t="s">
        <v>27061</v>
      </c>
      <c r="BB3242" s="3" t="s">
        <v>27062</v>
      </c>
      <c r="BC3242" s="3" t="s">
        <v>82</v>
      </c>
      <c r="BD3242" s="3" t="s">
        <v>70</v>
      </c>
      <c r="BE3242" s="3" t="s">
        <v>27063</v>
      </c>
      <c r="BF3242" s="3" t="s">
        <v>27062</v>
      </c>
      <c r="BG3242" s="3" t="s">
        <v>27064</v>
      </c>
    </row>
    <row r="3243" spans="1:59" ht="60" x14ac:dyDescent="0.25">
      <c r="A3243" s="2" t="s">
        <v>59</v>
      </c>
      <c r="B3243" s="2" t="s">
        <v>60</v>
      </c>
      <c r="C3243" s="2" t="s">
        <v>27065</v>
      </c>
      <c r="D3243" s="2" t="s">
        <v>27066</v>
      </c>
      <c r="E3243" s="2" t="s">
        <v>27067</v>
      </c>
      <c r="G3243" s="3" t="s">
        <v>63</v>
      </c>
      <c r="I3243" s="3" t="s">
        <v>63</v>
      </c>
      <c r="J3243" s="3" t="s">
        <v>63</v>
      </c>
      <c r="K3243" s="3" t="s">
        <v>64</v>
      </c>
      <c r="L3243" s="2" t="s">
        <v>13408</v>
      </c>
      <c r="M3243" s="2" t="s">
        <v>27068</v>
      </c>
      <c r="N3243" s="3" t="s">
        <v>826</v>
      </c>
      <c r="P3243" s="3" t="s">
        <v>66</v>
      </c>
      <c r="R3243" s="3" t="s">
        <v>67</v>
      </c>
      <c r="S3243" s="4">
        <v>28</v>
      </c>
      <c r="T3243" s="4">
        <v>28</v>
      </c>
      <c r="U3243" s="5" t="s">
        <v>27018</v>
      </c>
      <c r="V3243" s="5" t="s">
        <v>27018</v>
      </c>
      <c r="W3243" s="5" t="s">
        <v>69</v>
      </c>
      <c r="X3243" s="5" t="s">
        <v>69</v>
      </c>
      <c r="Y3243" s="4">
        <v>932</v>
      </c>
      <c r="Z3243" s="4">
        <v>45</v>
      </c>
      <c r="AA3243" s="4">
        <v>48</v>
      </c>
      <c r="AB3243" s="4">
        <v>4</v>
      </c>
      <c r="AC3243" s="4">
        <v>6</v>
      </c>
      <c r="AD3243" s="4">
        <v>130</v>
      </c>
      <c r="AE3243" s="4">
        <v>133</v>
      </c>
      <c r="AF3243" s="4">
        <v>2</v>
      </c>
      <c r="AG3243" s="4">
        <v>4</v>
      </c>
      <c r="AH3243" s="4">
        <v>105</v>
      </c>
      <c r="AI3243" s="4">
        <v>105</v>
      </c>
      <c r="AJ3243" s="4">
        <v>22</v>
      </c>
      <c r="AK3243" s="4">
        <v>24</v>
      </c>
      <c r="AL3243" s="4">
        <v>56</v>
      </c>
      <c r="AM3243" s="4">
        <v>56</v>
      </c>
      <c r="AN3243" s="4">
        <v>0</v>
      </c>
      <c r="AO3243" s="4">
        <v>0</v>
      </c>
      <c r="AP3243" s="4">
        <v>32</v>
      </c>
      <c r="AQ3243" s="4">
        <v>34</v>
      </c>
      <c r="AR3243" s="3" t="s">
        <v>63</v>
      </c>
      <c r="AS3243" s="3" t="s">
        <v>63</v>
      </c>
      <c r="AT3243" s="3" t="s">
        <v>63</v>
      </c>
      <c r="AV3243" s="6" t="str">
        <f>HYPERLINK("http://mcgill.on.worldcat.org/oclc/163697","Catalog Record")</f>
        <v>Catalog Record</v>
      </c>
      <c r="AW3243" s="6" t="str">
        <f>HYPERLINK("http://www.worldcat.org/oclc/163697","WorldCat Record")</f>
        <v>WorldCat Record</v>
      </c>
      <c r="AX3243" s="3" t="s">
        <v>27069</v>
      </c>
      <c r="AY3243" s="3" t="s">
        <v>27070</v>
      </c>
      <c r="AZ3243" s="3" t="s">
        <v>27071</v>
      </c>
      <c r="BA3243" s="3" t="s">
        <v>27071</v>
      </c>
      <c r="BB3243" s="3" t="s">
        <v>27072</v>
      </c>
      <c r="BC3243" s="3" t="s">
        <v>82</v>
      </c>
      <c r="BD3243" s="3" t="s">
        <v>70</v>
      </c>
      <c r="BE3243" s="3" t="s">
        <v>27073</v>
      </c>
      <c r="BF3243" s="3" t="s">
        <v>27072</v>
      </c>
      <c r="BG3243" s="3" t="s">
        <v>27074</v>
      </c>
    </row>
    <row r="3244" spans="1:59" ht="60" x14ac:dyDescent="0.25">
      <c r="A3244" s="2" t="s">
        <v>59</v>
      </c>
      <c r="B3244" s="2" t="s">
        <v>60</v>
      </c>
      <c r="C3244" s="2" t="s">
        <v>27075</v>
      </c>
      <c r="D3244" s="2" t="s">
        <v>27076</v>
      </c>
      <c r="E3244" s="2" t="s">
        <v>27077</v>
      </c>
      <c r="G3244" s="3" t="s">
        <v>63</v>
      </c>
      <c r="I3244" s="3" t="s">
        <v>63</v>
      </c>
      <c r="J3244" s="3" t="s">
        <v>63</v>
      </c>
      <c r="K3244" s="3" t="s">
        <v>64</v>
      </c>
      <c r="L3244" s="2" t="s">
        <v>27078</v>
      </c>
      <c r="M3244" s="2" t="s">
        <v>27079</v>
      </c>
      <c r="N3244" s="3" t="s">
        <v>130</v>
      </c>
      <c r="P3244" s="3" t="s">
        <v>66</v>
      </c>
      <c r="R3244" s="3" t="s">
        <v>67</v>
      </c>
      <c r="S3244" s="4">
        <v>1</v>
      </c>
      <c r="T3244" s="4">
        <v>1</v>
      </c>
      <c r="U3244" s="5" t="s">
        <v>16168</v>
      </c>
      <c r="V3244" s="5" t="s">
        <v>16168</v>
      </c>
      <c r="W3244" s="5" t="s">
        <v>69</v>
      </c>
      <c r="X3244" s="5" t="s">
        <v>69</v>
      </c>
      <c r="Y3244" s="4">
        <v>616</v>
      </c>
      <c r="Z3244" s="4">
        <v>26</v>
      </c>
      <c r="AA3244" s="4">
        <v>36</v>
      </c>
      <c r="AB3244" s="4">
        <v>1</v>
      </c>
      <c r="AC3244" s="4">
        <v>3</v>
      </c>
      <c r="AD3244" s="4">
        <v>79</v>
      </c>
      <c r="AE3244" s="4">
        <v>82</v>
      </c>
      <c r="AF3244" s="4">
        <v>0</v>
      </c>
      <c r="AG3244" s="4">
        <v>0</v>
      </c>
      <c r="AH3244" s="4">
        <v>74</v>
      </c>
      <c r="AI3244" s="4">
        <v>76</v>
      </c>
      <c r="AJ3244" s="4">
        <v>10</v>
      </c>
      <c r="AK3244" s="4">
        <v>11</v>
      </c>
      <c r="AL3244" s="4">
        <v>47</v>
      </c>
      <c r="AM3244" s="4">
        <v>47</v>
      </c>
      <c r="AN3244" s="4">
        <v>0</v>
      </c>
      <c r="AO3244" s="4">
        <v>0</v>
      </c>
      <c r="AP3244" s="4">
        <v>11</v>
      </c>
      <c r="AQ3244" s="4">
        <v>12</v>
      </c>
      <c r="AR3244" s="3" t="s">
        <v>63</v>
      </c>
      <c r="AS3244" s="3" t="s">
        <v>63</v>
      </c>
      <c r="AT3244" s="3" t="s">
        <v>63</v>
      </c>
      <c r="AV3244" s="6" t="str">
        <f>HYPERLINK("http://mcgill.on.worldcat.org/oclc/785079139","Catalog Record")</f>
        <v>Catalog Record</v>
      </c>
      <c r="AW3244" s="6" t="str">
        <f>HYPERLINK("http://www.worldcat.org/oclc/785079139","WorldCat Record")</f>
        <v>WorldCat Record</v>
      </c>
      <c r="AX3244" s="3" t="s">
        <v>27080</v>
      </c>
      <c r="AY3244" s="3" t="s">
        <v>27081</v>
      </c>
      <c r="AZ3244" s="3" t="s">
        <v>27082</v>
      </c>
      <c r="BA3244" s="3" t="s">
        <v>27082</v>
      </c>
      <c r="BB3244" s="3" t="s">
        <v>27083</v>
      </c>
      <c r="BC3244" s="3" t="s">
        <v>82</v>
      </c>
      <c r="BD3244" s="3" t="s">
        <v>70</v>
      </c>
      <c r="BE3244" s="3" t="s">
        <v>27084</v>
      </c>
      <c r="BF3244" s="3" t="s">
        <v>27083</v>
      </c>
      <c r="BG3244" s="3" t="s">
        <v>27085</v>
      </c>
    </row>
    <row r="3245" spans="1:59" ht="60" x14ac:dyDescent="0.25">
      <c r="A3245" s="2" t="s">
        <v>59</v>
      </c>
      <c r="B3245" s="2" t="s">
        <v>60</v>
      </c>
      <c r="C3245" s="2" t="s">
        <v>27086</v>
      </c>
      <c r="D3245" s="2" t="s">
        <v>27087</v>
      </c>
      <c r="E3245" s="2" t="s">
        <v>27088</v>
      </c>
      <c r="G3245" s="3" t="s">
        <v>63</v>
      </c>
      <c r="I3245" s="3" t="s">
        <v>63</v>
      </c>
      <c r="J3245" s="3" t="s">
        <v>63</v>
      </c>
      <c r="K3245" s="3" t="s">
        <v>64</v>
      </c>
      <c r="M3245" s="2" t="s">
        <v>27089</v>
      </c>
      <c r="N3245" s="3" t="s">
        <v>1343</v>
      </c>
      <c r="P3245" s="3" t="s">
        <v>66</v>
      </c>
      <c r="Q3245" s="2" t="s">
        <v>27090</v>
      </c>
      <c r="R3245" s="3" t="s">
        <v>67</v>
      </c>
      <c r="S3245" s="4">
        <v>9</v>
      </c>
      <c r="T3245" s="4">
        <v>9</v>
      </c>
      <c r="U3245" s="5" t="s">
        <v>27091</v>
      </c>
      <c r="V3245" s="5" t="s">
        <v>27091</v>
      </c>
      <c r="W3245" s="5" t="s">
        <v>69</v>
      </c>
      <c r="X3245" s="5" t="s">
        <v>69</v>
      </c>
      <c r="Y3245" s="4">
        <v>31</v>
      </c>
      <c r="Z3245" s="4">
        <v>6</v>
      </c>
      <c r="AA3245" s="4">
        <v>10</v>
      </c>
      <c r="AB3245" s="4">
        <v>1</v>
      </c>
      <c r="AC3245" s="4">
        <v>2</v>
      </c>
      <c r="AD3245" s="4">
        <v>14</v>
      </c>
      <c r="AE3245" s="4">
        <v>69</v>
      </c>
      <c r="AF3245" s="4">
        <v>0</v>
      </c>
      <c r="AG3245" s="4">
        <v>1</v>
      </c>
      <c r="AH3245" s="4">
        <v>11</v>
      </c>
      <c r="AI3245" s="4">
        <v>64</v>
      </c>
      <c r="AJ3245" s="4">
        <v>4</v>
      </c>
      <c r="AK3245" s="4">
        <v>8</v>
      </c>
      <c r="AL3245" s="4">
        <v>7</v>
      </c>
      <c r="AM3245" s="4">
        <v>43</v>
      </c>
      <c r="AN3245" s="4">
        <v>0</v>
      </c>
      <c r="AO3245" s="4">
        <v>0</v>
      </c>
      <c r="AP3245" s="4">
        <v>4</v>
      </c>
      <c r="AQ3245" s="4">
        <v>8</v>
      </c>
      <c r="AR3245" s="3" t="s">
        <v>63</v>
      </c>
      <c r="AS3245" s="3" t="s">
        <v>63</v>
      </c>
      <c r="AT3245" s="3" t="s">
        <v>62</v>
      </c>
      <c r="AU3245" s="6" t="str">
        <f>HYPERLINK("http://catalog.hathitrust.org/Record/003550366","HathiTrust Record")</f>
        <v>HathiTrust Record</v>
      </c>
      <c r="AV3245" s="6" t="str">
        <f>HYPERLINK("http://mcgill.on.worldcat.org/oclc/237397047","Catalog Record")</f>
        <v>Catalog Record</v>
      </c>
      <c r="AW3245" s="6" t="str">
        <f>HYPERLINK("http://www.worldcat.org/oclc/237397047","WorldCat Record")</f>
        <v>WorldCat Record</v>
      </c>
      <c r="AX3245" s="3" t="s">
        <v>27092</v>
      </c>
      <c r="AY3245" s="3" t="s">
        <v>27093</v>
      </c>
      <c r="AZ3245" s="3" t="s">
        <v>27094</v>
      </c>
      <c r="BA3245" s="3" t="s">
        <v>27094</v>
      </c>
      <c r="BB3245" s="3" t="s">
        <v>27095</v>
      </c>
      <c r="BC3245" s="3" t="s">
        <v>82</v>
      </c>
      <c r="BD3245" s="3" t="s">
        <v>70</v>
      </c>
      <c r="BE3245" s="3" t="s">
        <v>27096</v>
      </c>
      <c r="BF3245" s="3" t="s">
        <v>27095</v>
      </c>
      <c r="BG3245" s="3" t="s">
        <v>27097</v>
      </c>
    </row>
    <row r="3246" spans="1:59" ht="60" x14ac:dyDescent="0.25">
      <c r="A3246" s="2" t="s">
        <v>59</v>
      </c>
      <c r="B3246" s="2" t="s">
        <v>60</v>
      </c>
      <c r="C3246" s="2" t="s">
        <v>27098</v>
      </c>
      <c r="D3246" s="2" t="s">
        <v>27099</v>
      </c>
      <c r="E3246" s="2" t="s">
        <v>27100</v>
      </c>
      <c r="G3246" s="3" t="s">
        <v>63</v>
      </c>
      <c r="I3246" s="3" t="s">
        <v>63</v>
      </c>
      <c r="J3246" s="3" t="s">
        <v>63</v>
      </c>
      <c r="K3246" s="3" t="s">
        <v>64</v>
      </c>
      <c r="L3246" s="2" t="s">
        <v>27101</v>
      </c>
      <c r="M3246" s="2" t="s">
        <v>27102</v>
      </c>
      <c r="N3246" s="3" t="s">
        <v>247</v>
      </c>
      <c r="P3246" s="3" t="s">
        <v>66</v>
      </c>
      <c r="R3246" s="3" t="s">
        <v>67</v>
      </c>
      <c r="S3246" s="4">
        <v>19</v>
      </c>
      <c r="T3246" s="4">
        <v>19</v>
      </c>
      <c r="U3246" s="5" t="s">
        <v>26996</v>
      </c>
      <c r="V3246" s="5" t="s">
        <v>26996</v>
      </c>
      <c r="W3246" s="5" t="s">
        <v>69</v>
      </c>
      <c r="X3246" s="5" t="s">
        <v>69</v>
      </c>
      <c r="Y3246" s="4">
        <v>472</v>
      </c>
      <c r="Z3246" s="4">
        <v>22</v>
      </c>
      <c r="AA3246" s="4">
        <v>23</v>
      </c>
      <c r="AB3246" s="4">
        <v>2</v>
      </c>
      <c r="AC3246" s="4">
        <v>3</v>
      </c>
      <c r="AD3246" s="4">
        <v>114</v>
      </c>
      <c r="AE3246" s="4">
        <v>115</v>
      </c>
      <c r="AF3246" s="4">
        <v>1</v>
      </c>
      <c r="AG3246" s="4">
        <v>2</v>
      </c>
      <c r="AH3246" s="4">
        <v>102</v>
      </c>
      <c r="AI3246" s="4">
        <v>102</v>
      </c>
      <c r="AJ3246" s="4">
        <v>13</v>
      </c>
      <c r="AK3246" s="4">
        <v>14</v>
      </c>
      <c r="AL3246" s="4">
        <v>56</v>
      </c>
      <c r="AM3246" s="4">
        <v>56</v>
      </c>
      <c r="AN3246" s="4">
        <v>0</v>
      </c>
      <c r="AO3246" s="4">
        <v>0</v>
      </c>
      <c r="AP3246" s="4">
        <v>17</v>
      </c>
      <c r="AQ3246" s="4">
        <v>17</v>
      </c>
      <c r="AR3246" s="3" t="s">
        <v>63</v>
      </c>
      <c r="AS3246" s="3" t="s">
        <v>63</v>
      </c>
      <c r="AT3246" s="3" t="s">
        <v>62</v>
      </c>
      <c r="AU3246" s="6" t="str">
        <f>HYPERLINK("http://catalog.hathitrust.org/Record/000273165","HathiTrust Record")</f>
        <v>HathiTrust Record</v>
      </c>
      <c r="AV3246" s="6" t="str">
        <f>HYPERLINK("http://mcgill.on.worldcat.org/oclc/8346838","Catalog Record")</f>
        <v>Catalog Record</v>
      </c>
      <c r="AW3246" s="6" t="str">
        <f>HYPERLINK("http://www.worldcat.org/oclc/8346838","WorldCat Record")</f>
        <v>WorldCat Record</v>
      </c>
      <c r="AX3246" s="3" t="s">
        <v>27103</v>
      </c>
      <c r="AY3246" s="3" t="s">
        <v>27104</v>
      </c>
      <c r="AZ3246" s="3" t="s">
        <v>27105</v>
      </c>
      <c r="BA3246" s="3" t="s">
        <v>27105</v>
      </c>
      <c r="BB3246" s="3" t="s">
        <v>27106</v>
      </c>
      <c r="BC3246" s="3" t="s">
        <v>82</v>
      </c>
      <c r="BD3246" s="3" t="s">
        <v>70</v>
      </c>
      <c r="BE3246" s="3" t="s">
        <v>27107</v>
      </c>
      <c r="BF3246" s="3" t="s">
        <v>27106</v>
      </c>
      <c r="BG3246" s="3" t="s">
        <v>27108</v>
      </c>
    </row>
    <row r="3247" spans="1:59" ht="60" x14ac:dyDescent="0.25">
      <c r="A3247" s="2" t="s">
        <v>59</v>
      </c>
      <c r="B3247" s="2" t="s">
        <v>60</v>
      </c>
      <c r="C3247" s="2" t="s">
        <v>27109</v>
      </c>
      <c r="D3247" s="2" t="s">
        <v>27110</v>
      </c>
      <c r="E3247" s="2" t="s">
        <v>27111</v>
      </c>
      <c r="G3247" s="3" t="s">
        <v>63</v>
      </c>
      <c r="I3247" s="3" t="s">
        <v>63</v>
      </c>
      <c r="J3247" s="3" t="s">
        <v>63</v>
      </c>
      <c r="K3247" s="3" t="s">
        <v>64</v>
      </c>
      <c r="L3247" s="2" t="s">
        <v>27112</v>
      </c>
      <c r="M3247" s="2" t="s">
        <v>27113</v>
      </c>
      <c r="N3247" s="3" t="s">
        <v>274</v>
      </c>
      <c r="P3247" s="3" t="s">
        <v>66</v>
      </c>
      <c r="R3247" s="3" t="s">
        <v>67</v>
      </c>
      <c r="S3247" s="4">
        <v>10</v>
      </c>
      <c r="T3247" s="4">
        <v>10</v>
      </c>
      <c r="U3247" s="5" t="s">
        <v>11846</v>
      </c>
      <c r="V3247" s="5" t="s">
        <v>11846</v>
      </c>
      <c r="W3247" s="5" t="s">
        <v>69</v>
      </c>
      <c r="X3247" s="5" t="s">
        <v>69</v>
      </c>
      <c r="Y3247" s="4">
        <v>786</v>
      </c>
      <c r="Z3247" s="4">
        <v>34</v>
      </c>
      <c r="AA3247" s="4">
        <v>57</v>
      </c>
      <c r="AB3247" s="4">
        <v>1</v>
      </c>
      <c r="AC3247" s="4">
        <v>3</v>
      </c>
      <c r="AD3247" s="4">
        <v>111</v>
      </c>
      <c r="AE3247" s="4">
        <v>126</v>
      </c>
      <c r="AF3247" s="4">
        <v>0</v>
      </c>
      <c r="AG3247" s="4">
        <v>0</v>
      </c>
      <c r="AH3247" s="4">
        <v>101</v>
      </c>
      <c r="AI3247" s="4">
        <v>108</v>
      </c>
      <c r="AJ3247" s="4">
        <v>11</v>
      </c>
      <c r="AK3247" s="4">
        <v>18</v>
      </c>
      <c r="AL3247" s="4">
        <v>59</v>
      </c>
      <c r="AM3247" s="4">
        <v>61</v>
      </c>
      <c r="AN3247" s="4">
        <v>0</v>
      </c>
      <c r="AO3247" s="4">
        <v>0</v>
      </c>
      <c r="AP3247" s="4">
        <v>11</v>
      </c>
      <c r="AQ3247" s="4">
        <v>23</v>
      </c>
      <c r="AR3247" s="3" t="s">
        <v>63</v>
      </c>
      <c r="AS3247" s="3" t="s">
        <v>63</v>
      </c>
      <c r="AT3247" s="3" t="s">
        <v>62</v>
      </c>
      <c r="AU3247" s="6" t="str">
        <f>HYPERLINK("http://catalog.hathitrust.org/Record/004029444","HathiTrust Record")</f>
        <v>HathiTrust Record</v>
      </c>
      <c r="AV3247" s="6" t="str">
        <f>HYPERLINK("http://mcgill.on.worldcat.org/oclc/40150675","Catalog Record")</f>
        <v>Catalog Record</v>
      </c>
      <c r="AW3247" s="6" t="str">
        <f>HYPERLINK("http://www.worldcat.org/oclc/40150675","WorldCat Record")</f>
        <v>WorldCat Record</v>
      </c>
      <c r="AX3247" s="3" t="s">
        <v>27114</v>
      </c>
      <c r="AY3247" s="3" t="s">
        <v>27115</v>
      </c>
      <c r="AZ3247" s="3" t="s">
        <v>27116</v>
      </c>
      <c r="BA3247" s="3" t="s">
        <v>27116</v>
      </c>
      <c r="BB3247" s="3" t="s">
        <v>27117</v>
      </c>
      <c r="BC3247" s="3" t="s">
        <v>82</v>
      </c>
      <c r="BD3247" s="3" t="s">
        <v>70</v>
      </c>
      <c r="BE3247" s="3" t="s">
        <v>27118</v>
      </c>
      <c r="BF3247" s="3" t="s">
        <v>27117</v>
      </c>
      <c r="BG3247" s="3" t="s">
        <v>27119</v>
      </c>
    </row>
    <row r="3248" spans="1:59" ht="75" x14ac:dyDescent="0.25">
      <c r="A3248" s="2" t="s">
        <v>59</v>
      </c>
      <c r="B3248" s="2" t="s">
        <v>60</v>
      </c>
      <c r="C3248" s="2" t="s">
        <v>27120</v>
      </c>
      <c r="D3248" s="2" t="s">
        <v>27121</v>
      </c>
      <c r="E3248" s="2" t="s">
        <v>27122</v>
      </c>
      <c r="G3248" s="3" t="s">
        <v>63</v>
      </c>
      <c r="I3248" s="3" t="s">
        <v>63</v>
      </c>
      <c r="J3248" s="3" t="s">
        <v>63</v>
      </c>
      <c r="K3248" s="3" t="s">
        <v>64</v>
      </c>
      <c r="L3248" s="2" t="s">
        <v>27112</v>
      </c>
      <c r="M3248" s="2" t="s">
        <v>27123</v>
      </c>
      <c r="N3248" s="3" t="s">
        <v>313</v>
      </c>
      <c r="P3248" s="3" t="s">
        <v>90</v>
      </c>
      <c r="R3248" s="3" t="s">
        <v>67</v>
      </c>
      <c r="S3248" s="4">
        <v>0</v>
      </c>
      <c r="T3248" s="4">
        <v>0</v>
      </c>
      <c r="W3248" s="5" t="s">
        <v>69</v>
      </c>
      <c r="X3248" s="5" t="s">
        <v>69</v>
      </c>
      <c r="Y3248" s="4">
        <v>6</v>
      </c>
      <c r="Z3248" s="4">
        <v>2</v>
      </c>
      <c r="AA3248" s="4">
        <v>3</v>
      </c>
      <c r="AB3248" s="4">
        <v>1</v>
      </c>
      <c r="AC3248" s="4">
        <v>1</v>
      </c>
      <c r="AD3248" s="4">
        <v>0</v>
      </c>
      <c r="AE3248" s="4">
        <v>4</v>
      </c>
      <c r="AF3248" s="4">
        <v>0</v>
      </c>
      <c r="AG3248" s="4">
        <v>0</v>
      </c>
      <c r="AH3248" s="4">
        <v>0</v>
      </c>
      <c r="AI3248" s="4">
        <v>4</v>
      </c>
      <c r="AJ3248" s="4">
        <v>0</v>
      </c>
      <c r="AK3248" s="4">
        <v>0</v>
      </c>
      <c r="AL3248" s="4">
        <v>0</v>
      </c>
      <c r="AM3248" s="4">
        <v>2</v>
      </c>
      <c r="AN3248" s="4">
        <v>0</v>
      </c>
      <c r="AO3248" s="4">
        <v>0</v>
      </c>
      <c r="AP3248" s="4">
        <v>0</v>
      </c>
      <c r="AQ3248" s="4">
        <v>0</v>
      </c>
      <c r="AR3248" s="3" t="s">
        <v>63</v>
      </c>
      <c r="AS3248" s="3" t="s">
        <v>63</v>
      </c>
      <c r="AT3248" s="3" t="s">
        <v>63</v>
      </c>
      <c r="AV3248" s="6" t="str">
        <f>HYPERLINK("http://mcgill.on.worldcat.org/oclc/653015602","Catalog Record")</f>
        <v>Catalog Record</v>
      </c>
      <c r="AW3248" s="6" t="str">
        <f>HYPERLINK("http://www.worldcat.org/oclc/653015602","WorldCat Record")</f>
        <v>WorldCat Record</v>
      </c>
      <c r="AX3248" s="3" t="s">
        <v>27124</v>
      </c>
      <c r="AY3248" s="3" t="s">
        <v>27125</v>
      </c>
      <c r="AZ3248" s="3" t="s">
        <v>27126</v>
      </c>
      <c r="BA3248" s="3" t="s">
        <v>27126</v>
      </c>
      <c r="BB3248" s="3" t="s">
        <v>27127</v>
      </c>
      <c r="BC3248" s="3" t="s">
        <v>82</v>
      </c>
      <c r="BD3248" s="3" t="s">
        <v>70</v>
      </c>
      <c r="BE3248" s="3" t="s">
        <v>27128</v>
      </c>
      <c r="BF3248" s="3" t="s">
        <v>27127</v>
      </c>
      <c r="BG3248" s="3" t="s">
        <v>27129</v>
      </c>
    </row>
    <row r="3249" spans="1:59" ht="60" x14ac:dyDescent="0.25">
      <c r="A3249" s="2" t="s">
        <v>59</v>
      </c>
      <c r="B3249" s="2" t="s">
        <v>60</v>
      </c>
      <c r="C3249" s="2" t="s">
        <v>27130</v>
      </c>
      <c r="D3249" s="2" t="s">
        <v>27131</v>
      </c>
      <c r="E3249" s="2" t="s">
        <v>27132</v>
      </c>
      <c r="G3249" s="3" t="s">
        <v>63</v>
      </c>
      <c r="I3249" s="3" t="s">
        <v>63</v>
      </c>
      <c r="J3249" s="3" t="s">
        <v>63</v>
      </c>
      <c r="K3249" s="3" t="s">
        <v>64</v>
      </c>
      <c r="L3249" s="2" t="s">
        <v>27133</v>
      </c>
      <c r="M3249" s="2" t="s">
        <v>27134</v>
      </c>
      <c r="N3249" s="3" t="s">
        <v>274</v>
      </c>
      <c r="P3249" s="3" t="s">
        <v>90</v>
      </c>
      <c r="R3249" s="3" t="s">
        <v>67</v>
      </c>
      <c r="S3249" s="4">
        <v>1</v>
      </c>
      <c r="T3249" s="4">
        <v>1</v>
      </c>
      <c r="U3249" s="5" t="s">
        <v>26545</v>
      </c>
      <c r="V3249" s="5" t="s">
        <v>26545</v>
      </c>
      <c r="W3249" s="5" t="s">
        <v>69</v>
      </c>
      <c r="X3249" s="5" t="s">
        <v>69</v>
      </c>
      <c r="Y3249" s="4">
        <v>52</v>
      </c>
      <c r="Z3249" s="4">
        <v>5</v>
      </c>
      <c r="AA3249" s="4">
        <v>5</v>
      </c>
      <c r="AB3249" s="4">
        <v>1</v>
      </c>
      <c r="AC3249" s="4">
        <v>1</v>
      </c>
      <c r="AD3249" s="4">
        <v>36</v>
      </c>
      <c r="AE3249" s="4">
        <v>36</v>
      </c>
      <c r="AF3249" s="4">
        <v>0</v>
      </c>
      <c r="AG3249" s="4">
        <v>0</v>
      </c>
      <c r="AH3249" s="4">
        <v>34</v>
      </c>
      <c r="AI3249" s="4">
        <v>34</v>
      </c>
      <c r="AJ3249" s="4">
        <v>3</v>
      </c>
      <c r="AK3249" s="4">
        <v>3</v>
      </c>
      <c r="AL3249" s="4">
        <v>27</v>
      </c>
      <c r="AM3249" s="4">
        <v>27</v>
      </c>
      <c r="AN3249" s="4">
        <v>0</v>
      </c>
      <c r="AO3249" s="4">
        <v>0</v>
      </c>
      <c r="AP3249" s="4">
        <v>3</v>
      </c>
      <c r="AQ3249" s="4">
        <v>3</v>
      </c>
      <c r="AR3249" s="3" t="s">
        <v>63</v>
      </c>
      <c r="AS3249" s="3" t="s">
        <v>63</v>
      </c>
      <c r="AT3249" s="3" t="s">
        <v>63</v>
      </c>
      <c r="AV3249" s="6" t="str">
        <f>HYPERLINK("http://mcgill.on.worldcat.org/oclc/43509859","Catalog Record")</f>
        <v>Catalog Record</v>
      </c>
      <c r="AW3249" s="6" t="str">
        <f>HYPERLINK("http://www.worldcat.org/oclc/43509859","WorldCat Record")</f>
        <v>WorldCat Record</v>
      </c>
      <c r="AX3249" s="3" t="s">
        <v>27135</v>
      </c>
      <c r="AY3249" s="3" t="s">
        <v>27136</v>
      </c>
      <c r="AZ3249" s="3" t="s">
        <v>27137</v>
      </c>
      <c r="BA3249" s="3" t="s">
        <v>27137</v>
      </c>
      <c r="BB3249" s="3" t="s">
        <v>27138</v>
      </c>
      <c r="BC3249" s="3" t="s">
        <v>82</v>
      </c>
      <c r="BD3249" s="3" t="s">
        <v>70</v>
      </c>
      <c r="BE3249" s="3" t="s">
        <v>27139</v>
      </c>
      <c r="BF3249" s="3" t="s">
        <v>27138</v>
      </c>
      <c r="BG3249" s="3" t="s">
        <v>27140</v>
      </c>
    </row>
    <row r="3250" spans="1:59" ht="60" x14ac:dyDescent="0.25">
      <c r="A3250" s="2" t="s">
        <v>59</v>
      </c>
      <c r="B3250" s="2" t="s">
        <v>60</v>
      </c>
      <c r="C3250" s="2" t="s">
        <v>27141</v>
      </c>
      <c r="D3250" s="2" t="s">
        <v>27142</v>
      </c>
      <c r="E3250" s="2" t="s">
        <v>27143</v>
      </c>
      <c r="G3250" s="3" t="s">
        <v>63</v>
      </c>
      <c r="I3250" s="3" t="s">
        <v>63</v>
      </c>
      <c r="J3250" s="3" t="s">
        <v>63</v>
      </c>
      <c r="K3250" s="3" t="s">
        <v>64</v>
      </c>
      <c r="L3250" s="2" t="s">
        <v>27144</v>
      </c>
      <c r="M3250" s="2" t="s">
        <v>27145</v>
      </c>
      <c r="N3250" s="3" t="s">
        <v>274</v>
      </c>
      <c r="P3250" s="3" t="s">
        <v>66</v>
      </c>
      <c r="Q3250" s="2" t="s">
        <v>27146</v>
      </c>
      <c r="R3250" s="3" t="s">
        <v>67</v>
      </c>
      <c r="S3250" s="4">
        <v>9</v>
      </c>
      <c r="T3250" s="4">
        <v>9</v>
      </c>
      <c r="U3250" s="5" t="s">
        <v>13356</v>
      </c>
      <c r="V3250" s="5" t="s">
        <v>13356</v>
      </c>
      <c r="W3250" s="5" t="s">
        <v>69</v>
      </c>
      <c r="X3250" s="5" t="s">
        <v>69</v>
      </c>
      <c r="Y3250" s="4">
        <v>524</v>
      </c>
      <c r="Z3250" s="4">
        <v>21</v>
      </c>
      <c r="AA3250" s="4">
        <v>24</v>
      </c>
      <c r="AB3250" s="4">
        <v>1</v>
      </c>
      <c r="AC3250" s="4">
        <v>4</v>
      </c>
      <c r="AD3250" s="4">
        <v>110</v>
      </c>
      <c r="AE3250" s="4">
        <v>111</v>
      </c>
      <c r="AF3250" s="4">
        <v>0</v>
      </c>
      <c r="AG3250" s="4">
        <v>1</v>
      </c>
      <c r="AH3250" s="4">
        <v>99</v>
      </c>
      <c r="AI3250" s="4">
        <v>100</v>
      </c>
      <c r="AJ3250" s="4">
        <v>13</v>
      </c>
      <c r="AK3250" s="4">
        <v>14</v>
      </c>
      <c r="AL3250" s="4">
        <v>55</v>
      </c>
      <c r="AM3250" s="4">
        <v>55</v>
      </c>
      <c r="AN3250" s="4">
        <v>0</v>
      </c>
      <c r="AO3250" s="4">
        <v>0</v>
      </c>
      <c r="AP3250" s="4">
        <v>16</v>
      </c>
      <c r="AQ3250" s="4">
        <v>17</v>
      </c>
      <c r="AR3250" s="3" t="s">
        <v>63</v>
      </c>
      <c r="AS3250" s="3" t="s">
        <v>63</v>
      </c>
      <c r="AT3250" s="3" t="s">
        <v>62</v>
      </c>
      <c r="AU3250" s="6" t="str">
        <f>HYPERLINK("http://catalog.hathitrust.org/Record/004010976","HathiTrust Record")</f>
        <v>HathiTrust Record</v>
      </c>
      <c r="AV3250" s="6" t="str">
        <f>HYPERLINK("http://mcgill.on.worldcat.org/oclc/38478478","Catalog Record")</f>
        <v>Catalog Record</v>
      </c>
      <c r="AW3250" s="6" t="str">
        <f>HYPERLINK("http://www.worldcat.org/oclc/38478478","WorldCat Record")</f>
        <v>WorldCat Record</v>
      </c>
      <c r="AX3250" s="3" t="s">
        <v>27147</v>
      </c>
      <c r="AY3250" s="3" t="s">
        <v>27148</v>
      </c>
      <c r="AZ3250" s="3" t="s">
        <v>27149</v>
      </c>
      <c r="BA3250" s="3" t="s">
        <v>27149</v>
      </c>
      <c r="BB3250" s="3" t="s">
        <v>27150</v>
      </c>
      <c r="BC3250" s="3" t="s">
        <v>82</v>
      </c>
      <c r="BD3250" s="3" t="s">
        <v>70</v>
      </c>
      <c r="BE3250" s="3" t="s">
        <v>27151</v>
      </c>
      <c r="BF3250" s="3" t="s">
        <v>27150</v>
      </c>
      <c r="BG3250" s="3" t="s">
        <v>27152</v>
      </c>
    </row>
    <row r="3251" spans="1:59" ht="60" x14ac:dyDescent="0.25">
      <c r="A3251" s="2" t="s">
        <v>59</v>
      </c>
      <c r="B3251" s="2" t="s">
        <v>60</v>
      </c>
      <c r="C3251" s="2" t="s">
        <v>27153</v>
      </c>
      <c r="D3251" s="2" t="s">
        <v>27154</v>
      </c>
      <c r="E3251" s="2" t="s">
        <v>27155</v>
      </c>
      <c r="G3251" s="3" t="s">
        <v>63</v>
      </c>
      <c r="I3251" s="3" t="s">
        <v>63</v>
      </c>
      <c r="J3251" s="3" t="s">
        <v>63</v>
      </c>
      <c r="K3251" s="3" t="s">
        <v>64</v>
      </c>
      <c r="M3251" s="2" t="s">
        <v>27156</v>
      </c>
      <c r="N3251" s="3" t="s">
        <v>220</v>
      </c>
      <c r="P3251" s="3" t="s">
        <v>66</v>
      </c>
      <c r="Q3251" s="2" t="s">
        <v>27157</v>
      </c>
      <c r="R3251" s="3" t="s">
        <v>67</v>
      </c>
      <c r="S3251" s="4">
        <v>21</v>
      </c>
      <c r="T3251" s="4">
        <v>21</v>
      </c>
      <c r="U3251" s="5" t="s">
        <v>13356</v>
      </c>
      <c r="V3251" s="5" t="s">
        <v>13356</v>
      </c>
      <c r="W3251" s="5" t="s">
        <v>69</v>
      </c>
      <c r="X3251" s="5" t="s">
        <v>69</v>
      </c>
      <c r="Y3251" s="4">
        <v>165</v>
      </c>
      <c r="Z3251" s="4">
        <v>13</v>
      </c>
      <c r="AA3251" s="4">
        <v>13</v>
      </c>
      <c r="AB3251" s="4">
        <v>1</v>
      </c>
      <c r="AC3251" s="4">
        <v>1</v>
      </c>
      <c r="AD3251" s="4">
        <v>78</v>
      </c>
      <c r="AE3251" s="4">
        <v>78</v>
      </c>
      <c r="AF3251" s="4">
        <v>0</v>
      </c>
      <c r="AG3251" s="4">
        <v>0</v>
      </c>
      <c r="AH3251" s="4">
        <v>71</v>
      </c>
      <c r="AI3251" s="4">
        <v>71</v>
      </c>
      <c r="AJ3251" s="4">
        <v>10</v>
      </c>
      <c r="AK3251" s="4">
        <v>10</v>
      </c>
      <c r="AL3251" s="4">
        <v>41</v>
      </c>
      <c r="AM3251" s="4">
        <v>41</v>
      </c>
      <c r="AN3251" s="4">
        <v>0</v>
      </c>
      <c r="AO3251" s="4">
        <v>0</v>
      </c>
      <c r="AP3251" s="4">
        <v>11</v>
      </c>
      <c r="AQ3251" s="4">
        <v>11</v>
      </c>
      <c r="AR3251" s="3" t="s">
        <v>63</v>
      </c>
      <c r="AS3251" s="3" t="s">
        <v>63</v>
      </c>
      <c r="AT3251" s="3" t="s">
        <v>63</v>
      </c>
      <c r="AV3251" s="6" t="str">
        <f>HYPERLINK("http://mcgill.on.worldcat.org/oclc/26128967","Catalog Record")</f>
        <v>Catalog Record</v>
      </c>
      <c r="AW3251" s="6" t="str">
        <f>HYPERLINK("http://www.worldcat.org/oclc/26128967","WorldCat Record")</f>
        <v>WorldCat Record</v>
      </c>
      <c r="AX3251" s="3" t="s">
        <v>27158</v>
      </c>
      <c r="AY3251" s="3" t="s">
        <v>27159</v>
      </c>
      <c r="AZ3251" s="3" t="s">
        <v>27160</v>
      </c>
      <c r="BA3251" s="3" t="s">
        <v>27160</v>
      </c>
      <c r="BB3251" s="3" t="s">
        <v>27161</v>
      </c>
      <c r="BC3251" s="3" t="s">
        <v>82</v>
      </c>
      <c r="BD3251" s="3" t="s">
        <v>70</v>
      </c>
      <c r="BE3251" s="3" t="s">
        <v>27162</v>
      </c>
      <c r="BF3251" s="3" t="s">
        <v>27161</v>
      </c>
      <c r="BG3251" s="3" t="s">
        <v>27163</v>
      </c>
    </row>
    <row r="3252" spans="1:59" ht="60" x14ac:dyDescent="0.25">
      <c r="A3252" s="2" t="s">
        <v>59</v>
      </c>
      <c r="B3252" s="2" t="s">
        <v>60</v>
      </c>
      <c r="C3252" s="2" t="s">
        <v>27164</v>
      </c>
      <c r="D3252" s="2" t="s">
        <v>27165</v>
      </c>
      <c r="E3252" s="2" t="s">
        <v>27166</v>
      </c>
      <c r="G3252" s="3" t="s">
        <v>63</v>
      </c>
      <c r="I3252" s="3" t="s">
        <v>63</v>
      </c>
      <c r="J3252" s="3" t="s">
        <v>63</v>
      </c>
      <c r="K3252" s="3" t="s">
        <v>64</v>
      </c>
      <c r="L3252" s="2" t="s">
        <v>27167</v>
      </c>
      <c r="M3252" s="2" t="s">
        <v>27168</v>
      </c>
      <c r="N3252" s="3" t="s">
        <v>1418</v>
      </c>
      <c r="P3252" s="3" t="s">
        <v>66</v>
      </c>
      <c r="Q3252" s="2" t="s">
        <v>27169</v>
      </c>
      <c r="R3252" s="3" t="s">
        <v>67</v>
      </c>
      <c r="S3252" s="4">
        <v>36</v>
      </c>
      <c r="T3252" s="4">
        <v>36</v>
      </c>
      <c r="U3252" s="5" t="s">
        <v>26945</v>
      </c>
      <c r="V3252" s="5" t="s">
        <v>26945</v>
      </c>
      <c r="W3252" s="5" t="s">
        <v>69</v>
      </c>
      <c r="X3252" s="5" t="s">
        <v>69</v>
      </c>
      <c r="Y3252" s="4">
        <v>711</v>
      </c>
      <c r="Z3252" s="4">
        <v>36</v>
      </c>
      <c r="AA3252" s="4">
        <v>38</v>
      </c>
      <c r="AB3252" s="4">
        <v>4</v>
      </c>
      <c r="AC3252" s="4">
        <v>6</v>
      </c>
      <c r="AD3252" s="4">
        <v>120</v>
      </c>
      <c r="AE3252" s="4">
        <v>122</v>
      </c>
      <c r="AF3252" s="4">
        <v>2</v>
      </c>
      <c r="AG3252" s="4">
        <v>4</v>
      </c>
      <c r="AH3252" s="4">
        <v>99</v>
      </c>
      <c r="AI3252" s="4">
        <v>100</v>
      </c>
      <c r="AJ3252" s="4">
        <v>17</v>
      </c>
      <c r="AK3252" s="4">
        <v>19</v>
      </c>
      <c r="AL3252" s="4">
        <v>53</v>
      </c>
      <c r="AM3252" s="4">
        <v>53</v>
      </c>
      <c r="AN3252" s="4">
        <v>0</v>
      </c>
      <c r="AO3252" s="4">
        <v>0</v>
      </c>
      <c r="AP3252" s="4">
        <v>28</v>
      </c>
      <c r="AQ3252" s="4">
        <v>29</v>
      </c>
      <c r="AR3252" s="3" t="s">
        <v>63</v>
      </c>
      <c r="AS3252" s="3" t="s">
        <v>63</v>
      </c>
      <c r="AT3252" s="3" t="s">
        <v>62</v>
      </c>
      <c r="AU3252" s="6" t="str">
        <f>HYPERLINK("http://catalog.hathitrust.org/Record/000866671","HathiTrust Record")</f>
        <v>HathiTrust Record</v>
      </c>
      <c r="AV3252" s="6" t="str">
        <f>HYPERLINK("http://mcgill.on.worldcat.org/oclc/15589741","Catalog Record")</f>
        <v>Catalog Record</v>
      </c>
      <c r="AW3252" s="6" t="str">
        <f>HYPERLINK("http://www.worldcat.org/oclc/15589741","WorldCat Record")</f>
        <v>WorldCat Record</v>
      </c>
      <c r="AX3252" s="3" t="s">
        <v>27170</v>
      </c>
      <c r="AY3252" s="3" t="s">
        <v>27171</v>
      </c>
      <c r="AZ3252" s="3" t="s">
        <v>27172</v>
      </c>
      <c r="BA3252" s="3" t="s">
        <v>27172</v>
      </c>
      <c r="BB3252" s="3" t="s">
        <v>27173</v>
      </c>
      <c r="BC3252" s="3" t="s">
        <v>82</v>
      </c>
      <c r="BD3252" s="3" t="s">
        <v>70</v>
      </c>
      <c r="BE3252" s="3" t="s">
        <v>27174</v>
      </c>
      <c r="BF3252" s="3" t="s">
        <v>27173</v>
      </c>
      <c r="BG3252" s="3" t="s">
        <v>27175</v>
      </c>
    </row>
    <row r="3253" spans="1:59" ht="60" x14ac:dyDescent="0.25">
      <c r="A3253" s="2" t="s">
        <v>59</v>
      </c>
      <c r="B3253" s="2" t="s">
        <v>60</v>
      </c>
      <c r="C3253" s="2" t="s">
        <v>27176</v>
      </c>
      <c r="D3253" s="2" t="s">
        <v>27177</v>
      </c>
      <c r="E3253" s="2" t="s">
        <v>27178</v>
      </c>
      <c r="G3253" s="3" t="s">
        <v>63</v>
      </c>
      <c r="I3253" s="3" t="s">
        <v>63</v>
      </c>
      <c r="J3253" s="3" t="s">
        <v>63</v>
      </c>
      <c r="K3253" s="3" t="s">
        <v>64</v>
      </c>
      <c r="L3253" s="2" t="s">
        <v>27179</v>
      </c>
      <c r="M3253" s="2" t="s">
        <v>27180</v>
      </c>
      <c r="N3253" s="3" t="s">
        <v>849</v>
      </c>
      <c r="P3253" s="3" t="s">
        <v>66</v>
      </c>
      <c r="R3253" s="3" t="s">
        <v>67</v>
      </c>
      <c r="S3253" s="4">
        <v>8</v>
      </c>
      <c r="T3253" s="4">
        <v>8</v>
      </c>
      <c r="U3253" s="5" t="s">
        <v>27181</v>
      </c>
      <c r="V3253" s="5" t="s">
        <v>27181</v>
      </c>
      <c r="W3253" s="5" t="s">
        <v>69</v>
      </c>
      <c r="X3253" s="5" t="s">
        <v>69</v>
      </c>
      <c r="Y3253" s="4">
        <v>566</v>
      </c>
      <c r="Z3253" s="4">
        <v>27</v>
      </c>
      <c r="AA3253" s="4">
        <v>27</v>
      </c>
      <c r="AB3253" s="4">
        <v>1</v>
      </c>
      <c r="AC3253" s="4">
        <v>1</v>
      </c>
      <c r="AD3253" s="4">
        <v>111</v>
      </c>
      <c r="AE3253" s="4">
        <v>111</v>
      </c>
      <c r="AF3253" s="4">
        <v>0</v>
      </c>
      <c r="AG3253" s="4">
        <v>0</v>
      </c>
      <c r="AH3253" s="4">
        <v>99</v>
      </c>
      <c r="AI3253" s="4">
        <v>99</v>
      </c>
      <c r="AJ3253" s="4">
        <v>19</v>
      </c>
      <c r="AK3253" s="4">
        <v>19</v>
      </c>
      <c r="AL3253" s="4">
        <v>51</v>
      </c>
      <c r="AM3253" s="4">
        <v>51</v>
      </c>
      <c r="AN3253" s="4">
        <v>0</v>
      </c>
      <c r="AO3253" s="4">
        <v>0</v>
      </c>
      <c r="AP3253" s="4">
        <v>20</v>
      </c>
      <c r="AQ3253" s="4">
        <v>20</v>
      </c>
      <c r="AR3253" s="3" t="s">
        <v>63</v>
      </c>
      <c r="AS3253" s="3" t="s">
        <v>63</v>
      </c>
      <c r="AT3253" s="3" t="s">
        <v>62</v>
      </c>
      <c r="AU3253" s="6" t="str">
        <f>HYPERLINK("http://catalog.hathitrust.org/Record/000028447","HathiTrust Record")</f>
        <v>HathiTrust Record</v>
      </c>
      <c r="AV3253" s="6" t="str">
        <f>HYPERLINK("http://mcgill.on.worldcat.org/oclc/5341267","Catalog Record")</f>
        <v>Catalog Record</v>
      </c>
      <c r="AW3253" s="6" t="str">
        <f>HYPERLINK("http://www.worldcat.org/oclc/5341267","WorldCat Record")</f>
        <v>WorldCat Record</v>
      </c>
      <c r="AX3253" s="3" t="s">
        <v>27182</v>
      </c>
      <c r="AY3253" s="3" t="s">
        <v>27183</v>
      </c>
      <c r="AZ3253" s="3" t="s">
        <v>27184</v>
      </c>
      <c r="BA3253" s="3" t="s">
        <v>27184</v>
      </c>
      <c r="BB3253" s="3" t="s">
        <v>27185</v>
      </c>
      <c r="BC3253" s="3" t="s">
        <v>82</v>
      </c>
      <c r="BD3253" s="3" t="s">
        <v>70</v>
      </c>
      <c r="BE3253" s="3" t="s">
        <v>27186</v>
      </c>
      <c r="BF3253" s="3" t="s">
        <v>27185</v>
      </c>
      <c r="BG3253" s="3" t="s">
        <v>27187</v>
      </c>
    </row>
    <row r="3254" spans="1:59" ht="60" x14ac:dyDescent="0.25">
      <c r="A3254" s="2" t="s">
        <v>59</v>
      </c>
      <c r="B3254" s="2" t="s">
        <v>60</v>
      </c>
      <c r="C3254" s="2" t="s">
        <v>27188</v>
      </c>
      <c r="D3254" s="2" t="s">
        <v>27189</v>
      </c>
      <c r="E3254" s="2" t="s">
        <v>27190</v>
      </c>
      <c r="G3254" s="3" t="s">
        <v>63</v>
      </c>
      <c r="I3254" s="3" t="s">
        <v>63</v>
      </c>
      <c r="J3254" s="3" t="s">
        <v>63</v>
      </c>
      <c r="K3254" s="3" t="s">
        <v>64</v>
      </c>
      <c r="L3254" s="2" t="s">
        <v>27044</v>
      </c>
      <c r="M3254" s="2" t="s">
        <v>27191</v>
      </c>
      <c r="N3254" s="3" t="s">
        <v>220</v>
      </c>
      <c r="P3254" s="3" t="s">
        <v>66</v>
      </c>
      <c r="Q3254" s="2" t="s">
        <v>27192</v>
      </c>
      <c r="R3254" s="3" t="s">
        <v>67</v>
      </c>
      <c r="S3254" s="4">
        <v>19</v>
      </c>
      <c r="T3254" s="4">
        <v>19</v>
      </c>
      <c r="U3254" s="5" t="s">
        <v>389</v>
      </c>
      <c r="V3254" s="5" t="s">
        <v>389</v>
      </c>
      <c r="W3254" s="5" t="s">
        <v>69</v>
      </c>
      <c r="X3254" s="5" t="s">
        <v>69</v>
      </c>
      <c r="Y3254" s="4">
        <v>433</v>
      </c>
      <c r="Z3254" s="4">
        <v>22</v>
      </c>
      <c r="AA3254" s="4">
        <v>31</v>
      </c>
      <c r="AB3254" s="4">
        <v>2</v>
      </c>
      <c r="AC3254" s="4">
        <v>3</v>
      </c>
      <c r="AD3254" s="4">
        <v>85</v>
      </c>
      <c r="AE3254" s="4">
        <v>104</v>
      </c>
      <c r="AF3254" s="4">
        <v>1</v>
      </c>
      <c r="AG3254" s="4">
        <v>1</v>
      </c>
      <c r="AH3254" s="4">
        <v>77</v>
      </c>
      <c r="AI3254" s="4">
        <v>92</v>
      </c>
      <c r="AJ3254" s="4">
        <v>13</v>
      </c>
      <c r="AK3254" s="4">
        <v>17</v>
      </c>
      <c r="AL3254" s="4">
        <v>41</v>
      </c>
      <c r="AM3254" s="4">
        <v>50</v>
      </c>
      <c r="AN3254" s="4">
        <v>0</v>
      </c>
      <c r="AO3254" s="4">
        <v>0</v>
      </c>
      <c r="AP3254" s="4">
        <v>14</v>
      </c>
      <c r="AQ3254" s="4">
        <v>20</v>
      </c>
      <c r="AR3254" s="3" t="s">
        <v>63</v>
      </c>
      <c r="AS3254" s="3" t="s">
        <v>63</v>
      </c>
      <c r="AT3254" s="3" t="s">
        <v>63</v>
      </c>
      <c r="AV3254" s="6" t="str">
        <f>HYPERLINK("http://mcgill.on.worldcat.org/oclc/27429963","Catalog Record")</f>
        <v>Catalog Record</v>
      </c>
      <c r="AW3254" s="6" t="str">
        <f>HYPERLINK("http://www.worldcat.org/oclc/27429963","WorldCat Record")</f>
        <v>WorldCat Record</v>
      </c>
      <c r="AX3254" s="3" t="s">
        <v>27193</v>
      </c>
      <c r="AY3254" s="3" t="s">
        <v>27194</v>
      </c>
      <c r="AZ3254" s="3" t="s">
        <v>27195</v>
      </c>
      <c r="BA3254" s="3" t="s">
        <v>27195</v>
      </c>
      <c r="BB3254" s="3" t="s">
        <v>27196</v>
      </c>
      <c r="BC3254" s="3" t="s">
        <v>82</v>
      </c>
      <c r="BD3254" s="3" t="s">
        <v>70</v>
      </c>
      <c r="BE3254" s="3" t="s">
        <v>27197</v>
      </c>
      <c r="BF3254" s="3" t="s">
        <v>27196</v>
      </c>
      <c r="BG3254" s="3" t="s">
        <v>27198</v>
      </c>
    </row>
    <row r="3255" spans="1:59" ht="60" x14ac:dyDescent="0.25">
      <c r="A3255" s="2" t="s">
        <v>59</v>
      </c>
      <c r="B3255" s="2" t="s">
        <v>60</v>
      </c>
      <c r="C3255" s="2" t="s">
        <v>27199</v>
      </c>
      <c r="D3255" s="2" t="s">
        <v>27200</v>
      </c>
      <c r="E3255" s="2" t="s">
        <v>27201</v>
      </c>
      <c r="G3255" s="3" t="s">
        <v>63</v>
      </c>
      <c r="I3255" s="3" t="s">
        <v>62</v>
      </c>
      <c r="J3255" s="3" t="s">
        <v>62</v>
      </c>
      <c r="K3255" s="3" t="s">
        <v>64</v>
      </c>
      <c r="L3255" s="2" t="s">
        <v>27202</v>
      </c>
      <c r="M3255" s="2" t="s">
        <v>27203</v>
      </c>
      <c r="N3255" s="3" t="s">
        <v>401</v>
      </c>
      <c r="P3255" s="3" t="s">
        <v>66</v>
      </c>
      <c r="R3255" s="3" t="s">
        <v>67</v>
      </c>
      <c r="S3255" s="4">
        <v>8</v>
      </c>
      <c r="T3255" s="4">
        <v>26</v>
      </c>
      <c r="U3255" s="5" t="s">
        <v>19947</v>
      </c>
      <c r="V3255" s="5" t="s">
        <v>17565</v>
      </c>
      <c r="W3255" s="5" t="s">
        <v>69</v>
      </c>
      <c r="X3255" s="5" t="s">
        <v>69</v>
      </c>
      <c r="Y3255" s="4">
        <v>766</v>
      </c>
      <c r="Z3255" s="4">
        <v>33</v>
      </c>
      <c r="AA3255" s="4">
        <v>41</v>
      </c>
      <c r="AB3255" s="4">
        <v>3</v>
      </c>
      <c r="AC3255" s="4">
        <v>5</v>
      </c>
      <c r="AD3255" s="4">
        <v>117</v>
      </c>
      <c r="AE3255" s="4">
        <v>124</v>
      </c>
      <c r="AF3255" s="4">
        <v>1</v>
      </c>
      <c r="AG3255" s="4">
        <v>2</v>
      </c>
      <c r="AH3255" s="4">
        <v>99</v>
      </c>
      <c r="AI3255" s="4">
        <v>102</v>
      </c>
      <c r="AJ3255" s="4">
        <v>17</v>
      </c>
      <c r="AK3255" s="4">
        <v>20</v>
      </c>
      <c r="AL3255" s="4">
        <v>59</v>
      </c>
      <c r="AM3255" s="4">
        <v>60</v>
      </c>
      <c r="AN3255" s="4">
        <v>0</v>
      </c>
      <c r="AO3255" s="4">
        <v>0</v>
      </c>
      <c r="AP3255" s="4">
        <v>21</v>
      </c>
      <c r="AQ3255" s="4">
        <v>26</v>
      </c>
      <c r="AR3255" s="3" t="s">
        <v>63</v>
      </c>
      <c r="AS3255" s="3" t="s">
        <v>63</v>
      </c>
      <c r="AT3255" s="3" t="s">
        <v>62</v>
      </c>
      <c r="AU3255" s="6" t="str">
        <f>HYPERLINK("http://catalog.hathitrust.org/Record/000672599","HathiTrust Record")</f>
        <v>HathiTrust Record</v>
      </c>
      <c r="AV3255" s="6" t="str">
        <f>HYPERLINK("http://mcgill.on.worldcat.org/oclc/167478","Catalog Record")</f>
        <v>Catalog Record</v>
      </c>
      <c r="AW3255" s="6" t="str">
        <f>HYPERLINK("http://www.worldcat.org/oclc/167478","WorldCat Record")</f>
        <v>WorldCat Record</v>
      </c>
      <c r="AX3255" s="3" t="s">
        <v>27204</v>
      </c>
      <c r="AY3255" s="3" t="s">
        <v>27205</v>
      </c>
      <c r="AZ3255" s="3" t="s">
        <v>27206</v>
      </c>
      <c r="BA3255" s="3" t="s">
        <v>27206</v>
      </c>
      <c r="BB3255" s="3" t="s">
        <v>27207</v>
      </c>
      <c r="BC3255" s="3" t="s">
        <v>82</v>
      </c>
      <c r="BD3255" s="3" t="s">
        <v>70</v>
      </c>
      <c r="BF3255" s="3" t="s">
        <v>27207</v>
      </c>
      <c r="BG3255" s="3" t="s">
        <v>27208</v>
      </c>
    </row>
    <row r="3256" spans="1:59" ht="60" x14ac:dyDescent="0.25">
      <c r="A3256" s="2" t="s">
        <v>59</v>
      </c>
      <c r="B3256" s="2" t="s">
        <v>60</v>
      </c>
      <c r="C3256" s="2" t="s">
        <v>27199</v>
      </c>
      <c r="D3256" s="2" t="s">
        <v>27200</v>
      </c>
      <c r="E3256" s="2" t="s">
        <v>27201</v>
      </c>
      <c r="G3256" s="3" t="s">
        <v>63</v>
      </c>
      <c r="I3256" s="3" t="s">
        <v>62</v>
      </c>
      <c r="J3256" s="3" t="s">
        <v>62</v>
      </c>
      <c r="K3256" s="3" t="s">
        <v>64</v>
      </c>
      <c r="L3256" s="2" t="s">
        <v>27202</v>
      </c>
      <c r="M3256" s="2" t="s">
        <v>27203</v>
      </c>
      <c r="N3256" s="3" t="s">
        <v>401</v>
      </c>
      <c r="P3256" s="3" t="s">
        <v>66</v>
      </c>
      <c r="R3256" s="3" t="s">
        <v>67</v>
      </c>
      <c r="S3256" s="4">
        <v>18</v>
      </c>
      <c r="T3256" s="4">
        <v>26</v>
      </c>
      <c r="U3256" s="5" t="s">
        <v>17565</v>
      </c>
      <c r="V3256" s="5" t="s">
        <v>17565</v>
      </c>
      <c r="W3256" s="5" t="s">
        <v>69</v>
      </c>
      <c r="X3256" s="5" t="s">
        <v>69</v>
      </c>
      <c r="Y3256" s="4">
        <v>766</v>
      </c>
      <c r="Z3256" s="4">
        <v>33</v>
      </c>
      <c r="AA3256" s="4">
        <v>41</v>
      </c>
      <c r="AB3256" s="4">
        <v>3</v>
      </c>
      <c r="AC3256" s="4">
        <v>5</v>
      </c>
      <c r="AD3256" s="4">
        <v>117</v>
      </c>
      <c r="AE3256" s="4">
        <v>124</v>
      </c>
      <c r="AF3256" s="4">
        <v>1</v>
      </c>
      <c r="AG3256" s="4">
        <v>2</v>
      </c>
      <c r="AH3256" s="4">
        <v>99</v>
      </c>
      <c r="AI3256" s="4">
        <v>102</v>
      </c>
      <c r="AJ3256" s="4">
        <v>17</v>
      </c>
      <c r="AK3256" s="4">
        <v>20</v>
      </c>
      <c r="AL3256" s="4">
        <v>59</v>
      </c>
      <c r="AM3256" s="4">
        <v>60</v>
      </c>
      <c r="AN3256" s="4">
        <v>0</v>
      </c>
      <c r="AO3256" s="4">
        <v>0</v>
      </c>
      <c r="AP3256" s="4">
        <v>21</v>
      </c>
      <c r="AQ3256" s="4">
        <v>26</v>
      </c>
      <c r="AR3256" s="3" t="s">
        <v>63</v>
      </c>
      <c r="AS3256" s="3" t="s">
        <v>63</v>
      </c>
      <c r="AT3256" s="3" t="s">
        <v>62</v>
      </c>
      <c r="AU3256" s="6" t="str">
        <f>HYPERLINK("http://catalog.hathitrust.org/Record/000672599","HathiTrust Record")</f>
        <v>HathiTrust Record</v>
      </c>
      <c r="AV3256" s="6" t="str">
        <f>HYPERLINK("http://mcgill.on.worldcat.org/oclc/167478","Catalog Record")</f>
        <v>Catalog Record</v>
      </c>
      <c r="AW3256" s="6" t="str">
        <f>HYPERLINK("http://www.worldcat.org/oclc/167478","WorldCat Record")</f>
        <v>WorldCat Record</v>
      </c>
      <c r="AX3256" s="3" t="s">
        <v>27204</v>
      </c>
      <c r="AY3256" s="3" t="s">
        <v>27205</v>
      </c>
      <c r="AZ3256" s="3" t="s">
        <v>27206</v>
      </c>
      <c r="BA3256" s="3" t="s">
        <v>27206</v>
      </c>
      <c r="BB3256" s="3" t="s">
        <v>27209</v>
      </c>
      <c r="BC3256" s="3" t="s">
        <v>82</v>
      </c>
      <c r="BD3256" s="3" t="s">
        <v>70</v>
      </c>
      <c r="BF3256" s="3" t="s">
        <v>27209</v>
      </c>
      <c r="BG3256" s="3" t="s">
        <v>27210</v>
      </c>
    </row>
    <row r="3257" spans="1:59" ht="60" x14ac:dyDescent="0.25">
      <c r="A3257" s="2" t="s">
        <v>59</v>
      </c>
      <c r="B3257" s="2" t="s">
        <v>60</v>
      </c>
      <c r="C3257" s="2" t="s">
        <v>27211</v>
      </c>
      <c r="D3257" s="2" t="s">
        <v>27212</v>
      </c>
      <c r="E3257" s="2" t="s">
        <v>27213</v>
      </c>
      <c r="G3257" s="3" t="s">
        <v>63</v>
      </c>
      <c r="I3257" s="3" t="s">
        <v>62</v>
      </c>
      <c r="J3257" s="3" t="s">
        <v>63</v>
      </c>
      <c r="K3257" s="3" t="s">
        <v>64</v>
      </c>
      <c r="L3257" s="2" t="s">
        <v>27214</v>
      </c>
      <c r="M3257" s="2" t="s">
        <v>27215</v>
      </c>
      <c r="N3257" s="3" t="s">
        <v>814</v>
      </c>
      <c r="P3257" s="3" t="s">
        <v>66</v>
      </c>
      <c r="R3257" s="3" t="s">
        <v>67</v>
      </c>
      <c r="S3257" s="4">
        <v>10</v>
      </c>
      <c r="T3257" s="4">
        <v>17</v>
      </c>
      <c r="U3257" s="5" t="s">
        <v>27216</v>
      </c>
      <c r="V3257" s="5" t="s">
        <v>27216</v>
      </c>
      <c r="W3257" s="5" t="s">
        <v>69</v>
      </c>
      <c r="X3257" s="5" t="s">
        <v>69</v>
      </c>
      <c r="Y3257" s="4">
        <v>576</v>
      </c>
      <c r="Z3257" s="4">
        <v>30</v>
      </c>
      <c r="AA3257" s="4">
        <v>31</v>
      </c>
      <c r="AB3257" s="4">
        <v>3</v>
      </c>
      <c r="AC3257" s="4">
        <v>4</v>
      </c>
      <c r="AD3257" s="4">
        <v>121</v>
      </c>
      <c r="AE3257" s="4">
        <v>125</v>
      </c>
      <c r="AF3257" s="4">
        <v>2</v>
      </c>
      <c r="AG3257" s="4">
        <v>3</v>
      </c>
      <c r="AH3257" s="4">
        <v>105</v>
      </c>
      <c r="AI3257" s="4">
        <v>107</v>
      </c>
      <c r="AJ3257" s="4">
        <v>19</v>
      </c>
      <c r="AK3257" s="4">
        <v>20</v>
      </c>
      <c r="AL3257" s="4">
        <v>55</v>
      </c>
      <c r="AM3257" s="4">
        <v>57</v>
      </c>
      <c r="AN3257" s="4">
        <v>0</v>
      </c>
      <c r="AO3257" s="4">
        <v>0</v>
      </c>
      <c r="AP3257" s="4">
        <v>24</v>
      </c>
      <c r="AQ3257" s="4">
        <v>25</v>
      </c>
      <c r="AR3257" s="3" t="s">
        <v>63</v>
      </c>
      <c r="AS3257" s="3" t="s">
        <v>63</v>
      </c>
      <c r="AT3257" s="3" t="s">
        <v>63</v>
      </c>
      <c r="AV3257" s="6" t="str">
        <f>HYPERLINK("http://mcgill.on.worldcat.org/oclc/3361935","Catalog Record")</f>
        <v>Catalog Record</v>
      </c>
      <c r="AW3257" s="6" t="str">
        <f>HYPERLINK("http://www.worldcat.org/oclc/3361935","WorldCat Record")</f>
        <v>WorldCat Record</v>
      </c>
      <c r="AX3257" s="3" t="s">
        <v>27217</v>
      </c>
      <c r="AY3257" s="3" t="s">
        <v>27218</v>
      </c>
      <c r="AZ3257" s="3" t="s">
        <v>27219</v>
      </c>
      <c r="BA3257" s="3" t="s">
        <v>27219</v>
      </c>
      <c r="BB3257" s="3" t="s">
        <v>27220</v>
      </c>
      <c r="BC3257" s="3" t="s">
        <v>82</v>
      </c>
      <c r="BD3257" s="3" t="s">
        <v>70</v>
      </c>
      <c r="BE3257" s="3" t="s">
        <v>27221</v>
      </c>
      <c r="BF3257" s="3" t="s">
        <v>27220</v>
      </c>
      <c r="BG3257" s="3" t="s">
        <v>27222</v>
      </c>
    </row>
    <row r="3258" spans="1:59" ht="60" x14ac:dyDescent="0.25">
      <c r="A3258" s="2" t="s">
        <v>59</v>
      </c>
      <c r="B3258" s="2" t="s">
        <v>60</v>
      </c>
      <c r="C3258" s="2" t="s">
        <v>27211</v>
      </c>
      <c r="D3258" s="2" t="s">
        <v>27212</v>
      </c>
      <c r="E3258" s="2" t="s">
        <v>27213</v>
      </c>
      <c r="G3258" s="3" t="s">
        <v>63</v>
      </c>
      <c r="I3258" s="3" t="s">
        <v>62</v>
      </c>
      <c r="J3258" s="3" t="s">
        <v>63</v>
      </c>
      <c r="K3258" s="3" t="s">
        <v>64</v>
      </c>
      <c r="L3258" s="2" t="s">
        <v>27214</v>
      </c>
      <c r="M3258" s="2" t="s">
        <v>27215</v>
      </c>
      <c r="N3258" s="3" t="s">
        <v>814</v>
      </c>
      <c r="P3258" s="3" t="s">
        <v>66</v>
      </c>
      <c r="R3258" s="3" t="s">
        <v>67</v>
      </c>
      <c r="S3258" s="4">
        <v>7</v>
      </c>
      <c r="T3258" s="4">
        <v>17</v>
      </c>
      <c r="U3258" s="5" t="s">
        <v>27223</v>
      </c>
      <c r="V3258" s="5" t="s">
        <v>27216</v>
      </c>
      <c r="W3258" s="5" t="s">
        <v>69</v>
      </c>
      <c r="X3258" s="5" t="s">
        <v>69</v>
      </c>
      <c r="Y3258" s="4">
        <v>576</v>
      </c>
      <c r="Z3258" s="4">
        <v>30</v>
      </c>
      <c r="AA3258" s="4">
        <v>31</v>
      </c>
      <c r="AB3258" s="4">
        <v>3</v>
      </c>
      <c r="AC3258" s="4">
        <v>4</v>
      </c>
      <c r="AD3258" s="4">
        <v>121</v>
      </c>
      <c r="AE3258" s="4">
        <v>125</v>
      </c>
      <c r="AF3258" s="4">
        <v>2</v>
      </c>
      <c r="AG3258" s="4">
        <v>3</v>
      </c>
      <c r="AH3258" s="4">
        <v>105</v>
      </c>
      <c r="AI3258" s="4">
        <v>107</v>
      </c>
      <c r="AJ3258" s="4">
        <v>19</v>
      </c>
      <c r="AK3258" s="4">
        <v>20</v>
      </c>
      <c r="AL3258" s="4">
        <v>55</v>
      </c>
      <c r="AM3258" s="4">
        <v>57</v>
      </c>
      <c r="AN3258" s="4">
        <v>0</v>
      </c>
      <c r="AO3258" s="4">
        <v>0</v>
      </c>
      <c r="AP3258" s="4">
        <v>24</v>
      </c>
      <c r="AQ3258" s="4">
        <v>25</v>
      </c>
      <c r="AR3258" s="3" t="s">
        <v>63</v>
      </c>
      <c r="AS3258" s="3" t="s">
        <v>63</v>
      </c>
      <c r="AT3258" s="3" t="s">
        <v>63</v>
      </c>
      <c r="AV3258" s="6" t="str">
        <f>HYPERLINK("http://mcgill.on.worldcat.org/oclc/3361935","Catalog Record")</f>
        <v>Catalog Record</v>
      </c>
      <c r="AW3258" s="6" t="str">
        <f>HYPERLINK("http://www.worldcat.org/oclc/3361935","WorldCat Record")</f>
        <v>WorldCat Record</v>
      </c>
      <c r="AX3258" s="3" t="s">
        <v>27217</v>
      </c>
      <c r="AY3258" s="3" t="s">
        <v>27218</v>
      </c>
      <c r="AZ3258" s="3" t="s">
        <v>27219</v>
      </c>
      <c r="BA3258" s="3" t="s">
        <v>27219</v>
      </c>
      <c r="BB3258" s="3" t="s">
        <v>27224</v>
      </c>
      <c r="BC3258" s="3" t="s">
        <v>82</v>
      </c>
      <c r="BD3258" s="3" t="s">
        <v>70</v>
      </c>
      <c r="BE3258" s="3" t="s">
        <v>27221</v>
      </c>
      <c r="BF3258" s="3" t="s">
        <v>27224</v>
      </c>
      <c r="BG3258" s="3" t="s">
        <v>27225</v>
      </c>
    </row>
    <row r="3259" spans="1:59" ht="60" x14ac:dyDescent="0.25">
      <c r="A3259" s="2" t="s">
        <v>59</v>
      </c>
      <c r="B3259" s="2" t="s">
        <v>60</v>
      </c>
      <c r="C3259" s="2" t="s">
        <v>27226</v>
      </c>
      <c r="D3259" s="2" t="s">
        <v>27227</v>
      </c>
      <c r="E3259" s="2" t="s">
        <v>27228</v>
      </c>
      <c r="G3259" s="3" t="s">
        <v>63</v>
      </c>
      <c r="I3259" s="3" t="s">
        <v>63</v>
      </c>
      <c r="J3259" s="3" t="s">
        <v>63</v>
      </c>
      <c r="K3259" s="3" t="s">
        <v>64</v>
      </c>
      <c r="L3259" s="2" t="s">
        <v>6959</v>
      </c>
      <c r="M3259" s="2" t="s">
        <v>10405</v>
      </c>
      <c r="N3259" s="3" t="s">
        <v>161</v>
      </c>
      <c r="P3259" s="3" t="s">
        <v>66</v>
      </c>
      <c r="R3259" s="3" t="s">
        <v>67</v>
      </c>
      <c r="S3259" s="4">
        <v>56</v>
      </c>
      <c r="T3259" s="4">
        <v>56</v>
      </c>
      <c r="U3259" s="5" t="s">
        <v>26787</v>
      </c>
      <c r="V3259" s="5" t="s">
        <v>26787</v>
      </c>
      <c r="W3259" s="5" t="s">
        <v>69</v>
      </c>
      <c r="X3259" s="5" t="s">
        <v>69</v>
      </c>
      <c r="Y3259" s="4">
        <v>460</v>
      </c>
      <c r="Z3259" s="4">
        <v>21</v>
      </c>
      <c r="AA3259" s="4">
        <v>59</v>
      </c>
      <c r="AB3259" s="4">
        <v>1</v>
      </c>
      <c r="AC3259" s="4">
        <v>11</v>
      </c>
      <c r="AD3259" s="4">
        <v>115</v>
      </c>
      <c r="AE3259" s="4">
        <v>140</v>
      </c>
      <c r="AF3259" s="4">
        <v>0</v>
      </c>
      <c r="AG3259" s="4">
        <v>5</v>
      </c>
      <c r="AH3259" s="4">
        <v>103</v>
      </c>
      <c r="AI3259" s="4">
        <v>110</v>
      </c>
      <c r="AJ3259" s="4">
        <v>14</v>
      </c>
      <c r="AK3259" s="4">
        <v>24</v>
      </c>
      <c r="AL3259" s="4">
        <v>57</v>
      </c>
      <c r="AM3259" s="4">
        <v>59</v>
      </c>
      <c r="AN3259" s="4">
        <v>0</v>
      </c>
      <c r="AO3259" s="4">
        <v>0</v>
      </c>
      <c r="AP3259" s="4">
        <v>17</v>
      </c>
      <c r="AQ3259" s="4">
        <v>39</v>
      </c>
      <c r="AR3259" s="3" t="s">
        <v>63</v>
      </c>
      <c r="AS3259" s="3" t="s">
        <v>63</v>
      </c>
      <c r="AT3259" s="3" t="s">
        <v>62</v>
      </c>
      <c r="AU3259" s="6" t="str">
        <f>HYPERLINK("http://catalog.hathitrust.org/Record/001295307","HathiTrust Record")</f>
        <v>HathiTrust Record</v>
      </c>
      <c r="AV3259" s="6" t="str">
        <f>HYPERLINK("http://mcgill.on.worldcat.org/oclc/18463539","Catalog Record")</f>
        <v>Catalog Record</v>
      </c>
      <c r="AW3259" s="6" t="str">
        <f>HYPERLINK("http://www.worldcat.org/oclc/18463539","WorldCat Record")</f>
        <v>WorldCat Record</v>
      </c>
      <c r="AX3259" s="3" t="s">
        <v>27229</v>
      </c>
      <c r="AY3259" s="3" t="s">
        <v>27230</v>
      </c>
      <c r="AZ3259" s="3" t="s">
        <v>27231</v>
      </c>
      <c r="BA3259" s="3" t="s">
        <v>27231</v>
      </c>
      <c r="BB3259" s="3" t="s">
        <v>27232</v>
      </c>
      <c r="BC3259" s="3" t="s">
        <v>82</v>
      </c>
      <c r="BD3259" s="3" t="s">
        <v>70</v>
      </c>
      <c r="BE3259" s="3" t="s">
        <v>27233</v>
      </c>
      <c r="BF3259" s="3" t="s">
        <v>27232</v>
      </c>
      <c r="BG3259" s="3" t="s">
        <v>27234</v>
      </c>
    </row>
    <row r="3260" spans="1:59" ht="105" x14ac:dyDescent="0.25">
      <c r="A3260" s="2" t="s">
        <v>59</v>
      </c>
      <c r="B3260" s="2" t="s">
        <v>60</v>
      </c>
      <c r="C3260" s="2" t="s">
        <v>27235</v>
      </c>
      <c r="D3260" s="2" t="s">
        <v>27236</v>
      </c>
      <c r="E3260" s="2" t="s">
        <v>27237</v>
      </c>
      <c r="F3260" s="3" t="s">
        <v>571</v>
      </c>
      <c r="G3260" s="3" t="s">
        <v>62</v>
      </c>
      <c r="I3260" s="3" t="s">
        <v>63</v>
      </c>
      <c r="J3260" s="3" t="s">
        <v>63</v>
      </c>
      <c r="K3260" s="3" t="s">
        <v>64</v>
      </c>
      <c r="M3260" s="2" t="s">
        <v>27238</v>
      </c>
      <c r="N3260" s="3" t="s">
        <v>1113</v>
      </c>
      <c r="P3260" s="3" t="s">
        <v>90</v>
      </c>
      <c r="Q3260" s="2" t="s">
        <v>27239</v>
      </c>
      <c r="R3260" s="3" t="s">
        <v>67</v>
      </c>
      <c r="S3260" s="4">
        <v>7</v>
      </c>
      <c r="T3260" s="4">
        <v>9</v>
      </c>
      <c r="U3260" s="5" t="s">
        <v>27240</v>
      </c>
      <c r="V3260" s="5" t="s">
        <v>27240</v>
      </c>
      <c r="W3260" s="5" t="s">
        <v>69</v>
      </c>
      <c r="X3260" s="5" t="s">
        <v>69</v>
      </c>
      <c r="Y3260" s="4">
        <v>71</v>
      </c>
      <c r="Z3260" s="4">
        <v>2</v>
      </c>
      <c r="AA3260" s="4">
        <v>2</v>
      </c>
      <c r="AB3260" s="4">
        <v>1</v>
      </c>
      <c r="AC3260" s="4">
        <v>1</v>
      </c>
      <c r="AD3260" s="4">
        <v>45</v>
      </c>
      <c r="AE3260" s="4">
        <v>45</v>
      </c>
      <c r="AF3260" s="4">
        <v>0</v>
      </c>
      <c r="AG3260" s="4">
        <v>0</v>
      </c>
      <c r="AH3260" s="4">
        <v>44</v>
      </c>
      <c r="AI3260" s="4">
        <v>44</v>
      </c>
      <c r="AJ3260" s="4">
        <v>1</v>
      </c>
      <c r="AK3260" s="4">
        <v>1</v>
      </c>
      <c r="AL3260" s="4">
        <v>31</v>
      </c>
      <c r="AM3260" s="4">
        <v>31</v>
      </c>
      <c r="AN3260" s="4">
        <v>0</v>
      </c>
      <c r="AO3260" s="4">
        <v>0</v>
      </c>
      <c r="AP3260" s="4">
        <v>1</v>
      </c>
      <c r="AQ3260" s="4">
        <v>1</v>
      </c>
      <c r="AR3260" s="3" t="s">
        <v>63</v>
      </c>
      <c r="AS3260" s="3" t="s">
        <v>63</v>
      </c>
      <c r="AT3260" s="3" t="s">
        <v>62</v>
      </c>
      <c r="AU3260" s="6" t="str">
        <f>HYPERLINK("http://catalog.hathitrust.org/Record/003953349","HathiTrust Record")</f>
        <v>HathiTrust Record</v>
      </c>
      <c r="AV3260" s="6" t="str">
        <f>HYPERLINK("http://mcgill.on.worldcat.org/oclc/38085391","Catalog Record")</f>
        <v>Catalog Record</v>
      </c>
      <c r="AW3260" s="6" t="str">
        <f>HYPERLINK("http://www.worldcat.org/oclc/38085391","WorldCat Record")</f>
        <v>WorldCat Record</v>
      </c>
      <c r="AX3260" s="3" t="s">
        <v>27241</v>
      </c>
      <c r="AY3260" s="3" t="s">
        <v>27242</v>
      </c>
      <c r="AZ3260" s="3" t="s">
        <v>27243</v>
      </c>
      <c r="BA3260" s="3" t="s">
        <v>27243</v>
      </c>
      <c r="BB3260" s="3" t="s">
        <v>27244</v>
      </c>
      <c r="BC3260" s="3" t="s">
        <v>82</v>
      </c>
      <c r="BD3260" s="3" t="s">
        <v>70</v>
      </c>
      <c r="BE3260" s="3" t="s">
        <v>27245</v>
      </c>
      <c r="BF3260" s="3" t="s">
        <v>27244</v>
      </c>
      <c r="BG3260" s="3" t="s">
        <v>27246</v>
      </c>
    </row>
    <row r="3261" spans="1:59" ht="105" x14ac:dyDescent="0.25">
      <c r="A3261" s="2" t="s">
        <v>59</v>
      </c>
      <c r="B3261" s="2" t="s">
        <v>60</v>
      </c>
      <c r="C3261" s="2" t="s">
        <v>27235</v>
      </c>
      <c r="D3261" s="2" t="s">
        <v>27236</v>
      </c>
      <c r="E3261" s="2" t="s">
        <v>27237</v>
      </c>
      <c r="F3261" s="3" t="s">
        <v>582</v>
      </c>
      <c r="G3261" s="3" t="s">
        <v>62</v>
      </c>
      <c r="I3261" s="3" t="s">
        <v>63</v>
      </c>
      <c r="J3261" s="3" t="s">
        <v>63</v>
      </c>
      <c r="K3261" s="3" t="s">
        <v>64</v>
      </c>
      <c r="M3261" s="2" t="s">
        <v>27238</v>
      </c>
      <c r="N3261" s="3" t="s">
        <v>1113</v>
      </c>
      <c r="P3261" s="3" t="s">
        <v>90</v>
      </c>
      <c r="Q3261" s="2" t="s">
        <v>27239</v>
      </c>
      <c r="R3261" s="3" t="s">
        <v>67</v>
      </c>
      <c r="S3261" s="4">
        <v>2</v>
      </c>
      <c r="T3261" s="4">
        <v>9</v>
      </c>
      <c r="U3261" s="5" t="s">
        <v>27240</v>
      </c>
      <c r="V3261" s="5" t="s">
        <v>27240</v>
      </c>
      <c r="W3261" s="5" t="s">
        <v>69</v>
      </c>
      <c r="X3261" s="5" t="s">
        <v>69</v>
      </c>
      <c r="Y3261" s="4">
        <v>71</v>
      </c>
      <c r="Z3261" s="4">
        <v>2</v>
      </c>
      <c r="AA3261" s="4">
        <v>2</v>
      </c>
      <c r="AB3261" s="4">
        <v>1</v>
      </c>
      <c r="AC3261" s="4">
        <v>1</v>
      </c>
      <c r="AD3261" s="4">
        <v>45</v>
      </c>
      <c r="AE3261" s="4">
        <v>45</v>
      </c>
      <c r="AF3261" s="4">
        <v>0</v>
      </c>
      <c r="AG3261" s="4">
        <v>0</v>
      </c>
      <c r="AH3261" s="4">
        <v>44</v>
      </c>
      <c r="AI3261" s="4">
        <v>44</v>
      </c>
      <c r="AJ3261" s="4">
        <v>1</v>
      </c>
      <c r="AK3261" s="4">
        <v>1</v>
      </c>
      <c r="AL3261" s="4">
        <v>31</v>
      </c>
      <c r="AM3261" s="4">
        <v>31</v>
      </c>
      <c r="AN3261" s="4">
        <v>0</v>
      </c>
      <c r="AO3261" s="4">
        <v>0</v>
      </c>
      <c r="AP3261" s="4">
        <v>1</v>
      </c>
      <c r="AQ3261" s="4">
        <v>1</v>
      </c>
      <c r="AR3261" s="3" t="s">
        <v>63</v>
      </c>
      <c r="AS3261" s="3" t="s">
        <v>63</v>
      </c>
      <c r="AT3261" s="3" t="s">
        <v>62</v>
      </c>
      <c r="AU3261" s="6" t="str">
        <f>HYPERLINK("http://catalog.hathitrust.org/Record/003953349","HathiTrust Record")</f>
        <v>HathiTrust Record</v>
      </c>
      <c r="AV3261" s="6" t="str">
        <f>HYPERLINK("http://mcgill.on.worldcat.org/oclc/38085391","Catalog Record")</f>
        <v>Catalog Record</v>
      </c>
      <c r="AW3261" s="6" t="str">
        <f>HYPERLINK("http://www.worldcat.org/oclc/38085391","WorldCat Record")</f>
        <v>WorldCat Record</v>
      </c>
      <c r="AX3261" s="3" t="s">
        <v>27241</v>
      </c>
      <c r="AY3261" s="3" t="s">
        <v>27242</v>
      </c>
      <c r="AZ3261" s="3" t="s">
        <v>27243</v>
      </c>
      <c r="BA3261" s="3" t="s">
        <v>27243</v>
      </c>
      <c r="BB3261" s="3" t="s">
        <v>27247</v>
      </c>
      <c r="BC3261" s="3" t="s">
        <v>82</v>
      </c>
      <c r="BD3261" s="3" t="s">
        <v>70</v>
      </c>
      <c r="BE3261" s="3" t="s">
        <v>27245</v>
      </c>
      <c r="BF3261" s="3" t="s">
        <v>27247</v>
      </c>
      <c r="BG3261" s="3" t="s">
        <v>27248</v>
      </c>
    </row>
    <row r="3262" spans="1:59" ht="60" x14ac:dyDescent="0.25">
      <c r="A3262" s="2" t="s">
        <v>59</v>
      </c>
      <c r="B3262" s="2" t="s">
        <v>60</v>
      </c>
      <c r="C3262" s="2" t="s">
        <v>27249</v>
      </c>
      <c r="D3262" s="2" t="s">
        <v>27250</v>
      </c>
      <c r="E3262" s="2" t="s">
        <v>27251</v>
      </c>
      <c r="G3262" s="3" t="s">
        <v>63</v>
      </c>
      <c r="I3262" s="3" t="s">
        <v>63</v>
      </c>
      <c r="J3262" s="3" t="s">
        <v>63</v>
      </c>
      <c r="K3262" s="3" t="s">
        <v>64</v>
      </c>
      <c r="M3262" s="2" t="s">
        <v>27252</v>
      </c>
      <c r="N3262" s="3" t="s">
        <v>326</v>
      </c>
      <c r="P3262" s="3" t="s">
        <v>66</v>
      </c>
      <c r="R3262" s="3" t="s">
        <v>67</v>
      </c>
      <c r="S3262" s="4">
        <v>4</v>
      </c>
      <c r="T3262" s="4">
        <v>4</v>
      </c>
      <c r="U3262" s="5" t="s">
        <v>1433</v>
      </c>
      <c r="V3262" s="5" t="s">
        <v>1433</v>
      </c>
      <c r="W3262" s="5" t="s">
        <v>69</v>
      </c>
      <c r="X3262" s="5" t="s">
        <v>69</v>
      </c>
      <c r="Y3262" s="4">
        <v>109</v>
      </c>
      <c r="Z3262" s="4">
        <v>12</v>
      </c>
      <c r="AA3262" s="4">
        <v>12</v>
      </c>
      <c r="AB3262" s="4">
        <v>2</v>
      </c>
      <c r="AC3262" s="4">
        <v>2</v>
      </c>
      <c r="AD3262" s="4">
        <v>36</v>
      </c>
      <c r="AE3262" s="4">
        <v>36</v>
      </c>
      <c r="AF3262" s="4">
        <v>0</v>
      </c>
      <c r="AG3262" s="4">
        <v>0</v>
      </c>
      <c r="AH3262" s="4">
        <v>32</v>
      </c>
      <c r="AI3262" s="4">
        <v>32</v>
      </c>
      <c r="AJ3262" s="4">
        <v>8</v>
      </c>
      <c r="AK3262" s="4">
        <v>8</v>
      </c>
      <c r="AL3262" s="4">
        <v>21</v>
      </c>
      <c r="AM3262" s="4">
        <v>21</v>
      </c>
      <c r="AN3262" s="4">
        <v>0</v>
      </c>
      <c r="AO3262" s="4">
        <v>0</v>
      </c>
      <c r="AP3262" s="4">
        <v>8</v>
      </c>
      <c r="AQ3262" s="4">
        <v>8</v>
      </c>
      <c r="AR3262" s="3" t="s">
        <v>63</v>
      </c>
      <c r="AS3262" s="3" t="s">
        <v>63</v>
      </c>
      <c r="AT3262" s="3" t="s">
        <v>63</v>
      </c>
      <c r="AV3262" s="6" t="str">
        <f>HYPERLINK("http://mcgill.on.worldcat.org/oclc/247963070","Catalog Record")</f>
        <v>Catalog Record</v>
      </c>
      <c r="AW3262" s="6" t="str">
        <f>HYPERLINK("http://www.worldcat.org/oclc/247963070","WorldCat Record")</f>
        <v>WorldCat Record</v>
      </c>
      <c r="AX3262" s="3" t="s">
        <v>27253</v>
      </c>
      <c r="AY3262" s="3" t="s">
        <v>27254</v>
      </c>
      <c r="AZ3262" s="3" t="s">
        <v>27255</v>
      </c>
      <c r="BA3262" s="3" t="s">
        <v>27255</v>
      </c>
      <c r="BB3262" s="3" t="s">
        <v>27256</v>
      </c>
      <c r="BC3262" s="3" t="s">
        <v>82</v>
      </c>
      <c r="BD3262" s="3" t="s">
        <v>70</v>
      </c>
      <c r="BE3262" s="3" t="s">
        <v>27257</v>
      </c>
      <c r="BF3262" s="3" t="s">
        <v>27256</v>
      </c>
      <c r="BG3262" s="3" t="s">
        <v>27258</v>
      </c>
    </row>
    <row r="3263" spans="1:59" ht="60" x14ac:dyDescent="0.25">
      <c r="A3263" s="2" t="s">
        <v>59</v>
      </c>
      <c r="B3263" s="2" t="s">
        <v>60</v>
      </c>
      <c r="C3263" s="2" t="s">
        <v>27259</v>
      </c>
      <c r="D3263" s="2" t="s">
        <v>27260</v>
      </c>
      <c r="E3263" s="2" t="s">
        <v>27261</v>
      </c>
      <c r="G3263" s="3" t="s">
        <v>63</v>
      </c>
      <c r="I3263" s="3" t="s">
        <v>63</v>
      </c>
      <c r="J3263" s="3" t="s">
        <v>63</v>
      </c>
      <c r="K3263" s="3" t="s">
        <v>64</v>
      </c>
      <c r="L3263" s="2" t="s">
        <v>27262</v>
      </c>
      <c r="M3263" s="2" t="s">
        <v>27263</v>
      </c>
      <c r="N3263" s="3" t="s">
        <v>1226</v>
      </c>
      <c r="P3263" s="3" t="s">
        <v>66</v>
      </c>
      <c r="R3263" s="3" t="s">
        <v>67</v>
      </c>
      <c r="S3263" s="4">
        <v>11</v>
      </c>
      <c r="T3263" s="4">
        <v>11</v>
      </c>
      <c r="U3263" s="5" t="s">
        <v>1433</v>
      </c>
      <c r="V3263" s="5" t="s">
        <v>1433</v>
      </c>
      <c r="W3263" s="5" t="s">
        <v>69</v>
      </c>
      <c r="X3263" s="5" t="s">
        <v>69</v>
      </c>
      <c r="Y3263" s="4">
        <v>210</v>
      </c>
      <c r="Z3263" s="4">
        <v>13</v>
      </c>
      <c r="AA3263" s="4">
        <v>13</v>
      </c>
      <c r="AB3263" s="4">
        <v>1</v>
      </c>
      <c r="AC3263" s="4">
        <v>1</v>
      </c>
      <c r="AD3263" s="4">
        <v>88</v>
      </c>
      <c r="AE3263" s="4">
        <v>88</v>
      </c>
      <c r="AF3263" s="4">
        <v>0</v>
      </c>
      <c r="AG3263" s="4">
        <v>0</v>
      </c>
      <c r="AH3263" s="4">
        <v>82</v>
      </c>
      <c r="AI3263" s="4">
        <v>82</v>
      </c>
      <c r="AJ3263" s="4">
        <v>10</v>
      </c>
      <c r="AK3263" s="4">
        <v>10</v>
      </c>
      <c r="AL3263" s="4">
        <v>48</v>
      </c>
      <c r="AM3263" s="4">
        <v>48</v>
      </c>
      <c r="AN3263" s="4">
        <v>0</v>
      </c>
      <c r="AO3263" s="4">
        <v>0</v>
      </c>
      <c r="AP3263" s="4">
        <v>10</v>
      </c>
      <c r="AQ3263" s="4">
        <v>10</v>
      </c>
      <c r="AR3263" s="3" t="s">
        <v>63</v>
      </c>
      <c r="AS3263" s="3" t="s">
        <v>63</v>
      </c>
      <c r="AT3263" s="3" t="s">
        <v>62</v>
      </c>
      <c r="AU3263" s="6" t="str">
        <f>HYPERLINK("http://catalog.hathitrust.org/Record/004351591","HathiTrust Record")</f>
        <v>HathiTrust Record</v>
      </c>
      <c r="AV3263" s="6" t="str">
        <f>HYPERLINK("http://mcgill.on.worldcat.org/oclc/52509490","Catalog Record")</f>
        <v>Catalog Record</v>
      </c>
      <c r="AW3263" s="6" t="str">
        <f>HYPERLINK("http://www.worldcat.org/oclc/52509490","WorldCat Record")</f>
        <v>WorldCat Record</v>
      </c>
      <c r="AX3263" s="3" t="s">
        <v>27264</v>
      </c>
      <c r="AY3263" s="3" t="s">
        <v>27265</v>
      </c>
      <c r="AZ3263" s="3" t="s">
        <v>27266</v>
      </c>
      <c r="BA3263" s="3" t="s">
        <v>27266</v>
      </c>
      <c r="BB3263" s="3" t="s">
        <v>27267</v>
      </c>
      <c r="BC3263" s="3" t="s">
        <v>82</v>
      </c>
      <c r="BD3263" s="3" t="s">
        <v>70</v>
      </c>
      <c r="BE3263" s="3" t="s">
        <v>27268</v>
      </c>
      <c r="BF3263" s="3" t="s">
        <v>27267</v>
      </c>
      <c r="BG3263" s="3" t="s">
        <v>27269</v>
      </c>
    </row>
    <row r="3264" spans="1:59" ht="60" x14ac:dyDescent="0.25">
      <c r="A3264" s="2" t="s">
        <v>59</v>
      </c>
      <c r="B3264" s="2" t="s">
        <v>60</v>
      </c>
      <c r="C3264" s="2" t="s">
        <v>27270</v>
      </c>
      <c r="D3264" s="2" t="s">
        <v>27271</v>
      </c>
      <c r="E3264" s="2" t="s">
        <v>27272</v>
      </c>
      <c r="G3264" s="3" t="s">
        <v>63</v>
      </c>
      <c r="I3264" s="3" t="s">
        <v>63</v>
      </c>
      <c r="J3264" s="3" t="s">
        <v>63</v>
      </c>
      <c r="K3264" s="3" t="s">
        <v>64</v>
      </c>
      <c r="L3264" s="2" t="s">
        <v>27273</v>
      </c>
      <c r="M3264" s="2" t="s">
        <v>27274</v>
      </c>
      <c r="N3264" s="3" t="s">
        <v>1023</v>
      </c>
      <c r="P3264" s="3" t="s">
        <v>66</v>
      </c>
      <c r="R3264" s="3" t="s">
        <v>67</v>
      </c>
      <c r="S3264" s="4">
        <v>37</v>
      </c>
      <c r="T3264" s="4">
        <v>37</v>
      </c>
      <c r="U3264" s="5" t="s">
        <v>4022</v>
      </c>
      <c r="V3264" s="5" t="s">
        <v>4022</v>
      </c>
      <c r="W3264" s="5" t="s">
        <v>69</v>
      </c>
      <c r="X3264" s="5" t="s">
        <v>69</v>
      </c>
      <c r="Y3264" s="4">
        <v>184</v>
      </c>
      <c r="Z3264" s="4">
        <v>21</v>
      </c>
      <c r="AA3264" s="4">
        <v>31</v>
      </c>
      <c r="AB3264" s="4">
        <v>2</v>
      </c>
      <c r="AC3264" s="4">
        <v>4</v>
      </c>
      <c r="AD3264" s="4">
        <v>69</v>
      </c>
      <c r="AE3264" s="4">
        <v>122</v>
      </c>
      <c r="AF3264" s="4">
        <v>0</v>
      </c>
      <c r="AG3264" s="4">
        <v>2</v>
      </c>
      <c r="AH3264" s="4">
        <v>59</v>
      </c>
      <c r="AI3264" s="4">
        <v>105</v>
      </c>
      <c r="AJ3264" s="4">
        <v>13</v>
      </c>
      <c r="AK3264" s="4">
        <v>17</v>
      </c>
      <c r="AL3264" s="4">
        <v>38</v>
      </c>
      <c r="AM3264" s="4">
        <v>57</v>
      </c>
      <c r="AN3264" s="4">
        <v>0</v>
      </c>
      <c r="AO3264" s="4">
        <v>0</v>
      </c>
      <c r="AP3264" s="4">
        <v>15</v>
      </c>
      <c r="AQ3264" s="4">
        <v>23</v>
      </c>
      <c r="AR3264" s="3" t="s">
        <v>63</v>
      </c>
      <c r="AS3264" s="3" t="s">
        <v>63</v>
      </c>
      <c r="AT3264" s="3" t="s">
        <v>62</v>
      </c>
      <c r="AU3264" s="6" t="str">
        <f>HYPERLINK("http://catalog.hathitrust.org/Record/002894241","HathiTrust Record")</f>
        <v>HathiTrust Record</v>
      </c>
      <c r="AV3264" s="6" t="str">
        <f>HYPERLINK("http://mcgill.on.worldcat.org/oclc/31238199","Catalog Record")</f>
        <v>Catalog Record</v>
      </c>
      <c r="AW3264" s="6" t="str">
        <f>HYPERLINK("http://www.worldcat.org/oclc/31238199","WorldCat Record")</f>
        <v>WorldCat Record</v>
      </c>
      <c r="AX3264" s="3" t="s">
        <v>27275</v>
      </c>
      <c r="AY3264" s="3" t="s">
        <v>27276</v>
      </c>
      <c r="AZ3264" s="3" t="s">
        <v>27277</v>
      </c>
      <c r="BA3264" s="3" t="s">
        <v>27277</v>
      </c>
      <c r="BB3264" s="3" t="s">
        <v>27278</v>
      </c>
      <c r="BC3264" s="3" t="s">
        <v>82</v>
      </c>
      <c r="BD3264" s="3" t="s">
        <v>70</v>
      </c>
      <c r="BE3264" s="3" t="s">
        <v>27279</v>
      </c>
      <c r="BF3264" s="3" t="s">
        <v>27278</v>
      </c>
      <c r="BG3264" s="3" t="s">
        <v>27280</v>
      </c>
    </row>
    <row r="3265" spans="1:59" ht="60" x14ac:dyDescent="0.25">
      <c r="A3265" s="2" t="s">
        <v>59</v>
      </c>
      <c r="B3265" s="2" t="s">
        <v>60</v>
      </c>
      <c r="C3265" s="2" t="s">
        <v>27306</v>
      </c>
      <c r="D3265" s="2" t="s">
        <v>27307</v>
      </c>
      <c r="E3265" s="2" t="s">
        <v>27308</v>
      </c>
      <c r="G3265" s="3" t="s">
        <v>63</v>
      </c>
      <c r="I3265" s="3" t="s">
        <v>63</v>
      </c>
      <c r="J3265" s="3" t="s">
        <v>63</v>
      </c>
      <c r="K3265" s="3" t="s">
        <v>64</v>
      </c>
      <c r="L3265" s="2" t="s">
        <v>27309</v>
      </c>
      <c r="M3265" s="2" t="s">
        <v>27310</v>
      </c>
      <c r="N3265" s="3" t="s">
        <v>161</v>
      </c>
      <c r="P3265" s="3" t="s">
        <v>90</v>
      </c>
      <c r="R3265" s="3" t="s">
        <v>67</v>
      </c>
      <c r="S3265" s="4">
        <v>7</v>
      </c>
      <c r="T3265" s="4">
        <v>7</v>
      </c>
      <c r="U3265" s="5" t="s">
        <v>14260</v>
      </c>
      <c r="V3265" s="5" t="s">
        <v>14260</v>
      </c>
      <c r="W3265" s="5" t="s">
        <v>69</v>
      </c>
      <c r="X3265" s="5" t="s">
        <v>69</v>
      </c>
      <c r="Y3265" s="4">
        <v>74</v>
      </c>
      <c r="Z3265" s="4">
        <v>10</v>
      </c>
      <c r="AA3265" s="4">
        <v>10</v>
      </c>
      <c r="AB3265" s="4">
        <v>1</v>
      </c>
      <c r="AC3265" s="4">
        <v>1</v>
      </c>
      <c r="AD3265" s="4">
        <v>46</v>
      </c>
      <c r="AE3265" s="4">
        <v>46</v>
      </c>
      <c r="AF3265" s="4">
        <v>0</v>
      </c>
      <c r="AG3265" s="4">
        <v>0</v>
      </c>
      <c r="AH3265" s="4">
        <v>45</v>
      </c>
      <c r="AI3265" s="4">
        <v>45</v>
      </c>
      <c r="AJ3265" s="4">
        <v>7</v>
      </c>
      <c r="AK3265" s="4">
        <v>7</v>
      </c>
      <c r="AL3265" s="4">
        <v>32</v>
      </c>
      <c r="AM3265" s="4">
        <v>32</v>
      </c>
      <c r="AN3265" s="4">
        <v>0</v>
      </c>
      <c r="AO3265" s="4">
        <v>0</v>
      </c>
      <c r="AP3265" s="4">
        <v>7</v>
      </c>
      <c r="AQ3265" s="4">
        <v>7</v>
      </c>
      <c r="AR3265" s="3" t="s">
        <v>63</v>
      </c>
      <c r="AS3265" s="3" t="s">
        <v>63</v>
      </c>
      <c r="AT3265" s="3" t="s">
        <v>62</v>
      </c>
      <c r="AU3265" s="6" t="str">
        <f>HYPERLINK("http://catalog.hathitrust.org/Record/001822809","HathiTrust Record")</f>
        <v>HathiTrust Record</v>
      </c>
      <c r="AV3265" s="6" t="str">
        <f>HYPERLINK("http://mcgill.on.worldcat.org/oclc/19889628","Catalog Record")</f>
        <v>Catalog Record</v>
      </c>
      <c r="AW3265" s="6" t="str">
        <f>HYPERLINK("http://www.worldcat.org/oclc/19889628","WorldCat Record")</f>
        <v>WorldCat Record</v>
      </c>
      <c r="AX3265" s="3" t="s">
        <v>27311</v>
      </c>
      <c r="AY3265" s="3" t="s">
        <v>27312</v>
      </c>
      <c r="AZ3265" s="3" t="s">
        <v>27313</v>
      </c>
      <c r="BA3265" s="3" t="s">
        <v>27313</v>
      </c>
      <c r="BB3265" s="3" t="s">
        <v>27314</v>
      </c>
      <c r="BC3265" s="3" t="s">
        <v>82</v>
      </c>
      <c r="BD3265" s="3" t="s">
        <v>70</v>
      </c>
      <c r="BF3265" s="3" t="s">
        <v>27314</v>
      </c>
      <c r="BG3265" s="3" t="s">
        <v>27315</v>
      </c>
    </row>
    <row r="3266" spans="1:59" ht="60" x14ac:dyDescent="0.25">
      <c r="A3266" s="2" t="s">
        <v>59</v>
      </c>
      <c r="B3266" s="2" t="s">
        <v>60</v>
      </c>
      <c r="C3266" s="2" t="s">
        <v>27316</v>
      </c>
      <c r="D3266" s="2" t="s">
        <v>27317</v>
      </c>
      <c r="E3266" s="2" t="s">
        <v>27318</v>
      </c>
      <c r="G3266" s="3" t="s">
        <v>63</v>
      </c>
      <c r="I3266" s="3" t="s">
        <v>63</v>
      </c>
      <c r="J3266" s="3" t="s">
        <v>63</v>
      </c>
      <c r="K3266" s="3" t="s">
        <v>64</v>
      </c>
      <c r="L3266" s="2" t="s">
        <v>27309</v>
      </c>
      <c r="M3266" s="2" t="s">
        <v>27319</v>
      </c>
      <c r="N3266" s="3" t="s">
        <v>161</v>
      </c>
      <c r="P3266" s="3" t="s">
        <v>90</v>
      </c>
      <c r="R3266" s="3" t="s">
        <v>67</v>
      </c>
      <c r="S3266" s="4">
        <v>3</v>
      </c>
      <c r="T3266" s="4">
        <v>3</v>
      </c>
      <c r="U3266" s="5" t="s">
        <v>14260</v>
      </c>
      <c r="V3266" s="5" t="s">
        <v>14260</v>
      </c>
      <c r="W3266" s="5" t="s">
        <v>69</v>
      </c>
      <c r="X3266" s="5" t="s">
        <v>69</v>
      </c>
      <c r="Y3266" s="4">
        <v>51</v>
      </c>
      <c r="Z3266" s="4">
        <v>3</v>
      </c>
      <c r="AA3266" s="4">
        <v>3</v>
      </c>
      <c r="AB3266" s="4">
        <v>1</v>
      </c>
      <c r="AC3266" s="4">
        <v>1</v>
      </c>
      <c r="AD3266" s="4">
        <v>31</v>
      </c>
      <c r="AE3266" s="4">
        <v>31</v>
      </c>
      <c r="AF3266" s="4">
        <v>0</v>
      </c>
      <c r="AG3266" s="4">
        <v>0</v>
      </c>
      <c r="AH3266" s="4">
        <v>29</v>
      </c>
      <c r="AI3266" s="4">
        <v>29</v>
      </c>
      <c r="AJ3266" s="4">
        <v>1</v>
      </c>
      <c r="AK3266" s="4">
        <v>1</v>
      </c>
      <c r="AL3266" s="4">
        <v>26</v>
      </c>
      <c r="AM3266" s="4">
        <v>26</v>
      </c>
      <c r="AN3266" s="4">
        <v>0</v>
      </c>
      <c r="AO3266" s="4">
        <v>0</v>
      </c>
      <c r="AP3266" s="4">
        <v>1</v>
      </c>
      <c r="AQ3266" s="4">
        <v>1</v>
      </c>
      <c r="AR3266" s="3" t="s">
        <v>63</v>
      </c>
      <c r="AS3266" s="3" t="s">
        <v>63</v>
      </c>
      <c r="AT3266" s="3" t="s">
        <v>62</v>
      </c>
      <c r="AU3266" s="6" t="str">
        <f>HYPERLINK("http://catalog.hathitrust.org/Record/002185761","HathiTrust Record")</f>
        <v>HathiTrust Record</v>
      </c>
      <c r="AV3266" s="6" t="str">
        <f>HYPERLINK("http://mcgill.on.worldcat.org/oclc/21311627","Catalog Record")</f>
        <v>Catalog Record</v>
      </c>
      <c r="AW3266" s="6" t="str">
        <f>HYPERLINK("http://www.worldcat.org/oclc/21311627","WorldCat Record")</f>
        <v>WorldCat Record</v>
      </c>
      <c r="AX3266" s="3" t="s">
        <v>27320</v>
      </c>
      <c r="AY3266" s="3" t="s">
        <v>27321</v>
      </c>
      <c r="AZ3266" s="3" t="s">
        <v>27322</v>
      </c>
      <c r="BA3266" s="3" t="s">
        <v>27322</v>
      </c>
      <c r="BB3266" s="3" t="s">
        <v>27323</v>
      </c>
      <c r="BC3266" s="3" t="s">
        <v>82</v>
      </c>
      <c r="BD3266" s="3" t="s">
        <v>70</v>
      </c>
      <c r="BE3266" s="3" t="s">
        <v>27324</v>
      </c>
      <c r="BF3266" s="3" t="s">
        <v>27323</v>
      </c>
      <c r="BG3266" s="3" t="s">
        <v>27325</v>
      </c>
    </row>
    <row r="3267" spans="1:59" ht="60" x14ac:dyDescent="0.25">
      <c r="A3267" s="2" t="s">
        <v>59</v>
      </c>
      <c r="B3267" s="2" t="s">
        <v>60</v>
      </c>
      <c r="C3267" s="2" t="s">
        <v>27326</v>
      </c>
      <c r="D3267" s="2" t="s">
        <v>27327</v>
      </c>
      <c r="E3267" s="2" t="s">
        <v>27328</v>
      </c>
      <c r="G3267" s="3" t="s">
        <v>63</v>
      </c>
      <c r="I3267" s="3" t="s">
        <v>63</v>
      </c>
      <c r="J3267" s="3" t="s">
        <v>63</v>
      </c>
      <c r="K3267" s="3" t="s">
        <v>64</v>
      </c>
      <c r="L3267" s="2" t="s">
        <v>27309</v>
      </c>
      <c r="M3267" s="2" t="s">
        <v>27329</v>
      </c>
      <c r="N3267" s="3" t="s">
        <v>374</v>
      </c>
      <c r="P3267" s="3" t="s">
        <v>90</v>
      </c>
      <c r="Q3267" s="2" t="s">
        <v>27330</v>
      </c>
      <c r="R3267" s="3" t="s">
        <v>67</v>
      </c>
      <c r="S3267" s="4">
        <v>9</v>
      </c>
      <c r="T3267" s="4">
        <v>9</v>
      </c>
      <c r="U3267" s="5" t="s">
        <v>8116</v>
      </c>
      <c r="V3267" s="5" t="s">
        <v>8116</v>
      </c>
      <c r="W3267" s="5" t="s">
        <v>69</v>
      </c>
      <c r="X3267" s="5" t="s">
        <v>69</v>
      </c>
      <c r="Y3267" s="4">
        <v>74</v>
      </c>
      <c r="Z3267" s="4">
        <v>4</v>
      </c>
      <c r="AA3267" s="4">
        <v>7</v>
      </c>
      <c r="AB3267" s="4">
        <v>1</v>
      </c>
      <c r="AC3267" s="4">
        <v>1</v>
      </c>
      <c r="AD3267" s="4">
        <v>50</v>
      </c>
      <c r="AE3267" s="4">
        <v>66</v>
      </c>
      <c r="AF3267" s="4">
        <v>0</v>
      </c>
      <c r="AG3267" s="4">
        <v>0</v>
      </c>
      <c r="AH3267" s="4">
        <v>48</v>
      </c>
      <c r="AI3267" s="4">
        <v>64</v>
      </c>
      <c r="AJ3267" s="4">
        <v>2</v>
      </c>
      <c r="AK3267" s="4">
        <v>4</v>
      </c>
      <c r="AL3267" s="4">
        <v>40</v>
      </c>
      <c r="AM3267" s="4">
        <v>46</v>
      </c>
      <c r="AN3267" s="4">
        <v>0</v>
      </c>
      <c r="AO3267" s="4">
        <v>0</v>
      </c>
      <c r="AP3267" s="4">
        <v>2</v>
      </c>
      <c r="AQ3267" s="4">
        <v>4</v>
      </c>
      <c r="AR3267" s="3" t="s">
        <v>63</v>
      </c>
      <c r="AS3267" s="3" t="s">
        <v>63</v>
      </c>
      <c r="AT3267" s="3" t="s">
        <v>62</v>
      </c>
      <c r="AU3267" s="6" t="str">
        <f>HYPERLINK("http://catalog.hathitrust.org/Record/003164968","HathiTrust Record")</f>
        <v>HathiTrust Record</v>
      </c>
      <c r="AV3267" s="6" t="str">
        <f>HYPERLINK("http://mcgill.on.worldcat.org/oclc/32831192","Catalog Record")</f>
        <v>Catalog Record</v>
      </c>
      <c r="AW3267" s="6" t="str">
        <f>HYPERLINK("http://www.worldcat.org/oclc/32831192","WorldCat Record")</f>
        <v>WorldCat Record</v>
      </c>
      <c r="AX3267" s="3" t="s">
        <v>27331</v>
      </c>
      <c r="AY3267" s="3" t="s">
        <v>27332</v>
      </c>
      <c r="AZ3267" s="3" t="s">
        <v>27333</v>
      </c>
      <c r="BA3267" s="3" t="s">
        <v>27333</v>
      </c>
      <c r="BB3267" s="3" t="s">
        <v>27334</v>
      </c>
      <c r="BC3267" s="3" t="s">
        <v>82</v>
      </c>
      <c r="BD3267" s="3" t="s">
        <v>70</v>
      </c>
      <c r="BE3267" s="3" t="s">
        <v>27335</v>
      </c>
      <c r="BF3267" s="3" t="s">
        <v>27334</v>
      </c>
      <c r="BG3267" s="3" t="s">
        <v>27336</v>
      </c>
    </row>
    <row r="3268" spans="1:59" ht="60" x14ac:dyDescent="0.25">
      <c r="A3268" s="2" t="s">
        <v>59</v>
      </c>
      <c r="B3268" s="2" t="s">
        <v>60</v>
      </c>
      <c r="C3268" s="2" t="s">
        <v>27337</v>
      </c>
      <c r="D3268" s="2" t="s">
        <v>27338</v>
      </c>
      <c r="E3268" s="2" t="s">
        <v>27339</v>
      </c>
      <c r="G3268" s="3" t="s">
        <v>63</v>
      </c>
      <c r="I3268" s="3" t="s">
        <v>63</v>
      </c>
      <c r="J3268" s="3" t="s">
        <v>63</v>
      </c>
      <c r="K3268" s="3" t="s">
        <v>64</v>
      </c>
      <c r="L3268" s="2" t="s">
        <v>27340</v>
      </c>
      <c r="M3268" s="2" t="s">
        <v>27341</v>
      </c>
      <c r="N3268" s="3" t="s">
        <v>300</v>
      </c>
      <c r="O3268" s="2" t="s">
        <v>976</v>
      </c>
      <c r="P3268" s="3" t="s">
        <v>66</v>
      </c>
      <c r="R3268" s="3" t="s">
        <v>67</v>
      </c>
      <c r="S3268" s="4">
        <v>3</v>
      </c>
      <c r="T3268" s="4">
        <v>3</v>
      </c>
      <c r="U3268" s="5" t="s">
        <v>27342</v>
      </c>
      <c r="V3268" s="5" t="s">
        <v>27342</v>
      </c>
      <c r="W3268" s="5" t="s">
        <v>69</v>
      </c>
      <c r="X3268" s="5" t="s">
        <v>69</v>
      </c>
      <c r="Y3268" s="4">
        <v>275</v>
      </c>
      <c r="Z3268" s="4">
        <v>16</v>
      </c>
      <c r="AA3268" s="4">
        <v>20</v>
      </c>
      <c r="AB3268" s="4">
        <v>1</v>
      </c>
      <c r="AC3268" s="4">
        <v>2</v>
      </c>
      <c r="AD3268" s="4">
        <v>81</v>
      </c>
      <c r="AE3268" s="4">
        <v>90</v>
      </c>
      <c r="AF3268" s="4">
        <v>0</v>
      </c>
      <c r="AG3268" s="4">
        <v>0</v>
      </c>
      <c r="AH3268" s="4">
        <v>75</v>
      </c>
      <c r="AI3268" s="4">
        <v>81</v>
      </c>
      <c r="AJ3268" s="4">
        <v>10</v>
      </c>
      <c r="AK3268" s="4">
        <v>13</v>
      </c>
      <c r="AL3268" s="4">
        <v>44</v>
      </c>
      <c r="AM3268" s="4">
        <v>48</v>
      </c>
      <c r="AN3268" s="4">
        <v>0</v>
      </c>
      <c r="AO3268" s="4">
        <v>0</v>
      </c>
      <c r="AP3268" s="4">
        <v>10</v>
      </c>
      <c r="AQ3268" s="4">
        <v>13</v>
      </c>
      <c r="AR3268" s="3" t="s">
        <v>63</v>
      </c>
      <c r="AS3268" s="3" t="s">
        <v>63</v>
      </c>
      <c r="AT3268" s="3" t="s">
        <v>62</v>
      </c>
      <c r="AU3268" s="6" t="str">
        <f>HYPERLINK("http://catalog.hathitrust.org/Record/000004601","HathiTrust Record")</f>
        <v>HathiTrust Record</v>
      </c>
      <c r="AV3268" s="6" t="str">
        <f>HYPERLINK("http://mcgill.on.worldcat.org/oclc/321199","Catalog Record")</f>
        <v>Catalog Record</v>
      </c>
      <c r="AW3268" s="6" t="str">
        <f>HYPERLINK("http://www.worldcat.org/oclc/321199","WorldCat Record")</f>
        <v>WorldCat Record</v>
      </c>
      <c r="AX3268" s="3" t="s">
        <v>27343</v>
      </c>
      <c r="AY3268" s="3" t="s">
        <v>27344</v>
      </c>
      <c r="AZ3268" s="3" t="s">
        <v>27345</v>
      </c>
      <c r="BA3268" s="3" t="s">
        <v>27345</v>
      </c>
      <c r="BB3268" s="3" t="s">
        <v>27346</v>
      </c>
      <c r="BC3268" s="3" t="s">
        <v>82</v>
      </c>
      <c r="BD3268" s="3" t="s">
        <v>70</v>
      </c>
      <c r="BF3268" s="3" t="s">
        <v>27346</v>
      </c>
      <c r="BG3268" s="3" t="s">
        <v>27347</v>
      </c>
    </row>
    <row r="3269" spans="1:59" ht="60" x14ac:dyDescent="0.25">
      <c r="A3269" s="2" t="s">
        <v>59</v>
      </c>
      <c r="B3269" s="2" t="s">
        <v>60</v>
      </c>
      <c r="C3269" s="2" t="s">
        <v>27348</v>
      </c>
      <c r="D3269" s="2" t="s">
        <v>27349</v>
      </c>
      <c r="E3269" s="2" t="s">
        <v>27350</v>
      </c>
      <c r="G3269" s="3" t="s">
        <v>63</v>
      </c>
      <c r="I3269" s="3" t="s">
        <v>63</v>
      </c>
      <c r="J3269" s="3" t="s">
        <v>63</v>
      </c>
      <c r="K3269" s="3" t="s">
        <v>64</v>
      </c>
      <c r="L3269" s="2" t="s">
        <v>27340</v>
      </c>
      <c r="M3269" s="2" t="s">
        <v>27351</v>
      </c>
      <c r="N3269" s="3" t="s">
        <v>480</v>
      </c>
      <c r="P3269" s="3" t="s">
        <v>90</v>
      </c>
      <c r="R3269" s="3" t="s">
        <v>67</v>
      </c>
      <c r="S3269" s="4">
        <v>7</v>
      </c>
      <c r="T3269" s="4">
        <v>7</v>
      </c>
      <c r="U3269" s="5" t="s">
        <v>14260</v>
      </c>
      <c r="V3269" s="5" t="s">
        <v>14260</v>
      </c>
      <c r="W3269" s="5" t="s">
        <v>69</v>
      </c>
      <c r="X3269" s="5" t="s">
        <v>69</v>
      </c>
      <c r="Y3269" s="4">
        <v>26</v>
      </c>
      <c r="Z3269" s="4">
        <v>3</v>
      </c>
      <c r="AA3269" s="4">
        <v>3</v>
      </c>
      <c r="AB3269" s="4">
        <v>1</v>
      </c>
      <c r="AC3269" s="4">
        <v>1</v>
      </c>
      <c r="AD3269" s="4">
        <v>15</v>
      </c>
      <c r="AE3269" s="4">
        <v>15</v>
      </c>
      <c r="AF3269" s="4">
        <v>0</v>
      </c>
      <c r="AG3269" s="4">
        <v>0</v>
      </c>
      <c r="AH3269" s="4">
        <v>15</v>
      </c>
      <c r="AI3269" s="4">
        <v>15</v>
      </c>
      <c r="AJ3269" s="4">
        <v>1</v>
      </c>
      <c r="AK3269" s="4">
        <v>1</v>
      </c>
      <c r="AL3269" s="4">
        <v>11</v>
      </c>
      <c r="AM3269" s="4">
        <v>11</v>
      </c>
      <c r="AN3269" s="4">
        <v>5</v>
      </c>
      <c r="AO3269" s="4">
        <v>5</v>
      </c>
      <c r="AP3269" s="4">
        <v>1</v>
      </c>
      <c r="AQ3269" s="4">
        <v>1</v>
      </c>
      <c r="AR3269" s="3" t="s">
        <v>63</v>
      </c>
      <c r="AS3269" s="3" t="s">
        <v>63</v>
      </c>
      <c r="AT3269" s="3" t="s">
        <v>62</v>
      </c>
      <c r="AU3269" s="6" t="str">
        <f>HYPERLINK("http://catalog.hathitrust.org/Record/101940871","HathiTrust Record")</f>
        <v>HathiTrust Record</v>
      </c>
      <c r="AV3269" s="6" t="str">
        <f>HYPERLINK("http://mcgill.on.worldcat.org/oclc/25883475","Catalog Record")</f>
        <v>Catalog Record</v>
      </c>
      <c r="AW3269" s="6" t="str">
        <f>HYPERLINK("http://www.worldcat.org/oclc/25883475","WorldCat Record")</f>
        <v>WorldCat Record</v>
      </c>
      <c r="AX3269" s="3" t="s">
        <v>27352</v>
      </c>
      <c r="AY3269" s="3" t="s">
        <v>27353</v>
      </c>
      <c r="AZ3269" s="3" t="s">
        <v>27354</v>
      </c>
      <c r="BA3269" s="3" t="s">
        <v>27354</v>
      </c>
      <c r="BB3269" s="3" t="s">
        <v>27355</v>
      </c>
      <c r="BC3269" s="3" t="s">
        <v>82</v>
      </c>
      <c r="BD3269" s="3" t="s">
        <v>70</v>
      </c>
      <c r="BE3269" s="3" t="s">
        <v>27356</v>
      </c>
      <c r="BF3269" s="3" t="s">
        <v>27355</v>
      </c>
      <c r="BG3269" s="3" t="s">
        <v>27357</v>
      </c>
    </row>
    <row r="3270" spans="1:59" ht="60" x14ac:dyDescent="0.25">
      <c r="A3270" s="2" t="s">
        <v>59</v>
      </c>
      <c r="B3270" s="2" t="s">
        <v>60</v>
      </c>
      <c r="C3270" s="2" t="s">
        <v>27358</v>
      </c>
      <c r="D3270" s="2" t="s">
        <v>27359</v>
      </c>
      <c r="E3270" s="2" t="s">
        <v>27360</v>
      </c>
      <c r="G3270" s="3" t="s">
        <v>63</v>
      </c>
      <c r="I3270" s="3" t="s">
        <v>63</v>
      </c>
      <c r="J3270" s="3" t="s">
        <v>63</v>
      </c>
      <c r="K3270" s="3" t="s">
        <v>64</v>
      </c>
      <c r="L3270" s="2" t="s">
        <v>27361</v>
      </c>
      <c r="M3270" s="2" t="s">
        <v>27362</v>
      </c>
      <c r="N3270" s="3" t="s">
        <v>2393</v>
      </c>
      <c r="P3270" s="3" t="s">
        <v>90</v>
      </c>
      <c r="R3270" s="3" t="s">
        <v>67</v>
      </c>
      <c r="S3270" s="4">
        <v>34</v>
      </c>
      <c r="T3270" s="4">
        <v>34</v>
      </c>
      <c r="U3270" s="5" t="s">
        <v>1114</v>
      </c>
      <c r="V3270" s="5" t="s">
        <v>1114</v>
      </c>
      <c r="W3270" s="5" t="s">
        <v>69</v>
      </c>
      <c r="X3270" s="5" t="s">
        <v>69</v>
      </c>
      <c r="Y3270" s="4">
        <v>86</v>
      </c>
      <c r="Z3270" s="4">
        <v>8</v>
      </c>
      <c r="AA3270" s="4">
        <v>11</v>
      </c>
      <c r="AB3270" s="4">
        <v>1</v>
      </c>
      <c r="AC3270" s="4">
        <v>1</v>
      </c>
      <c r="AD3270" s="4">
        <v>40</v>
      </c>
      <c r="AE3270" s="4">
        <v>53</v>
      </c>
      <c r="AF3270" s="4">
        <v>0</v>
      </c>
      <c r="AG3270" s="4">
        <v>0</v>
      </c>
      <c r="AH3270" s="4">
        <v>38</v>
      </c>
      <c r="AI3270" s="4">
        <v>49</v>
      </c>
      <c r="AJ3270" s="4">
        <v>5</v>
      </c>
      <c r="AK3270" s="4">
        <v>8</v>
      </c>
      <c r="AL3270" s="4">
        <v>26</v>
      </c>
      <c r="AM3270" s="4">
        <v>32</v>
      </c>
      <c r="AN3270" s="4">
        <v>0</v>
      </c>
      <c r="AO3270" s="4">
        <v>0</v>
      </c>
      <c r="AP3270" s="4">
        <v>5</v>
      </c>
      <c r="AQ3270" s="4">
        <v>8</v>
      </c>
      <c r="AR3270" s="3" t="s">
        <v>63</v>
      </c>
      <c r="AS3270" s="3" t="s">
        <v>63</v>
      </c>
      <c r="AT3270" s="3" t="s">
        <v>62</v>
      </c>
      <c r="AU3270" s="6" t="str">
        <f>HYPERLINK("http://catalog.hathitrust.org/Record/102055983","HathiTrust Record")</f>
        <v>HathiTrust Record</v>
      </c>
      <c r="AV3270" s="6" t="str">
        <f>HYPERLINK("http://mcgill.on.worldcat.org/oclc/1282185","Catalog Record")</f>
        <v>Catalog Record</v>
      </c>
      <c r="AW3270" s="6" t="str">
        <f>HYPERLINK("http://www.worldcat.org/oclc/1282185","WorldCat Record")</f>
        <v>WorldCat Record</v>
      </c>
      <c r="AX3270" s="3" t="s">
        <v>27363</v>
      </c>
      <c r="AY3270" s="3" t="s">
        <v>27364</v>
      </c>
      <c r="AZ3270" s="3" t="s">
        <v>27365</v>
      </c>
      <c r="BA3270" s="3" t="s">
        <v>27365</v>
      </c>
      <c r="BB3270" s="3" t="s">
        <v>27366</v>
      </c>
      <c r="BC3270" s="3" t="s">
        <v>82</v>
      </c>
      <c r="BD3270" s="3" t="s">
        <v>70</v>
      </c>
      <c r="BF3270" s="3" t="s">
        <v>27366</v>
      </c>
      <c r="BG3270" s="3" t="s">
        <v>27367</v>
      </c>
    </row>
    <row r="3271" spans="1:59" ht="60" x14ac:dyDescent="0.25">
      <c r="A3271" s="2" t="s">
        <v>59</v>
      </c>
      <c r="B3271" s="2" t="s">
        <v>60</v>
      </c>
      <c r="C3271" s="2" t="s">
        <v>27368</v>
      </c>
      <c r="D3271" s="2" t="s">
        <v>27369</v>
      </c>
      <c r="E3271" s="2" t="s">
        <v>27370</v>
      </c>
      <c r="G3271" s="3" t="s">
        <v>63</v>
      </c>
      <c r="I3271" s="3" t="s">
        <v>63</v>
      </c>
      <c r="J3271" s="3" t="s">
        <v>63</v>
      </c>
      <c r="K3271" s="3" t="s">
        <v>64</v>
      </c>
      <c r="L3271" s="2" t="s">
        <v>27361</v>
      </c>
      <c r="M3271" s="2" t="s">
        <v>27371</v>
      </c>
      <c r="N3271" s="3" t="s">
        <v>629</v>
      </c>
      <c r="P3271" s="3" t="s">
        <v>66</v>
      </c>
      <c r="Q3271" s="2" t="s">
        <v>24058</v>
      </c>
      <c r="R3271" s="3" t="s">
        <v>67</v>
      </c>
      <c r="S3271" s="4">
        <v>0</v>
      </c>
      <c r="T3271" s="4">
        <v>0</v>
      </c>
      <c r="W3271" s="5" t="s">
        <v>69</v>
      </c>
      <c r="X3271" s="5" t="s">
        <v>69</v>
      </c>
      <c r="Y3271" s="4">
        <v>54</v>
      </c>
      <c r="Z3271" s="4">
        <v>7</v>
      </c>
      <c r="AA3271" s="4">
        <v>22</v>
      </c>
      <c r="AB3271" s="4">
        <v>1</v>
      </c>
      <c r="AC3271" s="4">
        <v>1</v>
      </c>
      <c r="AD3271" s="4">
        <v>31</v>
      </c>
      <c r="AE3271" s="4">
        <v>76</v>
      </c>
      <c r="AF3271" s="4">
        <v>0</v>
      </c>
      <c r="AG3271" s="4">
        <v>0</v>
      </c>
      <c r="AH3271" s="4">
        <v>29</v>
      </c>
      <c r="AI3271" s="4">
        <v>68</v>
      </c>
      <c r="AJ3271" s="4">
        <v>5</v>
      </c>
      <c r="AK3271" s="4">
        <v>14</v>
      </c>
      <c r="AL3271" s="4">
        <v>20</v>
      </c>
      <c r="AM3271" s="4">
        <v>38</v>
      </c>
      <c r="AN3271" s="4">
        <v>0</v>
      </c>
      <c r="AO3271" s="4">
        <v>0</v>
      </c>
      <c r="AP3271" s="4">
        <v>5</v>
      </c>
      <c r="AQ3271" s="4">
        <v>15</v>
      </c>
      <c r="AR3271" s="3" t="s">
        <v>63</v>
      </c>
      <c r="AS3271" s="3" t="s">
        <v>63</v>
      </c>
      <c r="AT3271" s="3" t="s">
        <v>63</v>
      </c>
      <c r="AV3271" s="6" t="str">
        <f>HYPERLINK("http://mcgill.on.worldcat.org/oclc/727320415","Catalog Record")</f>
        <v>Catalog Record</v>
      </c>
      <c r="AW3271" s="6" t="str">
        <f>HYPERLINK("http://www.worldcat.org/oclc/727320415","WorldCat Record")</f>
        <v>WorldCat Record</v>
      </c>
      <c r="AX3271" s="3" t="s">
        <v>27372</v>
      </c>
      <c r="AY3271" s="3" t="s">
        <v>27373</v>
      </c>
      <c r="AZ3271" s="3" t="s">
        <v>27374</v>
      </c>
      <c r="BA3271" s="3" t="s">
        <v>27374</v>
      </c>
      <c r="BB3271" s="3" t="s">
        <v>27375</v>
      </c>
      <c r="BC3271" s="3" t="s">
        <v>82</v>
      </c>
      <c r="BD3271" s="3" t="s">
        <v>70</v>
      </c>
      <c r="BE3271" s="3" t="s">
        <v>27376</v>
      </c>
      <c r="BF3271" s="3" t="s">
        <v>27375</v>
      </c>
      <c r="BG3271" s="3" t="s">
        <v>27377</v>
      </c>
    </row>
    <row r="3272" spans="1:59" ht="60" x14ac:dyDescent="0.25">
      <c r="A3272" s="2" t="s">
        <v>59</v>
      </c>
      <c r="B3272" s="2" t="s">
        <v>60</v>
      </c>
      <c r="C3272" s="2" t="s">
        <v>27378</v>
      </c>
      <c r="D3272" s="2" t="s">
        <v>27379</v>
      </c>
      <c r="E3272" s="2" t="s">
        <v>27380</v>
      </c>
      <c r="G3272" s="3" t="s">
        <v>63</v>
      </c>
      <c r="I3272" s="3" t="s">
        <v>63</v>
      </c>
      <c r="J3272" s="3" t="s">
        <v>62</v>
      </c>
      <c r="K3272" s="3" t="s">
        <v>64</v>
      </c>
      <c r="L3272" s="2" t="s">
        <v>27361</v>
      </c>
      <c r="M3272" s="2" t="s">
        <v>27381</v>
      </c>
      <c r="N3272" s="3" t="s">
        <v>693</v>
      </c>
      <c r="P3272" s="3" t="s">
        <v>66</v>
      </c>
      <c r="Q3272" s="2" t="s">
        <v>20292</v>
      </c>
      <c r="R3272" s="3" t="s">
        <v>67</v>
      </c>
      <c r="S3272" s="4">
        <v>22</v>
      </c>
      <c r="T3272" s="4">
        <v>22</v>
      </c>
      <c r="U3272" s="5" t="s">
        <v>12377</v>
      </c>
      <c r="V3272" s="5" t="s">
        <v>12377</v>
      </c>
      <c r="W3272" s="5" t="s">
        <v>69</v>
      </c>
      <c r="X3272" s="5" t="s">
        <v>69</v>
      </c>
      <c r="Y3272" s="4">
        <v>225</v>
      </c>
      <c r="Z3272" s="4">
        <v>12</v>
      </c>
      <c r="AA3272" s="4">
        <v>45</v>
      </c>
      <c r="AB3272" s="4">
        <v>2</v>
      </c>
      <c r="AC3272" s="4">
        <v>5</v>
      </c>
      <c r="AD3272" s="4">
        <v>71</v>
      </c>
      <c r="AE3272" s="4">
        <v>129</v>
      </c>
      <c r="AF3272" s="4">
        <v>0</v>
      </c>
      <c r="AG3272" s="4">
        <v>0</v>
      </c>
      <c r="AH3272" s="4">
        <v>69</v>
      </c>
      <c r="AI3272" s="4">
        <v>109</v>
      </c>
      <c r="AJ3272" s="4">
        <v>7</v>
      </c>
      <c r="AK3272" s="4">
        <v>21</v>
      </c>
      <c r="AL3272" s="4">
        <v>42</v>
      </c>
      <c r="AM3272" s="4">
        <v>61</v>
      </c>
      <c r="AN3272" s="4">
        <v>0</v>
      </c>
      <c r="AO3272" s="4">
        <v>0</v>
      </c>
      <c r="AP3272" s="4">
        <v>8</v>
      </c>
      <c r="AQ3272" s="4">
        <v>26</v>
      </c>
      <c r="AR3272" s="3" t="s">
        <v>63</v>
      </c>
      <c r="AS3272" s="3" t="s">
        <v>63</v>
      </c>
      <c r="AT3272" s="3" t="s">
        <v>63</v>
      </c>
      <c r="AV3272" s="6" t="str">
        <f>HYPERLINK("http://mcgill.on.worldcat.org/oclc/54460869","Catalog Record")</f>
        <v>Catalog Record</v>
      </c>
      <c r="AW3272" s="6" t="str">
        <f>HYPERLINK("http://www.worldcat.org/oclc/54460869","WorldCat Record")</f>
        <v>WorldCat Record</v>
      </c>
      <c r="AX3272" s="3" t="s">
        <v>27382</v>
      </c>
      <c r="AY3272" s="3" t="s">
        <v>27383</v>
      </c>
      <c r="AZ3272" s="3" t="s">
        <v>27384</v>
      </c>
      <c r="BA3272" s="3" t="s">
        <v>27384</v>
      </c>
      <c r="BB3272" s="3" t="s">
        <v>27385</v>
      </c>
      <c r="BC3272" s="3" t="s">
        <v>82</v>
      </c>
      <c r="BD3272" s="3" t="s">
        <v>70</v>
      </c>
      <c r="BE3272" s="3" t="s">
        <v>27386</v>
      </c>
      <c r="BF3272" s="3" t="s">
        <v>27385</v>
      </c>
      <c r="BG3272" s="3" t="s">
        <v>27387</v>
      </c>
    </row>
    <row r="3273" spans="1:59" ht="60" x14ac:dyDescent="0.25">
      <c r="A3273" s="2" t="s">
        <v>59</v>
      </c>
      <c r="B3273" s="2" t="s">
        <v>60</v>
      </c>
      <c r="C3273" s="2" t="s">
        <v>27388</v>
      </c>
      <c r="D3273" s="2" t="s">
        <v>27389</v>
      </c>
      <c r="E3273" s="2" t="s">
        <v>27390</v>
      </c>
      <c r="G3273" s="3" t="s">
        <v>63</v>
      </c>
      <c r="I3273" s="3" t="s">
        <v>62</v>
      </c>
      <c r="J3273" s="3" t="s">
        <v>62</v>
      </c>
      <c r="K3273" s="3" t="s">
        <v>64</v>
      </c>
      <c r="L3273" s="2" t="s">
        <v>27361</v>
      </c>
      <c r="M3273" s="2" t="s">
        <v>27391</v>
      </c>
      <c r="N3273" s="3" t="s">
        <v>918</v>
      </c>
      <c r="O3273" s="2" t="s">
        <v>590</v>
      </c>
      <c r="P3273" s="3" t="s">
        <v>66</v>
      </c>
      <c r="R3273" s="3" t="s">
        <v>67</v>
      </c>
      <c r="S3273" s="4">
        <v>40</v>
      </c>
      <c r="T3273" s="4">
        <v>89</v>
      </c>
      <c r="U3273" s="5" t="s">
        <v>10846</v>
      </c>
      <c r="V3273" s="5" t="s">
        <v>27392</v>
      </c>
      <c r="W3273" s="5" t="s">
        <v>69</v>
      </c>
      <c r="X3273" s="5" t="s">
        <v>69</v>
      </c>
      <c r="Y3273" s="4">
        <v>521</v>
      </c>
      <c r="Z3273" s="4">
        <v>22</v>
      </c>
      <c r="AA3273" s="4">
        <v>45</v>
      </c>
      <c r="AB3273" s="4">
        <v>2</v>
      </c>
      <c r="AC3273" s="4">
        <v>5</v>
      </c>
      <c r="AD3273" s="4">
        <v>100</v>
      </c>
      <c r="AE3273" s="4">
        <v>129</v>
      </c>
      <c r="AF3273" s="4">
        <v>0</v>
      </c>
      <c r="AG3273" s="4">
        <v>0</v>
      </c>
      <c r="AH3273" s="4">
        <v>91</v>
      </c>
      <c r="AI3273" s="4">
        <v>109</v>
      </c>
      <c r="AJ3273" s="4">
        <v>14</v>
      </c>
      <c r="AK3273" s="4">
        <v>21</v>
      </c>
      <c r="AL3273" s="4">
        <v>49</v>
      </c>
      <c r="AM3273" s="4">
        <v>61</v>
      </c>
      <c r="AN3273" s="4">
        <v>0</v>
      </c>
      <c r="AO3273" s="4">
        <v>0</v>
      </c>
      <c r="AP3273" s="4">
        <v>16</v>
      </c>
      <c r="AQ3273" s="4">
        <v>26</v>
      </c>
      <c r="AR3273" s="3" t="s">
        <v>63</v>
      </c>
      <c r="AS3273" s="3" t="s">
        <v>63</v>
      </c>
      <c r="AT3273" s="3" t="s">
        <v>62</v>
      </c>
      <c r="AU3273" s="6" t="str">
        <f>HYPERLINK("http://catalog.hathitrust.org/Record/001054908","HathiTrust Record")</f>
        <v>HathiTrust Record</v>
      </c>
      <c r="AV3273" s="6" t="str">
        <f>HYPERLINK("http://mcgill.on.worldcat.org/oclc/606771","Catalog Record")</f>
        <v>Catalog Record</v>
      </c>
      <c r="AW3273" s="6" t="str">
        <f>HYPERLINK("http://www.worldcat.org/oclc/606771","WorldCat Record")</f>
        <v>WorldCat Record</v>
      </c>
      <c r="AX3273" s="3" t="s">
        <v>27382</v>
      </c>
      <c r="AY3273" s="3" t="s">
        <v>27393</v>
      </c>
      <c r="AZ3273" s="3" t="s">
        <v>27394</v>
      </c>
      <c r="BA3273" s="3" t="s">
        <v>27394</v>
      </c>
      <c r="BB3273" s="3" t="s">
        <v>27395</v>
      </c>
      <c r="BC3273" s="3" t="s">
        <v>82</v>
      </c>
      <c r="BD3273" s="3" t="s">
        <v>70</v>
      </c>
      <c r="BF3273" s="3" t="s">
        <v>27395</v>
      </c>
      <c r="BG3273" s="3" t="s">
        <v>27396</v>
      </c>
    </row>
    <row r="3274" spans="1:59" ht="60" x14ac:dyDescent="0.25">
      <c r="A3274" s="2" t="s">
        <v>59</v>
      </c>
      <c r="B3274" s="2" t="s">
        <v>60</v>
      </c>
      <c r="C3274" s="2" t="s">
        <v>27388</v>
      </c>
      <c r="D3274" s="2" t="s">
        <v>27389</v>
      </c>
      <c r="E3274" s="2" t="s">
        <v>27390</v>
      </c>
      <c r="G3274" s="3" t="s">
        <v>63</v>
      </c>
      <c r="I3274" s="3" t="s">
        <v>62</v>
      </c>
      <c r="J3274" s="3" t="s">
        <v>62</v>
      </c>
      <c r="K3274" s="3" t="s">
        <v>64</v>
      </c>
      <c r="L3274" s="2" t="s">
        <v>27361</v>
      </c>
      <c r="M3274" s="2" t="s">
        <v>27391</v>
      </c>
      <c r="N3274" s="3" t="s">
        <v>918</v>
      </c>
      <c r="O3274" s="2" t="s">
        <v>590</v>
      </c>
      <c r="P3274" s="3" t="s">
        <v>66</v>
      </c>
      <c r="R3274" s="3" t="s">
        <v>67</v>
      </c>
      <c r="S3274" s="4">
        <v>49</v>
      </c>
      <c r="T3274" s="4">
        <v>89</v>
      </c>
      <c r="U3274" s="5" t="s">
        <v>27392</v>
      </c>
      <c r="V3274" s="5" t="s">
        <v>27392</v>
      </c>
      <c r="W3274" s="5" t="s">
        <v>69</v>
      </c>
      <c r="X3274" s="5" t="s">
        <v>69</v>
      </c>
      <c r="Y3274" s="4">
        <v>521</v>
      </c>
      <c r="Z3274" s="4">
        <v>22</v>
      </c>
      <c r="AA3274" s="4">
        <v>45</v>
      </c>
      <c r="AB3274" s="4">
        <v>2</v>
      </c>
      <c r="AC3274" s="4">
        <v>5</v>
      </c>
      <c r="AD3274" s="4">
        <v>100</v>
      </c>
      <c r="AE3274" s="4">
        <v>129</v>
      </c>
      <c r="AF3274" s="4">
        <v>0</v>
      </c>
      <c r="AG3274" s="4">
        <v>0</v>
      </c>
      <c r="AH3274" s="4">
        <v>91</v>
      </c>
      <c r="AI3274" s="4">
        <v>109</v>
      </c>
      <c r="AJ3274" s="4">
        <v>14</v>
      </c>
      <c r="AK3274" s="4">
        <v>21</v>
      </c>
      <c r="AL3274" s="4">
        <v>49</v>
      </c>
      <c r="AM3274" s="4">
        <v>61</v>
      </c>
      <c r="AN3274" s="4">
        <v>0</v>
      </c>
      <c r="AO3274" s="4">
        <v>0</v>
      </c>
      <c r="AP3274" s="4">
        <v>16</v>
      </c>
      <c r="AQ3274" s="4">
        <v>26</v>
      </c>
      <c r="AR3274" s="3" t="s">
        <v>63</v>
      </c>
      <c r="AS3274" s="3" t="s">
        <v>63</v>
      </c>
      <c r="AT3274" s="3" t="s">
        <v>62</v>
      </c>
      <c r="AU3274" s="6" t="str">
        <f>HYPERLINK("http://catalog.hathitrust.org/Record/001054908","HathiTrust Record")</f>
        <v>HathiTrust Record</v>
      </c>
      <c r="AV3274" s="6" t="str">
        <f>HYPERLINK("http://mcgill.on.worldcat.org/oclc/606771","Catalog Record")</f>
        <v>Catalog Record</v>
      </c>
      <c r="AW3274" s="6" t="str">
        <f>HYPERLINK("http://www.worldcat.org/oclc/606771","WorldCat Record")</f>
        <v>WorldCat Record</v>
      </c>
      <c r="AX3274" s="3" t="s">
        <v>27382</v>
      </c>
      <c r="AY3274" s="3" t="s">
        <v>27393</v>
      </c>
      <c r="AZ3274" s="3" t="s">
        <v>27394</v>
      </c>
      <c r="BA3274" s="3" t="s">
        <v>27394</v>
      </c>
      <c r="BB3274" s="3" t="s">
        <v>27397</v>
      </c>
      <c r="BC3274" s="3" t="s">
        <v>82</v>
      </c>
      <c r="BD3274" s="3" t="s">
        <v>70</v>
      </c>
      <c r="BF3274" s="3" t="s">
        <v>27397</v>
      </c>
      <c r="BG3274" s="3" t="s">
        <v>27398</v>
      </c>
    </row>
    <row r="3275" spans="1:59" ht="60" x14ac:dyDescent="0.25">
      <c r="A3275" s="2" t="s">
        <v>59</v>
      </c>
      <c r="B3275" s="2" t="s">
        <v>60</v>
      </c>
      <c r="C3275" s="2" t="s">
        <v>27399</v>
      </c>
      <c r="D3275" s="2" t="s">
        <v>27400</v>
      </c>
      <c r="E3275" s="2" t="s">
        <v>27401</v>
      </c>
      <c r="G3275" s="3" t="s">
        <v>63</v>
      </c>
      <c r="I3275" s="3" t="s">
        <v>63</v>
      </c>
      <c r="J3275" s="3" t="s">
        <v>63</v>
      </c>
      <c r="K3275" s="3" t="s">
        <v>64</v>
      </c>
      <c r="L3275" s="2" t="s">
        <v>11361</v>
      </c>
      <c r="M3275" s="2" t="s">
        <v>27402</v>
      </c>
      <c r="N3275" s="3" t="s">
        <v>204</v>
      </c>
      <c r="P3275" s="3" t="s">
        <v>66</v>
      </c>
      <c r="R3275" s="3" t="s">
        <v>67</v>
      </c>
      <c r="S3275" s="4">
        <v>16</v>
      </c>
      <c r="T3275" s="4">
        <v>16</v>
      </c>
      <c r="U3275" s="5" t="s">
        <v>10097</v>
      </c>
      <c r="V3275" s="5" t="s">
        <v>10097</v>
      </c>
      <c r="W3275" s="5" t="s">
        <v>69</v>
      </c>
      <c r="X3275" s="5" t="s">
        <v>69</v>
      </c>
      <c r="Y3275" s="4">
        <v>160</v>
      </c>
      <c r="Z3275" s="4">
        <v>15</v>
      </c>
      <c r="AA3275" s="4">
        <v>15</v>
      </c>
      <c r="AB3275" s="4">
        <v>1</v>
      </c>
      <c r="AC3275" s="4">
        <v>1</v>
      </c>
      <c r="AD3275" s="4">
        <v>69</v>
      </c>
      <c r="AE3275" s="4">
        <v>69</v>
      </c>
      <c r="AF3275" s="4">
        <v>0</v>
      </c>
      <c r="AG3275" s="4">
        <v>0</v>
      </c>
      <c r="AH3275" s="4">
        <v>63</v>
      </c>
      <c r="AI3275" s="4">
        <v>63</v>
      </c>
      <c r="AJ3275" s="4">
        <v>11</v>
      </c>
      <c r="AK3275" s="4">
        <v>11</v>
      </c>
      <c r="AL3275" s="4">
        <v>39</v>
      </c>
      <c r="AM3275" s="4">
        <v>39</v>
      </c>
      <c r="AN3275" s="4">
        <v>0</v>
      </c>
      <c r="AO3275" s="4">
        <v>0</v>
      </c>
      <c r="AP3275" s="4">
        <v>12</v>
      </c>
      <c r="AQ3275" s="4">
        <v>12</v>
      </c>
      <c r="AR3275" s="3" t="s">
        <v>63</v>
      </c>
      <c r="AS3275" s="3" t="s">
        <v>63</v>
      </c>
      <c r="AT3275" s="3" t="s">
        <v>62</v>
      </c>
      <c r="AU3275" s="6" t="str">
        <f>HYPERLINK("http://catalog.hathitrust.org/Record/003153931","HathiTrust Record")</f>
        <v>HathiTrust Record</v>
      </c>
      <c r="AV3275" s="6" t="str">
        <f>HYPERLINK("http://mcgill.on.worldcat.org/oclc/34918015","Catalog Record")</f>
        <v>Catalog Record</v>
      </c>
      <c r="AW3275" s="6" t="str">
        <f>HYPERLINK("http://www.worldcat.org/oclc/34918015","WorldCat Record")</f>
        <v>WorldCat Record</v>
      </c>
      <c r="AX3275" s="3" t="s">
        <v>27403</v>
      </c>
      <c r="AY3275" s="3" t="s">
        <v>27404</v>
      </c>
      <c r="AZ3275" s="3" t="s">
        <v>27405</v>
      </c>
      <c r="BA3275" s="3" t="s">
        <v>27405</v>
      </c>
      <c r="BB3275" s="3" t="s">
        <v>27406</v>
      </c>
      <c r="BC3275" s="3" t="s">
        <v>82</v>
      </c>
      <c r="BD3275" s="3" t="s">
        <v>70</v>
      </c>
      <c r="BE3275" s="3" t="s">
        <v>27407</v>
      </c>
      <c r="BF3275" s="3" t="s">
        <v>27406</v>
      </c>
      <c r="BG3275" s="3" t="s">
        <v>27408</v>
      </c>
    </row>
    <row r="3276" spans="1:59" ht="60" x14ac:dyDescent="0.25">
      <c r="A3276" s="2" t="s">
        <v>59</v>
      </c>
      <c r="B3276" s="2" t="s">
        <v>60</v>
      </c>
      <c r="C3276" s="2" t="s">
        <v>27409</v>
      </c>
      <c r="D3276" s="2" t="s">
        <v>27410</v>
      </c>
      <c r="E3276" s="2" t="s">
        <v>27411</v>
      </c>
      <c r="G3276" s="3" t="s">
        <v>63</v>
      </c>
      <c r="I3276" s="3" t="s">
        <v>62</v>
      </c>
      <c r="J3276" s="3" t="s">
        <v>63</v>
      </c>
      <c r="K3276" s="3" t="s">
        <v>64</v>
      </c>
      <c r="L3276" s="2" t="s">
        <v>27412</v>
      </c>
      <c r="M3276" s="2" t="s">
        <v>27413</v>
      </c>
      <c r="N3276" s="3" t="s">
        <v>681</v>
      </c>
      <c r="P3276" s="3" t="s">
        <v>66</v>
      </c>
      <c r="R3276" s="3" t="s">
        <v>67</v>
      </c>
      <c r="S3276" s="4">
        <v>0</v>
      </c>
      <c r="T3276" s="4">
        <v>33</v>
      </c>
      <c r="V3276" s="5" t="s">
        <v>10097</v>
      </c>
      <c r="W3276" s="5" t="s">
        <v>69</v>
      </c>
      <c r="X3276" s="5" t="s">
        <v>69</v>
      </c>
      <c r="Y3276" s="4">
        <v>450</v>
      </c>
      <c r="Z3276" s="4">
        <v>22</v>
      </c>
      <c r="AA3276" s="4">
        <v>25</v>
      </c>
      <c r="AB3276" s="4">
        <v>2</v>
      </c>
      <c r="AC3276" s="4">
        <v>3</v>
      </c>
      <c r="AD3276" s="4">
        <v>112</v>
      </c>
      <c r="AE3276" s="4">
        <v>115</v>
      </c>
      <c r="AF3276" s="4">
        <v>1</v>
      </c>
      <c r="AG3276" s="4">
        <v>2</v>
      </c>
      <c r="AH3276" s="4">
        <v>99</v>
      </c>
      <c r="AI3276" s="4">
        <v>101</v>
      </c>
      <c r="AJ3276" s="4">
        <v>16</v>
      </c>
      <c r="AK3276" s="4">
        <v>19</v>
      </c>
      <c r="AL3276" s="4">
        <v>54</v>
      </c>
      <c r="AM3276" s="4">
        <v>54</v>
      </c>
      <c r="AN3276" s="4">
        <v>0</v>
      </c>
      <c r="AO3276" s="4">
        <v>0</v>
      </c>
      <c r="AP3276" s="4">
        <v>18</v>
      </c>
      <c r="AQ3276" s="4">
        <v>20</v>
      </c>
      <c r="AR3276" s="3" t="s">
        <v>63</v>
      </c>
      <c r="AS3276" s="3" t="s">
        <v>63</v>
      </c>
      <c r="AT3276" s="3" t="s">
        <v>62</v>
      </c>
      <c r="AU3276" s="6" t="str">
        <f>HYPERLINK("http://catalog.hathitrust.org/Record/001728437","HathiTrust Record")</f>
        <v>HathiTrust Record</v>
      </c>
      <c r="AV3276" s="6" t="str">
        <f>HYPERLINK("http://mcgill.on.worldcat.org/oclc/97551","Catalog Record")</f>
        <v>Catalog Record</v>
      </c>
      <c r="AW3276" s="6" t="str">
        <f>HYPERLINK("http://www.worldcat.org/oclc/97551","WorldCat Record")</f>
        <v>WorldCat Record</v>
      </c>
      <c r="AX3276" s="3" t="s">
        <v>27414</v>
      </c>
      <c r="AY3276" s="3" t="s">
        <v>27415</v>
      </c>
      <c r="AZ3276" s="3" t="s">
        <v>27416</v>
      </c>
      <c r="BA3276" s="3" t="s">
        <v>27416</v>
      </c>
      <c r="BB3276" s="3" t="s">
        <v>27417</v>
      </c>
      <c r="BC3276" s="3" t="s">
        <v>82</v>
      </c>
      <c r="BD3276" s="3" t="s">
        <v>70</v>
      </c>
      <c r="BE3276" s="3" t="s">
        <v>27418</v>
      </c>
      <c r="BF3276" s="3" t="s">
        <v>27417</v>
      </c>
      <c r="BG3276" s="3" t="s">
        <v>27419</v>
      </c>
    </row>
    <row r="3277" spans="1:59" ht="60" x14ac:dyDescent="0.25">
      <c r="A3277" s="2" t="s">
        <v>59</v>
      </c>
      <c r="B3277" s="2" t="s">
        <v>60</v>
      </c>
      <c r="C3277" s="2" t="s">
        <v>27409</v>
      </c>
      <c r="D3277" s="2" t="s">
        <v>27410</v>
      </c>
      <c r="E3277" s="2" t="s">
        <v>27411</v>
      </c>
      <c r="G3277" s="3" t="s">
        <v>63</v>
      </c>
      <c r="I3277" s="3" t="s">
        <v>62</v>
      </c>
      <c r="J3277" s="3" t="s">
        <v>63</v>
      </c>
      <c r="K3277" s="3" t="s">
        <v>64</v>
      </c>
      <c r="L3277" s="2" t="s">
        <v>27412</v>
      </c>
      <c r="M3277" s="2" t="s">
        <v>27413</v>
      </c>
      <c r="N3277" s="3" t="s">
        <v>681</v>
      </c>
      <c r="P3277" s="3" t="s">
        <v>66</v>
      </c>
      <c r="R3277" s="3" t="s">
        <v>67</v>
      </c>
      <c r="S3277" s="4">
        <v>14</v>
      </c>
      <c r="T3277" s="4">
        <v>33</v>
      </c>
      <c r="U3277" s="5" t="s">
        <v>27420</v>
      </c>
      <c r="V3277" s="5" t="s">
        <v>10097</v>
      </c>
      <c r="W3277" s="5" t="s">
        <v>69</v>
      </c>
      <c r="X3277" s="5" t="s">
        <v>69</v>
      </c>
      <c r="Y3277" s="4">
        <v>450</v>
      </c>
      <c r="Z3277" s="4">
        <v>22</v>
      </c>
      <c r="AA3277" s="4">
        <v>25</v>
      </c>
      <c r="AB3277" s="4">
        <v>2</v>
      </c>
      <c r="AC3277" s="4">
        <v>3</v>
      </c>
      <c r="AD3277" s="4">
        <v>112</v>
      </c>
      <c r="AE3277" s="4">
        <v>115</v>
      </c>
      <c r="AF3277" s="4">
        <v>1</v>
      </c>
      <c r="AG3277" s="4">
        <v>2</v>
      </c>
      <c r="AH3277" s="4">
        <v>99</v>
      </c>
      <c r="AI3277" s="4">
        <v>101</v>
      </c>
      <c r="AJ3277" s="4">
        <v>16</v>
      </c>
      <c r="AK3277" s="4">
        <v>19</v>
      </c>
      <c r="AL3277" s="4">
        <v>54</v>
      </c>
      <c r="AM3277" s="4">
        <v>54</v>
      </c>
      <c r="AN3277" s="4">
        <v>0</v>
      </c>
      <c r="AO3277" s="4">
        <v>0</v>
      </c>
      <c r="AP3277" s="4">
        <v>18</v>
      </c>
      <c r="AQ3277" s="4">
        <v>20</v>
      </c>
      <c r="AR3277" s="3" t="s">
        <v>63</v>
      </c>
      <c r="AS3277" s="3" t="s">
        <v>63</v>
      </c>
      <c r="AT3277" s="3" t="s">
        <v>62</v>
      </c>
      <c r="AU3277" s="6" t="str">
        <f>HYPERLINK("http://catalog.hathitrust.org/Record/001728437","HathiTrust Record")</f>
        <v>HathiTrust Record</v>
      </c>
      <c r="AV3277" s="6" t="str">
        <f>HYPERLINK("http://mcgill.on.worldcat.org/oclc/97551","Catalog Record")</f>
        <v>Catalog Record</v>
      </c>
      <c r="AW3277" s="6" t="str">
        <f>HYPERLINK("http://www.worldcat.org/oclc/97551","WorldCat Record")</f>
        <v>WorldCat Record</v>
      </c>
      <c r="AX3277" s="3" t="s">
        <v>27414</v>
      </c>
      <c r="AY3277" s="3" t="s">
        <v>27415</v>
      </c>
      <c r="AZ3277" s="3" t="s">
        <v>27416</v>
      </c>
      <c r="BA3277" s="3" t="s">
        <v>27416</v>
      </c>
      <c r="BB3277" s="3" t="s">
        <v>27421</v>
      </c>
      <c r="BC3277" s="3" t="s">
        <v>82</v>
      </c>
      <c r="BD3277" s="3" t="s">
        <v>70</v>
      </c>
      <c r="BE3277" s="3" t="s">
        <v>27418</v>
      </c>
      <c r="BF3277" s="3" t="s">
        <v>27421</v>
      </c>
      <c r="BG3277" s="3" t="s">
        <v>27422</v>
      </c>
    </row>
    <row r="3278" spans="1:59" ht="60" x14ac:dyDescent="0.25">
      <c r="A3278" s="2" t="s">
        <v>59</v>
      </c>
      <c r="B3278" s="2" t="s">
        <v>60</v>
      </c>
      <c r="C3278" s="2" t="s">
        <v>27409</v>
      </c>
      <c r="D3278" s="2" t="s">
        <v>27410</v>
      </c>
      <c r="E3278" s="2" t="s">
        <v>27411</v>
      </c>
      <c r="G3278" s="3" t="s">
        <v>63</v>
      </c>
      <c r="I3278" s="3" t="s">
        <v>62</v>
      </c>
      <c r="J3278" s="3" t="s">
        <v>63</v>
      </c>
      <c r="K3278" s="3" t="s">
        <v>64</v>
      </c>
      <c r="L3278" s="2" t="s">
        <v>27412</v>
      </c>
      <c r="M3278" s="2" t="s">
        <v>27413</v>
      </c>
      <c r="N3278" s="3" t="s">
        <v>681</v>
      </c>
      <c r="P3278" s="3" t="s">
        <v>66</v>
      </c>
      <c r="R3278" s="3" t="s">
        <v>67</v>
      </c>
      <c r="S3278" s="4">
        <v>19</v>
      </c>
      <c r="T3278" s="4">
        <v>33</v>
      </c>
      <c r="U3278" s="5" t="s">
        <v>10097</v>
      </c>
      <c r="V3278" s="5" t="s">
        <v>10097</v>
      </c>
      <c r="W3278" s="5" t="s">
        <v>69</v>
      </c>
      <c r="X3278" s="5" t="s">
        <v>69</v>
      </c>
      <c r="Y3278" s="4">
        <v>450</v>
      </c>
      <c r="Z3278" s="4">
        <v>22</v>
      </c>
      <c r="AA3278" s="4">
        <v>25</v>
      </c>
      <c r="AB3278" s="4">
        <v>2</v>
      </c>
      <c r="AC3278" s="4">
        <v>3</v>
      </c>
      <c r="AD3278" s="4">
        <v>112</v>
      </c>
      <c r="AE3278" s="4">
        <v>115</v>
      </c>
      <c r="AF3278" s="4">
        <v>1</v>
      </c>
      <c r="AG3278" s="4">
        <v>2</v>
      </c>
      <c r="AH3278" s="4">
        <v>99</v>
      </c>
      <c r="AI3278" s="4">
        <v>101</v>
      </c>
      <c r="AJ3278" s="4">
        <v>16</v>
      </c>
      <c r="AK3278" s="4">
        <v>19</v>
      </c>
      <c r="AL3278" s="4">
        <v>54</v>
      </c>
      <c r="AM3278" s="4">
        <v>54</v>
      </c>
      <c r="AN3278" s="4">
        <v>0</v>
      </c>
      <c r="AO3278" s="4">
        <v>0</v>
      </c>
      <c r="AP3278" s="4">
        <v>18</v>
      </c>
      <c r="AQ3278" s="4">
        <v>20</v>
      </c>
      <c r="AR3278" s="3" t="s">
        <v>63</v>
      </c>
      <c r="AS3278" s="3" t="s">
        <v>63</v>
      </c>
      <c r="AT3278" s="3" t="s">
        <v>62</v>
      </c>
      <c r="AU3278" s="6" t="str">
        <f>HYPERLINK("http://catalog.hathitrust.org/Record/001728437","HathiTrust Record")</f>
        <v>HathiTrust Record</v>
      </c>
      <c r="AV3278" s="6" t="str">
        <f>HYPERLINK("http://mcgill.on.worldcat.org/oclc/97551","Catalog Record")</f>
        <v>Catalog Record</v>
      </c>
      <c r="AW3278" s="6" t="str">
        <f>HYPERLINK("http://www.worldcat.org/oclc/97551","WorldCat Record")</f>
        <v>WorldCat Record</v>
      </c>
      <c r="AX3278" s="3" t="s">
        <v>27414</v>
      </c>
      <c r="AY3278" s="3" t="s">
        <v>27415</v>
      </c>
      <c r="AZ3278" s="3" t="s">
        <v>27416</v>
      </c>
      <c r="BA3278" s="3" t="s">
        <v>27416</v>
      </c>
      <c r="BB3278" s="3" t="s">
        <v>27423</v>
      </c>
      <c r="BC3278" s="3" t="s">
        <v>82</v>
      </c>
      <c r="BD3278" s="3" t="s">
        <v>70</v>
      </c>
      <c r="BE3278" s="3" t="s">
        <v>27418</v>
      </c>
      <c r="BF3278" s="3" t="s">
        <v>27423</v>
      </c>
      <c r="BG3278" s="3" t="s">
        <v>27424</v>
      </c>
    </row>
    <row r="3279" spans="1:59" ht="60" x14ac:dyDescent="0.25">
      <c r="A3279" s="2" t="s">
        <v>59</v>
      </c>
      <c r="B3279" s="2" t="s">
        <v>60</v>
      </c>
      <c r="C3279" s="2" t="s">
        <v>27425</v>
      </c>
      <c r="D3279" s="2" t="s">
        <v>27426</v>
      </c>
      <c r="E3279" s="2" t="s">
        <v>27427</v>
      </c>
      <c r="G3279" s="3" t="s">
        <v>63</v>
      </c>
      <c r="I3279" s="3" t="s">
        <v>63</v>
      </c>
      <c r="J3279" s="3" t="s">
        <v>63</v>
      </c>
      <c r="K3279" s="3" t="s">
        <v>64</v>
      </c>
      <c r="L3279" s="2" t="s">
        <v>27428</v>
      </c>
      <c r="M3279" s="2" t="s">
        <v>27429</v>
      </c>
      <c r="N3279" s="3" t="s">
        <v>1023</v>
      </c>
      <c r="P3279" s="3" t="s">
        <v>66</v>
      </c>
      <c r="Q3279" s="2" t="s">
        <v>27430</v>
      </c>
      <c r="R3279" s="3" t="s">
        <v>67</v>
      </c>
      <c r="S3279" s="4">
        <v>12</v>
      </c>
      <c r="T3279" s="4">
        <v>12</v>
      </c>
      <c r="U3279" s="5" t="s">
        <v>10097</v>
      </c>
      <c r="V3279" s="5" t="s">
        <v>10097</v>
      </c>
      <c r="W3279" s="5" t="s">
        <v>69</v>
      </c>
      <c r="X3279" s="5" t="s">
        <v>69</v>
      </c>
      <c r="Y3279" s="4">
        <v>122</v>
      </c>
      <c r="Z3279" s="4">
        <v>6</v>
      </c>
      <c r="AA3279" s="4">
        <v>6</v>
      </c>
      <c r="AB3279" s="4">
        <v>1</v>
      </c>
      <c r="AC3279" s="4">
        <v>1</v>
      </c>
      <c r="AD3279" s="4">
        <v>64</v>
      </c>
      <c r="AE3279" s="4">
        <v>64</v>
      </c>
      <c r="AF3279" s="4">
        <v>0</v>
      </c>
      <c r="AG3279" s="4">
        <v>0</v>
      </c>
      <c r="AH3279" s="4">
        <v>61</v>
      </c>
      <c r="AI3279" s="4">
        <v>61</v>
      </c>
      <c r="AJ3279" s="4">
        <v>4</v>
      </c>
      <c r="AK3279" s="4">
        <v>4</v>
      </c>
      <c r="AL3279" s="4">
        <v>38</v>
      </c>
      <c r="AM3279" s="4">
        <v>38</v>
      </c>
      <c r="AN3279" s="4">
        <v>0</v>
      </c>
      <c r="AO3279" s="4">
        <v>0</v>
      </c>
      <c r="AP3279" s="4">
        <v>4</v>
      </c>
      <c r="AQ3279" s="4">
        <v>4</v>
      </c>
      <c r="AR3279" s="3" t="s">
        <v>63</v>
      </c>
      <c r="AS3279" s="3" t="s">
        <v>63</v>
      </c>
      <c r="AT3279" s="3" t="s">
        <v>62</v>
      </c>
      <c r="AU3279" s="6" t="str">
        <f>HYPERLINK("http://catalog.hathitrust.org/Record/003077581","HathiTrust Record")</f>
        <v>HathiTrust Record</v>
      </c>
      <c r="AV3279" s="6" t="str">
        <f>HYPERLINK("http://mcgill.on.worldcat.org/oclc/32950683","Catalog Record")</f>
        <v>Catalog Record</v>
      </c>
      <c r="AW3279" s="6" t="str">
        <f>HYPERLINK("http://www.worldcat.org/oclc/32950683","WorldCat Record")</f>
        <v>WorldCat Record</v>
      </c>
      <c r="AX3279" s="3" t="s">
        <v>27431</v>
      </c>
      <c r="AY3279" s="3" t="s">
        <v>27432</v>
      </c>
      <c r="AZ3279" s="3" t="s">
        <v>27433</v>
      </c>
      <c r="BA3279" s="3" t="s">
        <v>27433</v>
      </c>
      <c r="BB3279" s="3" t="s">
        <v>27434</v>
      </c>
      <c r="BC3279" s="3" t="s">
        <v>82</v>
      </c>
      <c r="BD3279" s="3" t="s">
        <v>70</v>
      </c>
      <c r="BE3279" s="3" t="s">
        <v>27435</v>
      </c>
      <c r="BF3279" s="3" t="s">
        <v>27434</v>
      </c>
      <c r="BG3279" s="3" t="s">
        <v>27436</v>
      </c>
    </row>
    <row r="3280" spans="1:59" ht="60" x14ac:dyDescent="0.25">
      <c r="A3280" s="2" t="s">
        <v>59</v>
      </c>
      <c r="B3280" s="2" t="s">
        <v>60</v>
      </c>
      <c r="C3280" s="2" t="s">
        <v>27437</v>
      </c>
      <c r="D3280" s="2" t="s">
        <v>27438</v>
      </c>
      <c r="E3280" s="2" t="s">
        <v>27439</v>
      </c>
      <c r="G3280" s="3" t="s">
        <v>63</v>
      </c>
      <c r="I3280" s="3" t="s">
        <v>63</v>
      </c>
      <c r="J3280" s="3" t="s">
        <v>63</v>
      </c>
      <c r="K3280" s="3" t="s">
        <v>64</v>
      </c>
      <c r="L3280" s="2" t="s">
        <v>14907</v>
      </c>
      <c r="M3280" s="2" t="s">
        <v>27440</v>
      </c>
      <c r="N3280" s="3" t="s">
        <v>2043</v>
      </c>
      <c r="P3280" s="3" t="s">
        <v>66</v>
      </c>
      <c r="Q3280" s="2" t="s">
        <v>27441</v>
      </c>
      <c r="R3280" s="3" t="s">
        <v>67</v>
      </c>
      <c r="S3280" s="4">
        <v>7</v>
      </c>
      <c r="T3280" s="4">
        <v>7</v>
      </c>
      <c r="U3280" s="5" t="s">
        <v>10097</v>
      </c>
      <c r="V3280" s="5" t="s">
        <v>10097</v>
      </c>
      <c r="W3280" s="5" t="s">
        <v>69</v>
      </c>
      <c r="X3280" s="5" t="s">
        <v>69</v>
      </c>
      <c r="Y3280" s="4">
        <v>84</v>
      </c>
      <c r="Z3280" s="4">
        <v>12</v>
      </c>
      <c r="AA3280" s="4">
        <v>12</v>
      </c>
      <c r="AB3280" s="4">
        <v>1</v>
      </c>
      <c r="AC3280" s="4">
        <v>1</v>
      </c>
      <c r="AD3280" s="4">
        <v>47</v>
      </c>
      <c r="AE3280" s="4">
        <v>47</v>
      </c>
      <c r="AF3280" s="4">
        <v>0</v>
      </c>
      <c r="AG3280" s="4">
        <v>0</v>
      </c>
      <c r="AH3280" s="4">
        <v>44</v>
      </c>
      <c r="AI3280" s="4">
        <v>44</v>
      </c>
      <c r="AJ3280" s="4">
        <v>10</v>
      </c>
      <c r="AK3280" s="4">
        <v>10</v>
      </c>
      <c r="AL3280" s="4">
        <v>26</v>
      </c>
      <c r="AM3280" s="4">
        <v>26</v>
      </c>
      <c r="AN3280" s="4">
        <v>0</v>
      </c>
      <c r="AO3280" s="4">
        <v>0</v>
      </c>
      <c r="AP3280" s="4">
        <v>10</v>
      </c>
      <c r="AQ3280" s="4">
        <v>10</v>
      </c>
      <c r="AR3280" s="3" t="s">
        <v>63</v>
      </c>
      <c r="AS3280" s="3" t="s">
        <v>63</v>
      </c>
      <c r="AT3280" s="3" t="s">
        <v>62</v>
      </c>
      <c r="AU3280" s="6" t="str">
        <f>HYPERLINK("http://catalog.hathitrust.org/Record/000115923","HathiTrust Record")</f>
        <v>HathiTrust Record</v>
      </c>
      <c r="AV3280" s="6" t="str">
        <f>HYPERLINK("http://mcgill.on.worldcat.org/oclc/8333308","Catalog Record")</f>
        <v>Catalog Record</v>
      </c>
      <c r="AW3280" s="6" t="str">
        <f>HYPERLINK("http://www.worldcat.org/oclc/8333308","WorldCat Record")</f>
        <v>WorldCat Record</v>
      </c>
      <c r="AX3280" s="3" t="s">
        <v>27442</v>
      </c>
      <c r="AY3280" s="3" t="s">
        <v>27443</v>
      </c>
      <c r="AZ3280" s="3" t="s">
        <v>27444</v>
      </c>
      <c r="BA3280" s="3" t="s">
        <v>27444</v>
      </c>
      <c r="BB3280" s="3" t="s">
        <v>27445</v>
      </c>
      <c r="BC3280" s="3" t="s">
        <v>82</v>
      </c>
      <c r="BD3280" s="3" t="s">
        <v>70</v>
      </c>
      <c r="BE3280" s="3" t="s">
        <v>27446</v>
      </c>
      <c r="BF3280" s="3" t="s">
        <v>27445</v>
      </c>
      <c r="BG3280" s="3" t="s">
        <v>27447</v>
      </c>
    </row>
    <row r="3281" spans="1:59" ht="60" x14ac:dyDescent="0.25">
      <c r="A3281" s="2" t="s">
        <v>59</v>
      </c>
      <c r="B3281" s="2" t="s">
        <v>60</v>
      </c>
      <c r="C3281" s="2" t="s">
        <v>27448</v>
      </c>
      <c r="D3281" s="2" t="s">
        <v>27449</v>
      </c>
      <c r="E3281" s="2" t="s">
        <v>27450</v>
      </c>
      <c r="G3281" s="3" t="s">
        <v>63</v>
      </c>
      <c r="I3281" s="3" t="s">
        <v>63</v>
      </c>
      <c r="J3281" s="3" t="s">
        <v>63</v>
      </c>
      <c r="K3281" s="3" t="s">
        <v>64</v>
      </c>
      <c r="L3281" s="2" t="s">
        <v>22887</v>
      </c>
      <c r="M3281" s="2" t="s">
        <v>27451</v>
      </c>
      <c r="N3281" s="3" t="s">
        <v>531</v>
      </c>
      <c r="P3281" s="3" t="s">
        <v>90</v>
      </c>
      <c r="R3281" s="3" t="s">
        <v>67</v>
      </c>
      <c r="S3281" s="4">
        <v>2</v>
      </c>
      <c r="T3281" s="4">
        <v>2</v>
      </c>
      <c r="U3281" s="5" t="s">
        <v>20429</v>
      </c>
      <c r="V3281" s="5" t="s">
        <v>20429</v>
      </c>
      <c r="W3281" s="5" t="s">
        <v>69</v>
      </c>
      <c r="X3281" s="5" t="s">
        <v>69</v>
      </c>
      <c r="Y3281" s="4">
        <v>62</v>
      </c>
      <c r="Z3281" s="4">
        <v>3</v>
      </c>
      <c r="AA3281" s="4">
        <v>3</v>
      </c>
      <c r="AB3281" s="4">
        <v>1</v>
      </c>
      <c r="AC3281" s="4">
        <v>1</v>
      </c>
      <c r="AD3281" s="4">
        <v>40</v>
      </c>
      <c r="AE3281" s="4">
        <v>40</v>
      </c>
      <c r="AF3281" s="4">
        <v>0</v>
      </c>
      <c r="AG3281" s="4">
        <v>0</v>
      </c>
      <c r="AH3281" s="4">
        <v>38</v>
      </c>
      <c r="AI3281" s="4">
        <v>38</v>
      </c>
      <c r="AJ3281" s="4">
        <v>1</v>
      </c>
      <c r="AK3281" s="4">
        <v>1</v>
      </c>
      <c r="AL3281" s="4">
        <v>29</v>
      </c>
      <c r="AM3281" s="4">
        <v>29</v>
      </c>
      <c r="AN3281" s="4">
        <v>0</v>
      </c>
      <c r="AO3281" s="4">
        <v>0</v>
      </c>
      <c r="AP3281" s="4">
        <v>1</v>
      </c>
      <c r="AQ3281" s="4">
        <v>1</v>
      </c>
      <c r="AR3281" s="3" t="s">
        <v>63</v>
      </c>
      <c r="AS3281" s="3" t="s">
        <v>63</v>
      </c>
      <c r="AT3281" s="3" t="s">
        <v>63</v>
      </c>
      <c r="AV3281" s="6" t="str">
        <f>HYPERLINK("http://mcgill.on.worldcat.org/oclc/26734037","Catalog Record")</f>
        <v>Catalog Record</v>
      </c>
      <c r="AW3281" s="6" t="str">
        <f>HYPERLINK("http://www.worldcat.org/oclc/26734037","WorldCat Record")</f>
        <v>WorldCat Record</v>
      </c>
      <c r="AX3281" s="3" t="s">
        <v>27452</v>
      </c>
      <c r="AY3281" s="3" t="s">
        <v>27453</v>
      </c>
      <c r="AZ3281" s="3" t="s">
        <v>27454</v>
      </c>
      <c r="BA3281" s="3" t="s">
        <v>27454</v>
      </c>
      <c r="BB3281" s="3" t="s">
        <v>27455</v>
      </c>
      <c r="BC3281" s="3" t="s">
        <v>82</v>
      </c>
      <c r="BD3281" s="3" t="s">
        <v>70</v>
      </c>
      <c r="BE3281" s="3" t="s">
        <v>27456</v>
      </c>
      <c r="BF3281" s="3" t="s">
        <v>27455</v>
      </c>
      <c r="BG3281" s="3" t="s">
        <v>27457</v>
      </c>
    </row>
    <row r="3282" spans="1:59" ht="60" x14ac:dyDescent="0.25">
      <c r="A3282" s="2" t="s">
        <v>59</v>
      </c>
      <c r="B3282" s="2" t="s">
        <v>60</v>
      </c>
      <c r="C3282" s="2" t="s">
        <v>27458</v>
      </c>
      <c r="D3282" s="2" t="s">
        <v>27459</v>
      </c>
      <c r="E3282" s="2" t="s">
        <v>27460</v>
      </c>
      <c r="F3282" s="3" t="s">
        <v>61</v>
      </c>
      <c r="G3282" s="3" t="s">
        <v>62</v>
      </c>
      <c r="I3282" s="3" t="s">
        <v>63</v>
      </c>
      <c r="J3282" s="3" t="s">
        <v>63</v>
      </c>
      <c r="K3282" s="3" t="s">
        <v>64</v>
      </c>
      <c r="L3282" s="2" t="s">
        <v>27461</v>
      </c>
      <c r="M3282" s="2" t="s">
        <v>27462</v>
      </c>
      <c r="N3282" s="3" t="s">
        <v>918</v>
      </c>
      <c r="O3282" s="2" t="s">
        <v>27463</v>
      </c>
      <c r="P3282" s="3" t="s">
        <v>66</v>
      </c>
      <c r="Q3282" s="2" t="s">
        <v>27464</v>
      </c>
      <c r="R3282" s="3" t="s">
        <v>67</v>
      </c>
      <c r="S3282" s="4">
        <v>56</v>
      </c>
      <c r="T3282" s="4">
        <v>123</v>
      </c>
      <c r="U3282" s="5" t="s">
        <v>11915</v>
      </c>
      <c r="V3282" s="5" t="s">
        <v>18100</v>
      </c>
      <c r="W3282" s="5" t="s">
        <v>69</v>
      </c>
      <c r="X3282" s="5" t="s">
        <v>69</v>
      </c>
      <c r="Y3282" s="4">
        <v>36</v>
      </c>
      <c r="Z3282" s="4">
        <v>7</v>
      </c>
      <c r="AA3282" s="4">
        <v>23</v>
      </c>
      <c r="AB3282" s="4">
        <v>1</v>
      </c>
      <c r="AC3282" s="4">
        <v>2</v>
      </c>
      <c r="AD3282" s="4">
        <v>12</v>
      </c>
      <c r="AE3282" s="4">
        <v>60</v>
      </c>
      <c r="AF3282" s="4">
        <v>0</v>
      </c>
      <c r="AG3282" s="4">
        <v>0</v>
      </c>
      <c r="AH3282" s="4">
        <v>11</v>
      </c>
      <c r="AI3282" s="4">
        <v>51</v>
      </c>
      <c r="AJ3282" s="4">
        <v>4</v>
      </c>
      <c r="AK3282" s="4">
        <v>13</v>
      </c>
      <c r="AL3282" s="4">
        <v>3</v>
      </c>
      <c r="AM3282" s="4">
        <v>28</v>
      </c>
      <c r="AN3282" s="4">
        <v>0</v>
      </c>
      <c r="AO3282" s="4">
        <v>0</v>
      </c>
      <c r="AP3282" s="4">
        <v>4</v>
      </c>
      <c r="AQ3282" s="4">
        <v>16</v>
      </c>
      <c r="AR3282" s="3" t="s">
        <v>63</v>
      </c>
      <c r="AS3282" s="3" t="s">
        <v>63</v>
      </c>
      <c r="AT3282" s="3" t="s">
        <v>63</v>
      </c>
      <c r="AV3282" s="6" t="str">
        <f>HYPERLINK("http://mcgill.on.worldcat.org/oclc/4266980","Catalog Record")</f>
        <v>Catalog Record</v>
      </c>
      <c r="AW3282" s="6" t="str">
        <f>HYPERLINK("http://www.worldcat.org/oclc/4266980","WorldCat Record")</f>
        <v>WorldCat Record</v>
      </c>
      <c r="AX3282" s="3" t="s">
        <v>27465</v>
      </c>
      <c r="AY3282" s="3" t="s">
        <v>27466</v>
      </c>
      <c r="AZ3282" s="3" t="s">
        <v>27467</v>
      </c>
      <c r="BA3282" s="3" t="s">
        <v>27467</v>
      </c>
      <c r="BB3282" s="3" t="s">
        <v>27468</v>
      </c>
      <c r="BC3282" s="3" t="s">
        <v>82</v>
      </c>
      <c r="BD3282" s="3" t="s">
        <v>70</v>
      </c>
      <c r="BF3282" s="3" t="s">
        <v>27468</v>
      </c>
      <c r="BG3282" s="3" t="s">
        <v>27469</v>
      </c>
    </row>
    <row r="3283" spans="1:59" ht="60" x14ac:dyDescent="0.25">
      <c r="A3283" s="2" t="s">
        <v>59</v>
      </c>
      <c r="B3283" s="2" t="s">
        <v>60</v>
      </c>
      <c r="C3283" s="2" t="s">
        <v>27458</v>
      </c>
      <c r="D3283" s="2" t="s">
        <v>27459</v>
      </c>
      <c r="E3283" s="2" t="s">
        <v>27460</v>
      </c>
      <c r="F3283" s="3" t="s">
        <v>27470</v>
      </c>
      <c r="G3283" s="3" t="s">
        <v>62</v>
      </c>
      <c r="I3283" s="3" t="s">
        <v>63</v>
      </c>
      <c r="J3283" s="3" t="s">
        <v>63</v>
      </c>
      <c r="K3283" s="3" t="s">
        <v>64</v>
      </c>
      <c r="L3283" s="2" t="s">
        <v>27461</v>
      </c>
      <c r="M3283" s="2" t="s">
        <v>27462</v>
      </c>
      <c r="N3283" s="3" t="s">
        <v>918</v>
      </c>
      <c r="O3283" s="2" t="s">
        <v>27463</v>
      </c>
      <c r="P3283" s="3" t="s">
        <v>66</v>
      </c>
      <c r="Q3283" s="2" t="s">
        <v>27464</v>
      </c>
      <c r="R3283" s="3" t="s">
        <v>67</v>
      </c>
      <c r="S3283" s="4">
        <v>67</v>
      </c>
      <c r="T3283" s="4">
        <v>123</v>
      </c>
      <c r="U3283" s="5" t="s">
        <v>18100</v>
      </c>
      <c r="V3283" s="5" t="s">
        <v>18100</v>
      </c>
      <c r="W3283" s="5" t="s">
        <v>69</v>
      </c>
      <c r="X3283" s="5" t="s">
        <v>69</v>
      </c>
      <c r="Y3283" s="4">
        <v>36</v>
      </c>
      <c r="Z3283" s="4">
        <v>7</v>
      </c>
      <c r="AA3283" s="4">
        <v>23</v>
      </c>
      <c r="AB3283" s="4">
        <v>1</v>
      </c>
      <c r="AC3283" s="4">
        <v>2</v>
      </c>
      <c r="AD3283" s="4">
        <v>12</v>
      </c>
      <c r="AE3283" s="4">
        <v>60</v>
      </c>
      <c r="AF3283" s="4">
        <v>0</v>
      </c>
      <c r="AG3283" s="4">
        <v>0</v>
      </c>
      <c r="AH3283" s="4">
        <v>11</v>
      </c>
      <c r="AI3283" s="4">
        <v>51</v>
      </c>
      <c r="AJ3283" s="4">
        <v>4</v>
      </c>
      <c r="AK3283" s="4">
        <v>13</v>
      </c>
      <c r="AL3283" s="4">
        <v>3</v>
      </c>
      <c r="AM3283" s="4">
        <v>28</v>
      </c>
      <c r="AN3283" s="4">
        <v>0</v>
      </c>
      <c r="AO3283" s="4">
        <v>0</v>
      </c>
      <c r="AP3283" s="4">
        <v>4</v>
      </c>
      <c r="AQ3283" s="4">
        <v>16</v>
      </c>
      <c r="AR3283" s="3" t="s">
        <v>63</v>
      </c>
      <c r="AS3283" s="3" t="s">
        <v>63</v>
      </c>
      <c r="AT3283" s="3" t="s">
        <v>63</v>
      </c>
      <c r="AV3283" s="6" t="str">
        <f>HYPERLINK("http://mcgill.on.worldcat.org/oclc/4266980","Catalog Record")</f>
        <v>Catalog Record</v>
      </c>
      <c r="AW3283" s="6" t="str">
        <f>HYPERLINK("http://www.worldcat.org/oclc/4266980","WorldCat Record")</f>
        <v>WorldCat Record</v>
      </c>
      <c r="AX3283" s="3" t="s">
        <v>27465</v>
      </c>
      <c r="AY3283" s="3" t="s">
        <v>27466</v>
      </c>
      <c r="AZ3283" s="3" t="s">
        <v>27467</v>
      </c>
      <c r="BA3283" s="3" t="s">
        <v>27467</v>
      </c>
      <c r="BB3283" s="3" t="s">
        <v>27471</v>
      </c>
      <c r="BC3283" s="3" t="s">
        <v>82</v>
      </c>
      <c r="BD3283" s="3" t="s">
        <v>70</v>
      </c>
      <c r="BF3283" s="3" t="s">
        <v>27471</v>
      </c>
      <c r="BG3283" s="3" t="s">
        <v>27472</v>
      </c>
    </row>
    <row r="3284" spans="1:59" ht="60" x14ac:dyDescent="0.25">
      <c r="A3284" s="2" t="s">
        <v>59</v>
      </c>
      <c r="B3284" s="2" t="s">
        <v>60</v>
      </c>
      <c r="C3284" s="2" t="s">
        <v>27473</v>
      </c>
      <c r="D3284" s="2" t="s">
        <v>27474</v>
      </c>
      <c r="E3284" s="2" t="s">
        <v>27475</v>
      </c>
      <c r="G3284" s="3" t="s">
        <v>63</v>
      </c>
      <c r="I3284" s="3" t="s">
        <v>63</v>
      </c>
      <c r="J3284" s="3" t="s">
        <v>63</v>
      </c>
      <c r="K3284" s="3" t="s">
        <v>64</v>
      </c>
      <c r="L3284" s="2" t="s">
        <v>27461</v>
      </c>
      <c r="M3284" s="2" t="s">
        <v>27476</v>
      </c>
      <c r="N3284" s="3" t="s">
        <v>731</v>
      </c>
      <c r="P3284" s="3" t="s">
        <v>66</v>
      </c>
      <c r="R3284" s="3" t="s">
        <v>67</v>
      </c>
      <c r="S3284" s="4">
        <v>4</v>
      </c>
      <c r="T3284" s="4">
        <v>4</v>
      </c>
      <c r="U3284" s="5" t="s">
        <v>27342</v>
      </c>
      <c r="V3284" s="5" t="s">
        <v>27342</v>
      </c>
      <c r="W3284" s="5" t="s">
        <v>69</v>
      </c>
      <c r="X3284" s="5" t="s">
        <v>69</v>
      </c>
      <c r="Y3284" s="4">
        <v>97</v>
      </c>
      <c r="Z3284" s="4">
        <v>13</v>
      </c>
      <c r="AA3284" s="4">
        <v>19</v>
      </c>
      <c r="AB3284" s="4">
        <v>1</v>
      </c>
      <c r="AC3284" s="4">
        <v>1</v>
      </c>
      <c r="AD3284" s="4">
        <v>42</v>
      </c>
      <c r="AE3284" s="4">
        <v>81</v>
      </c>
      <c r="AF3284" s="4">
        <v>0</v>
      </c>
      <c r="AG3284" s="4">
        <v>0</v>
      </c>
      <c r="AH3284" s="4">
        <v>34</v>
      </c>
      <c r="AI3284" s="4">
        <v>69</v>
      </c>
      <c r="AJ3284" s="4">
        <v>8</v>
      </c>
      <c r="AK3284" s="4">
        <v>13</v>
      </c>
      <c r="AL3284" s="4">
        <v>20</v>
      </c>
      <c r="AM3284" s="4">
        <v>40</v>
      </c>
      <c r="AN3284" s="4">
        <v>0</v>
      </c>
      <c r="AO3284" s="4">
        <v>0</v>
      </c>
      <c r="AP3284" s="4">
        <v>10</v>
      </c>
      <c r="AQ3284" s="4">
        <v>16</v>
      </c>
      <c r="AR3284" s="3" t="s">
        <v>63</v>
      </c>
      <c r="AS3284" s="3" t="s">
        <v>63</v>
      </c>
      <c r="AT3284" s="3" t="s">
        <v>63</v>
      </c>
      <c r="AV3284" s="6" t="str">
        <f>HYPERLINK("http://mcgill.on.worldcat.org/oclc/1102969","Catalog Record")</f>
        <v>Catalog Record</v>
      </c>
      <c r="AW3284" s="6" t="str">
        <f>HYPERLINK("http://www.worldcat.org/oclc/1102969","WorldCat Record")</f>
        <v>WorldCat Record</v>
      </c>
      <c r="AX3284" s="3" t="s">
        <v>27477</v>
      </c>
      <c r="AY3284" s="3" t="s">
        <v>27478</v>
      </c>
      <c r="AZ3284" s="3" t="s">
        <v>27479</v>
      </c>
      <c r="BA3284" s="3" t="s">
        <v>27479</v>
      </c>
      <c r="BB3284" s="3" t="s">
        <v>27480</v>
      </c>
      <c r="BC3284" s="3" t="s">
        <v>82</v>
      </c>
      <c r="BD3284" s="3" t="s">
        <v>70</v>
      </c>
      <c r="BE3284" s="3" t="s">
        <v>27481</v>
      </c>
      <c r="BF3284" s="3" t="s">
        <v>27480</v>
      </c>
      <c r="BG3284" s="3" t="s">
        <v>27482</v>
      </c>
    </row>
    <row r="3285" spans="1:59" ht="60" x14ac:dyDescent="0.25">
      <c r="A3285" s="2" t="s">
        <v>59</v>
      </c>
      <c r="B3285" s="2" t="s">
        <v>60</v>
      </c>
      <c r="C3285" s="2" t="s">
        <v>27483</v>
      </c>
      <c r="D3285" s="2" t="s">
        <v>27484</v>
      </c>
      <c r="E3285" s="2" t="s">
        <v>27485</v>
      </c>
      <c r="G3285" s="3" t="s">
        <v>63</v>
      </c>
      <c r="I3285" s="3" t="s">
        <v>62</v>
      </c>
      <c r="J3285" s="3" t="s">
        <v>63</v>
      </c>
      <c r="K3285" s="3" t="s">
        <v>64</v>
      </c>
      <c r="L3285" s="2" t="s">
        <v>27486</v>
      </c>
      <c r="M3285" s="2" t="s">
        <v>27487</v>
      </c>
      <c r="N3285" s="3" t="s">
        <v>668</v>
      </c>
      <c r="P3285" s="3" t="s">
        <v>548</v>
      </c>
      <c r="Q3285" s="2" t="s">
        <v>27488</v>
      </c>
      <c r="R3285" s="3" t="s">
        <v>67</v>
      </c>
      <c r="S3285" s="4">
        <v>1</v>
      </c>
      <c r="T3285" s="4">
        <v>7</v>
      </c>
      <c r="U3285" s="5" t="s">
        <v>27489</v>
      </c>
      <c r="V3285" s="5" t="s">
        <v>27489</v>
      </c>
      <c r="W3285" s="5" t="s">
        <v>69</v>
      </c>
      <c r="X3285" s="5" t="s">
        <v>69</v>
      </c>
      <c r="Y3285" s="4">
        <v>120</v>
      </c>
      <c r="Z3285" s="4">
        <v>10</v>
      </c>
      <c r="AA3285" s="4">
        <v>14</v>
      </c>
      <c r="AB3285" s="4">
        <v>7</v>
      </c>
      <c r="AC3285" s="4">
        <v>7</v>
      </c>
      <c r="AD3285" s="4">
        <v>12</v>
      </c>
      <c r="AE3285" s="4">
        <v>19</v>
      </c>
      <c r="AF3285" s="4">
        <v>3</v>
      </c>
      <c r="AG3285" s="4">
        <v>3</v>
      </c>
      <c r="AH3285" s="4">
        <v>9</v>
      </c>
      <c r="AI3285" s="4">
        <v>13</v>
      </c>
      <c r="AJ3285" s="4">
        <v>5</v>
      </c>
      <c r="AK3285" s="4">
        <v>5</v>
      </c>
      <c r="AL3285" s="4">
        <v>4</v>
      </c>
      <c r="AM3285" s="4">
        <v>9</v>
      </c>
      <c r="AN3285" s="4">
        <v>0</v>
      </c>
      <c r="AO3285" s="4">
        <v>0</v>
      </c>
      <c r="AP3285" s="4">
        <v>5</v>
      </c>
      <c r="AQ3285" s="4">
        <v>7</v>
      </c>
      <c r="AR3285" s="3" t="s">
        <v>63</v>
      </c>
      <c r="AS3285" s="3" t="s">
        <v>63</v>
      </c>
      <c r="AT3285" s="3" t="s">
        <v>63</v>
      </c>
      <c r="AV3285" s="6" t="str">
        <f>HYPERLINK("http://mcgill.on.worldcat.org/oclc/22372999","Catalog Record")</f>
        <v>Catalog Record</v>
      </c>
      <c r="AW3285" s="6" t="str">
        <f>HYPERLINK("http://www.worldcat.org/oclc/22372999","WorldCat Record")</f>
        <v>WorldCat Record</v>
      </c>
      <c r="AX3285" s="3" t="s">
        <v>27490</v>
      </c>
      <c r="AY3285" s="3" t="s">
        <v>27491</v>
      </c>
      <c r="AZ3285" s="3" t="s">
        <v>27492</v>
      </c>
      <c r="BA3285" s="3" t="s">
        <v>27492</v>
      </c>
      <c r="BB3285" s="3" t="s">
        <v>27493</v>
      </c>
      <c r="BC3285" s="3" t="s">
        <v>82</v>
      </c>
      <c r="BD3285" s="3" t="s">
        <v>70</v>
      </c>
      <c r="BE3285" s="3" t="s">
        <v>27494</v>
      </c>
      <c r="BF3285" s="3" t="s">
        <v>27493</v>
      </c>
      <c r="BG3285" s="3" t="s">
        <v>27495</v>
      </c>
    </row>
    <row r="3286" spans="1:59" ht="60" x14ac:dyDescent="0.25">
      <c r="A3286" s="2" t="s">
        <v>59</v>
      </c>
      <c r="B3286" s="2" t="s">
        <v>60</v>
      </c>
      <c r="C3286" s="2" t="s">
        <v>27496</v>
      </c>
      <c r="D3286" s="2" t="s">
        <v>27497</v>
      </c>
      <c r="E3286" s="2" t="s">
        <v>27498</v>
      </c>
      <c r="G3286" s="3" t="s">
        <v>63</v>
      </c>
      <c r="I3286" s="3" t="s">
        <v>63</v>
      </c>
      <c r="J3286" s="3" t="s">
        <v>63</v>
      </c>
      <c r="K3286" s="3" t="s">
        <v>64</v>
      </c>
      <c r="L3286" s="2" t="s">
        <v>27486</v>
      </c>
      <c r="M3286" s="2" t="s">
        <v>27499</v>
      </c>
      <c r="N3286" s="3" t="s">
        <v>2225</v>
      </c>
      <c r="P3286" s="3" t="s">
        <v>66</v>
      </c>
      <c r="R3286" s="3" t="s">
        <v>67</v>
      </c>
      <c r="S3286" s="4">
        <v>13</v>
      </c>
      <c r="T3286" s="4">
        <v>13</v>
      </c>
      <c r="U3286" s="5" t="s">
        <v>27500</v>
      </c>
      <c r="V3286" s="5" t="s">
        <v>27500</v>
      </c>
      <c r="W3286" s="5" t="s">
        <v>69</v>
      </c>
      <c r="X3286" s="5" t="s">
        <v>69</v>
      </c>
      <c r="Y3286" s="4">
        <v>578</v>
      </c>
      <c r="Z3286" s="4">
        <v>24</v>
      </c>
      <c r="AA3286" s="4">
        <v>32</v>
      </c>
      <c r="AB3286" s="4">
        <v>3</v>
      </c>
      <c r="AC3286" s="4">
        <v>3</v>
      </c>
      <c r="AD3286" s="4">
        <v>99</v>
      </c>
      <c r="AE3286" s="4">
        <v>110</v>
      </c>
      <c r="AF3286" s="4">
        <v>1</v>
      </c>
      <c r="AG3286" s="4">
        <v>1</v>
      </c>
      <c r="AH3286" s="4">
        <v>88</v>
      </c>
      <c r="AI3286" s="4">
        <v>95</v>
      </c>
      <c r="AJ3286" s="4">
        <v>11</v>
      </c>
      <c r="AK3286" s="4">
        <v>14</v>
      </c>
      <c r="AL3286" s="4">
        <v>53</v>
      </c>
      <c r="AM3286" s="4">
        <v>56</v>
      </c>
      <c r="AN3286" s="4">
        <v>0</v>
      </c>
      <c r="AO3286" s="4">
        <v>0</v>
      </c>
      <c r="AP3286" s="4">
        <v>14</v>
      </c>
      <c r="AQ3286" s="4">
        <v>17</v>
      </c>
      <c r="AR3286" s="3" t="s">
        <v>63</v>
      </c>
      <c r="AS3286" s="3" t="s">
        <v>63</v>
      </c>
      <c r="AT3286" s="3" t="s">
        <v>62</v>
      </c>
      <c r="AU3286" s="6" t="str">
        <f>HYPERLINK("http://catalog.hathitrust.org/Record/001110452","HathiTrust Record")</f>
        <v>HathiTrust Record</v>
      </c>
      <c r="AV3286" s="6" t="str">
        <f>HYPERLINK("http://mcgill.on.worldcat.org/oclc/321536","Catalog Record")</f>
        <v>Catalog Record</v>
      </c>
      <c r="AW3286" s="6" t="str">
        <f>HYPERLINK("http://www.worldcat.org/oclc/321536","WorldCat Record")</f>
        <v>WorldCat Record</v>
      </c>
      <c r="AX3286" s="3" t="s">
        <v>27501</v>
      </c>
      <c r="AY3286" s="3" t="s">
        <v>27502</v>
      </c>
      <c r="AZ3286" s="3" t="s">
        <v>27503</v>
      </c>
      <c r="BA3286" s="3" t="s">
        <v>27503</v>
      </c>
      <c r="BB3286" s="3" t="s">
        <v>27504</v>
      </c>
      <c r="BC3286" s="3" t="s">
        <v>82</v>
      </c>
      <c r="BD3286" s="3" t="s">
        <v>70</v>
      </c>
      <c r="BF3286" s="3" t="s">
        <v>27504</v>
      </c>
      <c r="BG3286" s="3" t="s">
        <v>27505</v>
      </c>
    </row>
    <row r="3287" spans="1:59" ht="75" x14ac:dyDescent="0.25">
      <c r="A3287" s="2" t="s">
        <v>59</v>
      </c>
      <c r="B3287" s="2" t="s">
        <v>60</v>
      </c>
      <c r="C3287" s="2" t="s">
        <v>27506</v>
      </c>
      <c r="D3287" s="2" t="s">
        <v>27507</v>
      </c>
      <c r="E3287" s="2" t="s">
        <v>27508</v>
      </c>
      <c r="G3287" s="3" t="s">
        <v>63</v>
      </c>
      <c r="I3287" s="3" t="s">
        <v>62</v>
      </c>
      <c r="J3287" s="3" t="s">
        <v>63</v>
      </c>
      <c r="K3287" s="3" t="s">
        <v>64</v>
      </c>
      <c r="L3287" s="2" t="s">
        <v>27486</v>
      </c>
      <c r="M3287" s="2" t="s">
        <v>27509</v>
      </c>
      <c r="N3287" s="3" t="s">
        <v>1046</v>
      </c>
      <c r="P3287" s="3" t="s">
        <v>66</v>
      </c>
      <c r="Q3287" s="2" t="s">
        <v>27510</v>
      </c>
      <c r="R3287" s="3" t="s">
        <v>67</v>
      </c>
      <c r="S3287" s="4">
        <v>0</v>
      </c>
      <c r="T3287" s="4">
        <v>3</v>
      </c>
      <c r="V3287" s="5" t="s">
        <v>27511</v>
      </c>
      <c r="W3287" s="5" t="s">
        <v>69</v>
      </c>
      <c r="X3287" s="5" t="s">
        <v>69</v>
      </c>
      <c r="Y3287" s="4">
        <v>161</v>
      </c>
      <c r="Z3287" s="4">
        <v>10</v>
      </c>
      <c r="AA3287" s="4">
        <v>52</v>
      </c>
      <c r="AB3287" s="4">
        <v>1</v>
      </c>
      <c r="AC3287" s="4">
        <v>7</v>
      </c>
      <c r="AD3287" s="4">
        <v>33</v>
      </c>
      <c r="AE3287" s="4">
        <v>119</v>
      </c>
      <c r="AF3287" s="4">
        <v>0</v>
      </c>
      <c r="AG3287" s="4">
        <v>3</v>
      </c>
      <c r="AH3287" s="4">
        <v>29</v>
      </c>
      <c r="AI3287" s="4">
        <v>97</v>
      </c>
      <c r="AJ3287" s="4">
        <v>4</v>
      </c>
      <c r="AK3287" s="4">
        <v>22</v>
      </c>
      <c r="AL3287" s="4">
        <v>18</v>
      </c>
      <c r="AM3287" s="4">
        <v>51</v>
      </c>
      <c r="AN3287" s="4">
        <v>0</v>
      </c>
      <c r="AO3287" s="4">
        <v>0</v>
      </c>
      <c r="AP3287" s="4">
        <v>6</v>
      </c>
      <c r="AQ3287" s="4">
        <v>29</v>
      </c>
      <c r="AR3287" s="3" t="s">
        <v>63</v>
      </c>
      <c r="AS3287" s="3" t="s">
        <v>63</v>
      </c>
      <c r="AT3287" s="3" t="s">
        <v>62</v>
      </c>
      <c r="AU3287" s="6" t="str">
        <f>HYPERLINK("http://catalog.hathitrust.org/Record/001110451","HathiTrust Record")</f>
        <v>HathiTrust Record</v>
      </c>
      <c r="AV3287" s="6" t="str">
        <f>HYPERLINK("http://mcgill.on.worldcat.org/oclc/8141942","Catalog Record")</f>
        <v>Catalog Record</v>
      </c>
      <c r="AW3287" s="6" t="str">
        <f>HYPERLINK("http://www.worldcat.org/oclc/8141942","WorldCat Record")</f>
        <v>WorldCat Record</v>
      </c>
      <c r="AX3287" s="3" t="s">
        <v>27512</v>
      </c>
      <c r="AY3287" s="3" t="s">
        <v>27513</v>
      </c>
      <c r="AZ3287" s="3" t="s">
        <v>27514</v>
      </c>
      <c r="BA3287" s="3" t="s">
        <v>27514</v>
      </c>
      <c r="BB3287" s="3" t="s">
        <v>27515</v>
      </c>
      <c r="BC3287" s="3" t="s">
        <v>82</v>
      </c>
      <c r="BD3287" s="3" t="s">
        <v>70</v>
      </c>
      <c r="BF3287" s="3" t="s">
        <v>27515</v>
      </c>
      <c r="BG3287" s="3" t="s">
        <v>27516</v>
      </c>
    </row>
    <row r="3288" spans="1:59" ht="75" x14ac:dyDescent="0.25">
      <c r="A3288" s="2" t="s">
        <v>59</v>
      </c>
      <c r="B3288" s="2" t="s">
        <v>60</v>
      </c>
      <c r="C3288" s="2" t="s">
        <v>27506</v>
      </c>
      <c r="D3288" s="2" t="s">
        <v>27507</v>
      </c>
      <c r="E3288" s="2" t="s">
        <v>27508</v>
      </c>
      <c r="G3288" s="3" t="s">
        <v>63</v>
      </c>
      <c r="I3288" s="3" t="s">
        <v>62</v>
      </c>
      <c r="J3288" s="3" t="s">
        <v>63</v>
      </c>
      <c r="K3288" s="3" t="s">
        <v>64</v>
      </c>
      <c r="L3288" s="2" t="s">
        <v>27486</v>
      </c>
      <c r="M3288" s="2" t="s">
        <v>27509</v>
      </c>
      <c r="N3288" s="3" t="s">
        <v>1046</v>
      </c>
      <c r="P3288" s="3" t="s">
        <v>66</v>
      </c>
      <c r="Q3288" s="2" t="s">
        <v>27510</v>
      </c>
      <c r="R3288" s="3" t="s">
        <v>67</v>
      </c>
      <c r="S3288" s="4">
        <v>3</v>
      </c>
      <c r="T3288" s="4">
        <v>3</v>
      </c>
      <c r="U3288" s="5" t="s">
        <v>27511</v>
      </c>
      <c r="V3288" s="5" t="s">
        <v>27511</v>
      </c>
      <c r="W3288" s="5" t="s">
        <v>69</v>
      </c>
      <c r="X3288" s="5" t="s">
        <v>69</v>
      </c>
      <c r="Y3288" s="4">
        <v>161</v>
      </c>
      <c r="Z3288" s="4">
        <v>10</v>
      </c>
      <c r="AA3288" s="4">
        <v>52</v>
      </c>
      <c r="AB3288" s="4">
        <v>1</v>
      </c>
      <c r="AC3288" s="4">
        <v>7</v>
      </c>
      <c r="AD3288" s="4">
        <v>33</v>
      </c>
      <c r="AE3288" s="4">
        <v>119</v>
      </c>
      <c r="AF3288" s="4">
        <v>0</v>
      </c>
      <c r="AG3288" s="4">
        <v>3</v>
      </c>
      <c r="AH3288" s="4">
        <v>29</v>
      </c>
      <c r="AI3288" s="4">
        <v>97</v>
      </c>
      <c r="AJ3288" s="4">
        <v>4</v>
      </c>
      <c r="AK3288" s="4">
        <v>22</v>
      </c>
      <c r="AL3288" s="4">
        <v>18</v>
      </c>
      <c r="AM3288" s="4">
        <v>51</v>
      </c>
      <c r="AN3288" s="4">
        <v>0</v>
      </c>
      <c r="AO3288" s="4">
        <v>0</v>
      </c>
      <c r="AP3288" s="4">
        <v>6</v>
      </c>
      <c r="AQ3288" s="4">
        <v>29</v>
      </c>
      <c r="AR3288" s="3" t="s">
        <v>63</v>
      </c>
      <c r="AS3288" s="3" t="s">
        <v>63</v>
      </c>
      <c r="AT3288" s="3" t="s">
        <v>62</v>
      </c>
      <c r="AU3288" s="6" t="str">
        <f>HYPERLINK("http://catalog.hathitrust.org/Record/001110451","HathiTrust Record")</f>
        <v>HathiTrust Record</v>
      </c>
      <c r="AV3288" s="6" t="str">
        <f>HYPERLINK("http://mcgill.on.worldcat.org/oclc/8141942","Catalog Record")</f>
        <v>Catalog Record</v>
      </c>
      <c r="AW3288" s="6" t="str">
        <f>HYPERLINK("http://www.worldcat.org/oclc/8141942","WorldCat Record")</f>
        <v>WorldCat Record</v>
      </c>
      <c r="AX3288" s="3" t="s">
        <v>27512</v>
      </c>
      <c r="AY3288" s="3" t="s">
        <v>27513</v>
      </c>
      <c r="AZ3288" s="3" t="s">
        <v>27514</v>
      </c>
      <c r="BA3288" s="3" t="s">
        <v>27514</v>
      </c>
      <c r="BB3288" s="3" t="s">
        <v>27517</v>
      </c>
      <c r="BC3288" s="3" t="s">
        <v>82</v>
      </c>
      <c r="BD3288" s="3" t="s">
        <v>70</v>
      </c>
      <c r="BF3288" s="3" t="s">
        <v>27517</v>
      </c>
      <c r="BG3288" s="3" t="s">
        <v>27518</v>
      </c>
    </row>
    <row r="3289" spans="1:59" ht="60" x14ac:dyDescent="0.25">
      <c r="A3289" s="2" t="s">
        <v>59</v>
      </c>
      <c r="B3289" s="2" t="s">
        <v>60</v>
      </c>
      <c r="C3289" s="2" t="s">
        <v>27519</v>
      </c>
      <c r="D3289" s="2" t="s">
        <v>27520</v>
      </c>
      <c r="E3289" s="2" t="s">
        <v>27521</v>
      </c>
      <c r="G3289" s="3" t="s">
        <v>63</v>
      </c>
      <c r="I3289" s="3" t="s">
        <v>62</v>
      </c>
      <c r="J3289" s="3" t="s">
        <v>63</v>
      </c>
      <c r="K3289" s="3" t="s">
        <v>64</v>
      </c>
      <c r="L3289" s="2" t="s">
        <v>27522</v>
      </c>
      <c r="M3289" s="2" t="s">
        <v>27523</v>
      </c>
      <c r="N3289" s="3" t="s">
        <v>2182</v>
      </c>
      <c r="P3289" s="3" t="s">
        <v>66</v>
      </c>
      <c r="Q3289" s="2" t="s">
        <v>27524</v>
      </c>
      <c r="R3289" s="3" t="s">
        <v>67</v>
      </c>
      <c r="S3289" s="4">
        <v>13</v>
      </c>
      <c r="T3289" s="4">
        <v>24</v>
      </c>
      <c r="U3289" s="5" t="s">
        <v>27525</v>
      </c>
      <c r="V3289" s="5" t="s">
        <v>9342</v>
      </c>
      <c r="W3289" s="5" t="s">
        <v>69</v>
      </c>
      <c r="X3289" s="5" t="s">
        <v>69</v>
      </c>
      <c r="Y3289" s="4">
        <v>621</v>
      </c>
      <c r="Z3289" s="4">
        <v>22</v>
      </c>
      <c r="AA3289" s="4">
        <v>35</v>
      </c>
      <c r="AB3289" s="4">
        <v>1</v>
      </c>
      <c r="AC3289" s="4">
        <v>3</v>
      </c>
      <c r="AD3289" s="4">
        <v>102</v>
      </c>
      <c r="AE3289" s="4">
        <v>115</v>
      </c>
      <c r="AF3289" s="4">
        <v>0</v>
      </c>
      <c r="AG3289" s="4">
        <v>1</v>
      </c>
      <c r="AH3289" s="4">
        <v>87</v>
      </c>
      <c r="AI3289" s="4">
        <v>96</v>
      </c>
      <c r="AJ3289" s="4">
        <v>11</v>
      </c>
      <c r="AK3289" s="4">
        <v>17</v>
      </c>
      <c r="AL3289" s="4">
        <v>47</v>
      </c>
      <c r="AM3289" s="4">
        <v>51</v>
      </c>
      <c r="AN3289" s="4">
        <v>0</v>
      </c>
      <c r="AO3289" s="4">
        <v>0</v>
      </c>
      <c r="AP3289" s="4">
        <v>18</v>
      </c>
      <c r="AQ3289" s="4">
        <v>23</v>
      </c>
      <c r="AR3289" s="3" t="s">
        <v>63</v>
      </c>
      <c r="AS3289" s="3" t="s">
        <v>63</v>
      </c>
      <c r="AT3289" s="3" t="s">
        <v>63</v>
      </c>
      <c r="AU3289" s="6" t="str">
        <f>HYPERLINK("http://catalog.hathitrust.org/Record/001353678","HathiTrust Record")</f>
        <v>HathiTrust Record</v>
      </c>
      <c r="AV3289" s="6" t="str">
        <f>HYPERLINK("http://mcgill.on.worldcat.org/oclc/5686885","Catalog Record")</f>
        <v>Catalog Record</v>
      </c>
      <c r="AW3289" s="6" t="str">
        <f>HYPERLINK("http://www.worldcat.org/oclc/5686885","WorldCat Record")</f>
        <v>WorldCat Record</v>
      </c>
      <c r="AX3289" s="3" t="s">
        <v>27526</v>
      </c>
      <c r="AY3289" s="3" t="s">
        <v>27527</v>
      </c>
      <c r="AZ3289" s="3" t="s">
        <v>27528</v>
      </c>
      <c r="BA3289" s="3" t="s">
        <v>27528</v>
      </c>
      <c r="BB3289" s="3" t="s">
        <v>27529</v>
      </c>
      <c r="BC3289" s="3" t="s">
        <v>82</v>
      </c>
      <c r="BD3289" s="3" t="s">
        <v>70</v>
      </c>
      <c r="BE3289" s="3" t="s">
        <v>27530</v>
      </c>
      <c r="BF3289" s="3" t="s">
        <v>27529</v>
      </c>
      <c r="BG3289" s="3" t="s">
        <v>27531</v>
      </c>
    </row>
    <row r="3290" spans="1:59" ht="60" x14ac:dyDescent="0.25">
      <c r="A3290" s="2" t="s">
        <v>59</v>
      </c>
      <c r="B3290" s="2" t="s">
        <v>60</v>
      </c>
      <c r="C3290" s="2" t="s">
        <v>27519</v>
      </c>
      <c r="D3290" s="2" t="s">
        <v>27520</v>
      </c>
      <c r="E3290" s="2" t="s">
        <v>27521</v>
      </c>
      <c r="G3290" s="3" t="s">
        <v>63</v>
      </c>
      <c r="I3290" s="3" t="s">
        <v>62</v>
      </c>
      <c r="J3290" s="3" t="s">
        <v>63</v>
      </c>
      <c r="K3290" s="3" t="s">
        <v>64</v>
      </c>
      <c r="L3290" s="2" t="s">
        <v>27522</v>
      </c>
      <c r="M3290" s="2" t="s">
        <v>27523</v>
      </c>
      <c r="N3290" s="3" t="s">
        <v>2182</v>
      </c>
      <c r="P3290" s="3" t="s">
        <v>66</v>
      </c>
      <c r="Q3290" s="2" t="s">
        <v>27524</v>
      </c>
      <c r="R3290" s="3" t="s">
        <v>67</v>
      </c>
      <c r="S3290" s="4">
        <v>11</v>
      </c>
      <c r="T3290" s="4">
        <v>24</v>
      </c>
      <c r="U3290" s="5" t="s">
        <v>9342</v>
      </c>
      <c r="V3290" s="5" t="s">
        <v>9342</v>
      </c>
      <c r="W3290" s="5" t="s">
        <v>69</v>
      </c>
      <c r="X3290" s="5" t="s">
        <v>69</v>
      </c>
      <c r="Y3290" s="4">
        <v>621</v>
      </c>
      <c r="Z3290" s="4">
        <v>22</v>
      </c>
      <c r="AA3290" s="4">
        <v>35</v>
      </c>
      <c r="AB3290" s="4">
        <v>1</v>
      </c>
      <c r="AC3290" s="4">
        <v>3</v>
      </c>
      <c r="AD3290" s="4">
        <v>102</v>
      </c>
      <c r="AE3290" s="4">
        <v>115</v>
      </c>
      <c r="AF3290" s="4">
        <v>0</v>
      </c>
      <c r="AG3290" s="4">
        <v>1</v>
      </c>
      <c r="AH3290" s="4">
        <v>87</v>
      </c>
      <c r="AI3290" s="4">
        <v>96</v>
      </c>
      <c r="AJ3290" s="4">
        <v>11</v>
      </c>
      <c r="AK3290" s="4">
        <v>17</v>
      </c>
      <c r="AL3290" s="4">
        <v>47</v>
      </c>
      <c r="AM3290" s="4">
        <v>51</v>
      </c>
      <c r="AN3290" s="4">
        <v>0</v>
      </c>
      <c r="AO3290" s="4">
        <v>0</v>
      </c>
      <c r="AP3290" s="4">
        <v>18</v>
      </c>
      <c r="AQ3290" s="4">
        <v>23</v>
      </c>
      <c r="AR3290" s="3" t="s">
        <v>63</v>
      </c>
      <c r="AS3290" s="3" t="s">
        <v>63</v>
      </c>
      <c r="AT3290" s="3" t="s">
        <v>63</v>
      </c>
      <c r="AU3290" s="6" t="str">
        <f>HYPERLINK("http://catalog.hathitrust.org/Record/001353678","HathiTrust Record")</f>
        <v>HathiTrust Record</v>
      </c>
      <c r="AV3290" s="6" t="str">
        <f>HYPERLINK("http://mcgill.on.worldcat.org/oclc/5686885","Catalog Record")</f>
        <v>Catalog Record</v>
      </c>
      <c r="AW3290" s="6" t="str">
        <f>HYPERLINK("http://www.worldcat.org/oclc/5686885","WorldCat Record")</f>
        <v>WorldCat Record</v>
      </c>
      <c r="AX3290" s="3" t="s">
        <v>27526</v>
      </c>
      <c r="AY3290" s="3" t="s">
        <v>27527</v>
      </c>
      <c r="AZ3290" s="3" t="s">
        <v>27528</v>
      </c>
      <c r="BA3290" s="3" t="s">
        <v>27528</v>
      </c>
      <c r="BB3290" s="3" t="s">
        <v>27532</v>
      </c>
      <c r="BC3290" s="3" t="s">
        <v>82</v>
      </c>
      <c r="BD3290" s="3" t="s">
        <v>70</v>
      </c>
      <c r="BE3290" s="3" t="s">
        <v>27530</v>
      </c>
      <c r="BF3290" s="3" t="s">
        <v>27532</v>
      </c>
      <c r="BG3290" s="3" t="s">
        <v>27533</v>
      </c>
    </row>
    <row r="3291" spans="1:59" ht="60" x14ac:dyDescent="0.25">
      <c r="A3291" s="2" t="s">
        <v>59</v>
      </c>
      <c r="B3291" s="2" t="s">
        <v>60</v>
      </c>
      <c r="C3291" s="2" t="s">
        <v>27539</v>
      </c>
      <c r="D3291" s="2" t="s">
        <v>27540</v>
      </c>
      <c r="E3291" s="2" t="s">
        <v>27541</v>
      </c>
      <c r="G3291" s="3" t="s">
        <v>63</v>
      </c>
      <c r="I3291" s="3" t="s">
        <v>62</v>
      </c>
      <c r="J3291" s="3" t="s">
        <v>63</v>
      </c>
      <c r="K3291" s="3" t="s">
        <v>64</v>
      </c>
      <c r="L3291" s="2" t="s">
        <v>27486</v>
      </c>
      <c r="M3291" s="2" t="s">
        <v>27542</v>
      </c>
      <c r="N3291" s="3" t="s">
        <v>1296</v>
      </c>
      <c r="O3291" s="2" t="s">
        <v>27543</v>
      </c>
      <c r="P3291" s="3" t="s">
        <v>66</v>
      </c>
      <c r="R3291" s="3" t="s">
        <v>67</v>
      </c>
      <c r="S3291" s="4">
        <v>2</v>
      </c>
      <c r="T3291" s="4">
        <v>2</v>
      </c>
      <c r="U3291" s="5" t="s">
        <v>17588</v>
      </c>
      <c r="V3291" s="5" t="s">
        <v>17588</v>
      </c>
      <c r="W3291" s="5" t="s">
        <v>69</v>
      </c>
      <c r="X3291" s="5" t="s">
        <v>69</v>
      </c>
      <c r="Y3291" s="4">
        <v>667</v>
      </c>
      <c r="Z3291" s="4">
        <v>17</v>
      </c>
      <c r="AA3291" s="4">
        <v>43</v>
      </c>
      <c r="AB3291" s="4">
        <v>1</v>
      </c>
      <c r="AC3291" s="4">
        <v>3</v>
      </c>
      <c r="AD3291" s="4">
        <v>85</v>
      </c>
      <c r="AE3291" s="4">
        <v>132</v>
      </c>
      <c r="AF3291" s="4">
        <v>0</v>
      </c>
      <c r="AG3291" s="4">
        <v>2</v>
      </c>
      <c r="AH3291" s="4">
        <v>74</v>
      </c>
      <c r="AI3291" s="4">
        <v>108</v>
      </c>
      <c r="AJ3291" s="4">
        <v>7</v>
      </c>
      <c r="AK3291" s="4">
        <v>20</v>
      </c>
      <c r="AL3291" s="4">
        <v>38</v>
      </c>
      <c r="AM3291" s="4">
        <v>59</v>
      </c>
      <c r="AN3291" s="4">
        <v>0</v>
      </c>
      <c r="AO3291" s="4">
        <v>0</v>
      </c>
      <c r="AP3291" s="4">
        <v>12</v>
      </c>
      <c r="AQ3291" s="4">
        <v>31</v>
      </c>
      <c r="AR3291" s="3" t="s">
        <v>63</v>
      </c>
      <c r="AS3291" s="3" t="s">
        <v>63</v>
      </c>
      <c r="AT3291" s="3" t="s">
        <v>62</v>
      </c>
      <c r="AU3291" s="6" t="str">
        <f>HYPERLINK("http://catalog.hathitrust.org/Record/001060242","HathiTrust Record")</f>
        <v>HathiTrust Record</v>
      </c>
      <c r="AV3291" s="6" t="str">
        <f>HYPERLINK("http://mcgill.on.worldcat.org/oclc/16214","Catalog Record")</f>
        <v>Catalog Record</v>
      </c>
      <c r="AW3291" s="6" t="str">
        <f>HYPERLINK("http://www.worldcat.org/oclc/16214","WorldCat Record")</f>
        <v>WorldCat Record</v>
      </c>
      <c r="AX3291" s="3" t="s">
        <v>27544</v>
      </c>
      <c r="AY3291" s="3" t="s">
        <v>27545</v>
      </c>
      <c r="AZ3291" s="3" t="s">
        <v>27546</v>
      </c>
      <c r="BA3291" s="3" t="s">
        <v>27546</v>
      </c>
      <c r="BB3291" s="3" t="s">
        <v>27547</v>
      </c>
      <c r="BC3291" s="3" t="s">
        <v>82</v>
      </c>
      <c r="BD3291" s="3" t="s">
        <v>70</v>
      </c>
      <c r="BF3291" s="3" t="s">
        <v>27547</v>
      </c>
      <c r="BG3291" s="3" t="s">
        <v>27548</v>
      </c>
    </row>
    <row r="3292" spans="1:59" ht="60" x14ac:dyDescent="0.25">
      <c r="A3292" s="2" t="s">
        <v>59</v>
      </c>
      <c r="B3292" s="2" t="s">
        <v>60</v>
      </c>
      <c r="C3292" s="2" t="s">
        <v>27549</v>
      </c>
      <c r="D3292" s="2" t="s">
        <v>27550</v>
      </c>
      <c r="E3292" s="2" t="s">
        <v>27551</v>
      </c>
      <c r="G3292" s="3" t="s">
        <v>63</v>
      </c>
      <c r="I3292" s="3" t="s">
        <v>63</v>
      </c>
      <c r="J3292" s="3" t="s">
        <v>62</v>
      </c>
      <c r="K3292" s="3" t="s">
        <v>64</v>
      </c>
      <c r="L3292" s="2" t="s">
        <v>27486</v>
      </c>
      <c r="M3292" s="2" t="s">
        <v>27552</v>
      </c>
      <c r="N3292" s="3" t="s">
        <v>313</v>
      </c>
      <c r="O3292" s="2" t="s">
        <v>23323</v>
      </c>
      <c r="P3292" s="3" t="s">
        <v>66</v>
      </c>
      <c r="R3292" s="3" t="s">
        <v>67</v>
      </c>
      <c r="S3292" s="4">
        <v>18</v>
      </c>
      <c r="T3292" s="4">
        <v>18</v>
      </c>
      <c r="U3292" s="5" t="s">
        <v>11535</v>
      </c>
      <c r="V3292" s="5" t="s">
        <v>11535</v>
      </c>
      <c r="W3292" s="5" t="s">
        <v>69</v>
      </c>
      <c r="X3292" s="5" t="s">
        <v>69</v>
      </c>
      <c r="Y3292" s="4">
        <v>664</v>
      </c>
      <c r="Z3292" s="4">
        <v>40</v>
      </c>
      <c r="AA3292" s="4">
        <v>174</v>
      </c>
      <c r="AB3292" s="4">
        <v>4</v>
      </c>
      <c r="AC3292" s="4">
        <v>13</v>
      </c>
      <c r="AD3292" s="4">
        <v>86</v>
      </c>
      <c r="AE3292" s="4">
        <v>160</v>
      </c>
      <c r="AF3292" s="4">
        <v>0</v>
      </c>
      <c r="AG3292" s="4">
        <v>4</v>
      </c>
      <c r="AH3292" s="4">
        <v>76</v>
      </c>
      <c r="AI3292" s="4">
        <v>114</v>
      </c>
      <c r="AJ3292" s="4">
        <v>14</v>
      </c>
      <c r="AK3292" s="4">
        <v>27</v>
      </c>
      <c r="AL3292" s="4">
        <v>44</v>
      </c>
      <c r="AM3292" s="4">
        <v>62</v>
      </c>
      <c r="AN3292" s="4">
        <v>0</v>
      </c>
      <c r="AO3292" s="4">
        <v>1</v>
      </c>
      <c r="AP3292" s="4">
        <v>16</v>
      </c>
      <c r="AQ3292" s="4">
        <v>50</v>
      </c>
      <c r="AR3292" s="3" t="s">
        <v>63</v>
      </c>
      <c r="AS3292" s="3" t="s">
        <v>63</v>
      </c>
      <c r="AT3292" s="3" t="s">
        <v>63</v>
      </c>
      <c r="AV3292" s="6" t="str">
        <f>HYPERLINK("http://mcgill.on.worldcat.org/oclc/497005221","Catalog Record")</f>
        <v>Catalog Record</v>
      </c>
      <c r="AW3292" s="6" t="str">
        <f>HYPERLINK("http://www.worldcat.org/oclc/497005221","WorldCat Record")</f>
        <v>WorldCat Record</v>
      </c>
      <c r="AX3292" s="3" t="s">
        <v>27553</v>
      </c>
      <c r="AY3292" s="3" t="s">
        <v>27554</v>
      </c>
      <c r="AZ3292" s="3" t="s">
        <v>27555</v>
      </c>
      <c r="BA3292" s="3" t="s">
        <v>27555</v>
      </c>
      <c r="BB3292" s="3" t="s">
        <v>27556</v>
      </c>
      <c r="BC3292" s="3" t="s">
        <v>82</v>
      </c>
      <c r="BD3292" s="3" t="s">
        <v>70</v>
      </c>
      <c r="BE3292" s="3" t="s">
        <v>27557</v>
      </c>
      <c r="BF3292" s="3" t="s">
        <v>27556</v>
      </c>
      <c r="BG3292" s="3" t="s">
        <v>27558</v>
      </c>
    </row>
    <row r="3293" spans="1:59" ht="60" x14ac:dyDescent="0.25">
      <c r="A3293" s="2" t="s">
        <v>59</v>
      </c>
      <c r="B3293" s="2" t="s">
        <v>60</v>
      </c>
      <c r="C3293" s="2" t="s">
        <v>27559</v>
      </c>
      <c r="D3293" s="2" t="s">
        <v>27560</v>
      </c>
      <c r="E3293" s="2" t="s">
        <v>27561</v>
      </c>
      <c r="G3293" s="3" t="s">
        <v>63</v>
      </c>
      <c r="I3293" s="3" t="s">
        <v>63</v>
      </c>
      <c r="J3293" s="3" t="s">
        <v>63</v>
      </c>
      <c r="K3293" s="3" t="s">
        <v>64</v>
      </c>
      <c r="L3293" s="2" t="s">
        <v>27562</v>
      </c>
      <c r="M3293" s="2" t="s">
        <v>27563</v>
      </c>
      <c r="N3293" s="3" t="s">
        <v>130</v>
      </c>
      <c r="O3293" s="2" t="s">
        <v>1605</v>
      </c>
      <c r="P3293" s="3" t="s">
        <v>66</v>
      </c>
      <c r="Q3293" s="2" t="s">
        <v>27564</v>
      </c>
      <c r="R3293" s="3" t="s">
        <v>67</v>
      </c>
      <c r="S3293" s="4">
        <v>1</v>
      </c>
      <c r="T3293" s="4">
        <v>1</v>
      </c>
      <c r="W3293" s="5" t="s">
        <v>69</v>
      </c>
      <c r="X3293" s="5" t="s">
        <v>69</v>
      </c>
      <c r="Y3293" s="4">
        <v>55</v>
      </c>
      <c r="Z3293" s="4">
        <v>2</v>
      </c>
      <c r="AA3293" s="4">
        <v>2</v>
      </c>
      <c r="AB3293" s="4">
        <v>1</v>
      </c>
      <c r="AC3293" s="4">
        <v>1</v>
      </c>
      <c r="AD3293" s="4">
        <v>15</v>
      </c>
      <c r="AE3293" s="4">
        <v>15</v>
      </c>
      <c r="AF3293" s="4">
        <v>0</v>
      </c>
      <c r="AG3293" s="4">
        <v>0</v>
      </c>
      <c r="AH3293" s="4">
        <v>14</v>
      </c>
      <c r="AI3293" s="4">
        <v>14</v>
      </c>
      <c r="AJ3293" s="4">
        <v>1</v>
      </c>
      <c r="AK3293" s="4">
        <v>1</v>
      </c>
      <c r="AL3293" s="4">
        <v>14</v>
      </c>
      <c r="AM3293" s="4">
        <v>14</v>
      </c>
      <c r="AN3293" s="4">
        <v>0</v>
      </c>
      <c r="AO3293" s="4">
        <v>0</v>
      </c>
      <c r="AP3293" s="4">
        <v>1</v>
      </c>
      <c r="AQ3293" s="4">
        <v>1</v>
      </c>
      <c r="AR3293" s="3" t="s">
        <v>63</v>
      </c>
      <c r="AS3293" s="3" t="s">
        <v>63</v>
      </c>
      <c r="AT3293" s="3" t="s">
        <v>63</v>
      </c>
      <c r="AV3293" s="6" t="str">
        <f>HYPERLINK("http://mcgill.on.worldcat.org/oclc/862741672","Catalog Record")</f>
        <v>Catalog Record</v>
      </c>
      <c r="AW3293" s="6" t="str">
        <f>HYPERLINK("http://www.worldcat.org/oclc/862741672","WorldCat Record")</f>
        <v>WorldCat Record</v>
      </c>
      <c r="AX3293" s="3" t="s">
        <v>27565</v>
      </c>
      <c r="AY3293" s="3" t="s">
        <v>27566</v>
      </c>
      <c r="AZ3293" s="3" t="s">
        <v>27567</v>
      </c>
      <c r="BA3293" s="3" t="s">
        <v>27567</v>
      </c>
      <c r="BB3293" s="3" t="s">
        <v>27568</v>
      </c>
      <c r="BC3293" s="3" t="s">
        <v>82</v>
      </c>
      <c r="BD3293" s="3" t="s">
        <v>538</v>
      </c>
      <c r="BE3293" s="3" t="s">
        <v>27569</v>
      </c>
      <c r="BF3293" s="3" t="s">
        <v>27568</v>
      </c>
      <c r="BG3293" s="3" t="s">
        <v>27570</v>
      </c>
    </row>
    <row r="3294" spans="1:59" ht="75" x14ac:dyDescent="0.25">
      <c r="A3294" s="2" t="s">
        <v>59</v>
      </c>
      <c r="B3294" s="2" t="s">
        <v>60</v>
      </c>
      <c r="C3294" s="2" t="s">
        <v>27571</v>
      </c>
      <c r="D3294" s="2" t="s">
        <v>27572</v>
      </c>
      <c r="E3294" s="2" t="s">
        <v>27573</v>
      </c>
      <c r="G3294" s="3" t="s">
        <v>63</v>
      </c>
      <c r="I3294" s="3" t="s">
        <v>63</v>
      </c>
      <c r="J3294" s="3" t="s">
        <v>63</v>
      </c>
      <c r="K3294" s="3" t="s">
        <v>64</v>
      </c>
      <c r="L3294" s="2" t="s">
        <v>27574</v>
      </c>
      <c r="M3294" s="2" t="s">
        <v>27575</v>
      </c>
      <c r="N3294" s="3" t="s">
        <v>143</v>
      </c>
      <c r="O3294" s="2" t="s">
        <v>1605</v>
      </c>
      <c r="P3294" s="3" t="s">
        <v>66</v>
      </c>
      <c r="R3294" s="3" t="s">
        <v>67</v>
      </c>
      <c r="S3294" s="4">
        <v>3</v>
      </c>
      <c r="T3294" s="4">
        <v>3</v>
      </c>
      <c r="U3294" s="5" t="s">
        <v>27576</v>
      </c>
      <c r="V3294" s="5" t="s">
        <v>27576</v>
      </c>
      <c r="W3294" s="5" t="s">
        <v>69</v>
      </c>
      <c r="X3294" s="5" t="s">
        <v>69</v>
      </c>
      <c r="Y3294" s="4">
        <v>1036</v>
      </c>
      <c r="Z3294" s="4">
        <v>31</v>
      </c>
      <c r="AA3294" s="4">
        <v>47</v>
      </c>
      <c r="AB3294" s="4">
        <v>2</v>
      </c>
      <c r="AC3294" s="4">
        <v>4</v>
      </c>
      <c r="AD3294" s="4">
        <v>86</v>
      </c>
      <c r="AE3294" s="4">
        <v>96</v>
      </c>
      <c r="AF3294" s="4">
        <v>0</v>
      </c>
      <c r="AG3294" s="4">
        <v>0</v>
      </c>
      <c r="AH3294" s="4">
        <v>78</v>
      </c>
      <c r="AI3294" s="4">
        <v>85</v>
      </c>
      <c r="AJ3294" s="4">
        <v>7</v>
      </c>
      <c r="AK3294" s="4">
        <v>12</v>
      </c>
      <c r="AL3294" s="4">
        <v>47</v>
      </c>
      <c r="AM3294" s="4">
        <v>50</v>
      </c>
      <c r="AN3294" s="4">
        <v>0</v>
      </c>
      <c r="AO3294" s="4">
        <v>0</v>
      </c>
      <c r="AP3294" s="4">
        <v>11</v>
      </c>
      <c r="AQ3294" s="4">
        <v>17</v>
      </c>
      <c r="AR3294" s="3" t="s">
        <v>63</v>
      </c>
      <c r="AS3294" s="3" t="s">
        <v>63</v>
      </c>
      <c r="AT3294" s="3" t="s">
        <v>63</v>
      </c>
      <c r="AV3294" s="6" t="str">
        <f>HYPERLINK("http://mcgill.on.worldcat.org/oclc/858366308","Catalog Record")</f>
        <v>Catalog Record</v>
      </c>
      <c r="AW3294" s="6" t="str">
        <f>HYPERLINK("http://www.worldcat.org/oclc/858366308","WorldCat Record")</f>
        <v>WorldCat Record</v>
      </c>
      <c r="AX3294" s="3" t="s">
        <v>27577</v>
      </c>
      <c r="AY3294" s="3" t="s">
        <v>27578</v>
      </c>
      <c r="AZ3294" s="3" t="s">
        <v>27579</v>
      </c>
      <c r="BA3294" s="3" t="s">
        <v>27579</v>
      </c>
      <c r="BB3294" s="3" t="s">
        <v>27580</v>
      </c>
      <c r="BC3294" s="3" t="s">
        <v>82</v>
      </c>
      <c r="BD3294" s="3" t="s">
        <v>538</v>
      </c>
      <c r="BE3294" s="3" t="s">
        <v>27581</v>
      </c>
      <c r="BF3294" s="3" t="s">
        <v>27580</v>
      </c>
      <c r="BG3294" s="3" t="s">
        <v>27582</v>
      </c>
    </row>
    <row r="3295" spans="1:59" ht="60" x14ac:dyDescent="0.25">
      <c r="A3295" s="2" t="s">
        <v>59</v>
      </c>
      <c r="B3295" s="2" t="s">
        <v>60</v>
      </c>
      <c r="C3295" s="2" t="s">
        <v>27583</v>
      </c>
      <c r="D3295" s="2" t="s">
        <v>27584</v>
      </c>
      <c r="E3295" s="2" t="s">
        <v>27585</v>
      </c>
      <c r="G3295" s="3" t="s">
        <v>63</v>
      </c>
      <c r="I3295" s="3" t="s">
        <v>62</v>
      </c>
      <c r="J3295" s="3" t="s">
        <v>63</v>
      </c>
      <c r="K3295" s="3" t="s">
        <v>64</v>
      </c>
      <c r="L3295" s="2" t="s">
        <v>27586</v>
      </c>
      <c r="M3295" s="2" t="s">
        <v>27587</v>
      </c>
      <c r="N3295" s="3" t="s">
        <v>918</v>
      </c>
      <c r="P3295" s="3" t="s">
        <v>66</v>
      </c>
      <c r="Q3295" s="2" t="s">
        <v>27588</v>
      </c>
      <c r="R3295" s="3" t="s">
        <v>67</v>
      </c>
      <c r="S3295" s="4">
        <v>24</v>
      </c>
      <c r="T3295" s="4">
        <v>37</v>
      </c>
      <c r="U3295" s="5" t="s">
        <v>27500</v>
      </c>
      <c r="V3295" s="5" t="s">
        <v>27500</v>
      </c>
      <c r="W3295" s="5" t="s">
        <v>69</v>
      </c>
      <c r="X3295" s="5" t="s">
        <v>69</v>
      </c>
      <c r="Y3295" s="4">
        <v>957</v>
      </c>
      <c r="Z3295" s="4">
        <v>36</v>
      </c>
      <c r="AA3295" s="4">
        <v>36</v>
      </c>
      <c r="AB3295" s="4">
        <v>3</v>
      </c>
      <c r="AC3295" s="4">
        <v>3</v>
      </c>
      <c r="AD3295" s="4">
        <v>118</v>
      </c>
      <c r="AE3295" s="4">
        <v>120</v>
      </c>
      <c r="AF3295" s="4">
        <v>2</v>
      </c>
      <c r="AG3295" s="4">
        <v>2</v>
      </c>
      <c r="AH3295" s="4">
        <v>94</v>
      </c>
      <c r="AI3295" s="4">
        <v>96</v>
      </c>
      <c r="AJ3295" s="4">
        <v>18</v>
      </c>
      <c r="AK3295" s="4">
        <v>18</v>
      </c>
      <c r="AL3295" s="4">
        <v>55</v>
      </c>
      <c r="AM3295" s="4">
        <v>56</v>
      </c>
      <c r="AN3295" s="4">
        <v>0</v>
      </c>
      <c r="AO3295" s="4">
        <v>0</v>
      </c>
      <c r="AP3295" s="4">
        <v>27</v>
      </c>
      <c r="AQ3295" s="4">
        <v>27</v>
      </c>
      <c r="AR3295" s="3" t="s">
        <v>63</v>
      </c>
      <c r="AS3295" s="3" t="s">
        <v>63</v>
      </c>
      <c r="AT3295" s="3" t="s">
        <v>62</v>
      </c>
      <c r="AU3295" s="6" t="str">
        <f>HYPERLINK("http://catalog.hathitrust.org/Record/001060248","HathiTrust Record")</f>
        <v>HathiTrust Record</v>
      </c>
      <c r="AV3295" s="6" t="str">
        <f>HYPERLINK("http://mcgill.on.worldcat.org/oclc/182709","Catalog Record")</f>
        <v>Catalog Record</v>
      </c>
      <c r="AW3295" s="6" t="str">
        <f>HYPERLINK("http://www.worldcat.org/oclc/182709","WorldCat Record")</f>
        <v>WorldCat Record</v>
      </c>
      <c r="AX3295" s="3" t="s">
        <v>27589</v>
      </c>
      <c r="AY3295" s="3" t="s">
        <v>27590</v>
      </c>
      <c r="AZ3295" s="3" t="s">
        <v>27591</v>
      </c>
      <c r="BA3295" s="3" t="s">
        <v>27591</v>
      </c>
      <c r="BB3295" s="3" t="s">
        <v>27592</v>
      </c>
      <c r="BC3295" s="3" t="s">
        <v>82</v>
      </c>
      <c r="BD3295" s="3" t="s">
        <v>70</v>
      </c>
      <c r="BF3295" s="3" t="s">
        <v>27592</v>
      </c>
      <c r="BG3295" s="3" t="s">
        <v>27593</v>
      </c>
    </row>
    <row r="3296" spans="1:59" ht="60" x14ac:dyDescent="0.25">
      <c r="A3296" s="2" t="s">
        <v>59</v>
      </c>
      <c r="B3296" s="2" t="s">
        <v>60</v>
      </c>
      <c r="C3296" s="2" t="s">
        <v>27583</v>
      </c>
      <c r="D3296" s="2" t="s">
        <v>27584</v>
      </c>
      <c r="E3296" s="2" t="s">
        <v>27585</v>
      </c>
      <c r="G3296" s="3" t="s">
        <v>63</v>
      </c>
      <c r="I3296" s="3" t="s">
        <v>62</v>
      </c>
      <c r="J3296" s="3" t="s">
        <v>63</v>
      </c>
      <c r="K3296" s="3" t="s">
        <v>64</v>
      </c>
      <c r="L3296" s="2" t="s">
        <v>27586</v>
      </c>
      <c r="M3296" s="2" t="s">
        <v>27587</v>
      </c>
      <c r="N3296" s="3" t="s">
        <v>918</v>
      </c>
      <c r="P3296" s="3" t="s">
        <v>66</v>
      </c>
      <c r="Q3296" s="2" t="s">
        <v>27588</v>
      </c>
      <c r="R3296" s="3" t="s">
        <v>67</v>
      </c>
      <c r="S3296" s="4">
        <v>13</v>
      </c>
      <c r="T3296" s="4">
        <v>37</v>
      </c>
      <c r="U3296" s="5" t="s">
        <v>27594</v>
      </c>
      <c r="V3296" s="5" t="s">
        <v>27500</v>
      </c>
      <c r="W3296" s="5" t="s">
        <v>69</v>
      </c>
      <c r="X3296" s="5" t="s">
        <v>69</v>
      </c>
      <c r="Y3296" s="4">
        <v>957</v>
      </c>
      <c r="Z3296" s="4">
        <v>36</v>
      </c>
      <c r="AA3296" s="4">
        <v>36</v>
      </c>
      <c r="AB3296" s="4">
        <v>3</v>
      </c>
      <c r="AC3296" s="4">
        <v>3</v>
      </c>
      <c r="AD3296" s="4">
        <v>118</v>
      </c>
      <c r="AE3296" s="4">
        <v>120</v>
      </c>
      <c r="AF3296" s="4">
        <v>2</v>
      </c>
      <c r="AG3296" s="4">
        <v>2</v>
      </c>
      <c r="AH3296" s="4">
        <v>94</v>
      </c>
      <c r="AI3296" s="4">
        <v>96</v>
      </c>
      <c r="AJ3296" s="4">
        <v>18</v>
      </c>
      <c r="AK3296" s="4">
        <v>18</v>
      </c>
      <c r="AL3296" s="4">
        <v>55</v>
      </c>
      <c r="AM3296" s="4">
        <v>56</v>
      </c>
      <c r="AN3296" s="4">
        <v>0</v>
      </c>
      <c r="AO3296" s="4">
        <v>0</v>
      </c>
      <c r="AP3296" s="4">
        <v>27</v>
      </c>
      <c r="AQ3296" s="4">
        <v>27</v>
      </c>
      <c r="AR3296" s="3" t="s">
        <v>63</v>
      </c>
      <c r="AS3296" s="3" t="s">
        <v>63</v>
      </c>
      <c r="AT3296" s="3" t="s">
        <v>62</v>
      </c>
      <c r="AU3296" s="6" t="str">
        <f>HYPERLINK("http://catalog.hathitrust.org/Record/001060248","HathiTrust Record")</f>
        <v>HathiTrust Record</v>
      </c>
      <c r="AV3296" s="6" t="str">
        <f>HYPERLINK("http://mcgill.on.worldcat.org/oclc/182709","Catalog Record")</f>
        <v>Catalog Record</v>
      </c>
      <c r="AW3296" s="6" t="str">
        <f>HYPERLINK("http://www.worldcat.org/oclc/182709","WorldCat Record")</f>
        <v>WorldCat Record</v>
      </c>
      <c r="AX3296" s="3" t="s">
        <v>27589</v>
      </c>
      <c r="AY3296" s="3" t="s">
        <v>27590</v>
      </c>
      <c r="AZ3296" s="3" t="s">
        <v>27591</v>
      </c>
      <c r="BA3296" s="3" t="s">
        <v>27591</v>
      </c>
      <c r="BB3296" s="3" t="s">
        <v>27595</v>
      </c>
      <c r="BC3296" s="3" t="s">
        <v>82</v>
      </c>
      <c r="BD3296" s="3" t="s">
        <v>70</v>
      </c>
      <c r="BF3296" s="3" t="s">
        <v>27595</v>
      </c>
      <c r="BG3296" s="3" t="s">
        <v>27596</v>
      </c>
    </row>
    <row r="3297" spans="1:59" ht="75" x14ac:dyDescent="0.25">
      <c r="A3297" s="2" t="s">
        <v>59</v>
      </c>
      <c r="B3297" s="2" t="s">
        <v>60</v>
      </c>
      <c r="C3297" s="2" t="s">
        <v>27597</v>
      </c>
      <c r="D3297" s="2" t="s">
        <v>27598</v>
      </c>
      <c r="E3297" s="2" t="s">
        <v>27599</v>
      </c>
      <c r="G3297" s="3" t="s">
        <v>63</v>
      </c>
      <c r="I3297" s="3" t="s">
        <v>63</v>
      </c>
      <c r="J3297" s="3" t="s">
        <v>63</v>
      </c>
      <c r="K3297" s="3" t="s">
        <v>64</v>
      </c>
      <c r="L3297" s="2" t="s">
        <v>27562</v>
      </c>
      <c r="M3297" s="2" t="s">
        <v>27600</v>
      </c>
      <c r="N3297" s="3" t="s">
        <v>106</v>
      </c>
      <c r="P3297" s="3" t="s">
        <v>66</v>
      </c>
      <c r="Q3297" s="2" t="s">
        <v>27601</v>
      </c>
      <c r="R3297" s="3" t="s">
        <v>67</v>
      </c>
      <c r="S3297" s="4">
        <v>0</v>
      </c>
      <c r="T3297" s="4">
        <v>0</v>
      </c>
      <c r="W3297" s="5" t="s">
        <v>69</v>
      </c>
      <c r="X3297" s="5" t="s">
        <v>69</v>
      </c>
      <c r="Y3297" s="4">
        <v>161</v>
      </c>
      <c r="Z3297" s="4">
        <v>12</v>
      </c>
      <c r="AA3297" s="4">
        <v>96</v>
      </c>
      <c r="AB3297" s="4">
        <v>2</v>
      </c>
      <c r="AC3297" s="4">
        <v>14</v>
      </c>
      <c r="AD3297" s="4">
        <v>63</v>
      </c>
      <c r="AE3297" s="4">
        <v>119</v>
      </c>
      <c r="AF3297" s="4">
        <v>1</v>
      </c>
      <c r="AG3297" s="4">
        <v>8</v>
      </c>
      <c r="AH3297" s="4">
        <v>57</v>
      </c>
      <c r="AI3297" s="4">
        <v>83</v>
      </c>
      <c r="AJ3297" s="4">
        <v>8</v>
      </c>
      <c r="AK3297" s="4">
        <v>21</v>
      </c>
      <c r="AL3297" s="4">
        <v>38</v>
      </c>
      <c r="AM3297" s="4">
        <v>47</v>
      </c>
      <c r="AN3297" s="4">
        <v>0</v>
      </c>
      <c r="AO3297" s="4">
        <v>0</v>
      </c>
      <c r="AP3297" s="4">
        <v>8</v>
      </c>
      <c r="AQ3297" s="4">
        <v>41</v>
      </c>
      <c r="AR3297" s="3" t="s">
        <v>63</v>
      </c>
      <c r="AS3297" s="3" t="s">
        <v>63</v>
      </c>
      <c r="AT3297" s="3" t="s">
        <v>63</v>
      </c>
      <c r="AV3297" s="6" t="str">
        <f>HYPERLINK("http://mcgill.on.worldcat.org/oclc/950054527","Catalog Record")</f>
        <v>Catalog Record</v>
      </c>
      <c r="AW3297" s="6" t="str">
        <f>HYPERLINK("http://www.worldcat.org/oclc/950054527","WorldCat Record")</f>
        <v>WorldCat Record</v>
      </c>
      <c r="AX3297" s="3" t="s">
        <v>27602</v>
      </c>
      <c r="AY3297" s="3" t="s">
        <v>27603</v>
      </c>
      <c r="AZ3297" s="3" t="s">
        <v>27604</v>
      </c>
      <c r="BA3297" s="3" t="s">
        <v>27604</v>
      </c>
      <c r="BB3297" s="3" t="s">
        <v>27605</v>
      </c>
      <c r="BC3297" s="3" t="s">
        <v>82</v>
      </c>
      <c r="BD3297" s="3" t="s">
        <v>70</v>
      </c>
      <c r="BE3297" s="3" t="s">
        <v>27606</v>
      </c>
      <c r="BF3297" s="3" t="s">
        <v>27605</v>
      </c>
      <c r="BG3297" s="3" t="s">
        <v>27607</v>
      </c>
    </row>
    <row r="3298" spans="1:59" ht="60" x14ac:dyDescent="0.25">
      <c r="A3298" s="2" t="s">
        <v>59</v>
      </c>
      <c r="B3298" s="2" t="s">
        <v>60</v>
      </c>
      <c r="C3298" s="2" t="s">
        <v>27608</v>
      </c>
      <c r="D3298" s="2" t="s">
        <v>27609</v>
      </c>
      <c r="E3298" s="2" t="s">
        <v>27610</v>
      </c>
      <c r="G3298" s="3" t="s">
        <v>63</v>
      </c>
      <c r="I3298" s="3" t="s">
        <v>63</v>
      </c>
      <c r="J3298" s="3" t="s">
        <v>63</v>
      </c>
      <c r="K3298" s="3" t="s">
        <v>64</v>
      </c>
      <c r="L3298" s="2" t="s">
        <v>27486</v>
      </c>
      <c r="M3298" s="2" t="s">
        <v>1284</v>
      </c>
      <c r="N3298" s="3" t="s">
        <v>76</v>
      </c>
      <c r="P3298" s="3" t="s">
        <v>66</v>
      </c>
      <c r="Q3298" s="2" t="s">
        <v>14887</v>
      </c>
      <c r="R3298" s="3" t="s">
        <v>67</v>
      </c>
      <c r="S3298" s="4">
        <v>1</v>
      </c>
      <c r="T3298" s="4">
        <v>1</v>
      </c>
      <c r="U3298" s="5" t="s">
        <v>11547</v>
      </c>
      <c r="V3298" s="5" t="s">
        <v>11547</v>
      </c>
      <c r="W3298" s="5" t="s">
        <v>69</v>
      </c>
      <c r="X3298" s="5" t="s">
        <v>69</v>
      </c>
      <c r="Y3298" s="4">
        <v>170</v>
      </c>
      <c r="Z3298" s="4">
        <v>12</v>
      </c>
      <c r="AA3298" s="4">
        <v>13</v>
      </c>
      <c r="AB3298" s="4">
        <v>1</v>
      </c>
      <c r="AC3298" s="4">
        <v>2</v>
      </c>
      <c r="AD3298" s="4">
        <v>71</v>
      </c>
      <c r="AE3298" s="4">
        <v>75</v>
      </c>
      <c r="AF3298" s="4">
        <v>0</v>
      </c>
      <c r="AG3298" s="4">
        <v>1</v>
      </c>
      <c r="AH3298" s="4">
        <v>67</v>
      </c>
      <c r="AI3298" s="4">
        <v>70</v>
      </c>
      <c r="AJ3298" s="4">
        <v>8</v>
      </c>
      <c r="AK3298" s="4">
        <v>9</v>
      </c>
      <c r="AL3298" s="4">
        <v>44</v>
      </c>
      <c r="AM3298" s="4">
        <v>46</v>
      </c>
      <c r="AN3298" s="4">
        <v>0</v>
      </c>
      <c r="AO3298" s="4">
        <v>0</v>
      </c>
      <c r="AP3298" s="4">
        <v>8</v>
      </c>
      <c r="AQ3298" s="4">
        <v>9</v>
      </c>
      <c r="AR3298" s="3" t="s">
        <v>63</v>
      </c>
      <c r="AS3298" s="3" t="s">
        <v>63</v>
      </c>
      <c r="AT3298" s="3" t="s">
        <v>63</v>
      </c>
      <c r="AV3298" s="6" t="str">
        <f>HYPERLINK("http://mcgill.on.worldcat.org/oclc/731912708","Catalog Record")</f>
        <v>Catalog Record</v>
      </c>
      <c r="AW3298" s="6" t="str">
        <f>HYPERLINK("http://www.worldcat.org/oclc/731912708","WorldCat Record")</f>
        <v>WorldCat Record</v>
      </c>
      <c r="AX3298" s="3" t="s">
        <v>27611</v>
      </c>
      <c r="AY3298" s="3" t="s">
        <v>27612</v>
      </c>
      <c r="AZ3298" s="3" t="s">
        <v>27613</v>
      </c>
      <c r="BA3298" s="3" t="s">
        <v>27613</v>
      </c>
      <c r="BB3298" s="3" t="s">
        <v>27614</v>
      </c>
      <c r="BC3298" s="3" t="s">
        <v>82</v>
      </c>
      <c r="BD3298" s="3" t="s">
        <v>70</v>
      </c>
      <c r="BE3298" s="3" t="s">
        <v>27615</v>
      </c>
      <c r="BF3298" s="3" t="s">
        <v>27614</v>
      </c>
      <c r="BG3298" s="3" t="s">
        <v>27616</v>
      </c>
    </row>
    <row r="3299" spans="1:59" ht="90" x14ac:dyDescent="0.25">
      <c r="A3299" s="2" t="s">
        <v>59</v>
      </c>
      <c r="B3299" s="2" t="s">
        <v>60</v>
      </c>
      <c r="C3299" s="2" t="s">
        <v>27617</v>
      </c>
      <c r="D3299" s="2" t="s">
        <v>27618</v>
      </c>
      <c r="E3299" s="2" t="s">
        <v>27619</v>
      </c>
      <c r="G3299" s="3" t="s">
        <v>63</v>
      </c>
      <c r="I3299" s="3" t="s">
        <v>63</v>
      </c>
      <c r="J3299" s="3" t="s">
        <v>63</v>
      </c>
      <c r="K3299" s="3" t="s">
        <v>64</v>
      </c>
      <c r="L3299" s="2" t="s">
        <v>27486</v>
      </c>
      <c r="M3299" s="2" t="s">
        <v>27620</v>
      </c>
      <c r="N3299" s="3" t="s">
        <v>313</v>
      </c>
      <c r="P3299" s="3" t="s">
        <v>66</v>
      </c>
      <c r="Q3299" s="2" t="s">
        <v>27621</v>
      </c>
      <c r="R3299" s="3" t="s">
        <v>67</v>
      </c>
      <c r="S3299" s="4">
        <v>2</v>
      </c>
      <c r="T3299" s="4">
        <v>2</v>
      </c>
      <c r="U3299" s="5" t="s">
        <v>27622</v>
      </c>
      <c r="V3299" s="5" t="s">
        <v>27622</v>
      </c>
      <c r="W3299" s="5" t="s">
        <v>69</v>
      </c>
      <c r="X3299" s="5" t="s">
        <v>69</v>
      </c>
      <c r="Y3299" s="4">
        <v>311</v>
      </c>
      <c r="Z3299" s="4">
        <v>16</v>
      </c>
      <c r="AA3299" s="4">
        <v>107</v>
      </c>
      <c r="AB3299" s="4">
        <v>1</v>
      </c>
      <c r="AC3299" s="4">
        <v>16</v>
      </c>
      <c r="AD3299" s="4">
        <v>91</v>
      </c>
      <c r="AE3299" s="4">
        <v>138</v>
      </c>
      <c r="AF3299" s="4">
        <v>0</v>
      </c>
      <c r="AG3299" s="4">
        <v>8</v>
      </c>
      <c r="AH3299" s="4">
        <v>84</v>
      </c>
      <c r="AI3299" s="4">
        <v>102</v>
      </c>
      <c r="AJ3299" s="4">
        <v>12</v>
      </c>
      <c r="AK3299" s="4">
        <v>22</v>
      </c>
      <c r="AL3299" s="4">
        <v>46</v>
      </c>
      <c r="AM3299" s="4">
        <v>54</v>
      </c>
      <c r="AN3299" s="4">
        <v>0</v>
      </c>
      <c r="AO3299" s="4">
        <v>0</v>
      </c>
      <c r="AP3299" s="4">
        <v>13</v>
      </c>
      <c r="AQ3299" s="4">
        <v>44</v>
      </c>
      <c r="AR3299" s="3" t="s">
        <v>63</v>
      </c>
      <c r="AS3299" s="3" t="s">
        <v>63</v>
      </c>
      <c r="AT3299" s="3" t="s">
        <v>63</v>
      </c>
      <c r="AV3299" s="6" t="str">
        <f>HYPERLINK("http://mcgill.on.worldcat.org/oclc/503074565","Catalog Record")</f>
        <v>Catalog Record</v>
      </c>
      <c r="AW3299" s="6" t="str">
        <f>HYPERLINK("http://www.worldcat.org/oclc/503074565","WorldCat Record")</f>
        <v>WorldCat Record</v>
      </c>
      <c r="AX3299" s="3" t="s">
        <v>27623</v>
      </c>
      <c r="AY3299" s="3" t="s">
        <v>27624</v>
      </c>
      <c r="AZ3299" s="3" t="s">
        <v>27625</v>
      </c>
      <c r="BA3299" s="3" t="s">
        <v>27625</v>
      </c>
      <c r="BB3299" s="3" t="s">
        <v>27626</v>
      </c>
      <c r="BC3299" s="3" t="s">
        <v>82</v>
      </c>
      <c r="BD3299" s="3" t="s">
        <v>70</v>
      </c>
      <c r="BE3299" s="3" t="s">
        <v>27627</v>
      </c>
      <c r="BF3299" s="3" t="s">
        <v>27626</v>
      </c>
      <c r="BG3299" s="3" t="s">
        <v>27628</v>
      </c>
    </row>
    <row r="3300" spans="1:59" ht="60" x14ac:dyDescent="0.25">
      <c r="A3300" s="2" t="s">
        <v>59</v>
      </c>
      <c r="B3300" s="2" t="s">
        <v>60</v>
      </c>
      <c r="C3300" s="2" t="s">
        <v>27629</v>
      </c>
      <c r="D3300" s="2" t="s">
        <v>27630</v>
      </c>
      <c r="E3300" s="2" t="s">
        <v>27631</v>
      </c>
      <c r="G3300" s="3" t="s">
        <v>63</v>
      </c>
      <c r="I3300" s="3" t="s">
        <v>63</v>
      </c>
      <c r="J3300" s="3" t="s">
        <v>63</v>
      </c>
      <c r="K3300" s="3" t="s">
        <v>64</v>
      </c>
      <c r="L3300" s="2" t="s">
        <v>4551</v>
      </c>
      <c r="M3300" s="2" t="s">
        <v>5810</v>
      </c>
      <c r="N3300" s="3" t="s">
        <v>629</v>
      </c>
      <c r="P3300" s="3" t="s">
        <v>90</v>
      </c>
      <c r="Q3300" s="2" t="s">
        <v>27632</v>
      </c>
      <c r="R3300" s="3" t="s">
        <v>67</v>
      </c>
      <c r="S3300" s="4">
        <v>0</v>
      </c>
      <c r="T3300" s="4">
        <v>0</v>
      </c>
      <c r="W3300" s="5" t="s">
        <v>69</v>
      </c>
      <c r="X3300" s="5" t="s">
        <v>69</v>
      </c>
      <c r="Y3300" s="4">
        <v>55</v>
      </c>
      <c r="Z3300" s="4">
        <v>6</v>
      </c>
      <c r="AA3300" s="4">
        <v>6</v>
      </c>
      <c r="AB3300" s="4">
        <v>1</v>
      </c>
      <c r="AC3300" s="4">
        <v>1</v>
      </c>
      <c r="AD3300" s="4">
        <v>38</v>
      </c>
      <c r="AE3300" s="4">
        <v>38</v>
      </c>
      <c r="AF3300" s="4">
        <v>0</v>
      </c>
      <c r="AG3300" s="4">
        <v>0</v>
      </c>
      <c r="AH3300" s="4">
        <v>37</v>
      </c>
      <c r="AI3300" s="4">
        <v>37</v>
      </c>
      <c r="AJ3300" s="4">
        <v>4</v>
      </c>
      <c r="AK3300" s="4">
        <v>4</v>
      </c>
      <c r="AL3300" s="4">
        <v>29</v>
      </c>
      <c r="AM3300" s="4">
        <v>29</v>
      </c>
      <c r="AN3300" s="4">
        <v>0</v>
      </c>
      <c r="AO3300" s="4">
        <v>0</v>
      </c>
      <c r="AP3300" s="4">
        <v>4</v>
      </c>
      <c r="AQ3300" s="4">
        <v>4</v>
      </c>
      <c r="AR3300" s="3" t="s">
        <v>63</v>
      </c>
      <c r="AS3300" s="3" t="s">
        <v>63</v>
      </c>
      <c r="AT3300" s="3" t="s">
        <v>63</v>
      </c>
      <c r="AV3300" s="6" t="str">
        <f>HYPERLINK("http://mcgill.on.worldcat.org/oclc/754909569","Catalog Record")</f>
        <v>Catalog Record</v>
      </c>
      <c r="AW3300" s="6" t="str">
        <f>HYPERLINK("http://www.worldcat.org/oclc/754909569","WorldCat Record")</f>
        <v>WorldCat Record</v>
      </c>
      <c r="AX3300" s="3" t="s">
        <v>27633</v>
      </c>
      <c r="AY3300" s="3" t="s">
        <v>27634</v>
      </c>
      <c r="AZ3300" s="3" t="s">
        <v>27635</v>
      </c>
      <c r="BA3300" s="3" t="s">
        <v>27635</v>
      </c>
      <c r="BB3300" s="3" t="s">
        <v>27636</v>
      </c>
      <c r="BC3300" s="3" t="s">
        <v>82</v>
      </c>
      <c r="BD3300" s="3" t="s">
        <v>70</v>
      </c>
      <c r="BE3300" s="3" t="s">
        <v>27637</v>
      </c>
      <c r="BF3300" s="3" t="s">
        <v>27636</v>
      </c>
      <c r="BG3300" s="3" t="s">
        <v>27638</v>
      </c>
    </row>
    <row r="3301" spans="1:59" ht="60" x14ac:dyDescent="0.25">
      <c r="A3301" s="2" t="s">
        <v>59</v>
      </c>
      <c r="B3301" s="2" t="s">
        <v>60</v>
      </c>
      <c r="C3301" s="2" t="s">
        <v>27639</v>
      </c>
      <c r="D3301" s="2" t="s">
        <v>27640</v>
      </c>
      <c r="E3301" s="2" t="s">
        <v>27641</v>
      </c>
      <c r="G3301" s="3" t="s">
        <v>63</v>
      </c>
      <c r="I3301" s="3" t="s">
        <v>63</v>
      </c>
      <c r="J3301" s="3" t="s">
        <v>63</v>
      </c>
      <c r="K3301" s="3" t="s">
        <v>64</v>
      </c>
      <c r="L3301" s="2" t="s">
        <v>27642</v>
      </c>
      <c r="M3301" s="2" t="s">
        <v>27643</v>
      </c>
      <c r="N3301" s="3" t="s">
        <v>130</v>
      </c>
      <c r="P3301" s="3" t="s">
        <v>66</v>
      </c>
      <c r="R3301" s="3" t="s">
        <v>67</v>
      </c>
      <c r="S3301" s="4">
        <v>0</v>
      </c>
      <c r="T3301" s="4">
        <v>0</v>
      </c>
      <c r="W3301" s="5" t="s">
        <v>69</v>
      </c>
      <c r="X3301" s="5" t="s">
        <v>69</v>
      </c>
      <c r="Y3301" s="4">
        <v>129</v>
      </c>
      <c r="Z3301" s="4">
        <v>15</v>
      </c>
      <c r="AA3301" s="4">
        <v>33</v>
      </c>
      <c r="AB3301" s="4">
        <v>1</v>
      </c>
      <c r="AC3301" s="4">
        <v>5</v>
      </c>
      <c r="AD3301" s="4">
        <v>78</v>
      </c>
      <c r="AE3301" s="4">
        <v>104</v>
      </c>
      <c r="AF3301" s="4">
        <v>0</v>
      </c>
      <c r="AG3301" s="4">
        <v>3</v>
      </c>
      <c r="AH3301" s="4">
        <v>72</v>
      </c>
      <c r="AI3301" s="4">
        <v>89</v>
      </c>
      <c r="AJ3301" s="4">
        <v>11</v>
      </c>
      <c r="AK3301" s="4">
        <v>18</v>
      </c>
      <c r="AL3301" s="4">
        <v>46</v>
      </c>
      <c r="AM3301" s="4">
        <v>52</v>
      </c>
      <c r="AN3301" s="4">
        <v>0</v>
      </c>
      <c r="AO3301" s="4">
        <v>0</v>
      </c>
      <c r="AP3301" s="4">
        <v>11</v>
      </c>
      <c r="AQ3301" s="4">
        <v>23</v>
      </c>
      <c r="AR3301" s="3" t="s">
        <v>63</v>
      </c>
      <c r="AS3301" s="3" t="s">
        <v>63</v>
      </c>
      <c r="AT3301" s="3" t="s">
        <v>63</v>
      </c>
      <c r="AV3301" s="6" t="str">
        <f>HYPERLINK("http://mcgill.on.worldcat.org/oclc/801681409","Catalog Record")</f>
        <v>Catalog Record</v>
      </c>
      <c r="AW3301" s="6" t="str">
        <f>HYPERLINK("http://www.worldcat.org/oclc/801681409","WorldCat Record")</f>
        <v>WorldCat Record</v>
      </c>
      <c r="AX3301" s="3" t="s">
        <v>27644</v>
      </c>
      <c r="AY3301" s="3" t="s">
        <v>27645</v>
      </c>
      <c r="AZ3301" s="3" t="s">
        <v>27646</v>
      </c>
      <c r="BA3301" s="3" t="s">
        <v>27646</v>
      </c>
      <c r="BB3301" s="3" t="s">
        <v>27647</v>
      </c>
      <c r="BC3301" s="3" t="s">
        <v>82</v>
      </c>
      <c r="BD3301" s="3" t="s">
        <v>70</v>
      </c>
      <c r="BE3301" s="3" t="s">
        <v>27648</v>
      </c>
      <c r="BF3301" s="3" t="s">
        <v>27647</v>
      </c>
      <c r="BG3301" s="3" t="s">
        <v>27649</v>
      </c>
    </row>
    <row r="3302" spans="1:59" ht="60" x14ac:dyDescent="0.25">
      <c r="A3302" s="2" t="s">
        <v>59</v>
      </c>
      <c r="B3302" s="2" t="s">
        <v>60</v>
      </c>
      <c r="C3302" s="2" t="s">
        <v>27650</v>
      </c>
      <c r="D3302" s="2" t="s">
        <v>27651</v>
      </c>
      <c r="E3302" s="2" t="s">
        <v>27652</v>
      </c>
      <c r="G3302" s="3" t="s">
        <v>63</v>
      </c>
      <c r="I3302" s="3" t="s">
        <v>63</v>
      </c>
      <c r="J3302" s="3" t="s">
        <v>63</v>
      </c>
      <c r="K3302" s="3" t="s">
        <v>64</v>
      </c>
      <c r="L3302" s="2" t="s">
        <v>27653</v>
      </c>
      <c r="M3302" s="2" t="s">
        <v>27654</v>
      </c>
      <c r="N3302" s="3" t="s">
        <v>204</v>
      </c>
      <c r="P3302" s="3" t="s">
        <v>90</v>
      </c>
      <c r="R3302" s="3" t="s">
        <v>67</v>
      </c>
      <c r="S3302" s="4">
        <v>3</v>
      </c>
      <c r="T3302" s="4">
        <v>3</v>
      </c>
      <c r="U3302" s="5" t="s">
        <v>561</v>
      </c>
      <c r="V3302" s="5" t="s">
        <v>561</v>
      </c>
      <c r="W3302" s="5" t="s">
        <v>69</v>
      </c>
      <c r="X3302" s="5" t="s">
        <v>69</v>
      </c>
      <c r="Y3302" s="4">
        <v>59</v>
      </c>
      <c r="Z3302" s="4">
        <v>5</v>
      </c>
      <c r="AA3302" s="4">
        <v>5</v>
      </c>
      <c r="AB3302" s="4">
        <v>1</v>
      </c>
      <c r="AC3302" s="4">
        <v>1</v>
      </c>
      <c r="AD3302" s="4">
        <v>41</v>
      </c>
      <c r="AE3302" s="4">
        <v>41</v>
      </c>
      <c r="AF3302" s="4">
        <v>0</v>
      </c>
      <c r="AG3302" s="4">
        <v>0</v>
      </c>
      <c r="AH3302" s="4">
        <v>40</v>
      </c>
      <c r="AI3302" s="4">
        <v>40</v>
      </c>
      <c r="AJ3302" s="4">
        <v>2</v>
      </c>
      <c r="AK3302" s="4">
        <v>2</v>
      </c>
      <c r="AL3302" s="4">
        <v>32</v>
      </c>
      <c r="AM3302" s="4">
        <v>32</v>
      </c>
      <c r="AN3302" s="4">
        <v>0</v>
      </c>
      <c r="AO3302" s="4">
        <v>0</v>
      </c>
      <c r="AP3302" s="4">
        <v>2</v>
      </c>
      <c r="AQ3302" s="4">
        <v>2</v>
      </c>
      <c r="AR3302" s="3" t="s">
        <v>63</v>
      </c>
      <c r="AS3302" s="3" t="s">
        <v>63</v>
      </c>
      <c r="AT3302" s="3" t="s">
        <v>63</v>
      </c>
      <c r="AV3302" s="6" t="str">
        <f>HYPERLINK("http://mcgill.on.worldcat.org/oclc/36647740","Catalog Record")</f>
        <v>Catalog Record</v>
      </c>
      <c r="AW3302" s="6" t="str">
        <f>HYPERLINK("http://www.worldcat.org/oclc/36647740","WorldCat Record")</f>
        <v>WorldCat Record</v>
      </c>
      <c r="AX3302" s="3" t="s">
        <v>27655</v>
      </c>
      <c r="AY3302" s="3" t="s">
        <v>27656</v>
      </c>
      <c r="AZ3302" s="3" t="s">
        <v>27657</v>
      </c>
      <c r="BA3302" s="3" t="s">
        <v>27657</v>
      </c>
      <c r="BB3302" s="3" t="s">
        <v>27658</v>
      </c>
      <c r="BC3302" s="3" t="s">
        <v>82</v>
      </c>
      <c r="BD3302" s="3" t="s">
        <v>70</v>
      </c>
      <c r="BE3302" s="3" t="s">
        <v>27659</v>
      </c>
      <c r="BF3302" s="3" t="s">
        <v>27658</v>
      </c>
      <c r="BG3302" s="3" t="s">
        <v>27660</v>
      </c>
    </row>
    <row r="3303" spans="1:59" ht="60" x14ac:dyDescent="0.25">
      <c r="A3303" s="2" t="s">
        <v>59</v>
      </c>
      <c r="B3303" s="2" t="s">
        <v>60</v>
      </c>
      <c r="C3303" s="2" t="s">
        <v>27661</v>
      </c>
      <c r="D3303" s="2" t="s">
        <v>27662</v>
      </c>
      <c r="E3303" s="2" t="s">
        <v>27663</v>
      </c>
      <c r="G3303" s="3" t="s">
        <v>63</v>
      </c>
      <c r="I3303" s="3" t="s">
        <v>63</v>
      </c>
      <c r="J3303" s="3" t="s">
        <v>63</v>
      </c>
      <c r="K3303" s="3" t="s">
        <v>64</v>
      </c>
      <c r="L3303" s="2" t="s">
        <v>27664</v>
      </c>
      <c r="M3303" s="2" t="s">
        <v>27665</v>
      </c>
      <c r="N3303" s="3" t="s">
        <v>1557</v>
      </c>
      <c r="O3303" s="2" t="s">
        <v>1569</v>
      </c>
      <c r="P3303" s="3" t="s">
        <v>66</v>
      </c>
      <c r="R3303" s="3" t="s">
        <v>67</v>
      </c>
      <c r="S3303" s="4">
        <v>0</v>
      </c>
      <c r="T3303" s="4">
        <v>0</v>
      </c>
      <c r="W3303" s="5" t="s">
        <v>69</v>
      </c>
      <c r="X3303" s="5" t="s">
        <v>69</v>
      </c>
      <c r="Y3303" s="4">
        <v>651</v>
      </c>
      <c r="Z3303" s="4">
        <v>9</v>
      </c>
      <c r="AA3303" s="4">
        <v>13</v>
      </c>
      <c r="AB3303" s="4">
        <v>2</v>
      </c>
      <c r="AC3303" s="4">
        <v>3</v>
      </c>
      <c r="AD3303" s="4">
        <v>50</v>
      </c>
      <c r="AE3303" s="4">
        <v>58</v>
      </c>
      <c r="AF3303" s="4">
        <v>0</v>
      </c>
      <c r="AG3303" s="4">
        <v>0</v>
      </c>
      <c r="AH3303" s="4">
        <v>50</v>
      </c>
      <c r="AI3303" s="4">
        <v>56</v>
      </c>
      <c r="AJ3303" s="4">
        <v>2</v>
      </c>
      <c r="AK3303" s="4">
        <v>3</v>
      </c>
      <c r="AL3303" s="4">
        <v>34</v>
      </c>
      <c r="AM3303" s="4">
        <v>36</v>
      </c>
      <c r="AN3303" s="4">
        <v>0</v>
      </c>
      <c r="AO3303" s="4">
        <v>0</v>
      </c>
      <c r="AP3303" s="4">
        <v>2</v>
      </c>
      <c r="AQ3303" s="4">
        <v>3</v>
      </c>
      <c r="AR3303" s="3" t="s">
        <v>63</v>
      </c>
      <c r="AS3303" s="3" t="s">
        <v>63</v>
      </c>
      <c r="AT3303" s="3" t="s">
        <v>63</v>
      </c>
      <c r="AV3303" s="6" t="str">
        <f>HYPERLINK("http://mcgill.on.worldcat.org/oclc/969549715","Catalog Record")</f>
        <v>Catalog Record</v>
      </c>
      <c r="AW3303" s="6" t="str">
        <f>HYPERLINK("http://www.worldcat.org/oclc/969549715","WorldCat Record")</f>
        <v>WorldCat Record</v>
      </c>
      <c r="AX3303" s="3" t="s">
        <v>27666</v>
      </c>
      <c r="AY3303" s="3" t="s">
        <v>27667</v>
      </c>
      <c r="AZ3303" s="3" t="s">
        <v>27668</v>
      </c>
      <c r="BA3303" s="3" t="s">
        <v>27668</v>
      </c>
      <c r="BB3303" s="3" t="s">
        <v>27669</v>
      </c>
      <c r="BC3303" s="3" t="s">
        <v>82</v>
      </c>
      <c r="BD3303" s="3" t="s">
        <v>70</v>
      </c>
      <c r="BE3303" s="3" t="s">
        <v>27670</v>
      </c>
      <c r="BF3303" s="3" t="s">
        <v>27669</v>
      </c>
      <c r="BG3303" s="3" t="s">
        <v>27671</v>
      </c>
    </row>
    <row r="3304" spans="1:59" ht="60" x14ac:dyDescent="0.25">
      <c r="A3304" s="2" t="s">
        <v>59</v>
      </c>
      <c r="B3304" s="2" t="s">
        <v>60</v>
      </c>
      <c r="C3304" s="2" t="s">
        <v>27672</v>
      </c>
      <c r="D3304" s="2" t="s">
        <v>27673</v>
      </c>
      <c r="E3304" s="2" t="s">
        <v>27674</v>
      </c>
      <c r="G3304" s="3" t="s">
        <v>63</v>
      </c>
      <c r="I3304" s="3" t="s">
        <v>62</v>
      </c>
      <c r="J3304" s="3" t="s">
        <v>63</v>
      </c>
      <c r="K3304" s="3" t="s">
        <v>64</v>
      </c>
      <c r="M3304" s="2" t="s">
        <v>27675</v>
      </c>
      <c r="N3304" s="3" t="s">
        <v>814</v>
      </c>
      <c r="P3304" s="3" t="s">
        <v>66</v>
      </c>
      <c r="Q3304" s="2" t="s">
        <v>18568</v>
      </c>
      <c r="R3304" s="3" t="s">
        <v>67</v>
      </c>
      <c r="S3304" s="4">
        <v>0</v>
      </c>
      <c r="T3304" s="4">
        <v>20</v>
      </c>
      <c r="V3304" s="5" t="s">
        <v>3882</v>
      </c>
      <c r="W3304" s="5" t="s">
        <v>69</v>
      </c>
      <c r="X3304" s="5" t="s">
        <v>69</v>
      </c>
      <c r="Y3304" s="4">
        <v>1235</v>
      </c>
      <c r="Z3304" s="4">
        <v>37</v>
      </c>
      <c r="AA3304" s="4">
        <v>37</v>
      </c>
      <c r="AB3304" s="4">
        <v>2</v>
      </c>
      <c r="AC3304" s="4">
        <v>2</v>
      </c>
      <c r="AD3304" s="4">
        <v>115</v>
      </c>
      <c r="AE3304" s="4">
        <v>115</v>
      </c>
      <c r="AF3304" s="4">
        <v>1</v>
      </c>
      <c r="AG3304" s="4">
        <v>1</v>
      </c>
      <c r="AH3304" s="4">
        <v>94</v>
      </c>
      <c r="AI3304" s="4">
        <v>94</v>
      </c>
      <c r="AJ3304" s="4">
        <v>17</v>
      </c>
      <c r="AK3304" s="4">
        <v>17</v>
      </c>
      <c r="AL3304" s="4">
        <v>55</v>
      </c>
      <c r="AM3304" s="4">
        <v>55</v>
      </c>
      <c r="AN3304" s="4">
        <v>0</v>
      </c>
      <c r="AO3304" s="4">
        <v>0</v>
      </c>
      <c r="AP3304" s="4">
        <v>24</v>
      </c>
      <c r="AQ3304" s="4">
        <v>24</v>
      </c>
      <c r="AR3304" s="3" t="s">
        <v>63</v>
      </c>
      <c r="AS3304" s="3" t="s">
        <v>63</v>
      </c>
      <c r="AT3304" s="3" t="s">
        <v>62</v>
      </c>
      <c r="AU3304" s="6" t="str">
        <f>HYPERLINK("http://catalog.hathitrust.org/Record/000750142","HathiTrust Record")</f>
        <v>HathiTrust Record</v>
      </c>
      <c r="AV3304" s="6" t="str">
        <f>HYPERLINK("http://mcgill.on.worldcat.org/oclc/3361241","Catalog Record")</f>
        <v>Catalog Record</v>
      </c>
      <c r="AW3304" s="6" t="str">
        <f>HYPERLINK("http://www.worldcat.org/oclc/3361241","WorldCat Record")</f>
        <v>WorldCat Record</v>
      </c>
      <c r="AX3304" s="3" t="s">
        <v>27676</v>
      </c>
      <c r="AY3304" s="3" t="s">
        <v>27677</v>
      </c>
      <c r="AZ3304" s="3" t="s">
        <v>27678</v>
      </c>
      <c r="BA3304" s="3" t="s">
        <v>27678</v>
      </c>
      <c r="BB3304" s="3" t="s">
        <v>27679</v>
      </c>
      <c r="BC3304" s="3" t="s">
        <v>82</v>
      </c>
      <c r="BD3304" s="3" t="s">
        <v>70</v>
      </c>
      <c r="BE3304" s="3" t="s">
        <v>27680</v>
      </c>
      <c r="BF3304" s="3" t="s">
        <v>27679</v>
      </c>
      <c r="BG3304" s="3" t="s">
        <v>27681</v>
      </c>
    </row>
    <row r="3305" spans="1:59" ht="60" x14ac:dyDescent="0.25">
      <c r="A3305" s="2" t="s">
        <v>59</v>
      </c>
      <c r="B3305" s="2" t="s">
        <v>60</v>
      </c>
      <c r="C3305" s="2" t="s">
        <v>27672</v>
      </c>
      <c r="D3305" s="2" t="s">
        <v>27673</v>
      </c>
      <c r="E3305" s="2" t="s">
        <v>27674</v>
      </c>
      <c r="G3305" s="3" t="s">
        <v>63</v>
      </c>
      <c r="I3305" s="3" t="s">
        <v>62</v>
      </c>
      <c r="J3305" s="3" t="s">
        <v>63</v>
      </c>
      <c r="K3305" s="3" t="s">
        <v>64</v>
      </c>
      <c r="M3305" s="2" t="s">
        <v>27675</v>
      </c>
      <c r="N3305" s="3" t="s">
        <v>814</v>
      </c>
      <c r="P3305" s="3" t="s">
        <v>66</v>
      </c>
      <c r="Q3305" s="2" t="s">
        <v>18568</v>
      </c>
      <c r="R3305" s="3" t="s">
        <v>67</v>
      </c>
      <c r="S3305" s="4">
        <v>20</v>
      </c>
      <c r="T3305" s="4">
        <v>20</v>
      </c>
      <c r="U3305" s="5" t="s">
        <v>3882</v>
      </c>
      <c r="V3305" s="5" t="s">
        <v>3882</v>
      </c>
      <c r="W3305" s="5" t="s">
        <v>69</v>
      </c>
      <c r="X3305" s="5" t="s">
        <v>69</v>
      </c>
      <c r="Y3305" s="4">
        <v>1235</v>
      </c>
      <c r="Z3305" s="4">
        <v>37</v>
      </c>
      <c r="AA3305" s="4">
        <v>37</v>
      </c>
      <c r="AB3305" s="4">
        <v>2</v>
      </c>
      <c r="AC3305" s="4">
        <v>2</v>
      </c>
      <c r="AD3305" s="4">
        <v>115</v>
      </c>
      <c r="AE3305" s="4">
        <v>115</v>
      </c>
      <c r="AF3305" s="4">
        <v>1</v>
      </c>
      <c r="AG3305" s="4">
        <v>1</v>
      </c>
      <c r="AH3305" s="4">
        <v>94</v>
      </c>
      <c r="AI3305" s="4">
        <v>94</v>
      </c>
      <c r="AJ3305" s="4">
        <v>17</v>
      </c>
      <c r="AK3305" s="4">
        <v>17</v>
      </c>
      <c r="AL3305" s="4">
        <v>55</v>
      </c>
      <c r="AM3305" s="4">
        <v>55</v>
      </c>
      <c r="AN3305" s="4">
        <v>0</v>
      </c>
      <c r="AO3305" s="4">
        <v>0</v>
      </c>
      <c r="AP3305" s="4">
        <v>24</v>
      </c>
      <c r="AQ3305" s="4">
        <v>24</v>
      </c>
      <c r="AR3305" s="3" t="s">
        <v>63</v>
      </c>
      <c r="AS3305" s="3" t="s">
        <v>63</v>
      </c>
      <c r="AT3305" s="3" t="s">
        <v>62</v>
      </c>
      <c r="AU3305" s="6" t="str">
        <f>HYPERLINK("http://catalog.hathitrust.org/Record/000750142","HathiTrust Record")</f>
        <v>HathiTrust Record</v>
      </c>
      <c r="AV3305" s="6" t="str">
        <f>HYPERLINK("http://mcgill.on.worldcat.org/oclc/3361241","Catalog Record")</f>
        <v>Catalog Record</v>
      </c>
      <c r="AW3305" s="6" t="str">
        <f>HYPERLINK("http://www.worldcat.org/oclc/3361241","WorldCat Record")</f>
        <v>WorldCat Record</v>
      </c>
      <c r="AX3305" s="3" t="s">
        <v>27676</v>
      </c>
      <c r="AY3305" s="3" t="s">
        <v>27677</v>
      </c>
      <c r="AZ3305" s="3" t="s">
        <v>27678</v>
      </c>
      <c r="BA3305" s="3" t="s">
        <v>27678</v>
      </c>
      <c r="BB3305" s="3" t="s">
        <v>27682</v>
      </c>
      <c r="BC3305" s="3" t="s">
        <v>82</v>
      </c>
      <c r="BD3305" s="3" t="s">
        <v>70</v>
      </c>
      <c r="BE3305" s="3" t="s">
        <v>27680</v>
      </c>
      <c r="BF3305" s="3" t="s">
        <v>27682</v>
      </c>
      <c r="BG3305" s="3" t="s">
        <v>27683</v>
      </c>
    </row>
    <row r="3306" spans="1:59" ht="60" x14ac:dyDescent="0.25">
      <c r="A3306" s="2" t="s">
        <v>59</v>
      </c>
      <c r="B3306" s="2" t="s">
        <v>60</v>
      </c>
      <c r="C3306" s="2" t="s">
        <v>27684</v>
      </c>
      <c r="D3306" s="2" t="s">
        <v>27685</v>
      </c>
      <c r="E3306" s="2" t="s">
        <v>27686</v>
      </c>
      <c r="G3306" s="3" t="s">
        <v>63</v>
      </c>
      <c r="I3306" s="3" t="s">
        <v>63</v>
      </c>
      <c r="J3306" s="3" t="s">
        <v>63</v>
      </c>
      <c r="K3306" s="3" t="s">
        <v>64</v>
      </c>
      <c r="L3306" s="2" t="s">
        <v>27687</v>
      </c>
      <c r="M3306" s="2" t="s">
        <v>27688</v>
      </c>
      <c r="N3306" s="3" t="s">
        <v>1113</v>
      </c>
      <c r="P3306" s="3" t="s">
        <v>66</v>
      </c>
      <c r="Q3306" s="2" t="s">
        <v>27689</v>
      </c>
      <c r="R3306" s="3" t="s">
        <v>67</v>
      </c>
      <c r="S3306" s="4">
        <v>11</v>
      </c>
      <c r="T3306" s="4">
        <v>11</v>
      </c>
      <c r="U3306" s="5" t="s">
        <v>3882</v>
      </c>
      <c r="V3306" s="5" t="s">
        <v>3882</v>
      </c>
      <c r="W3306" s="5" t="s">
        <v>69</v>
      </c>
      <c r="X3306" s="5" t="s">
        <v>69</v>
      </c>
      <c r="Y3306" s="4">
        <v>305</v>
      </c>
      <c r="Z3306" s="4">
        <v>19</v>
      </c>
      <c r="AA3306" s="4">
        <v>21</v>
      </c>
      <c r="AB3306" s="4">
        <v>1</v>
      </c>
      <c r="AC3306" s="4">
        <v>2</v>
      </c>
      <c r="AD3306" s="4">
        <v>103</v>
      </c>
      <c r="AE3306" s="4">
        <v>109</v>
      </c>
      <c r="AF3306" s="4">
        <v>0</v>
      </c>
      <c r="AG3306" s="4">
        <v>1</v>
      </c>
      <c r="AH3306" s="4">
        <v>96</v>
      </c>
      <c r="AI3306" s="4">
        <v>102</v>
      </c>
      <c r="AJ3306" s="4">
        <v>13</v>
      </c>
      <c r="AK3306" s="4">
        <v>15</v>
      </c>
      <c r="AL3306" s="4">
        <v>52</v>
      </c>
      <c r="AM3306" s="4">
        <v>54</v>
      </c>
      <c r="AN3306" s="4">
        <v>0</v>
      </c>
      <c r="AO3306" s="4">
        <v>0</v>
      </c>
      <c r="AP3306" s="4">
        <v>14</v>
      </c>
      <c r="AQ3306" s="4">
        <v>16</v>
      </c>
      <c r="AR3306" s="3" t="s">
        <v>63</v>
      </c>
      <c r="AS3306" s="3" t="s">
        <v>63</v>
      </c>
      <c r="AT3306" s="3" t="s">
        <v>62</v>
      </c>
      <c r="AU3306" s="6" t="str">
        <f>HYPERLINK("http://catalog.hathitrust.org/Record/003168141","HathiTrust Record")</f>
        <v>HathiTrust Record</v>
      </c>
      <c r="AV3306" s="6" t="str">
        <f>HYPERLINK("http://mcgill.on.worldcat.org/oclc/35637882","Catalog Record")</f>
        <v>Catalog Record</v>
      </c>
      <c r="AW3306" s="6" t="str">
        <f>HYPERLINK("http://www.worldcat.org/oclc/35637882","WorldCat Record")</f>
        <v>WorldCat Record</v>
      </c>
      <c r="AX3306" s="3" t="s">
        <v>27690</v>
      </c>
      <c r="AY3306" s="3" t="s">
        <v>27691</v>
      </c>
      <c r="AZ3306" s="3" t="s">
        <v>27692</v>
      </c>
      <c r="BA3306" s="3" t="s">
        <v>27692</v>
      </c>
      <c r="BB3306" s="3" t="s">
        <v>27693</v>
      </c>
      <c r="BC3306" s="3" t="s">
        <v>82</v>
      </c>
      <c r="BD3306" s="3" t="s">
        <v>70</v>
      </c>
      <c r="BE3306" s="3" t="s">
        <v>27694</v>
      </c>
      <c r="BF3306" s="3" t="s">
        <v>27693</v>
      </c>
      <c r="BG3306" s="3" t="s">
        <v>27695</v>
      </c>
    </row>
    <row r="3307" spans="1:59" ht="60" x14ac:dyDescent="0.25">
      <c r="A3307" s="2" t="s">
        <v>59</v>
      </c>
      <c r="B3307" s="2" t="s">
        <v>60</v>
      </c>
      <c r="C3307" s="2" t="s">
        <v>27696</v>
      </c>
      <c r="D3307" s="2" t="s">
        <v>27697</v>
      </c>
      <c r="E3307" s="2" t="s">
        <v>27698</v>
      </c>
      <c r="G3307" s="3" t="s">
        <v>63</v>
      </c>
      <c r="I3307" s="3" t="s">
        <v>63</v>
      </c>
      <c r="J3307" s="3" t="s">
        <v>63</v>
      </c>
      <c r="K3307" s="3" t="s">
        <v>64</v>
      </c>
      <c r="L3307" s="2" t="s">
        <v>27699</v>
      </c>
      <c r="M3307" s="2" t="s">
        <v>27700</v>
      </c>
      <c r="N3307" s="3" t="s">
        <v>76</v>
      </c>
      <c r="P3307" s="3" t="s">
        <v>90</v>
      </c>
      <c r="R3307" s="3" t="s">
        <v>67</v>
      </c>
      <c r="S3307" s="4">
        <v>0</v>
      </c>
      <c r="T3307" s="4">
        <v>0</v>
      </c>
      <c r="W3307" s="5" t="s">
        <v>69</v>
      </c>
      <c r="X3307" s="5" t="s">
        <v>69</v>
      </c>
      <c r="Y3307" s="4">
        <v>29</v>
      </c>
      <c r="Z3307" s="4">
        <v>3</v>
      </c>
      <c r="AA3307" s="4">
        <v>3</v>
      </c>
      <c r="AB3307" s="4">
        <v>1</v>
      </c>
      <c r="AC3307" s="4">
        <v>1</v>
      </c>
      <c r="AD3307" s="4">
        <v>23</v>
      </c>
      <c r="AE3307" s="4">
        <v>23</v>
      </c>
      <c r="AF3307" s="4">
        <v>0</v>
      </c>
      <c r="AG3307" s="4">
        <v>0</v>
      </c>
      <c r="AH3307" s="4">
        <v>22</v>
      </c>
      <c r="AI3307" s="4">
        <v>22</v>
      </c>
      <c r="AJ3307" s="4">
        <v>1</v>
      </c>
      <c r="AK3307" s="4">
        <v>1</v>
      </c>
      <c r="AL3307" s="4">
        <v>18</v>
      </c>
      <c r="AM3307" s="4">
        <v>18</v>
      </c>
      <c r="AN3307" s="4">
        <v>0</v>
      </c>
      <c r="AO3307" s="4">
        <v>0</v>
      </c>
      <c r="AP3307" s="4">
        <v>1</v>
      </c>
      <c r="AQ3307" s="4">
        <v>1</v>
      </c>
      <c r="AR3307" s="3" t="s">
        <v>63</v>
      </c>
      <c r="AS3307" s="3" t="s">
        <v>63</v>
      </c>
      <c r="AT3307" s="3" t="s">
        <v>63</v>
      </c>
      <c r="AV3307" s="6" t="str">
        <f>HYPERLINK("http://mcgill.on.worldcat.org/oclc/809032692","Catalog Record")</f>
        <v>Catalog Record</v>
      </c>
      <c r="AW3307" s="6" t="str">
        <f>HYPERLINK("http://www.worldcat.org/oclc/809032692","WorldCat Record")</f>
        <v>WorldCat Record</v>
      </c>
      <c r="AX3307" s="3" t="s">
        <v>27701</v>
      </c>
      <c r="AY3307" s="3" t="s">
        <v>27702</v>
      </c>
      <c r="AZ3307" s="3" t="s">
        <v>27703</v>
      </c>
      <c r="BA3307" s="3" t="s">
        <v>27703</v>
      </c>
      <c r="BB3307" s="3" t="s">
        <v>27704</v>
      </c>
      <c r="BC3307" s="3" t="s">
        <v>82</v>
      </c>
      <c r="BD3307" s="3" t="s">
        <v>70</v>
      </c>
      <c r="BE3307" s="3" t="s">
        <v>27705</v>
      </c>
      <c r="BF3307" s="3" t="s">
        <v>27704</v>
      </c>
      <c r="BG3307" s="3" t="s">
        <v>27706</v>
      </c>
    </row>
    <row r="3308" spans="1:59" ht="60" x14ac:dyDescent="0.25">
      <c r="A3308" s="2" t="s">
        <v>59</v>
      </c>
      <c r="B3308" s="2" t="s">
        <v>60</v>
      </c>
      <c r="C3308" s="2" t="s">
        <v>27717</v>
      </c>
      <c r="D3308" s="2" t="s">
        <v>27718</v>
      </c>
      <c r="E3308" s="2" t="s">
        <v>16848</v>
      </c>
      <c r="F3308" s="3" t="s">
        <v>1366</v>
      </c>
      <c r="G3308" s="3" t="s">
        <v>62</v>
      </c>
      <c r="I3308" s="3" t="s">
        <v>63</v>
      </c>
      <c r="J3308" s="3" t="s">
        <v>63</v>
      </c>
      <c r="K3308" s="3" t="s">
        <v>64</v>
      </c>
      <c r="L3308" s="2" t="s">
        <v>27710</v>
      </c>
      <c r="M3308" s="2" t="s">
        <v>27719</v>
      </c>
      <c r="N3308" s="3" t="s">
        <v>2182</v>
      </c>
      <c r="P3308" s="3" t="s">
        <v>90</v>
      </c>
      <c r="R3308" s="3" t="s">
        <v>67</v>
      </c>
      <c r="S3308" s="4">
        <v>0</v>
      </c>
      <c r="T3308" s="4">
        <v>3</v>
      </c>
      <c r="V3308" s="5" t="s">
        <v>2227</v>
      </c>
      <c r="W3308" s="5" t="s">
        <v>69</v>
      </c>
      <c r="X3308" s="5" t="s">
        <v>69</v>
      </c>
      <c r="Y3308" s="4">
        <v>1</v>
      </c>
      <c r="Z3308" s="4">
        <v>1</v>
      </c>
      <c r="AA3308" s="4">
        <v>1</v>
      </c>
      <c r="AB3308" s="4">
        <v>1</v>
      </c>
      <c r="AC3308" s="4">
        <v>1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3" t="s">
        <v>63</v>
      </c>
      <c r="AS3308" s="3" t="s">
        <v>63</v>
      </c>
      <c r="AT3308" s="3" t="s">
        <v>63</v>
      </c>
      <c r="AV3308" s="6" t="str">
        <f>HYPERLINK("http://mcgill.on.worldcat.org/oclc/427248317","Catalog Record")</f>
        <v>Catalog Record</v>
      </c>
      <c r="AW3308" s="6" t="str">
        <f>HYPERLINK("http://www.worldcat.org/oclc/427248317","WorldCat Record")</f>
        <v>WorldCat Record</v>
      </c>
      <c r="AX3308" s="3" t="s">
        <v>27720</v>
      </c>
      <c r="AY3308" s="3" t="s">
        <v>27721</v>
      </c>
      <c r="AZ3308" s="3" t="s">
        <v>27722</v>
      </c>
      <c r="BA3308" s="3" t="s">
        <v>27722</v>
      </c>
      <c r="BB3308" s="3" t="s">
        <v>27723</v>
      </c>
      <c r="BC3308" s="3" t="s">
        <v>82</v>
      </c>
      <c r="BD3308" s="3" t="s">
        <v>70</v>
      </c>
      <c r="BF3308" s="3" t="s">
        <v>27723</v>
      </c>
      <c r="BG3308" s="3" t="s">
        <v>27724</v>
      </c>
    </row>
    <row r="3309" spans="1:59" ht="60" x14ac:dyDescent="0.25">
      <c r="A3309" s="2" t="s">
        <v>59</v>
      </c>
      <c r="B3309" s="2" t="s">
        <v>60</v>
      </c>
      <c r="C3309" s="2" t="s">
        <v>27717</v>
      </c>
      <c r="D3309" s="2" t="s">
        <v>27718</v>
      </c>
      <c r="E3309" s="2" t="s">
        <v>16848</v>
      </c>
      <c r="F3309" s="3" t="s">
        <v>1379</v>
      </c>
      <c r="G3309" s="3" t="s">
        <v>62</v>
      </c>
      <c r="I3309" s="3" t="s">
        <v>63</v>
      </c>
      <c r="J3309" s="3" t="s">
        <v>63</v>
      </c>
      <c r="K3309" s="3" t="s">
        <v>64</v>
      </c>
      <c r="L3309" s="2" t="s">
        <v>27710</v>
      </c>
      <c r="M3309" s="2" t="s">
        <v>27719</v>
      </c>
      <c r="N3309" s="3" t="s">
        <v>2182</v>
      </c>
      <c r="P3309" s="3" t="s">
        <v>90</v>
      </c>
      <c r="R3309" s="3" t="s">
        <v>67</v>
      </c>
      <c r="S3309" s="4">
        <v>2</v>
      </c>
      <c r="T3309" s="4">
        <v>3</v>
      </c>
      <c r="U3309" s="5" t="s">
        <v>27725</v>
      </c>
      <c r="V3309" s="5" t="s">
        <v>2227</v>
      </c>
      <c r="W3309" s="5" t="s">
        <v>69</v>
      </c>
      <c r="X3309" s="5" t="s">
        <v>69</v>
      </c>
      <c r="Y3309" s="4">
        <v>1</v>
      </c>
      <c r="Z3309" s="4">
        <v>1</v>
      </c>
      <c r="AA3309" s="4">
        <v>1</v>
      </c>
      <c r="AB3309" s="4">
        <v>1</v>
      </c>
      <c r="AC3309" s="4">
        <v>1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3" t="s">
        <v>63</v>
      </c>
      <c r="AS3309" s="3" t="s">
        <v>63</v>
      </c>
      <c r="AT3309" s="3" t="s">
        <v>63</v>
      </c>
      <c r="AV3309" s="6" t="str">
        <f>HYPERLINK("http://mcgill.on.worldcat.org/oclc/427248317","Catalog Record")</f>
        <v>Catalog Record</v>
      </c>
      <c r="AW3309" s="6" t="str">
        <f>HYPERLINK("http://www.worldcat.org/oclc/427248317","WorldCat Record")</f>
        <v>WorldCat Record</v>
      </c>
      <c r="AX3309" s="3" t="s">
        <v>27720</v>
      </c>
      <c r="AY3309" s="3" t="s">
        <v>27721</v>
      </c>
      <c r="AZ3309" s="3" t="s">
        <v>27722</v>
      </c>
      <c r="BA3309" s="3" t="s">
        <v>27722</v>
      </c>
      <c r="BB3309" s="3" t="s">
        <v>27726</v>
      </c>
      <c r="BC3309" s="3" t="s">
        <v>82</v>
      </c>
      <c r="BD3309" s="3" t="s">
        <v>70</v>
      </c>
      <c r="BF3309" s="3" t="s">
        <v>27726</v>
      </c>
      <c r="BG3309" s="3" t="s">
        <v>27727</v>
      </c>
    </row>
    <row r="3310" spans="1:59" ht="60" x14ac:dyDescent="0.25">
      <c r="A3310" s="2" t="s">
        <v>59</v>
      </c>
      <c r="B3310" s="2" t="s">
        <v>60</v>
      </c>
      <c r="C3310" s="2" t="s">
        <v>27717</v>
      </c>
      <c r="D3310" s="2" t="s">
        <v>27718</v>
      </c>
      <c r="E3310" s="2" t="s">
        <v>16848</v>
      </c>
      <c r="F3310" s="3" t="s">
        <v>1105</v>
      </c>
      <c r="G3310" s="3" t="s">
        <v>62</v>
      </c>
      <c r="I3310" s="3" t="s">
        <v>63</v>
      </c>
      <c r="J3310" s="3" t="s">
        <v>63</v>
      </c>
      <c r="K3310" s="3" t="s">
        <v>64</v>
      </c>
      <c r="L3310" s="2" t="s">
        <v>27710</v>
      </c>
      <c r="M3310" s="2" t="s">
        <v>27719</v>
      </c>
      <c r="N3310" s="3" t="s">
        <v>2182</v>
      </c>
      <c r="P3310" s="3" t="s">
        <v>90</v>
      </c>
      <c r="R3310" s="3" t="s">
        <v>67</v>
      </c>
      <c r="S3310" s="4">
        <v>0</v>
      </c>
      <c r="T3310" s="4">
        <v>3</v>
      </c>
      <c r="V3310" s="5" t="s">
        <v>2227</v>
      </c>
      <c r="W3310" s="5" t="s">
        <v>69</v>
      </c>
      <c r="X3310" s="5" t="s">
        <v>69</v>
      </c>
      <c r="Y3310" s="4">
        <v>1</v>
      </c>
      <c r="Z3310" s="4">
        <v>1</v>
      </c>
      <c r="AA3310" s="4">
        <v>1</v>
      </c>
      <c r="AB3310" s="4">
        <v>1</v>
      </c>
      <c r="AC3310" s="4">
        <v>1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3" t="s">
        <v>63</v>
      </c>
      <c r="AS3310" s="3" t="s">
        <v>63</v>
      </c>
      <c r="AT3310" s="3" t="s">
        <v>63</v>
      </c>
      <c r="AV3310" s="6" t="str">
        <f>HYPERLINK("http://mcgill.on.worldcat.org/oclc/427248317","Catalog Record")</f>
        <v>Catalog Record</v>
      </c>
      <c r="AW3310" s="6" t="str">
        <f>HYPERLINK("http://www.worldcat.org/oclc/427248317","WorldCat Record")</f>
        <v>WorldCat Record</v>
      </c>
      <c r="AX3310" s="3" t="s">
        <v>27720</v>
      </c>
      <c r="AY3310" s="3" t="s">
        <v>27721</v>
      </c>
      <c r="AZ3310" s="3" t="s">
        <v>27722</v>
      </c>
      <c r="BA3310" s="3" t="s">
        <v>27722</v>
      </c>
      <c r="BB3310" s="3" t="s">
        <v>27728</v>
      </c>
      <c r="BC3310" s="3" t="s">
        <v>82</v>
      </c>
      <c r="BD3310" s="3" t="s">
        <v>70</v>
      </c>
      <c r="BF3310" s="3" t="s">
        <v>27728</v>
      </c>
      <c r="BG3310" s="3" t="s">
        <v>27729</v>
      </c>
    </row>
    <row r="3311" spans="1:59" ht="60" x14ac:dyDescent="0.25">
      <c r="A3311" s="2" t="s">
        <v>59</v>
      </c>
      <c r="B3311" s="2" t="s">
        <v>60</v>
      </c>
      <c r="C3311" s="2" t="s">
        <v>27717</v>
      </c>
      <c r="D3311" s="2" t="s">
        <v>27718</v>
      </c>
      <c r="E3311" s="2" t="s">
        <v>16848</v>
      </c>
      <c r="F3311" s="3" t="s">
        <v>1390</v>
      </c>
      <c r="G3311" s="3" t="s">
        <v>62</v>
      </c>
      <c r="I3311" s="3" t="s">
        <v>63</v>
      </c>
      <c r="J3311" s="3" t="s">
        <v>63</v>
      </c>
      <c r="K3311" s="3" t="s">
        <v>64</v>
      </c>
      <c r="L3311" s="2" t="s">
        <v>27710</v>
      </c>
      <c r="M3311" s="2" t="s">
        <v>27719</v>
      </c>
      <c r="N3311" s="3" t="s">
        <v>2182</v>
      </c>
      <c r="P3311" s="3" t="s">
        <v>90</v>
      </c>
      <c r="R3311" s="3" t="s">
        <v>67</v>
      </c>
      <c r="S3311" s="4">
        <v>0</v>
      </c>
      <c r="T3311" s="4">
        <v>3</v>
      </c>
      <c r="V3311" s="5" t="s">
        <v>2227</v>
      </c>
      <c r="W3311" s="5" t="s">
        <v>69</v>
      </c>
      <c r="X3311" s="5" t="s">
        <v>69</v>
      </c>
      <c r="Y3311" s="4">
        <v>1</v>
      </c>
      <c r="Z3311" s="4">
        <v>1</v>
      </c>
      <c r="AA3311" s="4">
        <v>1</v>
      </c>
      <c r="AB3311" s="4">
        <v>1</v>
      </c>
      <c r="AC3311" s="4">
        <v>1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3" t="s">
        <v>63</v>
      </c>
      <c r="AS3311" s="3" t="s">
        <v>63</v>
      </c>
      <c r="AT3311" s="3" t="s">
        <v>63</v>
      </c>
      <c r="AV3311" s="6" t="str">
        <f>HYPERLINK("http://mcgill.on.worldcat.org/oclc/427248317","Catalog Record")</f>
        <v>Catalog Record</v>
      </c>
      <c r="AW3311" s="6" t="str">
        <f>HYPERLINK("http://www.worldcat.org/oclc/427248317","WorldCat Record")</f>
        <v>WorldCat Record</v>
      </c>
      <c r="AX3311" s="3" t="s">
        <v>27720</v>
      </c>
      <c r="AY3311" s="3" t="s">
        <v>27721</v>
      </c>
      <c r="AZ3311" s="3" t="s">
        <v>27722</v>
      </c>
      <c r="BA3311" s="3" t="s">
        <v>27722</v>
      </c>
      <c r="BB3311" s="3" t="s">
        <v>27730</v>
      </c>
      <c r="BC3311" s="3" t="s">
        <v>82</v>
      </c>
      <c r="BD3311" s="3" t="s">
        <v>70</v>
      </c>
      <c r="BF3311" s="3" t="s">
        <v>27730</v>
      </c>
      <c r="BG3311" s="3" t="s">
        <v>27731</v>
      </c>
    </row>
    <row r="3312" spans="1:59" ht="60" x14ac:dyDescent="0.25">
      <c r="A3312" s="2" t="s">
        <v>59</v>
      </c>
      <c r="B3312" s="2" t="s">
        <v>60</v>
      </c>
      <c r="C3312" s="2" t="s">
        <v>27717</v>
      </c>
      <c r="D3312" s="2" t="s">
        <v>27718</v>
      </c>
      <c r="E3312" s="2" t="s">
        <v>16848</v>
      </c>
      <c r="F3312" s="3" t="s">
        <v>61</v>
      </c>
      <c r="G3312" s="3" t="s">
        <v>62</v>
      </c>
      <c r="I3312" s="3" t="s">
        <v>63</v>
      </c>
      <c r="J3312" s="3" t="s">
        <v>63</v>
      </c>
      <c r="K3312" s="3" t="s">
        <v>64</v>
      </c>
      <c r="L3312" s="2" t="s">
        <v>27710</v>
      </c>
      <c r="M3312" s="2" t="s">
        <v>27719</v>
      </c>
      <c r="N3312" s="3" t="s">
        <v>2182</v>
      </c>
      <c r="P3312" s="3" t="s">
        <v>90</v>
      </c>
      <c r="R3312" s="3" t="s">
        <v>67</v>
      </c>
      <c r="S3312" s="4">
        <v>1</v>
      </c>
      <c r="T3312" s="4">
        <v>3</v>
      </c>
      <c r="U3312" s="5" t="s">
        <v>2227</v>
      </c>
      <c r="V3312" s="5" t="s">
        <v>2227</v>
      </c>
      <c r="W3312" s="5" t="s">
        <v>69</v>
      </c>
      <c r="X3312" s="5" t="s">
        <v>69</v>
      </c>
      <c r="Y3312" s="4">
        <v>1</v>
      </c>
      <c r="Z3312" s="4">
        <v>1</v>
      </c>
      <c r="AA3312" s="4">
        <v>1</v>
      </c>
      <c r="AB3312" s="4">
        <v>1</v>
      </c>
      <c r="AC3312" s="4">
        <v>1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3" t="s">
        <v>63</v>
      </c>
      <c r="AS3312" s="3" t="s">
        <v>63</v>
      </c>
      <c r="AT3312" s="3" t="s">
        <v>63</v>
      </c>
      <c r="AV3312" s="6" t="str">
        <f>HYPERLINK("http://mcgill.on.worldcat.org/oclc/427248317","Catalog Record")</f>
        <v>Catalog Record</v>
      </c>
      <c r="AW3312" s="6" t="str">
        <f>HYPERLINK("http://www.worldcat.org/oclc/427248317","WorldCat Record")</f>
        <v>WorldCat Record</v>
      </c>
      <c r="AX3312" s="3" t="s">
        <v>27720</v>
      </c>
      <c r="AY3312" s="3" t="s">
        <v>27721</v>
      </c>
      <c r="AZ3312" s="3" t="s">
        <v>27722</v>
      </c>
      <c r="BA3312" s="3" t="s">
        <v>27722</v>
      </c>
      <c r="BB3312" s="3" t="s">
        <v>27732</v>
      </c>
      <c r="BC3312" s="3" t="s">
        <v>82</v>
      </c>
      <c r="BD3312" s="3" t="s">
        <v>70</v>
      </c>
      <c r="BF3312" s="3" t="s">
        <v>27732</v>
      </c>
      <c r="BG3312" s="3" t="s">
        <v>27733</v>
      </c>
    </row>
    <row r="3313" spans="1:59" ht="60" x14ac:dyDescent="0.25">
      <c r="A3313" s="2" t="s">
        <v>59</v>
      </c>
      <c r="B3313" s="2" t="s">
        <v>60</v>
      </c>
      <c r="C3313" s="2" t="s">
        <v>27717</v>
      </c>
      <c r="D3313" s="2" t="s">
        <v>27718</v>
      </c>
      <c r="E3313" s="2" t="s">
        <v>16848</v>
      </c>
      <c r="F3313" s="3" t="s">
        <v>1095</v>
      </c>
      <c r="G3313" s="3" t="s">
        <v>62</v>
      </c>
      <c r="I3313" s="3" t="s">
        <v>63</v>
      </c>
      <c r="J3313" s="3" t="s">
        <v>63</v>
      </c>
      <c r="K3313" s="3" t="s">
        <v>64</v>
      </c>
      <c r="L3313" s="2" t="s">
        <v>27710</v>
      </c>
      <c r="M3313" s="2" t="s">
        <v>27719</v>
      </c>
      <c r="N3313" s="3" t="s">
        <v>2182</v>
      </c>
      <c r="P3313" s="3" t="s">
        <v>90</v>
      </c>
      <c r="R3313" s="3" t="s">
        <v>67</v>
      </c>
      <c r="S3313" s="4">
        <v>0</v>
      </c>
      <c r="T3313" s="4">
        <v>3</v>
      </c>
      <c r="V3313" s="5" t="s">
        <v>2227</v>
      </c>
      <c r="W3313" s="5" t="s">
        <v>69</v>
      </c>
      <c r="X3313" s="5" t="s">
        <v>69</v>
      </c>
      <c r="Y3313" s="4">
        <v>1</v>
      </c>
      <c r="Z3313" s="4">
        <v>1</v>
      </c>
      <c r="AA3313" s="4">
        <v>1</v>
      </c>
      <c r="AB3313" s="4">
        <v>1</v>
      </c>
      <c r="AC3313" s="4">
        <v>1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3" t="s">
        <v>63</v>
      </c>
      <c r="AS3313" s="3" t="s">
        <v>63</v>
      </c>
      <c r="AT3313" s="3" t="s">
        <v>63</v>
      </c>
      <c r="AV3313" s="6" t="str">
        <f>HYPERLINK("http://mcgill.on.worldcat.org/oclc/427248317","Catalog Record")</f>
        <v>Catalog Record</v>
      </c>
      <c r="AW3313" s="6" t="str">
        <f>HYPERLINK("http://www.worldcat.org/oclc/427248317","WorldCat Record")</f>
        <v>WorldCat Record</v>
      </c>
      <c r="AX3313" s="3" t="s">
        <v>27720</v>
      </c>
      <c r="AY3313" s="3" t="s">
        <v>27721</v>
      </c>
      <c r="AZ3313" s="3" t="s">
        <v>27722</v>
      </c>
      <c r="BA3313" s="3" t="s">
        <v>27722</v>
      </c>
      <c r="BB3313" s="3" t="s">
        <v>27734</v>
      </c>
      <c r="BC3313" s="3" t="s">
        <v>82</v>
      </c>
      <c r="BD3313" s="3" t="s">
        <v>70</v>
      </c>
      <c r="BF3313" s="3" t="s">
        <v>27734</v>
      </c>
      <c r="BG3313" s="3" t="s">
        <v>27735</v>
      </c>
    </row>
    <row r="3314" spans="1:59" ht="60" x14ac:dyDescent="0.25">
      <c r="A3314" s="2" t="s">
        <v>59</v>
      </c>
      <c r="B3314" s="2" t="s">
        <v>60</v>
      </c>
      <c r="C3314" s="2" t="s">
        <v>27707</v>
      </c>
      <c r="D3314" s="2" t="s">
        <v>27708</v>
      </c>
      <c r="E3314" s="2" t="s">
        <v>27709</v>
      </c>
      <c r="G3314" s="3" t="s">
        <v>63</v>
      </c>
      <c r="I3314" s="3" t="s">
        <v>63</v>
      </c>
      <c r="J3314" s="3" t="s">
        <v>63</v>
      </c>
      <c r="K3314" s="3" t="s">
        <v>64</v>
      </c>
      <c r="L3314" s="2" t="s">
        <v>27710</v>
      </c>
      <c r="M3314" s="2" t="s">
        <v>27711</v>
      </c>
      <c r="N3314" s="3" t="s">
        <v>1046</v>
      </c>
      <c r="P3314" s="3" t="s">
        <v>90</v>
      </c>
      <c r="R3314" s="3" t="s">
        <v>67</v>
      </c>
      <c r="S3314" s="4">
        <v>2</v>
      </c>
      <c r="T3314" s="4">
        <v>2</v>
      </c>
      <c r="U3314" s="5" t="s">
        <v>8682</v>
      </c>
      <c r="V3314" s="5" t="s">
        <v>8682</v>
      </c>
      <c r="W3314" s="5" t="s">
        <v>69</v>
      </c>
      <c r="X3314" s="5" t="s">
        <v>69</v>
      </c>
      <c r="Y3314" s="4">
        <v>45</v>
      </c>
      <c r="Z3314" s="4">
        <v>1</v>
      </c>
      <c r="AA3314" s="4">
        <v>1</v>
      </c>
      <c r="AB3314" s="4">
        <v>1</v>
      </c>
      <c r="AC3314" s="4">
        <v>1</v>
      </c>
      <c r="AD3314" s="4">
        <v>22</v>
      </c>
      <c r="AE3314" s="4">
        <v>22</v>
      </c>
      <c r="AF3314" s="4">
        <v>0</v>
      </c>
      <c r="AG3314" s="4">
        <v>0</v>
      </c>
      <c r="AH3314" s="4">
        <v>20</v>
      </c>
      <c r="AI3314" s="4">
        <v>20</v>
      </c>
      <c r="AJ3314" s="4">
        <v>0</v>
      </c>
      <c r="AK3314" s="4">
        <v>0</v>
      </c>
      <c r="AL3314" s="4">
        <v>19</v>
      </c>
      <c r="AM3314" s="4">
        <v>19</v>
      </c>
      <c r="AN3314" s="4">
        <v>0</v>
      </c>
      <c r="AO3314" s="4">
        <v>0</v>
      </c>
      <c r="AP3314" s="4">
        <v>0</v>
      </c>
      <c r="AQ3314" s="4">
        <v>0</v>
      </c>
      <c r="AR3314" s="3" t="s">
        <v>63</v>
      </c>
      <c r="AS3314" s="3" t="s">
        <v>63</v>
      </c>
      <c r="AT3314" s="3" t="s">
        <v>62</v>
      </c>
      <c r="AU3314" s="6" t="str">
        <f>HYPERLINK("http://catalog.hathitrust.org/Record/001728656","HathiTrust Record")</f>
        <v>HathiTrust Record</v>
      </c>
      <c r="AV3314" s="6" t="str">
        <f>HYPERLINK("http://mcgill.on.worldcat.org/oclc/7455312","Catalog Record")</f>
        <v>Catalog Record</v>
      </c>
      <c r="AW3314" s="6" t="str">
        <f>HYPERLINK("http://www.worldcat.org/oclc/7455312","WorldCat Record")</f>
        <v>WorldCat Record</v>
      </c>
      <c r="AX3314" s="3" t="s">
        <v>27712</v>
      </c>
      <c r="AY3314" s="3" t="s">
        <v>27713</v>
      </c>
      <c r="AZ3314" s="3" t="s">
        <v>27714</v>
      </c>
      <c r="BA3314" s="3" t="s">
        <v>27714</v>
      </c>
      <c r="BB3314" s="3" t="s">
        <v>27715</v>
      </c>
      <c r="BC3314" s="3" t="s">
        <v>82</v>
      </c>
      <c r="BD3314" s="3" t="s">
        <v>70</v>
      </c>
      <c r="BF3314" s="3" t="s">
        <v>27715</v>
      </c>
      <c r="BG3314" s="3" t="s">
        <v>27716</v>
      </c>
    </row>
    <row r="3315" spans="1:59" ht="75" x14ac:dyDescent="0.25">
      <c r="A3315" s="2" t="s">
        <v>59</v>
      </c>
      <c r="B3315" s="2" t="s">
        <v>60</v>
      </c>
      <c r="C3315" s="2" t="s">
        <v>27736</v>
      </c>
      <c r="D3315" s="2" t="s">
        <v>27737</v>
      </c>
      <c r="E3315" s="2" t="s">
        <v>27738</v>
      </c>
      <c r="G3315" s="3" t="s">
        <v>63</v>
      </c>
      <c r="I3315" s="3" t="s">
        <v>63</v>
      </c>
      <c r="J3315" s="3" t="s">
        <v>63</v>
      </c>
      <c r="K3315" s="3" t="s">
        <v>64</v>
      </c>
      <c r="L3315" s="2" t="s">
        <v>27739</v>
      </c>
      <c r="M3315" s="2" t="s">
        <v>27740</v>
      </c>
      <c r="N3315" s="3" t="s">
        <v>1418</v>
      </c>
      <c r="P3315" s="3" t="s">
        <v>90</v>
      </c>
      <c r="R3315" s="3" t="s">
        <v>67</v>
      </c>
      <c r="S3315" s="4">
        <v>1</v>
      </c>
      <c r="T3315" s="4">
        <v>1</v>
      </c>
      <c r="U3315" s="5" t="s">
        <v>23277</v>
      </c>
      <c r="V3315" s="5" t="s">
        <v>23277</v>
      </c>
      <c r="W3315" s="5" t="s">
        <v>69</v>
      </c>
      <c r="X3315" s="5" t="s">
        <v>69</v>
      </c>
      <c r="Y3315" s="4">
        <v>94</v>
      </c>
      <c r="Z3315" s="4">
        <v>12</v>
      </c>
      <c r="AA3315" s="4">
        <v>12</v>
      </c>
      <c r="AB3315" s="4">
        <v>2</v>
      </c>
      <c r="AC3315" s="4">
        <v>2</v>
      </c>
      <c r="AD3315" s="4">
        <v>51</v>
      </c>
      <c r="AE3315" s="4">
        <v>51</v>
      </c>
      <c r="AF3315" s="4">
        <v>0</v>
      </c>
      <c r="AG3315" s="4">
        <v>0</v>
      </c>
      <c r="AH3315" s="4">
        <v>48</v>
      </c>
      <c r="AI3315" s="4">
        <v>48</v>
      </c>
      <c r="AJ3315" s="4">
        <v>9</v>
      </c>
      <c r="AK3315" s="4">
        <v>9</v>
      </c>
      <c r="AL3315" s="4">
        <v>31</v>
      </c>
      <c r="AM3315" s="4">
        <v>31</v>
      </c>
      <c r="AN3315" s="4">
        <v>0</v>
      </c>
      <c r="AO3315" s="4">
        <v>0</v>
      </c>
      <c r="AP3315" s="4">
        <v>9</v>
      </c>
      <c r="AQ3315" s="4">
        <v>9</v>
      </c>
      <c r="AR3315" s="3" t="s">
        <v>63</v>
      </c>
      <c r="AS3315" s="3" t="s">
        <v>63</v>
      </c>
      <c r="AT3315" s="3" t="s">
        <v>62</v>
      </c>
      <c r="AU3315" s="6" t="str">
        <f>HYPERLINK("http://catalog.hathitrust.org/Record/000857667","HathiTrust Record")</f>
        <v>HathiTrust Record</v>
      </c>
      <c r="AV3315" s="6" t="str">
        <f>HYPERLINK("http://mcgill.on.worldcat.org/oclc/17241206","Catalog Record")</f>
        <v>Catalog Record</v>
      </c>
      <c r="AW3315" s="6" t="str">
        <f>HYPERLINK("http://www.worldcat.org/oclc/17241206","WorldCat Record")</f>
        <v>WorldCat Record</v>
      </c>
      <c r="AX3315" s="3" t="s">
        <v>27741</v>
      </c>
      <c r="AY3315" s="3" t="s">
        <v>27742</v>
      </c>
      <c r="AZ3315" s="3" t="s">
        <v>27743</v>
      </c>
      <c r="BA3315" s="3" t="s">
        <v>27743</v>
      </c>
      <c r="BB3315" s="3" t="s">
        <v>27744</v>
      </c>
      <c r="BC3315" s="3" t="s">
        <v>82</v>
      </c>
      <c r="BD3315" s="3" t="s">
        <v>70</v>
      </c>
      <c r="BE3315" s="3" t="s">
        <v>27745</v>
      </c>
      <c r="BF3315" s="3" t="s">
        <v>27744</v>
      </c>
      <c r="BG3315" s="3" t="s">
        <v>27746</v>
      </c>
    </row>
    <row r="3316" spans="1:59" ht="75" x14ac:dyDescent="0.25">
      <c r="A3316" s="2" t="s">
        <v>59</v>
      </c>
      <c r="B3316" s="2" t="s">
        <v>60</v>
      </c>
      <c r="C3316" s="2" t="s">
        <v>27747</v>
      </c>
      <c r="D3316" s="2" t="s">
        <v>27748</v>
      </c>
      <c r="E3316" s="2" t="s">
        <v>27749</v>
      </c>
      <c r="F3316" s="3" t="s">
        <v>3650</v>
      </c>
      <c r="G3316" s="3" t="s">
        <v>62</v>
      </c>
      <c r="I3316" s="3" t="s">
        <v>63</v>
      </c>
      <c r="J3316" s="3" t="s">
        <v>63</v>
      </c>
      <c r="K3316" s="3" t="s">
        <v>64</v>
      </c>
      <c r="L3316" s="2" t="s">
        <v>27750</v>
      </c>
      <c r="M3316" s="2" t="s">
        <v>27751</v>
      </c>
      <c r="N3316" s="3" t="s">
        <v>427</v>
      </c>
      <c r="P3316" s="3" t="s">
        <v>90</v>
      </c>
      <c r="R3316" s="3" t="s">
        <v>67</v>
      </c>
      <c r="S3316" s="4">
        <v>12</v>
      </c>
      <c r="T3316" s="4">
        <v>69</v>
      </c>
      <c r="U3316" s="5" t="s">
        <v>27752</v>
      </c>
      <c r="V3316" s="5" t="s">
        <v>27753</v>
      </c>
      <c r="W3316" s="5" t="s">
        <v>69</v>
      </c>
      <c r="X3316" s="5" t="s">
        <v>69</v>
      </c>
      <c r="Y3316" s="4">
        <v>59</v>
      </c>
      <c r="Z3316" s="4">
        <v>5</v>
      </c>
      <c r="AA3316" s="4">
        <v>5</v>
      </c>
      <c r="AB3316" s="4">
        <v>1</v>
      </c>
      <c r="AC3316" s="4">
        <v>1</v>
      </c>
      <c r="AD3316" s="4">
        <v>35</v>
      </c>
      <c r="AE3316" s="4">
        <v>35</v>
      </c>
      <c r="AF3316" s="4">
        <v>0</v>
      </c>
      <c r="AG3316" s="4">
        <v>0</v>
      </c>
      <c r="AH3316" s="4">
        <v>31</v>
      </c>
      <c r="AI3316" s="4">
        <v>31</v>
      </c>
      <c r="AJ3316" s="4">
        <v>3</v>
      </c>
      <c r="AK3316" s="4">
        <v>3</v>
      </c>
      <c r="AL3316" s="4">
        <v>25</v>
      </c>
      <c r="AM3316" s="4">
        <v>25</v>
      </c>
      <c r="AN3316" s="4">
        <v>0</v>
      </c>
      <c r="AO3316" s="4">
        <v>0</v>
      </c>
      <c r="AP3316" s="4">
        <v>3</v>
      </c>
      <c r="AQ3316" s="4">
        <v>3</v>
      </c>
      <c r="AR3316" s="3" t="s">
        <v>63</v>
      </c>
      <c r="AS3316" s="3" t="s">
        <v>63</v>
      </c>
      <c r="AT3316" s="3" t="s">
        <v>62</v>
      </c>
      <c r="AU3316" s="6" t="str">
        <f>HYPERLINK("http://catalog.hathitrust.org/Record/001086359","HathiTrust Record")</f>
        <v>HathiTrust Record</v>
      </c>
      <c r="AV3316" s="6" t="str">
        <f>HYPERLINK("http://mcgill.on.worldcat.org/oclc/18366120","Catalog Record")</f>
        <v>Catalog Record</v>
      </c>
      <c r="AW3316" s="6" t="str">
        <f>HYPERLINK("http://www.worldcat.org/oclc/18366120","WorldCat Record")</f>
        <v>WorldCat Record</v>
      </c>
      <c r="AX3316" s="3" t="s">
        <v>27754</v>
      </c>
      <c r="AY3316" s="3" t="s">
        <v>27755</v>
      </c>
      <c r="AZ3316" s="3" t="s">
        <v>27756</v>
      </c>
      <c r="BA3316" s="3" t="s">
        <v>27756</v>
      </c>
      <c r="BB3316" s="3" t="s">
        <v>27757</v>
      </c>
      <c r="BC3316" s="3" t="s">
        <v>82</v>
      </c>
      <c r="BD3316" s="3" t="s">
        <v>70</v>
      </c>
      <c r="BE3316" s="3" t="s">
        <v>27758</v>
      </c>
      <c r="BF3316" s="3" t="s">
        <v>27757</v>
      </c>
      <c r="BG3316" s="3" t="s">
        <v>27759</v>
      </c>
    </row>
    <row r="3317" spans="1:59" ht="75" x14ac:dyDescent="0.25">
      <c r="A3317" s="2" t="s">
        <v>59</v>
      </c>
      <c r="B3317" s="2" t="s">
        <v>60</v>
      </c>
      <c r="C3317" s="2" t="s">
        <v>27747</v>
      </c>
      <c r="D3317" s="2" t="s">
        <v>27748</v>
      </c>
      <c r="E3317" s="2" t="s">
        <v>27749</v>
      </c>
      <c r="F3317" s="3" t="s">
        <v>3647</v>
      </c>
      <c r="G3317" s="3" t="s">
        <v>62</v>
      </c>
      <c r="I3317" s="3" t="s">
        <v>63</v>
      </c>
      <c r="J3317" s="3" t="s">
        <v>63</v>
      </c>
      <c r="K3317" s="3" t="s">
        <v>64</v>
      </c>
      <c r="L3317" s="2" t="s">
        <v>27750</v>
      </c>
      <c r="M3317" s="2" t="s">
        <v>27751</v>
      </c>
      <c r="N3317" s="3" t="s">
        <v>427</v>
      </c>
      <c r="P3317" s="3" t="s">
        <v>90</v>
      </c>
      <c r="R3317" s="3" t="s">
        <v>67</v>
      </c>
      <c r="S3317" s="4">
        <v>20</v>
      </c>
      <c r="T3317" s="4">
        <v>69</v>
      </c>
      <c r="U3317" s="5" t="s">
        <v>27760</v>
      </c>
      <c r="V3317" s="5" t="s">
        <v>27753</v>
      </c>
      <c r="W3317" s="5" t="s">
        <v>69</v>
      </c>
      <c r="X3317" s="5" t="s">
        <v>69</v>
      </c>
      <c r="Y3317" s="4">
        <v>59</v>
      </c>
      <c r="Z3317" s="4">
        <v>5</v>
      </c>
      <c r="AA3317" s="4">
        <v>5</v>
      </c>
      <c r="AB3317" s="4">
        <v>1</v>
      </c>
      <c r="AC3317" s="4">
        <v>1</v>
      </c>
      <c r="AD3317" s="4">
        <v>35</v>
      </c>
      <c r="AE3317" s="4">
        <v>35</v>
      </c>
      <c r="AF3317" s="4">
        <v>0</v>
      </c>
      <c r="AG3317" s="4">
        <v>0</v>
      </c>
      <c r="AH3317" s="4">
        <v>31</v>
      </c>
      <c r="AI3317" s="4">
        <v>31</v>
      </c>
      <c r="AJ3317" s="4">
        <v>3</v>
      </c>
      <c r="AK3317" s="4">
        <v>3</v>
      </c>
      <c r="AL3317" s="4">
        <v>25</v>
      </c>
      <c r="AM3317" s="4">
        <v>25</v>
      </c>
      <c r="AN3317" s="4">
        <v>0</v>
      </c>
      <c r="AO3317" s="4">
        <v>0</v>
      </c>
      <c r="AP3317" s="4">
        <v>3</v>
      </c>
      <c r="AQ3317" s="4">
        <v>3</v>
      </c>
      <c r="AR3317" s="3" t="s">
        <v>63</v>
      </c>
      <c r="AS3317" s="3" t="s">
        <v>63</v>
      </c>
      <c r="AT3317" s="3" t="s">
        <v>62</v>
      </c>
      <c r="AU3317" s="6" t="str">
        <f>HYPERLINK("http://catalog.hathitrust.org/Record/001086359","HathiTrust Record")</f>
        <v>HathiTrust Record</v>
      </c>
      <c r="AV3317" s="6" t="str">
        <f>HYPERLINK("http://mcgill.on.worldcat.org/oclc/18366120","Catalog Record")</f>
        <v>Catalog Record</v>
      </c>
      <c r="AW3317" s="6" t="str">
        <f>HYPERLINK("http://www.worldcat.org/oclc/18366120","WorldCat Record")</f>
        <v>WorldCat Record</v>
      </c>
      <c r="AX3317" s="3" t="s">
        <v>27754</v>
      </c>
      <c r="AY3317" s="3" t="s">
        <v>27755</v>
      </c>
      <c r="AZ3317" s="3" t="s">
        <v>27756</v>
      </c>
      <c r="BA3317" s="3" t="s">
        <v>27756</v>
      </c>
      <c r="BB3317" s="3" t="s">
        <v>27761</v>
      </c>
      <c r="BC3317" s="3" t="s">
        <v>82</v>
      </c>
      <c r="BD3317" s="3" t="s">
        <v>70</v>
      </c>
      <c r="BE3317" s="3" t="s">
        <v>27758</v>
      </c>
      <c r="BF3317" s="3" t="s">
        <v>27761</v>
      </c>
      <c r="BG3317" s="3" t="s">
        <v>27762</v>
      </c>
    </row>
    <row r="3318" spans="1:59" ht="75" x14ac:dyDescent="0.25">
      <c r="A3318" s="2" t="s">
        <v>59</v>
      </c>
      <c r="B3318" s="2" t="s">
        <v>60</v>
      </c>
      <c r="C3318" s="2" t="s">
        <v>27747</v>
      </c>
      <c r="D3318" s="2" t="s">
        <v>27748</v>
      </c>
      <c r="E3318" s="2" t="s">
        <v>27749</v>
      </c>
      <c r="F3318" s="3" t="s">
        <v>3638</v>
      </c>
      <c r="G3318" s="3" t="s">
        <v>62</v>
      </c>
      <c r="I3318" s="3" t="s">
        <v>63</v>
      </c>
      <c r="J3318" s="3" t="s">
        <v>63</v>
      </c>
      <c r="K3318" s="3" t="s">
        <v>64</v>
      </c>
      <c r="L3318" s="2" t="s">
        <v>27750</v>
      </c>
      <c r="M3318" s="2" t="s">
        <v>27751</v>
      </c>
      <c r="N3318" s="3" t="s">
        <v>427</v>
      </c>
      <c r="P3318" s="3" t="s">
        <v>90</v>
      </c>
      <c r="R3318" s="3" t="s">
        <v>67</v>
      </c>
      <c r="S3318" s="4">
        <v>14</v>
      </c>
      <c r="T3318" s="4">
        <v>69</v>
      </c>
      <c r="U3318" s="5" t="s">
        <v>27753</v>
      </c>
      <c r="V3318" s="5" t="s">
        <v>27753</v>
      </c>
      <c r="W3318" s="5" t="s">
        <v>69</v>
      </c>
      <c r="X3318" s="5" t="s">
        <v>69</v>
      </c>
      <c r="Y3318" s="4">
        <v>59</v>
      </c>
      <c r="Z3318" s="4">
        <v>5</v>
      </c>
      <c r="AA3318" s="4">
        <v>5</v>
      </c>
      <c r="AB3318" s="4">
        <v>1</v>
      </c>
      <c r="AC3318" s="4">
        <v>1</v>
      </c>
      <c r="AD3318" s="4">
        <v>35</v>
      </c>
      <c r="AE3318" s="4">
        <v>35</v>
      </c>
      <c r="AF3318" s="4">
        <v>0</v>
      </c>
      <c r="AG3318" s="4">
        <v>0</v>
      </c>
      <c r="AH3318" s="4">
        <v>31</v>
      </c>
      <c r="AI3318" s="4">
        <v>31</v>
      </c>
      <c r="AJ3318" s="4">
        <v>3</v>
      </c>
      <c r="AK3318" s="4">
        <v>3</v>
      </c>
      <c r="AL3318" s="4">
        <v>25</v>
      </c>
      <c r="AM3318" s="4">
        <v>25</v>
      </c>
      <c r="AN3318" s="4">
        <v>0</v>
      </c>
      <c r="AO3318" s="4">
        <v>0</v>
      </c>
      <c r="AP3318" s="4">
        <v>3</v>
      </c>
      <c r="AQ3318" s="4">
        <v>3</v>
      </c>
      <c r="AR3318" s="3" t="s">
        <v>63</v>
      </c>
      <c r="AS3318" s="3" t="s">
        <v>63</v>
      </c>
      <c r="AT3318" s="3" t="s">
        <v>62</v>
      </c>
      <c r="AU3318" s="6" t="str">
        <f>HYPERLINK("http://catalog.hathitrust.org/Record/001086359","HathiTrust Record")</f>
        <v>HathiTrust Record</v>
      </c>
      <c r="AV3318" s="6" t="str">
        <f>HYPERLINK("http://mcgill.on.worldcat.org/oclc/18366120","Catalog Record")</f>
        <v>Catalog Record</v>
      </c>
      <c r="AW3318" s="6" t="str">
        <f>HYPERLINK("http://www.worldcat.org/oclc/18366120","WorldCat Record")</f>
        <v>WorldCat Record</v>
      </c>
      <c r="AX3318" s="3" t="s">
        <v>27754</v>
      </c>
      <c r="AY3318" s="3" t="s">
        <v>27755</v>
      </c>
      <c r="AZ3318" s="3" t="s">
        <v>27756</v>
      </c>
      <c r="BA3318" s="3" t="s">
        <v>27756</v>
      </c>
      <c r="BB3318" s="3" t="s">
        <v>27763</v>
      </c>
      <c r="BC3318" s="3" t="s">
        <v>82</v>
      </c>
      <c r="BD3318" s="3" t="s">
        <v>70</v>
      </c>
      <c r="BE3318" s="3" t="s">
        <v>27758</v>
      </c>
      <c r="BF3318" s="3" t="s">
        <v>27763</v>
      </c>
      <c r="BG3318" s="3" t="s">
        <v>27764</v>
      </c>
    </row>
    <row r="3319" spans="1:59" ht="75" x14ac:dyDescent="0.25">
      <c r="A3319" s="2" t="s">
        <v>59</v>
      </c>
      <c r="B3319" s="2" t="s">
        <v>60</v>
      </c>
      <c r="C3319" s="2" t="s">
        <v>27747</v>
      </c>
      <c r="D3319" s="2" t="s">
        <v>27748</v>
      </c>
      <c r="E3319" s="2" t="s">
        <v>27749</v>
      </c>
      <c r="F3319" s="3" t="s">
        <v>3653</v>
      </c>
      <c r="G3319" s="3" t="s">
        <v>62</v>
      </c>
      <c r="I3319" s="3" t="s">
        <v>63</v>
      </c>
      <c r="J3319" s="3" t="s">
        <v>63</v>
      </c>
      <c r="K3319" s="3" t="s">
        <v>64</v>
      </c>
      <c r="L3319" s="2" t="s">
        <v>27750</v>
      </c>
      <c r="M3319" s="2" t="s">
        <v>27751</v>
      </c>
      <c r="N3319" s="3" t="s">
        <v>427</v>
      </c>
      <c r="P3319" s="3" t="s">
        <v>90</v>
      </c>
      <c r="R3319" s="3" t="s">
        <v>67</v>
      </c>
      <c r="S3319" s="4">
        <v>23</v>
      </c>
      <c r="T3319" s="4">
        <v>69</v>
      </c>
      <c r="U3319" s="5" t="s">
        <v>27760</v>
      </c>
      <c r="V3319" s="5" t="s">
        <v>27753</v>
      </c>
      <c r="W3319" s="5" t="s">
        <v>69</v>
      </c>
      <c r="X3319" s="5" t="s">
        <v>69</v>
      </c>
      <c r="Y3319" s="4">
        <v>59</v>
      </c>
      <c r="Z3319" s="4">
        <v>5</v>
      </c>
      <c r="AA3319" s="4">
        <v>5</v>
      </c>
      <c r="AB3319" s="4">
        <v>1</v>
      </c>
      <c r="AC3319" s="4">
        <v>1</v>
      </c>
      <c r="AD3319" s="4">
        <v>35</v>
      </c>
      <c r="AE3319" s="4">
        <v>35</v>
      </c>
      <c r="AF3319" s="4">
        <v>0</v>
      </c>
      <c r="AG3319" s="4">
        <v>0</v>
      </c>
      <c r="AH3319" s="4">
        <v>31</v>
      </c>
      <c r="AI3319" s="4">
        <v>31</v>
      </c>
      <c r="AJ3319" s="4">
        <v>3</v>
      </c>
      <c r="AK3319" s="4">
        <v>3</v>
      </c>
      <c r="AL3319" s="4">
        <v>25</v>
      </c>
      <c r="AM3319" s="4">
        <v>25</v>
      </c>
      <c r="AN3319" s="4">
        <v>0</v>
      </c>
      <c r="AO3319" s="4">
        <v>0</v>
      </c>
      <c r="AP3319" s="4">
        <v>3</v>
      </c>
      <c r="AQ3319" s="4">
        <v>3</v>
      </c>
      <c r="AR3319" s="3" t="s">
        <v>63</v>
      </c>
      <c r="AS3319" s="3" t="s">
        <v>63</v>
      </c>
      <c r="AT3319" s="3" t="s">
        <v>62</v>
      </c>
      <c r="AU3319" s="6" t="str">
        <f>HYPERLINK("http://catalog.hathitrust.org/Record/001086359","HathiTrust Record")</f>
        <v>HathiTrust Record</v>
      </c>
      <c r="AV3319" s="6" t="str">
        <f>HYPERLINK("http://mcgill.on.worldcat.org/oclc/18366120","Catalog Record")</f>
        <v>Catalog Record</v>
      </c>
      <c r="AW3319" s="6" t="str">
        <f>HYPERLINK("http://www.worldcat.org/oclc/18366120","WorldCat Record")</f>
        <v>WorldCat Record</v>
      </c>
      <c r="AX3319" s="3" t="s">
        <v>27754</v>
      </c>
      <c r="AY3319" s="3" t="s">
        <v>27755</v>
      </c>
      <c r="AZ3319" s="3" t="s">
        <v>27756</v>
      </c>
      <c r="BA3319" s="3" t="s">
        <v>27756</v>
      </c>
      <c r="BB3319" s="3" t="s">
        <v>27765</v>
      </c>
      <c r="BC3319" s="3" t="s">
        <v>82</v>
      </c>
      <c r="BD3319" s="3" t="s">
        <v>70</v>
      </c>
      <c r="BE3319" s="3" t="s">
        <v>27758</v>
      </c>
      <c r="BF3319" s="3" t="s">
        <v>27765</v>
      </c>
      <c r="BG3319" s="3" t="s">
        <v>27766</v>
      </c>
    </row>
    <row r="3320" spans="1:59" ht="60" x14ac:dyDescent="0.25">
      <c r="A3320" s="2" t="s">
        <v>59</v>
      </c>
      <c r="B3320" s="2" t="s">
        <v>60</v>
      </c>
      <c r="C3320" s="2" t="s">
        <v>27767</v>
      </c>
      <c r="D3320" s="2" t="s">
        <v>27768</v>
      </c>
      <c r="E3320" s="2" t="s">
        <v>27769</v>
      </c>
      <c r="G3320" s="3" t="s">
        <v>63</v>
      </c>
      <c r="I3320" s="3" t="s">
        <v>63</v>
      </c>
      <c r="J3320" s="3" t="s">
        <v>63</v>
      </c>
      <c r="K3320" s="3" t="s">
        <v>64</v>
      </c>
      <c r="L3320" s="2" t="s">
        <v>27750</v>
      </c>
      <c r="M3320" s="2" t="s">
        <v>23710</v>
      </c>
      <c r="N3320" s="3" t="s">
        <v>668</v>
      </c>
      <c r="P3320" s="3" t="s">
        <v>90</v>
      </c>
      <c r="R3320" s="3" t="s">
        <v>67</v>
      </c>
      <c r="S3320" s="4">
        <v>2</v>
      </c>
      <c r="T3320" s="4">
        <v>2</v>
      </c>
      <c r="U3320" s="5" t="s">
        <v>2783</v>
      </c>
      <c r="V3320" s="5" t="s">
        <v>2783</v>
      </c>
      <c r="W3320" s="5" t="s">
        <v>69</v>
      </c>
      <c r="X3320" s="5" t="s">
        <v>69</v>
      </c>
      <c r="Y3320" s="4">
        <v>4</v>
      </c>
      <c r="Z3320" s="4">
        <v>1</v>
      </c>
      <c r="AA3320" s="4">
        <v>2</v>
      </c>
      <c r="AB3320" s="4">
        <v>1</v>
      </c>
      <c r="AC3320" s="4">
        <v>1</v>
      </c>
      <c r="AD3320" s="4">
        <v>1</v>
      </c>
      <c r="AE3320" s="4">
        <v>14</v>
      </c>
      <c r="AF3320" s="4">
        <v>0</v>
      </c>
      <c r="AG3320" s="4">
        <v>0</v>
      </c>
      <c r="AH3320" s="4">
        <v>1</v>
      </c>
      <c r="AI3320" s="4">
        <v>13</v>
      </c>
      <c r="AJ3320" s="4">
        <v>0</v>
      </c>
      <c r="AK3320" s="4">
        <v>1</v>
      </c>
      <c r="AL3320" s="4">
        <v>1</v>
      </c>
      <c r="AM3320" s="4">
        <v>9</v>
      </c>
      <c r="AN3320" s="4">
        <v>0</v>
      </c>
      <c r="AO3320" s="4">
        <v>0</v>
      </c>
      <c r="AP3320" s="4">
        <v>0</v>
      </c>
      <c r="AQ3320" s="4">
        <v>1</v>
      </c>
      <c r="AR3320" s="3" t="s">
        <v>63</v>
      </c>
      <c r="AS3320" s="3" t="s">
        <v>63</v>
      </c>
      <c r="AT3320" s="3" t="s">
        <v>63</v>
      </c>
      <c r="AV3320" s="6" t="str">
        <f>HYPERLINK("http://mcgill.on.worldcat.org/oclc/428004925","Catalog Record")</f>
        <v>Catalog Record</v>
      </c>
      <c r="AW3320" s="6" t="str">
        <f>HYPERLINK("http://www.worldcat.org/oclc/428004925","WorldCat Record")</f>
        <v>WorldCat Record</v>
      </c>
      <c r="AX3320" s="3" t="s">
        <v>27770</v>
      </c>
      <c r="AY3320" s="3" t="s">
        <v>27771</v>
      </c>
      <c r="AZ3320" s="3" t="s">
        <v>27772</v>
      </c>
      <c r="BA3320" s="3" t="s">
        <v>27772</v>
      </c>
      <c r="BB3320" s="3" t="s">
        <v>27773</v>
      </c>
      <c r="BC3320" s="3" t="s">
        <v>82</v>
      </c>
      <c r="BD3320" s="3" t="s">
        <v>70</v>
      </c>
      <c r="BE3320" s="3" t="s">
        <v>27774</v>
      </c>
      <c r="BF3320" s="3" t="s">
        <v>27773</v>
      </c>
      <c r="BG3320" s="3" t="s">
        <v>27775</v>
      </c>
    </row>
    <row r="3321" spans="1:59" ht="60" x14ac:dyDescent="0.25">
      <c r="A3321" s="2" t="s">
        <v>59</v>
      </c>
      <c r="B3321" s="2" t="s">
        <v>60</v>
      </c>
      <c r="C3321" s="2" t="s">
        <v>27776</v>
      </c>
      <c r="D3321" s="2" t="s">
        <v>27777</v>
      </c>
      <c r="E3321" s="2" t="s">
        <v>27778</v>
      </c>
      <c r="G3321" s="3" t="s">
        <v>63</v>
      </c>
      <c r="I3321" s="3" t="s">
        <v>63</v>
      </c>
      <c r="J3321" s="3" t="s">
        <v>63</v>
      </c>
      <c r="K3321" s="3" t="s">
        <v>64</v>
      </c>
      <c r="L3321" s="2" t="s">
        <v>27779</v>
      </c>
      <c r="M3321" s="2" t="s">
        <v>27780</v>
      </c>
      <c r="N3321" s="3" t="s">
        <v>814</v>
      </c>
      <c r="P3321" s="3" t="s">
        <v>66</v>
      </c>
      <c r="R3321" s="3" t="s">
        <v>67</v>
      </c>
      <c r="S3321" s="4">
        <v>21</v>
      </c>
      <c r="T3321" s="4">
        <v>21</v>
      </c>
      <c r="U3321" s="5" t="s">
        <v>13566</v>
      </c>
      <c r="V3321" s="5" t="s">
        <v>13566</v>
      </c>
      <c r="W3321" s="5" t="s">
        <v>69</v>
      </c>
      <c r="X3321" s="5" t="s">
        <v>69</v>
      </c>
      <c r="Y3321" s="4">
        <v>365</v>
      </c>
      <c r="Z3321" s="4">
        <v>28</v>
      </c>
      <c r="AA3321" s="4">
        <v>28</v>
      </c>
      <c r="AB3321" s="4">
        <v>2</v>
      </c>
      <c r="AC3321" s="4">
        <v>2</v>
      </c>
      <c r="AD3321" s="4">
        <v>113</v>
      </c>
      <c r="AE3321" s="4">
        <v>113</v>
      </c>
      <c r="AF3321" s="4">
        <v>1</v>
      </c>
      <c r="AG3321" s="4">
        <v>1</v>
      </c>
      <c r="AH3321" s="4">
        <v>100</v>
      </c>
      <c r="AI3321" s="4">
        <v>100</v>
      </c>
      <c r="AJ3321" s="4">
        <v>21</v>
      </c>
      <c r="AK3321" s="4">
        <v>21</v>
      </c>
      <c r="AL3321" s="4">
        <v>55</v>
      </c>
      <c r="AM3321" s="4">
        <v>55</v>
      </c>
      <c r="AN3321" s="4">
        <v>0</v>
      </c>
      <c r="AO3321" s="4">
        <v>0</v>
      </c>
      <c r="AP3321" s="4">
        <v>20</v>
      </c>
      <c r="AQ3321" s="4">
        <v>20</v>
      </c>
      <c r="AR3321" s="3" t="s">
        <v>63</v>
      </c>
      <c r="AS3321" s="3" t="s">
        <v>63</v>
      </c>
      <c r="AT3321" s="3" t="s">
        <v>62</v>
      </c>
      <c r="AU3321" s="6" t="str">
        <f>HYPERLINK("http://catalog.hathitrust.org/Record/000217199","HathiTrust Record")</f>
        <v>HathiTrust Record</v>
      </c>
      <c r="AV3321" s="6" t="str">
        <f>HYPERLINK("http://mcgill.on.worldcat.org/oclc/4244980","Catalog Record")</f>
        <v>Catalog Record</v>
      </c>
      <c r="AW3321" s="6" t="str">
        <f>HYPERLINK("http://www.worldcat.org/oclc/4244980","WorldCat Record")</f>
        <v>WorldCat Record</v>
      </c>
      <c r="AX3321" s="3" t="s">
        <v>27781</v>
      </c>
      <c r="AY3321" s="3" t="s">
        <v>27782</v>
      </c>
      <c r="AZ3321" s="3" t="s">
        <v>27783</v>
      </c>
      <c r="BA3321" s="3" t="s">
        <v>27783</v>
      </c>
      <c r="BB3321" s="3" t="s">
        <v>27784</v>
      </c>
      <c r="BC3321" s="3" t="s">
        <v>82</v>
      </c>
      <c r="BD3321" s="3" t="s">
        <v>70</v>
      </c>
      <c r="BE3321" s="3" t="s">
        <v>27785</v>
      </c>
      <c r="BF3321" s="3" t="s">
        <v>27784</v>
      </c>
      <c r="BG3321" s="3" t="s">
        <v>27786</v>
      </c>
    </row>
    <row r="3322" spans="1:59" ht="75" x14ac:dyDescent="0.25">
      <c r="A3322" s="2" t="s">
        <v>59</v>
      </c>
      <c r="B3322" s="2" t="s">
        <v>60</v>
      </c>
      <c r="C3322" s="2" t="s">
        <v>27787</v>
      </c>
      <c r="D3322" s="2" t="s">
        <v>27788</v>
      </c>
      <c r="E3322" s="2" t="s">
        <v>27789</v>
      </c>
      <c r="G3322" s="3" t="s">
        <v>63</v>
      </c>
      <c r="I3322" s="3" t="s">
        <v>63</v>
      </c>
      <c r="J3322" s="3" t="s">
        <v>63</v>
      </c>
      <c r="K3322" s="3" t="s">
        <v>64</v>
      </c>
      <c r="L3322" s="2" t="s">
        <v>27790</v>
      </c>
      <c r="M3322" s="2" t="s">
        <v>15255</v>
      </c>
      <c r="N3322" s="3" t="s">
        <v>814</v>
      </c>
      <c r="P3322" s="3" t="s">
        <v>66</v>
      </c>
      <c r="R3322" s="3" t="s">
        <v>67</v>
      </c>
      <c r="S3322" s="4">
        <v>15</v>
      </c>
      <c r="T3322" s="4">
        <v>15</v>
      </c>
      <c r="U3322" s="5" t="s">
        <v>8082</v>
      </c>
      <c r="V3322" s="5" t="s">
        <v>8082</v>
      </c>
      <c r="W3322" s="5" t="s">
        <v>69</v>
      </c>
      <c r="X3322" s="5" t="s">
        <v>69</v>
      </c>
      <c r="Y3322" s="4">
        <v>307</v>
      </c>
      <c r="Z3322" s="4">
        <v>19</v>
      </c>
      <c r="AA3322" s="4">
        <v>19</v>
      </c>
      <c r="AB3322" s="4">
        <v>2</v>
      </c>
      <c r="AC3322" s="4">
        <v>2</v>
      </c>
      <c r="AD3322" s="4">
        <v>103</v>
      </c>
      <c r="AE3322" s="4">
        <v>103</v>
      </c>
      <c r="AF3322" s="4">
        <v>1</v>
      </c>
      <c r="AG3322" s="4">
        <v>1</v>
      </c>
      <c r="AH3322" s="4">
        <v>91</v>
      </c>
      <c r="AI3322" s="4">
        <v>91</v>
      </c>
      <c r="AJ3322" s="4">
        <v>15</v>
      </c>
      <c r="AK3322" s="4">
        <v>15</v>
      </c>
      <c r="AL3322" s="4">
        <v>52</v>
      </c>
      <c r="AM3322" s="4">
        <v>52</v>
      </c>
      <c r="AN3322" s="4">
        <v>0</v>
      </c>
      <c r="AO3322" s="4">
        <v>0</v>
      </c>
      <c r="AP3322" s="4">
        <v>14</v>
      </c>
      <c r="AQ3322" s="4">
        <v>14</v>
      </c>
      <c r="AR3322" s="3" t="s">
        <v>63</v>
      </c>
      <c r="AS3322" s="3" t="s">
        <v>63</v>
      </c>
      <c r="AT3322" s="3" t="s">
        <v>63</v>
      </c>
      <c r="AV3322" s="6" t="str">
        <f>HYPERLINK("http://mcgill.on.worldcat.org/oclc/4265324","Catalog Record")</f>
        <v>Catalog Record</v>
      </c>
      <c r="AW3322" s="6" t="str">
        <f>HYPERLINK("http://www.worldcat.org/oclc/4265324","WorldCat Record")</f>
        <v>WorldCat Record</v>
      </c>
      <c r="AX3322" s="3" t="s">
        <v>27791</v>
      </c>
      <c r="AY3322" s="3" t="s">
        <v>27792</v>
      </c>
      <c r="AZ3322" s="3" t="s">
        <v>27793</v>
      </c>
      <c r="BA3322" s="3" t="s">
        <v>27793</v>
      </c>
      <c r="BB3322" s="3" t="s">
        <v>27794</v>
      </c>
      <c r="BC3322" s="3" t="s">
        <v>82</v>
      </c>
      <c r="BD3322" s="3" t="s">
        <v>70</v>
      </c>
      <c r="BE3322" s="3" t="s">
        <v>27795</v>
      </c>
      <c r="BF3322" s="3" t="s">
        <v>27794</v>
      </c>
      <c r="BG3322" s="3" t="s">
        <v>27796</v>
      </c>
    </row>
    <row r="3323" spans="1:59" ht="75" x14ac:dyDescent="0.25">
      <c r="A3323" s="2" t="s">
        <v>59</v>
      </c>
      <c r="B3323" s="2" t="s">
        <v>60</v>
      </c>
      <c r="C3323" s="2" t="s">
        <v>27797</v>
      </c>
      <c r="D3323" s="2" t="s">
        <v>27798</v>
      </c>
      <c r="E3323" s="2" t="s">
        <v>27799</v>
      </c>
      <c r="G3323" s="3" t="s">
        <v>63</v>
      </c>
      <c r="I3323" s="3" t="s">
        <v>63</v>
      </c>
      <c r="J3323" s="3" t="s">
        <v>63</v>
      </c>
      <c r="K3323" s="3" t="s">
        <v>64</v>
      </c>
      <c r="L3323" s="2" t="s">
        <v>27790</v>
      </c>
      <c r="M3323" s="2" t="s">
        <v>4325</v>
      </c>
      <c r="N3323" s="3" t="s">
        <v>1226</v>
      </c>
      <c r="P3323" s="3" t="s">
        <v>66</v>
      </c>
      <c r="R3323" s="3" t="s">
        <v>67</v>
      </c>
      <c r="S3323" s="4">
        <v>10</v>
      </c>
      <c r="T3323" s="4">
        <v>10</v>
      </c>
      <c r="U3323" s="5" t="s">
        <v>27800</v>
      </c>
      <c r="V3323" s="5" t="s">
        <v>27800</v>
      </c>
      <c r="W3323" s="5" t="s">
        <v>69</v>
      </c>
      <c r="X3323" s="5" t="s">
        <v>69</v>
      </c>
      <c r="Y3323" s="4">
        <v>220</v>
      </c>
      <c r="Z3323" s="4">
        <v>15</v>
      </c>
      <c r="AA3323" s="4">
        <v>15</v>
      </c>
      <c r="AB3323" s="4">
        <v>1</v>
      </c>
      <c r="AC3323" s="4">
        <v>1</v>
      </c>
      <c r="AD3323" s="4">
        <v>64</v>
      </c>
      <c r="AE3323" s="4">
        <v>64</v>
      </c>
      <c r="AF3323" s="4">
        <v>0</v>
      </c>
      <c r="AG3323" s="4">
        <v>0</v>
      </c>
      <c r="AH3323" s="4">
        <v>61</v>
      </c>
      <c r="AI3323" s="4">
        <v>61</v>
      </c>
      <c r="AJ3323" s="4">
        <v>6</v>
      </c>
      <c r="AK3323" s="4">
        <v>6</v>
      </c>
      <c r="AL3323" s="4">
        <v>44</v>
      </c>
      <c r="AM3323" s="4">
        <v>44</v>
      </c>
      <c r="AN3323" s="4">
        <v>0</v>
      </c>
      <c r="AO3323" s="4">
        <v>0</v>
      </c>
      <c r="AP3323" s="4">
        <v>6</v>
      </c>
      <c r="AQ3323" s="4">
        <v>6</v>
      </c>
      <c r="AR3323" s="3" t="s">
        <v>63</v>
      </c>
      <c r="AS3323" s="3" t="s">
        <v>63</v>
      </c>
      <c r="AT3323" s="3" t="s">
        <v>62</v>
      </c>
      <c r="AU3323" s="6" t="str">
        <f>HYPERLINK("http://catalog.hathitrust.org/Record/004324850","HathiTrust Record")</f>
        <v>HathiTrust Record</v>
      </c>
      <c r="AV3323" s="6" t="str">
        <f>HYPERLINK("http://mcgill.on.worldcat.org/oclc/51270878","Catalog Record")</f>
        <v>Catalog Record</v>
      </c>
      <c r="AW3323" s="6" t="str">
        <f>HYPERLINK("http://www.worldcat.org/oclc/51270878","WorldCat Record")</f>
        <v>WorldCat Record</v>
      </c>
      <c r="AX3323" s="3" t="s">
        <v>27801</v>
      </c>
      <c r="AY3323" s="3" t="s">
        <v>27802</v>
      </c>
      <c r="AZ3323" s="3" t="s">
        <v>27803</v>
      </c>
      <c r="BA3323" s="3" t="s">
        <v>27803</v>
      </c>
      <c r="BB3323" s="3" t="s">
        <v>27804</v>
      </c>
      <c r="BC3323" s="3" t="s">
        <v>82</v>
      </c>
      <c r="BD3323" s="3" t="s">
        <v>538</v>
      </c>
      <c r="BE3323" s="3" t="s">
        <v>27805</v>
      </c>
      <c r="BF3323" s="3" t="s">
        <v>27804</v>
      </c>
      <c r="BG3323" s="3" t="s">
        <v>27806</v>
      </c>
    </row>
    <row r="3324" spans="1:59" ht="75" x14ac:dyDescent="0.25">
      <c r="A3324" s="2" t="s">
        <v>59</v>
      </c>
      <c r="B3324" s="2" t="s">
        <v>60</v>
      </c>
      <c r="C3324" s="2" t="s">
        <v>27807</v>
      </c>
      <c r="D3324" s="2" t="s">
        <v>27808</v>
      </c>
      <c r="E3324" s="2" t="s">
        <v>27809</v>
      </c>
      <c r="G3324" s="3" t="s">
        <v>63</v>
      </c>
      <c r="I3324" s="3" t="s">
        <v>63</v>
      </c>
      <c r="J3324" s="3" t="s">
        <v>62</v>
      </c>
      <c r="K3324" s="3" t="s">
        <v>64</v>
      </c>
      <c r="L3324" s="2" t="s">
        <v>27790</v>
      </c>
      <c r="M3324" s="2" t="s">
        <v>4873</v>
      </c>
      <c r="N3324" s="3" t="s">
        <v>1023</v>
      </c>
      <c r="P3324" s="3" t="s">
        <v>66</v>
      </c>
      <c r="Q3324" s="2" t="s">
        <v>8874</v>
      </c>
      <c r="R3324" s="3" t="s">
        <v>67</v>
      </c>
      <c r="S3324" s="4">
        <v>2</v>
      </c>
      <c r="T3324" s="4">
        <v>2</v>
      </c>
      <c r="U3324" s="5" t="s">
        <v>14053</v>
      </c>
      <c r="V3324" s="5" t="s">
        <v>14053</v>
      </c>
      <c r="W3324" s="5" t="s">
        <v>69</v>
      </c>
      <c r="X3324" s="5" t="s">
        <v>69</v>
      </c>
      <c r="Y3324" s="4">
        <v>143</v>
      </c>
      <c r="Z3324" s="4">
        <v>13</v>
      </c>
      <c r="AA3324" s="4">
        <v>40</v>
      </c>
      <c r="AB3324" s="4">
        <v>2</v>
      </c>
      <c r="AC3324" s="4">
        <v>3</v>
      </c>
      <c r="AD3324" s="4">
        <v>36</v>
      </c>
      <c r="AE3324" s="4">
        <v>126</v>
      </c>
      <c r="AF3324" s="4">
        <v>0</v>
      </c>
      <c r="AG3324" s="4">
        <v>1</v>
      </c>
      <c r="AH3324" s="4">
        <v>33</v>
      </c>
      <c r="AI3324" s="4">
        <v>108</v>
      </c>
      <c r="AJ3324" s="4">
        <v>5</v>
      </c>
      <c r="AK3324" s="4">
        <v>19</v>
      </c>
      <c r="AL3324" s="4">
        <v>19</v>
      </c>
      <c r="AM3324" s="4">
        <v>61</v>
      </c>
      <c r="AN3324" s="4">
        <v>0</v>
      </c>
      <c r="AO3324" s="4">
        <v>0</v>
      </c>
      <c r="AP3324" s="4">
        <v>7</v>
      </c>
      <c r="AQ3324" s="4">
        <v>23</v>
      </c>
      <c r="AR3324" s="3" t="s">
        <v>63</v>
      </c>
      <c r="AS3324" s="3" t="s">
        <v>63</v>
      </c>
      <c r="AT3324" s="3" t="s">
        <v>63</v>
      </c>
      <c r="AV3324" s="6" t="str">
        <f>HYPERLINK("http://mcgill.on.worldcat.org/oclc/29636383","Catalog Record")</f>
        <v>Catalog Record</v>
      </c>
      <c r="AW3324" s="6" t="str">
        <f>HYPERLINK("http://www.worldcat.org/oclc/29636383","WorldCat Record")</f>
        <v>WorldCat Record</v>
      </c>
      <c r="AX3324" s="3" t="s">
        <v>27810</v>
      </c>
      <c r="AY3324" s="3" t="s">
        <v>27811</v>
      </c>
      <c r="AZ3324" s="3" t="s">
        <v>27812</v>
      </c>
      <c r="BA3324" s="3" t="s">
        <v>27812</v>
      </c>
      <c r="BB3324" s="3" t="s">
        <v>27813</v>
      </c>
      <c r="BC3324" s="3" t="s">
        <v>82</v>
      </c>
      <c r="BD3324" s="3" t="s">
        <v>70</v>
      </c>
      <c r="BE3324" s="3" t="s">
        <v>27814</v>
      </c>
      <c r="BF3324" s="3" t="s">
        <v>27813</v>
      </c>
      <c r="BG3324" s="3" t="s">
        <v>27815</v>
      </c>
    </row>
    <row r="3325" spans="1:59" ht="90" x14ac:dyDescent="0.25">
      <c r="A3325" s="2" t="s">
        <v>59</v>
      </c>
      <c r="B3325" s="2" t="s">
        <v>60</v>
      </c>
      <c r="C3325" s="2" t="s">
        <v>27816</v>
      </c>
      <c r="D3325" s="2" t="s">
        <v>27817</v>
      </c>
      <c r="E3325" s="2" t="s">
        <v>27818</v>
      </c>
      <c r="G3325" s="3" t="s">
        <v>63</v>
      </c>
      <c r="I3325" s="3" t="s">
        <v>63</v>
      </c>
      <c r="J3325" s="3" t="s">
        <v>62</v>
      </c>
      <c r="K3325" s="3" t="s">
        <v>64</v>
      </c>
      <c r="L3325" s="2" t="s">
        <v>27790</v>
      </c>
      <c r="M3325" s="2" t="s">
        <v>24775</v>
      </c>
      <c r="N3325" s="3" t="s">
        <v>326</v>
      </c>
      <c r="P3325" s="3" t="s">
        <v>66</v>
      </c>
      <c r="Q3325" s="2" t="s">
        <v>20292</v>
      </c>
      <c r="R3325" s="3" t="s">
        <v>67</v>
      </c>
      <c r="S3325" s="4">
        <v>6</v>
      </c>
      <c r="T3325" s="4">
        <v>6</v>
      </c>
      <c r="U3325" s="5" t="s">
        <v>24991</v>
      </c>
      <c r="V3325" s="5" t="s">
        <v>24991</v>
      </c>
      <c r="W3325" s="5" t="s">
        <v>69</v>
      </c>
      <c r="X3325" s="5" t="s">
        <v>69</v>
      </c>
      <c r="Y3325" s="4">
        <v>176</v>
      </c>
      <c r="Z3325" s="4">
        <v>14</v>
      </c>
      <c r="AA3325" s="4">
        <v>40</v>
      </c>
      <c r="AB3325" s="4">
        <v>1</v>
      </c>
      <c r="AC3325" s="4">
        <v>3</v>
      </c>
      <c r="AD3325" s="4">
        <v>50</v>
      </c>
      <c r="AE3325" s="4">
        <v>126</v>
      </c>
      <c r="AF3325" s="4">
        <v>0</v>
      </c>
      <c r="AG3325" s="4">
        <v>1</v>
      </c>
      <c r="AH3325" s="4">
        <v>46</v>
      </c>
      <c r="AI3325" s="4">
        <v>108</v>
      </c>
      <c r="AJ3325" s="4">
        <v>7</v>
      </c>
      <c r="AK3325" s="4">
        <v>19</v>
      </c>
      <c r="AL3325" s="4">
        <v>30</v>
      </c>
      <c r="AM3325" s="4">
        <v>61</v>
      </c>
      <c r="AN3325" s="4">
        <v>0</v>
      </c>
      <c r="AO3325" s="4">
        <v>0</v>
      </c>
      <c r="AP3325" s="4">
        <v>9</v>
      </c>
      <c r="AQ3325" s="4">
        <v>23</v>
      </c>
      <c r="AR3325" s="3" t="s">
        <v>63</v>
      </c>
      <c r="AS3325" s="3" t="s">
        <v>63</v>
      </c>
      <c r="AT3325" s="3" t="s">
        <v>63</v>
      </c>
      <c r="AV3325" s="6" t="str">
        <f>HYPERLINK("http://mcgill.on.worldcat.org/oclc/244056868","Catalog Record")</f>
        <v>Catalog Record</v>
      </c>
      <c r="AW3325" s="6" t="str">
        <f>HYPERLINK("http://www.worldcat.org/oclc/244056868","WorldCat Record")</f>
        <v>WorldCat Record</v>
      </c>
      <c r="AX3325" s="3" t="s">
        <v>27810</v>
      </c>
      <c r="AY3325" s="3" t="s">
        <v>27819</v>
      </c>
      <c r="AZ3325" s="3" t="s">
        <v>27820</v>
      </c>
      <c r="BA3325" s="3" t="s">
        <v>27820</v>
      </c>
      <c r="BB3325" s="3" t="s">
        <v>27821</v>
      </c>
      <c r="BC3325" s="3" t="s">
        <v>82</v>
      </c>
      <c r="BD3325" s="3" t="s">
        <v>70</v>
      </c>
      <c r="BE3325" s="3" t="s">
        <v>27822</v>
      </c>
      <c r="BF3325" s="3" t="s">
        <v>27821</v>
      </c>
      <c r="BG3325" s="3" t="s">
        <v>27823</v>
      </c>
    </row>
    <row r="3326" spans="1:59" ht="75" x14ac:dyDescent="0.25">
      <c r="A3326" s="2" t="s">
        <v>59</v>
      </c>
      <c r="B3326" s="2" t="s">
        <v>60</v>
      </c>
      <c r="C3326" s="2" t="s">
        <v>27824</v>
      </c>
      <c r="D3326" s="2" t="s">
        <v>27825</v>
      </c>
      <c r="E3326" s="2" t="s">
        <v>27826</v>
      </c>
      <c r="G3326" s="3" t="s">
        <v>63</v>
      </c>
      <c r="I3326" s="3" t="s">
        <v>63</v>
      </c>
      <c r="J3326" s="3" t="s">
        <v>63</v>
      </c>
      <c r="K3326" s="3" t="s">
        <v>64</v>
      </c>
      <c r="L3326" s="2" t="s">
        <v>27790</v>
      </c>
      <c r="M3326" s="2" t="s">
        <v>27827</v>
      </c>
      <c r="N3326" s="3" t="s">
        <v>1343</v>
      </c>
      <c r="P3326" s="3" t="s">
        <v>90</v>
      </c>
      <c r="R3326" s="3" t="s">
        <v>67</v>
      </c>
      <c r="S3326" s="4">
        <v>9</v>
      </c>
      <c r="T3326" s="4">
        <v>9</v>
      </c>
      <c r="U3326" s="5" t="s">
        <v>24991</v>
      </c>
      <c r="V3326" s="5" t="s">
        <v>24991</v>
      </c>
      <c r="W3326" s="5" t="s">
        <v>69</v>
      </c>
      <c r="X3326" s="5" t="s">
        <v>69</v>
      </c>
      <c r="Y3326" s="4">
        <v>71</v>
      </c>
      <c r="Z3326" s="4">
        <v>4</v>
      </c>
      <c r="AA3326" s="4">
        <v>4</v>
      </c>
      <c r="AB3326" s="4">
        <v>2</v>
      </c>
      <c r="AC3326" s="4">
        <v>2</v>
      </c>
      <c r="AD3326" s="4">
        <v>43</v>
      </c>
      <c r="AE3326" s="4">
        <v>43</v>
      </c>
      <c r="AF3326" s="4">
        <v>0</v>
      </c>
      <c r="AG3326" s="4">
        <v>0</v>
      </c>
      <c r="AH3326" s="4">
        <v>41</v>
      </c>
      <c r="AI3326" s="4">
        <v>41</v>
      </c>
      <c r="AJ3326" s="4">
        <v>1</v>
      </c>
      <c r="AK3326" s="4">
        <v>1</v>
      </c>
      <c r="AL3326" s="4">
        <v>33</v>
      </c>
      <c r="AM3326" s="4">
        <v>33</v>
      </c>
      <c r="AN3326" s="4">
        <v>0</v>
      </c>
      <c r="AO3326" s="4">
        <v>0</v>
      </c>
      <c r="AP3326" s="4">
        <v>1</v>
      </c>
      <c r="AQ3326" s="4">
        <v>1</v>
      </c>
      <c r="AR3326" s="3" t="s">
        <v>63</v>
      </c>
      <c r="AS3326" s="3" t="s">
        <v>63</v>
      </c>
      <c r="AT3326" s="3" t="s">
        <v>63</v>
      </c>
      <c r="AV3326" s="6" t="str">
        <f>HYPERLINK("http://mcgill.on.worldcat.org/oclc/46656454","Catalog Record")</f>
        <v>Catalog Record</v>
      </c>
      <c r="AW3326" s="6" t="str">
        <f>HYPERLINK("http://www.worldcat.org/oclc/46656454","WorldCat Record")</f>
        <v>WorldCat Record</v>
      </c>
      <c r="AX3326" s="3" t="s">
        <v>27828</v>
      </c>
      <c r="AY3326" s="3" t="s">
        <v>27829</v>
      </c>
      <c r="AZ3326" s="3" t="s">
        <v>27830</v>
      </c>
      <c r="BA3326" s="3" t="s">
        <v>27830</v>
      </c>
      <c r="BB3326" s="3" t="s">
        <v>27831</v>
      </c>
      <c r="BC3326" s="3" t="s">
        <v>82</v>
      </c>
      <c r="BD3326" s="3" t="s">
        <v>70</v>
      </c>
      <c r="BE3326" s="3" t="s">
        <v>27832</v>
      </c>
      <c r="BF3326" s="3" t="s">
        <v>27831</v>
      </c>
      <c r="BG3326" s="3" t="s">
        <v>27833</v>
      </c>
    </row>
    <row r="3327" spans="1:59" ht="75" x14ac:dyDescent="0.25">
      <c r="A3327" s="2" t="s">
        <v>59</v>
      </c>
      <c r="B3327" s="2" t="s">
        <v>60</v>
      </c>
      <c r="C3327" s="2" t="s">
        <v>27834</v>
      </c>
      <c r="D3327" s="2" t="s">
        <v>27835</v>
      </c>
      <c r="E3327" s="2" t="s">
        <v>27836</v>
      </c>
      <c r="G3327" s="3" t="s">
        <v>63</v>
      </c>
      <c r="I3327" s="3" t="s">
        <v>63</v>
      </c>
      <c r="J3327" s="3" t="s">
        <v>63</v>
      </c>
      <c r="K3327" s="3" t="s">
        <v>64</v>
      </c>
      <c r="L3327" s="2" t="s">
        <v>27837</v>
      </c>
      <c r="M3327" s="2" t="s">
        <v>5799</v>
      </c>
      <c r="N3327" s="3" t="s">
        <v>313</v>
      </c>
      <c r="P3327" s="3" t="s">
        <v>90</v>
      </c>
      <c r="Q3327" s="2" t="s">
        <v>13837</v>
      </c>
      <c r="R3327" s="3" t="s">
        <v>67</v>
      </c>
      <c r="S3327" s="4">
        <v>2</v>
      </c>
      <c r="T3327" s="4">
        <v>2</v>
      </c>
      <c r="U3327" s="5" t="s">
        <v>27838</v>
      </c>
      <c r="V3327" s="5" t="s">
        <v>27838</v>
      </c>
      <c r="W3327" s="5" t="s">
        <v>69</v>
      </c>
      <c r="X3327" s="5" t="s">
        <v>69</v>
      </c>
      <c r="Y3327" s="4">
        <v>15</v>
      </c>
      <c r="Z3327" s="4">
        <v>1</v>
      </c>
      <c r="AA3327" s="4">
        <v>1</v>
      </c>
      <c r="AB3327" s="4">
        <v>1</v>
      </c>
      <c r="AC3327" s="4">
        <v>1</v>
      </c>
      <c r="AD3327" s="4">
        <v>11</v>
      </c>
      <c r="AE3327" s="4">
        <v>11</v>
      </c>
      <c r="AF3327" s="4">
        <v>0</v>
      </c>
      <c r="AG3327" s="4">
        <v>0</v>
      </c>
      <c r="AH3327" s="4">
        <v>10</v>
      </c>
      <c r="AI3327" s="4">
        <v>10</v>
      </c>
      <c r="AJ3327" s="4">
        <v>0</v>
      </c>
      <c r="AK3327" s="4">
        <v>0</v>
      </c>
      <c r="AL3327" s="4">
        <v>11</v>
      </c>
      <c r="AM3327" s="4">
        <v>11</v>
      </c>
      <c r="AN3327" s="4">
        <v>0</v>
      </c>
      <c r="AO3327" s="4">
        <v>0</v>
      </c>
      <c r="AP3327" s="4">
        <v>0</v>
      </c>
      <c r="AQ3327" s="4">
        <v>0</v>
      </c>
      <c r="AR3327" s="3" t="s">
        <v>63</v>
      </c>
      <c r="AS3327" s="3" t="s">
        <v>63</v>
      </c>
      <c r="AT3327" s="3" t="s">
        <v>63</v>
      </c>
      <c r="AV3327" s="6" t="str">
        <f>HYPERLINK("http://mcgill.on.worldcat.org/oclc/691857362","Catalog Record")</f>
        <v>Catalog Record</v>
      </c>
      <c r="AW3327" s="6" t="str">
        <f>HYPERLINK("http://www.worldcat.org/oclc/691857362","WorldCat Record")</f>
        <v>WorldCat Record</v>
      </c>
      <c r="AX3327" s="3" t="s">
        <v>27839</v>
      </c>
      <c r="AY3327" s="3" t="s">
        <v>27840</v>
      </c>
      <c r="AZ3327" s="3" t="s">
        <v>27841</v>
      </c>
      <c r="BA3327" s="3" t="s">
        <v>27841</v>
      </c>
      <c r="BB3327" s="3" t="s">
        <v>27842</v>
      </c>
      <c r="BC3327" s="3" t="s">
        <v>82</v>
      </c>
      <c r="BD3327" s="3" t="s">
        <v>70</v>
      </c>
      <c r="BE3327" s="3" t="s">
        <v>27843</v>
      </c>
      <c r="BF3327" s="3" t="s">
        <v>27842</v>
      </c>
      <c r="BG3327" s="3" t="s">
        <v>27844</v>
      </c>
    </row>
    <row r="3328" spans="1:59" ht="75" x14ac:dyDescent="0.25">
      <c r="A3328" s="2" t="s">
        <v>59</v>
      </c>
      <c r="B3328" s="2" t="s">
        <v>60</v>
      </c>
      <c r="C3328" s="2" t="s">
        <v>27845</v>
      </c>
      <c r="D3328" s="2" t="s">
        <v>27846</v>
      </c>
      <c r="E3328" s="2" t="s">
        <v>27847</v>
      </c>
      <c r="G3328" s="3" t="s">
        <v>63</v>
      </c>
      <c r="I3328" s="3" t="s">
        <v>63</v>
      </c>
      <c r="J3328" s="3" t="s">
        <v>63</v>
      </c>
      <c r="K3328" s="3" t="s">
        <v>64</v>
      </c>
      <c r="L3328" s="2" t="s">
        <v>27848</v>
      </c>
      <c r="M3328" s="2" t="s">
        <v>1948</v>
      </c>
      <c r="N3328" s="3" t="s">
        <v>326</v>
      </c>
      <c r="P3328" s="3" t="s">
        <v>66</v>
      </c>
      <c r="Q3328" s="2" t="s">
        <v>1949</v>
      </c>
      <c r="R3328" s="3" t="s">
        <v>67</v>
      </c>
      <c r="S3328" s="4">
        <v>10</v>
      </c>
      <c r="T3328" s="4">
        <v>10</v>
      </c>
      <c r="U3328" s="5" t="s">
        <v>19559</v>
      </c>
      <c r="V3328" s="5" t="s">
        <v>19559</v>
      </c>
      <c r="W3328" s="5" t="s">
        <v>69</v>
      </c>
      <c r="X3328" s="5" t="s">
        <v>69</v>
      </c>
      <c r="Y3328" s="4">
        <v>181</v>
      </c>
      <c r="Z3328" s="4">
        <v>15</v>
      </c>
      <c r="AA3328" s="4">
        <v>103</v>
      </c>
      <c r="AB3328" s="4">
        <v>2</v>
      </c>
      <c r="AC3328" s="4">
        <v>21</v>
      </c>
      <c r="AD3328" s="4">
        <v>75</v>
      </c>
      <c r="AE3328" s="4">
        <v>137</v>
      </c>
      <c r="AF3328" s="4">
        <v>0</v>
      </c>
      <c r="AG3328" s="4">
        <v>8</v>
      </c>
      <c r="AH3328" s="4">
        <v>70</v>
      </c>
      <c r="AI3328" s="4">
        <v>97</v>
      </c>
      <c r="AJ3328" s="4">
        <v>11</v>
      </c>
      <c r="AK3328" s="4">
        <v>24</v>
      </c>
      <c r="AL3328" s="4">
        <v>48</v>
      </c>
      <c r="AM3328" s="4">
        <v>56</v>
      </c>
      <c r="AN3328" s="4">
        <v>0</v>
      </c>
      <c r="AO3328" s="4">
        <v>0</v>
      </c>
      <c r="AP3328" s="4">
        <v>11</v>
      </c>
      <c r="AQ3328" s="4">
        <v>47</v>
      </c>
      <c r="AR3328" s="3" t="s">
        <v>63</v>
      </c>
      <c r="AS3328" s="3" t="s">
        <v>63</v>
      </c>
      <c r="AT3328" s="3" t="s">
        <v>62</v>
      </c>
      <c r="AU3328" s="6" t="str">
        <f>HYPERLINK("http://catalog.hathitrust.org/Record/006795535","HathiTrust Record")</f>
        <v>HathiTrust Record</v>
      </c>
      <c r="AV3328" s="6" t="str">
        <f>HYPERLINK("http://mcgill.on.worldcat.org/oclc/317118344","Catalog Record")</f>
        <v>Catalog Record</v>
      </c>
      <c r="AW3328" s="6" t="str">
        <f>HYPERLINK("http://www.worldcat.org/oclc/317118344","WorldCat Record")</f>
        <v>WorldCat Record</v>
      </c>
      <c r="AX3328" s="3" t="s">
        <v>27849</v>
      </c>
      <c r="AY3328" s="3" t="s">
        <v>27850</v>
      </c>
      <c r="AZ3328" s="3" t="s">
        <v>27851</v>
      </c>
      <c r="BA3328" s="3" t="s">
        <v>27851</v>
      </c>
      <c r="BB3328" s="3" t="s">
        <v>27852</v>
      </c>
      <c r="BC3328" s="3" t="s">
        <v>82</v>
      </c>
      <c r="BD3328" s="3" t="s">
        <v>538</v>
      </c>
      <c r="BE3328" s="3" t="s">
        <v>27853</v>
      </c>
      <c r="BF3328" s="3" t="s">
        <v>27852</v>
      </c>
      <c r="BG3328" s="3" t="s">
        <v>27854</v>
      </c>
    </row>
    <row r="3329" spans="1:59" ht="75" x14ac:dyDescent="0.25">
      <c r="A3329" s="2" t="s">
        <v>59</v>
      </c>
      <c r="B3329" s="2" t="s">
        <v>60</v>
      </c>
      <c r="C3329" s="2" t="s">
        <v>27855</v>
      </c>
      <c r="D3329" s="2" t="s">
        <v>27856</v>
      </c>
      <c r="E3329" s="2" t="s">
        <v>27857</v>
      </c>
      <c r="G3329" s="3" t="s">
        <v>63</v>
      </c>
      <c r="I3329" s="3" t="s">
        <v>63</v>
      </c>
      <c r="J3329" s="3" t="s">
        <v>63</v>
      </c>
      <c r="K3329" s="3" t="s">
        <v>64</v>
      </c>
      <c r="L3329" s="2" t="s">
        <v>27790</v>
      </c>
      <c r="M3329" s="2" t="s">
        <v>27858</v>
      </c>
      <c r="N3329" s="3" t="s">
        <v>362</v>
      </c>
      <c r="P3329" s="3" t="s">
        <v>66</v>
      </c>
      <c r="R3329" s="3" t="s">
        <v>67</v>
      </c>
      <c r="S3329" s="4">
        <v>10</v>
      </c>
      <c r="T3329" s="4">
        <v>10</v>
      </c>
      <c r="U3329" s="5" t="s">
        <v>12843</v>
      </c>
      <c r="V3329" s="5" t="s">
        <v>12843</v>
      </c>
      <c r="W3329" s="5" t="s">
        <v>69</v>
      </c>
      <c r="X3329" s="5" t="s">
        <v>69</v>
      </c>
      <c r="Y3329" s="4">
        <v>201</v>
      </c>
      <c r="Z3329" s="4">
        <v>15</v>
      </c>
      <c r="AA3329" s="4">
        <v>23</v>
      </c>
      <c r="AB3329" s="4">
        <v>2</v>
      </c>
      <c r="AC3329" s="4">
        <v>2</v>
      </c>
      <c r="AD3329" s="4">
        <v>88</v>
      </c>
      <c r="AE3329" s="4">
        <v>97</v>
      </c>
      <c r="AF3329" s="4">
        <v>0</v>
      </c>
      <c r="AG3329" s="4">
        <v>0</v>
      </c>
      <c r="AH3329" s="4">
        <v>83</v>
      </c>
      <c r="AI3329" s="4">
        <v>90</v>
      </c>
      <c r="AJ3329" s="4">
        <v>8</v>
      </c>
      <c r="AK3329" s="4">
        <v>10</v>
      </c>
      <c r="AL3329" s="4">
        <v>49</v>
      </c>
      <c r="AM3329" s="4">
        <v>53</v>
      </c>
      <c r="AN3329" s="4">
        <v>0</v>
      </c>
      <c r="AO3329" s="4">
        <v>0</v>
      </c>
      <c r="AP3329" s="4">
        <v>8</v>
      </c>
      <c r="AQ3329" s="4">
        <v>10</v>
      </c>
      <c r="AR3329" s="3" t="s">
        <v>63</v>
      </c>
      <c r="AS3329" s="3" t="s">
        <v>63</v>
      </c>
      <c r="AT3329" s="3" t="s">
        <v>62</v>
      </c>
      <c r="AU3329" s="6" t="str">
        <f>HYPERLINK("http://catalog.hathitrust.org/Record/007141419","HathiTrust Record")</f>
        <v>HathiTrust Record</v>
      </c>
      <c r="AV3329" s="6" t="str">
        <f>HYPERLINK("http://mcgill.on.worldcat.org/oclc/46808843","Catalog Record")</f>
        <v>Catalog Record</v>
      </c>
      <c r="AW3329" s="6" t="str">
        <f>HYPERLINK("http://www.worldcat.org/oclc/46808843","WorldCat Record")</f>
        <v>WorldCat Record</v>
      </c>
      <c r="AX3329" s="3" t="s">
        <v>27859</v>
      </c>
      <c r="AY3329" s="3" t="s">
        <v>27860</v>
      </c>
      <c r="AZ3329" s="3" t="s">
        <v>27861</v>
      </c>
      <c r="BA3329" s="3" t="s">
        <v>27861</v>
      </c>
      <c r="BB3329" s="3" t="s">
        <v>27862</v>
      </c>
      <c r="BC3329" s="3" t="s">
        <v>82</v>
      </c>
      <c r="BD3329" s="3" t="s">
        <v>70</v>
      </c>
      <c r="BE3329" s="3" t="s">
        <v>27863</v>
      </c>
      <c r="BF3329" s="3" t="s">
        <v>27862</v>
      </c>
      <c r="BG3329" s="3" t="s">
        <v>27864</v>
      </c>
    </row>
    <row r="3330" spans="1:59" ht="75" x14ac:dyDescent="0.25">
      <c r="A3330" s="2" t="s">
        <v>59</v>
      </c>
      <c r="B3330" s="2" t="s">
        <v>60</v>
      </c>
      <c r="C3330" s="2" t="s">
        <v>27865</v>
      </c>
      <c r="D3330" s="2" t="s">
        <v>27866</v>
      </c>
      <c r="E3330" s="2" t="s">
        <v>27867</v>
      </c>
      <c r="G3330" s="3" t="s">
        <v>63</v>
      </c>
      <c r="I3330" s="3" t="s">
        <v>63</v>
      </c>
      <c r="J3330" s="3" t="s">
        <v>63</v>
      </c>
      <c r="K3330" s="3" t="s">
        <v>64</v>
      </c>
      <c r="L3330" s="2" t="s">
        <v>27790</v>
      </c>
      <c r="M3330" s="2" t="s">
        <v>27868</v>
      </c>
      <c r="N3330" s="3" t="s">
        <v>1343</v>
      </c>
      <c r="P3330" s="3" t="s">
        <v>90</v>
      </c>
      <c r="R3330" s="3" t="s">
        <v>67</v>
      </c>
      <c r="S3330" s="4">
        <v>1</v>
      </c>
      <c r="T3330" s="4">
        <v>1</v>
      </c>
      <c r="U3330" s="5" t="s">
        <v>27869</v>
      </c>
      <c r="V3330" s="5" t="s">
        <v>27869</v>
      </c>
      <c r="W3330" s="5" t="s">
        <v>69</v>
      </c>
      <c r="X3330" s="5" t="s">
        <v>69</v>
      </c>
      <c r="Y3330" s="4">
        <v>75</v>
      </c>
      <c r="Z3330" s="4">
        <v>5</v>
      </c>
      <c r="AA3330" s="4">
        <v>6</v>
      </c>
      <c r="AB3330" s="4">
        <v>1</v>
      </c>
      <c r="AC3330" s="4">
        <v>1</v>
      </c>
      <c r="AD3330" s="4">
        <v>46</v>
      </c>
      <c r="AE3330" s="4">
        <v>55</v>
      </c>
      <c r="AF3330" s="4">
        <v>0</v>
      </c>
      <c r="AG3330" s="4">
        <v>0</v>
      </c>
      <c r="AH3330" s="4">
        <v>45</v>
      </c>
      <c r="AI3330" s="4">
        <v>51</v>
      </c>
      <c r="AJ3330" s="4">
        <v>3</v>
      </c>
      <c r="AK3330" s="4">
        <v>4</v>
      </c>
      <c r="AL3330" s="4">
        <v>35</v>
      </c>
      <c r="AM3330" s="4">
        <v>41</v>
      </c>
      <c r="AN3330" s="4">
        <v>0</v>
      </c>
      <c r="AO3330" s="4">
        <v>0</v>
      </c>
      <c r="AP3330" s="4">
        <v>3</v>
      </c>
      <c r="AQ3330" s="4">
        <v>4</v>
      </c>
      <c r="AR3330" s="3" t="s">
        <v>63</v>
      </c>
      <c r="AS3330" s="3" t="s">
        <v>63</v>
      </c>
      <c r="AT3330" s="3" t="s">
        <v>63</v>
      </c>
      <c r="AV3330" s="6" t="str">
        <f>HYPERLINK("http://mcgill.on.worldcat.org/oclc/44807813","Catalog Record")</f>
        <v>Catalog Record</v>
      </c>
      <c r="AW3330" s="6" t="str">
        <f>HYPERLINK("http://www.worldcat.org/oclc/44807813","WorldCat Record")</f>
        <v>WorldCat Record</v>
      </c>
      <c r="AX3330" s="3" t="s">
        <v>27870</v>
      </c>
      <c r="AY3330" s="3" t="s">
        <v>27871</v>
      </c>
      <c r="AZ3330" s="3" t="s">
        <v>27872</v>
      </c>
      <c r="BA3330" s="3" t="s">
        <v>27872</v>
      </c>
      <c r="BB3330" s="3" t="s">
        <v>27873</v>
      </c>
      <c r="BC3330" s="3" t="s">
        <v>82</v>
      </c>
      <c r="BD3330" s="3" t="s">
        <v>70</v>
      </c>
      <c r="BE3330" s="3" t="s">
        <v>27874</v>
      </c>
      <c r="BF3330" s="3" t="s">
        <v>27873</v>
      </c>
      <c r="BG3330" s="3" t="s">
        <v>27875</v>
      </c>
    </row>
    <row r="3331" spans="1:59" ht="60" x14ac:dyDescent="0.25">
      <c r="A3331" s="2" t="s">
        <v>59</v>
      </c>
      <c r="B3331" s="2" t="s">
        <v>60</v>
      </c>
      <c r="C3331" s="2" t="s">
        <v>27876</v>
      </c>
      <c r="D3331" s="2" t="s">
        <v>27877</v>
      </c>
      <c r="E3331" s="2" t="s">
        <v>27878</v>
      </c>
      <c r="G3331" s="3" t="s">
        <v>63</v>
      </c>
      <c r="I3331" s="3" t="s">
        <v>63</v>
      </c>
      <c r="J3331" s="3" t="s">
        <v>63</v>
      </c>
      <c r="K3331" s="3" t="s">
        <v>64</v>
      </c>
      <c r="L3331" s="2" t="s">
        <v>27879</v>
      </c>
      <c r="M3331" s="2" t="s">
        <v>27880</v>
      </c>
      <c r="N3331" s="3" t="s">
        <v>190</v>
      </c>
      <c r="P3331" s="3" t="s">
        <v>66</v>
      </c>
      <c r="R3331" s="3" t="s">
        <v>67</v>
      </c>
      <c r="S3331" s="4">
        <v>3</v>
      </c>
      <c r="T3331" s="4">
        <v>3</v>
      </c>
      <c r="U3331" s="5" t="s">
        <v>746</v>
      </c>
      <c r="V3331" s="5" t="s">
        <v>746</v>
      </c>
      <c r="W3331" s="5" t="s">
        <v>69</v>
      </c>
      <c r="X3331" s="5" t="s">
        <v>69</v>
      </c>
      <c r="Y3331" s="4">
        <v>121</v>
      </c>
      <c r="Z3331" s="4">
        <v>11</v>
      </c>
      <c r="AA3331" s="4">
        <v>13</v>
      </c>
      <c r="AB3331" s="4">
        <v>2</v>
      </c>
      <c r="AC3331" s="4">
        <v>4</v>
      </c>
      <c r="AD3331" s="4">
        <v>66</v>
      </c>
      <c r="AE3331" s="4">
        <v>66</v>
      </c>
      <c r="AF3331" s="4">
        <v>0</v>
      </c>
      <c r="AG3331" s="4">
        <v>0</v>
      </c>
      <c r="AH3331" s="4">
        <v>62</v>
      </c>
      <c r="AI3331" s="4">
        <v>62</v>
      </c>
      <c r="AJ3331" s="4">
        <v>8</v>
      </c>
      <c r="AK3331" s="4">
        <v>8</v>
      </c>
      <c r="AL3331" s="4">
        <v>40</v>
      </c>
      <c r="AM3331" s="4">
        <v>40</v>
      </c>
      <c r="AN3331" s="4">
        <v>0</v>
      </c>
      <c r="AO3331" s="4">
        <v>0</v>
      </c>
      <c r="AP3331" s="4">
        <v>8</v>
      </c>
      <c r="AQ3331" s="4">
        <v>8</v>
      </c>
      <c r="AR3331" s="3" t="s">
        <v>63</v>
      </c>
      <c r="AS3331" s="3" t="s">
        <v>63</v>
      </c>
      <c r="AT3331" s="3" t="s">
        <v>62</v>
      </c>
      <c r="AU3331" s="6" t="str">
        <f>HYPERLINK("http://catalog.hathitrust.org/Record/004971300","HathiTrust Record")</f>
        <v>HathiTrust Record</v>
      </c>
      <c r="AV3331" s="6" t="str">
        <f>HYPERLINK("http://mcgill.on.worldcat.org/oclc/50494356","Catalog Record")</f>
        <v>Catalog Record</v>
      </c>
      <c r="AW3331" s="6" t="str">
        <f>HYPERLINK("http://www.worldcat.org/oclc/50494356","WorldCat Record")</f>
        <v>WorldCat Record</v>
      </c>
      <c r="AX3331" s="3" t="s">
        <v>27881</v>
      </c>
      <c r="AY3331" s="3" t="s">
        <v>27882</v>
      </c>
      <c r="AZ3331" s="3" t="s">
        <v>27883</v>
      </c>
      <c r="BA3331" s="3" t="s">
        <v>27883</v>
      </c>
      <c r="BB3331" s="3" t="s">
        <v>27884</v>
      </c>
      <c r="BC3331" s="3" t="s">
        <v>82</v>
      </c>
      <c r="BD3331" s="3" t="s">
        <v>538</v>
      </c>
      <c r="BE3331" s="3" t="s">
        <v>27885</v>
      </c>
      <c r="BF3331" s="3" t="s">
        <v>27884</v>
      </c>
      <c r="BG3331" s="3" t="s">
        <v>27886</v>
      </c>
    </row>
    <row r="3332" spans="1:59" ht="60" x14ac:dyDescent="0.25">
      <c r="A3332" s="2" t="s">
        <v>59</v>
      </c>
      <c r="B3332" s="2" t="s">
        <v>60</v>
      </c>
      <c r="C3332" s="2" t="s">
        <v>27887</v>
      </c>
      <c r="D3332" s="2" t="s">
        <v>27888</v>
      </c>
      <c r="E3332" s="2" t="s">
        <v>27889</v>
      </c>
      <c r="G3332" s="3" t="s">
        <v>63</v>
      </c>
      <c r="I3332" s="3" t="s">
        <v>63</v>
      </c>
      <c r="J3332" s="3" t="s">
        <v>63</v>
      </c>
      <c r="K3332" s="3" t="s">
        <v>64</v>
      </c>
      <c r="L3332" s="2" t="s">
        <v>27848</v>
      </c>
      <c r="M3332" s="2" t="s">
        <v>10983</v>
      </c>
      <c r="N3332" s="3" t="s">
        <v>531</v>
      </c>
      <c r="P3332" s="3" t="s">
        <v>66</v>
      </c>
      <c r="Q3332" s="2" t="s">
        <v>5294</v>
      </c>
      <c r="R3332" s="3" t="s">
        <v>67</v>
      </c>
      <c r="S3332" s="4">
        <v>31</v>
      </c>
      <c r="T3332" s="4">
        <v>31</v>
      </c>
      <c r="U3332" s="5" t="s">
        <v>19559</v>
      </c>
      <c r="V3332" s="5" t="s">
        <v>19559</v>
      </c>
      <c r="W3332" s="5" t="s">
        <v>69</v>
      </c>
      <c r="X3332" s="5" t="s">
        <v>69</v>
      </c>
      <c r="Y3332" s="4">
        <v>284</v>
      </c>
      <c r="Z3332" s="4">
        <v>24</v>
      </c>
      <c r="AA3332" s="4">
        <v>26</v>
      </c>
      <c r="AB3332" s="4">
        <v>1</v>
      </c>
      <c r="AC3332" s="4">
        <v>3</v>
      </c>
      <c r="AD3332" s="4">
        <v>108</v>
      </c>
      <c r="AE3332" s="4">
        <v>109</v>
      </c>
      <c r="AF3332" s="4">
        <v>0</v>
      </c>
      <c r="AG3332" s="4">
        <v>1</v>
      </c>
      <c r="AH3332" s="4">
        <v>97</v>
      </c>
      <c r="AI3332" s="4">
        <v>97</v>
      </c>
      <c r="AJ3332" s="4">
        <v>18</v>
      </c>
      <c r="AK3332" s="4">
        <v>19</v>
      </c>
      <c r="AL3332" s="4">
        <v>56</v>
      </c>
      <c r="AM3332" s="4">
        <v>56</v>
      </c>
      <c r="AN3332" s="4">
        <v>0</v>
      </c>
      <c r="AO3332" s="4">
        <v>0</v>
      </c>
      <c r="AP3332" s="4">
        <v>20</v>
      </c>
      <c r="AQ3332" s="4">
        <v>20</v>
      </c>
      <c r="AR3332" s="3" t="s">
        <v>63</v>
      </c>
      <c r="AS3332" s="3" t="s">
        <v>63</v>
      </c>
      <c r="AT3332" s="3" t="s">
        <v>62</v>
      </c>
      <c r="AU3332" s="6" t="str">
        <f>HYPERLINK("http://catalog.hathitrust.org/Record/002564911","HathiTrust Record")</f>
        <v>HathiTrust Record</v>
      </c>
      <c r="AV3332" s="6" t="str">
        <f>HYPERLINK("http://mcgill.on.worldcat.org/oclc/23688933","Catalog Record")</f>
        <v>Catalog Record</v>
      </c>
      <c r="AW3332" s="6" t="str">
        <f>HYPERLINK("http://www.worldcat.org/oclc/23688933","WorldCat Record")</f>
        <v>WorldCat Record</v>
      </c>
      <c r="AX3332" s="3" t="s">
        <v>27890</v>
      </c>
      <c r="AY3332" s="3" t="s">
        <v>27891</v>
      </c>
      <c r="AZ3332" s="3" t="s">
        <v>27892</v>
      </c>
      <c r="BA3332" s="3" t="s">
        <v>27892</v>
      </c>
      <c r="BB3332" s="3" t="s">
        <v>27893</v>
      </c>
      <c r="BC3332" s="3" t="s">
        <v>82</v>
      </c>
      <c r="BD3332" s="3" t="s">
        <v>538</v>
      </c>
      <c r="BE3332" s="3" t="s">
        <v>27894</v>
      </c>
      <c r="BF3332" s="3" t="s">
        <v>27893</v>
      </c>
      <c r="BG3332" s="3" t="s">
        <v>27895</v>
      </c>
    </row>
    <row r="3333" spans="1:59" ht="105" x14ac:dyDescent="0.25">
      <c r="A3333" s="2" t="s">
        <v>59</v>
      </c>
      <c r="B3333" s="2" t="s">
        <v>60</v>
      </c>
      <c r="C3333" s="2" t="s">
        <v>27896</v>
      </c>
      <c r="D3333" s="2" t="s">
        <v>27897</v>
      </c>
      <c r="E3333" s="2" t="s">
        <v>27898</v>
      </c>
      <c r="G3333" s="3" t="s">
        <v>62</v>
      </c>
      <c r="I3333" s="3" t="s">
        <v>63</v>
      </c>
      <c r="J3333" s="3" t="s">
        <v>62</v>
      </c>
      <c r="K3333" s="3" t="s">
        <v>64</v>
      </c>
      <c r="M3333" s="2" t="s">
        <v>27899</v>
      </c>
      <c r="N3333" s="3" t="s">
        <v>374</v>
      </c>
      <c r="P3333" s="3" t="s">
        <v>90</v>
      </c>
      <c r="R3333" s="3" t="s">
        <v>67</v>
      </c>
      <c r="S3333" s="4">
        <v>3</v>
      </c>
      <c r="T3333" s="4">
        <v>3</v>
      </c>
      <c r="U3333" s="5" t="s">
        <v>7280</v>
      </c>
      <c r="V3333" s="5" t="s">
        <v>7280</v>
      </c>
      <c r="W3333" s="5" t="s">
        <v>69</v>
      </c>
      <c r="X3333" s="5" t="s">
        <v>69</v>
      </c>
      <c r="Y3333" s="4">
        <v>20</v>
      </c>
      <c r="Z3333" s="4">
        <v>1</v>
      </c>
      <c r="AA3333" s="4">
        <v>3</v>
      </c>
      <c r="AB3333" s="4">
        <v>1</v>
      </c>
      <c r="AC3333" s="4">
        <v>1</v>
      </c>
      <c r="AD3333" s="4">
        <v>12</v>
      </c>
      <c r="AE3333" s="4">
        <v>19</v>
      </c>
      <c r="AF3333" s="4">
        <v>0</v>
      </c>
      <c r="AG3333" s="4">
        <v>0</v>
      </c>
      <c r="AH3333" s="4">
        <v>12</v>
      </c>
      <c r="AI3333" s="4">
        <v>19</v>
      </c>
      <c r="AJ3333" s="4">
        <v>0</v>
      </c>
      <c r="AK3333" s="4">
        <v>1</v>
      </c>
      <c r="AL3333" s="4">
        <v>8</v>
      </c>
      <c r="AM3333" s="4">
        <v>11</v>
      </c>
      <c r="AN3333" s="4">
        <v>0</v>
      </c>
      <c r="AO3333" s="4">
        <v>0</v>
      </c>
      <c r="AP3333" s="4">
        <v>0</v>
      </c>
      <c r="AQ3333" s="4">
        <v>1</v>
      </c>
      <c r="AR3333" s="3" t="s">
        <v>63</v>
      </c>
      <c r="AS3333" s="3" t="s">
        <v>63</v>
      </c>
      <c r="AT3333" s="3" t="s">
        <v>62</v>
      </c>
      <c r="AU3333" s="6" t="str">
        <f>HYPERLINK("http://catalog.hathitrust.org/Record/002997776","HathiTrust Record")</f>
        <v>HathiTrust Record</v>
      </c>
      <c r="AV3333" s="6" t="str">
        <f>HYPERLINK("http://mcgill.on.worldcat.org/oclc/34108816","Catalog Record")</f>
        <v>Catalog Record</v>
      </c>
      <c r="AW3333" s="6" t="str">
        <f>HYPERLINK("http://www.worldcat.org/oclc/34108816","WorldCat Record")</f>
        <v>WorldCat Record</v>
      </c>
      <c r="AX3333" s="3" t="s">
        <v>27900</v>
      </c>
      <c r="AY3333" s="3" t="s">
        <v>27901</v>
      </c>
      <c r="AZ3333" s="3" t="s">
        <v>27902</v>
      </c>
      <c r="BA3333" s="3" t="s">
        <v>27902</v>
      </c>
      <c r="BB3333" s="3" t="s">
        <v>27903</v>
      </c>
      <c r="BC3333" s="3" t="s">
        <v>82</v>
      </c>
      <c r="BD3333" s="3" t="s">
        <v>70</v>
      </c>
      <c r="BE3333" s="3" t="s">
        <v>27904</v>
      </c>
      <c r="BF3333" s="3" t="s">
        <v>27903</v>
      </c>
      <c r="BG3333" s="3" t="s">
        <v>27905</v>
      </c>
    </row>
    <row r="3334" spans="1:59" ht="60" x14ac:dyDescent="0.25">
      <c r="A3334" s="2" t="s">
        <v>59</v>
      </c>
      <c r="B3334" s="2" t="s">
        <v>60</v>
      </c>
      <c r="C3334" s="2" t="s">
        <v>27906</v>
      </c>
      <c r="D3334" s="2" t="s">
        <v>27907</v>
      </c>
      <c r="E3334" s="2" t="s">
        <v>27908</v>
      </c>
      <c r="G3334" s="3" t="s">
        <v>63</v>
      </c>
      <c r="I3334" s="3" t="s">
        <v>63</v>
      </c>
      <c r="J3334" s="3" t="s">
        <v>63</v>
      </c>
      <c r="K3334" s="3" t="s">
        <v>64</v>
      </c>
      <c r="L3334" s="2" t="s">
        <v>27909</v>
      </c>
      <c r="M3334" s="2" t="s">
        <v>27910</v>
      </c>
      <c r="N3334" s="3" t="s">
        <v>247</v>
      </c>
      <c r="P3334" s="3" t="s">
        <v>66</v>
      </c>
      <c r="Q3334" s="2" t="s">
        <v>27911</v>
      </c>
      <c r="R3334" s="3" t="s">
        <v>67</v>
      </c>
      <c r="S3334" s="4">
        <v>19</v>
      </c>
      <c r="T3334" s="4">
        <v>19</v>
      </c>
      <c r="U3334" s="5" t="s">
        <v>3057</v>
      </c>
      <c r="V3334" s="5" t="s">
        <v>3057</v>
      </c>
      <c r="W3334" s="5" t="s">
        <v>69</v>
      </c>
      <c r="X3334" s="5" t="s">
        <v>69</v>
      </c>
      <c r="Y3334" s="4">
        <v>217</v>
      </c>
      <c r="Z3334" s="4">
        <v>17</v>
      </c>
      <c r="AA3334" s="4">
        <v>19</v>
      </c>
      <c r="AB3334" s="4">
        <v>1</v>
      </c>
      <c r="AC3334" s="4">
        <v>1</v>
      </c>
      <c r="AD3334" s="4">
        <v>95</v>
      </c>
      <c r="AE3334" s="4">
        <v>96</v>
      </c>
      <c r="AF3334" s="4">
        <v>0</v>
      </c>
      <c r="AG3334" s="4">
        <v>0</v>
      </c>
      <c r="AH3334" s="4">
        <v>85</v>
      </c>
      <c r="AI3334" s="4">
        <v>86</v>
      </c>
      <c r="AJ3334" s="4">
        <v>15</v>
      </c>
      <c r="AK3334" s="4">
        <v>16</v>
      </c>
      <c r="AL3334" s="4">
        <v>49</v>
      </c>
      <c r="AM3334" s="4">
        <v>50</v>
      </c>
      <c r="AN3334" s="4">
        <v>0</v>
      </c>
      <c r="AO3334" s="4">
        <v>0</v>
      </c>
      <c r="AP3334" s="4">
        <v>15</v>
      </c>
      <c r="AQ3334" s="4">
        <v>16</v>
      </c>
      <c r="AR3334" s="3" t="s">
        <v>63</v>
      </c>
      <c r="AS3334" s="3" t="s">
        <v>63</v>
      </c>
      <c r="AT3334" s="3" t="s">
        <v>62</v>
      </c>
      <c r="AU3334" s="6" t="str">
        <f>HYPERLINK("http://catalog.hathitrust.org/Record/000306520","HathiTrust Record")</f>
        <v>HathiTrust Record</v>
      </c>
      <c r="AV3334" s="6" t="str">
        <f>HYPERLINK("http://mcgill.on.worldcat.org/oclc/8547349","Catalog Record")</f>
        <v>Catalog Record</v>
      </c>
      <c r="AW3334" s="6" t="str">
        <f>HYPERLINK("http://www.worldcat.org/oclc/8547349","WorldCat Record")</f>
        <v>WorldCat Record</v>
      </c>
      <c r="AX3334" s="3" t="s">
        <v>27912</v>
      </c>
      <c r="AY3334" s="3" t="s">
        <v>27913</v>
      </c>
      <c r="AZ3334" s="3" t="s">
        <v>27914</v>
      </c>
      <c r="BA3334" s="3" t="s">
        <v>27914</v>
      </c>
      <c r="BB3334" s="3" t="s">
        <v>27915</v>
      </c>
      <c r="BC3334" s="3" t="s">
        <v>82</v>
      </c>
      <c r="BD3334" s="3" t="s">
        <v>70</v>
      </c>
      <c r="BE3334" s="3" t="s">
        <v>27916</v>
      </c>
      <c r="BF3334" s="3" t="s">
        <v>27915</v>
      </c>
      <c r="BG3334" s="3" t="s">
        <v>27917</v>
      </c>
    </row>
    <row r="3335" spans="1:59" ht="75" x14ac:dyDescent="0.25">
      <c r="A3335" s="2" t="s">
        <v>59</v>
      </c>
      <c r="B3335" s="2" t="s">
        <v>60</v>
      </c>
      <c r="C3335" s="2" t="s">
        <v>27918</v>
      </c>
      <c r="D3335" s="2" t="s">
        <v>27919</v>
      </c>
      <c r="E3335" s="2" t="s">
        <v>27920</v>
      </c>
      <c r="G3335" s="3" t="s">
        <v>63</v>
      </c>
      <c r="I3335" s="3" t="s">
        <v>63</v>
      </c>
      <c r="J3335" s="3" t="s">
        <v>63</v>
      </c>
      <c r="K3335" s="3" t="s">
        <v>64</v>
      </c>
      <c r="L3335" s="2" t="s">
        <v>27921</v>
      </c>
      <c r="M3335" s="2" t="s">
        <v>27922</v>
      </c>
      <c r="N3335" s="3" t="s">
        <v>313</v>
      </c>
      <c r="P3335" s="3" t="s">
        <v>90</v>
      </c>
      <c r="Q3335" s="2" t="s">
        <v>27923</v>
      </c>
      <c r="R3335" s="3" t="s">
        <v>67</v>
      </c>
      <c r="S3335" s="4">
        <v>0</v>
      </c>
      <c r="T3335" s="4">
        <v>0</v>
      </c>
      <c r="W3335" s="5" t="s">
        <v>69</v>
      </c>
      <c r="X3335" s="5" t="s">
        <v>69</v>
      </c>
      <c r="Y3335" s="4">
        <v>25</v>
      </c>
      <c r="Z3335" s="4">
        <v>3</v>
      </c>
      <c r="AA3335" s="4">
        <v>3</v>
      </c>
      <c r="AB3335" s="4">
        <v>1</v>
      </c>
      <c r="AC3335" s="4">
        <v>1</v>
      </c>
      <c r="AD3335" s="4">
        <v>16</v>
      </c>
      <c r="AE3335" s="4">
        <v>16</v>
      </c>
      <c r="AF3335" s="4">
        <v>0</v>
      </c>
      <c r="AG3335" s="4">
        <v>0</v>
      </c>
      <c r="AH3335" s="4">
        <v>15</v>
      </c>
      <c r="AI3335" s="4">
        <v>15</v>
      </c>
      <c r="AJ3335" s="4">
        <v>1</v>
      </c>
      <c r="AK3335" s="4">
        <v>1</v>
      </c>
      <c r="AL3335" s="4">
        <v>14</v>
      </c>
      <c r="AM3335" s="4">
        <v>14</v>
      </c>
      <c r="AN3335" s="4">
        <v>0</v>
      </c>
      <c r="AO3335" s="4">
        <v>0</v>
      </c>
      <c r="AP3335" s="4">
        <v>1</v>
      </c>
      <c r="AQ3335" s="4">
        <v>1</v>
      </c>
      <c r="AR3335" s="3" t="s">
        <v>63</v>
      </c>
      <c r="AS3335" s="3" t="s">
        <v>63</v>
      </c>
      <c r="AT3335" s="3" t="s">
        <v>63</v>
      </c>
      <c r="AV3335" s="6" t="str">
        <f>HYPERLINK("http://mcgill.on.worldcat.org/oclc/711615426","Catalog Record")</f>
        <v>Catalog Record</v>
      </c>
      <c r="AW3335" s="6" t="str">
        <f>HYPERLINK("http://www.worldcat.org/oclc/711615426","WorldCat Record")</f>
        <v>WorldCat Record</v>
      </c>
      <c r="AX3335" s="3" t="s">
        <v>27924</v>
      </c>
      <c r="AY3335" s="3" t="s">
        <v>27925</v>
      </c>
      <c r="AZ3335" s="3" t="s">
        <v>27926</v>
      </c>
      <c r="BA3335" s="3" t="s">
        <v>27926</v>
      </c>
      <c r="BB3335" s="3" t="s">
        <v>27927</v>
      </c>
      <c r="BC3335" s="3" t="s">
        <v>82</v>
      </c>
      <c r="BD3335" s="3" t="s">
        <v>70</v>
      </c>
      <c r="BE3335" s="3" t="s">
        <v>27928</v>
      </c>
      <c r="BF3335" s="3" t="s">
        <v>27927</v>
      </c>
      <c r="BG3335" s="3" t="s">
        <v>27929</v>
      </c>
    </row>
    <row r="3336" spans="1:59" ht="60" x14ac:dyDescent="0.25">
      <c r="A3336" s="2" t="s">
        <v>59</v>
      </c>
      <c r="B3336" s="2" t="s">
        <v>60</v>
      </c>
      <c r="C3336" s="2" t="s">
        <v>27930</v>
      </c>
      <c r="D3336" s="2" t="s">
        <v>27931</v>
      </c>
      <c r="E3336" s="2" t="s">
        <v>27932</v>
      </c>
      <c r="G3336" s="3" t="s">
        <v>63</v>
      </c>
      <c r="I3336" s="3" t="s">
        <v>63</v>
      </c>
      <c r="J3336" s="3" t="s">
        <v>63</v>
      </c>
      <c r="K3336" s="3" t="s">
        <v>64</v>
      </c>
      <c r="L3336" s="2" t="s">
        <v>27933</v>
      </c>
      <c r="M3336" s="2" t="s">
        <v>27934</v>
      </c>
      <c r="N3336" s="3" t="s">
        <v>427</v>
      </c>
      <c r="P3336" s="3" t="s">
        <v>90</v>
      </c>
      <c r="R3336" s="3" t="s">
        <v>67</v>
      </c>
      <c r="S3336" s="4">
        <v>13</v>
      </c>
      <c r="T3336" s="4">
        <v>13</v>
      </c>
      <c r="U3336" s="5" t="s">
        <v>27935</v>
      </c>
      <c r="V3336" s="5" t="s">
        <v>27935</v>
      </c>
      <c r="W3336" s="5" t="s">
        <v>69</v>
      </c>
      <c r="X3336" s="5" t="s">
        <v>69</v>
      </c>
      <c r="Y3336" s="4">
        <v>9</v>
      </c>
      <c r="Z3336" s="4">
        <v>2</v>
      </c>
      <c r="AA3336" s="4">
        <v>4</v>
      </c>
      <c r="AB3336" s="4">
        <v>1</v>
      </c>
      <c r="AC3336" s="4">
        <v>1</v>
      </c>
      <c r="AD3336" s="4">
        <v>3</v>
      </c>
      <c r="AE3336" s="4">
        <v>15</v>
      </c>
      <c r="AF3336" s="4">
        <v>0</v>
      </c>
      <c r="AG3336" s="4">
        <v>0</v>
      </c>
      <c r="AH3336" s="4">
        <v>3</v>
      </c>
      <c r="AI3336" s="4">
        <v>15</v>
      </c>
      <c r="AJ3336" s="4">
        <v>0</v>
      </c>
      <c r="AK3336" s="4">
        <v>1</v>
      </c>
      <c r="AL3336" s="4">
        <v>2</v>
      </c>
      <c r="AM3336" s="4">
        <v>7</v>
      </c>
      <c r="AN3336" s="4">
        <v>0</v>
      </c>
      <c r="AO3336" s="4">
        <v>5</v>
      </c>
      <c r="AP3336" s="4">
        <v>0</v>
      </c>
      <c r="AQ3336" s="4">
        <v>1</v>
      </c>
      <c r="AR3336" s="3" t="s">
        <v>63</v>
      </c>
      <c r="AS3336" s="3" t="s">
        <v>63</v>
      </c>
      <c r="AT3336" s="3" t="s">
        <v>63</v>
      </c>
      <c r="AV3336" s="6" t="str">
        <f>HYPERLINK("http://mcgill.on.worldcat.org/oclc/22157899","Catalog Record")</f>
        <v>Catalog Record</v>
      </c>
      <c r="AW3336" s="6" t="str">
        <f>HYPERLINK("http://www.worldcat.org/oclc/22157899","WorldCat Record")</f>
        <v>WorldCat Record</v>
      </c>
      <c r="AX3336" s="3" t="s">
        <v>27936</v>
      </c>
      <c r="AY3336" s="3" t="s">
        <v>27937</v>
      </c>
      <c r="AZ3336" s="3" t="s">
        <v>27938</v>
      </c>
      <c r="BA3336" s="3" t="s">
        <v>27938</v>
      </c>
      <c r="BB3336" s="3" t="s">
        <v>27939</v>
      </c>
      <c r="BC3336" s="3" t="s">
        <v>82</v>
      </c>
      <c r="BD3336" s="3" t="s">
        <v>70</v>
      </c>
      <c r="BE3336" s="3" t="s">
        <v>27940</v>
      </c>
      <c r="BF3336" s="3" t="s">
        <v>27939</v>
      </c>
      <c r="BG3336" s="3" t="s">
        <v>27941</v>
      </c>
    </row>
    <row r="3337" spans="1:59" ht="75" x14ac:dyDescent="0.25">
      <c r="A3337" s="2" t="s">
        <v>59</v>
      </c>
      <c r="B3337" s="2" t="s">
        <v>60</v>
      </c>
      <c r="C3337" s="2" t="s">
        <v>27942</v>
      </c>
      <c r="D3337" s="2" t="s">
        <v>27943</v>
      </c>
      <c r="E3337" s="2" t="s">
        <v>27944</v>
      </c>
      <c r="G3337" s="3" t="s">
        <v>63</v>
      </c>
      <c r="I3337" s="3" t="s">
        <v>63</v>
      </c>
      <c r="J3337" s="3" t="s">
        <v>63</v>
      </c>
      <c r="K3337" s="3" t="s">
        <v>64</v>
      </c>
      <c r="M3337" s="2" t="s">
        <v>27945</v>
      </c>
      <c r="N3337" s="3" t="s">
        <v>668</v>
      </c>
      <c r="P3337" s="3" t="s">
        <v>90</v>
      </c>
      <c r="Q3337" s="2" t="s">
        <v>27946</v>
      </c>
      <c r="R3337" s="3" t="s">
        <v>67</v>
      </c>
      <c r="S3337" s="4">
        <v>5</v>
      </c>
      <c r="T3337" s="4">
        <v>5</v>
      </c>
      <c r="U3337" s="5" t="s">
        <v>27935</v>
      </c>
      <c r="V3337" s="5" t="s">
        <v>27935</v>
      </c>
      <c r="W3337" s="5" t="s">
        <v>69</v>
      </c>
      <c r="X3337" s="5" t="s">
        <v>69</v>
      </c>
      <c r="Y3337" s="4">
        <v>75</v>
      </c>
      <c r="Z3337" s="4">
        <v>8</v>
      </c>
      <c r="AA3337" s="4">
        <v>8</v>
      </c>
      <c r="AB3337" s="4">
        <v>2</v>
      </c>
      <c r="AC3337" s="4">
        <v>2</v>
      </c>
      <c r="AD3337" s="4">
        <v>44</v>
      </c>
      <c r="AE3337" s="4">
        <v>44</v>
      </c>
      <c r="AF3337" s="4">
        <v>0</v>
      </c>
      <c r="AG3337" s="4">
        <v>0</v>
      </c>
      <c r="AH3337" s="4">
        <v>43</v>
      </c>
      <c r="AI3337" s="4">
        <v>43</v>
      </c>
      <c r="AJ3337" s="4">
        <v>5</v>
      </c>
      <c r="AK3337" s="4">
        <v>5</v>
      </c>
      <c r="AL3337" s="4">
        <v>35</v>
      </c>
      <c r="AM3337" s="4">
        <v>35</v>
      </c>
      <c r="AN3337" s="4">
        <v>0</v>
      </c>
      <c r="AO3337" s="4">
        <v>0</v>
      </c>
      <c r="AP3337" s="4">
        <v>5</v>
      </c>
      <c r="AQ3337" s="4">
        <v>5</v>
      </c>
      <c r="AR3337" s="3" t="s">
        <v>63</v>
      </c>
      <c r="AS3337" s="3" t="s">
        <v>63</v>
      </c>
      <c r="AT3337" s="3" t="s">
        <v>62</v>
      </c>
      <c r="AU3337" s="6" t="str">
        <f>HYPERLINK("http://catalog.hathitrust.org/Record/002714039","HathiTrust Record")</f>
        <v>HathiTrust Record</v>
      </c>
      <c r="AV3337" s="6" t="str">
        <f>HYPERLINK("http://mcgill.on.worldcat.org/oclc/22251836","Catalog Record")</f>
        <v>Catalog Record</v>
      </c>
      <c r="AW3337" s="6" t="str">
        <f>HYPERLINK("http://www.worldcat.org/oclc/22251836","WorldCat Record")</f>
        <v>WorldCat Record</v>
      </c>
      <c r="AX3337" s="3" t="s">
        <v>27947</v>
      </c>
      <c r="AY3337" s="3" t="s">
        <v>27948</v>
      </c>
      <c r="AZ3337" s="3" t="s">
        <v>27949</v>
      </c>
      <c r="BA3337" s="3" t="s">
        <v>27949</v>
      </c>
      <c r="BB3337" s="3" t="s">
        <v>27950</v>
      </c>
      <c r="BC3337" s="3" t="s">
        <v>82</v>
      </c>
      <c r="BD3337" s="3" t="s">
        <v>70</v>
      </c>
      <c r="BE3337" s="3" t="s">
        <v>27951</v>
      </c>
      <c r="BF3337" s="3" t="s">
        <v>27950</v>
      </c>
      <c r="BG3337" s="3" t="s">
        <v>27952</v>
      </c>
    </row>
    <row r="3338" spans="1:59" ht="60" x14ac:dyDescent="0.25">
      <c r="A3338" s="2" t="s">
        <v>59</v>
      </c>
      <c r="B3338" s="2" t="s">
        <v>60</v>
      </c>
      <c r="C3338" s="2" t="s">
        <v>27953</v>
      </c>
      <c r="D3338" s="2" t="s">
        <v>27954</v>
      </c>
      <c r="E3338" s="2" t="s">
        <v>27955</v>
      </c>
      <c r="G3338" s="3" t="s">
        <v>63</v>
      </c>
      <c r="I3338" s="3" t="s">
        <v>63</v>
      </c>
      <c r="J3338" s="3" t="s">
        <v>63</v>
      </c>
      <c r="K3338" s="3" t="s">
        <v>64</v>
      </c>
      <c r="L3338" s="2" t="s">
        <v>27956</v>
      </c>
      <c r="M3338" s="2" t="s">
        <v>27957</v>
      </c>
      <c r="N3338" s="3" t="s">
        <v>204</v>
      </c>
      <c r="O3338" s="2" t="s">
        <v>590</v>
      </c>
      <c r="P3338" s="3" t="s">
        <v>66</v>
      </c>
      <c r="Q3338" s="2" t="s">
        <v>27958</v>
      </c>
      <c r="R3338" s="3" t="s">
        <v>67</v>
      </c>
      <c r="S3338" s="4">
        <v>9</v>
      </c>
      <c r="T3338" s="4">
        <v>9</v>
      </c>
      <c r="U3338" s="5" t="s">
        <v>27959</v>
      </c>
      <c r="V3338" s="5" t="s">
        <v>27959</v>
      </c>
      <c r="W3338" s="5" t="s">
        <v>69</v>
      </c>
      <c r="X3338" s="5" t="s">
        <v>69</v>
      </c>
      <c r="Y3338" s="4">
        <v>545</v>
      </c>
      <c r="Z3338" s="4">
        <v>27</v>
      </c>
      <c r="AA3338" s="4">
        <v>27</v>
      </c>
      <c r="AB3338" s="4">
        <v>1</v>
      </c>
      <c r="AC3338" s="4">
        <v>1</v>
      </c>
      <c r="AD3338" s="4">
        <v>88</v>
      </c>
      <c r="AE3338" s="4">
        <v>88</v>
      </c>
      <c r="AF3338" s="4">
        <v>0</v>
      </c>
      <c r="AG3338" s="4">
        <v>0</v>
      </c>
      <c r="AH3338" s="4">
        <v>83</v>
      </c>
      <c r="AI3338" s="4">
        <v>83</v>
      </c>
      <c r="AJ3338" s="4">
        <v>11</v>
      </c>
      <c r="AK3338" s="4">
        <v>11</v>
      </c>
      <c r="AL3338" s="4">
        <v>48</v>
      </c>
      <c r="AM3338" s="4">
        <v>48</v>
      </c>
      <c r="AN3338" s="4">
        <v>0</v>
      </c>
      <c r="AO3338" s="4">
        <v>0</v>
      </c>
      <c r="AP3338" s="4">
        <v>11</v>
      </c>
      <c r="AQ3338" s="4">
        <v>11</v>
      </c>
      <c r="AR3338" s="3" t="s">
        <v>63</v>
      </c>
      <c r="AS3338" s="3" t="s">
        <v>63</v>
      </c>
      <c r="AT3338" s="3" t="s">
        <v>62</v>
      </c>
      <c r="AU3338" s="6" t="str">
        <f>HYPERLINK("http://catalog.hathitrust.org/Record/003065146","HathiTrust Record")</f>
        <v>HathiTrust Record</v>
      </c>
      <c r="AV3338" s="6" t="str">
        <f>HYPERLINK("http://mcgill.on.worldcat.org/oclc/33043337","Catalog Record")</f>
        <v>Catalog Record</v>
      </c>
      <c r="AW3338" s="6" t="str">
        <f>HYPERLINK("http://www.worldcat.org/oclc/33043337","WorldCat Record")</f>
        <v>WorldCat Record</v>
      </c>
      <c r="AX3338" s="3" t="s">
        <v>27960</v>
      </c>
      <c r="AY3338" s="3" t="s">
        <v>27961</v>
      </c>
      <c r="AZ3338" s="3" t="s">
        <v>27962</v>
      </c>
      <c r="BA3338" s="3" t="s">
        <v>27962</v>
      </c>
      <c r="BB3338" s="3" t="s">
        <v>27963</v>
      </c>
      <c r="BC3338" s="3" t="s">
        <v>82</v>
      </c>
      <c r="BD3338" s="3" t="s">
        <v>70</v>
      </c>
      <c r="BE3338" s="3" t="s">
        <v>27964</v>
      </c>
      <c r="BF3338" s="3" t="s">
        <v>27963</v>
      </c>
      <c r="BG3338" s="3" t="s">
        <v>27965</v>
      </c>
    </row>
    <row r="3339" spans="1:59" ht="60" x14ac:dyDescent="0.25">
      <c r="A3339" s="2" t="s">
        <v>59</v>
      </c>
      <c r="B3339" s="2" t="s">
        <v>60</v>
      </c>
      <c r="C3339" s="2" t="s">
        <v>27966</v>
      </c>
      <c r="D3339" s="2" t="s">
        <v>27967</v>
      </c>
      <c r="E3339" s="2" t="s">
        <v>27968</v>
      </c>
      <c r="G3339" s="3" t="s">
        <v>63</v>
      </c>
      <c r="I3339" s="3" t="s">
        <v>63</v>
      </c>
      <c r="J3339" s="3" t="s">
        <v>63</v>
      </c>
      <c r="K3339" s="3" t="s">
        <v>64</v>
      </c>
      <c r="L3339" s="2" t="s">
        <v>27956</v>
      </c>
      <c r="M3339" s="2" t="s">
        <v>27969</v>
      </c>
      <c r="N3339" s="3" t="s">
        <v>1023</v>
      </c>
      <c r="P3339" s="3" t="s">
        <v>90</v>
      </c>
      <c r="R3339" s="3" t="s">
        <v>67</v>
      </c>
      <c r="S3339" s="4">
        <v>16</v>
      </c>
      <c r="T3339" s="4">
        <v>16</v>
      </c>
      <c r="U3339" s="5" t="s">
        <v>27935</v>
      </c>
      <c r="V3339" s="5" t="s">
        <v>27935</v>
      </c>
      <c r="W3339" s="5" t="s">
        <v>69</v>
      </c>
      <c r="X3339" s="5" t="s">
        <v>69</v>
      </c>
      <c r="Y3339" s="4">
        <v>107</v>
      </c>
      <c r="Z3339" s="4">
        <v>5</v>
      </c>
      <c r="AA3339" s="4">
        <v>7</v>
      </c>
      <c r="AB3339" s="4">
        <v>1</v>
      </c>
      <c r="AC3339" s="4">
        <v>1</v>
      </c>
      <c r="AD3339" s="4">
        <v>54</v>
      </c>
      <c r="AE3339" s="4">
        <v>58</v>
      </c>
      <c r="AF3339" s="4">
        <v>0</v>
      </c>
      <c r="AG3339" s="4">
        <v>0</v>
      </c>
      <c r="AH3339" s="4">
        <v>52</v>
      </c>
      <c r="AI3339" s="4">
        <v>55</v>
      </c>
      <c r="AJ3339" s="4">
        <v>2</v>
      </c>
      <c r="AK3339" s="4">
        <v>3</v>
      </c>
      <c r="AL3339" s="4">
        <v>41</v>
      </c>
      <c r="AM3339" s="4">
        <v>43</v>
      </c>
      <c r="AN3339" s="4">
        <v>0</v>
      </c>
      <c r="AO3339" s="4">
        <v>0</v>
      </c>
      <c r="AP3339" s="4">
        <v>2</v>
      </c>
      <c r="AQ3339" s="4">
        <v>3</v>
      </c>
      <c r="AR3339" s="3" t="s">
        <v>63</v>
      </c>
      <c r="AS3339" s="3" t="s">
        <v>63</v>
      </c>
      <c r="AT3339" s="3" t="s">
        <v>62</v>
      </c>
      <c r="AU3339" s="6" t="str">
        <f>HYPERLINK("http://catalog.hathitrust.org/Record/002979233","HathiTrust Record")</f>
        <v>HathiTrust Record</v>
      </c>
      <c r="AV3339" s="6" t="str">
        <f>HYPERLINK("http://mcgill.on.worldcat.org/oclc/32029927","Catalog Record")</f>
        <v>Catalog Record</v>
      </c>
      <c r="AW3339" s="6" t="str">
        <f>HYPERLINK("http://www.worldcat.org/oclc/32029927","WorldCat Record")</f>
        <v>WorldCat Record</v>
      </c>
      <c r="AX3339" s="3" t="s">
        <v>27970</v>
      </c>
      <c r="AY3339" s="3" t="s">
        <v>27971</v>
      </c>
      <c r="AZ3339" s="3" t="s">
        <v>27972</v>
      </c>
      <c r="BA3339" s="3" t="s">
        <v>27972</v>
      </c>
      <c r="BB3339" s="3" t="s">
        <v>27973</v>
      </c>
      <c r="BC3339" s="3" t="s">
        <v>82</v>
      </c>
      <c r="BD3339" s="3" t="s">
        <v>70</v>
      </c>
      <c r="BE3339" s="3" t="s">
        <v>27974</v>
      </c>
      <c r="BF3339" s="3" t="s">
        <v>27973</v>
      </c>
      <c r="BG3339" s="3" t="s">
        <v>27975</v>
      </c>
    </row>
    <row r="3340" spans="1:59" ht="60" x14ac:dyDescent="0.25">
      <c r="A3340" s="2" t="s">
        <v>59</v>
      </c>
      <c r="B3340" s="2" t="s">
        <v>60</v>
      </c>
      <c r="C3340" s="2" t="s">
        <v>27976</v>
      </c>
      <c r="D3340" s="2" t="s">
        <v>27977</v>
      </c>
      <c r="E3340" s="2" t="s">
        <v>27978</v>
      </c>
      <c r="F3340" s="3" t="s">
        <v>6390</v>
      </c>
      <c r="G3340" s="3" t="s">
        <v>62</v>
      </c>
      <c r="I3340" s="3" t="s">
        <v>63</v>
      </c>
      <c r="J3340" s="3" t="s">
        <v>63</v>
      </c>
      <c r="K3340" s="3" t="s">
        <v>64</v>
      </c>
      <c r="L3340" s="2" t="s">
        <v>27979</v>
      </c>
      <c r="M3340" s="2" t="s">
        <v>27980</v>
      </c>
      <c r="N3340" s="3" t="s">
        <v>161</v>
      </c>
      <c r="P3340" s="3" t="s">
        <v>90</v>
      </c>
      <c r="R3340" s="3" t="s">
        <v>67</v>
      </c>
      <c r="S3340" s="4">
        <v>22</v>
      </c>
      <c r="T3340" s="4">
        <v>38</v>
      </c>
      <c r="U3340" s="5" t="s">
        <v>27981</v>
      </c>
      <c r="V3340" s="5" t="s">
        <v>27981</v>
      </c>
      <c r="W3340" s="5" t="s">
        <v>69</v>
      </c>
      <c r="X3340" s="5" t="s">
        <v>69</v>
      </c>
      <c r="Y3340" s="4">
        <v>91</v>
      </c>
      <c r="Z3340" s="4">
        <v>8</v>
      </c>
      <c r="AA3340" s="4">
        <v>10</v>
      </c>
      <c r="AB3340" s="4">
        <v>1</v>
      </c>
      <c r="AC3340" s="4">
        <v>1</v>
      </c>
      <c r="AD3340" s="4">
        <v>42</v>
      </c>
      <c r="AE3340" s="4">
        <v>63</v>
      </c>
      <c r="AF3340" s="4">
        <v>0</v>
      </c>
      <c r="AG3340" s="4">
        <v>0</v>
      </c>
      <c r="AH3340" s="4">
        <v>38</v>
      </c>
      <c r="AI3340" s="4">
        <v>58</v>
      </c>
      <c r="AJ3340" s="4">
        <v>6</v>
      </c>
      <c r="AK3340" s="4">
        <v>8</v>
      </c>
      <c r="AL3340" s="4">
        <v>24</v>
      </c>
      <c r="AM3340" s="4">
        <v>37</v>
      </c>
      <c r="AN3340" s="4">
        <v>5</v>
      </c>
      <c r="AO3340" s="4">
        <v>5</v>
      </c>
      <c r="AP3340" s="4">
        <v>6</v>
      </c>
      <c r="AQ3340" s="4">
        <v>8</v>
      </c>
      <c r="AR3340" s="3" t="s">
        <v>63</v>
      </c>
      <c r="AS3340" s="3" t="s">
        <v>63</v>
      </c>
      <c r="AT3340" s="3" t="s">
        <v>62</v>
      </c>
      <c r="AU3340" s="6" t="str">
        <f>HYPERLINK("http://catalog.hathitrust.org/Record/101933171","HathiTrust Record")</f>
        <v>HathiTrust Record</v>
      </c>
      <c r="AV3340" s="6" t="str">
        <f>HYPERLINK("http://mcgill.on.worldcat.org/oclc/21163503","Catalog Record")</f>
        <v>Catalog Record</v>
      </c>
      <c r="AW3340" s="6" t="str">
        <f>HYPERLINK("http://www.worldcat.org/oclc/21163503","WorldCat Record")</f>
        <v>WorldCat Record</v>
      </c>
      <c r="AX3340" s="3" t="s">
        <v>27982</v>
      </c>
      <c r="AY3340" s="3" t="s">
        <v>27983</v>
      </c>
      <c r="AZ3340" s="3" t="s">
        <v>27984</v>
      </c>
      <c r="BA3340" s="3" t="s">
        <v>27984</v>
      </c>
      <c r="BB3340" s="3" t="s">
        <v>27985</v>
      </c>
      <c r="BC3340" s="3" t="s">
        <v>82</v>
      </c>
      <c r="BD3340" s="3" t="s">
        <v>70</v>
      </c>
      <c r="BE3340" s="3" t="s">
        <v>27986</v>
      </c>
      <c r="BF3340" s="3" t="s">
        <v>27985</v>
      </c>
      <c r="BG3340" s="3" t="s">
        <v>27987</v>
      </c>
    </row>
    <row r="3341" spans="1:59" ht="60" x14ac:dyDescent="0.25">
      <c r="A3341" s="2" t="s">
        <v>59</v>
      </c>
      <c r="B3341" s="2" t="s">
        <v>60</v>
      </c>
      <c r="C3341" s="2" t="s">
        <v>27976</v>
      </c>
      <c r="D3341" s="2" t="s">
        <v>27977</v>
      </c>
      <c r="E3341" s="2" t="s">
        <v>27978</v>
      </c>
      <c r="F3341" s="3" t="s">
        <v>6376</v>
      </c>
      <c r="G3341" s="3" t="s">
        <v>62</v>
      </c>
      <c r="I3341" s="3" t="s">
        <v>63</v>
      </c>
      <c r="J3341" s="3" t="s">
        <v>63</v>
      </c>
      <c r="K3341" s="3" t="s">
        <v>64</v>
      </c>
      <c r="L3341" s="2" t="s">
        <v>27979</v>
      </c>
      <c r="M3341" s="2" t="s">
        <v>27980</v>
      </c>
      <c r="N3341" s="3" t="s">
        <v>161</v>
      </c>
      <c r="P3341" s="3" t="s">
        <v>90</v>
      </c>
      <c r="R3341" s="3" t="s">
        <v>67</v>
      </c>
      <c r="S3341" s="4">
        <v>16</v>
      </c>
      <c r="T3341" s="4">
        <v>38</v>
      </c>
      <c r="U3341" s="5" t="s">
        <v>27988</v>
      </c>
      <c r="V3341" s="5" t="s">
        <v>27981</v>
      </c>
      <c r="W3341" s="5" t="s">
        <v>69</v>
      </c>
      <c r="X3341" s="5" t="s">
        <v>69</v>
      </c>
      <c r="Y3341" s="4">
        <v>91</v>
      </c>
      <c r="Z3341" s="4">
        <v>8</v>
      </c>
      <c r="AA3341" s="4">
        <v>10</v>
      </c>
      <c r="AB3341" s="4">
        <v>1</v>
      </c>
      <c r="AC3341" s="4">
        <v>1</v>
      </c>
      <c r="AD3341" s="4">
        <v>42</v>
      </c>
      <c r="AE3341" s="4">
        <v>63</v>
      </c>
      <c r="AF3341" s="4">
        <v>0</v>
      </c>
      <c r="AG3341" s="4">
        <v>0</v>
      </c>
      <c r="AH3341" s="4">
        <v>38</v>
      </c>
      <c r="AI3341" s="4">
        <v>58</v>
      </c>
      <c r="AJ3341" s="4">
        <v>6</v>
      </c>
      <c r="AK3341" s="4">
        <v>8</v>
      </c>
      <c r="AL3341" s="4">
        <v>24</v>
      </c>
      <c r="AM3341" s="4">
        <v>37</v>
      </c>
      <c r="AN3341" s="4">
        <v>5</v>
      </c>
      <c r="AO3341" s="4">
        <v>5</v>
      </c>
      <c r="AP3341" s="4">
        <v>6</v>
      </c>
      <c r="AQ3341" s="4">
        <v>8</v>
      </c>
      <c r="AR3341" s="3" t="s">
        <v>63</v>
      </c>
      <c r="AS3341" s="3" t="s">
        <v>63</v>
      </c>
      <c r="AT3341" s="3" t="s">
        <v>62</v>
      </c>
      <c r="AU3341" s="6" t="str">
        <f>HYPERLINK("http://catalog.hathitrust.org/Record/101933171","HathiTrust Record")</f>
        <v>HathiTrust Record</v>
      </c>
      <c r="AV3341" s="6" t="str">
        <f>HYPERLINK("http://mcgill.on.worldcat.org/oclc/21163503","Catalog Record")</f>
        <v>Catalog Record</v>
      </c>
      <c r="AW3341" s="6" t="str">
        <f>HYPERLINK("http://www.worldcat.org/oclc/21163503","WorldCat Record")</f>
        <v>WorldCat Record</v>
      </c>
      <c r="AX3341" s="3" t="s">
        <v>27982</v>
      </c>
      <c r="AY3341" s="3" t="s">
        <v>27983</v>
      </c>
      <c r="AZ3341" s="3" t="s">
        <v>27984</v>
      </c>
      <c r="BA3341" s="3" t="s">
        <v>27984</v>
      </c>
      <c r="BB3341" s="3" t="s">
        <v>27989</v>
      </c>
      <c r="BC3341" s="3" t="s">
        <v>82</v>
      </c>
      <c r="BD3341" s="3" t="s">
        <v>70</v>
      </c>
      <c r="BE3341" s="3" t="s">
        <v>27986</v>
      </c>
      <c r="BF3341" s="3" t="s">
        <v>27989</v>
      </c>
      <c r="BG3341" s="3" t="s">
        <v>27990</v>
      </c>
    </row>
    <row r="3342" spans="1:59" ht="60" x14ac:dyDescent="0.25">
      <c r="A3342" s="2" t="s">
        <v>59</v>
      </c>
      <c r="B3342" s="2" t="s">
        <v>60</v>
      </c>
      <c r="C3342" s="2" t="s">
        <v>27991</v>
      </c>
      <c r="D3342" s="2" t="s">
        <v>27992</v>
      </c>
      <c r="E3342" s="2" t="s">
        <v>27993</v>
      </c>
      <c r="G3342" s="3" t="s">
        <v>63</v>
      </c>
      <c r="I3342" s="3" t="s">
        <v>63</v>
      </c>
      <c r="J3342" s="3" t="s">
        <v>63</v>
      </c>
      <c r="K3342" s="3" t="s">
        <v>64</v>
      </c>
      <c r="L3342" s="2" t="s">
        <v>27994</v>
      </c>
      <c r="M3342" s="2" t="s">
        <v>27995</v>
      </c>
      <c r="N3342" s="3" t="s">
        <v>190</v>
      </c>
      <c r="O3342" s="2" t="s">
        <v>590</v>
      </c>
      <c r="P3342" s="3" t="s">
        <v>66</v>
      </c>
      <c r="Q3342" s="2" t="s">
        <v>27996</v>
      </c>
      <c r="R3342" s="3" t="s">
        <v>67</v>
      </c>
      <c r="S3342" s="4">
        <v>3</v>
      </c>
      <c r="T3342" s="4">
        <v>3</v>
      </c>
      <c r="U3342" s="5" t="s">
        <v>22703</v>
      </c>
      <c r="V3342" s="5" t="s">
        <v>22703</v>
      </c>
      <c r="W3342" s="5" t="s">
        <v>69</v>
      </c>
      <c r="X3342" s="5" t="s">
        <v>69</v>
      </c>
      <c r="Y3342" s="4">
        <v>254</v>
      </c>
      <c r="Z3342" s="4">
        <v>20</v>
      </c>
      <c r="AA3342" s="4">
        <v>22</v>
      </c>
      <c r="AB3342" s="4">
        <v>1</v>
      </c>
      <c r="AC3342" s="4">
        <v>3</v>
      </c>
      <c r="AD3342" s="4">
        <v>78</v>
      </c>
      <c r="AE3342" s="4">
        <v>78</v>
      </c>
      <c r="AF3342" s="4">
        <v>0</v>
      </c>
      <c r="AG3342" s="4">
        <v>0</v>
      </c>
      <c r="AH3342" s="4">
        <v>72</v>
      </c>
      <c r="AI3342" s="4">
        <v>72</v>
      </c>
      <c r="AJ3342" s="4">
        <v>6</v>
      </c>
      <c r="AK3342" s="4">
        <v>6</v>
      </c>
      <c r="AL3342" s="4">
        <v>47</v>
      </c>
      <c r="AM3342" s="4">
        <v>47</v>
      </c>
      <c r="AN3342" s="4">
        <v>0</v>
      </c>
      <c r="AO3342" s="4">
        <v>0</v>
      </c>
      <c r="AP3342" s="4">
        <v>8</v>
      </c>
      <c r="AQ3342" s="4">
        <v>8</v>
      </c>
      <c r="AR3342" s="3" t="s">
        <v>63</v>
      </c>
      <c r="AS3342" s="3" t="s">
        <v>63</v>
      </c>
      <c r="AT3342" s="3" t="s">
        <v>63</v>
      </c>
      <c r="AV3342" s="6" t="str">
        <f>HYPERLINK("http://mcgill.on.worldcat.org/oclc/57044151","Catalog Record")</f>
        <v>Catalog Record</v>
      </c>
      <c r="AW3342" s="6" t="str">
        <f>HYPERLINK("http://www.worldcat.org/oclc/57044151","WorldCat Record")</f>
        <v>WorldCat Record</v>
      </c>
      <c r="AX3342" s="3" t="s">
        <v>27997</v>
      </c>
      <c r="AY3342" s="3" t="s">
        <v>27998</v>
      </c>
      <c r="AZ3342" s="3" t="s">
        <v>27999</v>
      </c>
      <c r="BA3342" s="3" t="s">
        <v>27999</v>
      </c>
      <c r="BB3342" s="3" t="s">
        <v>28000</v>
      </c>
      <c r="BC3342" s="3" t="s">
        <v>82</v>
      </c>
      <c r="BD3342" s="3" t="s">
        <v>70</v>
      </c>
      <c r="BE3342" s="3" t="s">
        <v>28001</v>
      </c>
      <c r="BF3342" s="3" t="s">
        <v>28000</v>
      </c>
      <c r="BG3342" s="3" t="s">
        <v>28002</v>
      </c>
    </row>
    <row r="3343" spans="1:59" ht="60" x14ac:dyDescent="0.25">
      <c r="A3343" s="2" t="s">
        <v>59</v>
      </c>
      <c r="B3343" s="2" t="s">
        <v>60</v>
      </c>
      <c r="C3343" s="2" t="s">
        <v>28003</v>
      </c>
      <c r="D3343" s="2" t="s">
        <v>28004</v>
      </c>
      <c r="E3343" s="2" t="s">
        <v>28005</v>
      </c>
      <c r="G3343" s="3" t="s">
        <v>63</v>
      </c>
      <c r="I3343" s="3" t="s">
        <v>63</v>
      </c>
      <c r="J3343" s="3" t="s">
        <v>63</v>
      </c>
      <c r="K3343" s="3" t="s">
        <v>64</v>
      </c>
      <c r="L3343" s="2" t="s">
        <v>28006</v>
      </c>
      <c r="M3343" s="2" t="s">
        <v>28007</v>
      </c>
      <c r="N3343" s="3" t="s">
        <v>143</v>
      </c>
      <c r="P3343" s="3" t="s">
        <v>90</v>
      </c>
      <c r="R3343" s="3" t="s">
        <v>67</v>
      </c>
      <c r="S3343" s="4">
        <v>0</v>
      </c>
      <c r="T3343" s="4">
        <v>0</v>
      </c>
      <c r="W3343" s="5" t="s">
        <v>69</v>
      </c>
      <c r="X3343" s="5" t="s">
        <v>69</v>
      </c>
      <c r="Y3343" s="4">
        <v>35</v>
      </c>
      <c r="Z3343" s="4">
        <v>4</v>
      </c>
      <c r="AA3343" s="4">
        <v>4</v>
      </c>
      <c r="AB3343" s="4">
        <v>1</v>
      </c>
      <c r="AC3343" s="4">
        <v>1</v>
      </c>
      <c r="AD3343" s="4">
        <v>19</v>
      </c>
      <c r="AE3343" s="4">
        <v>19</v>
      </c>
      <c r="AF3343" s="4">
        <v>0</v>
      </c>
      <c r="AG3343" s="4">
        <v>0</v>
      </c>
      <c r="AH3343" s="4">
        <v>18</v>
      </c>
      <c r="AI3343" s="4">
        <v>18</v>
      </c>
      <c r="AJ3343" s="4">
        <v>1</v>
      </c>
      <c r="AK3343" s="4">
        <v>1</v>
      </c>
      <c r="AL3343" s="4">
        <v>15</v>
      </c>
      <c r="AM3343" s="4">
        <v>15</v>
      </c>
      <c r="AN3343" s="4">
        <v>0</v>
      </c>
      <c r="AO3343" s="4">
        <v>0</v>
      </c>
      <c r="AP3343" s="4">
        <v>1</v>
      </c>
      <c r="AQ3343" s="4">
        <v>1</v>
      </c>
      <c r="AR3343" s="3" t="s">
        <v>63</v>
      </c>
      <c r="AS3343" s="3" t="s">
        <v>63</v>
      </c>
      <c r="AT3343" s="3" t="s">
        <v>63</v>
      </c>
      <c r="AV3343" s="6" t="str">
        <f>HYPERLINK("http://mcgill.on.worldcat.org/oclc/875293096","Catalog Record")</f>
        <v>Catalog Record</v>
      </c>
      <c r="AW3343" s="6" t="str">
        <f>HYPERLINK("http://www.worldcat.org/oclc/875293096","WorldCat Record")</f>
        <v>WorldCat Record</v>
      </c>
      <c r="AX3343" s="3" t="s">
        <v>28008</v>
      </c>
      <c r="AY3343" s="3" t="s">
        <v>28009</v>
      </c>
      <c r="AZ3343" s="3" t="s">
        <v>28010</v>
      </c>
      <c r="BA3343" s="3" t="s">
        <v>28010</v>
      </c>
      <c r="BB3343" s="3" t="s">
        <v>28011</v>
      </c>
      <c r="BC3343" s="3" t="s">
        <v>82</v>
      </c>
      <c r="BD3343" s="3" t="s">
        <v>70</v>
      </c>
      <c r="BE3343" s="3" t="s">
        <v>28012</v>
      </c>
      <c r="BF3343" s="3" t="s">
        <v>28011</v>
      </c>
      <c r="BG3343" s="3" t="s">
        <v>28013</v>
      </c>
    </row>
    <row r="3344" spans="1:59" ht="60" x14ac:dyDescent="0.25">
      <c r="A3344" s="2" t="s">
        <v>59</v>
      </c>
      <c r="B3344" s="2" t="s">
        <v>60</v>
      </c>
      <c r="C3344" s="2" t="s">
        <v>28014</v>
      </c>
      <c r="D3344" s="2" t="s">
        <v>28015</v>
      </c>
      <c r="E3344" s="2" t="s">
        <v>28016</v>
      </c>
      <c r="G3344" s="3" t="s">
        <v>63</v>
      </c>
      <c r="I3344" s="3" t="s">
        <v>63</v>
      </c>
      <c r="J3344" s="3" t="s">
        <v>63</v>
      </c>
      <c r="K3344" s="3" t="s">
        <v>64</v>
      </c>
      <c r="L3344" s="2" t="s">
        <v>28017</v>
      </c>
      <c r="M3344" s="2" t="s">
        <v>28018</v>
      </c>
      <c r="N3344" s="3" t="s">
        <v>668</v>
      </c>
      <c r="P3344" s="3" t="s">
        <v>66</v>
      </c>
      <c r="R3344" s="3" t="s">
        <v>67</v>
      </c>
      <c r="S3344" s="4">
        <v>1</v>
      </c>
      <c r="T3344" s="4">
        <v>1</v>
      </c>
      <c r="U3344" s="5" t="s">
        <v>5549</v>
      </c>
      <c r="V3344" s="5" t="s">
        <v>5549</v>
      </c>
      <c r="W3344" s="5" t="s">
        <v>69</v>
      </c>
      <c r="X3344" s="5" t="s">
        <v>69</v>
      </c>
      <c r="Y3344" s="4">
        <v>179</v>
      </c>
      <c r="Z3344" s="4">
        <v>17</v>
      </c>
      <c r="AA3344" s="4">
        <v>17</v>
      </c>
      <c r="AB3344" s="4">
        <v>2</v>
      </c>
      <c r="AC3344" s="4">
        <v>2</v>
      </c>
      <c r="AD3344" s="4">
        <v>75</v>
      </c>
      <c r="AE3344" s="4">
        <v>75</v>
      </c>
      <c r="AF3344" s="4">
        <v>1</v>
      </c>
      <c r="AG3344" s="4">
        <v>1</v>
      </c>
      <c r="AH3344" s="4">
        <v>68</v>
      </c>
      <c r="AI3344" s="4">
        <v>68</v>
      </c>
      <c r="AJ3344" s="4">
        <v>13</v>
      </c>
      <c r="AK3344" s="4">
        <v>13</v>
      </c>
      <c r="AL3344" s="4">
        <v>37</v>
      </c>
      <c r="AM3344" s="4">
        <v>37</v>
      </c>
      <c r="AN3344" s="4">
        <v>0</v>
      </c>
      <c r="AO3344" s="4">
        <v>0</v>
      </c>
      <c r="AP3344" s="4">
        <v>13</v>
      </c>
      <c r="AQ3344" s="4">
        <v>13</v>
      </c>
      <c r="AR3344" s="3" t="s">
        <v>63</v>
      </c>
      <c r="AS3344" s="3" t="s">
        <v>63</v>
      </c>
      <c r="AT3344" s="3" t="s">
        <v>62</v>
      </c>
      <c r="AU3344" s="6" t="str">
        <f>HYPERLINK("http://catalog.hathitrust.org/Record/002058156","HathiTrust Record")</f>
        <v>HathiTrust Record</v>
      </c>
      <c r="AV3344" s="6" t="str">
        <f>HYPERLINK("http://mcgill.on.worldcat.org/oclc/20932354","Catalog Record")</f>
        <v>Catalog Record</v>
      </c>
      <c r="AW3344" s="6" t="str">
        <f>HYPERLINK("http://www.worldcat.org/oclc/20932354","WorldCat Record")</f>
        <v>WorldCat Record</v>
      </c>
      <c r="AX3344" s="3" t="s">
        <v>28019</v>
      </c>
      <c r="AY3344" s="3" t="s">
        <v>28020</v>
      </c>
      <c r="AZ3344" s="3" t="s">
        <v>28021</v>
      </c>
      <c r="BA3344" s="3" t="s">
        <v>28021</v>
      </c>
      <c r="BB3344" s="3" t="s">
        <v>28022</v>
      </c>
      <c r="BC3344" s="3" t="s">
        <v>82</v>
      </c>
      <c r="BD3344" s="3" t="s">
        <v>70</v>
      </c>
      <c r="BE3344" s="3" t="s">
        <v>28023</v>
      </c>
      <c r="BF3344" s="3" t="s">
        <v>28022</v>
      </c>
      <c r="BG3344" s="3" t="s">
        <v>28024</v>
      </c>
    </row>
    <row r="3345" spans="1:59" ht="60" x14ac:dyDescent="0.25">
      <c r="A3345" s="2" t="s">
        <v>59</v>
      </c>
      <c r="B3345" s="2" t="s">
        <v>60</v>
      </c>
      <c r="C3345" s="2" t="s">
        <v>28025</v>
      </c>
      <c r="D3345" s="2" t="s">
        <v>28026</v>
      </c>
      <c r="E3345" s="2" t="s">
        <v>28027</v>
      </c>
      <c r="G3345" s="3" t="s">
        <v>63</v>
      </c>
      <c r="I3345" s="3" t="s">
        <v>63</v>
      </c>
      <c r="J3345" s="3" t="s">
        <v>63</v>
      </c>
      <c r="K3345" s="3" t="s">
        <v>64</v>
      </c>
      <c r="L3345" s="2" t="s">
        <v>4512</v>
      </c>
      <c r="M3345" s="2" t="s">
        <v>28028</v>
      </c>
      <c r="N3345" s="3" t="s">
        <v>1557</v>
      </c>
      <c r="P3345" s="3" t="s">
        <v>66</v>
      </c>
      <c r="R3345" s="3" t="s">
        <v>67</v>
      </c>
      <c r="S3345" s="4">
        <v>6</v>
      </c>
      <c r="T3345" s="4">
        <v>6</v>
      </c>
      <c r="U3345" s="5" t="s">
        <v>17945</v>
      </c>
      <c r="V3345" s="5" t="s">
        <v>17945</v>
      </c>
      <c r="W3345" s="5" t="s">
        <v>69</v>
      </c>
      <c r="X3345" s="5" t="s">
        <v>69</v>
      </c>
      <c r="Y3345" s="4">
        <v>94</v>
      </c>
      <c r="Z3345" s="4">
        <v>4</v>
      </c>
      <c r="AA3345" s="4">
        <v>7</v>
      </c>
      <c r="AB3345" s="4">
        <v>1</v>
      </c>
      <c r="AC3345" s="4">
        <v>3</v>
      </c>
      <c r="AD3345" s="4">
        <v>40</v>
      </c>
      <c r="AE3345" s="4">
        <v>53</v>
      </c>
      <c r="AF3345" s="4">
        <v>0</v>
      </c>
      <c r="AG3345" s="4">
        <v>0</v>
      </c>
      <c r="AH3345" s="4">
        <v>37</v>
      </c>
      <c r="AI3345" s="4">
        <v>50</v>
      </c>
      <c r="AJ3345" s="4">
        <v>2</v>
      </c>
      <c r="AK3345" s="4">
        <v>3</v>
      </c>
      <c r="AL3345" s="4">
        <v>28</v>
      </c>
      <c r="AM3345" s="4">
        <v>35</v>
      </c>
      <c r="AN3345" s="4">
        <v>0</v>
      </c>
      <c r="AO3345" s="4">
        <v>0</v>
      </c>
      <c r="AP3345" s="4">
        <v>2</v>
      </c>
      <c r="AQ3345" s="4">
        <v>3</v>
      </c>
      <c r="AR3345" s="3" t="s">
        <v>63</v>
      </c>
      <c r="AS3345" s="3" t="s">
        <v>63</v>
      </c>
      <c r="AT3345" s="3" t="s">
        <v>63</v>
      </c>
      <c r="AV3345" s="6" t="str">
        <f>HYPERLINK("http://mcgill.on.worldcat.org/oclc/934676872","Catalog Record")</f>
        <v>Catalog Record</v>
      </c>
      <c r="AW3345" s="6" t="str">
        <f>HYPERLINK("http://www.worldcat.org/oclc/934676872","WorldCat Record")</f>
        <v>WorldCat Record</v>
      </c>
      <c r="AX3345" s="3" t="s">
        <v>28029</v>
      </c>
      <c r="AY3345" s="3" t="s">
        <v>28030</v>
      </c>
      <c r="AZ3345" s="3" t="s">
        <v>28031</v>
      </c>
      <c r="BA3345" s="3" t="s">
        <v>28031</v>
      </c>
      <c r="BB3345" s="3" t="s">
        <v>28032</v>
      </c>
      <c r="BC3345" s="3" t="s">
        <v>82</v>
      </c>
      <c r="BD3345" s="3" t="s">
        <v>70</v>
      </c>
      <c r="BE3345" s="3" t="s">
        <v>28033</v>
      </c>
      <c r="BF3345" s="3" t="s">
        <v>28032</v>
      </c>
      <c r="BG3345" s="3" t="s">
        <v>28034</v>
      </c>
    </row>
    <row r="3346" spans="1:59" ht="60" x14ac:dyDescent="0.25">
      <c r="A3346" s="2" t="s">
        <v>59</v>
      </c>
      <c r="B3346" s="2" t="s">
        <v>60</v>
      </c>
      <c r="C3346" s="2" t="s">
        <v>28035</v>
      </c>
      <c r="D3346" s="2" t="s">
        <v>28036</v>
      </c>
      <c r="E3346" s="2" t="s">
        <v>28037</v>
      </c>
      <c r="G3346" s="3" t="s">
        <v>63</v>
      </c>
      <c r="I3346" s="3" t="s">
        <v>63</v>
      </c>
      <c r="J3346" s="3" t="s">
        <v>63</v>
      </c>
      <c r="K3346" s="3" t="s">
        <v>64</v>
      </c>
      <c r="L3346" s="2" t="s">
        <v>18968</v>
      </c>
      <c r="M3346" s="2" t="s">
        <v>27945</v>
      </c>
      <c r="N3346" s="3" t="s">
        <v>668</v>
      </c>
      <c r="P3346" s="3" t="s">
        <v>90</v>
      </c>
      <c r="R3346" s="3" t="s">
        <v>67</v>
      </c>
      <c r="S3346" s="4">
        <v>4</v>
      </c>
      <c r="T3346" s="4">
        <v>4</v>
      </c>
      <c r="U3346" s="5" t="s">
        <v>13148</v>
      </c>
      <c r="V3346" s="5" t="s">
        <v>13148</v>
      </c>
      <c r="W3346" s="5" t="s">
        <v>69</v>
      </c>
      <c r="X3346" s="5" t="s">
        <v>69</v>
      </c>
      <c r="Y3346" s="4">
        <v>89</v>
      </c>
      <c r="Z3346" s="4">
        <v>6</v>
      </c>
      <c r="AA3346" s="4">
        <v>6</v>
      </c>
      <c r="AB3346" s="4">
        <v>1</v>
      </c>
      <c r="AC3346" s="4">
        <v>1</v>
      </c>
      <c r="AD3346" s="4">
        <v>49</v>
      </c>
      <c r="AE3346" s="4">
        <v>49</v>
      </c>
      <c r="AF3346" s="4">
        <v>0</v>
      </c>
      <c r="AG3346" s="4">
        <v>0</v>
      </c>
      <c r="AH3346" s="4">
        <v>47</v>
      </c>
      <c r="AI3346" s="4">
        <v>47</v>
      </c>
      <c r="AJ3346" s="4">
        <v>4</v>
      </c>
      <c r="AK3346" s="4">
        <v>4</v>
      </c>
      <c r="AL3346" s="4">
        <v>37</v>
      </c>
      <c r="AM3346" s="4">
        <v>37</v>
      </c>
      <c r="AN3346" s="4">
        <v>0</v>
      </c>
      <c r="AO3346" s="4">
        <v>0</v>
      </c>
      <c r="AP3346" s="4">
        <v>4</v>
      </c>
      <c r="AQ3346" s="4">
        <v>4</v>
      </c>
      <c r="AR3346" s="3" t="s">
        <v>63</v>
      </c>
      <c r="AS3346" s="3" t="s">
        <v>63</v>
      </c>
      <c r="AT3346" s="3" t="s">
        <v>63</v>
      </c>
      <c r="AV3346" s="6" t="str">
        <f>HYPERLINK("http://mcgill.on.worldcat.org/oclc/21485771","Catalog Record")</f>
        <v>Catalog Record</v>
      </c>
      <c r="AW3346" s="6" t="str">
        <f>HYPERLINK("http://www.worldcat.org/oclc/21485771","WorldCat Record")</f>
        <v>WorldCat Record</v>
      </c>
      <c r="AX3346" s="3" t="s">
        <v>28038</v>
      </c>
      <c r="AY3346" s="3" t="s">
        <v>28039</v>
      </c>
      <c r="AZ3346" s="3" t="s">
        <v>28040</v>
      </c>
      <c r="BA3346" s="3" t="s">
        <v>28040</v>
      </c>
      <c r="BB3346" s="3" t="s">
        <v>28041</v>
      </c>
      <c r="BC3346" s="3" t="s">
        <v>82</v>
      </c>
      <c r="BD3346" s="3" t="s">
        <v>70</v>
      </c>
      <c r="BE3346" s="3" t="s">
        <v>28042</v>
      </c>
      <c r="BF3346" s="3" t="s">
        <v>28041</v>
      </c>
      <c r="BG3346" s="3" t="s">
        <v>28043</v>
      </c>
    </row>
    <row r="3347" spans="1:59" ht="60" x14ac:dyDescent="0.25">
      <c r="A3347" s="2" t="s">
        <v>59</v>
      </c>
      <c r="B3347" s="2" t="s">
        <v>60</v>
      </c>
      <c r="C3347" s="2" t="s">
        <v>28044</v>
      </c>
      <c r="D3347" s="2" t="s">
        <v>28045</v>
      </c>
      <c r="E3347" s="2" t="s">
        <v>28046</v>
      </c>
      <c r="G3347" s="3" t="s">
        <v>63</v>
      </c>
      <c r="I3347" s="3" t="s">
        <v>63</v>
      </c>
      <c r="J3347" s="3" t="s">
        <v>63</v>
      </c>
      <c r="K3347" s="3" t="s">
        <v>64</v>
      </c>
      <c r="L3347" s="2" t="s">
        <v>28047</v>
      </c>
      <c r="M3347" s="2" t="s">
        <v>28048</v>
      </c>
      <c r="N3347" s="3" t="s">
        <v>143</v>
      </c>
      <c r="P3347" s="3" t="s">
        <v>90</v>
      </c>
      <c r="Q3347" s="2" t="s">
        <v>28049</v>
      </c>
      <c r="R3347" s="3" t="s">
        <v>67</v>
      </c>
      <c r="S3347" s="4">
        <v>1</v>
      </c>
      <c r="T3347" s="4">
        <v>1</v>
      </c>
      <c r="U3347" s="5" t="s">
        <v>13148</v>
      </c>
      <c r="V3347" s="5" t="s">
        <v>13148</v>
      </c>
      <c r="W3347" s="5" t="s">
        <v>69</v>
      </c>
      <c r="X3347" s="5" t="s">
        <v>69</v>
      </c>
      <c r="Y3347" s="4">
        <v>45</v>
      </c>
      <c r="Z3347" s="4">
        <v>5</v>
      </c>
      <c r="AA3347" s="4">
        <v>5</v>
      </c>
      <c r="AB3347" s="4">
        <v>1</v>
      </c>
      <c r="AC3347" s="4">
        <v>1</v>
      </c>
      <c r="AD3347" s="4">
        <v>29</v>
      </c>
      <c r="AE3347" s="4">
        <v>29</v>
      </c>
      <c r="AF3347" s="4">
        <v>0</v>
      </c>
      <c r="AG3347" s="4">
        <v>0</v>
      </c>
      <c r="AH3347" s="4">
        <v>28</v>
      </c>
      <c r="AI3347" s="4">
        <v>28</v>
      </c>
      <c r="AJ3347" s="4">
        <v>3</v>
      </c>
      <c r="AK3347" s="4">
        <v>3</v>
      </c>
      <c r="AL3347" s="4">
        <v>21</v>
      </c>
      <c r="AM3347" s="4">
        <v>21</v>
      </c>
      <c r="AN3347" s="4">
        <v>0</v>
      </c>
      <c r="AO3347" s="4">
        <v>0</v>
      </c>
      <c r="AP3347" s="4">
        <v>3</v>
      </c>
      <c r="AQ3347" s="4">
        <v>3</v>
      </c>
      <c r="AR3347" s="3" t="s">
        <v>63</v>
      </c>
      <c r="AS3347" s="3" t="s">
        <v>63</v>
      </c>
      <c r="AT3347" s="3" t="s">
        <v>63</v>
      </c>
      <c r="AV3347" s="6" t="str">
        <f>HYPERLINK("http://mcgill.on.worldcat.org/oclc/875257503","Catalog Record")</f>
        <v>Catalog Record</v>
      </c>
      <c r="AW3347" s="6" t="str">
        <f>HYPERLINK("http://www.worldcat.org/oclc/875257503","WorldCat Record")</f>
        <v>WorldCat Record</v>
      </c>
      <c r="AX3347" s="3" t="s">
        <v>28050</v>
      </c>
      <c r="AY3347" s="3" t="s">
        <v>28051</v>
      </c>
      <c r="AZ3347" s="3" t="s">
        <v>28052</v>
      </c>
      <c r="BA3347" s="3" t="s">
        <v>28052</v>
      </c>
      <c r="BB3347" s="3" t="s">
        <v>28053</v>
      </c>
      <c r="BC3347" s="3" t="s">
        <v>82</v>
      </c>
      <c r="BD3347" s="3" t="s">
        <v>70</v>
      </c>
      <c r="BE3347" s="3" t="s">
        <v>28054</v>
      </c>
      <c r="BF3347" s="3" t="s">
        <v>28053</v>
      </c>
      <c r="BG3347" s="3" t="s">
        <v>28055</v>
      </c>
    </row>
    <row r="3348" spans="1:59" ht="75" x14ac:dyDescent="0.25">
      <c r="A3348" s="2" t="s">
        <v>59</v>
      </c>
      <c r="B3348" s="2" t="s">
        <v>60</v>
      </c>
      <c r="C3348" s="2" t="s">
        <v>28056</v>
      </c>
      <c r="D3348" s="2" t="s">
        <v>28057</v>
      </c>
      <c r="E3348" s="2" t="s">
        <v>28058</v>
      </c>
      <c r="G3348" s="3" t="s">
        <v>63</v>
      </c>
      <c r="I3348" s="3" t="s">
        <v>63</v>
      </c>
      <c r="J3348" s="3" t="s">
        <v>63</v>
      </c>
      <c r="K3348" s="3" t="s">
        <v>64</v>
      </c>
      <c r="L3348" s="2" t="s">
        <v>18968</v>
      </c>
      <c r="M3348" s="2" t="s">
        <v>28059</v>
      </c>
      <c r="N3348" s="3" t="s">
        <v>76</v>
      </c>
      <c r="P3348" s="3" t="s">
        <v>66</v>
      </c>
      <c r="R3348" s="3" t="s">
        <v>67</v>
      </c>
      <c r="S3348" s="4">
        <v>1</v>
      </c>
      <c r="T3348" s="4">
        <v>1</v>
      </c>
      <c r="U3348" s="5" t="s">
        <v>13953</v>
      </c>
      <c r="V3348" s="5" t="s">
        <v>13953</v>
      </c>
      <c r="W3348" s="5" t="s">
        <v>69</v>
      </c>
      <c r="X3348" s="5" t="s">
        <v>69</v>
      </c>
      <c r="Y3348" s="4">
        <v>120</v>
      </c>
      <c r="Z3348" s="4">
        <v>11</v>
      </c>
      <c r="AA3348" s="4">
        <v>23</v>
      </c>
      <c r="AB3348" s="4">
        <v>1</v>
      </c>
      <c r="AC3348" s="4">
        <v>3</v>
      </c>
      <c r="AD3348" s="4">
        <v>60</v>
      </c>
      <c r="AE3348" s="4">
        <v>63</v>
      </c>
      <c r="AF3348" s="4">
        <v>0</v>
      </c>
      <c r="AG3348" s="4">
        <v>0</v>
      </c>
      <c r="AH3348" s="4">
        <v>58</v>
      </c>
      <c r="AI3348" s="4">
        <v>60</v>
      </c>
      <c r="AJ3348" s="4">
        <v>8</v>
      </c>
      <c r="AK3348" s="4">
        <v>8</v>
      </c>
      <c r="AL3348" s="4">
        <v>38</v>
      </c>
      <c r="AM3348" s="4">
        <v>39</v>
      </c>
      <c r="AN3348" s="4">
        <v>0</v>
      </c>
      <c r="AO3348" s="4">
        <v>0</v>
      </c>
      <c r="AP3348" s="4">
        <v>8</v>
      </c>
      <c r="AQ3348" s="4">
        <v>9</v>
      </c>
      <c r="AR3348" s="3" t="s">
        <v>63</v>
      </c>
      <c r="AS3348" s="3" t="s">
        <v>63</v>
      </c>
      <c r="AT3348" s="3" t="s">
        <v>63</v>
      </c>
      <c r="AV3348" s="6" t="str">
        <f>HYPERLINK("http://mcgill.on.worldcat.org/oclc/783162453","Catalog Record")</f>
        <v>Catalog Record</v>
      </c>
      <c r="AW3348" s="6" t="str">
        <f>HYPERLINK("http://www.worldcat.org/oclc/783162453","WorldCat Record")</f>
        <v>WorldCat Record</v>
      </c>
      <c r="AX3348" s="3" t="s">
        <v>28060</v>
      </c>
      <c r="AY3348" s="3" t="s">
        <v>28061</v>
      </c>
      <c r="AZ3348" s="3" t="s">
        <v>28062</v>
      </c>
      <c r="BA3348" s="3" t="s">
        <v>28062</v>
      </c>
      <c r="BB3348" s="3" t="s">
        <v>28063</v>
      </c>
      <c r="BC3348" s="3" t="s">
        <v>82</v>
      </c>
      <c r="BD3348" s="3" t="s">
        <v>70</v>
      </c>
      <c r="BE3348" s="3" t="s">
        <v>28064</v>
      </c>
      <c r="BF3348" s="3" t="s">
        <v>28063</v>
      </c>
      <c r="BG3348" s="3" t="s">
        <v>28065</v>
      </c>
    </row>
    <row r="3349" spans="1:59" ht="60" x14ac:dyDescent="0.25">
      <c r="A3349" s="2" t="s">
        <v>59</v>
      </c>
      <c r="B3349" s="2" t="s">
        <v>60</v>
      </c>
      <c r="C3349" s="2" t="s">
        <v>28066</v>
      </c>
      <c r="D3349" s="2" t="s">
        <v>28067</v>
      </c>
      <c r="E3349" s="2" t="s">
        <v>28068</v>
      </c>
      <c r="G3349" s="3" t="s">
        <v>63</v>
      </c>
      <c r="I3349" s="3" t="s">
        <v>63</v>
      </c>
      <c r="J3349" s="3" t="s">
        <v>63</v>
      </c>
      <c r="K3349" s="3" t="s">
        <v>64</v>
      </c>
      <c r="L3349" s="2" t="s">
        <v>18968</v>
      </c>
      <c r="M3349" s="2" t="s">
        <v>28069</v>
      </c>
      <c r="N3349" s="3" t="s">
        <v>826</v>
      </c>
      <c r="P3349" s="3" t="s">
        <v>66</v>
      </c>
      <c r="R3349" s="3" t="s">
        <v>67</v>
      </c>
      <c r="S3349" s="4">
        <v>43</v>
      </c>
      <c r="T3349" s="4">
        <v>43</v>
      </c>
      <c r="U3349" s="5" t="s">
        <v>4911</v>
      </c>
      <c r="V3349" s="5" t="s">
        <v>4911</v>
      </c>
      <c r="W3349" s="5" t="s">
        <v>69</v>
      </c>
      <c r="X3349" s="5" t="s">
        <v>69</v>
      </c>
      <c r="Y3349" s="4">
        <v>465</v>
      </c>
      <c r="Z3349" s="4">
        <v>19</v>
      </c>
      <c r="AA3349" s="4">
        <v>25</v>
      </c>
      <c r="AB3349" s="4">
        <v>2</v>
      </c>
      <c r="AC3349" s="4">
        <v>2</v>
      </c>
      <c r="AD3349" s="4">
        <v>110</v>
      </c>
      <c r="AE3349" s="4">
        <v>120</v>
      </c>
      <c r="AF3349" s="4">
        <v>1</v>
      </c>
      <c r="AG3349" s="4">
        <v>1</v>
      </c>
      <c r="AH3349" s="4">
        <v>96</v>
      </c>
      <c r="AI3349" s="4">
        <v>102</v>
      </c>
      <c r="AJ3349" s="4">
        <v>12</v>
      </c>
      <c r="AK3349" s="4">
        <v>15</v>
      </c>
      <c r="AL3349" s="4">
        <v>58</v>
      </c>
      <c r="AM3349" s="4">
        <v>58</v>
      </c>
      <c r="AN3349" s="4">
        <v>0</v>
      </c>
      <c r="AO3349" s="4">
        <v>0</v>
      </c>
      <c r="AP3349" s="4">
        <v>15</v>
      </c>
      <c r="AQ3349" s="4">
        <v>20</v>
      </c>
      <c r="AR3349" s="3" t="s">
        <v>63</v>
      </c>
      <c r="AS3349" s="3" t="s">
        <v>63</v>
      </c>
      <c r="AT3349" s="3" t="s">
        <v>62</v>
      </c>
      <c r="AU3349" s="6" t="str">
        <f>HYPERLINK("http://catalog.hathitrust.org/Record/001060723","HathiTrust Record")</f>
        <v>HathiTrust Record</v>
      </c>
      <c r="AV3349" s="6" t="str">
        <f>HYPERLINK("http://mcgill.on.worldcat.org/oclc/163821","Catalog Record")</f>
        <v>Catalog Record</v>
      </c>
      <c r="AW3349" s="6" t="str">
        <f>HYPERLINK("http://www.worldcat.org/oclc/163821","WorldCat Record")</f>
        <v>WorldCat Record</v>
      </c>
      <c r="AX3349" s="3" t="s">
        <v>28070</v>
      </c>
      <c r="AY3349" s="3" t="s">
        <v>28071</v>
      </c>
      <c r="AZ3349" s="3" t="s">
        <v>28072</v>
      </c>
      <c r="BA3349" s="3" t="s">
        <v>28072</v>
      </c>
      <c r="BB3349" s="3" t="s">
        <v>28073</v>
      </c>
      <c r="BC3349" s="3" t="s">
        <v>82</v>
      </c>
      <c r="BD3349" s="3" t="s">
        <v>70</v>
      </c>
      <c r="BE3349" s="3" t="s">
        <v>28074</v>
      </c>
      <c r="BF3349" s="3" t="s">
        <v>28073</v>
      </c>
      <c r="BG3349" s="3" t="s">
        <v>28075</v>
      </c>
    </row>
    <row r="3350" spans="1:59" ht="60" x14ac:dyDescent="0.25">
      <c r="A3350" s="2" t="s">
        <v>59</v>
      </c>
      <c r="B3350" s="2" t="s">
        <v>60</v>
      </c>
      <c r="C3350" s="2" t="s">
        <v>28076</v>
      </c>
      <c r="D3350" s="2" t="s">
        <v>28077</v>
      </c>
      <c r="E3350" s="2" t="s">
        <v>28078</v>
      </c>
      <c r="G3350" s="3" t="s">
        <v>63</v>
      </c>
      <c r="I3350" s="3" t="s">
        <v>63</v>
      </c>
      <c r="J3350" s="3" t="s">
        <v>63</v>
      </c>
      <c r="K3350" s="3" t="s">
        <v>64</v>
      </c>
      <c r="L3350" s="2" t="s">
        <v>18968</v>
      </c>
      <c r="M3350" s="2" t="s">
        <v>28079</v>
      </c>
      <c r="N3350" s="3" t="s">
        <v>76</v>
      </c>
      <c r="P3350" s="3" t="s">
        <v>66</v>
      </c>
      <c r="Q3350" s="2" t="s">
        <v>4515</v>
      </c>
      <c r="R3350" s="3" t="s">
        <v>67</v>
      </c>
      <c r="S3350" s="4">
        <v>12</v>
      </c>
      <c r="T3350" s="4">
        <v>12</v>
      </c>
      <c r="U3350" s="5" t="s">
        <v>4911</v>
      </c>
      <c r="V3350" s="5" t="s">
        <v>4911</v>
      </c>
      <c r="W3350" s="5" t="s">
        <v>69</v>
      </c>
      <c r="X3350" s="5" t="s">
        <v>69</v>
      </c>
      <c r="Y3350" s="4">
        <v>132</v>
      </c>
      <c r="Z3350" s="4">
        <v>7</v>
      </c>
      <c r="AA3350" s="4">
        <v>13</v>
      </c>
      <c r="AB3350" s="4">
        <v>1</v>
      </c>
      <c r="AC3350" s="4">
        <v>3</v>
      </c>
      <c r="AD3350" s="4">
        <v>52</v>
      </c>
      <c r="AE3350" s="4">
        <v>54</v>
      </c>
      <c r="AF3350" s="4">
        <v>0</v>
      </c>
      <c r="AG3350" s="4">
        <v>0</v>
      </c>
      <c r="AH3350" s="4">
        <v>50</v>
      </c>
      <c r="AI3350" s="4">
        <v>51</v>
      </c>
      <c r="AJ3350" s="4">
        <v>4</v>
      </c>
      <c r="AK3350" s="4">
        <v>4</v>
      </c>
      <c r="AL3350" s="4">
        <v>35</v>
      </c>
      <c r="AM3350" s="4">
        <v>35</v>
      </c>
      <c r="AN3350" s="4">
        <v>0</v>
      </c>
      <c r="AO3350" s="4">
        <v>0</v>
      </c>
      <c r="AP3350" s="4">
        <v>4</v>
      </c>
      <c r="AQ3350" s="4">
        <v>5</v>
      </c>
      <c r="AR3350" s="3" t="s">
        <v>63</v>
      </c>
      <c r="AS3350" s="3" t="s">
        <v>63</v>
      </c>
      <c r="AT3350" s="3" t="s">
        <v>63</v>
      </c>
      <c r="AV3350" s="6" t="str">
        <f>HYPERLINK("http://mcgill.on.worldcat.org/oclc/783161382","Catalog Record")</f>
        <v>Catalog Record</v>
      </c>
      <c r="AW3350" s="6" t="str">
        <f>HYPERLINK("http://www.worldcat.org/oclc/783161382","WorldCat Record")</f>
        <v>WorldCat Record</v>
      </c>
      <c r="AX3350" s="3" t="s">
        <v>28080</v>
      </c>
      <c r="AY3350" s="3" t="s">
        <v>28081</v>
      </c>
      <c r="AZ3350" s="3" t="s">
        <v>28082</v>
      </c>
      <c r="BA3350" s="3" t="s">
        <v>28082</v>
      </c>
      <c r="BB3350" s="3" t="s">
        <v>28083</v>
      </c>
      <c r="BC3350" s="3" t="s">
        <v>82</v>
      </c>
      <c r="BD3350" s="3" t="s">
        <v>70</v>
      </c>
      <c r="BE3350" s="3" t="s">
        <v>28084</v>
      </c>
      <c r="BF3350" s="3" t="s">
        <v>28083</v>
      </c>
      <c r="BG3350" s="3" t="s">
        <v>28085</v>
      </c>
    </row>
    <row r="3351" spans="1:59" ht="60" x14ac:dyDescent="0.25">
      <c r="A3351" s="2" t="s">
        <v>59</v>
      </c>
      <c r="B3351" s="2" t="s">
        <v>60</v>
      </c>
      <c r="C3351" s="2" t="s">
        <v>28086</v>
      </c>
      <c r="D3351" s="2" t="s">
        <v>28087</v>
      </c>
      <c r="E3351" s="2" t="s">
        <v>28088</v>
      </c>
      <c r="G3351" s="3" t="s">
        <v>63</v>
      </c>
      <c r="I3351" s="3" t="s">
        <v>63</v>
      </c>
      <c r="J3351" s="3" t="s">
        <v>63</v>
      </c>
      <c r="K3351" s="3" t="s">
        <v>64</v>
      </c>
      <c r="L3351" s="2" t="s">
        <v>18968</v>
      </c>
      <c r="M3351" s="2" t="s">
        <v>28089</v>
      </c>
      <c r="N3351" s="3" t="s">
        <v>401</v>
      </c>
      <c r="P3351" s="3" t="s">
        <v>90</v>
      </c>
      <c r="R3351" s="3" t="s">
        <v>67</v>
      </c>
      <c r="S3351" s="4">
        <v>10</v>
      </c>
      <c r="T3351" s="4">
        <v>10</v>
      </c>
      <c r="U3351" s="5" t="s">
        <v>13148</v>
      </c>
      <c r="V3351" s="5" t="s">
        <v>13148</v>
      </c>
      <c r="W3351" s="5" t="s">
        <v>69</v>
      </c>
      <c r="X3351" s="5" t="s">
        <v>69</v>
      </c>
      <c r="Y3351" s="4">
        <v>1</v>
      </c>
      <c r="Z3351" s="4">
        <v>1</v>
      </c>
      <c r="AA3351" s="4">
        <v>1</v>
      </c>
      <c r="AB3351" s="4">
        <v>1</v>
      </c>
      <c r="AC3351" s="4">
        <v>1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3" t="s">
        <v>63</v>
      </c>
      <c r="AS3351" s="3" t="s">
        <v>63</v>
      </c>
      <c r="AT3351" s="3" t="s">
        <v>62</v>
      </c>
      <c r="AU3351" s="6" t="str">
        <f>HYPERLINK("http://catalog.hathitrust.org/Record/001060724","HathiTrust Record")</f>
        <v>HathiTrust Record</v>
      </c>
      <c r="AV3351" s="6" t="str">
        <f>HYPERLINK("http://mcgill.on.worldcat.org/oclc/427511000","Catalog Record")</f>
        <v>Catalog Record</v>
      </c>
      <c r="AW3351" s="6" t="str">
        <f>HYPERLINK("http://www.worldcat.org/oclc/427511000","WorldCat Record")</f>
        <v>WorldCat Record</v>
      </c>
      <c r="AX3351" s="3" t="s">
        <v>28090</v>
      </c>
      <c r="AY3351" s="3" t="s">
        <v>28091</v>
      </c>
      <c r="AZ3351" s="3" t="s">
        <v>28092</v>
      </c>
      <c r="BA3351" s="3" t="s">
        <v>28092</v>
      </c>
      <c r="BB3351" s="3" t="s">
        <v>28093</v>
      </c>
      <c r="BC3351" s="3" t="s">
        <v>82</v>
      </c>
      <c r="BD3351" s="3" t="s">
        <v>70</v>
      </c>
      <c r="BF3351" s="3" t="s">
        <v>28093</v>
      </c>
      <c r="BG3351" s="3" t="s">
        <v>28094</v>
      </c>
    </row>
    <row r="3352" spans="1:59" ht="60" x14ac:dyDescent="0.25">
      <c r="A3352" s="2" t="s">
        <v>59</v>
      </c>
      <c r="B3352" s="2" t="s">
        <v>60</v>
      </c>
      <c r="C3352" s="2" t="s">
        <v>28206</v>
      </c>
      <c r="D3352" s="2" t="s">
        <v>28207</v>
      </c>
      <c r="E3352" s="2" t="s">
        <v>28208</v>
      </c>
      <c r="F3352" s="3" t="s">
        <v>3650</v>
      </c>
      <c r="G3352" s="3" t="s">
        <v>62</v>
      </c>
      <c r="I3352" s="3" t="s">
        <v>63</v>
      </c>
      <c r="J3352" s="3" t="s">
        <v>63</v>
      </c>
      <c r="K3352" s="3" t="s">
        <v>64</v>
      </c>
      <c r="L3352" s="2" t="s">
        <v>28098</v>
      </c>
      <c r="M3352" s="2" t="s">
        <v>28209</v>
      </c>
      <c r="N3352" s="3" t="s">
        <v>1916</v>
      </c>
      <c r="P3352" s="3" t="s">
        <v>90</v>
      </c>
      <c r="R3352" s="3" t="s">
        <v>67</v>
      </c>
      <c r="S3352" s="4">
        <v>7</v>
      </c>
      <c r="T3352" s="4">
        <v>34</v>
      </c>
      <c r="U3352" s="5" t="s">
        <v>5153</v>
      </c>
      <c r="V3352" s="5" t="s">
        <v>5153</v>
      </c>
      <c r="W3352" s="5" t="s">
        <v>69</v>
      </c>
      <c r="X3352" s="5" t="s">
        <v>69</v>
      </c>
      <c r="Y3352" s="4">
        <v>7</v>
      </c>
      <c r="Z3352" s="4">
        <v>2</v>
      </c>
      <c r="AA3352" s="4">
        <v>7</v>
      </c>
      <c r="AB3352" s="4">
        <v>1</v>
      </c>
      <c r="AC3352" s="4">
        <v>1</v>
      </c>
      <c r="AD3352" s="4">
        <v>5</v>
      </c>
      <c r="AE3352" s="4">
        <v>33</v>
      </c>
      <c r="AF3352" s="4">
        <v>0</v>
      </c>
      <c r="AG3352" s="4">
        <v>0</v>
      </c>
      <c r="AH3352" s="4">
        <v>4</v>
      </c>
      <c r="AI3352" s="4">
        <v>32</v>
      </c>
      <c r="AJ3352" s="4">
        <v>1</v>
      </c>
      <c r="AK3352" s="4">
        <v>3</v>
      </c>
      <c r="AL3352" s="4">
        <v>4</v>
      </c>
      <c r="AM3352" s="4">
        <v>23</v>
      </c>
      <c r="AN3352" s="4">
        <v>0</v>
      </c>
      <c r="AO3352" s="4">
        <v>0</v>
      </c>
      <c r="AP3352" s="4">
        <v>1</v>
      </c>
      <c r="AQ3352" s="4">
        <v>3</v>
      </c>
      <c r="AR3352" s="3" t="s">
        <v>63</v>
      </c>
      <c r="AS3352" s="3" t="s">
        <v>63</v>
      </c>
      <c r="AT3352" s="3" t="s">
        <v>63</v>
      </c>
      <c r="AV3352" s="6" t="str">
        <f>HYPERLINK("http://mcgill.on.worldcat.org/oclc/123194059","Catalog Record")</f>
        <v>Catalog Record</v>
      </c>
      <c r="AW3352" s="6" t="str">
        <f>HYPERLINK("http://www.worldcat.org/oclc/123194059","WorldCat Record")</f>
        <v>WorldCat Record</v>
      </c>
      <c r="AX3352" s="3" t="s">
        <v>28210</v>
      </c>
      <c r="AY3352" s="3" t="s">
        <v>28211</v>
      </c>
      <c r="AZ3352" s="3" t="s">
        <v>28212</v>
      </c>
      <c r="BA3352" s="3" t="s">
        <v>28212</v>
      </c>
      <c r="BB3352" s="3" t="s">
        <v>28213</v>
      </c>
      <c r="BC3352" s="3" t="s">
        <v>82</v>
      </c>
      <c r="BD3352" s="3" t="s">
        <v>70</v>
      </c>
      <c r="BF3352" s="3" t="s">
        <v>28213</v>
      </c>
      <c r="BG3352" s="3" t="s">
        <v>28214</v>
      </c>
    </row>
    <row r="3353" spans="1:59" ht="60" x14ac:dyDescent="0.25">
      <c r="A3353" s="2" t="s">
        <v>59</v>
      </c>
      <c r="B3353" s="2" t="s">
        <v>60</v>
      </c>
      <c r="C3353" s="2" t="s">
        <v>28206</v>
      </c>
      <c r="D3353" s="2" t="s">
        <v>28207</v>
      </c>
      <c r="E3353" s="2" t="s">
        <v>28208</v>
      </c>
      <c r="F3353" s="3" t="s">
        <v>3638</v>
      </c>
      <c r="G3353" s="3" t="s">
        <v>62</v>
      </c>
      <c r="I3353" s="3" t="s">
        <v>63</v>
      </c>
      <c r="J3353" s="3" t="s">
        <v>63</v>
      </c>
      <c r="K3353" s="3" t="s">
        <v>64</v>
      </c>
      <c r="L3353" s="2" t="s">
        <v>28098</v>
      </c>
      <c r="M3353" s="2" t="s">
        <v>28209</v>
      </c>
      <c r="N3353" s="3" t="s">
        <v>1916</v>
      </c>
      <c r="P3353" s="3" t="s">
        <v>90</v>
      </c>
      <c r="R3353" s="3" t="s">
        <v>67</v>
      </c>
      <c r="S3353" s="4">
        <v>7</v>
      </c>
      <c r="T3353" s="4">
        <v>34</v>
      </c>
      <c r="U3353" s="5" t="s">
        <v>5153</v>
      </c>
      <c r="V3353" s="5" t="s">
        <v>5153</v>
      </c>
      <c r="W3353" s="5" t="s">
        <v>69</v>
      </c>
      <c r="X3353" s="5" t="s">
        <v>69</v>
      </c>
      <c r="Y3353" s="4">
        <v>7</v>
      </c>
      <c r="Z3353" s="4">
        <v>2</v>
      </c>
      <c r="AA3353" s="4">
        <v>7</v>
      </c>
      <c r="AB3353" s="4">
        <v>1</v>
      </c>
      <c r="AC3353" s="4">
        <v>1</v>
      </c>
      <c r="AD3353" s="4">
        <v>5</v>
      </c>
      <c r="AE3353" s="4">
        <v>33</v>
      </c>
      <c r="AF3353" s="4">
        <v>0</v>
      </c>
      <c r="AG3353" s="4">
        <v>0</v>
      </c>
      <c r="AH3353" s="4">
        <v>4</v>
      </c>
      <c r="AI3353" s="4">
        <v>32</v>
      </c>
      <c r="AJ3353" s="4">
        <v>1</v>
      </c>
      <c r="AK3353" s="4">
        <v>3</v>
      </c>
      <c r="AL3353" s="4">
        <v>4</v>
      </c>
      <c r="AM3353" s="4">
        <v>23</v>
      </c>
      <c r="AN3353" s="4">
        <v>0</v>
      </c>
      <c r="AO3353" s="4">
        <v>0</v>
      </c>
      <c r="AP3353" s="4">
        <v>1</v>
      </c>
      <c r="AQ3353" s="4">
        <v>3</v>
      </c>
      <c r="AR3353" s="3" t="s">
        <v>63</v>
      </c>
      <c r="AS3353" s="3" t="s">
        <v>63</v>
      </c>
      <c r="AT3353" s="3" t="s">
        <v>63</v>
      </c>
      <c r="AV3353" s="6" t="str">
        <f>HYPERLINK("http://mcgill.on.worldcat.org/oclc/123194059","Catalog Record")</f>
        <v>Catalog Record</v>
      </c>
      <c r="AW3353" s="6" t="str">
        <f>HYPERLINK("http://www.worldcat.org/oclc/123194059","WorldCat Record")</f>
        <v>WorldCat Record</v>
      </c>
      <c r="AX3353" s="3" t="s">
        <v>28210</v>
      </c>
      <c r="AY3353" s="3" t="s">
        <v>28211</v>
      </c>
      <c r="AZ3353" s="3" t="s">
        <v>28212</v>
      </c>
      <c r="BA3353" s="3" t="s">
        <v>28212</v>
      </c>
      <c r="BB3353" s="3" t="s">
        <v>28215</v>
      </c>
      <c r="BC3353" s="3" t="s">
        <v>82</v>
      </c>
      <c r="BD3353" s="3" t="s">
        <v>70</v>
      </c>
      <c r="BF3353" s="3" t="s">
        <v>28215</v>
      </c>
      <c r="BG3353" s="3" t="s">
        <v>28216</v>
      </c>
    </row>
    <row r="3354" spans="1:59" ht="60" x14ac:dyDescent="0.25">
      <c r="A3354" s="2" t="s">
        <v>59</v>
      </c>
      <c r="B3354" s="2" t="s">
        <v>60</v>
      </c>
      <c r="C3354" s="2" t="s">
        <v>28206</v>
      </c>
      <c r="D3354" s="2" t="s">
        <v>28207</v>
      </c>
      <c r="E3354" s="2" t="s">
        <v>28208</v>
      </c>
      <c r="F3354" s="3" t="s">
        <v>3653</v>
      </c>
      <c r="G3354" s="3" t="s">
        <v>62</v>
      </c>
      <c r="I3354" s="3" t="s">
        <v>63</v>
      </c>
      <c r="J3354" s="3" t="s">
        <v>63</v>
      </c>
      <c r="K3354" s="3" t="s">
        <v>64</v>
      </c>
      <c r="L3354" s="2" t="s">
        <v>28098</v>
      </c>
      <c r="M3354" s="2" t="s">
        <v>28209</v>
      </c>
      <c r="N3354" s="3" t="s">
        <v>1916</v>
      </c>
      <c r="P3354" s="3" t="s">
        <v>90</v>
      </c>
      <c r="R3354" s="3" t="s">
        <v>67</v>
      </c>
      <c r="S3354" s="4">
        <v>8</v>
      </c>
      <c r="T3354" s="4">
        <v>34</v>
      </c>
      <c r="U3354" s="5" t="s">
        <v>5153</v>
      </c>
      <c r="V3354" s="5" t="s">
        <v>5153</v>
      </c>
      <c r="W3354" s="5" t="s">
        <v>69</v>
      </c>
      <c r="X3354" s="5" t="s">
        <v>69</v>
      </c>
      <c r="Y3354" s="4">
        <v>7</v>
      </c>
      <c r="Z3354" s="4">
        <v>2</v>
      </c>
      <c r="AA3354" s="4">
        <v>7</v>
      </c>
      <c r="AB3354" s="4">
        <v>1</v>
      </c>
      <c r="AC3354" s="4">
        <v>1</v>
      </c>
      <c r="AD3354" s="4">
        <v>5</v>
      </c>
      <c r="AE3354" s="4">
        <v>33</v>
      </c>
      <c r="AF3354" s="4">
        <v>0</v>
      </c>
      <c r="AG3354" s="4">
        <v>0</v>
      </c>
      <c r="AH3354" s="4">
        <v>4</v>
      </c>
      <c r="AI3354" s="4">
        <v>32</v>
      </c>
      <c r="AJ3354" s="4">
        <v>1</v>
      </c>
      <c r="AK3354" s="4">
        <v>3</v>
      </c>
      <c r="AL3354" s="4">
        <v>4</v>
      </c>
      <c r="AM3354" s="4">
        <v>23</v>
      </c>
      <c r="AN3354" s="4">
        <v>0</v>
      </c>
      <c r="AO3354" s="4">
        <v>0</v>
      </c>
      <c r="AP3354" s="4">
        <v>1</v>
      </c>
      <c r="AQ3354" s="4">
        <v>3</v>
      </c>
      <c r="AR3354" s="3" t="s">
        <v>63</v>
      </c>
      <c r="AS3354" s="3" t="s">
        <v>63</v>
      </c>
      <c r="AT3354" s="3" t="s">
        <v>63</v>
      </c>
      <c r="AV3354" s="6" t="str">
        <f>HYPERLINK("http://mcgill.on.worldcat.org/oclc/123194059","Catalog Record")</f>
        <v>Catalog Record</v>
      </c>
      <c r="AW3354" s="6" t="str">
        <f>HYPERLINK("http://www.worldcat.org/oclc/123194059","WorldCat Record")</f>
        <v>WorldCat Record</v>
      </c>
      <c r="AX3354" s="3" t="s">
        <v>28210</v>
      </c>
      <c r="AY3354" s="3" t="s">
        <v>28211</v>
      </c>
      <c r="AZ3354" s="3" t="s">
        <v>28212</v>
      </c>
      <c r="BA3354" s="3" t="s">
        <v>28212</v>
      </c>
      <c r="BB3354" s="3" t="s">
        <v>28217</v>
      </c>
      <c r="BC3354" s="3" t="s">
        <v>82</v>
      </c>
      <c r="BD3354" s="3" t="s">
        <v>70</v>
      </c>
      <c r="BF3354" s="3" t="s">
        <v>28217</v>
      </c>
      <c r="BG3354" s="3" t="s">
        <v>28218</v>
      </c>
    </row>
    <row r="3355" spans="1:59" ht="60" x14ac:dyDescent="0.25">
      <c r="A3355" s="2" t="s">
        <v>59</v>
      </c>
      <c r="B3355" s="2" t="s">
        <v>60</v>
      </c>
      <c r="C3355" s="2" t="s">
        <v>28206</v>
      </c>
      <c r="D3355" s="2" t="s">
        <v>28207</v>
      </c>
      <c r="E3355" s="2" t="s">
        <v>28208</v>
      </c>
      <c r="F3355" s="3" t="s">
        <v>13788</v>
      </c>
      <c r="G3355" s="3" t="s">
        <v>62</v>
      </c>
      <c r="I3355" s="3" t="s">
        <v>63</v>
      </c>
      <c r="J3355" s="3" t="s">
        <v>63</v>
      </c>
      <c r="K3355" s="3" t="s">
        <v>64</v>
      </c>
      <c r="L3355" s="2" t="s">
        <v>28098</v>
      </c>
      <c r="M3355" s="2" t="s">
        <v>28209</v>
      </c>
      <c r="N3355" s="3" t="s">
        <v>1916</v>
      </c>
      <c r="P3355" s="3" t="s">
        <v>90</v>
      </c>
      <c r="R3355" s="3" t="s">
        <v>67</v>
      </c>
      <c r="S3355" s="4">
        <v>0</v>
      </c>
      <c r="T3355" s="4">
        <v>34</v>
      </c>
      <c r="V3355" s="5" t="s">
        <v>5153</v>
      </c>
      <c r="W3355" s="5" t="s">
        <v>69</v>
      </c>
      <c r="X3355" s="5" t="s">
        <v>69</v>
      </c>
      <c r="Y3355" s="4">
        <v>7</v>
      </c>
      <c r="Z3355" s="4">
        <v>2</v>
      </c>
      <c r="AA3355" s="4">
        <v>7</v>
      </c>
      <c r="AB3355" s="4">
        <v>1</v>
      </c>
      <c r="AC3355" s="4">
        <v>1</v>
      </c>
      <c r="AD3355" s="4">
        <v>5</v>
      </c>
      <c r="AE3355" s="4">
        <v>33</v>
      </c>
      <c r="AF3355" s="4">
        <v>0</v>
      </c>
      <c r="AG3355" s="4">
        <v>0</v>
      </c>
      <c r="AH3355" s="4">
        <v>4</v>
      </c>
      <c r="AI3355" s="4">
        <v>32</v>
      </c>
      <c r="AJ3355" s="4">
        <v>1</v>
      </c>
      <c r="AK3355" s="4">
        <v>3</v>
      </c>
      <c r="AL3355" s="4">
        <v>4</v>
      </c>
      <c r="AM3355" s="4">
        <v>23</v>
      </c>
      <c r="AN3355" s="4">
        <v>0</v>
      </c>
      <c r="AO3355" s="4">
        <v>0</v>
      </c>
      <c r="AP3355" s="4">
        <v>1</v>
      </c>
      <c r="AQ3355" s="4">
        <v>3</v>
      </c>
      <c r="AR3355" s="3" t="s">
        <v>63</v>
      </c>
      <c r="AS3355" s="3" t="s">
        <v>63</v>
      </c>
      <c r="AT3355" s="3" t="s">
        <v>63</v>
      </c>
      <c r="AV3355" s="6" t="str">
        <f>HYPERLINK("http://mcgill.on.worldcat.org/oclc/123194059","Catalog Record")</f>
        <v>Catalog Record</v>
      </c>
      <c r="AW3355" s="6" t="str">
        <f>HYPERLINK("http://www.worldcat.org/oclc/123194059","WorldCat Record")</f>
        <v>WorldCat Record</v>
      </c>
      <c r="AX3355" s="3" t="s">
        <v>28210</v>
      </c>
      <c r="AY3355" s="3" t="s">
        <v>28211</v>
      </c>
      <c r="AZ3355" s="3" t="s">
        <v>28212</v>
      </c>
      <c r="BA3355" s="3" t="s">
        <v>28212</v>
      </c>
      <c r="BB3355" s="3" t="s">
        <v>28219</v>
      </c>
      <c r="BC3355" s="3" t="s">
        <v>82</v>
      </c>
      <c r="BD3355" s="3" t="s">
        <v>70</v>
      </c>
      <c r="BF3355" s="3" t="s">
        <v>28219</v>
      </c>
      <c r="BG3355" s="3" t="s">
        <v>28220</v>
      </c>
    </row>
    <row r="3356" spans="1:59" ht="60" x14ac:dyDescent="0.25">
      <c r="A3356" s="2" t="s">
        <v>59</v>
      </c>
      <c r="B3356" s="2" t="s">
        <v>60</v>
      </c>
      <c r="C3356" s="2" t="s">
        <v>28206</v>
      </c>
      <c r="D3356" s="2" t="s">
        <v>28207</v>
      </c>
      <c r="E3356" s="2" t="s">
        <v>28208</v>
      </c>
      <c r="F3356" s="3" t="s">
        <v>13795</v>
      </c>
      <c r="G3356" s="3" t="s">
        <v>62</v>
      </c>
      <c r="I3356" s="3" t="s">
        <v>63</v>
      </c>
      <c r="J3356" s="3" t="s">
        <v>63</v>
      </c>
      <c r="K3356" s="3" t="s">
        <v>64</v>
      </c>
      <c r="L3356" s="2" t="s">
        <v>28098</v>
      </c>
      <c r="M3356" s="2" t="s">
        <v>28209</v>
      </c>
      <c r="N3356" s="3" t="s">
        <v>1916</v>
      </c>
      <c r="P3356" s="3" t="s">
        <v>90</v>
      </c>
      <c r="R3356" s="3" t="s">
        <v>67</v>
      </c>
      <c r="S3356" s="4">
        <v>0</v>
      </c>
      <c r="T3356" s="4">
        <v>34</v>
      </c>
      <c r="V3356" s="5" t="s">
        <v>5153</v>
      </c>
      <c r="W3356" s="5" t="s">
        <v>69</v>
      </c>
      <c r="X3356" s="5" t="s">
        <v>69</v>
      </c>
      <c r="Y3356" s="4">
        <v>7</v>
      </c>
      <c r="Z3356" s="4">
        <v>2</v>
      </c>
      <c r="AA3356" s="4">
        <v>7</v>
      </c>
      <c r="AB3356" s="4">
        <v>1</v>
      </c>
      <c r="AC3356" s="4">
        <v>1</v>
      </c>
      <c r="AD3356" s="4">
        <v>5</v>
      </c>
      <c r="AE3356" s="4">
        <v>33</v>
      </c>
      <c r="AF3356" s="4">
        <v>0</v>
      </c>
      <c r="AG3356" s="4">
        <v>0</v>
      </c>
      <c r="AH3356" s="4">
        <v>4</v>
      </c>
      <c r="AI3356" s="4">
        <v>32</v>
      </c>
      <c r="AJ3356" s="4">
        <v>1</v>
      </c>
      <c r="AK3356" s="4">
        <v>3</v>
      </c>
      <c r="AL3356" s="4">
        <v>4</v>
      </c>
      <c r="AM3356" s="4">
        <v>23</v>
      </c>
      <c r="AN3356" s="4">
        <v>0</v>
      </c>
      <c r="AO3356" s="4">
        <v>0</v>
      </c>
      <c r="AP3356" s="4">
        <v>1</v>
      </c>
      <c r="AQ3356" s="4">
        <v>3</v>
      </c>
      <c r="AR3356" s="3" t="s">
        <v>63</v>
      </c>
      <c r="AS3356" s="3" t="s">
        <v>63</v>
      </c>
      <c r="AT3356" s="3" t="s">
        <v>63</v>
      </c>
      <c r="AV3356" s="6" t="str">
        <f>HYPERLINK("http://mcgill.on.worldcat.org/oclc/123194059","Catalog Record")</f>
        <v>Catalog Record</v>
      </c>
      <c r="AW3356" s="6" t="str">
        <f>HYPERLINK("http://www.worldcat.org/oclc/123194059","WorldCat Record")</f>
        <v>WorldCat Record</v>
      </c>
      <c r="AX3356" s="3" t="s">
        <v>28210</v>
      </c>
      <c r="AY3356" s="3" t="s">
        <v>28211</v>
      </c>
      <c r="AZ3356" s="3" t="s">
        <v>28212</v>
      </c>
      <c r="BA3356" s="3" t="s">
        <v>28212</v>
      </c>
      <c r="BB3356" s="3" t="s">
        <v>28221</v>
      </c>
      <c r="BC3356" s="3" t="s">
        <v>82</v>
      </c>
      <c r="BD3356" s="3" t="s">
        <v>70</v>
      </c>
      <c r="BF3356" s="3" t="s">
        <v>28221</v>
      </c>
      <c r="BG3356" s="3" t="s">
        <v>28222</v>
      </c>
    </row>
    <row r="3357" spans="1:59" ht="60" x14ac:dyDescent="0.25">
      <c r="A3357" s="2" t="s">
        <v>59</v>
      </c>
      <c r="B3357" s="2" t="s">
        <v>60</v>
      </c>
      <c r="C3357" s="2" t="s">
        <v>28206</v>
      </c>
      <c r="D3357" s="2" t="s">
        <v>28207</v>
      </c>
      <c r="E3357" s="2" t="s">
        <v>28208</v>
      </c>
      <c r="F3357" s="3" t="s">
        <v>3647</v>
      </c>
      <c r="G3357" s="3" t="s">
        <v>62</v>
      </c>
      <c r="I3357" s="3" t="s">
        <v>63</v>
      </c>
      <c r="J3357" s="3" t="s">
        <v>63</v>
      </c>
      <c r="K3357" s="3" t="s">
        <v>64</v>
      </c>
      <c r="L3357" s="2" t="s">
        <v>28098</v>
      </c>
      <c r="M3357" s="2" t="s">
        <v>28209</v>
      </c>
      <c r="N3357" s="3" t="s">
        <v>1916</v>
      </c>
      <c r="P3357" s="3" t="s">
        <v>90</v>
      </c>
      <c r="R3357" s="3" t="s">
        <v>67</v>
      </c>
      <c r="S3357" s="4">
        <v>6</v>
      </c>
      <c r="T3357" s="4">
        <v>34</v>
      </c>
      <c r="U3357" s="5" t="s">
        <v>5153</v>
      </c>
      <c r="V3357" s="5" t="s">
        <v>5153</v>
      </c>
      <c r="W3357" s="5" t="s">
        <v>69</v>
      </c>
      <c r="X3357" s="5" t="s">
        <v>69</v>
      </c>
      <c r="Y3357" s="4">
        <v>7</v>
      </c>
      <c r="Z3357" s="4">
        <v>2</v>
      </c>
      <c r="AA3357" s="4">
        <v>7</v>
      </c>
      <c r="AB3357" s="4">
        <v>1</v>
      </c>
      <c r="AC3357" s="4">
        <v>1</v>
      </c>
      <c r="AD3357" s="4">
        <v>5</v>
      </c>
      <c r="AE3357" s="4">
        <v>33</v>
      </c>
      <c r="AF3357" s="4">
        <v>0</v>
      </c>
      <c r="AG3357" s="4">
        <v>0</v>
      </c>
      <c r="AH3357" s="4">
        <v>4</v>
      </c>
      <c r="AI3357" s="4">
        <v>32</v>
      </c>
      <c r="AJ3357" s="4">
        <v>1</v>
      </c>
      <c r="AK3357" s="4">
        <v>3</v>
      </c>
      <c r="AL3357" s="4">
        <v>4</v>
      </c>
      <c r="AM3357" s="4">
        <v>23</v>
      </c>
      <c r="AN3357" s="4">
        <v>0</v>
      </c>
      <c r="AO3357" s="4">
        <v>0</v>
      </c>
      <c r="AP3357" s="4">
        <v>1</v>
      </c>
      <c r="AQ3357" s="4">
        <v>3</v>
      </c>
      <c r="AR3357" s="3" t="s">
        <v>63</v>
      </c>
      <c r="AS3357" s="3" t="s">
        <v>63</v>
      </c>
      <c r="AT3357" s="3" t="s">
        <v>63</v>
      </c>
      <c r="AV3357" s="6" t="str">
        <f>HYPERLINK("http://mcgill.on.worldcat.org/oclc/123194059","Catalog Record")</f>
        <v>Catalog Record</v>
      </c>
      <c r="AW3357" s="6" t="str">
        <f>HYPERLINK("http://www.worldcat.org/oclc/123194059","WorldCat Record")</f>
        <v>WorldCat Record</v>
      </c>
      <c r="AX3357" s="3" t="s">
        <v>28210</v>
      </c>
      <c r="AY3357" s="3" t="s">
        <v>28211</v>
      </c>
      <c r="AZ3357" s="3" t="s">
        <v>28212</v>
      </c>
      <c r="BA3357" s="3" t="s">
        <v>28212</v>
      </c>
      <c r="BB3357" s="3" t="s">
        <v>28223</v>
      </c>
      <c r="BC3357" s="3" t="s">
        <v>82</v>
      </c>
      <c r="BD3357" s="3" t="s">
        <v>70</v>
      </c>
      <c r="BF3357" s="3" t="s">
        <v>28223</v>
      </c>
      <c r="BG3357" s="3" t="s">
        <v>28224</v>
      </c>
    </row>
    <row r="3358" spans="1:59" ht="60" x14ac:dyDescent="0.25">
      <c r="A3358" s="2" t="s">
        <v>59</v>
      </c>
      <c r="B3358" s="2" t="s">
        <v>60</v>
      </c>
      <c r="C3358" s="2" t="s">
        <v>28206</v>
      </c>
      <c r="D3358" s="2" t="s">
        <v>28207</v>
      </c>
      <c r="E3358" s="2" t="s">
        <v>28208</v>
      </c>
      <c r="F3358" s="3" t="s">
        <v>13799</v>
      </c>
      <c r="G3358" s="3" t="s">
        <v>62</v>
      </c>
      <c r="I3358" s="3" t="s">
        <v>63</v>
      </c>
      <c r="J3358" s="3" t="s">
        <v>63</v>
      </c>
      <c r="K3358" s="3" t="s">
        <v>64</v>
      </c>
      <c r="L3358" s="2" t="s">
        <v>28098</v>
      </c>
      <c r="M3358" s="2" t="s">
        <v>28209</v>
      </c>
      <c r="N3358" s="3" t="s">
        <v>1916</v>
      </c>
      <c r="P3358" s="3" t="s">
        <v>90</v>
      </c>
      <c r="R3358" s="3" t="s">
        <v>67</v>
      </c>
      <c r="S3358" s="4">
        <v>6</v>
      </c>
      <c r="T3358" s="4">
        <v>34</v>
      </c>
      <c r="U3358" s="5" t="s">
        <v>28225</v>
      </c>
      <c r="V3358" s="5" t="s">
        <v>5153</v>
      </c>
      <c r="W3358" s="5" t="s">
        <v>69</v>
      </c>
      <c r="X3358" s="5" t="s">
        <v>69</v>
      </c>
      <c r="Y3358" s="4">
        <v>7</v>
      </c>
      <c r="Z3358" s="4">
        <v>2</v>
      </c>
      <c r="AA3358" s="4">
        <v>7</v>
      </c>
      <c r="AB3358" s="4">
        <v>1</v>
      </c>
      <c r="AC3358" s="4">
        <v>1</v>
      </c>
      <c r="AD3358" s="4">
        <v>5</v>
      </c>
      <c r="AE3358" s="4">
        <v>33</v>
      </c>
      <c r="AF3358" s="4">
        <v>0</v>
      </c>
      <c r="AG3358" s="4">
        <v>0</v>
      </c>
      <c r="AH3358" s="4">
        <v>4</v>
      </c>
      <c r="AI3358" s="4">
        <v>32</v>
      </c>
      <c r="AJ3358" s="4">
        <v>1</v>
      </c>
      <c r="AK3358" s="4">
        <v>3</v>
      </c>
      <c r="AL3358" s="4">
        <v>4</v>
      </c>
      <c r="AM3358" s="4">
        <v>23</v>
      </c>
      <c r="AN3358" s="4">
        <v>0</v>
      </c>
      <c r="AO3358" s="4">
        <v>0</v>
      </c>
      <c r="AP3358" s="4">
        <v>1</v>
      </c>
      <c r="AQ3358" s="4">
        <v>3</v>
      </c>
      <c r="AR3358" s="3" t="s">
        <v>63</v>
      </c>
      <c r="AS3358" s="3" t="s">
        <v>63</v>
      </c>
      <c r="AT3358" s="3" t="s">
        <v>63</v>
      </c>
      <c r="AV3358" s="6" t="str">
        <f>HYPERLINK("http://mcgill.on.worldcat.org/oclc/123194059","Catalog Record")</f>
        <v>Catalog Record</v>
      </c>
      <c r="AW3358" s="6" t="str">
        <f>HYPERLINK("http://www.worldcat.org/oclc/123194059","WorldCat Record")</f>
        <v>WorldCat Record</v>
      </c>
      <c r="AX3358" s="3" t="s">
        <v>28210</v>
      </c>
      <c r="AY3358" s="3" t="s">
        <v>28211</v>
      </c>
      <c r="AZ3358" s="3" t="s">
        <v>28212</v>
      </c>
      <c r="BA3358" s="3" t="s">
        <v>28212</v>
      </c>
      <c r="BB3358" s="3" t="s">
        <v>28226</v>
      </c>
      <c r="BC3358" s="3" t="s">
        <v>82</v>
      </c>
      <c r="BD3358" s="3" t="s">
        <v>538</v>
      </c>
      <c r="BF3358" s="3" t="s">
        <v>28226</v>
      </c>
      <c r="BG3358" s="3" t="s">
        <v>28227</v>
      </c>
    </row>
    <row r="3359" spans="1:59" ht="60" x14ac:dyDescent="0.25">
      <c r="A3359" s="2" t="s">
        <v>59</v>
      </c>
      <c r="B3359" s="2" t="s">
        <v>60</v>
      </c>
      <c r="C3359" s="2" t="s">
        <v>28206</v>
      </c>
      <c r="D3359" s="2" t="s">
        <v>28207</v>
      </c>
      <c r="E3359" s="2" t="s">
        <v>28208</v>
      </c>
      <c r="F3359" s="3" t="s">
        <v>28228</v>
      </c>
      <c r="G3359" s="3" t="s">
        <v>62</v>
      </c>
      <c r="I3359" s="3" t="s">
        <v>63</v>
      </c>
      <c r="J3359" s="3" t="s">
        <v>63</v>
      </c>
      <c r="K3359" s="3" t="s">
        <v>64</v>
      </c>
      <c r="L3359" s="2" t="s">
        <v>28098</v>
      </c>
      <c r="M3359" s="2" t="s">
        <v>28209</v>
      </c>
      <c r="N3359" s="3" t="s">
        <v>1916</v>
      </c>
      <c r="P3359" s="3" t="s">
        <v>90</v>
      </c>
      <c r="R3359" s="3" t="s">
        <v>67</v>
      </c>
      <c r="S3359" s="4">
        <v>0</v>
      </c>
      <c r="T3359" s="4">
        <v>34</v>
      </c>
      <c r="V3359" s="5" t="s">
        <v>5153</v>
      </c>
      <c r="W3359" s="5" t="s">
        <v>69</v>
      </c>
      <c r="X3359" s="5" t="s">
        <v>69</v>
      </c>
      <c r="Y3359" s="4">
        <v>7</v>
      </c>
      <c r="Z3359" s="4">
        <v>2</v>
      </c>
      <c r="AA3359" s="4">
        <v>7</v>
      </c>
      <c r="AB3359" s="4">
        <v>1</v>
      </c>
      <c r="AC3359" s="4">
        <v>1</v>
      </c>
      <c r="AD3359" s="4">
        <v>5</v>
      </c>
      <c r="AE3359" s="4">
        <v>33</v>
      </c>
      <c r="AF3359" s="4">
        <v>0</v>
      </c>
      <c r="AG3359" s="4">
        <v>0</v>
      </c>
      <c r="AH3359" s="4">
        <v>4</v>
      </c>
      <c r="AI3359" s="4">
        <v>32</v>
      </c>
      <c r="AJ3359" s="4">
        <v>1</v>
      </c>
      <c r="AK3359" s="4">
        <v>3</v>
      </c>
      <c r="AL3359" s="4">
        <v>4</v>
      </c>
      <c r="AM3359" s="4">
        <v>23</v>
      </c>
      <c r="AN3359" s="4">
        <v>0</v>
      </c>
      <c r="AO3359" s="4">
        <v>0</v>
      </c>
      <c r="AP3359" s="4">
        <v>1</v>
      </c>
      <c r="AQ3359" s="4">
        <v>3</v>
      </c>
      <c r="AR3359" s="3" t="s">
        <v>63</v>
      </c>
      <c r="AS3359" s="3" t="s">
        <v>63</v>
      </c>
      <c r="AT3359" s="3" t="s">
        <v>63</v>
      </c>
      <c r="AV3359" s="6" t="str">
        <f>HYPERLINK("http://mcgill.on.worldcat.org/oclc/123194059","Catalog Record")</f>
        <v>Catalog Record</v>
      </c>
      <c r="AW3359" s="6" t="str">
        <f>HYPERLINK("http://www.worldcat.org/oclc/123194059","WorldCat Record")</f>
        <v>WorldCat Record</v>
      </c>
      <c r="AX3359" s="3" t="s">
        <v>28210</v>
      </c>
      <c r="AY3359" s="3" t="s">
        <v>28211</v>
      </c>
      <c r="AZ3359" s="3" t="s">
        <v>28212</v>
      </c>
      <c r="BA3359" s="3" t="s">
        <v>28212</v>
      </c>
      <c r="BB3359" s="3" t="s">
        <v>28229</v>
      </c>
      <c r="BC3359" s="3" t="s">
        <v>82</v>
      </c>
      <c r="BD3359" s="3" t="s">
        <v>70</v>
      </c>
      <c r="BF3359" s="3" t="s">
        <v>28229</v>
      </c>
      <c r="BG3359" s="3" t="s">
        <v>28230</v>
      </c>
    </row>
    <row r="3360" spans="1:59" ht="60" x14ac:dyDescent="0.25">
      <c r="A3360" s="2" t="s">
        <v>59</v>
      </c>
      <c r="B3360" s="2" t="s">
        <v>60</v>
      </c>
      <c r="C3360" s="2" t="s">
        <v>28095</v>
      </c>
      <c r="D3360" s="2" t="s">
        <v>28096</v>
      </c>
      <c r="E3360" s="2" t="s">
        <v>28097</v>
      </c>
      <c r="F3360" s="3" t="s">
        <v>4181</v>
      </c>
      <c r="G3360" s="3" t="s">
        <v>62</v>
      </c>
      <c r="I3360" s="3" t="s">
        <v>63</v>
      </c>
      <c r="J3360" s="3" t="s">
        <v>63</v>
      </c>
      <c r="K3360" s="3" t="s">
        <v>64</v>
      </c>
      <c r="L3360" s="2" t="s">
        <v>28098</v>
      </c>
      <c r="M3360" s="2" t="s">
        <v>28099</v>
      </c>
      <c r="N3360" s="3" t="s">
        <v>758</v>
      </c>
      <c r="P3360" s="3" t="s">
        <v>66</v>
      </c>
      <c r="Q3360" s="2" t="s">
        <v>28100</v>
      </c>
      <c r="R3360" s="3" t="s">
        <v>67</v>
      </c>
      <c r="S3360" s="4">
        <v>1</v>
      </c>
      <c r="T3360" s="4">
        <v>3</v>
      </c>
      <c r="U3360" s="5" t="s">
        <v>28101</v>
      </c>
      <c r="V3360" s="5" t="s">
        <v>28101</v>
      </c>
      <c r="W3360" s="5" t="s">
        <v>69</v>
      </c>
      <c r="X3360" s="5" t="s">
        <v>69</v>
      </c>
      <c r="Y3360" s="4">
        <v>91</v>
      </c>
      <c r="Z3360" s="4">
        <v>3</v>
      </c>
      <c r="AA3360" s="4">
        <v>3</v>
      </c>
      <c r="AB3360" s="4">
        <v>1</v>
      </c>
      <c r="AC3360" s="4">
        <v>1</v>
      </c>
      <c r="AD3360" s="4">
        <v>25</v>
      </c>
      <c r="AE3360" s="4">
        <v>25</v>
      </c>
      <c r="AF3360" s="4">
        <v>0</v>
      </c>
      <c r="AG3360" s="4">
        <v>0</v>
      </c>
      <c r="AH3360" s="4">
        <v>24</v>
      </c>
      <c r="AI3360" s="4">
        <v>24</v>
      </c>
      <c r="AJ3360" s="4">
        <v>1</v>
      </c>
      <c r="AK3360" s="4">
        <v>1</v>
      </c>
      <c r="AL3360" s="4">
        <v>16</v>
      </c>
      <c r="AM3360" s="4">
        <v>16</v>
      </c>
      <c r="AN3360" s="4">
        <v>0</v>
      </c>
      <c r="AO3360" s="4">
        <v>0</v>
      </c>
      <c r="AP3360" s="4">
        <v>1</v>
      </c>
      <c r="AQ3360" s="4">
        <v>1</v>
      </c>
      <c r="AR3360" s="3" t="s">
        <v>63</v>
      </c>
      <c r="AS3360" s="3" t="s">
        <v>63</v>
      </c>
      <c r="AT3360" s="3" t="s">
        <v>63</v>
      </c>
      <c r="AV3360" s="6" t="str">
        <f>HYPERLINK("http://mcgill.on.worldcat.org/oclc/1957087","Catalog Record")</f>
        <v>Catalog Record</v>
      </c>
      <c r="AW3360" s="6" t="str">
        <f>HYPERLINK("http://www.worldcat.org/oclc/1957087","WorldCat Record")</f>
        <v>WorldCat Record</v>
      </c>
      <c r="AX3360" s="3" t="s">
        <v>28102</v>
      </c>
      <c r="AY3360" s="3" t="s">
        <v>28103</v>
      </c>
      <c r="AZ3360" s="3" t="s">
        <v>28104</v>
      </c>
      <c r="BA3360" s="3" t="s">
        <v>28104</v>
      </c>
      <c r="BB3360" s="3" t="s">
        <v>28105</v>
      </c>
      <c r="BC3360" s="3" t="s">
        <v>82</v>
      </c>
      <c r="BD3360" s="3" t="s">
        <v>70</v>
      </c>
      <c r="BF3360" s="3" t="s">
        <v>28105</v>
      </c>
      <c r="BG3360" s="3" t="s">
        <v>28106</v>
      </c>
    </row>
    <row r="3361" spans="1:59" ht="60" x14ac:dyDescent="0.25">
      <c r="A3361" s="2" t="s">
        <v>59</v>
      </c>
      <c r="B3361" s="2" t="s">
        <v>60</v>
      </c>
      <c r="C3361" s="2" t="s">
        <v>28095</v>
      </c>
      <c r="D3361" s="2" t="s">
        <v>28096</v>
      </c>
      <c r="E3361" s="2" t="s">
        <v>28097</v>
      </c>
      <c r="F3361" s="3" t="s">
        <v>2601</v>
      </c>
      <c r="G3361" s="3" t="s">
        <v>62</v>
      </c>
      <c r="I3361" s="3" t="s">
        <v>63</v>
      </c>
      <c r="J3361" s="3" t="s">
        <v>63</v>
      </c>
      <c r="K3361" s="3" t="s">
        <v>64</v>
      </c>
      <c r="L3361" s="2" t="s">
        <v>28098</v>
      </c>
      <c r="M3361" s="2" t="s">
        <v>28099</v>
      </c>
      <c r="N3361" s="3" t="s">
        <v>758</v>
      </c>
      <c r="P3361" s="3" t="s">
        <v>66</v>
      </c>
      <c r="Q3361" s="2" t="s">
        <v>28100</v>
      </c>
      <c r="R3361" s="3" t="s">
        <v>67</v>
      </c>
      <c r="S3361" s="4">
        <v>2</v>
      </c>
      <c r="T3361" s="4">
        <v>3</v>
      </c>
      <c r="U3361" s="5" t="s">
        <v>28107</v>
      </c>
      <c r="V3361" s="5" t="s">
        <v>28101</v>
      </c>
      <c r="W3361" s="5" t="s">
        <v>69</v>
      </c>
      <c r="X3361" s="5" t="s">
        <v>69</v>
      </c>
      <c r="Y3361" s="4">
        <v>91</v>
      </c>
      <c r="Z3361" s="4">
        <v>3</v>
      </c>
      <c r="AA3361" s="4">
        <v>3</v>
      </c>
      <c r="AB3361" s="4">
        <v>1</v>
      </c>
      <c r="AC3361" s="4">
        <v>1</v>
      </c>
      <c r="AD3361" s="4">
        <v>25</v>
      </c>
      <c r="AE3361" s="4">
        <v>25</v>
      </c>
      <c r="AF3361" s="4">
        <v>0</v>
      </c>
      <c r="AG3361" s="4">
        <v>0</v>
      </c>
      <c r="AH3361" s="4">
        <v>24</v>
      </c>
      <c r="AI3361" s="4">
        <v>24</v>
      </c>
      <c r="AJ3361" s="4">
        <v>1</v>
      </c>
      <c r="AK3361" s="4">
        <v>1</v>
      </c>
      <c r="AL3361" s="4">
        <v>16</v>
      </c>
      <c r="AM3361" s="4">
        <v>16</v>
      </c>
      <c r="AN3361" s="4">
        <v>0</v>
      </c>
      <c r="AO3361" s="4">
        <v>0</v>
      </c>
      <c r="AP3361" s="4">
        <v>1</v>
      </c>
      <c r="AQ3361" s="4">
        <v>1</v>
      </c>
      <c r="AR3361" s="3" t="s">
        <v>63</v>
      </c>
      <c r="AS3361" s="3" t="s">
        <v>63</v>
      </c>
      <c r="AT3361" s="3" t="s">
        <v>63</v>
      </c>
      <c r="AV3361" s="6" t="str">
        <f>HYPERLINK("http://mcgill.on.worldcat.org/oclc/1957087","Catalog Record")</f>
        <v>Catalog Record</v>
      </c>
      <c r="AW3361" s="6" t="str">
        <f>HYPERLINK("http://www.worldcat.org/oclc/1957087","WorldCat Record")</f>
        <v>WorldCat Record</v>
      </c>
      <c r="AX3361" s="3" t="s">
        <v>28102</v>
      </c>
      <c r="AY3361" s="3" t="s">
        <v>28103</v>
      </c>
      <c r="AZ3361" s="3" t="s">
        <v>28104</v>
      </c>
      <c r="BA3361" s="3" t="s">
        <v>28104</v>
      </c>
      <c r="BB3361" s="3" t="s">
        <v>28108</v>
      </c>
      <c r="BC3361" s="3" t="s">
        <v>82</v>
      </c>
      <c r="BD3361" s="3" t="s">
        <v>70</v>
      </c>
      <c r="BF3361" s="3" t="s">
        <v>28108</v>
      </c>
      <c r="BG3361" s="3" t="s">
        <v>28109</v>
      </c>
    </row>
    <row r="3362" spans="1:59" ht="60" x14ac:dyDescent="0.25">
      <c r="A3362" s="2" t="s">
        <v>59</v>
      </c>
      <c r="B3362" s="2" t="s">
        <v>60</v>
      </c>
      <c r="C3362" s="2" t="s">
        <v>28110</v>
      </c>
      <c r="D3362" s="2" t="s">
        <v>28111</v>
      </c>
      <c r="E3362" s="2" t="s">
        <v>28112</v>
      </c>
      <c r="G3362" s="3" t="s">
        <v>63</v>
      </c>
      <c r="I3362" s="3" t="s">
        <v>62</v>
      </c>
      <c r="J3362" s="3" t="s">
        <v>63</v>
      </c>
      <c r="K3362" s="3" t="s">
        <v>64</v>
      </c>
      <c r="L3362" s="2" t="s">
        <v>28113</v>
      </c>
      <c r="M3362" s="2" t="s">
        <v>28114</v>
      </c>
      <c r="N3362" s="3" t="s">
        <v>3891</v>
      </c>
      <c r="P3362" s="3" t="s">
        <v>66</v>
      </c>
      <c r="R3362" s="3" t="s">
        <v>67</v>
      </c>
      <c r="S3362" s="4">
        <v>3</v>
      </c>
      <c r="T3362" s="4">
        <v>4</v>
      </c>
      <c r="U3362" s="5" t="s">
        <v>28115</v>
      </c>
      <c r="V3362" s="5" t="s">
        <v>28116</v>
      </c>
      <c r="W3362" s="5" t="s">
        <v>69</v>
      </c>
      <c r="X3362" s="5" t="s">
        <v>69</v>
      </c>
      <c r="Y3362" s="4">
        <v>439</v>
      </c>
      <c r="Z3362" s="4">
        <v>10</v>
      </c>
      <c r="AA3362" s="4">
        <v>15</v>
      </c>
      <c r="AB3362" s="4">
        <v>2</v>
      </c>
      <c r="AC3362" s="4">
        <v>2</v>
      </c>
      <c r="AD3362" s="4">
        <v>74</v>
      </c>
      <c r="AE3362" s="4">
        <v>99</v>
      </c>
      <c r="AF3362" s="4">
        <v>1</v>
      </c>
      <c r="AG3362" s="4">
        <v>1</v>
      </c>
      <c r="AH3362" s="4">
        <v>65</v>
      </c>
      <c r="AI3362" s="4">
        <v>86</v>
      </c>
      <c r="AJ3362" s="4">
        <v>5</v>
      </c>
      <c r="AK3362" s="4">
        <v>7</v>
      </c>
      <c r="AL3362" s="4">
        <v>43</v>
      </c>
      <c r="AM3362" s="4">
        <v>54</v>
      </c>
      <c r="AN3362" s="4">
        <v>0</v>
      </c>
      <c r="AO3362" s="4">
        <v>0</v>
      </c>
      <c r="AP3362" s="4">
        <v>7</v>
      </c>
      <c r="AQ3362" s="4">
        <v>12</v>
      </c>
      <c r="AR3362" s="3" t="s">
        <v>63</v>
      </c>
      <c r="AS3362" s="3" t="s">
        <v>63</v>
      </c>
      <c r="AT3362" s="3" t="s">
        <v>63</v>
      </c>
      <c r="AU3362" s="6" t="str">
        <f>HYPERLINK("http://catalog.hathitrust.org/Record/001060739","HathiTrust Record")</f>
        <v>HathiTrust Record</v>
      </c>
      <c r="AV3362" s="6" t="str">
        <f>HYPERLINK("http://mcgill.on.worldcat.org/oclc/1573038","Catalog Record")</f>
        <v>Catalog Record</v>
      </c>
      <c r="AW3362" s="6" t="str">
        <f>HYPERLINK("http://www.worldcat.org/oclc/1573038","WorldCat Record")</f>
        <v>WorldCat Record</v>
      </c>
      <c r="AX3362" s="3" t="s">
        <v>28117</v>
      </c>
      <c r="AY3362" s="3" t="s">
        <v>28118</v>
      </c>
      <c r="AZ3362" s="3" t="s">
        <v>28119</v>
      </c>
      <c r="BA3362" s="3" t="s">
        <v>28119</v>
      </c>
      <c r="BB3362" s="3" t="s">
        <v>28120</v>
      </c>
      <c r="BC3362" s="3" t="s">
        <v>82</v>
      </c>
      <c r="BD3362" s="3" t="s">
        <v>70</v>
      </c>
      <c r="BF3362" s="3" t="s">
        <v>28120</v>
      </c>
      <c r="BG3362" s="3" t="s">
        <v>28121</v>
      </c>
    </row>
    <row r="3363" spans="1:59" ht="60" x14ac:dyDescent="0.25">
      <c r="A3363" s="2" t="s">
        <v>59</v>
      </c>
      <c r="B3363" s="2" t="s">
        <v>60</v>
      </c>
      <c r="C3363" s="2" t="s">
        <v>28122</v>
      </c>
      <c r="D3363" s="2" t="s">
        <v>28123</v>
      </c>
      <c r="E3363" s="2" t="s">
        <v>28124</v>
      </c>
      <c r="F3363" s="3" t="s">
        <v>28125</v>
      </c>
      <c r="G3363" s="3" t="s">
        <v>62</v>
      </c>
      <c r="I3363" s="3" t="s">
        <v>63</v>
      </c>
      <c r="J3363" s="3" t="s">
        <v>62</v>
      </c>
      <c r="K3363" s="3" t="s">
        <v>64</v>
      </c>
      <c r="L3363" s="2" t="s">
        <v>28098</v>
      </c>
      <c r="M3363" s="2" t="s">
        <v>28126</v>
      </c>
      <c r="N3363" s="3" t="s">
        <v>213</v>
      </c>
      <c r="P3363" s="3" t="s">
        <v>90</v>
      </c>
      <c r="Q3363" s="2" t="s">
        <v>28127</v>
      </c>
      <c r="R3363" s="3" t="s">
        <v>67</v>
      </c>
      <c r="S3363" s="4">
        <v>14</v>
      </c>
      <c r="T3363" s="4">
        <v>22</v>
      </c>
      <c r="U3363" s="5" t="s">
        <v>28128</v>
      </c>
      <c r="V3363" s="5" t="s">
        <v>28128</v>
      </c>
      <c r="W3363" s="5" t="s">
        <v>69</v>
      </c>
      <c r="X3363" s="5" t="s">
        <v>69</v>
      </c>
      <c r="Y3363" s="4">
        <v>3</v>
      </c>
      <c r="Z3363" s="4">
        <v>1</v>
      </c>
      <c r="AA3363" s="4">
        <v>16</v>
      </c>
      <c r="AB3363" s="4">
        <v>1</v>
      </c>
      <c r="AC3363" s="4">
        <v>1</v>
      </c>
      <c r="AD3363" s="4">
        <v>2</v>
      </c>
      <c r="AE3363" s="4">
        <v>86</v>
      </c>
      <c r="AF3363" s="4">
        <v>0</v>
      </c>
      <c r="AG3363" s="4">
        <v>0</v>
      </c>
      <c r="AH3363" s="4">
        <v>2</v>
      </c>
      <c r="AI3363" s="4">
        <v>81</v>
      </c>
      <c r="AJ3363" s="4">
        <v>0</v>
      </c>
      <c r="AK3363" s="4">
        <v>12</v>
      </c>
      <c r="AL3363" s="4">
        <v>2</v>
      </c>
      <c r="AM3363" s="4">
        <v>46</v>
      </c>
      <c r="AN3363" s="4">
        <v>0</v>
      </c>
      <c r="AO3363" s="4">
        <v>0</v>
      </c>
      <c r="AP3363" s="4">
        <v>0</v>
      </c>
      <c r="AQ3363" s="4">
        <v>12</v>
      </c>
      <c r="AR3363" s="3" t="s">
        <v>63</v>
      </c>
      <c r="AS3363" s="3" t="s">
        <v>63</v>
      </c>
      <c r="AT3363" s="3" t="s">
        <v>62</v>
      </c>
      <c r="AU3363" s="6" t="str">
        <f>HYPERLINK("http://catalog.hathitrust.org/Record/101860333","HathiTrust Record")</f>
        <v>HathiTrust Record</v>
      </c>
      <c r="AV3363" s="6" t="str">
        <f>HYPERLINK("http://mcgill.on.worldcat.org/oclc/213543550","Catalog Record")</f>
        <v>Catalog Record</v>
      </c>
      <c r="AW3363" s="6" t="str">
        <f>HYPERLINK("http://www.worldcat.org/oclc/213543550","WorldCat Record")</f>
        <v>WorldCat Record</v>
      </c>
      <c r="AX3363" s="3" t="s">
        <v>28129</v>
      </c>
      <c r="AY3363" s="3" t="s">
        <v>28130</v>
      </c>
      <c r="AZ3363" s="3" t="s">
        <v>28131</v>
      </c>
      <c r="BA3363" s="3" t="s">
        <v>28131</v>
      </c>
      <c r="BB3363" s="3" t="s">
        <v>28132</v>
      </c>
      <c r="BC3363" s="3" t="s">
        <v>82</v>
      </c>
      <c r="BD3363" s="3" t="s">
        <v>70</v>
      </c>
      <c r="BF3363" s="3" t="s">
        <v>28132</v>
      </c>
      <c r="BG3363" s="3" t="s">
        <v>28133</v>
      </c>
    </row>
    <row r="3364" spans="1:59" ht="60" x14ac:dyDescent="0.25">
      <c r="A3364" s="2" t="s">
        <v>59</v>
      </c>
      <c r="B3364" s="2" t="s">
        <v>60</v>
      </c>
      <c r="C3364" s="2" t="s">
        <v>28122</v>
      </c>
      <c r="D3364" s="2" t="s">
        <v>28123</v>
      </c>
      <c r="E3364" s="2" t="s">
        <v>28124</v>
      </c>
      <c r="F3364" s="3" t="s">
        <v>28134</v>
      </c>
      <c r="G3364" s="3" t="s">
        <v>62</v>
      </c>
      <c r="I3364" s="3" t="s">
        <v>63</v>
      </c>
      <c r="J3364" s="3" t="s">
        <v>62</v>
      </c>
      <c r="K3364" s="3" t="s">
        <v>64</v>
      </c>
      <c r="L3364" s="2" t="s">
        <v>28098</v>
      </c>
      <c r="M3364" s="2" t="s">
        <v>28126</v>
      </c>
      <c r="N3364" s="3" t="s">
        <v>213</v>
      </c>
      <c r="P3364" s="3" t="s">
        <v>90</v>
      </c>
      <c r="Q3364" s="2" t="s">
        <v>28127</v>
      </c>
      <c r="R3364" s="3" t="s">
        <v>67</v>
      </c>
      <c r="S3364" s="4">
        <v>8</v>
      </c>
      <c r="T3364" s="4">
        <v>22</v>
      </c>
      <c r="U3364" s="5" t="s">
        <v>28128</v>
      </c>
      <c r="V3364" s="5" t="s">
        <v>28128</v>
      </c>
      <c r="W3364" s="5" t="s">
        <v>69</v>
      </c>
      <c r="X3364" s="5" t="s">
        <v>69</v>
      </c>
      <c r="Y3364" s="4">
        <v>3</v>
      </c>
      <c r="Z3364" s="4">
        <v>1</v>
      </c>
      <c r="AA3364" s="4">
        <v>16</v>
      </c>
      <c r="AB3364" s="4">
        <v>1</v>
      </c>
      <c r="AC3364" s="4">
        <v>1</v>
      </c>
      <c r="AD3364" s="4">
        <v>2</v>
      </c>
      <c r="AE3364" s="4">
        <v>86</v>
      </c>
      <c r="AF3364" s="4">
        <v>0</v>
      </c>
      <c r="AG3364" s="4">
        <v>0</v>
      </c>
      <c r="AH3364" s="4">
        <v>2</v>
      </c>
      <c r="AI3364" s="4">
        <v>81</v>
      </c>
      <c r="AJ3364" s="4">
        <v>0</v>
      </c>
      <c r="AK3364" s="4">
        <v>12</v>
      </c>
      <c r="AL3364" s="4">
        <v>2</v>
      </c>
      <c r="AM3364" s="4">
        <v>46</v>
      </c>
      <c r="AN3364" s="4">
        <v>0</v>
      </c>
      <c r="AO3364" s="4">
        <v>0</v>
      </c>
      <c r="AP3364" s="4">
        <v>0</v>
      </c>
      <c r="AQ3364" s="4">
        <v>12</v>
      </c>
      <c r="AR3364" s="3" t="s">
        <v>63</v>
      </c>
      <c r="AS3364" s="3" t="s">
        <v>63</v>
      </c>
      <c r="AT3364" s="3" t="s">
        <v>62</v>
      </c>
      <c r="AU3364" s="6" t="str">
        <f>HYPERLINK("http://catalog.hathitrust.org/Record/101860333","HathiTrust Record")</f>
        <v>HathiTrust Record</v>
      </c>
      <c r="AV3364" s="6" t="str">
        <f>HYPERLINK("http://mcgill.on.worldcat.org/oclc/213543550","Catalog Record")</f>
        <v>Catalog Record</v>
      </c>
      <c r="AW3364" s="6" t="str">
        <f>HYPERLINK("http://www.worldcat.org/oclc/213543550","WorldCat Record")</f>
        <v>WorldCat Record</v>
      </c>
      <c r="AX3364" s="3" t="s">
        <v>28129</v>
      </c>
      <c r="AY3364" s="3" t="s">
        <v>28130</v>
      </c>
      <c r="AZ3364" s="3" t="s">
        <v>28131</v>
      </c>
      <c r="BA3364" s="3" t="s">
        <v>28131</v>
      </c>
      <c r="BB3364" s="3" t="s">
        <v>28135</v>
      </c>
      <c r="BC3364" s="3" t="s">
        <v>82</v>
      </c>
      <c r="BD3364" s="3" t="s">
        <v>70</v>
      </c>
      <c r="BF3364" s="3" t="s">
        <v>28135</v>
      </c>
      <c r="BG3364" s="3" t="s">
        <v>28136</v>
      </c>
    </row>
    <row r="3365" spans="1:59" ht="60" x14ac:dyDescent="0.25">
      <c r="A3365" s="2" t="s">
        <v>59</v>
      </c>
      <c r="B3365" s="2" t="s">
        <v>60</v>
      </c>
      <c r="C3365" s="2" t="s">
        <v>28137</v>
      </c>
      <c r="D3365" s="2" t="s">
        <v>28138</v>
      </c>
      <c r="E3365" s="2" t="s">
        <v>28139</v>
      </c>
      <c r="G3365" s="3" t="s">
        <v>63</v>
      </c>
      <c r="I3365" s="3" t="s">
        <v>62</v>
      </c>
      <c r="J3365" s="3" t="s">
        <v>62</v>
      </c>
      <c r="K3365" s="3" t="s">
        <v>64</v>
      </c>
      <c r="L3365" s="2" t="s">
        <v>28098</v>
      </c>
      <c r="M3365" s="2" t="s">
        <v>28140</v>
      </c>
      <c r="N3365" s="3" t="s">
        <v>4426</v>
      </c>
      <c r="O3365" s="2" t="s">
        <v>28141</v>
      </c>
      <c r="P3365" s="3" t="s">
        <v>66</v>
      </c>
      <c r="R3365" s="3" t="s">
        <v>67</v>
      </c>
      <c r="S3365" s="4">
        <v>8</v>
      </c>
      <c r="T3365" s="4">
        <v>9</v>
      </c>
      <c r="U3365" s="5" t="s">
        <v>28128</v>
      </c>
      <c r="V3365" s="5" t="s">
        <v>28128</v>
      </c>
      <c r="W3365" s="5" t="s">
        <v>69</v>
      </c>
      <c r="X3365" s="5" t="s">
        <v>69</v>
      </c>
      <c r="Y3365" s="4">
        <v>448</v>
      </c>
      <c r="Z3365" s="4">
        <v>6</v>
      </c>
      <c r="AA3365" s="4">
        <v>73</v>
      </c>
      <c r="AB3365" s="4">
        <v>2</v>
      </c>
      <c r="AC3365" s="4">
        <v>7</v>
      </c>
      <c r="AD3365" s="4">
        <v>56</v>
      </c>
      <c r="AE3365" s="4">
        <v>149</v>
      </c>
      <c r="AF3365" s="4">
        <v>1</v>
      </c>
      <c r="AG3365" s="4">
        <v>4</v>
      </c>
      <c r="AH3365" s="4">
        <v>51</v>
      </c>
      <c r="AI3365" s="4">
        <v>114</v>
      </c>
      <c r="AJ3365" s="4">
        <v>3</v>
      </c>
      <c r="AK3365" s="4">
        <v>26</v>
      </c>
      <c r="AL3365" s="4">
        <v>30</v>
      </c>
      <c r="AM3365" s="4">
        <v>61</v>
      </c>
      <c r="AN3365" s="4">
        <v>0</v>
      </c>
      <c r="AO3365" s="4">
        <v>8</v>
      </c>
      <c r="AP3365" s="4">
        <v>4</v>
      </c>
      <c r="AQ3365" s="4">
        <v>41</v>
      </c>
      <c r="AR3365" s="3" t="s">
        <v>63</v>
      </c>
      <c r="AS3365" s="3" t="s">
        <v>63</v>
      </c>
      <c r="AT3365" s="3" t="s">
        <v>62</v>
      </c>
      <c r="AU3365" s="6" t="str">
        <f>HYPERLINK("http://catalog.hathitrust.org/Record/009441403","HathiTrust Record")</f>
        <v>HathiTrust Record</v>
      </c>
      <c r="AV3365" s="6" t="str">
        <f>HYPERLINK("http://mcgill.on.worldcat.org/oclc/2804467","Catalog Record")</f>
        <v>Catalog Record</v>
      </c>
      <c r="AW3365" s="6" t="str">
        <f>HYPERLINK("http://www.worldcat.org/oclc/2804467","WorldCat Record")</f>
        <v>WorldCat Record</v>
      </c>
      <c r="AX3365" s="3" t="s">
        <v>28142</v>
      </c>
      <c r="AY3365" s="3" t="s">
        <v>28143</v>
      </c>
      <c r="AZ3365" s="3" t="s">
        <v>28144</v>
      </c>
      <c r="BA3365" s="3" t="s">
        <v>28144</v>
      </c>
      <c r="BB3365" s="3" t="s">
        <v>28145</v>
      </c>
      <c r="BC3365" s="3" t="s">
        <v>82</v>
      </c>
      <c r="BD3365" s="3" t="s">
        <v>70</v>
      </c>
      <c r="BE3365" s="3" t="s">
        <v>28146</v>
      </c>
      <c r="BF3365" s="3" t="s">
        <v>28145</v>
      </c>
      <c r="BG3365" s="3" t="s">
        <v>28147</v>
      </c>
    </row>
    <row r="3366" spans="1:59" ht="60" x14ac:dyDescent="0.25">
      <c r="A3366" s="2" t="s">
        <v>59</v>
      </c>
      <c r="B3366" s="2" t="s">
        <v>60</v>
      </c>
      <c r="C3366" s="2" t="s">
        <v>28137</v>
      </c>
      <c r="D3366" s="2" t="s">
        <v>28138</v>
      </c>
      <c r="E3366" s="2" t="s">
        <v>28139</v>
      </c>
      <c r="G3366" s="3" t="s">
        <v>63</v>
      </c>
      <c r="I3366" s="3" t="s">
        <v>62</v>
      </c>
      <c r="J3366" s="3" t="s">
        <v>62</v>
      </c>
      <c r="K3366" s="3" t="s">
        <v>64</v>
      </c>
      <c r="L3366" s="2" t="s">
        <v>28098</v>
      </c>
      <c r="M3366" s="2" t="s">
        <v>28140</v>
      </c>
      <c r="N3366" s="3" t="s">
        <v>4426</v>
      </c>
      <c r="O3366" s="2" t="s">
        <v>28141</v>
      </c>
      <c r="P3366" s="3" t="s">
        <v>66</v>
      </c>
      <c r="R3366" s="3" t="s">
        <v>67</v>
      </c>
      <c r="S3366" s="4">
        <v>1</v>
      </c>
      <c r="T3366" s="4">
        <v>9</v>
      </c>
      <c r="U3366" s="5" t="s">
        <v>28148</v>
      </c>
      <c r="V3366" s="5" t="s">
        <v>28128</v>
      </c>
      <c r="W3366" s="5" t="s">
        <v>69</v>
      </c>
      <c r="X3366" s="5" t="s">
        <v>69</v>
      </c>
      <c r="Y3366" s="4">
        <v>448</v>
      </c>
      <c r="Z3366" s="4">
        <v>6</v>
      </c>
      <c r="AA3366" s="4">
        <v>73</v>
      </c>
      <c r="AB3366" s="4">
        <v>2</v>
      </c>
      <c r="AC3366" s="4">
        <v>7</v>
      </c>
      <c r="AD3366" s="4">
        <v>56</v>
      </c>
      <c r="AE3366" s="4">
        <v>149</v>
      </c>
      <c r="AF3366" s="4">
        <v>1</v>
      </c>
      <c r="AG3366" s="4">
        <v>4</v>
      </c>
      <c r="AH3366" s="4">
        <v>51</v>
      </c>
      <c r="AI3366" s="4">
        <v>114</v>
      </c>
      <c r="AJ3366" s="4">
        <v>3</v>
      </c>
      <c r="AK3366" s="4">
        <v>26</v>
      </c>
      <c r="AL3366" s="4">
        <v>30</v>
      </c>
      <c r="AM3366" s="4">
        <v>61</v>
      </c>
      <c r="AN3366" s="4">
        <v>0</v>
      </c>
      <c r="AO3366" s="4">
        <v>8</v>
      </c>
      <c r="AP3366" s="4">
        <v>4</v>
      </c>
      <c r="AQ3366" s="4">
        <v>41</v>
      </c>
      <c r="AR3366" s="3" t="s">
        <v>63</v>
      </c>
      <c r="AS3366" s="3" t="s">
        <v>63</v>
      </c>
      <c r="AT3366" s="3" t="s">
        <v>62</v>
      </c>
      <c r="AU3366" s="6" t="str">
        <f>HYPERLINK("http://catalog.hathitrust.org/Record/009441403","HathiTrust Record")</f>
        <v>HathiTrust Record</v>
      </c>
      <c r="AV3366" s="6" t="str">
        <f>HYPERLINK("http://mcgill.on.worldcat.org/oclc/2804467","Catalog Record")</f>
        <v>Catalog Record</v>
      </c>
      <c r="AW3366" s="6" t="str">
        <f>HYPERLINK("http://www.worldcat.org/oclc/2804467","WorldCat Record")</f>
        <v>WorldCat Record</v>
      </c>
      <c r="AX3366" s="3" t="s">
        <v>28142</v>
      </c>
      <c r="AY3366" s="3" t="s">
        <v>28143</v>
      </c>
      <c r="AZ3366" s="3" t="s">
        <v>28144</v>
      </c>
      <c r="BA3366" s="3" t="s">
        <v>28144</v>
      </c>
      <c r="BB3366" s="3" t="s">
        <v>28149</v>
      </c>
      <c r="BC3366" s="3" t="s">
        <v>82</v>
      </c>
      <c r="BD3366" s="3" t="s">
        <v>70</v>
      </c>
      <c r="BE3366" s="3" t="s">
        <v>28146</v>
      </c>
      <c r="BF3366" s="3" t="s">
        <v>28149</v>
      </c>
      <c r="BG3366" s="3" t="s">
        <v>28150</v>
      </c>
    </row>
    <row r="3367" spans="1:59" ht="60" x14ac:dyDescent="0.25">
      <c r="A3367" s="2" t="s">
        <v>59</v>
      </c>
      <c r="B3367" s="2" t="s">
        <v>60</v>
      </c>
      <c r="C3367" s="2" t="s">
        <v>28151</v>
      </c>
      <c r="D3367" s="2" t="s">
        <v>28152</v>
      </c>
      <c r="E3367" s="2" t="s">
        <v>28153</v>
      </c>
      <c r="G3367" s="3" t="s">
        <v>63</v>
      </c>
      <c r="I3367" s="3" t="s">
        <v>63</v>
      </c>
      <c r="J3367" s="3" t="s">
        <v>62</v>
      </c>
      <c r="K3367" s="3" t="s">
        <v>64</v>
      </c>
      <c r="L3367" s="2" t="s">
        <v>28098</v>
      </c>
      <c r="M3367" s="2" t="s">
        <v>28154</v>
      </c>
      <c r="N3367" s="3" t="s">
        <v>204</v>
      </c>
      <c r="O3367" s="2" t="s">
        <v>28155</v>
      </c>
      <c r="P3367" s="3" t="s">
        <v>66</v>
      </c>
      <c r="R3367" s="3" t="s">
        <v>67</v>
      </c>
      <c r="S3367" s="4">
        <v>7</v>
      </c>
      <c r="T3367" s="4">
        <v>7</v>
      </c>
      <c r="U3367" s="5" t="s">
        <v>28156</v>
      </c>
      <c r="V3367" s="5" t="s">
        <v>28156</v>
      </c>
      <c r="W3367" s="5" t="s">
        <v>69</v>
      </c>
      <c r="X3367" s="5" t="s">
        <v>69</v>
      </c>
      <c r="Y3367" s="4">
        <v>281</v>
      </c>
      <c r="Z3367" s="4">
        <v>10</v>
      </c>
      <c r="AA3367" s="4">
        <v>73</v>
      </c>
      <c r="AB3367" s="4">
        <v>1</v>
      </c>
      <c r="AC3367" s="4">
        <v>7</v>
      </c>
      <c r="AD3367" s="4">
        <v>59</v>
      </c>
      <c r="AE3367" s="4">
        <v>149</v>
      </c>
      <c r="AF3367" s="4">
        <v>0</v>
      </c>
      <c r="AG3367" s="4">
        <v>4</v>
      </c>
      <c r="AH3367" s="4">
        <v>56</v>
      </c>
      <c r="AI3367" s="4">
        <v>114</v>
      </c>
      <c r="AJ3367" s="4">
        <v>2</v>
      </c>
      <c r="AK3367" s="4">
        <v>26</v>
      </c>
      <c r="AL3367" s="4">
        <v>38</v>
      </c>
      <c r="AM3367" s="4">
        <v>61</v>
      </c>
      <c r="AN3367" s="4">
        <v>0</v>
      </c>
      <c r="AO3367" s="4">
        <v>8</v>
      </c>
      <c r="AP3367" s="4">
        <v>3</v>
      </c>
      <c r="AQ3367" s="4">
        <v>41</v>
      </c>
      <c r="AR3367" s="3" t="s">
        <v>63</v>
      </c>
      <c r="AS3367" s="3" t="s">
        <v>63</v>
      </c>
      <c r="AT3367" s="3" t="s">
        <v>63</v>
      </c>
      <c r="AV3367" s="6" t="str">
        <f>HYPERLINK("http://mcgill.on.worldcat.org/oclc/35222998","Catalog Record")</f>
        <v>Catalog Record</v>
      </c>
      <c r="AW3367" s="6" t="str">
        <f>HYPERLINK("http://www.worldcat.org/oclc/35222998","WorldCat Record")</f>
        <v>WorldCat Record</v>
      </c>
      <c r="AX3367" s="3" t="s">
        <v>28142</v>
      </c>
      <c r="AY3367" s="3" t="s">
        <v>28157</v>
      </c>
      <c r="AZ3367" s="3" t="s">
        <v>28158</v>
      </c>
      <c r="BA3367" s="3" t="s">
        <v>28158</v>
      </c>
      <c r="BB3367" s="3" t="s">
        <v>28159</v>
      </c>
      <c r="BC3367" s="3" t="s">
        <v>82</v>
      </c>
      <c r="BD3367" s="3" t="s">
        <v>70</v>
      </c>
      <c r="BE3367" s="3" t="s">
        <v>28160</v>
      </c>
      <c r="BF3367" s="3" t="s">
        <v>28159</v>
      </c>
      <c r="BG3367" s="3" t="s">
        <v>28161</v>
      </c>
    </row>
    <row r="3368" spans="1:59" ht="60" x14ac:dyDescent="0.25">
      <c r="A3368" s="2" t="s">
        <v>59</v>
      </c>
      <c r="B3368" s="2" t="s">
        <v>60</v>
      </c>
      <c r="C3368" s="2" t="s">
        <v>28162</v>
      </c>
      <c r="D3368" s="2" t="s">
        <v>28163</v>
      </c>
      <c r="E3368" s="2" t="s">
        <v>28164</v>
      </c>
      <c r="G3368" s="3" t="s">
        <v>63</v>
      </c>
      <c r="I3368" s="3" t="s">
        <v>63</v>
      </c>
      <c r="J3368" s="3" t="s">
        <v>63</v>
      </c>
      <c r="K3368" s="3" t="s">
        <v>64</v>
      </c>
      <c r="L3368" s="2" t="s">
        <v>28165</v>
      </c>
      <c r="M3368" s="2" t="s">
        <v>28166</v>
      </c>
      <c r="N3368" s="3" t="s">
        <v>190</v>
      </c>
      <c r="P3368" s="3" t="s">
        <v>90</v>
      </c>
      <c r="R3368" s="3" t="s">
        <v>67</v>
      </c>
      <c r="S3368" s="4">
        <v>2</v>
      </c>
      <c r="T3368" s="4">
        <v>2</v>
      </c>
      <c r="U3368" s="5" t="s">
        <v>5153</v>
      </c>
      <c r="V3368" s="5" t="s">
        <v>5153</v>
      </c>
      <c r="W3368" s="5" t="s">
        <v>69</v>
      </c>
      <c r="X3368" s="5" t="s">
        <v>69</v>
      </c>
      <c r="Y3368" s="4">
        <v>54</v>
      </c>
      <c r="Z3368" s="4">
        <v>5</v>
      </c>
      <c r="AA3368" s="4">
        <v>5</v>
      </c>
      <c r="AB3368" s="4">
        <v>1</v>
      </c>
      <c r="AC3368" s="4">
        <v>1</v>
      </c>
      <c r="AD3368" s="4">
        <v>42</v>
      </c>
      <c r="AE3368" s="4">
        <v>42</v>
      </c>
      <c r="AF3368" s="4">
        <v>0</v>
      </c>
      <c r="AG3368" s="4">
        <v>0</v>
      </c>
      <c r="AH3368" s="4">
        <v>40</v>
      </c>
      <c r="AI3368" s="4">
        <v>40</v>
      </c>
      <c r="AJ3368" s="4">
        <v>3</v>
      </c>
      <c r="AK3368" s="4">
        <v>3</v>
      </c>
      <c r="AL3368" s="4">
        <v>33</v>
      </c>
      <c r="AM3368" s="4">
        <v>33</v>
      </c>
      <c r="AN3368" s="4">
        <v>0</v>
      </c>
      <c r="AO3368" s="4">
        <v>0</v>
      </c>
      <c r="AP3368" s="4">
        <v>3</v>
      </c>
      <c r="AQ3368" s="4">
        <v>3</v>
      </c>
      <c r="AR3368" s="3" t="s">
        <v>63</v>
      </c>
      <c r="AS3368" s="3" t="s">
        <v>63</v>
      </c>
      <c r="AT3368" s="3" t="s">
        <v>62</v>
      </c>
      <c r="AU3368" s="6" t="str">
        <f>HYPERLINK("http://catalog.hathitrust.org/Record/005279461","HathiTrust Record")</f>
        <v>HathiTrust Record</v>
      </c>
      <c r="AV3368" s="6" t="str">
        <f>HYPERLINK("http://mcgill.on.worldcat.org/oclc/69223314","Catalog Record")</f>
        <v>Catalog Record</v>
      </c>
      <c r="AW3368" s="6" t="str">
        <f>HYPERLINK("http://www.worldcat.org/oclc/69223314","WorldCat Record")</f>
        <v>WorldCat Record</v>
      </c>
      <c r="AX3368" s="3" t="s">
        <v>28167</v>
      </c>
      <c r="AY3368" s="3" t="s">
        <v>28168</v>
      </c>
      <c r="AZ3368" s="3" t="s">
        <v>28169</v>
      </c>
      <c r="BA3368" s="3" t="s">
        <v>28169</v>
      </c>
      <c r="BB3368" s="3" t="s">
        <v>28170</v>
      </c>
      <c r="BC3368" s="3" t="s">
        <v>82</v>
      </c>
      <c r="BD3368" s="3" t="s">
        <v>538</v>
      </c>
      <c r="BE3368" s="3" t="s">
        <v>28171</v>
      </c>
      <c r="BF3368" s="3" t="s">
        <v>28170</v>
      </c>
      <c r="BG3368" s="3" t="s">
        <v>28172</v>
      </c>
    </row>
    <row r="3369" spans="1:59" ht="60" x14ac:dyDescent="0.25">
      <c r="A3369" s="2" t="s">
        <v>59</v>
      </c>
      <c r="B3369" s="2" t="s">
        <v>60</v>
      </c>
      <c r="C3369" s="2" t="s">
        <v>28173</v>
      </c>
      <c r="D3369" s="2" t="s">
        <v>28174</v>
      </c>
      <c r="E3369" s="2" t="s">
        <v>28175</v>
      </c>
      <c r="G3369" s="3" t="s">
        <v>63</v>
      </c>
      <c r="I3369" s="3" t="s">
        <v>63</v>
      </c>
      <c r="J3369" s="3" t="s">
        <v>63</v>
      </c>
      <c r="K3369" s="3" t="s">
        <v>64</v>
      </c>
      <c r="L3369" s="2" t="s">
        <v>28165</v>
      </c>
      <c r="M3369" s="2" t="s">
        <v>28176</v>
      </c>
      <c r="N3369" s="3" t="s">
        <v>247</v>
      </c>
      <c r="P3369" s="3" t="s">
        <v>66</v>
      </c>
      <c r="R3369" s="3" t="s">
        <v>67</v>
      </c>
      <c r="S3369" s="4">
        <v>5</v>
      </c>
      <c r="T3369" s="4">
        <v>5</v>
      </c>
      <c r="U3369" s="5" t="s">
        <v>23533</v>
      </c>
      <c r="V3369" s="5" t="s">
        <v>23533</v>
      </c>
      <c r="W3369" s="5" t="s">
        <v>415</v>
      </c>
      <c r="X3369" s="5" t="s">
        <v>415</v>
      </c>
      <c r="Y3369" s="4">
        <v>507</v>
      </c>
      <c r="Z3369" s="4">
        <v>30</v>
      </c>
      <c r="AA3369" s="4">
        <v>35</v>
      </c>
      <c r="AB3369" s="4">
        <v>2</v>
      </c>
      <c r="AC3369" s="4">
        <v>5</v>
      </c>
      <c r="AD3369" s="4">
        <v>122</v>
      </c>
      <c r="AE3369" s="4">
        <v>123</v>
      </c>
      <c r="AF3369" s="4">
        <v>1</v>
      </c>
      <c r="AG3369" s="4">
        <v>1</v>
      </c>
      <c r="AH3369" s="4">
        <v>108</v>
      </c>
      <c r="AI3369" s="4">
        <v>109</v>
      </c>
      <c r="AJ3369" s="4">
        <v>22</v>
      </c>
      <c r="AK3369" s="4">
        <v>22</v>
      </c>
      <c r="AL3369" s="4">
        <v>54</v>
      </c>
      <c r="AM3369" s="4">
        <v>55</v>
      </c>
      <c r="AN3369" s="4">
        <v>0</v>
      </c>
      <c r="AO3369" s="4">
        <v>0</v>
      </c>
      <c r="AP3369" s="4">
        <v>23</v>
      </c>
      <c r="AQ3369" s="4">
        <v>23</v>
      </c>
      <c r="AR3369" s="3" t="s">
        <v>63</v>
      </c>
      <c r="AS3369" s="3" t="s">
        <v>63</v>
      </c>
      <c r="AT3369" s="3" t="s">
        <v>63</v>
      </c>
      <c r="AV3369" s="6" t="str">
        <f>HYPERLINK("http://mcgill.on.worldcat.org/oclc/7575432","Catalog Record")</f>
        <v>Catalog Record</v>
      </c>
      <c r="AW3369" s="6" t="str">
        <f>HYPERLINK("http://www.worldcat.org/oclc/7575432","WorldCat Record")</f>
        <v>WorldCat Record</v>
      </c>
      <c r="AX3369" s="3" t="s">
        <v>28177</v>
      </c>
      <c r="AY3369" s="3" t="s">
        <v>28178</v>
      </c>
      <c r="AZ3369" s="3" t="s">
        <v>28179</v>
      </c>
      <c r="BA3369" s="3" t="s">
        <v>28179</v>
      </c>
      <c r="BB3369" s="3" t="s">
        <v>28180</v>
      </c>
      <c r="BC3369" s="3" t="s">
        <v>82</v>
      </c>
      <c r="BD3369" s="3" t="s">
        <v>538</v>
      </c>
      <c r="BE3369" s="3" t="s">
        <v>28181</v>
      </c>
      <c r="BF3369" s="3" t="s">
        <v>28180</v>
      </c>
      <c r="BG3369" s="3" t="s">
        <v>28182</v>
      </c>
    </row>
    <row r="3370" spans="1:59" ht="60" x14ac:dyDescent="0.25">
      <c r="A3370" s="2" t="s">
        <v>59</v>
      </c>
      <c r="B3370" s="2" t="s">
        <v>60</v>
      </c>
      <c r="C3370" s="2" t="s">
        <v>28183</v>
      </c>
      <c r="D3370" s="2" t="s">
        <v>28184</v>
      </c>
      <c r="E3370" s="2" t="s">
        <v>28185</v>
      </c>
      <c r="G3370" s="3" t="s">
        <v>63</v>
      </c>
      <c r="I3370" s="3" t="s">
        <v>63</v>
      </c>
      <c r="J3370" s="3" t="s">
        <v>63</v>
      </c>
      <c r="K3370" s="3" t="s">
        <v>64</v>
      </c>
      <c r="M3370" s="2" t="s">
        <v>28186</v>
      </c>
      <c r="N3370" s="3" t="s">
        <v>313</v>
      </c>
      <c r="P3370" s="3" t="s">
        <v>90</v>
      </c>
      <c r="Q3370" s="2" t="s">
        <v>28187</v>
      </c>
      <c r="R3370" s="3" t="s">
        <v>67</v>
      </c>
      <c r="S3370" s="4">
        <v>0</v>
      </c>
      <c r="T3370" s="4">
        <v>0</v>
      </c>
      <c r="W3370" s="5" t="s">
        <v>69</v>
      </c>
      <c r="X3370" s="5" t="s">
        <v>69</v>
      </c>
      <c r="Y3370" s="4">
        <v>30</v>
      </c>
      <c r="Z3370" s="4">
        <v>5</v>
      </c>
      <c r="AA3370" s="4">
        <v>5</v>
      </c>
      <c r="AB3370" s="4">
        <v>1</v>
      </c>
      <c r="AC3370" s="4">
        <v>1</v>
      </c>
      <c r="AD3370" s="4">
        <v>22</v>
      </c>
      <c r="AE3370" s="4">
        <v>22</v>
      </c>
      <c r="AF3370" s="4">
        <v>0</v>
      </c>
      <c r="AG3370" s="4">
        <v>0</v>
      </c>
      <c r="AH3370" s="4">
        <v>21</v>
      </c>
      <c r="AI3370" s="4">
        <v>21</v>
      </c>
      <c r="AJ3370" s="4">
        <v>3</v>
      </c>
      <c r="AK3370" s="4">
        <v>3</v>
      </c>
      <c r="AL3370" s="4">
        <v>17</v>
      </c>
      <c r="AM3370" s="4">
        <v>17</v>
      </c>
      <c r="AN3370" s="4">
        <v>0</v>
      </c>
      <c r="AO3370" s="4">
        <v>0</v>
      </c>
      <c r="AP3370" s="4">
        <v>3</v>
      </c>
      <c r="AQ3370" s="4">
        <v>3</v>
      </c>
      <c r="AR3370" s="3" t="s">
        <v>63</v>
      </c>
      <c r="AS3370" s="3" t="s">
        <v>63</v>
      </c>
      <c r="AT3370" s="3" t="s">
        <v>63</v>
      </c>
      <c r="AV3370" s="6" t="str">
        <f>HYPERLINK("http://mcgill.on.worldcat.org/oclc/608633585","Catalog Record")</f>
        <v>Catalog Record</v>
      </c>
      <c r="AW3370" s="6" t="str">
        <f>HYPERLINK("http://www.worldcat.org/oclc/608633585","WorldCat Record")</f>
        <v>WorldCat Record</v>
      </c>
      <c r="AX3370" s="3" t="s">
        <v>28188</v>
      </c>
      <c r="AY3370" s="3" t="s">
        <v>28189</v>
      </c>
      <c r="AZ3370" s="3" t="s">
        <v>28190</v>
      </c>
      <c r="BA3370" s="3" t="s">
        <v>28190</v>
      </c>
      <c r="BB3370" s="3" t="s">
        <v>28191</v>
      </c>
      <c r="BC3370" s="3" t="s">
        <v>82</v>
      </c>
      <c r="BD3370" s="3" t="s">
        <v>70</v>
      </c>
      <c r="BE3370" s="3" t="s">
        <v>28192</v>
      </c>
      <c r="BF3370" s="3" t="s">
        <v>28191</v>
      </c>
      <c r="BG3370" s="3" t="s">
        <v>28193</v>
      </c>
    </row>
    <row r="3371" spans="1:59" ht="60" x14ac:dyDescent="0.25">
      <c r="A3371" s="2" t="s">
        <v>59</v>
      </c>
      <c r="B3371" s="2" t="s">
        <v>60</v>
      </c>
      <c r="C3371" s="2" t="s">
        <v>28194</v>
      </c>
      <c r="D3371" s="2" t="s">
        <v>28195</v>
      </c>
      <c r="E3371" s="2" t="s">
        <v>28196</v>
      </c>
      <c r="G3371" s="3" t="s">
        <v>63</v>
      </c>
      <c r="I3371" s="3" t="s">
        <v>63</v>
      </c>
      <c r="J3371" s="3" t="s">
        <v>63</v>
      </c>
      <c r="K3371" s="3" t="s">
        <v>64</v>
      </c>
      <c r="L3371" s="2" t="s">
        <v>28197</v>
      </c>
      <c r="M3371" s="2" t="s">
        <v>28198</v>
      </c>
      <c r="N3371" s="3" t="s">
        <v>1296</v>
      </c>
      <c r="P3371" s="3" t="s">
        <v>66</v>
      </c>
      <c r="Q3371" s="2" t="s">
        <v>28199</v>
      </c>
      <c r="R3371" s="3" t="s">
        <v>67</v>
      </c>
      <c r="S3371" s="4">
        <v>8</v>
      </c>
      <c r="T3371" s="4">
        <v>8</v>
      </c>
      <c r="U3371" s="5" t="s">
        <v>23533</v>
      </c>
      <c r="V3371" s="5" t="s">
        <v>23533</v>
      </c>
      <c r="W3371" s="5" t="s">
        <v>69</v>
      </c>
      <c r="X3371" s="5" t="s">
        <v>69</v>
      </c>
      <c r="Y3371" s="4">
        <v>255</v>
      </c>
      <c r="Z3371" s="4">
        <v>33</v>
      </c>
      <c r="AA3371" s="4">
        <v>33</v>
      </c>
      <c r="AB3371" s="4">
        <v>2</v>
      </c>
      <c r="AC3371" s="4">
        <v>2</v>
      </c>
      <c r="AD3371" s="4">
        <v>81</v>
      </c>
      <c r="AE3371" s="4">
        <v>81</v>
      </c>
      <c r="AF3371" s="4">
        <v>1</v>
      </c>
      <c r="AG3371" s="4">
        <v>1</v>
      </c>
      <c r="AH3371" s="4">
        <v>61</v>
      </c>
      <c r="AI3371" s="4">
        <v>61</v>
      </c>
      <c r="AJ3371" s="4">
        <v>13</v>
      </c>
      <c r="AK3371" s="4">
        <v>13</v>
      </c>
      <c r="AL3371" s="4">
        <v>40</v>
      </c>
      <c r="AM3371" s="4">
        <v>40</v>
      </c>
      <c r="AN3371" s="4">
        <v>0</v>
      </c>
      <c r="AO3371" s="4">
        <v>0</v>
      </c>
      <c r="AP3371" s="4">
        <v>23</v>
      </c>
      <c r="AQ3371" s="4">
        <v>23</v>
      </c>
      <c r="AR3371" s="3" t="s">
        <v>63</v>
      </c>
      <c r="AS3371" s="3" t="s">
        <v>63</v>
      </c>
      <c r="AT3371" s="3" t="s">
        <v>62</v>
      </c>
      <c r="AU3371" s="6" t="str">
        <f>HYPERLINK("http://catalog.hathitrust.org/Record/001060746","HathiTrust Record")</f>
        <v>HathiTrust Record</v>
      </c>
      <c r="AV3371" s="6" t="str">
        <f>HYPERLINK("http://mcgill.on.worldcat.org/oclc/84602","Catalog Record")</f>
        <v>Catalog Record</v>
      </c>
      <c r="AW3371" s="6" t="str">
        <f>HYPERLINK("http://www.worldcat.org/oclc/84602","WorldCat Record")</f>
        <v>WorldCat Record</v>
      </c>
      <c r="AX3371" s="3" t="s">
        <v>28200</v>
      </c>
      <c r="AY3371" s="3" t="s">
        <v>28201</v>
      </c>
      <c r="AZ3371" s="3" t="s">
        <v>28202</v>
      </c>
      <c r="BA3371" s="3" t="s">
        <v>28202</v>
      </c>
      <c r="BB3371" s="3" t="s">
        <v>28203</v>
      </c>
      <c r="BC3371" s="3" t="s">
        <v>82</v>
      </c>
      <c r="BD3371" s="3" t="s">
        <v>70</v>
      </c>
      <c r="BE3371" s="3" t="s">
        <v>28204</v>
      </c>
      <c r="BF3371" s="3" t="s">
        <v>28203</v>
      </c>
      <c r="BG3371" s="3" t="s">
        <v>28205</v>
      </c>
    </row>
    <row r="3372" spans="1:59" ht="75" x14ac:dyDescent="0.25">
      <c r="A3372" s="2" t="s">
        <v>59</v>
      </c>
      <c r="B3372" s="2" t="s">
        <v>60</v>
      </c>
      <c r="C3372" s="2" t="s">
        <v>28231</v>
      </c>
      <c r="D3372" s="2" t="s">
        <v>28232</v>
      </c>
      <c r="E3372" s="2" t="s">
        <v>28233</v>
      </c>
      <c r="G3372" s="3" t="s">
        <v>63</v>
      </c>
      <c r="I3372" s="3" t="s">
        <v>63</v>
      </c>
      <c r="J3372" s="3" t="s">
        <v>63</v>
      </c>
      <c r="K3372" s="3" t="s">
        <v>64</v>
      </c>
      <c r="L3372" s="2" t="s">
        <v>28234</v>
      </c>
      <c r="M3372" s="2" t="s">
        <v>28235</v>
      </c>
      <c r="N3372" s="3" t="s">
        <v>743</v>
      </c>
      <c r="O3372" s="2" t="s">
        <v>976</v>
      </c>
      <c r="P3372" s="3" t="s">
        <v>66</v>
      </c>
      <c r="Q3372" s="2" t="s">
        <v>3417</v>
      </c>
      <c r="R3372" s="3" t="s">
        <v>67</v>
      </c>
      <c r="S3372" s="4">
        <v>5</v>
      </c>
      <c r="T3372" s="4">
        <v>5</v>
      </c>
      <c r="U3372" s="5" t="s">
        <v>9914</v>
      </c>
      <c r="V3372" s="5" t="s">
        <v>9914</v>
      </c>
      <c r="W3372" s="5" t="s">
        <v>69</v>
      </c>
      <c r="X3372" s="5" t="s">
        <v>69</v>
      </c>
      <c r="Y3372" s="4">
        <v>124</v>
      </c>
      <c r="Z3372" s="4">
        <v>10</v>
      </c>
      <c r="AA3372" s="4">
        <v>11</v>
      </c>
      <c r="AB3372" s="4">
        <v>2</v>
      </c>
      <c r="AC3372" s="4">
        <v>3</v>
      </c>
      <c r="AD3372" s="4">
        <v>47</v>
      </c>
      <c r="AE3372" s="4">
        <v>47</v>
      </c>
      <c r="AF3372" s="4">
        <v>1</v>
      </c>
      <c r="AG3372" s="4">
        <v>1</v>
      </c>
      <c r="AH3372" s="4">
        <v>43</v>
      </c>
      <c r="AI3372" s="4">
        <v>43</v>
      </c>
      <c r="AJ3372" s="4">
        <v>5</v>
      </c>
      <c r="AK3372" s="4">
        <v>5</v>
      </c>
      <c r="AL3372" s="4">
        <v>29</v>
      </c>
      <c r="AM3372" s="4">
        <v>29</v>
      </c>
      <c r="AN3372" s="4">
        <v>0</v>
      </c>
      <c r="AO3372" s="4">
        <v>0</v>
      </c>
      <c r="AP3372" s="4">
        <v>6</v>
      </c>
      <c r="AQ3372" s="4">
        <v>6</v>
      </c>
      <c r="AR3372" s="3" t="s">
        <v>63</v>
      </c>
      <c r="AS3372" s="3" t="s">
        <v>63</v>
      </c>
      <c r="AT3372" s="3" t="s">
        <v>63</v>
      </c>
      <c r="AV3372" s="6" t="str">
        <f>HYPERLINK("http://mcgill.on.worldcat.org/oclc/483536","Catalog Record")</f>
        <v>Catalog Record</v>
      </c>
      <c r="AW3372" s="6" t="str">
        <f>HYPERLINK("http://www.worldcat.org/oclc/483536","WorldCat Record")</f>
        <v>WorldCat Record</v>
      </c>
      <c r="AX3372" s="3" t="s">
        <v>28236</v>
      </c>
      <c r="AY3372" s="3" t="s">
        <v>28237</v>
      </c>
      <c r="AZ3372" s="3" t="s">
        <v>28238</v>
      </c>
      <c r="BA3372" s="3" t="s">
        <v>28238</v>
      </c>
      <c r="BB3372" s="3" t="s">
        <v>28239</v>
      </c>
      <c r="BC3372" s="3" t="s">
        <v>82</v>
      </c>
      <c r="BD3372" s="3" t="s">
        <v>70</v>
      </c>
      <c r="BF3372" s="3" t="s">
        <v>28239</v>
      </c>
      <c r="BG3372" s="3" t="s">
        <v>28240</v>
      </c>
    </row>
    <row r="3373" spans="1:59" ht="60" x14ac:dyDescent="0.25">
      <c r="A3373" s="2" t="s">
        <v>59</v>
      </c>
      <c r="B3373" s="2" t="s">
        <v>60</v>
      </c>
      <c r="C3373" s="2" t="s">
        <v>28241</v>
      </c>
      <c r="D3373" s="2" t="s">
        <v>28242</v>
      </c>
      <c r="E3373" s="2" t="s">
        <v>28243</v>
      </c>
      <c r="G3373" s="3" t="s">
        <v>63</v>
      </c>
      <c r="I3373" s="3" t="s">
        <v>63</v>
      </c>
      <c r="J3373" s="3" t="s">
        <v>63</v>
      </c>
      <c r="K3373" s="3" t="s">
        <v>64</v>
      </c>
      <c r="L3373" s="2" t="s">
        <v>28244</v>
      </c>
      <c r="M3373" s="2" t="s">
        <v>28245</v>
      </c>
      <c r="N3373" s="3" t="s">
        <v>849</v>
      </c>
      <c r="P3373" s="3" t="s">
        <v>66</v>
      </c>
      <c r="Q3373" s="2" t="s">
        <v>28246</v>
      </c>
      <c r="R3373" s="3" t="s">
        <v>67</v>
      </c>
      <c r="S3373" s="4">
        <v>6</v>
      </c>
      <c r="T3373" s="4">
        <v>6</v>
      </c>
      <c r="U3373" s="5" t="s">
        <v>978</v>
      </c>
      <c r="V3373" s="5" t="s">
        <v>978</v>
      </c>
      <c r="W3373" s="5" t="s">
        <v>69</v>
      </c>
      <c r="X3373" s="5" t="s">
        <v>69</v>
      </c>
      <c r="Y3373" s="4">
        <v>100</v>
      </c>
      <c r="Z3373" s="4">
        <v>14</v>
      </c>
      <c r="AA3373" s="4">
        <v>14</v>
      </c>
      <c r="AB3373" s="4">
        <v>1</v>
      </c>
      <c r="AC3373" s="4">
        <v>1</v>
      </c>
      <c r="AD3373" s="4">
        <v>53</v>
      </c>
      <c r="AE3373" s="4">
        <v>53</v>
      </c>
      <c r="AF3373" s="4">
        <v>0</v>
      </c>
      <c r="AG3373" s="4">
        <v>0</v>
      </c>
      <c r="AH3373" s="4">
        <v>47</v>
      </c>
      <c r="AI3373" s="4">
        <v>47</v>
      </c>
      <c r="AJ3373" s="4">
        <v>11</v>
      </c>
      <c r="AK3373" s="4">
        <v>11</v>
      </c>
      <c r="AL3373" s="4">
        <v>34</v>
      </c>
      <c r="AM3373" s="4">
        <v>34</v>
      </c>
      <c r="AN3373" s="4">
        <v>0</v>
      </c>
      <c r="AO3373" s="4">
        <v>0</v>
      </c>
      <c r="AP3373" s="4">
        <v>12</v>
      </c>
      <c r="AQ3373" s="4">
        <v>12</v>
      </c>
      <c r="AR3373" s="3" t="s">
        <v>63</v>
      </c>
      <c r="AS3373" s="3" t="s">
        <v>63</v>
      </c>
      <c r="AT3373" s="3" t="s">
        <v>62</v>
      </c>
      <c r="AU3373" s="6" t="str">
        <f>HYPERLINK("http://catalog.hathitrust.org/Record/000270536","HathiTrust Record")</f>
        <v>HathiTrust Record</v>
      </c>
      <c r="AV3373" s="6" t="str">
        <f>HYPERLINK("http://mcgill.on.worldcat.org/oclc/6930519","Catalog Record")</f>
        <v>Catalog Record</v>
      </c>
      <c r="AW3373" s="6" t="str">
        <f>HYPERLINK("http://www.worldcat.org/oclc/6930519","WorldCat Record")</f>
        <v>WorldCat Record</v>
      </c>
      <c r="AX3373" s="3" t="s">
        <v>28247</v>
      </c>
      <c r="AY3373" s="3" t="s">
        <v>28248</v>
      </c>
      <c r="AZ3373" s="3" t="s">
        <v>28249</v>
      </c>
      <c r="BA3373" s="3" t="s">
        <v>28249</v>
      </c>
      <c r="BB3373" s="3" t="s">
        <v>28250</v>
      </c>
      <c r="BC3373" s="3" t="s">
        <v>82</v>
      </c>
      <c r="BD3373" s="3" t="s">
        <v>70</v>
      </c>
      <c r="BE3373" s="3" t="s">
        <v>28251</v>
      </c>
      <c r="BF3373" s="3" t="s">
        <v>28250</v>
      </c>
      <c r="BG3373" s="3" t="s">
        <v>28252</v>
      </c>
    </row>
    <row r="3374" spans="1:59" ht="60" x14ac:dyDescent="0.25">
      <c r="A3374" s="2" t="s">
        <v>59</v>
      </c>
      <c r="B3374" s="2" t="s">
        <v>60</v>
      </c>
      <c r="C3374" s="2" t="s">
        <v>28253</v>
      </c>
      <c r="D3374" s="2" t="s">
        <v>28254</v>
      </c>
      <c r="E3374" s="2" t="s">
        <v>28255</v>
      </c>
      <c r="F3374" s="3" t="s">
        <v>2601</v>
      </c>
      <c r="G3374" s="3" t="s">
        <v>62</v>
      </c>
      <c r="I3374" s="3" t="s">
        <v>63</v>
      </c>
      <c r="J3374" s="3" t="s">
        <v>63</v>
      </c>
      <c r="K3374" s="3" t="s">
        <v>64</v>
      </c>
      <c r="L3374" s="2" t="s">
        <v>4776</v>
      </c>
      <c r="M3374" s="2" t="s">
        <v>28256</v>
      </c>
      <c r="N3374" s="3" t="s">
        <v>531</v>
      </c>
      <c r="P3374" s="3" t="s">
        <v>90</v>
      </c>
      <c r="R3374" s="3" t="s">
        <v>67</v>
      </c>
      <c r="S3374" s="4">
        <v>5</v>
      </c>
      <c r="T3374" s="4">
        <v>5</v>
      </c>
      <c r="U3374" s="5" t="s">
        <v>16663</v>
      </c>
      <c r="V3374" s="5" t="s">
        <v>16663</v>
      </c>
      <c r="W3374" s="5" t="s">
        <v>69</v>
      </c>
      <c r="X3374" s="5" t="s">
        <v>69</v>
      </c>
      <c r="Y3374" s="4">
        <v>104</v>
      </c>
      <c r="Z3374" s="4">
        <v>6</v>
      </c>
      <c r="AA3374" s="4">
        <v>6</v>
      </c>
      <c r="AB3374" s="4">
        <v>1</v>
      </c>
      <c r="AC3374" s="4">
        <v>1</v>
      </c>
      <c r="AD3374" s="4">
        <v>54</v>
      </c>
      <c r="AE3374" s="4">
        <v>54</v>
      </c>
      <c r="AF3374" s="4">
        <v>0</v>
      </c>
      <c r="AG3374" s="4">
        <v>0</v>
      </c>
      <c r="AH3374" s="4">
        <v>53</v>
      </c>
      <c r="AI3374" s="4">
        <v>53</v>
      </c>
      <c r="AJ3374" s="4">
        <v>4</v>
      </c>
      <c r="AK3374" s="4">
        <v>4</v>
      </c>
      <c r="AL3374" s="4">
        <v>38</v>
      </c>
      <c r="AM3374" s="4">
        <v>38</v>
      </c>
      <c r="AN3374" s="4">
        <v>0</v>
      </c>
      <c r="AO3374" s="4">
        <v>0</v>
      </c>
      <c r="AP3374" s="4">
        <v>4</v>
      </c>
      <c r="AQ3374" s="4">
        <v>4</v>
      </c>
      <c r="AR3374" s="3" t="s">
        <v>63</v>
      </c>
      <c r="AS3374" s="3" t="s">
        <v>63</v>
      </c>
      <c r="AT3374" s="3" t="s">
        <v>62</v>
      </c>
      <c r="AU3374" s="6" t="str">
        <f>HYPERLINK("http://catalog.hathitrust.org/Record/002753149","HathiTrust Record")</f>
        <v>HathiTrust Record</v>
      </c>
      <c r="AV3374" s="6" t="str">
        <f>HYPERLINK("http://mcgill.on.worldcat.org/oclc/27858234","Catalog Record")</f>
        <v>Catalog Record</v>
      </c>
      <c r="AW3374" s="6" t="str">
        <f>HYPERLINK("http://www.worldcat.org/oclc/27858234","WorldCat Record")</f>
        <v>WorldCat Record</v>
      </c>
      <c r="AX3374" s="3" t="s">
        <v>28257</v>
      </c>
      <c r="AY3374" s="3" t="s">
        <v>28258</v>
      </c>
      <c r="AZ3374" s="3" t="s">
        <v>28259</v>
      </c>
      <c r="BA3374" s="3" t="s">
        <v>28259</v>
      </c>
      <c r="BB3374" s="3" t="s">
        <v>28260</v>
      </c>
      <c r="BC3374" s="3" t="s">
        <v>82</v>
      </c>
      <c r="BD3374" s="3" t="s">
        <v>70</v>
      </c>
      <c r="BE3374" s="3" t="s">
        <v>28261</v>
      </c>
      <c r="BF3374" s="3" t="s">
        <v>28260</v>
      </c>
      <c r="BG3374" s="3" t="s">
        <v>28262</v>
      </c>
    </row>
    <row r="3375" spans="1:59" ht="60" x14ac:dyDescent="0.25">
      <c r="A3375" s="2" t="s">
        <v>59</v>
      </c>
      <c r="B3375" s="2" t="s">
        <v>60</v>
      </c>
      <c r="C3375" s="2" t="s">
        <v>28253</v>
      </c>
      <c r="D3375" s="2" t="s">
        <v>28254</v>
      </c>
      <c r="E3375" s="2" t="s">
        <v>28255</v>
      </c>
      <c r="F3375" s="3" t="s">
        <v>4181</v>
      </c>
      <c r="G3375" s="3" t="s">
        <v>62</v>
      </c>
      <c r="I3375" s="3" t="s">
        <v>63</v>
      </c>
      <c r="J3375" s="3" t="s">
        <v>63</v>
      </c>
      <c r="K3375" s="3" t="s">
        <v>64</v>
      </c>
      <c r="L3375" s="2" t="s">
        <v>4776</v>
      </c>
      <c r="M3375" s="2" t="s">
        <v>28256</v>
      </c>
      <c r="N3375" s="3" t="s">
        <v>531</v>
      </c>
      <c r="P3375" s="3" t="s">
        <v>90</v>
      </c>
      <c r="R3375" s="3" t="s">
        <v>67</v>
      </c>
      <c r="S3375" s="4">
        <v>0</v>
      </c>
      <c r="T3375" s="4">
        <v>5</v>
      </c>
      <c r="V3375" s="5" t="s">
        <v>16663</v>
      </c>
      <c r="W3375" s="5" t="s">
        <v>69</v>
      </c>
      <c r="X3375" s="5" t="s">
        <v>69</v>
      </c>
      <c r="Y3375" s="4">
        <v>104</v>
      </c>
      <c r="Z3375" s="4">
        <v>6</v>
      </c>
      <c r="AA3375" s="4">
        <v>6</v>
      </c>
      <c r="AB3375" s="4">
        <v>1</v>
      </c>
      <c r="AC3375" s="4">
        <v>1</v>
      </c>
      <c r="AD3375" s="4">
        <v>54</v>
      </c>
      <c r="AE3375" s="4">
        <v>54</v>
      </c>
      <c r="AF3375" s="4">
        <v>0</v>
      </c>
      <c r="AG3375" s="4">
        <v>0</v>
      </c>
      <c r="AH3375" s="4">
        <v>53</v>
      </c>
      <c r="AI3375" s="4">
        <v>53</v>
      </c>
      <c r="AJ3375" s="4">
        <v>4</v>
      </c>
      <c r="AK3375" s="4">
        <v>4</v>
      </c>
      <c r="AL3375" s="4">
        <v>38</v>
      </c>
      <c r="AM3375" s="4">
        <v>38</v>
      </c>
      <c r="AN3375" s="4">
        <v>0</v>
      </c>
      <c r="AO3375" s="4">
        <v>0</v>
      </c>
      <c r="AP3375" s="4">
        <v>4</v>
      </c>
      <c r="AQ3375" s="4">
        <v>4</v>
      </c>
      <c r="AR3375" s="3" t="s">
        <v>63</v>
      </c>
      <c r="AS3375" s="3" t="s">
        <v>63</v>
      </c>
      <c r="AT3375" s="3" t="s">
        <v>62</v>
      </c>
      <c r="AU3375" s="6" t="str">
        <f>HYPERLINK("http://catalog.hathitrust.org/Record/002753149","HathiTrust Record")</f>
        <v>HathiTrust Record</v>
      </c>
      <c r="AV3375" s="6" t="str">
        <f>HYPERLINK("http://mcgill.on.worldcat.org/oclc/27858234","Catalog Record")</f>
        <v>Catalog Record</v>
      </c>
      <c r="AW3375" s="6" t="str">
        <f>HYPERLINK("http://www.worldcat.org/oclc/27858234","WorldCat Record")</f>
        <v>WorldCat Record</v>
      </c>
      <c r="AX3375" s="3" t="s">
        <v>28257</v>
      </c>
      <c r="AY3375" s="3" t="s">
        <v>28258</v>
      </c>
      <c r="AZ3375" s="3" t="s">
        <v>28259</v>
      </c>
      <c r="BA3375" s="3" t="s">
        <v>28259</v>
      </c>
      <c r="BB3375" s="3" t="s">
        <v>28263</v>
      </c>
      <c r="BC3375" s="3" t="s">
        <v>82</v>
      </c>
      <c r="BD3375" s="3" t="s">
        <v>70</v>
      </c>
      <c r="BE3375" s="3" t="s">
        <v>28261</v>
      </c>
      <c r="BF3375" s="3" t="s">
        <v>28263</v>
      </c>
      <c r="BG3375" s="3" t="s">
        <v>28264</v>
      </c>
    </row>
    <row r="3376" spans="1:59" ht="60" x14ac:dyDescent="0.25">
      <c r="A3376" s="2" t="s">
        <v>59</v>
      </c>
      <c r="B3376" s="2" t="s">
        <v>60</v>
      </c>
      <c r="C3376" s="2" t="s">
        <v>28265</v>
      </c>
      <c r="D3376" s="2" t="s">
        <v>28266</v>
      </c>
      <c r="E3376" s="2" t="s">
        <v>28267</v>
      </c>
      <c r="G3376" s="3" t="s">
        <v>63</v>
      </c>
      <c r="I3376" s="3" t="s">
        <v>63</v>
      </c>
      <c r="J3376" s="3" t="s">
        <v>63</v>
      </c>
      <c r="K3376" s="3" t="s">
        <v>64</v>
      </c>
      <c r="L3376" s="2" t="s">
        <v>4776</v>
      </c>
      <c r="M3376" s="2" t="s">
        <v>14783</v>
      </c>
      <c r="N3376" s="3" t="s">
        <v>918</v>
      </c>
      <c r="P3376" s="3" t="s">
        <v>66</v>
      </c>
      <c r="Q3376" s="2" t="s">
        <v>11677</v>
      </c>
      <c r="R3376" s="3" t="s">
        <v>67</v>
      </c>
      <c r="S3376" s="4">
        <v>11</v>
      </c>
      <c r="T3376" s="4">
        <v>11</v>
      </c>
      <c r="U3376" s="5" t="s">
        <v>9621</v>
      </c>
      <c r="V3376" s="5" t="s">
        <v>9621</v>
      </c>
      <c r="W3376" s="5" t="s">
        <v>69</v>
      </c>
      <c r="X3376" s="5" t="s">
        <v>69</v>
      </c>
      <c r="Y3376" s="4">
        <v>91</v>
      </c>
      <c r="Z3376" s="4">
        <v>8</v>
      </c>
      <c r="AA3376" s="4">
        <v>21</v>
      </c>
      <c r="AB3376" s="4">
        <v>1</v>
      </c>
      <c r="AC3376" s="4">
        <v>1</v>
      </c>
      <c r="AD3376" s="4">
        <v>31</v>
      </c>
      <c r="AE3376" s="4">
        <v>110</v>
      </c>
      <c r="AF3376" s="4">
        <v>0</v>
      </c>
      <c r="AG3376" s="4">
        <v>0</v>
      </c>
      <c r="AH3376" s="4">
        <v>26</v>
      </c>
      <c r="AI3376" s="4">
        <v>98</v>
      </c>
      <c r="AJ3376" s="4">
        <v>4</v>
      </c>
      <c r="AK3376" s="4">
        <v>14</v>
      </c>
      <c r="AL3376" s="4">
        <v>21</v>
      </c>
      <c r="AM3376" s="4">
        <v>58</v>
      </c>
      <c r="AN3376" s="4">
        <v>0</v>
      </c>
      <c r="AO3376" s="4">
        <v>5</v>
      </c>
      <c r="AP3376" s="4">
        <v>4</v>
      </c>
      <c r="AQ3376" s="4">
        <v>16</v>
      </c>
      <c r="AR3376" s="3" t="s">
        <v>63</v>
      </c>
      <c r="AS3376" s="3" t="s">
        <v>63</v>
      </c>
      <c r="AT3376" s="3" t="s">
        <v>62</v>
      </c>
      <c r="AU3376" s="6" t="str">
        <f>HYPERLINK("http://catalog.hathitrust.org/Record/001110460","HathiTrust Record")</f>
        <v>HathiTrust Record</v>
      </c>
      <c r="AV3376" s="6" t="str">
        <f>HYPERLINK("http://mcgill.on.worldcat.org/oclc/3042022","Catalog Record")</f>
        <v>Catalog Record</v>
      </c>
      <c r="AW3376" s="6" t="str">
        <f>HYPERLINK("http://www.worldcat.org/oclc/3042022","WorldCat Record")</f>
        <v>WorldCat Record</v>
      </c>
      <c r="AX3376" s="3" t="s">
        <v>28268</v>
      </c>
      <c r="AY3376" s="3" t="s">
        <v>28269</v>
      </c>
      <c r="AZ3376" s="3" t="s">
        <v>28270</v>
      </c>
      <c r="BA3376" s="3" t="s">
        <v>28270</v>
      </c>
      <c r="BB3376" s="3" t="s">
        <v>28271</v>
      </c>
      <c r="BC3376" s="3" t="s">
        <v>82</v>
      </c>
      <c r="BD3376" s="3" t="s">
        <v>70</v>
      </c>
      <c r="BF3376" s="3" t="s">
        <v>28271</v>
      </c>
      <c r="BG3376" s="3" t="s">
        <v>28272</v>
      </c>
    </row>
    <row r="3377" spans="1:59" ht="60" x14ac:dyDescent="0.25">
      <c r="A3377" s="2" t="s">
        <v>59</v>
      </c>
      <c r="B3377" s="2" t="s">
        <v>60</v>
      </c>
      <c r="C3377" s="2" t="s">
        <v>28273</v>
      </c>
      <c r="D3377" s="2" t="s">
        <v>28274</v>
      </c>
      <c r="E3377" s="2" t="s">
        <v>28275</v>
      </c>
      <c r="G3377" s="3" t="s">
        <v>63</v>
      </c>
      <c r="I3377" s="3" t="s">
        <v>63</v>
      </c>
      <c r="J3377" s="3" t="s">
        <v>63</v>
      </c>
      <c r="K3377" s="3" t="s">
        <v>64</v>
      </c>
      <c r="L3377" s="2" t="s">
        <v>4776</v>
      </c>
      <c r="M3377" s="2" t="s">
        <v>28276</v>
      </c>
      <c r="N3377" s="3" t="s">
        <v>2951</v>
      </c>
      <c r="P3377" s="3" t="s">
        <v>90</v>
      </c>
      <c r="R3377" s="3" t="s">
        <v>67</v>
      </c>
      <c r="S3377" s="4">
        <v>12</v>
      </c>
      <c r="T3377" s="4">
        <v>12</v>
      </c>
      <c r="U3377" s="5" t="s">
        <v>16620</v>
      </c>
      <c r="V3377" s="5" t="s">
        <v>16620</v>
      </c>
      <c r="W3377" s="5" t="s">
        <v>69</v>
      </c>
      <c r="X3377" s="5" t="s">
        <v>69</v>
      </c>
      <c r="Y3377" s="4">
        <v>126</v>
      </c>
      <c r="Z3377" s="4">
        <v>10</v>
      </c>
      <c r="AA3377" s="4">
        <v>10</v>
      </c>
      <c r="AB3377" s="4">
        <v>1</v>
      </c>
      <c r="AC3377" s="4">
        <v>1</v>
      </c>
      <c r="AD3377" s="4">
        <v>68</v>
      </c>
      <c r="AE3377" s="4">
        <v>68</v>
      </c>
      <c r="AF3377" s="4">
        <v>0</v>
      </c>
      <c r="AG3377" s="4">
        <v>0</v>
      </c>
      <c r="AH3377" s="4">
        <v>64</v>
      </c>
      <c r="AI3377" s="4">
        <v>64</v>
      </c>
      <c r="AJ3377" s="4">
        <v>8</v>
      </c>
      <c r="AK3377" s="4">
        <v>8</v>
      </c>
      <c r="AL3377" s="4">
        <v>44</v>
      </c>
      <c r="AM3377" s="4">
        <v>44</v>
      </c>
      <c r="AN3377" s="4">
        <v>0</v>
      </c>
      <c r="AO3377" s="4">
        <v>0</v>
      </c>
      <c r="AP3377" s="4">
        <v>8</v>
      </c>
      <c r="AQ3377" s="4">
        <v>8</v>
      </c>
      <c r="AR3377" s="3" t="s">
        <v>63</v>
      </c>
      <c r="AS3377" s="3" t="s">
        <v>63</v>
      </c>
      <c r="AT3377" s="3" t="s">
        <v>62</v>
      </c>
      <c r="AU3377" s="6" t="str">
        <f>HYPERLINK("http://catalog.hathitrust.org/Record/000710862","HathiTrust Record")</f>
        <v>HathiTrust Record</v>
      </c>
      <c r="AV3377" s="6" t="str">
        <f>HYPERLINK("http://mcgill.on.worldcat.org/oclc/6980195","Catalog Record")</f>
        <v>Catalog Record</v>
      </c>
      <c r="AW3377" s="6" t="str">
        <f>HYPERLINK("http://www.worldcat.org/oclc/6980195","WorldCat Record")</f>
        <v>WorldCat Record</v>
      </c>
      <c r="AX3377" s="3" t="s">
        <v>28277</v>
      </c>
      <c r="AY3377" s="3" t="s">
        <v>28278</v>
      </c>
      <c r="AZ3377" s="3" t="s">
        <v>28279</v>
      </c>
      <c r="BA3377" s="3" t="s">
        <v>28279</v>
      </c>
      <c r="BB3377" s="3" t="s">
        <v>28280</v>
      </c>
      <c r="BC3377" s="3" t="s">
        <v>82</v>
      </c>
      <c r="BD3377" s="3" t="s">
        <v>70</v>
      </c>
      <c r="BF3377" s="3" t="s">
        <v>28280</v>
      </c>
      <c r="BG3377" s="3" t="s">
        <v>28281</v>
      </c>
    </row>
    <row r="3378" spans="1:59" ht="60" x14ac:dyDescent="0.25">
      <c r="A3378" s="2" t="s">
        <v>59</v>
      </c>
      <c r="B3378" s="2" t="s">
        <v>60</v>
      </c>
      <c r="C3378" s="2" t="s">
        <v>28282</v>
      </c>
      <c r="D3378" s="2" t="s">
        <v>28283</v>
      </c>
      <c r="E3378" s="2" t="s">
        <v>28284</v>
      </c>
      <c r="G3378" s="3" t="s">
        <v>63</v>
      </c>
      <c r="I3378" s="3" t="s">
        <v>62</v>
      </c>
      <c r="J3378" s="3" t="s">
        <v>62</v>
      </c>
      <c r="K3378" s="3" t="s">
        <v>64</v>
      </c>
      <c r="L3378" s="2" t="s">
        <v>4776</v>
      </c>
      <c r="M3378" s="2" t="s">
        <v>28285</v>
      </c>
      <c r="N3378" s="3" t="s">
        <v>2225</v>
      </c>
      <c r="O3378" s="2" t="s">
        <v>28286</v>
      </c>
      <c r="P3378" s="3" t="s">
        <v>66</v>
      </c>
      <c r="Q3378" s="2" t="s">
        <v>28287</v>
      </c>
      <c r="R3378" s="3" t="s">
        <v>67</v>
      </c>
      <c r="S3378" s="4">
        <v>9</v>
      </c>
      <c r="T3378" s="4">
        <v>22</v>
      </c>
      <c r="U3378" s="5" t="s">
        <v>28288</v>
      </c>
      <c r="V3378" s="5" t="s">
        <v>6714</v>
      </c>
      <c r="W3378" s="5" t="s">
        <v>69</v>
      </c>
      <c r="X3378" s="5" t="s">
        <v>69</v>
      </c>
      <c r="Y3378" s="4">
        <v>314</v>
      </c>
      <c r="Z3378" s="4">
        <v>15</v>
      </c>
      <c r="AA3378" s="4">
        <v>36</v>
      </c>
      <c r="AB3378" s="4">
        <v>2</v>
      </c>
      <c r="AC3378" s="4">
        <v>4</v>
      </c>
      <c r="AD3378" s="4">
        <v>66</v>
      </c>
      <c r="AE3378" s="4">
        <v>130</v>
      </c>
      <c r="AF3378" s="4">
        <v>0</v>
      </c>
      <c r="AG3378" s="4">
        <v>2</v>
      </c>
      <c r="AH3378" s="4">
        <v>60</v>
      </c>
      <c r="AI3378" s="4">
        <v>108</v>
      </c>
      <c r="AJ3378" s="4">
        <v>9</v>
      </c>
      <c r="AK3378" s="4">
        <v>21</v>
      </c>
      <c r="AL3378" s="4">
        <v>31</v>
      </c>
      <c r="AM3378" s="4">
        <v>59</v>
      </c>
      <c r="AN3378" s="4">
        <v>0</v>
      </c>
      <c r="AO3378" s="4">
        <v>0</v>
      </c>
      <c r="AP3378" s="4">
        <v>12</v>
      </c>
      <c r="AQ3378" s="4">
        <v>27</v>
      </c>
      <c r="AR3378" s="3" t="s">
        <v>63</v>
      </c>
      <c r="AS3378" s="3" t="s">
        <v>63</v>
      </c>
      <c r="AT3378" s="3" t="s">
        <v>62</v>
      </c>
      <c r="AU3378" s="6" t="str">
        <f>HYPERLINK("http://catalog.hathitrust.org/Record/001729796","HathiTrust Record")</f>
        <v>HathiTrust Record</v>
      </c>
      <c r="AV3378" s="6" t="str">
        <f>HYPERLINK("http://mcgill.on.worldcat.org/oclc/1175545","Catalog Record")</f>
        <v>Catalog Record</v>
      </c>
      <c r="AW3378" s="6" t="str">
        <f>HYPERLINK("http://www.worldcat.org/oclc/1175545","WorldCat Record")</f>
        <v>WorldCat Record</v>
      </c>
      <c r="AX3378" s="3" t="s">
        <v>28289</v>
      </c>
      <c r="AY3378" s="3" t="s">
        <v>28290</v>
      </c>
      <c r="AZ3378" s="3" t="s">
        <v>28291</v>
      </c>
      <c r="BA3378" s="3" t="s">
        <v>28291</v>
      </c>
      <c r="BB3378" s="3" t="s">
        <v>28292</v>
      </c>
      <c r="BC3378" s="3" t="s">
        <v>82</v>
      </c>
      <c r="BD3378" s="3" t="s">
        <v>70</v>
      </c>
      <c r="BF3378" s="3" t="s">
        <v>28292</v>
      </c>
      <c r="BG3378" s="3" t="s">
        <v>28293</v>
      </c>
    </row>
    <row r="3379" spans="1:59" ht="60" x14ac:dyDescent="0.25">
      <c r="A3379" s="2" t="s">
        <v>59</v>
      </c>
      <c r="B3379" s="2" t="s">
        <v>60</v>
      </c>
      <c r="C3379" s="2" t="s">
        <v>28282</v>
      </c>
      <c r="D3379" s="2" t="s">
        <v>28283</v>
      </c>
      <c r="E3379" s="2" t="s">
        <v>28284</v>
      </c>
      <c r="G3379" s="3" t="s">
        <v>63</v>
      </c>
      <c r="I3379" s="3" t="s">
        <v>62</v>
      </c>
      <c r="J3379" s="3" t="s">
        <v>62</v>
      </c>
      <c r="K3379" s="3" t="s">
        <v>64</v>
      </c>
      <c r="L3379" s="2" t="s">
        <v>4776</v>
      </c>
      <c r="M3379" s="2" t="s">
        <v>28285</v>
      </c>
      <c r="N3379" s="3" t="s">
        <v>2225</v>
      </c>
      <c r="O3379" s="2" t="s">
        <v>28286</v>
      </c>
      <c r="P3379" s="3" t="s">
        <v>66</v>
      </c>
      <c r="Q3379" s="2" t="s">
        <v>28287</v>
      </c>
      <c r="R3379" s="3" t="s">
        <v>67</v>
      </c>
      <c r="S3379" s="4">
        <v>13</v>
      </c>
      <c r="T3379" s="4">
        <v>22</v>
      </c>
      <c r="U3379" s="5" t="s">
        <v>6714</v>
      </c>
      <c r="V3379" s="5" t="s">
        <v>6714</v>
      </c>
      <c r="W3379" s="5" t="s">
        <v>69</v>
      </c>
      <c r="X3379" s="5" t="s">
        <v>69</v>
      </c>
      <c r="Y3379" s="4">
        <v>314</v>
      </c>
      <c r="Z3379" s="4">
        <v>15</v>
      </c>
      <c r="AA3379" s="4">
        <v>36</v>
      </c>
      <c r="AB3379" s="4">
        <v>2</v>
      </c>
      <c r="AC3379" s="4">
        <v>4</v>
      </c>
      <c r="AD3379" s="4">
        <v>66</v>
      </c>
      <c r="AE3379" s="4">
        <v>130</v>
      </c>
      <c r="AF3379" s="4">
        <v>0</v>
      </c>
      <c r="AG3379" s="4">
        <v>2</v>
      </c>
      <c r="AH3379" s="4">
        <v>60</v>
      </c>
      <c r="AI3379" s="4">
        <v>108</v>
      </c>
      <c r="AJ3379" s="4">
        <v>9</v>
      </c>
      <c r="AK3379" s="4">
        <v>21</v>
      </c>
      <c r="AL3379" s="4">
        <v>31</v>
      </c>
      <c r="AM3379" s="4">
        <v>59</v>
      </c>
      <c r="AN3379" s="4">
        <v>0</v>
      </c>
      <c r="AO3379" s="4">
        <v>0</v>
      </c>
      <c r="AP3379" s="4">
        <v>12</v>
      </c>
      <c r="AQ3379" s="4">
        <v>27</v>
      </c>
      <c r="AR3379" s="3" t="s">
        <v>63</v>
      </c>
      <c r="AS3379" s="3" t="s">
        <v>63</v>
      </c>
      <c r="AT3379" s="3" t="s">
        <v>62</v>
      </c>
      <c r="AU3379" s="6" t="str">
        <f>HYPERLINK("http://catalog.hathitrust.org/Record/001729796","HathiTrust Record")</f>
        <v>HathiTrust Record</v>
      </c>
      <c r="AV3379" s="6" t="str">
        <f>HYPERLINK("http://mcgill.on.worldcat.org/oclc/1175545","Catalog Record")</f>
        <v>Catalog Record</v>
      </c>
      <c r="AW3379" s="6" t="str">
        <f>HYPERLINK("http://www.worldcat.org/oclc/1175545","WorldCat Record")</f>
        <v>WorldCat Record</v>
      </c>
      <c r="AX3379" s="3" t="s">
        <v>28289</v>
      </c>
      <c r="AY3379" s="3" t="s">
        <v>28290</v>
      </c>
      <c r="AZ3379" s="3" t="s">
        <v>28291</v>
      </c>
      <c r="BA3379" s="3" t="s">
        <v>28291</v>
      </c>
      <c r="BB3379" s="3" t="s">
        <v>28294</v>
      </c>
      <c r="BC3379" s="3" t="s">
        <v>82</v>
      </c>
      <c r="BD3379" s="3" t="s">
        <v>70</v>
      </c>
      <c r="BF3379" s="3" t="s">
        <v>28294</v>
      </c>
      <c r="BG3379" s="3" t="s">
        <v>28295</v>
      </c>
    </row>
    <row r="3380" spans="1:59" ht="75" x14ac:dyDescent="0.25">
      <c r="A3380" s="2" t="s">
        <v>59</v>
      </c>
      <c r="B3380" s="2" t="s">
        <v>60</v>
      </c>
      <c r="C3380" s="2" t="s">
        <v>28296</v>
      </c>
      <c r="D3380" s="2" t="s">
        <v>28297</v>
      </c>
      <c r="E3380" s="2" t="s">
        <v>28298</v>
      </c>
      <c r="G3380" s="3" t="s">
        <v>63</v>
      </c>
      <c r="I3380" s="3" t="s">
        <v>63</v>
      </c>
      <c r="J3380" s="3" t="s">
        <v>63</v>
      </c>
      <c r="K3380" s="3" t="s">
        <v>64</v>
      </c>
      <c r="L3380" s="2" t="s">
        <v>28299</v>
      </c>
      <c r="M3380" s="2" t="s">
        <v>28300</v>
      </c>
      <c r="N3380" s="3" t="s">
        <v>261</v>
      </c>
      <c r="P3380" s="3" t="s">
        <v>66</v>
      </c>
      <c r="Q3380" s="2" t="s">
        <v>28301</v>
      </c>
      <c r="R3380" s="3" t="s">
        <v>67</v>
      </c>
      <c r="S3380" s="4">
        <v>8</v>
      </c>
      <c r="T3380" s="4">
        <v>8</v>
      </c>
      <c r="U3380" s="5" t="s">
        <v>4990</v>
      </c>
      <c r="V3380" s="5" t="s">
        <v>4990</v>
      </c>
      <c r="W3380" s="5" t="s">
        <v>69</v>
      </c>
      <c r="X3380" s="5" t="s">
        <v>69</v>
      </c>
      <c r="Y3380" s="4">
        <v>190</v>
      </c>
      <c r="Z3380" s="4">
        <v>15</v>
      </c>
      <c r="AA3380" s="4">
        <v>16</v>
      </c>
      <c r="AB3380" s="4">
        <v>2</v>
      </c>
      <c r="AC3380" s="4">
        <v>3</v>
      </c>
      <c r="AD3380" s="4">
        <v>78</v>
      </c>
      <c r="AE3380" s="4">
        <v>79</v>
      </c>
      <c r="AF3380" s="4">
        <v>1</v>
      </c>
      <c r="AG3380" s="4">
        <v>2</v>
      </c>
      <c r="AH3380" s="4">
        <v>71</v>
      </c>
      <c r="AI3380" s="4">
        <v>72</v>
      </c>
      <c r="AJ3380" s="4">
        <v>12</v>
      </c>
      <c r="AK3380" s="4">
        <v>13</v>
      </c>
      <c r="AL3380" s="4">
        <v>46</v>
      </c>
      <c r="AM3380" s="4">
        <v>46</v>
      </c>
      <c r="AN3380" s="4">
        <v>0</v>
      </c>
      <c r="AO3380" s="4">
        <v>0</v>
      </c>
      <c r="AP3380" s="4">
        <v>12</v>
      </c>
      <c r="AQ3380" s="4">
        <v>13</v>
      </c>
      <c r="AR3380" s="3" t="s">
        <v>63</v>
      </c>
      <c r="AS3380" s="3" t="s">
        <v>63</v>
      </c>
      <c r="AT3380" s="3" t="s">
        <v>63</v>
      </c>
      <c r="AV3380" s="6" t="str">
        <f>HYPERLINK("http://mcgill.on.worldcat.org/oclc/72151816","Catalog Record")</f>
        <v>Catalog Record</v>
      </c>
      <c r="AW3380" s="6" t="str">
        <f>HYPERLINK("http://www.worldcat.org/oclc/72151816","WorldCat Record")</f>
        <v>WorldCat Record</v>
      </c>
      <c r="AX3380" s="3" t="s">
        <v>28302</v>
      </c>
      <c r="AY3380" s="3" t="s">
        <v>28303</v>
      </c>
      <c r="AZ3380" s="3" t="s">
        <v>28304</v>
      </c>
      <c r="BA3380" s="3" t="s">
        <v>28304</v>
      </c>
      <c r="BB3380" s="3" t="s">
        <v>28305</v>
      </c>
      <c r="BC3380" s="3" t="s">
        <v>82</v>
      </c>
      <c r="BD3380" s="3" t="s">
        <v>538</v>
      </c>
      <c r="BE3380" s="3" t="s">
        <v>28306</v>
      </c>
      <c r="BF3380" s="3" t="s">
        <v>28305</v>
      </c>
      <c r="BG3380" s="3" t="s">
        <v>28307</v>
      </c>
    </row>
    <row r="3381" spans="1:59" ht="60" x14ac:dyDescent="0.25">
      <c r="A3381" s="2" t="s">
        <v>59</v>
      </c>
      <c r="B3381" s="2" t="s">
        <v>60</v>
      </c>
      <c r="C3381" s="2" t="s">
        <v>28308</v>
      </c>
      <c r="D3381" s="2" t="s">
        <v>28309</v>
      </c>
      <c r="E3381" s="2" t="s">
        <v>28310</v>
      </c>
      <c r="G3381" s="3" t="s">
        <v>63</v>
      </c>
      <c r="I3381" s="3" t="s">
        <v>63</v>
      </c>
      <c r="J3381" s="3" t="s">
        <v>63</v>
      </c>
      <c r="K3381" s="3" t="s">
        <v>64</v>
      </c>
      <c r="L3381" s="2" t="s">
        <v>28311</v>
      </c>
      <c r="M3381" s="2" t="s">
        <v>28312</v>
      </c>
      <c r="N3381" s="3" t="s">
        <v>313</v>
      </c>
      <c r="P3381" s="3" t="s">
        <v>90</v>
      </c>
      <c r="R3381" s="3" t="s">
        <v>67</v>
      </c>
      <c r="S3381" s="4">
        <v>0</v>
      </c>
      <c r="T3381" s="4">
        <v>0</v>
      </c>
      <c r="W3381" s="5" t="s">
        <v>69</v>
      </c>
      <c r="X3381" s="5" t="s">
        <v>69</v>
      </c>
      <c r="Y3381" s="4">
        <v>38</v>
      </c>
      <c r="Z3381" s="4">
        <v>3</v>
      </c>
      <c r="AA3381" s="4">
        <v>3</v>
      </c>
      <c r="AB3381" s="4">
        <v>1</v>
      </c>
      <c r="AC3381" s="4">
        <v>1</v>
      </c>
      <c r="AD3381" s="4">
        <v>31</v>
      </c>
      <c r="AE3381" s="4">
        <v>31</v>
      </c>
      <c r="AF3381" s="4">
        <v>0</v>
      </c>
      <c r="AG3381" s="4">
        <v>0</v>
      </c>
      <c r="AH3381" s="4">
        <v>30</v>
      </c>
      <c r="AI3381" s="4">
        <v>30</v>
      </c>
      <c r="AJ3381" s="4">
        <v>2</v>
      </c>
      <c r="AK3381" s="4">
        <v>2</v>
      </c>
      <c r="AL3381" s="4">
        <v>23</v>
      </c>
      <c r="AM3381" s="4">
        <v>23</v>
      </c>
      <c r="AN3381" s="4">
        <v>0</v>
      </c>
      <c r="AO3381" s="4">
        <v>0</v>
      </c>
      <c r="AP3381" s="4">
        <v>2</v>
      </c>
      <c r="AQ3381" s="4">
        <v>2</v>
      </c>
      <c r="AR3381" s="3" t="s">
        <v>63</v>
      </c>
      <c r="AS3381" s="3" t="s">
        <v>63</v>
      </c>
      <c r="AT3381" s="3" t="s">
        <v>63</v>
      </c>
      <c r="AV3381" s="6" t="str">
        <f>HYPERLINK("http://mcgill.on.worldcat.org/oclc/656476365","Catalog Record")</f>
        <v>Catalog Record</v>
      </c>
      <c r="AW3381" s="6" t="str">
        <f>HYPERLINK("http://www.worldcat.org/oclc/656476365","WorldCat Record")</f>
        <v>WorldCat Record</v>
      </c>
      <c r="AX3381" s="3" t="s">
        <v>28313</v>
      </c>
      <c r="AY3381" s="3" t="s">
        <v>28314</v>
      </c>
      <c r="AZ3381" s="3" t="s">
        <v>28315</v>
      </c>
      <c r="BA3381" s="3" t="s">
        <v>28315</v>
      </c>
      <c r="BB3381" s="3" t="s">
        <v>28316</v>
      </c>
      <c r="BC3381" s="3" t="s">
        <v>82</v>
      </c>
      <c r="BD3381" s="3" t="s">
        <v>70</v>
      </c>
      <c r="BE3381" s="3" t="s">
        <v>28317</v>
      </c>
      <c r="BF3381" s="3" t="s">
        <v>28316</v>
      </c>
      <c r="BG3381" s="3" t="s">
        <v>28318</v>
      </c>
    </row>
    <row r="3382" spans="1:59" ht="60" x14ac:dyDescent="0.25">
      <c r="A3382" s="2" t="s">
        <v>59</v>
      </c>
      <c r="B3382" s="2" t="s">
        <v>60</v>
      </c>
      <c r="C3382" s="2" t="s">
        <v>28319</v>
      </c>
      <c r="D3382" s="2" t="s">
        <v>28320</v>
      </c>
      <c r="E3382" s="2" t="s">
        <v>28321</v>
      </c>
      <c r="F3382" s="3" t="s">
        <v>3647</v>
      </c>
      <c r="G3382" s="3" t="s">
        <v>62</v>
      </c>
      <c r="I3382" s="3" t="s">
        <v>63</v>
      </c>
      <c r="J3382" s="3" t="s">
        <v>63</v>
      </c>
      <c r="K3382" s="3" t="s">
        <v>64</v>
      </c>
      <c r="L3382" s="2" t="s">
        <v>28322</v>
      </c>
      <c r="M3382" s="2" t="s">
        <v>28323</v>
      </c>
      <c r="N3382" s="3" t="s">
        <v>65</v>
      </c>
      <c r="P3382" s="3" t="s">
        <v>90</v>
      </c>
      <c r="R3382" s="3" t="s">
        <v>67</v>
      </c>
      <c r="S3382" s="4">
        <v>0</v>
      </c>
      <c r="T3382" s="4">
        <v>1</v>
      </c>
      <c r="V3382" s="5" t="s">
        <v>24669</v>
      </c>
      <c r="W3382" s="5" t="s">
        <v>69</v>
      </c>
      <c r="X3382" s="5" t="s">
        <v>69</v>
      </c>
      <c r="Y3382" s="4">
        <v>39</v>
      </c>
      <c r="Z3382" s="4">
        <v>6</v>
      </c>
      <c r="AA3382" s="4">
        <v>6</v>
      </c>
      <c r="AB3382" s="4">
        <v>1</v>
      </c>
      <c r="AC3382" s="4">
        <v>1</v>
      </c>
      <c r="AD3382" s="4">
        <v>31</v>
      </c>
      <c r="AE3382" s="4">
        <v>31</v>
      </c>
      <c r="AF3382" s="4">
        <v>0</v>
      </c>
      <c r="AG3382" s="4">
        <v>0</v>
      </c>
      <c r="AH3382" s="4">
        <v>28</v>
      </c>
      <c r="AI3382" s="4">
        <v>28</v>
      </c>
      <c r="AJ3382" s="4">
        <v>4</v>
      </c>
      <c r="AK3382" s="4">
        <v>4</v>
      </c>
      <c r="AL3382" s="4">
        <v>21</v>
      </c>
      <c r="AM3382" s="4">
        <v>21</v>
      </c>
      <c r="AN3382" s="4">
        <v>0</v>
      </c>
      <c r="AO3382" s="4">
        <v>0</v>
      </c>
      <c r="AP3382" s="4">
        <v>4</v>
      </c>
      <c r="AQ3382" s="4">
        <v>4</v>
      </c>
      <c r="AR3382" s="3" t="s">
        <v>63</v>
      </c>
      <c r="AS3382" s="3" t="s">
        <v>63</v>
      </c>
      <c r="AT3382" s="3" t="s">
        <v>62</v>
      </c>
      <c r="AU3382" s="6" t="str">
        <f>HYPERLINK("http://catalog.hathitrust.org/Record/001729891","HathiTrust Record")</f>
        <v>HathiTrust Record</v>
      </c>
      <c r="AV3382" s="6" t="str">
        <f>HYPERLINK("http://mcgill.on.worldcat.org/oclc/4432833","Catalog Record")</f>
        <v>Catalog Record</v>
      </c>
      <c r="AW3382" s="6" t="str">
        <f>HYPERLINK("http://www.worldcat.org/oclc/4432833","WorldCat Record")</f>
        <v>WorldCat Record</v>
      </c>
      <c r="AX3382" s="3" t="s">
        <v>28324</v>
      </c>
      <c r="AY3382" s="3" t="s">
        <v>28325</v>
      </c>
      <c r="AZ3382" s="3" t="s">
        <v>28326</v>
      </c>
      <c r="BA3382" s="3" t="s">
        <v>28326</v>
      </c>
      <c r="BB3382" s="3" t="s">
        <v>28327</v>
      </c>
      <c r="BC3382" s="3" t="s">
        <v>82</v>
      </c>
      <c r="BD3382" s="3" t="s">
        <v>70</v>
      </c>
      <c r="BF3382" s="3" t="s">
        <v>28327</v>
      </c>
      <c r="BG3382" s="3" t="s">
        <v>28328</v>
      </c>
    </row>
    <row r="3383" spans="1:59" ht="60" x14ac:dyDescent="0.25">
      <c r="A3383" s="2" t="s">
        <v>59</v>
      </c>
      <c r="B3383" s="2" t="s">
        <v>60</v>
      </c>
      <c r="C3383" s="2" t="s">
        <v>28319</v>
      </c>
      <c r="D3383" s="2" t="s">
        <v>28320</v>
      </c>
      <c r="E3383" s="2" t="s">
        <v>28321</v>
      </c>
      <c r="F3383" s="3" t="s">
        <v>3653</v>
      </c>
      <c r="G3383" s="3" t="s">
        <v>62</v>
      </c>
      <c r="I3383" s="3" t="s">
        <v>63</v>
      </c>
      <c r="J3383" s="3" t="s">
        <v>63</v>
      </c>
      <c r="K3383" s="3" t="s">
        <v>64</v>
      </c>
      <c r="L3383" s="2" t="s">
        <v>28322</v>
      </c>
      <c r="M3383" s="2" t="s">
        <v>28323</v>
      </c>
      <c r="N3383" s="3" t="s">
        <v>65</v>
      </c>
      <c r="P3383" s="3" t="s">
        <v>90</v>
      </c>
      <c r="R3383" s="3" t="s">
        <v>67</v>
      </c>
      <c r="S3383" s="4">
        <v>1</v>
      </c>
      <c r="T3383" s="4">
        <v>1</v>
      </c>
      <c r="U3383" s="5" t="s">
        <v>24669</v>
      </c>
      <c r="V3383" s="5" t="s">
        <v>24669</v>
      </c>
      <c r="W3383" s="5" t="s">
        <v>69</v>
      </c>
      <c r="X3383" s="5" t="s">
        <v>69</v>
      </c>
      <c r="Y3383" s="4">
        <v>39</v>
      </c>
      <c r="Z3383" s="4">
        <v>6</v>
      </c>
      <c r="AA3383" s="4">
        <v>6</v>
      </c>
      <c r="AB3383" s="4">
        <v>1</v>
      </c>
      <c r="AC3383" s="4">
        <v>1</v>
      </c>
      <c r="AD3383" s="4">
        <v>31</v>
      </c>
      <c r="AE3383" s="4">
        <v>31</v>
      </c>
      <c r="AF3383" s="4">
        <v>0</v>
      </c>
      <c r="AG3383" s="4">
        <v>0</v>
      </c>
      <c r="AH3383" s="4">
        <v>28</v>
      </c>
      <c r="AI3383" s="4">
        <v>28</v>
      </c>
      <c r="AJ3383" s="4">
        <v>4</v>
      </c>
      <c r="AK3383" s="4">
        <v>4</v>
      </c>
      <c r="AL3383" s="4">
        <v>21</v>
      </c>
      <c r="AM3383" s="4">
        <v>21</v>
      </c>
      <c r="AN3383" s="4">
        <v>0</v>
      </c>
      <c r="AO3383" s="4">
        <v>0</v>
      </c>
      <c r="AP3383" s="4">
        <v>4</v>
      </c>
      <c r="AQ3383" s="4">
        <v>4</v>
      </c>
      <c r="AR3383" s="3" t="s">
        <v>63</v>
      </c>
      <c r="AS3383" s="3" t="s">
        <v>63</v>
      </c>
      <c r="AT3383" s="3" t="s">
        <v>62</v>
      </c>
      <c r="AU3383" s="6" t="str">
        <f>HYPERLINK("http://catalog.hathitrust.org/Record/001729891","HathiTrust Record")</f>
        <v>HathiTrust Record</v>
      </c>
      <c r="AV3383" s="6" t="str">
        <f>HYPERLINK("http://mcgill.on.worldcat.org/oclc/4432833","Catalog Record")</f>
        <v>Catalog Record</v>
      </c>
      <c r="AW3383" s="6" t="str">
        <f>HYPERLINK("http://www.worldcat.org/oclc/4432833","WorldCat Record")</f>
        <v>WorldCat Record</v>
      </c>
      <c r="AX3383" s="3" t="s">
        <v>28324</v>
      </c>
      <c r="AY3383" s="3" t="s">
        <v>28325</v>
      </c>
      <c r="AZ3383" s="3" t="s">
        <v>28326</v>
      </c>
      <c r="BA3383" s="3" t="s">
        <v>28326</v>
      </c>
      <c r="BB3383" s="3" t="s">
        <v>28329</v>
      </c>
      <c r="BC3383" s="3" t="s">
        <v>82</v>
      </c>
      <c r="BD3383" s="3" t="s">
        <v>70</v>
      </c>
      <c r="BF3383" s="3" t="s">
        <v>28329</v>
      </c>
      <c r="BG3383" s="3" t="s">
        <v>28330</v>
      </c>
    </row>
    <row r="3384" spans="1:59" ht="60" x14ac:dyDescent="0.25">
      <c r="A3384" s="2" t="s">
        <v>59</v>
      </c>
      <c r="B3384" s="2" t="s">
        <v>60</v>
      </c>
      <c r="C3384" s="2" t="s">
        <v>28319</v>
      </c>
      <c r="D3384" s="2" t="s">
        <v>28320</v>
      </c>
      <c r="E3384" s="2" t="s">
        <v>28321</v>
      </c>
      <c r="F3384" s="3" t="s">
        <v>3650</v>
      </c>
      <c r="G3384" s="3" t="s">
        <v>62</v>
      </c>
      <c r="I3384" s="3" t="s">
        <v>63</v>
      </c>
      <c r="J3384" s="3" t="s">
        <v>63</v>
      </c>
      <c r="K3384" s="3" t="s">
        <v>64</v>
      </c>
      <c r="L3384" s="2" t="s">
        <v>28322</v>
      </c>
      <c r="M3384" s="2" t="s">
        <v>28323</v>
      </c>
      <c r="N3384" s="3" t="s">
        <v>65</v>
      </c>
      <c r="P3384" s="3" t="s">
        <v>90</v>
      </c>
      <c r="R3384" s="3" t="s">
        <v>67</v>
      </c>
      <c r="S3384" s="4">
        <v>0</v>
      </c>
      <c r="T3384" s="4">
        <v>1</v>
      </c>
      <c r="V3384" s="5" t="s">
        <v>24669</v>
      </c>
      <c r="W3384" s="5" t="s">
        <v>69</v>
      </c>
      <c r="X3384" s="5" t="s">
        <v>69</v>
      </c>
      <c r="Y3384" s="4">
        <v>39</v>
      </c>
      <c r="Z3384" s="4">
        <v>6</v>
      </c>
      <c r="AA3384" s="4">
        <v>6</v>
      </c>
      <c r="AB3384" s="4">
        <v>1</v>
      </c>
      <c r="AC3384" s="4">
        <v>1</v>
      </c>
      <c r="AD3384" s="4">
        <v>31</v>
      </c>
      <c r="AE3384" s="4">
        <v>31</v>
      </c>
      <c r="AF3384" s="4">
        <v>0</v>
      </c>
      <c r="AG3384" s="4">
        <v>0</v>
      </c>
      <c r="AH3384" s="4">
        <v>28</v>
      </c>
      <c r="AI3384" s="4">
        <v>28</v>
      </c>
      <c r="AJ3384" s="4">
        <v>4</v>
      </c>
      <c r="AK3384" s="4">
        <v>4</v>
      </c>
      <c r="AL3384" s="4">
        <v>21</v>
      </c>
      <c r="AM3384" s="4">
        <v>21</v>
      </c>
      <c r="AN3384" s="4">
        <v>0</v>
      </c>
      <c r="AO3384" s="4">
        <v>0</v>
      </c>
      <c r="AP3384" s="4">
        <v>4</v>
      </c>
      <c r="AQ3384" s="4">
        <v>4</v>
      </c>
      <c r="AR3384" s="3" t="s">
        <v>63</v>
      </c>
      <c r="AS3384" s="3" t="s">
        <v>63</v>
      </c>
      <c r="AT3384" s="3" t="s">
        <v>62</v>
      </c>
      <c r="AU3384" s="6" t="str">
        <f>HYPERLINK("http://catalog.hathitrust.org/Record/001729891","HathiTrust Record")</f>
        <v>HathiTrust Record</v>
      </c>
      <c r="AV3384" s="6" t="str">
        <f>HYPERLINK("http://mcgill.on.worldcat.org/oclc/4432833","Catalog Record")</f>
        <v>Catalog Record</v>
      </c>
      <c r="AW3384" s="6" t="str">
        <f>HYPERLINK("http://www.worldcat.org/oclc/4432833","WorldCat Record")</f>
        <v>WorldCat Record</v>
      </c>
      <c r="AX3384" s="3" t="s">
        <v>28324</v>
      </c>
      <c r="AY3384" s="3" t="s">
        <v>28325</v>
      </c>
      <c r="AZ3384" s="3" t="s">
        <v>28326</v>
      </c>
      <c r="BA3384" s="3" t="s">
        <v>28326</v>
      </c>
      <c r="BB3384" s="3" t="s">
        <v>28331</v>
      </c>
      <c r="BC3384" s="3" t="s">
        <v>82</v>
      </c>
      <c r="BD3384" s="3" t="s">
        <v>70</v>
      </c>
      <c r="BF3384" s="3" t="s">
        <v>28331</v>
      </c>
      <c r="BG3384" s="3" t="s">
        <v>28332</v>
      </c>
    </row>
    <row r="3385" spans="1:59" ht="90" x14ac:dyDescent="0.25">
      <c r="A3385" s="2" t="s">
        <v>59</v>
      </c>
      <c r="B3385" s="2" t="s">
        <v>60</v>
      </c>
      <c r="C3385" s="2" t="s">
        <v>28459</v>
      </c>
      <c r="D3385" s="2" t="s">
        <v>28460</v>
      </c>
      <c r="E3385" s="2" t="s">
        <v>28461</v>
      </c>
      <c r="F3385" s="3" t="s">
        <v>28462</v>
      </c>
      <c r="G3385" s="3" t="s">
        <v>63</v>
      </c>
      <c r="I3385" s="3" t="s">
        <v>63</v>
      </c>
      <c r="J3385" s="3" t="s">
        <v>63</v>
      </c>
      <c r="K3385" s="3" t="s">
        <v>64</v>
      </c>
      <c r="L3385" s="2" t="s">
        <v>28463</v>
      </c>
      <c r="M3385" s="2" t="s">
        <v>28464</v>
      </c>
      <c r="N3385" s="3" t="s">
        <v>220</v>
      </c>
      <c r="P3385" s="3" t="s">
        <v>90</v>
      </c>
      <c r="Q3385" s="2" t="s">
        <v>28465</v>
      </c>
      <c r="R3385" s="3" t="s">
        <v>67</v>
      </c>
      <c r="S3385" s="4">
        <v>36</v>
      </c>
      <c r="T3385" s="4">
        <v>36</v>
      </c>
      <c r="U3385" s="5" t="s">
        <v>20393</v>
      </c>
      <c r="V3385" s="5" t="s">
        <v>20393</v>
      </c>
      <c r="W3385" s="5" t="s">
        <v>69</v>
      </c>
      <c r="X3385" s="5" t="s">
        <v>69</v>
      </c>
      <c r="Y3385" s="4">
        <v>22</v>
      </c>
      <c r="Z3385" s="4">
        <v>1</v>
      </c>
      <c r="AA3385" s="4">
        <v>1</v>
      </c>
      <c r="AB3385" s="4">
        <v>1</v>
      </c>
      <c r="AC3385" s="4">
        <v>1</v>
      </c>
      <c r="AD3385" s="4">
        <v>7</v>
      </c>
      <c r="AE3385" s="4">
        <v>7</v>
      </c>
      <c r="AF3385" s="4">
        <v>0</v>
      </c>
      <c r="AG3385" s="4">
        <v>0</v>
      </c>
      <c r="AH3385" s="4">
        <v>7</v>
      </c>
      <c r="AI3385" s="4">
        <v>7</v>
      </c>
      <c r="AJ3385" s="4">
        <v>0</v>
      </c>
      <c r="AK3385" s="4">
        <v>0</v>
      </c>
      <c r="AL3385" s="4">
        <v>4</v>
      </c>
      <c r="AM3385" s="4">
        <v>4</v>
      </c>
      <c r="AN3385" s="4">
        <v>2</v>
      </c>
      <c r="AO3385" s="4">
        <v>2</v>
      </c>
      <c r="AP3385" s="4">
        <v>0</v>
      </c>
      <c r="AQ3385" s="4">
        <v>0</v>
      </c>
      <c r="AR3385" s="3" t="s">
        <v>63</v>
      </c>
      <c r="AS3385" s="3" t="s">
        <v>63</v>
      </c>
      <c r="AT3385" s="3" t="s">
        <v>62</v>
      </c>
      <c r="AU3385" s="6" t="str">
        <f>HYPERLINK("http://catalog.hathitrust.org/Record/007021642","HathiTrust Record")</f>
        <v>HathiTrust Record</v>
      </c>
      <c r="AV3385" s="6" t="str">
        <f>HYPERLINK("http://mcgill.on.worldcat.org/oclc/34516445","Catalog Record")</f>
        <v>Catalog Record</v>
      </c>
      <c r="AW3385" s="6" t="str">
        <f>HYPERLINK("http://www.worldcat.org/oclc/34516445","WorldCat Record")</f>
        <v>WorldCat Record</v>
      </c>
      <c r="AX3385" s="3" t="s">
        <v>28466</v>
      </c>
      <c r="AY3385" s="3" t="s">
        <v>28467</v>
      </c>
      <c r="AZ3385" s="3" t="s">
        <v>28468</v>
      </c>
      <c r="BA3385" s="3" t="s">
        <v>28468</v>
      </c>
      <c r="BB3385" s="3" t="s">
        <v>28469</v>
      </c>
      <c r="BC3385" s="3" t="s">
        <v>82</v>
      </c>
      <c r="BD3385" s="3" t="s">
        <v>70</v>
      </c>
      <c r="BE3385" s="3" t="s">
        <v>28470</v>
      </c>
      <c r="BF3385" s="3" t="s">
        <v>28469</v>
      </c>
      <c r="BG3385" s="3" t="s">
        <v>28471</v>
      </c>
    </row>
    <row r="3386" spans="1:59" ht="75" x14ac:dyDescent="0.25">
      <c r="A3386" s="2" t="s">
        <v>59</v>
      </c>
      <c r="B3386" s="2" t="s">
        <v>60</v>
      </c>
      <c r="C3386" s="2" t="s">
        <v>28333</v>
      </c>
      <c r="D3386" s="2" t="s">
        <v>28334</v>
      </c>
      <c r="E3386" s="2" t="s">
        <v>28335</v>
      </c>
      <c r="G3386" s="3" t="s">
        <v>63</v>
      </c>
      <c r="I3386" s="3" t="s">
        <v>63</v>
      </c>
      <c r="J3386" s="3" t="s">
        <v>63</v>
      </c>
      <c r="K3386" s="3" t="s">
        <v>64</v>
      </c>
      <c r="L3386" s="2" t="s">
        <v>28336</v>
      </c>
      <c r="M3386" s="2" t="s">
        <v>28337</v>
      </c>
      <c r="N3386" s="3" t="s">
        <v>480</v>
      </c>
      <c r="P3386" s="3" t="s">
        <v>90</v>
      </c>
      <c r="R3386" s="3" t="s">
        <v>67</v>
      </c>
      <c r="S3386" s="4">
        <v>9</v>
      </c>
      <c r="T3386" s="4">
        <v>9</v>
      </c>
      <c r="U3386" s="5" t="s">
        <v>20393</v>
      </c>
      <c r="V3386" s="5" t="s">
        <v>20393</v>
      </c>
      <c r="W3386" s="5" t="s">
        <v>69</v>
      </c>
      <c r="X3386" s="5" t="s">
        <v>69</v>
      </c>
      <c r="Y3386" s="4">
        <v>36</v>
      </c>
      <c r="Z3386" s="4">
        <v>3</v>
      </c>
      <c r="AA3386" s="4">
        <v>4</v>
      </c>
      <c r="AB3386" s="4">
        <v>1</v>
      </c>
      <c r="AC3386" s="4">
        <v>1</v>
      </c>
      <c r="AD3386" s="4">
        <v>21</v>
      </c>
      <c r="AE3386" s="4">
        <v>23</v>
      </c>
      <c r="AF3386" s="4">
        <v>0</v>
      </c>
      <c r="AG3386" s="4">
        <v>0</v>
      </c>
      <c r="AH3386" s="4">
        <v>20</v>
      </c>
      <c r="AI3386" s="4">
        <v>22</v>
      </c>
      <c r="AJ3386" s="4">
        <v>2</v>
      </c>
      <c r="AK3386" s="4">
        <v>2</v>
      </c>
      <c r="AL3386" s="4">
        <v>15</v>
      </c>
      <c r="AM3386" s="4">
        <v>15</v>
      </c>
      <c r="AN3386" s="4">
        <v>0</v>
      </c>
      <c r="AO3386" s="4">
        <v>0</v>
      </c>
      <c r="AP3386" s="4">
        <v>2</v>
      </c>
      <c r="AQ3386" s="4">
        <v>2</v>
      </c>
      <c r="AR3386" s="3" t="s">
        <v>63</v>
      </c>
      <c r="AS3386" s="3" t="s">
        <v>63</v>
      </c>
      <c r="AT3386" s="3" t="s">
        <v>63</v>
      </c>
      <c r="AV3386" s="6" t="str">
        <f>HYPERLINK("http://mcgill.on.worldcat.org/oclc/24928138","Catalog Record")</f>
        <v>Catalog Record</v>
      </c>
      <c r="AW3386" s="6" t="str">
        <f>HYPERLINK("http://www.worldcat.org/oclc/24928138","WorldCat Record")</f>
        <v>WorldCat Record</v>
      </c>
      <c r="AX3386" s="3" t="s">
        <v>28338</v>
      </c>
      <c r="AY3386" s="3" t="s">
        <v>28339</v>
      </c>
      <c r="AZ3386" s="3" t="s">
        <v>28340</v>
      </c>
      <c r="BA3386" s="3" t="s">
        <v>28340</v>
      </c>
      <c r="BB3386" s="3" t="s">
        <v>28341</v>
      </c>
      <c r="BC3386" s="3" t="s">
        <v>82</v>
      </c>
      <c r="BD3386" s="3" t="s">
        <v>70</v>
      </c>
      <c r="BE3386" s="3" t="s">
        <v>28342</v>
      </c>
      <c r="BF3386" s="3" t="s">
        <v>28341</v>
      </c>
      <c r="BG3386" s="3" t="s">
        <v>28343</v>
      </c>
    </row>
    <row r="3387" spans="1:59" ht="75" x14ac:dyDescent="0.25">
      <c r="A3387" s="2" t="s">
        <v>59</v>
      </c>
      <c r="B3387" s="2" t="s">
        <v>60</v>
      </c>
      <c r="C3387" s="2" t="s">
        <v>28344</v>
      </c>
      <c r="D3387" s="2" t="s">
        <v>28345</v>
      </c>
      <c r="E3387" s="2" t="s">
        <v>28346</v>
      </c>
      <c r="G3387" s="3" t="s">
        <v>63</v>
      </c>
      <c r="I3387" s="3" t="s">
        <v>63</v>
      </c>
      <c r="J3387" s="3" t="s">
        <v>63</v>
      </c>
      <c r="K3387" s="3" t="s">
        <v>64</v>
      </c>
      <c r="L3387" s="2" t="s">
        <v>28347</v>
      </c>
      <c r="M3387" s="2" t="s">
        <v>28348</v>
      </c>
      <c r="N3387" s="3" t="s">
        <v>2765</v>
      </c>
      <c r="P3387" s="3" t="s">
        <v>66</v>
      </c>
      <c r="Q3387" s="2" t="s">
        <v>28349</v>
      </c>
      <c r="R3387" s="3" t="s">
        <v>67</v>
      </c>
      <c r="S3387" s="4">
        <v>1</v>
      </c>
      <c r="T3387" s="4">
        <v>1</v>
      </c>
      <c r="U3387" s="5" t="s">
        <v>5188</v>
      </c>
      <c r="V3387" s="5" t="s">
        <v>5188</v>
      </c>
      <c r="W3387" s="5" t="s">
        <v>69</v>
      </c>
      <c r="X3387" s="5" t="s">
        <v>69</v>
      </c>
      <c r="Y3387" s="4">
        <v>177</v>
      </c>
      <c r="Z3387" s="4">
        <v>9</v>
      </c>
      <c r="AA3387" s="4">
        <v>12</v>
      </c>
      <c r="AB3387" s="4">
        <v>1</v>
      </c>
      <c r="AC3387" s="4">
        <v>2</v>
      </c>
      <c r="AD3387" s="4">
        <v>31</v>
      </c>
      <c r="AE3387" s="4">
        <v>33</v>
      </c>
      <c r="AF3387" s="4">
        <v>0</v>
      </c>
      <c r="AG3387" s="4">
        <v>0</v>
      </c>
      <c r="AH3387" s="4">
        <v>30</v>
      </c>
      <c r="AI3387" s="4">
        <v>32</v>
      </c>
      <c r="AJ3387" s="4">
        <v>2</v>
      </c>
      <c r="AK3387" s="4">
        <v>2</v>
      </c>
      <c r="AL3387" s="4">
        <v>20</v>
      </c>
      <c r="AM3387" s="4">
        <v>21</v>
      </c>
      <c r="AN3387" s="4">
        <v>0</v>
      </c>
      <c r="AO3387" s="4">
        <v>0</v>
      </c>
      <c r="AP3387" s="4">
        <v>2</v>
      </c>
      <c r="AQ3387" s="4">
        <v>2</v>
      </c>
      <c r="AR3387" s="3" t="s">
        <v>63</v>
      </c>
      <c r="AS3387" s="3" t="s">
        <v>63</v>
      </c>
      <c r="AT3387" s="3" t="s">
        <v>63</v>
      </c>
      <c r="AV3387" s="6" t="str">
        <f>HYPERLINK("http://mcgill.on.worldcat.org/oclc/899113968","Catalog Record")</f>
        <v>Catalog Record</v>
      </c>
      <c r="AW3387" s="6" t="str">
        <f>HYPERLINK("http://www.worldcat.org/oclc/899113968","WorldCat Record")</f>
        <v>WorldCat Record</v>
      </c>
      <c r="AX3387" s="3" t="s">
        <v>28350</v>
      </c>
      <c r="AY3387" s="3" t="s">
        <v>28351</v>
      </c>
      <c r="AZ3387" s="3" t="s">
        <v>28352</v>
      </c>
      <c r="BA3387" s="3" t="s">
        <v>28352</v>
      </c>
      <c r="BB3387" s="3" t="s">
        <v>28353</v>
      </c>
      <c r="BC3387" s="3" t="s">
        <v>82</v>
      </c>
      <c r="BD3387" s="3" t="s">
        <v>70</v>
      </c>
      <c r="BE3387" s="3" t="s">
        <v>28354</v>
      </c>
      <c r="BF3387" s="3" t="s">
        <v>28353</v>
      </c>
      <c r="BG3387" s="3" t="s">
        <v>28355</v>
      </c>
    </row>
    <row r="3388" spans="1:59" ht="75" x14ac:dyDescent="0.25">
      <c r="A3388" s="2" t="s">
        <v>59</v>
      </c>
      <c r="B3388" s="2" t="s">
        <v>60</v>
      </c>
      <c r="C3388" s="2" t="s">
        <v>28356</v>
      </c>
      <c r="D3388" s="2" t="s">
        <v>28357</v>
      </c>
      <c r="E3388" s="2" t="s">
        <v>28358</v>
      </c>
      <c r="G3388" s="3" t="s">
        <v>63</v>
      </c>
      <c r="I3388" s="3" t="s">
        <v>63</v>
      </c>
      <c r="J3388" s="3" t="s">
        <v>63</v>
      </c>
      <c r="K3388" s="3" t="s">
        <v>64</v>
      </c>
      <c r="L3388" s="2" t="s">
        <v>28336</v>
      </c>
      <c r="M3388" s="2" t="s">
        <v>28359</v>
      </c>
      <c r="N3388" s="3" t="s">
        <v>531</v>
      </c>
      <c r="P3388" s="3" t="s">
        <v>90</v>
      </c>
      <c r="Q3388" s="2" t="s">
        <v>28360</v>
      </c>
      <c r="R3388" s="3" t="s">
        <v>67</v>
      </c>
      <c r="S3388" s="4">
        <v>9</v>
      </c>
      <c r="T3388" s="4">
        <v>9</v>
      </c>
      <c r="U3388" s="5" t="s">
        <v>28361</v>
      </c>
      <c r="V3388" s="5" t="s">
        <v>28361</v>
      </c>
      <c r="W3388" s="5" t="s">
        <v>69</v>
      </c>
      <c r="X3388" s="5" t="s">
        <v>69</v>
      </c>
      <c r="Y3388" s="4">
        <v>39</v>
      </c>
      <c r="Z3388" s="4">
        <v>3</v>
      </c>
      <c r="AA3388" s="4">
        <v>3</v>
      </c>
      <c r="AB3388" s="4">
        <v>1</v>
      </c>
      <c r="AC3388" s="4">
        <v>1</v>
      </c>
      <c r="AD3388" s="4">
        <v>24</v>
      </c>
      <c r="AE3388" s="4">
        <v>24</v>
      </c>
      <c r="AF3388" s="4">
        <v>0</v>
      </c>
      <c r="AG3388" s="4">
        <v>0</v>
      </c>
      <c r="AH3388" s="4">
        <v>23</v>
      </c>
      <c r="AI3388" s="4">
        <v>23</v>
      </c>
      <c r="AJ3388" s="4">
        <v>1</v>
      </c>
      <c r="AK3388" s="4">
        <v>1</v>
      </c>
      <c r="AL3388" s="4">
        <v>18</v>
      </c>
      <c r="AM3388" s="4">
        <v>18</v>
      </c>
      <c r="AN3388" s="4">
        <v>0</v>
      </c>
      <c r="AO3388" s="4">
        <v>0</v>
      </c>
      <c r="AP3388" s="4">
        <v>1</v>
      </c>
      <c r="AQ3388" s="4">
        <v>1</v>
      </c>
      <c r="AR3388" s="3" t="s">
        <v>63</v>
      </c>
      <c r="AS3388" s="3" t="s">
        <v>63</v>
      </c>
      <c r="AT3388" s="3" t="s">
        <v>63</v>
      </c>
      <c r="AV3388" s="6" t="str">
        <f>HYPERLINK("http://mcgill.on.worldcat.org/oclc/29381596","Catalog Record")</f>
        <v>Catalog Record</v>
      </c>
      <c r="AW3388" s="6" t="str">
        <f>HYPERLINK("http://www.worldcat.org/oclc/29381596","WorldCat Record")</f>
        <v>WorldCat Record</v>
      </c>
      <c r="AX3388" s="3" t="s">
        <v>28362</v>
      </c>
      <c r="AY3388" s="3" t="s">
        <v>28363</v>
      </c>
      <c r="AZ3388" s="3" t="s">
        <v>28364</v>
      </c>
      <c r="BA3388" s="3" t="s">
        <v>28364</v>
      </c>
      <c r="BB3388" s="3" t="s">
        <v>28365</v>
      </c>
      <c r="BC3388" s="3" t="s">
        <v>82</v>
      </c>
      <c r="BD3388" s="3" t="s">
        <v>70</v>
      </c>
      <c r="BE3388" s="3" t="s">
        <v>28366</v>
      </c>
      <c r="BF3388" s="3" t="s">
        <v>28365</v>
      </c>
      <c r="BG3388" s="3" t="s">
        <v>28367</v>
      </c>
    </row>
    <row r="3389" spans="1:59" ht="75" x14ac:dyDescent="0.25">
      <c r="A3389" s="2" t="s">
        <v>59</v>
      </c>
      <c r="B3389" s="2" t="s">
        <v>60</v>
      </c>
      <c r="C3389" s="2" t="s">
        <v>28368</v>
      </c>
      <c r="D3389" s="2" t="s">
        <v>28369</v>
      </c>
      <c r="E3389" s="2" t="s">
        <v>28370</v>
      </c>
      <c r="G3389" s="3" t="s">
        <v>63</v>
      </c>
      <c r="I3389" s="3" t="s">
        <v>63</v>
      </c>
      <c r="J3389" s="3" t="s">
        <v>63</v>
      </c>
      <c r="K3389" s="3" t="s">
        <v>64</v>
      </c>
      <c r="L3389" s="2" t="s">
        <v>28336</v>
      </c>
      <c r="M3389" s="2" t="s">
        <v>28371</v>
      </c>
      <c r="N3389" s="3" t="s">
        <v>65</v>
      </c>
      <c r="P3389" s="3" t="s">
        <v>66</v>
      </c>
      <c r="Q3389" s="2" t="s">
        <v>28372</v>
      </c>
      <c r="R3389" s="3" t="s">
        <v>67</v>
      </c>
      <c r="S3389" s="4">
        <v>39</v>
      </c>
      <c r="T3389" s="4">
        <v>39</v>
      </c>
      <c r="U3389" s="5" t="s">
        <v>5934</v>
      </c>
      <c r="V3389" s="5" t="s">
        <v>5934</v>
      </c>
      <c r="W3389" s="5" t="s">
        <v>69</v>
      </c>
      <c r="X3389" s="5" t="s">
        <v>69</v>
      </c>
      <c r="Y3389" s="4">
        <v>388</v>
      </c>
      <c r="Z3389" s="4">
        <v>23</v>
      </c>
      <c r="AA3389" s="4">
        <v>26</v>
      </c>
      <c r="AB3389" s="4">
        <v>2</v>
      </c>
      <c r="AC3389" s="4">
        <v>3</v>
      </c>
      <c r="AD3389" s="4">
        <v>78</v>
      </c>
      <c r="AE3389" s="4">
        <v>82</v>
      </c>
      <c r="AF3389" s="4">
        <v>1</v>
      </c>
      <c r="AG3389" s="4">
        <v>1</v>
      </c>
      <c r="AH3389" s="4">
        <v>67</v>
      </c>
      <c r="AI3389" s="4">
        <v>70</v>
      </c>
      <c r="AJ3389" s="4">
        <v>13</v>
      </c>
      <c r="AK3389" s="4">
        <v>13</v>
      </c>
      <c r="AL3389" s="4">
        <v>36</v>
      </c>
      <c r="AM3389" s="4">
        <v>38</v>
      </c>
      <c r="AN3389" s="4">
        <v>0</v>
      </c>
      <c r="AO3389" s="4">
        <v>0</v>
      </c>
      <c r="AP3389" s="4">
        <v>15</v>
      </c>
      <c r="AQ3389" s="4">
        <v>16</v>
      </c>
      <c r="AR3389" s="3" t="s">
        <v>63</v>
      </c>
      <c r="AS3389" s="3" t="s">
        <v>63</v>
      </c>
      <c r="AT3389" s="3" t="s">
        <v>63</v>
      </c>
      <c r="AV3389" s="6" t="str">
        <f>HYPERLINK("http://mcgill.on.worldcat.org/oclc/2798470","Catalog Record")</f>
        <v>Catalog Record</v>
      </c>
      <c r="AW3389" s="6" t="str">
        <f>HYPERLINK("http://www.worldcat.org/oclc/2798470","WorldCat Record")</f>
        <v>WorldCat Record</v>
      </c>
      <c r="AX3389" s="3" t="s">
        <v>28373</v>
      </c>
      <c r="AY3389" s="3" t="s">
        <v>28374</v>
      </c>
      <c r="AZ3389" s="3" t="s">
        <v>28375</v>
      </c>
      <c r="BA3389" s="3" t="s">
        <v>28375</v>
      </c>
      <c r="BB3389" s="3" t="s">
        <v>28376</v>
      </c>
      <c r="BC3389" s="3" t="s">
        <v>82</v>
      </c>
      <c r="BD3389" s="3" t="s">
        <v>538</v>
      </c>
      <c r="BE3389" s="3" t="s">
        <v>28377</v>
      </c>
      <c r="BF3389" s="3" t="s">
        <v>28376</v>
      </c>
      <c r="BG3389" s="3" t="s">
        <v>28378</v>
      </c>
    </row>
    <row r="3390" spans="1:59" ht="60" x14ac:dyDescent="0.25">
      <c r="A3390" s="2" t="s">
        <v>59</v>
      </c>
      <c r="B3390" s="2" t="s">
        <v>60</v>
      </c>
      <c r="C3390" s="2" t="s">
        <v>28379</v>
      </c>
      <c r="D3390" s="2" t="s">
        <v>28380</v>
      </c>
      <c r="E3390" s="2" t="s">
        <v>28381</v>
      </c>
      <c r="G3390" s="3" t="s">
        <v>63</v>
      </c>
      <c r="I3390" s="3" t="s">
        <v>63</v>
      </c>
      <c r="J3390" s="3" t="s">
        <v>62</v>
      </c>
      <c r="K3390" s="3" t="s">
        <v>64</v>
      </c>
      <c r="L3390" s="2" t="s">
        <v>28347</v>
      </c>
      <c r="M3390" s="2" t="s">
        <v>28382</v>
      </c>
      <c r="N3390" s="3" t="s">
        <v>2535</v>
      </c>
      <c r="P3390" s="3" t="s">
        <v>66</v>
      </c>
      <c r="Q3390" s="2" t="s">
        <v>28383</v>
      </c>
      <c r="R3390" s="3" t="s">
        <v>67</v>
      </c>
      <c r="S3390" s="4">
        <v>22</v>
      </c>
      <c r="T3390" s="4">
        <v>22</v>
      </c>
      <c r="U3390" s="5" t="s">
        <v>16819</v>
      </c>
      <c r="V3390" s="5" t="s">
        <v>16819</v>
      </c>
      <c r="W3390" s="5" t="s">
        <v>69</v>
      </c>
      <c r="X3390" s="5" t="s">
        <v>69</v>
      </c>
      <c r="Y3390" s="4">
        <v>245</v>
      </c>
      <c r="Z3390" s="4">
        <v>19</v>
      </c>
      <c r="AA3390" s="4">
        <v>34</v>
      </c>
      <c r="AB3390" s="4">
        <v>1</v>
      </c>
      <c r="AC3390" s="4">
        <v>3</v>
      </c>
      <c r="AD3390" s="4">
        <v>68</v>
      </c>
      <c r="AE3390" s="4">
        <v>93</v>
      </c>
      <c r="AF3390" s="4">
        <v>0</v>
      </c>
      <c r="AG3390" s="4">
        <v>0</v>
      </c>
      <c r="AH3390" s="4">
        <v>61</v>
      </c>
      <c r="AI3390" s="4">
        <v>83</v>
      </c>
      <c r="AJ3390" s="4">
        <v>9</v>
      </c>
      <c r="AK3390" s="4">
        <v>13</v>
      </c>
      <c r="AL3390" s="4">
        <v>33</v>
      </c>
      <c r="AM3390" s="4">
        <v>45</v>
      </c>
      <c r="AN3390" s="4">
        <v>0</v>
      </c>
      <c r="AO3390" s="4">
        <v>0</v>
      </c>
      <c r="AP3390" s="4">
        <v>12</v>
      </c>
      <c r="AQ3390" s="4">
        <v>15</v>
      </c>
      <c r="AR3390" s="3" t="s">
        <v>63</v>
      </c>
      <c r="AS3390" s="3" t="s">
        <v>63</v>
      </c>
      <c r="AT3390" s="3" t="s">
        <v>63</v>
      </c>
      <c r="AV3390" s="6" t="str">
        <f>HYPERLINK("http://mcgill.on.worldcat.org/oclc/481252","Catalog Record")</f>
        <v>Catalog Record</v>
      </c>
      <c r="AW3390" s="6" t="str">
        <f>HYPERLINK("http://www.worldcat.org/oclc/481252","WorldCat Record")</f>
        <v>WorldCat Record</v>
      </c>
      <c r="AX3390" s="3" t="s">
        <v>28384</v>
      </c>
      <c r="AY3390" s="3" t="s">
        <v>28385</v>
      </c>
      <c r="AZ3390" s="3" t="s">
        <v>28386</v>
      </c>
      <c r="BA3390" s="3" t="s">
        <v>28386</v>
      </c>
      <c r="BB3390" s="3" t="s">
        <v>28387</v>
      </c>
      <c r="BC3390" s="3" t="s">
        <v>82</v>
      </c>
      <c r="BD3390" s="3" t="s">
        <v>70</v>
      </c>
      <c r="BE3390" s="3" t="s">
        <v>28388</v>
      </c>
      <c r="BF3390" s="3" t="s">
        <v>28387</v>
      </c>
      <c r="BG3390" s="3" t="s">
        <v>28389</v>
      </c>
    </row>
    <row r="3391" spans="1:59" ht="75" x14ac:dyDescent="0.25">
      <c r="A3391" s="2" t="s">
        <v>59</v>
      </c>
      <c r="B3391" s="2" t="s">
        <v>60</v>
      </c>
      <c r="C3391" s="2" t="s">
        <v>28390</v>
      </c>
      <c r="D3391" s="2" t="s">
        <v>28391</v>
      </c>
      <c r="E3391" s="2" t="s">
        <v>28392</v>
      </c>
      <c r="G3391" s="3" t="s">
        <v>63</v>
      </c>
      <c r="I3391" s="3" t="s">
        <v>62</v>
      </c>
      <c r="J3391" s="3" t="s">
        <v>62</v>
      </c>
      <c r="K3391" s="3" t="s">
        <v>64</v>
      </c>
      <c r="L3391" s="2" t="s">
        <v>28347</v>
      </c>
      <c r="M3391" s="2" t="s">
        <v>28393</v>
      </c>
      <c r="N3391" s="3" t="s">
        <v>143</v>
      </c>
      <c r="P3391" s="3" t="s">
        <v>66</v>
      </c>
      <c r="R3391" s="3" t="s">
        <v>67</v>
      </c>
      <c r="S3391" s="4">
        <v>2</v>
      </c>
      <c r="T3391" s="4">
        <v>5</v>
      </c>
      <c r="U3391" s="5" t="s">
        <v>2569</v>
      </c>
      <c r="V3391" s="5" t="s">
        <v>2569</v>
      </c>
      <c r="W3391" s="5" t="s">
        <v>69</v>
      </c>
      <c r="X3391" s="5" t="s">
        <v>69</v>
      </c>
      <c r="Y3391" s="4">
        <v>169</v>
      </c>
      <c r="Z3391" s="4">
        <v>6</v>
      </c>
      <c r="AA3391" s="4">
        <v>34</v>
      </c>
      <c r="AB3391" s="4">
        <v>1</v>
      </c>
      <c r="AC3391" s="4">
        <v>3</v>
      </c>
      <c r="AD3391" s="4">
        <v>14</v>
      </c>
      <c r="AE3391" s="4">
        <v>93</v>
      </c>
      <c r="AF3391" s="4">
        <v>0</v>
      </c>
      <c r="AG3391" s="4">
        <v>0</v>
      </c>
      <c r="AH3391" s="4">
        <v>14</v>
      </c>
      <c r="AI3391" s="4">
        <v>83</v>
      </c>
      <c r="AJ3391" s="4">
        <v>1</v>
      </c>
      <c r="AK3391" s="4">
        <v>13</v>
      </c>
      <c r="AL3391" s="4">
        <v>6</v>
      </c>
      <c r="AM3391" s="4">
        <v>45</v>
      </c>
      <c r="AN3391" s="4">
        <v>0</v>
      </c>
      <c r="AO3391" s="4">
        <v>0</v>
      </c>
      <c r="AP3391" s="4">
        <v>1</v>
      </c>
      <c r="AQ3391" s="4">
        <v>15</v>
      </c>
      <c r="AR3391" s="3" t="s">
        <v>63</v>
      </c>
      <c r="AS3391" s="3" t="s">
        <v>63</v>
      </c>
      <c r="AT3391" s="3" t="s">
        <v>63</v>
      </c>
      <c r="AV3391" s="6" t="str">
        <f>HYPERLINK("http://mcgill.on.worldcat.org/oclc/863596647","Catalog Record")</f>
        <v>Catalog Record</v>
      </c>
      <c r="AW3391" s="6" t="str">
        <f>HYPERLINK("http://www.worldcat.org/oclc/863596647","WorldCat Record")</f>
        <v>WorldCat Record</v>
      </c>
      <c r="AX3391" s="3" t="s">
        <v>28384</v>
      </c>
      <c r="AY3391" s="3" t="s">
        <v>28394</v>
      </c>
      <c r="AZ3391" s="3" t="s">
        <v>28395</v>
      </c>
      <c r="BA3391" s="3" t="s">
        <v>28395</v>
      </c>
      <c r="BB3391" s="3" t="s">
        <v>28396</v>
      </c>
      <c r="BC3391" s="3" t="s">
        <v>82</v>
      </c>
      <c r="BD3391" s="3" t="s">
        <v>70</v>
      </c>
      <c r="BE3391" s="3" t="s">
        <v>28397</v>
      </c>
      <c r="BF3391" s="3" t="s">
        <v>28396</v>
      </c>
      <c r="BG3391" s="3" t="s">
        <v>28398</v>
      </c>
    </row>
    <row r="3392" spans="1:59" ht="75" x14ac:dyDescent="0.25">
      <c r="A3392" s="2" t="s">
        <v>59</v>
      </c>
      <c r="B3392" s="2" t="s">
        <v>60</v>
      </c>
      <c r="C3392" s="2" t="s">
        <v>28390</v>
      </c>
      <c r="D3392" s="2" t="s">
        <v>28391</v>
      </c>
      <c r="E3392" s="2" t="s">
        <v>28392</v>
      </c>
      <c r="G3392" s="3" t="s">
        <v>63</v>
      </c>
      <c r="I3392" s="3" t="s">
        <v>62</v>
      </c>
      <c r="J3392" s="3" t="s">
        <v>62</v>
      </c>
      <c r="K3392" s="3" t="s">
        <v>64</v>
      </c>
      <c r="L3392" s="2" t="s">
        <v>28347</v>
      </c>
      <c r="M3392" s="2" t="s">
        <v>28393</v>
      </c>
      <c r="N3392" s="3" t="s">
        <v>143</v>
      </c>
      <c r="P3392" s="3" t="s">
        <v>66</v>
      </c>
      <c r="R3392" s="3" t="s">
        <v>67</v>
      </c>
      <c r="S3392" s="4">
        <v>3</v>
      </c>
      <c r="T3392" s="4">
        <v>5</v>
      </c>
      <c r="U3392" s="5" t="s">
        <v>23656</v>
      </c>
      <c r="V3392" s="5" t="s">
        <v>2569</v>
      </c>
      <c r="W3392" s="5" t="s">
        <v>69</v>
      </c>
      <c r="X3392" s="5" t="s">
        <v>69</v>
      </c>
      <c r="Y3392" s="4">
        <v>169</v>
      </c>
      <c r="Z3392" s="4">
        <v>6</v>
      </c>
      <c r="AA3392" s="4">
        <v>34</v>
      </c>
      <c r="AB3392" s="4">
        <v>1</v>
      </c>
      <c r="AC3392" s="4">
        <v>3</v>
      </c>
      <c r="AD3392" s="4">
        <v>14</v>
      </c>
      <c r="AE3392" s="4">
        <v>93</v>
      </c>
      <c r="AF3392" s="4">
        <v>0</v>
      </c>
      <c r="AG3392" s="4">
        <v>0</v>
      </c>
      <c r="AH3392" s="4">
        <v>14</v>
      </c>
      <c r="AI3392" s="4">
        <v>83</v>
      </c>
      <c r="AJ3392" s="4">
        <v>1</v>
      </c>
      <c r="AK3392" s="4">
        <v>13</v>
      </c>
      <c r="AL3392" s="4">
        <v>6</v>
      </c>
      <c r="AM3392" s="4">
        <v>45</v>
      </c>
      <c r="AN3392" s="4">
        <v>0</v>
      </c>
      <c r="AO3392" s="4">
        <v>0</v>
      </c>
      <c r="AP3392" s="4">
        <v>1</v>
      </c>
      <c r="AQ3392" s="4">
        <v>15</v>
      </c>
      <c r="AR3392" s="3" t="s">
        <v>63</v>
      </c>
      <c r="AS3392" s="3" t="s">
        <v>63</v>
      </c>
      <c r="AT3392" s="3" t="s">
        <v>63</v>
      </c>
      <c r="AV3392" s="6" t="str">
        <f>HYPERLINK("http://mcgill.on.worldcat.org/oclc/863596647","Catalog Record")</f>
        <v>Catalog Record</v>
      </c>
      <c r="AW3392" s="6" t="str">
        <f>HYPERLINK("http://www.worldcat.org/oclc/863596647","WorldCat Record")</f>
        <v>WorldCat Record</v>
      </c>
      <c r="AX3392" s="3" t="s">
        <v>28384</v>
      </c>
      <c r="AY3392" s="3" t="s">
        <v>28394</v>
      </c>
      <c r="AZ3392" s="3" t="s">
        <v>28395</v>
      </c>
      <c r="BA3392" s="3" t="s">
        <v>28395</v>
      </c>
      <c r="BB3392" s="3" t="s">
        <v>28399</v>
      </c>
      <c r="BC3392" s="3" t="s">
        <v>82</v>
      </c>
      <c r="BD3392" s="3" t="s">
        <v>538</v>
      </c>
      <c r="BE3392" s="3" t="s">
        <v>28397</v>
      </c>
      <c r="BF3392" s="3" t="s">
        <v>28399</v>
      </c>
      <c r="BG3392" s="3" t="s">
        <v>28400</v>
      </c>
    </row>
    <row r="3393" spans="1:59" ht="75" x14ac:dyDescent="0.25">
      <c r="A3393" s="2" t="s">
        <v>59</v>
      </c>
      <c r="B3393" s="2" t="s">
        <v>60</v>
      </c>
      <c r="C3393" s="2" t="s">
        <v>28401</v>
      </c>
      <c r="D3393" s="2" t="s">
        <v>28402</v>
      </c>
      <c r="E3393" s="2" t="s">
        <v>28403</v>
      </c>
      <c r="G3393" s="3" t="s">
        <v>63</v>
      </c>
      <c r="H3393" s="3" t="s">
        <v>215</v>
      </c>
      <c r="I3393" s="3" t="s">
        <v>63</v>
      </c>
      <c r="J3393" s="3" t="s">
        <v>62</v>
      </c>
      <c r="K3393" s="3" t="s">
        <v>64</v>
      </c>
      <c r="L3393" s="2" t="s">
        <v>28347</v>
      </c>
      <c r="M3393" s="2" t="s">
        <v>28404</v>
      </c>
      <c r="N3393" s="3" t="s">
        <v>287</v>
      </c>
      <c r="P3393" s="3" t="s">
        <v>66</v>
      </c>
      <c r="Q3393" s="2" t="s">
        <v>28405</v>
      </c>
      <c r="R3393" s="3" t="s">
        <v>67</v>
      </c>
      <c r="S3393" s="4">
        <v>0</v>
      </c>
      <c r="T3393" s="4">
        <v>0</v>
      </c>
      <c r="W3393" s="5" t="s">
        <v>1546</v>
      </c>
      <c r="X3393" s="5" t="s">
        <v>1546</v>
      </c>
      <c r="Y3393" s="4">
        <v>135</v>
      </c>
      <c r="Z3393" s="4">
        <v>4</v>
      </c>
      <c r="AA3393" s="4">
        <v>11</v>
      </c>
      <c r="AB3393" s="4">
        <v>1</v>
      </c>
      <c r="AC3393" s="4">
        <v>3</v>
      </c>
      <c r="AD3393" s="4">
        <v>18</v>
      </c>
      <c r="AE3393" s="4">
        <v>56</v>
      </c>
      <c r="AF3393" s="4">
        <v>0</v>
      </c>
      <c r="AG3393" s="4">
        <v>0</v>
      </c>
      <c r="AH3393" s="4">
        <v>17</v>
      </c>
      <c r="AI3393" s="4">
        <v>53</v>
      </c>
      <c r="AJ3393" s="4">
        <v>0</v>
      </c>
      <c r="AK3393" s="4">
        <v>3</v>
      </c>
      <c r="AL3393" s="4">
        <v>13</v>
      </c>
      <c r="AM3393" s="4">
        <v>36</v>
      </c>
      <c r="AN3393" s="4">
        <v>0</v>
      </c>
      <c r="AO3393" s="4">
        <v>0</v>
      </c>
      <c r="AP3393" s="4">
        <v>0</v>
      </c>
      <c r="AQ3393" s="4">
        <v>4</v>
      </c>
      <c r="AR3393" s="3" t="s">
        <v>63</v>
      </c>
      <c r="AS3393" s="3" t="s">
        <v>63</v>
      </c>
      <c r="AT3393" s="3" t="s">
        <v>63</v>
      </c>
      <c r="AV3393" s="6" t="str">
        <f>HYPERLINK("http://mcgill.on.worldcat.org/oclc/1005188370","Catalog Record")</f>
        <v>Catalog Record</v>
      </c>
      <c r="AW3393" s="6" t="str">
        <f>HYPERLINK("http://www.worldcat.org/oclc/1005188370","WorldCat Record")</f>
        <v>WorldCat Record</v>
      </c>
      <c r="AX3393" s="3" t="s">
        <v>28406</v>
      </c>
      <c r="AY3393" s="3" t="s">
        <v>28407</v>
      </c>
      <c r="AZ3393" s="3" t="s">
        <v>28408</v>
      </c>
      <c r="BA3393" s="3" t="s">
        <v>28408</v>
      </c>
      <c r="BB3393" s="3" t="s">
        <v>28409</v>
      </c>
      <c r="BC3393" s="3" t="s">
        <v>82</v>
      </c>
      <c r="BD3393" s="3" t="s">
        <v>70</v>
      </c>
      <c r="BE3393" s="3" t="s">
        <v>28410</v>
      </c>
      <c r="BF3393" s="3" t="s">
        <v>28409</v>
      </c>
      <c r="BG3393" s="3" t="s">
        <v>28411</v>
      </c>
    </row>
    <row r="3394" spans="1:59" ht="75" x14ac:dyDescent="0.25">
      <c r="A3394" s="2" t="s">
        <v>59</v>
      </c>
      <c r="B3394" s="2" t="s">
        <v>60</v>
      </c>
      <c r="C3394" s="2" t="s">
        <v>28412</v>
      </c>
      <c r="D3394" s="2" t="s">
        <v>28413</v>
      </c>
      <c r="E3394" s="2" t="s">
        <v>28414</v>
      </c>
      <c r="G3394" s="3" t="s">
        <v>63</v>
      </c>
      <c r="I3394" s="3" t="s">
        <v>63</v>
      </c>
      <c r="J3394" s="3" t="s">
        <v>63</v>
      </c>
      <c r="K3394" s="3" t="s">
        <v>64</v>
      </c>
      <c r="L3394" s="2" t="s">
        <v>28336</v>
      </c>
      <c r="M3394" s="2" t="s">
        <v>28415</v>
      </c>
      <c r="N3394" s="3" t="s">
        <v>234</v>
      </c>
      <c r="P3394" s="3" t="s">
        <v>90</v>
      </c>
      <c r="R3394" s="3" t="s">
        <v>67</v>
      </c>
      <c r="S3394" s="4">
        <v>3</v>
      </c>
      <c r="T3394" s="4">
        <v>3</v>
      </c>
      <c r="U3394" s="5" t="s">
        <v>20393</v>
      </c>
      <c r="V3394" s="5" t="s">
        <v>20393</v>
      </c>
      <c r="W3394" s="5" t="s">
        <v>69</v>
      </c>
      <c r="X3394" s="5" t="s">
        <v>69</v>
      </c>
      <c r="Y3394" s="4">
        <v>57</v>
      </c>
      <c r="Z3394" s="4">
        <v>6</v>
      </c>
      <c r="AA3394" s="4">
        <v>6</v>
      </c>
      <c r="AB3394" s="4">
        <v>1</v>
      </c>
      <c r="AC3394" s="4">
        <v>1</v>
      </c>
      <c r="AD3394" s="4">
        <v>44</v>
      </c>
      <c r="AE3394" s="4">
        <v>44</v>
      </c>
      <c r="AF3394" s="4">
        <v>0</v>
      </c>
      <c r="AG3394" s="4">
        <v>0</v>
      </c>
      <c r="AH3394" s="4">
        <v>42</v>
      </c>
      <c r="AI3394" s="4">
        <v>42</v>
      </c>
      <c r="AJ3394" s="4">
        <v>4</v>
      </c>
      <c r="AK3394" s="4">
        <v>4</v>
      </c>
      <c r="AL3394" s="4">
        <v>33</v>
      </c>
      <c r="AM3394" s="4">
        <v>33</v>
      </c>
      <c r="AN3394" s="4">
        <v>0</v>
      </c>
      <c r="AO3394" s="4">
        <v>0</v>
      </c>
      <c r="AP3394" s="4">
        <v>4</v>
      </c>
      <c r="AQ3394" s="4">
        <v>4</v>
      </c>
      <c r="AR3394" s="3" t="s">
        <v>63</v>
      </c>
      <c r="AS3394" s="3" t="s">
        <v>63</v>
      </c>
      <c r="AT3394" s="3" t="s">
        <v>62</v>
      </c>
      <c r="AU3394" s="6" t="str">
        <f>HYPERLINK("http://catalog.hathitrust.org/Record/005258612","HathiTrust Record")</f>
        <v>HathiTrust Record</v>
      </c>
      <c r="AV3394" s="6" t="str">
        <f>HYPERLINK("http://mcgill.on.worldcat.org/oclc/70908016","Catalog Record")</f>
        <v>Catalog Record</v>
      </c>
      <c r="AW3394" s="6" t="str">
        <f>HYPERLINK("http://www.worldcat.org/oclc/70908016","WorldCat Record")</f>
        <v>WorldCat Record</v>
      </c>
      <c r="AX3394" s="3" t="s">
        <v>28416</v>
      </c>
      <c r="AY3394" s="3" t="s">
        <v>28417</v>
      </c>
      <c r="AZ3394" s="3" t="s">
        <v>28418</v>
      </c>
      <c r="BA3394" s="3" t="s">
        <v>28418</v>
      </c>
      <c r="BB3394" s="3" t="s">
        <v>28419</v>
      </c>
      <c r="BC3394" s="3" t="s">
        <v>82</v>
      </c>
      <c r="BD3394" s="3" t="s">
        <v>70</v>
      </c>
      <c r="BE3394" s="3" t="s">
        <v>28420</v>
      </c>
      <c r="BF3394" s="3" t="s">
        <v>28419</v>
      </c>
      <c r="BG3394" s="3" t="s">
        <v>28421</v>
      </c>
    </row>
    <row r="3395" spans="1:59" ht="75" x14ac:dyDescent="0.25">
      <c r="A3395" s="2" t="s">
        <v>59</v>
      </c>
      <c r="B3395" s="2" t="s">
        <v>60</v>
      </c>
      <c r="C3395" s="2" t="s">
        <v>28422</v>
      </c>
      <c r="D3395" s="2" t="s">
        <v>28423</v>
      </c>
      <c r="E3395" s="2" t="s">
        <v>28424</v>
      </c>
      <c r="G3395" s="3" t="s">
        <v>63</v>
      </c>
      <c r="I3395" s="3" t="s">
        <v>63</v>
      </c>
      <c r="J3395" s="3" t="s">
        <v>62</v>
      </c>
      <c r="K3395" s="3" t="s">
        <v>64</v>
      </c>
      <c r="L3395" s="2" t="s">
        <v>28347</v>
      </c>
      <c r="M3395" s="2" t="s">
        <v>28425</v>
      </c>
      <c r="N3395" s="3" t="s">
        <v>143</v>
      </c>
      <c r="P3395" s="3" t="s">
        <v>66</v>
      </c>
      <c r="Q3395" s="2" t="s">
        <v>28426</v>
      </c>
      <c r="R3395" s="3" t="s">
        <v>67</v>
      </c>
      <c r="S3395" s="4">
        <v>2</v>
      </c>
      <c r="T3395" s="4">
        <v>2</v>
      </c>
      <c r="U3395" s="5" t="s">
        <v>26188</v>
      </c>
      <c r="V3395" s="5" t="s">
        <v>26188</v>
      </c>
      <c r="W3395" s="5" t="s">
        <v>69</v>
      </c>
      <c r="X3395" s="5" t="s">
        <v>69</v>
      </c>
      <c r="Y3395" s="4">
        <v>102</v>
      </c>
      <c r="Z3395" s="4">
        <v>7</v>
      </c>
      <c r="AA3395" s="4">
        <v>28</v>
      </c>
      <c r="AB3395" s="4">
        <v>1</v>
      </c>
      <c r="AC3395" s="4">
        <v>2</v>
      </c>
      <c r="AD3395" s="4">
        <v>25</v>
      </c>
      <c r="AE3395" s="4">
        <v>89</v>
      </c>
      <c r="AF3395" s="4">
        <v>0</v>
      </c>
      <c r="AG3395" s="4">
        <v>0</v>
      </c>
      <c r="AH3395" s="4">
        <v>24</v>
      </c>
      <c r="AI3395" s="4">
        <v>81</v>
      </c>
      <c r="AJ3395" s="4">
        <v>2</v>
      </c>
      <c r="AK3395" s="4">
        <v>13</v>
      </c>
      <c r="AL3395" s="4">
        <v>16</v>
      </c>
      <c r="AM3395" s="4">
        <v>46</v>
      </c>
      <c r="AN3395" s="4">
        <v>0</v>
      </c>
      <c r="AO3395" s="4">
        <v>0</v>
      </c>
      <c r="AP3395" s="4">
        <v>2</v>
      </c>
      <c r="AQ3395" s="4">
        <v>15</v>
      </c>
      <c r="AR3395" s="3" t="s">
        <v>63</v>
      </c>
      <c r="AS3395" s="3" t="s">
        <v>63</v>
      </c>
      <c r="AT3395" s="3" t="s">
        <v>63</v>
      </c>
      <c r="AV3395" s="6" t="str">
        <f>HYPERLINK("http://mcgill.on.worldcat.org/oclc/826809772","Catalog Record")</f>
        <v>Catalog Record</v>
      </c>
      <c r="AW3395" s="6" t="str">
        <f>HYPERLINK("http://www.worldcat.org/oclc/826809772","WorldCat Record")</f>
        <v>WorldCat Record</v>
      </c>
      <c r="AX3395" s="3" t="s">
        <v>28427</v>
      </c>
      <c r="AY3395" s="3" t="s">
        <v>28428</v>
      </c>
      <c r="AZ3395" s="3" t="s">
        <v>28429</v>
      </c>
      <c r="BA3395" s="3" t="s">
        <v>28429</v>
      </c>
      <c r="BB3395" s="3" t="s">
        <v>28430</v>
      </c>
      <c r="BC3395" s="3" t="s">
        <v>82</v>
      </c>
      <c r="BD3395" s="3" t="s">
        <v>70</v>
      </c>
      <c r="BE3395" s="3" t="s">
        <v>28431</v>
      </c>
      <c r="BF3395" s="3" t="s">
        <v>28430</v>
      </c>
      <c r="BG3395" s="3" t="s">
        <v>28432</v>
      </c>
    </row>
    <row r="3396" spans="1:59" ht="75" x14ac:dyDescent="0.25">
      <c r="A3396" s="2" t="s">
        <v>59</v>
      </c>
      <c r="B3396" s="2" t="s">
        <v>60</v>
      </c>
      <c r="C3396" s="2" t="s">
        <v>28433</v>
      </c>
      <c r="D3396" s="2" t="s">
        <v>28434</v>
      </c>
      <c r="E3396" s="2" t="s">
        <v>28435</v>
      </c>
      <c r="G3396" s="3" t="s">
        <v>63</v>
      </c>
      <c r="I3396" s="3" t="s">
        <v>63</v>
      </c>
      <c r="J3396" s="3" t="s">
        <v>63</v>
      </c>
      <c r="K3396" s="3" t="s">
        <v>64</v>
      </c>
      <c r="L3396" s="2" t="s">
        <v>28436</v>
      </c>
      <c r="M3396" s="2" t="s">
        <v>28437</v>
      </c>
      <c r="N3396" s="3" t="s">
        <v>1023</v>
      </c>
      <c r="P3396" s="3" t="s">
        <v>66</v>
      </c>
      <c r="Q3396" s="2" t="s">
        <v>28438</v>
      </c>
      <c r="R3396" s="3" t="s">
        <v>67</v>
      </c>
      <c r="S3396" s="4">
        <v>8</v>
      </c>
      <c r="T3396" s="4">
        <v>8</v>
      </c>
      <c r="U3396" s="5" t="s">
        <v>25331</v>
      </c>
      <c r="V3396" s="5" t="s">
        <v>25331</v>
      </c>
      <c r="W3396" s="5" t="s">
        <v>69</v>
      </c>
      <c r="X3396" s="5" t="s">
        <v>69</v>
      </c>
      <c r="Y3396" s="4">
        <v>140</v>
      </c>
      <c r="Z3396" s="4">
        <v>11</v>
      </c>
      <c r="AA3396" s="4">
        <v>11</v>
      </c>
      <c r="AB3396" s="4">
        <v>1</v>
      </c>
      <c r="AC3396" s="4">
        <v>1</v>
      </c>
      <c r="AD3396" s="4">
        <v>70</v>
      </c>
      <c r="AE3396" s="4">
        <v>70</v>
      </c>
      <c r="AF3396" s="4">
        <v>0</v>
      </c>
      <c r="AG3396" s="4">
        <v>0</v>
      </c>
      <c r="AH3396" s="4">
        <v>65</v>
      </c>
      <c r="AI3396" s="4">
        <v>65</v>
      </c>
      <c r="AJ3396" s="4">
        <v>9</v>
      </c>
      <c r="AK3396" s="4">
        <v>9</v>
      </c>
      <c r="AL3396" s="4">
        <v>36</v>
      </c>
      <c r="AM3396" s="4">
        <v>36</v>
      </c>
      <c r="AN3396" s="4">
        <v>0</v>
      </c>
      <c r="AO3396" s="4">
        <v>0</v>
      </c>
      <c r="AP3396" s="4">
        <v>9</v>
      </c>
      <c r="AQ3396" s="4">
        <v>9</v>
      </c>
      <c r="AR3396" s="3" t="s">
        <v>63</v>
      </c>
      <c r="AS3396" s="3" t="s">
        <v>63</v>
      </c>
      <c r="AT3396" s="3" t="s">
        <v>62</v>
      </c>
      <c r="AU3396" s="6" t="str">
        <f>HYPERLINK("http://catalog.hathitrust.org/Record/002986962","HathiTrust Record")</f>
        <v>HathiTrust Record</v>
      </c>
      <c r="AV3396" s="6" t="str">
        <f>HYPERLINK("http://mcgill.on.worldcat.org/oclc/26930393","Catalog Record")</f>
        <v>Catalog Record</v>
      </c>
      <c r="AW3396" s="6" t="str">
        <f>HYPERLINK("http://www.worldcat.org/oclc/26930393","WorldCat Record")</f>
        <v>WorldCat Record</v>
      </c>
      <c r="AX3396" s="3" t="s">
        <v>28439</v>
      </c>
      <c r="AY3396" s="3" t="s">
        <v>28440</v>
      </c>
      <c r="AZ3396" s="3" t="s">
        <v>28441</v>
      </c>
      <c r="BA3396" s="3" t="s">
        <v>28441</v>
      </c>
      <c r="BB3396" s="3" t="s">
        <v>28442</v>
      </c>
      <c r="BC3396" s="3" t="s">
        <v>82</v>
      </c>
      <c r="BD3396" s="3" t="s">
        <v>70</v>
      </c>
      <c r="BE3396" s="3" t="s">
        <v>28443</v>
      </c>
      <c r="BF3396" s="3" t="s">
        <v>28442</v>
      </c>
      <c r="BG3396" s="3" t="s">
        <v>28444</v>
      </c>
    </row>
    <row r="3397" spans="1:59" ht="75" x14ac:dyDescent="0.25">
      <c r="A3397" s="2" t="s">
        <v>59</v>
      </c>
      <c r="B3397" s="2" t="s">
        <v>60</v>
      </c>
      <c r="C3397" s="2" t="s">
        <v>28445</v>
      </c>
      <c r="D3397" s="2" t="s">
        <v>28446</v>
      </c>
      <c r="E3397" s="2" t="s">
        <v>28447</v>
      </c>
      <c r="G3397" s="3" t="s">
        <v>63</v>
      </c>
      <c r="I3397" s="3" t="s">
        <v>62</v>
      </c>
      <c r="J3397" s="3" t="s">
        <v>63</v>
      </c>
      <c r="K3397" s="3" t="s">
        <v>64</v>
      </c>
      <c r="L3397" s="2" t="s">
        <v>28448</v>
      </c>
      <c r="M3397" s="2" t="s">
        <v>28449</v>
      </c>
      <c r="N3397" s="3" t="s">
        <v>480</v>
      </c>
      <c r="O3397" s="2" t="s">
        <v>590</v>
      </c>
      <c r="P3397" s="3" t="s">
        <v>66</v>
      </c>
      <c r="Q3397" s="2" t="s">
        <v>28450</v>
      </c>
      <c r="R3397" s="3" t="s">
        <v>67</v>
      </c>
      <c r="S3397" s="4">
        <v>5</v>
      </c>
      <c r="T3397" s="4">
        <v>5</v>
      </c>
      <c r="U3397" s="5" t="s">
        <v>25331</v>
      </c>
      <c r="V3397" s="5" t="s">
        <v>25331</v>
      </c>
      <c r="W3397" s="5" t="s">
        <v>69</v>
      </c>
      <c r="X3397" s="5" t="s">
        <v>69</v>
      </c>
      <c r="Y3397" s="4">
        <v>63</v>
      </c>
      <c r="Z3397" s="4">
        <v>3</v>
      </c>
      <c r="AA3397" s="4">
        <v>3</v>
      </c>
      <c r="AB3397" s="4">
        <v>1</v>
      </c>
      <c r="AC3397" s="4">
        <v>1</v>
      </c>
      <c r="AD3397" s="4">
        <v>27</v>
      </c>
      <c r="AE3397" s="4">
        <v>27</v>
      </c>
      <c r="AF3397" s="4">
        <v>0</v>
      </c>
      <c r="AG3397" s="4">
        <v>0</v>
      </c>
      <c r="AH3397" s="4">
        <v>25</v>
      </c>
      <c r="AI3397" s="4">
        <v>25</v>
      </c>
      <c r="AJ3397" s="4">
        <v>1</v>
      </c>
      <c r="AK3397" s="4">
        <v>1</v>
      </c>
      <c r="AL3397" s="4">
        <v>18</v>
      </c>
      <c r="AM3397" s="4">
        <v>18</v>
      </c>
      <c r="AN3397" s="4">
        <v>0</v>
      </c>
      <c r="AO3397" s="4">
        <v>0</v>
      </c>
      <c r="AP3397" s="4">
        <v>1</v>
      </c>
      <c r="AQ3397" s="4">
        <v>1</v>
      </c>
      <c r="AR3397" s="3" t="s">
        <v>63</v>
      </c>
      <c r="AS3397" s="3" t="s">
        <v>63</v>
      </c>
      <c r="AT3397" s="3" t="s">
        <v>63</v>
      </c>
      <c r="AV3397" s="6" t="str">
        <f>HYPERLINK("http://mcgill.on.worldcat.org/oclc/10375504","Catalog Record")</f>
        <v>Catalog Record</v>
      </c>
      <c r="AW3397" s="6" t="str">
        <f>HYPERLINK("http://www.worldcat.org/oclc/10375504","WorldCat Record")</f>
        <v>WorldCat Record</v>
      </c>
      <c r="AX3397" s="3" t="s">
        <v>28451</v>
      </c>
      <c r="AY3397" s="3" t="s">
        <v>28452</v>
      </c>
      <c r="AZ3397" s="3" t="s">
        <v>28453</v>
      </c>
      <c r="BA3397" s="3" t="s">
        <v>28453</v>
      </c>
      <c r="BB3397" s="3" t="s">
        <v>28454</v>
      </c>
      <c r="BC3397" s="3" t="s">
        <v>82</v>
      </c>
      <c r="BD3397" s="3" t="s">
        <v>70</v>
      </c>
      <c r="BE3397" s="3" t="s">
        <v>28455</v>
      </c>
      <c r="BF3397" s="3" t="s">
        <v>28454</v>
      </c>
      <c r="BG3397" s="3" t="s">
        <v>28456</v>
      </c>
    </row>
    <row r="3398" spans="1:59" ht="75" x14ac:dyDescent="0.25">
      <c r="A3398" s="2" t="s">
        <v>59</v>
      </c>
      <c r="B3398" s="2" t="s">
        <v>60</v>
      </c>
      <c r="C3398" s="2" t="s">
        <v>28445</v>
      </c>
      <c r="D3398" s="2" t="s">
        <v>28446</v>
      </c>
      <c r="E3398" s="2" t="s">
        <v>28447</v>
      </c>
      <c r="G3398" s="3" t="s">
        <v>63</v>
      </c>
      <c r="I3398" s="3" t="s">
        <v>62</v>
      </c>
      <c r="J3398" s="3" t="s">
        <v>63</v>
      </c>
      <c r="K3398" s="3" t="s">
        <v>64</v>
      </c>
      <c r="L3398" s="2" t="s">
        <v>28448</v>
      </c>
      <c r="M3398" s="2" t="s">
        <v>28449</v>
      </c>
      <c r="N3398" s="3" t="s">
        <v>480</v>
      </c>
      <c r="O3398" s="2" t="s">
        <v>590</v>
      </c>
      <c r="P3398" s="3" t="s">
        <v>66</v>
      </c>
      <c r="Q3398" s="2" t="s">
        <v>28450</v>
      </c>
      <c r="R3398" s="3" t="s">
        <v>67</v>
      </c>
      <c r="S3398" s="4">
        <v>0</v>
      </c>
      <c r="T3398" s="4">
        <v>5</v>
      </c>
      <c r="V3398" s="5" t="s">
        <v>25331</v>
      </c>
      <c r="W3398" s="5" t="s">
        <v>69</v>
      </c>
      <c r="X3398" s="5" t="s">
        <v>69</v>
      </c>
      <c r="Y3398" s="4">
        <v>63</v>
      </c>
      <c r="Z3398" s="4">
        <v>3</v>
      </c>
      <c r="AA3398" s="4">
        <v>3</v>
      </c>
      <c r="AB3398" s="4">
        <v>1</v>
      </c>
      <c r="AC3398" s="4">
        <v>1</v>
      </c>
      <c r="AD3398" s="4">
        <v>27</v>
      </c>
      <c r="AE3398" s="4">
        <v>27</v>
      </c>
      <c r="AF3398" s="4">
        <v>0</v>
      </c>
      <c r="AG3398" s="4">
        <v>0</v>
      </c>
      <c r="AH3398" s="4">
        <v>25</v>
      </c>
      <c r="AI3398" s="4">
        <v>25</v>
      </c>
      <c r="AJ3398" s="4">
        <v>1</v>
      </c>
      <c r="AK3398" s="4">
        <v>1</v>
      </c>
      <c r="AL3398" s="4">
        <v>18</v>
      </c>
      <c r="AM3398" s="4">
        <v>18</v>
      </c>
      <c r="AN3398" s="4">
        <v>0</v>
      </c>
      <c r="AO3398" s="4">
        <v>0</v>
      </c>
      <c r="AP3398" s="4">
        <v>1</v>
      </c>
      <c r="AQ3398" s="4">
        <v>1</v>
      </c>
      <c r="AR3398" s="3" t="s">
        <v>63</v>
      </c>
      <c r="AS3398" s="3" t="s">
        <v>63</v>
      </c>
      <c r="AT3398" s="3" t="s">
        <v>63</v>
      </c>
      <c r="AV3398" s="6" t="str">
        <f>HYPERLINK("http://mcgill.on.worldcat.org/oclc/10375504","Catalog Record")</f>
        <v>Catalog Record</v>
      </c>
      <c r="AW3398" s="6" t="str">
        <f>HYPERLINK("http://www.worldcat.org/oclc/10375504","WorldCat Record")</f>
        <v>WorldCat Record</v>
      </c>
      <c r="AX3398" s="3" t="s">
        <v>28451</v>
      </c>
      <c r="AY3398" s="3" t="s">
        <v>28452</v>
      </c>
      <c r="AZ3398" s="3" t="s">
        <v>28453</v>
      </c>
      <c r="BA3398" s="3" t="s">
        <v>28453</v>
      </c>
      <c r="BB3398" s="3" t="s">
        <v>28457</v>
      </c>
      <c r="BC3398" s="3" t="s">
        <v>82</v>
      </c>
      <c r="BD3398" s="3" t="s">
        <v>70</v>
      </c>
      <c r="BE3398" s="3" t="s">
        <v>28455</v>
      </c>
      <c r="BF3398" s="3" t="s">
        <v>28457</v>
      </c>
      <c r="BG3398" s="3" t="s">
        <v>28458</v>
      </c>
    </row>
    <row r="3399" spans="1:59" ht="60" x14ac:dyDescent="0.25">
      <c r="A3399" s="2" t="s">
        <v>59</v>
      </c>
      <c r="B3399" s="2" t="s">
        <v>60</v>
      </c>
      <c r="C3399" s="2" t="s">
        <v>28472</v>
      </c>
      <c r="D3399" s="2" t="s">
        <v>28473</v>
      </c>
      <c r="E3399" s="2" t="s">
        <v>28474</v>
      </c>
      <c r="F3399" s="3" t="s">
        <v>3647</v>
      </c>
      <c r="G3399" s="3" t="s">
        <v>62</v>
      </c>
      <c r="I3399" s="3" t="s">
        <v>63</v>
      </c>
      <c r="J3399" s="3" t="s">
        <v>63</v>
      </c>
      <c r="K3399" s="3" t="s">
        <v>64</v>
      </c>
      <c r="L3399" s="2" t="s">
        <v>28475</v>
      </c>
      <c r="M3399" s="2" t="s">
        <v>28476</v>
      </c>
      <c r="N3399" s="3" t="s">
        <v>1418</v>
      </c>
      <c r="P3399" s="3" t="s">
        <v>90</v>
      </c>
      <c r="R3399" s="3" t="s">
        <v>67</v>
      </c>
      <c r="S3399" s="4">
        <v>1</v>
      </c>
      <c r="T3399" s="4">
        <v>7</v>
      </c>
      <c r="U3399" s="5" t="s">
        <v>28477</v>
      </c>
      <c r="V3399" s="5" t="s">
        <v>16663</v>
      </c>
      <c r="W3399" s="5" t="s">
        <v>69</v>
      </c>
      <c r="X3399" s="5" t="s">
        <v>69</v>
      </c>
      <c r="Y3399" s="4">
        <v>9</v>
      </c>
      <c r="Z3399" s="4">
        <v>4</v>
      </c>
      <c r="AA3399" s="4">
        <v>5</v>
      </c>
      <c r="AB3399" s="4">
        <v>2</v>
      </c>
      <c r="AC3399" s="4">
        <v>2</v>
      </c>
      <c r="AD3399" s="4">
        <v>2</v>
      </c>
      <c r="AE3399" s="4">
        <v>30</v>
      </c>
      <c r="AF3399" s="4">
        <v>0</v>
      </c>
      <c r="AG3399" s="4">
        <v>0</v>
      </c>
      <c r="AH3399" s="4">
        <v>2</v>
      </c>
      <c r="AI3399" s="4">
        <v>29</v>
      </c>
      <c r="AJ3399" s="4">
        <v>2</v>
      </c>
      <c r="AK3399" s="4">
        <v>2</v>
      </c>
      <c r="AL3399" s="4">
        <v>0</v>
      </c>
      <c r="AM3399" s="4">
        <v>21</v>
      </c>
      <c r="AN3399" s="4">
        <v>0</v>
      </c>
      <c r="AO3399" s="4">
        <v>0</v>
      </c>
      <c r="AP3399" s="4">
        <v>2</v>
      </c>
      <c r="AQ3399" s="4">
        <v>2</v>
      </c>
      <c r="AR3399" s="3" t="s">
        <v>63</v>
      </c>
      <c r="AS3399" s="3" t="s">
        <v>63</v>
      </c>
      <c r="AT3399" s="3" t="s">
        <v>63</v>
      </c>
      <c r="AV3399" s="6" t="str">
        <f>HYPERLINK("http://mcgill.on.worldcat.org/oclc/263456436","Catalog Record")</f>
        <v>Catalog Record</v>
      </c>
      <c r="AW3399" s="6" t="str">
        <f>HYPERLINK("http://www.worldcat.org/oclc/263456436","WorldCat Record")</f>
        <v>WorldCat Record</v>
      </c>
      <c r="AX3399" s="3" t="s">
        <v>28478</v>
      </c>
      <c r="AY3399" s="3" t="s">
        <v>28479</v>
      </c>
      <c r="AZ3399" s="3" t="s">
        <v>28480</v>
      </c>
      <c r="BA3399" s="3" t="s">
        <v>28480</v>
      </c>
      <c r="BB3399" s="3" t="s">
        <v>28481</v>
      </c>
      <c r="BC3399" s="3" t="s">
        <v>82</v>
      </c>
      <c r="BD3399" s="3" t="s">
        <v>70</v>
      </c>
      <c r="BE3399" s="3" t="s">
        <v>28482</v>
      </c>
      <c r="BF3399" s="3" t="s">
        <v>28481</v>
      </c>
      <c r="BG3399" s="3" t="s">
        <v>28483</v>
      </c>
    </row>
    <row r="3400" spans="1:59" ht="60" x14ac:dyDescent="0.25">
      <c r="A3400" s="2" t="s">
        <v>59</v>
      </c>
      <c r="B3400" s="2" t="s">
        <v>60</v>
      </c>
      <c r="C3400" s="2" t="s">
        <v>28472</v>
      </c>
      <c r="D3400" s="2" t="s">
        <v>28473</v>
      </c>
      <c r="E3400" s="2" t="s">
        <v>28474</v>
      </c>
      <c r="F3400" s="3" t="s">
        <v>3638</v>
      </c>
      <c r="G3400" s="3" t="s">
        <v>62</v>
      </c>
      <c r="I3400" s="3" t="s">
        <v>63</v>
      </c>
      <c r="J3400" s="3" t="s">
        <v>63</v>
      </c>
      <c r="K3400" s="3" t="s">
        <v>64</v>
      </c>
      <c r="L3400" s="2" t="s">
        <v>28475</v>
      </c>
      <c r="M3400" s="2" t="s">
        <v>28476</v>
      </c>
      <c r="N3400" s="3" t="s">
        <v>1418</v>
      </c>
      <c r="P3400" s="3" t="s">
        <v>90</v>
      </c>
      <c r="R3400" s="3" t="s">
        <v>67</v>
      </c>
      <c r="S3400" s="4">
        <v>2</v>
      </c>
      <c r="T3400" s="4">
        <v>7</v>
      </c>
      <c r="U3400" s="5" t="s">
        <v>28484</v>
      </c>
      <c r="V3400" s="5" t="s">
        <v>16663</v>
      </c>
      <c r="W3400" s="5" t="s">
        <v>69</v>
      </c>
      <c r="X3400" s="5" t="s">
        <v>69</v>
      </c>
      <c r="Y3400" s="4">
        <v>9</v>
      </c>
      <c r="Z3400" s="4">
        <v>4</v>
      </c>
      <c r="AA3400" s="4">
        <v>5</v>
      </c>
      <c r="AB3400" s="4">
        <v>2</v>
      </c>
      <c r="AC3400" s="4">
        <v>2</v>
      </c>
      <c r="AD3400" s="4">
        <v>2</v>
      </c>
      <c r="AE3400" s="4">
        <v>30</v>
      </c>
      <c r="AF3400" s="4">
        <v>0</v>
      </c>
      <c r="AG3400" s="4">
        <v>0</v>
      </c>
      <c r="AH3400" s="4">
        <v>2</v>
      </c>
      <c r="AI3400" s="4">
        <v>29</v>
      </c>
      <c r="AJ3400" s="4">
        <v>2</v>
      </c>
      <c r="AK3400" s="4">
        <v>2</v>
      </c>
      <c r="AL3400" s="4">
        <v>0</v>
      </c>
      <c r="AM3400" s="4">
        <v>21</v>
      </c>
      <c r="AN3400" s="4">
        <v>0</v>
      </c>
      <c r="AO3400" s="4">
        <v>0</v>
      </c>
      <c r="AP3400" s="4">
        <v>2</v>
      </c>
      <c r="AQ3400" s="4">
        <v>2</v>
      </c>
      <c r="AR3400" s="3" t="s">
        <v>63</v>
      </c>
      <c r="AS3400" s="3" t="s">
        <v>63</v>
      </c>
      <c r="AT3400" s="3" t="s">
        <v>63</v>
      </c>
      <c r="AV3400" s="6" t="str">
        <f>HYPERLINK("http://mcgill.on.worldcat.org/oclc/263456436","Catalog Record")</f>
        <v>Catalog Record</v>
      </c>
      <c r="AW3400" s="6" t="str">
        <f>HYPERLINK("http://www.worldcat.org/oclc/263456436","WorldCat Record")</f>
        <v>WorldCat Record</v>
      </c>
      <c r="AX3400" s="3" t="s">
        <v>28478</v>
      </c>
      <c r="AY3400" s="3" t="s">
        <v>28479</v>
      </c>
      <c r="AZ3400" s="3" t="s">
        <v>28480</v>
      </c>
      <c r="BA3400" s="3" t="s">
        <v>28480</v>
      </c>
      <c r="BB3400" s="3" t="s">
        <v>28485</v>
      </c>
      <c r="BC3400" s="3" t="s">
        <v>82</v>
      </c>
      <c r="BD3400" s="3" t="s">
        <v>70</v>
      </c>
      <c r="BE3400" s="3" t="s">
        <v>28482</v>
      </c>
      <c r="BF3400" s="3" t="s">
        <v>28485</v>
      </c>
      <c r="BG3400" s="3" t="s">
        <v>28486</v>
      </c>
    </row>
    <row r="3401" spans="1:59" ht="60" x14ac:dyDescent="0.25">
      <c r="A3401" s="2" t="s">
        <v>59</v>
      </c>
      <c r="B3401" s="2" t="s">
        <v>60</v>
      </c>
      <c r="C3401" s="2" t="s">
        <v>28472</v>
      </c>
      <c r="D3401" s="2" t="s">
        <v>28473</v>
      </c>
      <c r="E3401" s="2" t="s">
        <v>28474</v>
      </c>
      <c r="F3401" s="3" t="s">
        <v>3653</v>
      </c>
      <c r="G3401" s="3" t="s">
        <v>62</v>
      </c>
      <c r="I3401" s="3" t="s">
        <v>63</v>
      </c>
      <c r="J3401" s="3" t="s">
        <v>63</v>
      </c>
      <c r="K3401" s="3" t="s">
        <v>64</v>
      </c>
      <c r="L3401" s="2" t="s">
        <v>28475</v>
      </c>
      <c r="M3401" s="2" t="s">
        <v>28476</v>
      </c>
      <c r="N3401" s="3" t="s">
        <v>1418</v>
      </c>
      <c r="P3401" s="3" t="s">
        <v>90</v>
      </c>
      <c r="R3401" s="3" t="s">
        <v>67</v>
      </c>
      <c r="S3401" s="4">
        <v>3</v>
      </c>
      <c r="T3401" s="4">
        <v>7</v>
      </c>
      <c r="U3401" s="5" t="s">
        <v>16663</v>
      </c>
      <c r="V3401" s="5" t="s">
        <v>16663</v>
      </c>
      <c r="W3401" s="5" t="s">
        <v>69</v>
      </c>
      <c r="X3401" s="5" t="s">
        <v>69</v>
      </c>
      <c r="Y3401" s="4">
        <v>9</v>
      </c>
      <c r="Z3401" s="4">
        <v>4</v>
      </c>
      <c r="AA3401" s="4">
        <v>5</v>
      </c>
      <c r="AB3401" s="4">
        <v>2</v>
      </c>
      <c r="AC3401" s="4">
        <v>2</v>
      </c>
      <c r="AD3401" s="4">
        <v>2</v>
      </c>
      <c r="AE3401" s="4">
        <v>30</v>
      </c>
      <c r="AF3401" s="4">
        <v>0</v>
      </c>
      <c r="AG3401" s="4">
        <v>0</v>
      </c>
      <c r="AH3401" s="4">
        <v>2</v>
      </c>
      <c r="AI3401" s="4">
        <v>29</v>
      </c>
      <c r="AJ3401" s="4">
        <v>2</v>
      </c>
      <c r="AK3401" s="4">
        <v>2</v>
      </c>
      <c r="AL3401" s="4">
        <v>0</v>
      </c>
      <c r="AM3401" s="4">
        <v>21</v>
      </c>
      <c r="AN3401" s="4">
        <v>0</v>
      </c>
      <c r="AO3401" s="4">
        <v>0</v>
      </c>
      <c r="AP3401" s="4">
        <v>2</v>
      </c>
      <c r="AQ3401" s="4">
        <v>2</v>
      </c>
      <c r="AR3401" s="3" t="s">
        <v>63</v>
      </c>
      <c r="AS3401" s="3" t="s">
        <v>63</v>
      </c>
      <c r="AT3401" s="3" t="s">
        <v>63</v>
      </c>
      <c r="AV3401" s="6" t="str">
        <f>HYPERLINK("http://mcgill.on.worldcat.org/oclc/263456436","Catalog Record")</f>
        <v>Catalog Record</v>
      </c>
      <c r="AW3401" s="6" t="str">
        <f>HYPERLINK("http://www.worldcat.org/oclc/263456436","WorldCat Record")</f>
        <v>WorldCat Record</v>
      </c>
      <c r="AX3401" s="3" t="s">
        <v>28478</v>
      </c>
      <c r="AY3401" s="3" t="s">
        <v>28479</v>
      </c>
      <c r="AZ3401" s="3" t="s">
        <v>28480</v>
      </c>
      <c r="BA3401" s="3" t="s">
        <v>28480</v>
      </c>
      <c r="BB3401" s="3" t="s">
        <v>28487</v>
      </c>
      <c r="BC3401" s="3" t="s">
        <v>82</v>
      </c>
      <c r="BD3401" s="3" t="s">
        <v>70</v>
      </c>
      <c r="BE3401" s="3" t="s">
        <v>28482</v>
      </c>
      <c r="BF3401" s="3" t="s">
        <v>28487</v>
      </c>
      <c r="BG3401" s="3" t="s">
        <v>28488</v>
      </c>
    </row>
    <row r="3402" spans="1:59" ht="60" x14ac:dyDescent="0.25">
      <c r="A3402" s="2" t="s">
        <v>59</v>
      </c>
      <c r="B3402" s="2" t="s">
        <v>60</v>
      </c>
      <c r="C3402" s="2" t="s">
        <v>28472</v>
      </c>
      <c r="D3402" s="2" t="s">
        <v>28473</v>
      </c>
      <c r="E3402" s="2" t="s">
        <v>28474</v>
      </c>
      <c r="F3402" s="3" t="s">
        <v>3650</v>
      </c>
      <c r="G3402" s="3" t="s">
        <v>62</v>
      </c>
      <c r="I3402" s="3" t="s">
        <v>63</v>
      </c>
      <c r="J3402" s="3" t="s">
        <v>63</v>
      </c>
      <c r="K3402" s="3" t="s">
        <v>64</v>
      </c>
      <c r="L3402" s="2" t="s">
        <v>28475</v>
      </c>
      <c r="M3402" s="2" t="s">
        <v>28476</v>
      </c>
      <c r="N3402" s="3" t="s">
        <v>1418</v>
      </c>
      <c r="P3402" s="3" t="s">
        <v>90</v>
      </c>
      <c r="R3402" s="3" t="s">
        <v>67</v>
      </c>
      <c r="S3402" s="4">
        <v>0</v>
      </c>
      <c r="T3402" s="4">
        <v>7</v>
      </c>
      <c r="V3402" s="5" t="s">
        <v>16663</v>
      </c>
      <c r="W3402" s="5" t="s">
        <v>69</v>
      </c>
      <c r="X3402" s="5" t="s">
        <v>69</v>
      </c>
      <c r="Y3402" s="4">
        <v>9</v>
      </c>
      <c r="Z3402" s="4">
        <v>4</v>
      </c>
      <c r="AA3402" s="4">
        <v>5</v>
      </c>
      <c r="AB3402" s="4">
        <v>2</v>
      </c>
      <c r="AC3402" s="4">
        <v>2</v>
      </c>
      <c r="AD3402" s="4">
        <v>2</v>
      </c>
      <c r="AE3402" s="4">
        <v>30</v>
      </c>
      <c r="AF3402" s="4">
        <v>0</v>
      </c>
      <c r="AG3402" s="4">
        <v>0</v>
      </c>
      <c r="AH3402" s="4">
        <v>2</v>
      </c>
      <c r="AI3402" s="4">
        <v>29</v>
      </c>
      <c r="AJ3402" s="4">
        <v>2</v>
      </c>
      <c r="AK3402" s="4">
        <v>2</v>
      </c>
      <c r="AL3402" s="4">
        <v>0</v>
      </c>
      <c r="AM3402" s="4">
        <v>21</v>
      </c>
      <c r="AN3402" s="4">
        <v>0</v>
      </c>
      <c r="AO3402" s="4">
        <v>0</v>
      </c>
      <c r="AP3402" s="4">
        <v>2</v>
      </c>
      <c r="AQ3402" s="4">
        <v>2</v>
      </c>
      <c r="AR3402" s="3" t="s">
        <v>63</v>
      </c>
      <c r="AS3402" s="3" t="s">
        <v>63</v>
      </c>
      <c r="AT3402" s="3" t="s">
        <v>63</v>
      </c>
      <c r="AV3402" s="6" t="str">
        <f>HYPERLINK("http://mcgill.on.worldcat.org/oclc/263456436","Catalog Record")</f>
        <v>Catalog Record</v>
      </c>
      <c r="AW3402" s="6" t="str">
        <f>HYPERLINK("http://www.worldcat.org/oclc/263456436","WorldCat Record")</f>
        <v>WorldCat Record</v>
      </c>
      <c r="AX3402" s="3" t="s">
        <v>28478</v>
      </c>
      <c r="AY3402" s="3" t="s">
        <v>28479</v>
      </c>
      <c r="AZ3402" s="3" t="s">
        <v>28480</v>
      </c>
      <c r="BA3402" s="3" t="s">
        <v>28480</v>
      </c>
      <c r="BB3402" s="3" t="s">
        <v>28489</v>
      </c>
      <c r="BC3402" s="3" t="s">
        <v>82</v>
      </c>
      <c r="BD3402" s="3" t="s">
        <v>70</v>
      </c>
      <c r="BE3402" s="3" t="s">
        <v>28482</v>
      </c>
      <c r="BF3402" s="3" t="s">
        <v>28489</v>
      </c>
      <c r="BG3402" s="3" t="s">
        <v>28490</v>
      </c>
    </row>
    <row r="3403" spans="1:59" ht="60" x14ac:dyDescent="0.25">
      <c r="A3403" s="2" t="s">
        <v>59</v>
      </c>
      <c r="B3403" s="2" t="s">
        <v>60</v>
      </c>
      <c r="C3403" s="2" t="s">
        <v>28472</v>
      </c>
      <c r="D3403" s="2" t="s">
        <v>28473</v>
      </c>
      <c r="E3403" s="2" t="s">
        <v>28474</v>
      </c>
      <c r="F3403" s="3" t="s">
        <v>13788</v>
      </c>
      <c r="G3403" s="3" t="s">
        <v>62</v>
      </c>
      <c r="I3403" s="3" t="s">
        <v>63</v>
      </c>
      <c r="J3403" s="3" t="s">
        <v>63</v>
      </c>
      <c r="K3403" s="3" t="s">
        <v>64</v>
      </c>
      <c r="L3403" s="2" t="s">
        <v>28475</v>
      </c>
      <c r="M3403" s="2" t="s">
        <v>28476</v>
      </c>
      <c r="N3403" s="3" t="s">
        <v>1418</v>
      </c>
      <c r="P3403" s="3" t="s">
        <v>90</v>
      </c>
      <c r="R3403" s="3" t="s">
        <v>67</v>
      </c>
      <c r="S3403" s="4">
        <v>1</v>
      </c>
      <c r="T3403" s="4">
        <v>7</v>
      </c>
      <c r="U3403" s="5" t="s">
        <v>28491</v>
      </c>
      <c r="V3403" s="5" t="s">
        <v>16663</v>
      </c>
      <c r="W3403" s="5" t="s">
        <v>69</v>
      </c>
      <c r="X3403" s="5" t="s">
        <v>69</v>
      </c>
      <c r="Y3403" s="4">
        <v>9</v>
      </c>
      <c r="Z3403" s="4">
        <v>4</v>
      </c>
      <c r="AA3403" s="4">
        <v>5</v>
      </c>
      <c r="AB3403" s="4">
        <v>2</v>
      </c>
      <c r="AC3403" s="4">
        <v>2</v>
      </c>
      <c r="AD3403" s="4">
        <v>2</v>
      </c>
      <c r="AE3403" s="4">
        <v>30</v>
      </c>
      <c r="AF3403" s="4">
        <v>0</v>
      </c>
      <c r="AG3403" s="4">
        <v>0</v>
      </c>
      <c r="AH3403" s="4">
        <v>2</v>
      </c>
      <c r="AI3403" s="4">
        <v>29</v>
      </c>
      <c r="AJ3403" s="4">
        <v>2</v>
      </c>
      <c r="AK3403" s="4">
        <v>2</v>
      </c>
      <c r="AL3403" s="4">
        <v>0</v>
      </c>
      <c r="AM3403" s="4">
        <v>21</v>
      </c>
      <c r="AN3403" s="4">
        <v>0</v>
      </c>
      <c r="AO3403" s="4">
        <v>0</v>
      </c>
      <c r="AP3403" s="4">
        <v>2</v>
      </c>
      <c r="AQ3403" s="4">
        <v>2</v>
      </c>
      <c r="AR3403" s="3" t="s">
        <v>63</v>
      </c>
      <c r="AS3403" s="3" t="s">
        <v>63</v>
      </c>
      <c r="AT3403" s="3" t="s">
        <v>63</v>
      </c>
      <c r="AV3403" s="6" t="str">
        <f>HYPERLINK("http://mcgill.on.worldcat.org/oclc/263456436","Catalog Record")</f>
        <v>Catalog Record</v>
      </c>
      <c r="AW3403" s="6" t="str">
        <f>HYPERLINK("http://www.worldcat.org/oclc/263456436","WorldCat Record")</f>
        <v>WorldCat Record</v>
      </c>
      <c r="AX3403" s="3" t="s">
        <v>28478</v>
      </c>
      <c r="AY3403" s="3" t="s">
        <v>28479</v>
      </c>
      <c r="AZ3403" s="3" t="s">
        <v>28480</v>
      </c>
      <c r="BA3403" s="3" t="s">
        <v>28480</v>
      </c>
      <c r="BB3403" s="3" t="s">
        <v>28492</v>
      </c>
      <c r="BC3403" s="3" t="s">
        <v>82</v>
      </c>
      <c r="BD3403" s="3" t="s">
        <v>70</v>
      </c>
      <c r="BE3403" s="3" t="s">
        <v>28482</v>
      </c>
      <c r="BF3403" s="3" t="s">
        <v>28492</v>
      </c>
      <c r="BG3403" s="3" t="s">
        <v>28493</v>
      </c>
    </row>
    <row r="3404" spans="1:59" ht="60" x14ac:dyDescent="0.25">
      <c r="A3404" s="2" t="s">
        <v>59</v>
      </c>
      <c r="B3404" s="2" t="s">
        <v>60</v>
      </c>
      <c r="C3404" s="2" t="s">
        <v>28494</v>
      </c>
      <c r="D3404" s="2" t="s">
        <v>28495</v>
      </c>
      <c r="E3404" s="2" t="s">
        <v>28496</v>
      </c>
      <c r="G3404" s="3" t="s">
        <v>63</v>
      </c>
      <c r="I3404" s="3" t="s">
        <v>63</v>
      </c>
      <c r="J3404" s="3" t="s">
        <v>63</v>
      </c>
      <c r="K3404" s="3" t="s">
        <v>64</v>
      </c>
      <c r="L3404" s="2" t="s">
        <v>28497</v>
      </c>
      <c r="M3404" s="2" t="s">
        <v>28498</v>
      </c>
      <c r="N3404" s="3" t="s">
        <v>1226</v>
      </c>
      <c r="P3404" s="3" t="s">
        <v>66</v>
      </c>
      <c r="R3404" s="3" t="s">
        <v>67</v>
      </c>
      <c r="S3404" s="4">
        <v>16</v>
      </c>
      <c r="T3404" s="4">
        <v>16</v>
      </c>
      <c r="U3404" s="5" t="s">
        <v>17623</v>
      </c>
      <c r="V3404" s="5" t="s">
        <v>17623</v>
      </c>
      <c r="W3404" s="5" t="s">
        <v>69</v>
      </c>
      <c r="X3404" s="5" t="s">
        <v>69</v>
      </c>
      <c r="Y3404" s="4">
        <v>504</v>
      </c>
      <c r="Z3404" s="4">
        <v>23</v>
      </c>
      <c r="AA3404" s="4">
        <v>25</v>
      </c>
      <c r="AB3404" s="4">
        <v>2</v>
      </c>
      <c r="AC3404" s="4">
        <v>4</v>
      </c>
      <c r="AD3404" s="4">
        <v>98</v>
      </c>
      <c r="AE3404" s="4">
        <v>98</v>
      </c>
      <c r="AF3404" s="4">
        <v>0</v>
      </c>
      <c r="AG3404" s="4">
        <v>0</v>
      </c>
      <c r="AH3404" s="4">
        <v>89</v>
      </c>
      <c r="AI3404" s="4">
        <v>89</v>
      </c>
      <c r="AJ3404" s="4">
        <v>12</v>
      </c>
      <c r="AK3404" s="4">
        <v>12</v>
      </c>
      <c r="AL3404" s="4">
        <v>55</v>
      </c>
      <c r="AM3404" s="4">
        <v>55</v>
      </c>
      <c r="AN3404" s="4">
        <v>0</v>
      </c>
      <c r="AO3404" s="4">
        <v>0</v>
      </c>
      <c r="AP3404" s="4">
        <v>13</v>
      </c>
      <c r="AQ3404" s="4">
        <v>13</v>
      </c>
      <c r="AR3404" s="3" t="s">
        <v>63</v>
      </c>
      <c r="AS3404" s="3" t="s">
        <v>63</v>
      </c>
      <c r="AT3404" s="3" t="s">
        <v>62</v>
      </c>
      <c r="AU3404" s="6" t="str">
        <f>HYPERLINK("http://catalog.hathitrust.org/Record/004304298","HathiTrust Record")</f>
        <v>HathiTrust Record</v>
      </c>
      <c r="AV3404" s="6" t="str">
        <f>HYPERLINK("http://mcgill.on.worldcat.org/oclc/50166724","Catalog Record")</f>
        <v>Catalog Record</v>
      </c>
      <c r="AW3404" s="6" t="str">
        <f>HYPERLINK("http://www.worldcat.org/oclc/50166724","WorldCat Record")</f>
        <v>WorldCat Record</v>
      </c>
      <c r="AX3404" s="3" t="s">
        <v>28499</v>
      </c>
      <c r="AY3404" s="3" t="s">
        <v>28500</v>
      </c>
      <c r="AZ3404" s="3" t="s">
        <v>28501</v>
      </c>
      <c r="BA3404" s="3" t="s">
        <v>28501</v>
      </c>
      <c r="BB3404" s="3" t="s">
        <v>28502</v>
      </c>
      <c r="BC3404" s="3" t="s">
        <v>82</v>
      </c>
      <c r="BD3404" s="3" t="s">
        <v>70</v>
      </c>
      <c r="BE3404" s="3" t="s">
        <v>28503</v>
      </c>
      <c r="BF3404" s="3" t="s">
        <v>28502</v>
      </c>
      <c r="BG3404" s="3" t="s">
        <v>28504</v>
      </c>
    </row>
    <row r="3405" spans="1:59" ht="60" x14ac:dyDescent="0.25">
      <c r="A3405" s="2" t="s">
        <v>59</v>
      </c>
      <c r="B3405" s="2" t="s">
        <v>60</v>
      </c>
      <c r="C3405" s="2" t="s">
        <v>28505</v>
      </c>
      <c r="D3405" s="2" t="s">
        <v>28506</v>
      </c>
      <c r="E3405" s="2" t="s">
        <v>28507</v>
      </c>
      <c r="G3405" s="3" t="s">
        <v>63</v>
      </c>
      <c r="I3405" s="3" t="s">
        <v>63</v>
      </c>
      <c r="J3405" s="3" t="s">
        <v>63</v>
      </c>
      <c r="K3405" s="3" t="s">
        <v>64</v>
      </c>
      <c r="L3405" s="2" t="s">
        <v>28497</v>
      </c>
      <c r="M3405" s="2" t="s">
        <v>28508</v>
      </c>
      <c r="N3405" s="3" t="s">
        <v>531</v>
      </c>
      <c r="O3405" s="2" t="s">
        <v>590</v>
      </c>
      <c r="P3405" s="3" t="s">
        <v>66</v>
      </c>
      <c r="R3405" s="3" t="s">
        <v>67</v>
      </c>
      <c r="S3405" s="4">
        <v>13</v>
      </c>
      <c r="T3405" s="4">
        <v>13</v>
      </c>
      <c r="U3405" s="5" t="s">
        <v>7019</v>
      </c>
      <c r="V3405" s="5" t="s">
        <v>7019</v>
      </c>
      <c r="W3405" s="5" t="s">
        <v>69</v>
      </c>
      <c r="X3405" s="5" t="s">
        <v>69</v>
      </c>
      <c r="Y3405" s="4">
        <v>538</v>
      </c>
      <c r="Z3405" s="4">
        <v>23</v>
      </c>
      <c r="AA3405" s="4">
        <v>24</v>
      </c>
      <c r="AB3405" s="4">
        <v>1</v>
      </c>
      <c r="AC3405" s="4">
        <v>1</v>
      </c>
      <c r="AD3405" s="4">
        <v>105</v>
      </c>
      <c r="AE3405" s="4">
        <v>107</v>
      </c>
      <c r="AF3405" s="4">
        <v>0</v>
      </c>
      <c r="AG3405" s="4">
        <v>0</v>
      </c>
      <c r="AH3405" s="4">
        <v>94</v>
      </c>
      <c r="AI3405" s="4">
        <v>96</v>
      </c>
      <c r="AJ3405" s="4">
        <v>12</v>
      </c>
      <c r="AK3405" s="4">
        <v>13</v>
      </c>
      <c r="AL3405" s="4">
        <v>56</v>
      </c>
      <c r="AM3405" s="4">
        <v>56</v>
      </c>
      <c r="AN3405" s="4">
        <v>0</v>
      </c>
      <c r="AO3405" s="4">
        <v>2</v>
      </c>
      <c r="AP3405" s="4">
        <v>15</v>
      </c>
      <c r="AQ3405" s="4">
        <v>16</v>
      </c>
      <c r="AR3405" s="3" t="s">
        <v>63</v>
      </c>
      <c r="AS3405" s="3" t="s">
        <v>63</v>
      </c>
      <c r="AT3405" s="3" t="s">
        <v>62</v>
      </c>
      <c r="AU3405" s="6" t="str">
        <f>HYPERLINK("http://catalog.hathitrust.org/Record/002533445","HathiTrust Record")</f>
        <v>HathiTrust Record</v>
      </c>
      <c r="AV3405" s="6" t="str">
        <f>HYPERLINK("http://mcgill.on.worldcat.org/oclc/23691501","Catalog Record")</f>
        <v>Catalog Record</v>
      </c>
      <c r="AW3405" s="6" t="str">
        <f>HYPERLINK("http://www.worldcat.org/oclc/23691501","WorldCat Record")</f>
        <v>WorldCat Record</v>
      </c>
      <c r="AX3405" s="3" t="s">
        <v>28509</v>
      </c>
      <c r="AY3405" s="3" t="s">
        <v>28510</v>
      </c>
      <c r="AZ3405" s="3" t="s">
        <v>28511</v>
      </c>
      <c r="BA3405" s="3" t="s">
        <v>28511</v>
      </c>
      <c r="BB3405" s="3" t="s">
        <v>28512</v>
      </c>
      <c r="BC3405" s="3" t="s">
        <v>82</v>
      </c>
      <c r="BD3405" s="3" t="s">
        <v>70</v>
      </c>
      <c r="BE3405" s="3" t="s">
        <v>28513</v>
      </c>
      <c r="BF3405" s="3" t="s">
        <v>28512</v>
      </c>
      <c r="BG3405" s="3" t="s">
        <v>28514</v>
      </c>
    </row>
    <row r="3406" spans="1:59" ht="60" x14ac:dyDescent="0.25">
      <c r="A3406" s="2" t="s">
        <v>59</v>
      </c>
      <c r="B3406" s="2" t="s">
        <v>60</v>
      </c>
      <c r="C3406" s="2" t="s">
        <v>28515</v>
      </c>
      <c r="D3406" s="2" t="s">
        <v>28516</v>
      </c>
      <c r="E3406" s="2" t="s">
        <v>28517</v>
      </c>
      <c r="G3406" s="3" t="s">
        <v>63</v>
      </c>
      <c r="I3406" s="3" t="s">
        <v>63</v>
      </c>
      <c r="J3406" s="3" t="s">
        <v>63</v>
      </c>
      <c r="K3406" s="3" t="s">
        <v>64</v>
      </c>
      <c r="L3406" s="2" t="s">
        <v>28497</v>
      </c>
      <c r="M3406" s="2" t="s">
        <v>28518</v>
      </c>
      <c r="N3406" s="3" t="s">
        <v>362</v>
      </c>
      <c r="P3406" s="3" t="s">
        <v>90</v>
      </c>
      <c r="R3406" s="3" t="s">
        <v>67</v>
      </c>
      <c r="S3406" s="4">
        <v>7</v>
      </c>
      <c r="T3406" s="4">
        <v>7</v>
      </c>
      <c r="U3406" s="5" t="s">
        <v>28519</v>
      </c>
      <c r="V3406" s="5" t="s">
        <v>28519</v>
      </c>
      <c r="W3406" s="5" t="s">
        <v>69</v>
      </c>
      <c r="X3406" s="5" t="s">
        <v>69</v>
      </c>
      <c r="Y3406" s="4">
        <v>84</v>
      </c>
      <c r="Z3406" s="4">
        <v>6</v>
      </c>
      <c r="AA3406" s="4">
        <v>13</v>
      </c>
      <c r="AB3406" s="4">
        <v>2</v>
      </c>
      <c r="AC3406" s="4">
        <v>2</v>
      </c>
      <c r="AD3406" s="4">
        <v>42</v>
      </c>
      <c r="AE3406" s="4">
        <v>59</v>
      </c>
      <c r="AF3406" s="4">
        <v>0</v>
      </c>
      <c r="AG3406" s="4">
        <v>0</v>
      </c>
      <c r="AH3406" s="4">
        <v>41</v>
      </c>
      <c r="AI3406" s="4">
        <v>58</v>
      </c>
      <c r="AJ3406" s="4">
        <v>2</v>
      </c>
      <c r="AK3406" s="4">
        <v>6</v>
      </c>
      <c r="AL3406" s="4">
        <v>32</v>
      </c>
      <c r="AM3406" s="4">
        <v>40</v>
      </c>
      <c r="AN3406" s="4">
        <v>0</v>
      </c>
      <c r="AO3406" s="4">
        <v>0</v>
      </c>
      <c r="AP3406" s="4">
        <v>2</v>
      </c>
      <c r="AQ3406" s="4">
        <v>6</v>
      </c>
      <c r="AR3406" s="3" t="s">
        <v>63</v>
      </c>
      <c r="AS3406" s="3" t="s">
        <v>63</v>
      </c>
      <c r="AT3406" s="3" t="s">
        <v>63</v>
      </c>
      <c r="AV3406" s="6" t="str">
        <f>HYPERLINK("http://mcgill.on.worldcat.org/oclc/48050469","Catalog Record")</f>
        <v>Catalog Record</v>
      </c>
      <c r="AW3406" s="6" t="str">
        <f>HYPERLINK("http://www.worldcat.org/oclc/48050469","WorldCat Record")</f>
        <v>WorldCat Record</v>
      </c>
      <c r="AX3406" s="3" t="s">
        <v>28520</v>
      </c>
      <c r="AY3406" s="3" t="s">
        <v>28521</v>
      </c>
      <c r="AZ3406" s="3" t="s">
        <v>28522</v>
      </c>
      <c r="BA3406" s="3" t="s">
        <v>28522</v>
      </c>
      <c r="BB3406" s="3" t="s">
        <v>28523</v>
      </c>
      <c r="BC3406" s="3" t="s">
        <v>82</v>
      </c>
      <c r="BD3406" s="3" t="s">
        <v>70</v>
      </c>
      <c r="BF3406" s="3" t="s">
        <v>28523</v>
      </c>
      <c r="BG3406" s="3" t="s">
        <v>28524</v>
      </c>
    </row>
    <row r="3407" spans="1:59" ht="60" x14ac:dyDescent="0.25">
      <c r="A3407" s="2" t="s">
        <v>59</v>
      </c>
      <c r="B3407" s="2" t="s">
        <v>60</v>
      </c>
      <c r="C3407" s="2" t="s">
        <v>28525</v>
      </c>
      <c r="D3407" s="2" t="s">
        <v>28526</v>
      </c>
      <c r="E3407" s="2" t="s">
        <v>28527</v>
      </c>
      <c r="G3407" s="3" t="s">
        <v>63</v>
      </c>
      <c r="I3407" s="3" t="s">
        <v>63</v>
      </c>
      <c r="J3407" s="3" t="s">
        <v>63</v>
      </c>
      <c r="K3407" s="3" t="s">
        <v>64</v>
      </c>
      <c r="L3407" s="2" t="s">
        <v>28497</v>
      </c>
      <c r="M3407" s="2" t="s">
        <v>28528</v>
      </c>
      <c r="N3407" s="3" t="s">
        <v>2103</v>
      </c>
      <c r="P3407" s="3" t="s">
        <v>90</v>
      </c>
      <c r="R3407" s="3" t="s">
        <v>67</v>
      </c>
      <c r="S3407" s="4">
        <v>8</v>
      </c>
      <c r="T3407" s="4">
        <v>8</v>
      </c>
      <c r="U3407" s="5" t="s">
        <v>28519</v>
      </c>
      <c r="V3407" s="5" t="s">
        <v>28519</v>
      </c>
      <c r="W3407" s="5" t="s">
        <v>69</v>
      </c>
      <c r="X3407" s="5" t="s">
        <v>69</v>
      </c>
      <c r="Y3407" s="4">
        <v>109</v>
      </c>
      <c r="Z3407" s="4">
        <v>4</v>
      </c>
      <c r="AA3407" s="4">
        <v>4</v>
      </c>
      <c r="AB3407" s="4">
        <v>1</v>
      </c>
      <c r="AC3407" s="4">
        <v>1</v>
      </c>
      <c r="AD3407" s="4">
        <v>53</v>
      </c>
      <c r="AE3407" s="4">
        <v>53</v>
      </c>
      <c r="AF3407" s="4">
        <v>0</v>
      </c>
      <c r="AG3407" s="4">
        <v>0</v>
      </c>
      <c r="AH3407" s="4">
        <v>51</v>
      </c>
      <c r="AI3407" s="4">
        <v>51</v>
      </c>
      <c r="AJ3407" s="4">
        <v>2</v>
      </c>
      <c r="AK3407" s="4">
        <v>2</v>
      </c>
      <c r="AL3407" s="4">
        <v>37</v>
      </c>
      <c r="AM3407" s="4">
        <v>37</v>
      </c>
      <c r="AN3407" s="4">
        <v>0</v>
      </c>
      <c r="AO3407" s="4">
        <v>0</v>
      </c>
      <c r="AP3407" s="4">
        <v>2</v>
      </c>
      <c r="AQ3407" s="4">
        <v>2</v>
      </c>
      <c r="AR3407" s="3" t="s">
        <v>63</v>
      </c>
      <c r="AS3407" s="3" t="s">
        <v>63</v>
      </c>
      <c r="AT3407" s="3" t="s">
        <v>63</v>
      </c>
      <c r="AV3407" s="6" t="str">
        <f>HYPERLINK("http://mcgill.on.worldcat.org/oclc/50210087","Catalog Record")</f>
        <v>Catalog Record</v>
      </c>
      <c r="AW3407" s="6" t="str">
        <f>HYPERLINK("http://www.worldcat.org/oclc/50210087","WorldCat Record")</f>
        <v>WorldCat Record</v>
      </c>
      <c r="AX3407" s="3" t="s">
        <v>28529</v>
      </c>
      <c r="AY3407" s="3" t="s">
        <v>28530</v>
      </c>
      <c r="AZ3407" s="3" t="s">
        <v>28531</v>
      </c>
      <c r="BA3407" s="3" t="s">
        <v>28531</v>
      </c>
      <c r="BB3407" s="3" t="s">
        <v>28532</v>
      </c>
      <c r="BC3407" s="3" t="s">
        <v>82</v>
      </c>
      <c r="BD3407" s="3" t="s">
        <v>70</v>
      </c>
      <c r="BE3407" s="3" t="s">
        <v>28533</v>
      </c>
      <c r="BF3407" s="3" t="s">
        <v>28532</v>
      </c>
      <c r="BG3407" s="3" t="s">
        <v>28534</v>
      </c>
    </row>
    <row r="3408" spans="1:59" ht="60" x14ac:dyDescent="0.25">
      <c r="A3408" s="2" t="s">
        <v>59</v>
      </c>
      <c r="B3408" s="2" t="s">
        <v>60</v>
      </c>
      <c r="C3408" s="2" t="s">
        <v>28535</v>
      </c>
      <c r="D3408" s="2" t="s">
        <v>28536</v>
      </c>
      <c r="E3408" s="2" t="s">
        <v>28537</v>
      </c>
      <c r="G3408" s="3" t="s">
        <v>63</v>
      </c>
      <c r="I3408" s="3" t="s">
        <v>63</v>
      </c>
      <c r="J3408" s="3" t="s">
        <v>63</v>
      </c>
      <c r="K3408" s="3" t="s">
        <v>64</v>
      </c>
      <c r="L3408" s="2" t="s">
        <v>28538</v>
      </c>
      <c r="M3408" s="2" t="s">
        <v>28539</v>
      </c>
      <c r="N3408" s="3" t="s">
        <v>1343</v>
      </c>
      <c r="P3408" s="3" t="s">
        <v>90</v>
      </c>
      <c r="R3408" s="3" t="s">
        <v>67</v>
      </c>
      <c r="S3408" s="4">
        <v>13</v>
      </c>
      <c r="T3408" s="4">
        <v>13</v>
      </c>
      <c r="U3408" s="5" t="s">
        <v>23622</v>
      </c>
      <c r="V3408" s="5" t="s">
        <v>23622</v>
      </c>
      <c r="W3408" s="5" t="s">
        <v>69</v>
      </c>
      <c r="X3408" s="5" t="s">
        <v>69</v>
      </c>
      <c r="Y3408" s="4">
        <v>98</v>
      </c>
      <c r="Z3408" s="4">
        <v>3</v>
      </c>
      <c r="AA3408" s="4">
        <v>12</v>
      </c>
      <c r="AB3408" s="4">
        <v>1</v>
      </c>
      <c r="AC3408" s="4">
        <v>1</v>
      </c>
      <c r="AD3408" s="4">
        <v>43</v>
      </c>
      <c r="AE3408" s="4">
        <v>73</v>
      </c>
      <c r="AF3408" s="4">
        <v>0</v>
      </c>
      <c r="AG3408" s="4">
        <v>0</v>
      </c>
      <c r="AH3408" s="4">
        <v>41</v>
      </c>
      <c r="AI3408" s="4">
        <v>68</v>
      </c>
      <c r="AJ3408" s="4">
        <v>2</v>
      </c>
      <c r="AK3408" s="4">
        <v>7</v>
      </c>
      <c r="AL3408" s="4">
        <v>31</v>
      </c>
      <c r="AM3408" s="4">
        <v>49</v>
      </c>
      <c r="AN3408" s="4">
        <v>0</v>
      </c>
      <c r="AO3408" s="4">
        <v>1</v>
      </c>
      <c r="AP3408" s="4">
        <v>2</v>
      </c>
      <c r="AQ3408" s="4">
        <v>7</v>
      </c>
      <c r="AR3408" s="3" t="s">
        <v>63</v>
      </c>
      <c r="AS3408" s="3" t="s">
        <v>63</v>
      </c>
      <c r="AT3408" s="3" t="s">
        <v>62</v>
      </c>
      <c r="AU3408" s="6" t="str">
        <f>HYPERLINK("http://catalog.hathitrust.org/Record/004140856","HathiTrust Record")</f>
        <v>HathiTrust Record</v>
      </c>
      <c r="AV3408" s="6" t="str">
        <f>HYPERLINK("http://mcgill.on.worldcat.org/oclc/47841290","Catalog Record")</f>
        <v>Catalog Record</v>
      </c>
      <c r="AW3408" s="6" t="str">
        <f>HYPERLINK("http://www.worldcat.org/oclc/47841290","WorldCat Record")</f>
        <v>WorldCat Record</v>
      </c>
      <c r="AX3408" s="3" t="s">
        <v>28540</v>
      </c>
      <c r="AY3408" s="3" t="s">
        <v>28541</v>
      </c>
      <c r="AZ3408" s="3" t="s">
        <v>28542</v>
      </c>
      <c r="BA3408" s="3" t="s">
        <v>28542</v>
      </c>
      <c r="BB3408" s="3" t="s">
        <v>28543</v>
      </c>
      <c r="BC3408" s="3" t="s">
        <v>82</v>
      </c>
      <c r="BD3408" s="3" t="s">
        <v>70</v>
      </c>
      <c r="BE3408" s="3" t="s">
        <v>28544</v>
      </c>
      <c r="BF3408" s="3" t="s">
        <v>28543</v>
      </c>
      <c r="BG3408" s="3" t="s">
        <v>28545</v>
      </c>
    </row>
    <row r="3409" spans="1:59" ht="60" x14ac:dyDescent="0.25">
      <c r="A3409" s="2" t="s">
        <v>59</v>
      </c>
      <c r="B3409" s="2" t="s">
        <v>60</v>
      </c>
      <c r="C3409" s="2" t="s">
        <v>28546</v>
      </c>
      <c r="D3409" s="2" t="s">
        <v>28547</v>
      </c>
      <c r="E3409" s="2" t="s">
        <v>28548</v>
      </c>
      <c r="G3409" s="3" t="s">
        <v>63</v>
      </c>
      <c r="I3409" s="3" t="s">
        <v>63</v>
      </c>
      <c r="J3409" s="3" t="s">
        <v>63</v>
      </c>
      <c r="K3409" s="3" t="s">
        <v>64</v>
      </c>
      <c r="L3409" s="2" t="s">
        <v>28497</v>
      </c>
      <c r="M3409" s="2" t="s">
        <v>28549</v>
      </c>
      <c r="N3409" s="3" t="s">
        <v>1226</v>
      </c>
      <c r="P3409" s="3" t="s">
        <v>66</v>
      </c>
      <c r="R3409" s="3" t="s">
        <v>67</v>
      </c>
      <c r="S3409" s="4">
        <v>18</v>
      </c>
      <c r="T3409" s="4">
        <v>18</v>
      </c>
      <c r="U3409" s="5" t="s">
        <v>28550</v>
      </c>
      <c r="V3409" s="5" t="s">
        <v>28550</v>
      </c>
      <c r="W3409" s="5" t="s">
        <v>69</v>
      </c>
      <c r="X3409" s="5" t="s">
        <v>69</v>
      </c>
      <c r="Y3409" s="4">
        <v>460</v>
      </c>
      <c r="Z3409" s="4">
        <v>18</v>
      </c>
      <c r="AA3409" s="4">
        <v>22</v>
      </c>
      <c r="AB3409" s="4">
        <v>1</v>
      </c>
      <c r="AC3409" s="4">
        <v>3</v>
      </c>
      <c r="AD3409" s="4">
        <v>95</v>
      </c>
      <c r="AE3409" s="4">
        <v>101</v>
      </c>
      <c r="AF3409" s="4">
        <v>0</v>
      </c>
      <c r="AG3409" s="4">
        <v>0</v>
      </c>
      <c r="AH3409" s="4">
        <v>89</v>
      </c>
      <c r="AI3409" s="4">
        <v>94</v>
      </c>
      <c r="AJ3409" s="4">
        <v>7</v>
      </c>
      <c r="AK3409" s="4">
        <v>7</v>
      </c>
      <c r="AL3409" s="4">
        <v>52</v>
      </c>
      <c r="AM3409" s="4">
        <v>55</v>
      </c>
      <c r="AN3409" s="4">
        <v>0</v>
      </c>
      <c r="AO3409" s="4">
        <v>0</v>
      </c>
      <c r="AP3409" s="4">
        <v>8</v>
      </c>
      <c r="AQ3409" s="4">
        <v>9</v>
      </c>
      <c r="AR3409" s="3" t="s">
        <v>63</v>
      </c>
      <c r="AS3409" s="3" t="s">
        <v>63</v>
      </c>
      <c r="AT3409" s="3" t="s">
        <v>63</v>
      </c>
      <c r="AV3409" s="6" t="str">
        <f>HYPERLINK("http://mcgill.on.worldcat.org/oclc/50166741","Catalog Record")</f>
        <v>Catalog Record</v>
      </c>
      <c r="AW3409" s="6" t="str">
        <f>HYPERLINK("http://www.worldcat.org/oclc/50166741","WorldCat Record")</f>
        <v>WorldCat Record</v>
      </c>
      <c r="AX3409" s="3" t="s">
        <v>28551</v>
      </c>
      <c r="AY3409" s="3" t="s">
        <v>28552</v>
      </c>
      <c r="AZ3409" s="3" t="s">
        <v>28553</v>
      </c>
      <c r="BA3409" s="3" t="s">
        <v>28553</v>
      </c>
      <c r="BB3409" s="3" t="s">
        <v>28554</v>
      </c>
      <c r="BC3409" s="3" t="s">
        <v>82</v>
      </c>
      <c r="BD3409" s="3" t="s">
        <v>70</v>
      </c>
      <c r="BE3409" s="3" t="s">
        <v>28555</v>
      </c>
      <c r="BF3409" s="3" t="s">
        <v>28554</v>
      </c>
      <c r="BG3409" s="3" t="s">
        <v>28556</v>
      </c>
    </row>
    <row r="3410" spans="1:59" ht="60" x14ac:dyDescent="0.25">
      <c r="A3410" s="2" t="s">
        <v>59</v>
      </c>
      <c r="B3410" s="2" t="s">
        <v>60</v>
      </c>
      <c r="C3410" s="2" t="s">
        <v>28557</v>
      </c>
      <c r="D3410" s="2" t="s">
        <v>28558</v>
      </c>
      <c r="E3410" s="2" t="s">
        <v>28559</v>
      </c>
      <c r="G3410" s="3" t="s">
        <v>63</v>
      </c>
      <c r="I3410" s="3" t="s">
        <v>63</v>
      </c>
      <c r="J3410" s="3" t="s">
        <v>63</v>
      </c>
      <c r="K3410" s="3" t="s">
        <v>64</v>
      </c>
      <c r="L3410" s="2" t="s">
        <v>28497</v>
      </c>
      <c r="M3410" s="2" t="s">
        <v>28560</v>
      </c>
      <c r="N3410" s="3" t="s">
        <v>362</v>
      </c>
      <c r="P3410" s="3" t="s">
        <v>90</v>
      </c>
      <c r="R3410" s="3" t="s">
        <v>67</v>
      </c>
      <c r="S3410" s="4">
        <v>7</v>
      </c>
      <c r="T3410" s="4">
        <v>7</v>
      </c>
      <c r="U3410" s="5" t="s">
        <v>23962</v>
      </c>
      <c r="V3410" s="5" t="s">
        <v>23962</v>
      </c>
      <c r="W3410" s="5" t="s">
        <v>69</v>
      </c>
      <c r="X3410" s="5" t="s">
        <v>69</v>
      </c>
      <c r="Y3410" s="4">
        <v>99</v>
      </c>
      <c r="Z3410" s="4">
        <v>7</v>
      </c>
      <c r="AA3410" s="4">
        <v>14</v>
      </c>
      <c r="AB3410" s="4">
        <v>2</v>
      </c>
      <c r="AC3410" s="4">
        <v>2</v>
      </c>
      <c r="AD3410" s="4">
        <v>50</v>
      </c>
      <c r="AE3410" s="4">
        <v>56</v>
      </c>
      <c r="AF3410" s="4">
        <v>0</v>
      </c>
      <c r="AG3410" s="4">
        <v>0</v>
      </c>
      <c r="AH3410" s="4">
        <v>47</v>
      </c>
      <c r="AI3410" s="4">
        <v>53</v>
      </c>
      <c r="AJ3410" s="4">
        <v>3</v>
      </c>
      <c r="AK3410" s="4">
        <v>5</v>
      </c>
      <c r="AL3410" s="4">
        <v>35</v>
      </c>
      <c r="AM3410" s="4">
        <v>37</v>
      </c>
      <c r="AN3410" s="4">
        <v>0</v>
      </c>
      <c r="AO3410" s="4">
        <v>0</v>
      </c>
      <c r="AP3410" s="4">
        <v>3</v>
      </c>
      <c r="AQ3410" s="4">
        <v>5</v>
      </c>
      <c r="AR3410" s="3" t="s">
        <v>63</v>
      </c>
      <c r="AS3410" s="3" t="s">
        <v>63</v>
      </c>
      <c r="AT3410" s="3" t="s">
        <v>63</v>
      </c>
      <c r="AV3410" s="6" t="str">
        <f>HYPERLINK("http://mcgill.on.worldcat.org/oclc/47217325","Catalog Record")</f>
        <v>Catalog Record</v>
      </c>
      <c r="AW3410" s="6" t="str">
        <f>HYPERLINK("http://www.worldcat.org/oclc/47217325","WorldCat Record")</f>
        <v>WorldCat Record</v>
      </c>
      <c r="AX3410" s="3" t="s">
        <v>28561</v>
      </c>
      <c r="AY3410" s="3" t="s">
        <v>28562</v>
      </c>
      <c r="AZ3410" s="3" t="s">
        <v>28563</v>
      </c>
      <c r="BA3410" s="3" t="s">
        <v>28563</v>
      </c>
      <c r="BB3410" s="3" t="s">
        <v>28564</v>
      </c>
      <c r="BC3410" s="3" t="s">
        <v>82</v>
      </c>
      <c r="BD3410" s="3" t="s">
        <v>70</v>
      </c>
      <c r="BF3410" s="3" t="s">
        <v>28564</v>
      </c>
      <c r="BG3410" s="3" t="s">
        <v>28565</v>
      </c>
    </row>
    <row r="3411" spans="1:59" ht="60" x14ac:dyDescent="0.25">
      <c r="A3411" s="2" t="s">
        <v>59</v>
      </c>
      <c r="B3411" s="2" t="s">
        <v>60</v>
      </c>
      <c r="C3411" s="2" t="s">
        <v>28566</v>
      </c>
      <c r="D3411" s="2" t="s">
        <v>28567</v>
      </c>
      <c r="E3411" s="2" t="s">
        <v>28568</v>
      </c>
      <c r="G3411" s="3" t="s">
        <v>63</v>
      </c>
      <c r="I3411" s="3" t="s">
        <v>63</v>
      </c>
      <c r="J3411" s="3" t="s">
        <v>63</v>
      </c>
      <c r="K3411" s="3" t="s">
        <v>64</v>
      </c>
      <c r="L3411" s="2" t="s">
        <v>7395</v>
      </c>
      <c r="M3411" s="2" t="s">
        <v>8774</v>
      </c>
      <c r="N3411" s="3" t="s">
        <v>204</v>
      </c>
      <c r="P3411" s="3" t="s">
        <v>66</v>
      </c>
      <c r="Q3411" s="2" t="s">
        <v>28569</v>
      </c>
      <c r="R3411" s="3" t="s">
        <v>67</v>
      </c>
      <c r="S3411" s="4">
        <v>23</v>
      </c>
      <c r="T3411" s="4">
        <v>23</v>
      </c>
      <c r="U3411" s="5" t="s">
        <v>13356</v>
      </c>
      <c r="V3411" s="5" t="s">
        <v>13356</v>
      </c>
      <c r="W3411" s="5" t="s">
        <v>69</v>
      </c>
      <c r="X3411" s="5" t="s">
        <v>69</v>
      </c>
      <c r="Y3411" s="4">
        <v>235</v>
      </c>
      <c r="Z3411" s="4">
        <v>12</v>
      </c>
      <c r="AA3411" s="4">
        <v>21</v>
      </c>
      <c r="AB3411" s="4">
        <v>1</v>
      </c>
      <c r="AC3411" s="4">
        <v>4</v>
      </c>
      <c r="AD3411" s="4">
        <v>87</v>
      </c>
      <c r="AE3411" s="4">
        <v>93</v>
      </c>
      <c r="AF3411" s="4">
        <v>0</v>
      </c>
      <c r="AG3411" s="4">
        <v>0</v>
      </c>
      <c r="AH3411" s="4">
        <v>81</v>
      </c>
      <c r="AI3411" s="4">
        <v>85</v>
      </c>
      <c r="AJ3411" s="4">
        <v>9</v>
      </c>
      <c r="AK3411" s="4">
        <v>13</v>
      </c>
      <c r="AL3411" s="4">
        <v>48</v>
      </c>
      <c r="AM3411" s="4">
        <v>49</v>
      </c>
      <c r="AN3411" s="4">
        <v>0</v>
      </c>
      <c r="AO3411" s="4">
        <v>0</v>
      </c>
      <c r="AP3411" s="4">
        <v>10</v>
      </c>
      <c r="AQ3411" s="4">
        <v>15</v>
      </c>
      <c r="AR3411" s="3" t="s">
        <v>63</v>
      </c>
      <c r="AS3411" s="3" t="s">
        <v>63</v>
      </c>
      <c r="AT3411" s="3" t="s">
        <v>62</v>
      </c>
      <c r="AU3411" s="6" t="str">
        <f>HYPERLINK("http://catalog.hathitrust.org/Record/003141859","HathiTrust Record")</f>
        <v>HathiTrust Record</v>
      </c>
      <c r="AV3411" s="6" t="str">
        <f>HYPERLINK("http://mcgill.on.worldcat.org/oclc/34410881","Catalog Record")</f>
        <v>Catalog Record</v>
      </c>
      <c r="AW3411" s="6" t="str">
        <f>HYPERLINK("http://www.worldcat.org/oclc/34410881","WorldCat Record")</f>
        <v>WorldCat Record</v>
      </c>
      <c r="AX3411" s="3" t="s">
        <v>28570</v>
      </c>
      <c r="AY3411" s="3" t="s">
        <v>28571</v>
      </c>
      <c r="AZ3411" s="3" t="s">
        <v>28572</v>
      </c>
      <c r="BA3411" s="3" t="s">
        <v>28572</v>
      </c>
      <c r="BB3411" s="3" t="s">
        <v>28573</v>
      </c>
      <c r="BC3411" s="3" t="s">
        <v>82</v>
      </c>
      <c r="BD3411" s="3" t="s">
        <v>70</v>
      </c>
      <c r="BE3411" s="3" t="s">
        <v>28574</v>
      </c>
      <c r="BF3411" s="3" t="s">
        <v>28573</v>
      </c>
      <c r="BG3411" s="3" t="s">
        <v>28575</v>
      </c>
    </row>
    <row r="3412" spans="1:59" ht="60" x14ac:dyDescent="0.25">
      <c r="A3412" s="2" t="s">
        <v>59</v>
      </c>
      <c r="B3412" s="2" t="s">
        <v>60</v>
      </c>
      <c r="C3412" s="2" t="s">
        <v>28598</v>
      </c>
      <c r="D3412" s="2" t="s">
        <v>28599</v>
      </c>
      <c r="E3412" s="2" t="s">
        <v>16848</v>
      </c>
      <c r="F3412" s="3" t="s">
        <v>4168</v>
      </c>
      <c r="G3412" s="3" t="s">
        <v>62</v>
      </c>
      <c r="I3412" s="3" t="s">
        <v>62</v>
      </c>
      <c r="J3412" s="3" t="s">
        <v>63</v>
      </c>
      <c r="K3412" s="3" t="s">
        <v>64</v>
      </c>
      <c r="L3412" s="2" t="s">
        <v>28579</v>
      </c>
      <c r="M3412" s="2" t="s">
        <v>28600</v>
      </c>
      <c r="N3412" s="3" t="s">
        <v>2182</v>
      </c>
      <c r="P3412" s="3" t="s">
        <v>90</v>
      </c>
      <c r="R3412" s="3" t="s">
        <v>67</v>
      </c>
      <c r="S3412" s="4">
        <v>0</v>
      </c>
      <c r="T3412" s="4">
        <v>28</v>
      </c>
      <c r="V3412" s="5" t="s">
        <v>23622</v>
      </c>
      <c r="W3412" s="5" t="s">
        <v>69</v>
      </c>
      <c r="X3412" s="5" t="s">
        <v>69</v>
      </c>
      <c r="Y3412" s="4">
        <v>201</v>
      </c>
      <c r="Z3412" s="4">
        <v>13</v>
      </c>
      <c r="AA3412" s="4">
        <v>14</v>
      </c>
      <c r="AB3412" s="4">
        <v>1</v>
      </c>
      <c r="AC3412" s="4">
        <v>1</v>
      </c>
      <c r="AD3412" s="4">
        <v>85</v>
      </c>
      <c r="AE3412" s="4">
        <v>94</v>
      </c>
      <c r="AF3412" s="4">
        <v>0</v>
      </c>
      <c r="AG3412" s="4">
        <v>0</v>
      </c>
      <c r="AH3412" s="4">
        <v>79</v>
      </c>
      <c r="AI3412" s="4">
        <v>86</v>
      </c>
      <c r="AJ3412" s="4">
        <v>10</v>
      </c>
      <c r="AK3412" s="4">
        <v>11</v>
      </c>
      <c r="AL3412" s="4">
        <v>48</v>
      </c>
      <c r="AM3412" s="4">
        <v>52</v>
      </c>
      <c r="AN3412" s="4">
        <v>0</v>
      </c>
      <c r="AO3412" s="4">
        <v>0</v>
      </c>
      <c r="AP3412" s="4">
        <v>10</v>
      </c>
      <c r="AQ3412" s="4">
        <v>11</v>
      </c>
      <c r="AR3412" s="3" t="s">
        <v>63</v>
      </c>
      <c r="AS3412" s="3" t="s">
        <v>63</v>
      </c>
      <c r="AT3412" s="3" t="s">
        <v>62</v>
      </c>
      <c r="AU3412" s="6" t="str">
        <f>HYPERLINK("http://catalog.hathitrust.org/Record/001730209","HathiTrust Record")</f>
        <v>HathiTrust Record</v>
      </c>
      <c r="AV3412" s="6" t="str">
        <f>HYPERLINK("http://mcgill.on.worldcat.org/oclc/316977","Catalog Record")</f>
        <v>Catalog Record</v>
      </c>
      <c r="AW3412" s="6" t="str">
        <f>HYPERLINK("http://www.worldcat.org/oclc/316977","WorldCat Record")</f>
        <v>WorldCat Record</v>
      </c>
      <c r="AX3412" s="3" t="s">
        <v>28601</v>
      </c>
      <c r="AY3412" s="3" t="s">
        <v>28602</v>
      </c>
      <c r="AZ3412" s="3" t="s">
        <v>28603</v>
      </c>
      <c r="BA3412" s="3" t="s">
        <v>28603</v>
      </c>
      <c r="BB3412" s="3" t="s">
        <v>28604</v>
      </c>
      <c r="BC3412" s="3" t="s">
        <v>82</v>
      </c>
      <c r="BD3412" s="3" t="s">
        <v>70</v>
      </c>
      <c r="BF3412" s="3" t="s">
        <v>28604</v>
      </c>
      <c r="BG3412" s="3" t="s">
        <v>28605</v>
      </c>
    </row>
    <row r="3413" spans="1:59" ht="60" x14ac:dyDescent="0.25">
      <c r="A3413" s="2" t="s">
        <v>59</v>
      </c>
      <c r="B3413" s="2" t="s">
        <v>60</v>
      </c>
      <c r="C3413" s="2" t="s">
        <v>28598</v>
      </c>
      <c r="D3413" s="2" t="s">
        <v>28599</v>
      </c>
      <c r="E3413" s="2" t="s">
        <v>16848</v>
      </c>
      <c r="F3413" s="3" t="s">
        <v>1366</v>
      </c>
      <c r="G3413" s="3" t="s">
        <v>62</v>
      </c>
      <c r="I3413" s="3" t="s">
        <v>62</v>
      </c>
      <c r="J3413" s="3" t="s">
        <v>63</v>
      </c>
      <c r="K3413" s="3" t="s">
        <v>64</v>
      </c>
      <c r="L3413" s="2" t="s">
        <v>28579</v>
      </c>
      <c r="M3413" s="2" t="s">
        <v>28600</v>
      </c>
      <c r="N3413" s="3" t="s">
        <v>2182</v>
      </c>
      <c r="P3413" s="3" t="s">
        <v>90</v>
      </c>
      <c r="R3413" s="3" t="s">
        <v>67</v>
      </c>
      <c r="S3413" s="4">
        <v>2</v>
      </c>
      <c r="T3413" s="4">
        <v>28</v>
      </c>
      <c r="U3413" s="5" t="s">
        <v>23622</v>
      </c>
      <c r="V3413" s="5" t="s">
        <v>23622</v>
      </c>
      <c r="W3413" s="5" t="s">
        <v>69</v>
      </c>
      <c r="X3413" s="5" t="s">
        <v>69</v>
      </c>
      <c r="Y3413" s="4">
        <v>201</v>
      </c>
      <c r="Z3413" s="4">
        <v>13</v>
      </c>
      <c r="AA3413" s="4">
        <v>14</v>
      </c>
      <c r="AB3413" s="4">
        <v>1</v>
      </c>
      <c r="AC3413" s="4">
        <v>1</v>
      </c>
      <c r="AD3413" s="4">
        <v>85</v>
      </c>
      <c r="AE3413" s="4">
        <v>94</v>
      </c>
      <c r="AF3413" s="4">
        <v>0</v>
      </c>
      <c r="AG3413" s="4">
        <v>0</v>
      </c>
      <c r="AH3413" s="4">
        <v>79</v>
      </c>
      <c r="AI3413" s="4">
        <v>86</v>
      </c>
      <c r="AJ3413" s="4">
        <v>10</v>
      </c>
      <c r="AK3413" s="4">
        <v>11</v>
      </c>
      <c r="AL3413" s="4">
        <v>48</v>
      </c>
      <c r="AM3413" s="4">
        <v>52</v>
      </c>
      <c r="AN3413" s="4">
        <v>0</v>
      </c>
      <c r="AO3413" s="4">
        <v>0</v>
      </c>
      <c r="AP3413" s="4">
        <v>10</v>
      </c>
      <c r="AQ3413" s="4">
        <v>11</v>
      </c>
      <c r="AR3413" s="3" t="s">
        <v>63</v>
      </c>
      <c r="AS3413" s="3" t="s">
        <v>63</v>
      </c>
      <c r="AT3413" s="3" t="s">
        <v>62</v>
      </c>
      <c r="AU3413" s="6" t="str">
        <f>HYPERLINK("http://catalog.hathitrust.org/Record/001730209","HathiTrust Record")</f>
        <v>HathiTrust Record</v>
      </c>
      <c r="AV3413" s="6" t="str">
        <f>HYPERLINK("http://mcgill.on.worldcat.org/oclc/316977","Catalog Record")</f>
        <v>Catalog Record</v>
      </c>
      <c r="AW3413" s="6" t="str">
        <f>HYPERLINK("http://www.worldcat.org/oclc/316977","WorldCat Record")</f>
        <v>WorldCat Record</v>
      </c>
      <c r="AX3413" s="3" t="s">
        <v>28601</v>
      </c>
      <c r="AY3413" s="3" t="s">
        <v>28602</v>
      </c>
      <c r="AZ3413" s="3" t="s">
        <v>28603</v>
      </c>
      <c r="BA3413" s="3" t="s">
        <v>28603</v>
      </c>
      <c r="BB3413" s="3" t="s">
        <v>28606</v>
      </c>
      <c r="BC3413" s="3" t="s">
        <v>82</v>
      </c>
      <c r="BD3413" s="3" t="s">
        <v>70</v>
      </c>
      <c r="BF3413" s="3" t="s">
        <v>28606</v>
      </c>
      <c r="BG3413" s="3" t="s">
        <v>28607</v>
      </c>
    </row>
    <row r="3414" spans="1:59" ht="60" x14ac:dyDescent="0.25">
      <c r="A3414" s="2" t="s">
        <v>59</v>
      </c>
      <c r="B3414" s="2" t="s">
        <v>60</v>
      </c>
      <c r="C3414" s="2" t="s">
        <v>28598</v>
      </c>
      <c r="D3414" s="2" t="s">
        <v>28599</v>
      </c>
      <c r="E3414" s="2" t="s">
        <v>16848</v>
      </c>
      <c r="F3414" s="3" t="s">
        <v>10521</v>
      </c>
      <c r="G3414" s="3" t="s">
        <v>62</v>
      </c>
      <c r="I3414" s="3" t="s">
        <v>62</v>
      </c>
      <c r="J3414" s="3" t="s">
        <v>63</v>
      </c>
      <c r="K3414" s="3" t="s">
        <v>64</v>
      </c>
      <c r="L3414" s="2" t="s">
        <v>28579</v>
      </c>
      <c r="M3414" s="2" t="s">
        <v>28600</v>
      </c>
      <c r="N3414" s="3" t="s">
        <v>2182</v>
      </c>
      <c r="P3414" s="3" t="s">
        <v>90</v>
      </c>
      <c r="R3414" s="3" t="s">
        <v>67</v>
      </c>
      <c r="S3414" s="4">
        <v>2</v>
      </c>
      <c r="T3414" s="4">
        <v>28</v>
      </c>
      <c r="U3414" s="5" t="s">
        <v>28608</v>
      </c>
      <c r="V3414" s="5" t="s">
        <v>23622</v>
      </c>
      <c r="W3414" s="5" t="s">
        <v>69</v>
      </c>
      <c r="X3414" s="5" t="s">
        <v>69</v>
      </c>
      <c r="Y3414" s="4">
        <v>201</v>
      </c>
      <c r="Z3414" s="4">
        <v>13</v>
      </c>
      <c r="AA3414" s="4">
        <v>14</v>
      </c>
      <c r="AB3414" s="4">
        <v>1</v>
      </c>
      <c r="AC3414" s="4">
        <v>1</v>
      </c>
      <c r="AD3414" s="4">
        <v>85</v>
      </c>
      <c r="AE3414" s="4">
        <v>94</v>
      </c>
      <c r="AF3414" s="4">
        <v>0</v>
      </c>
      <c r="AG3414" s="4">
        <v>0</v>
      </c>
      <c r="AH3414" s="4">
        <v>79</v>
      </c>
      <c r="AI3414" s="4">
        <v>86</v>
      </c>
      <c r="AJ3414" s="4">
        <v>10</v>
      </c>
      <c r="AK3414" s="4">
        <v>11</v>
      </c>
      <c r="AL3414" s="4">
        <v>48</v>
      </c>
      <c r="AM3414" s="4">
        <v>52</v>
      </c>
      <c r="AN3414" s="4">
        <v>0</v>
      </c>
      <c r="AO3414" s="4">
        <v>0</v>
      </c>
      <c r="AP3414" s="4">
        <v>10</v>
      </c>
      <c r="AQ3414" s="4">
        <v>11</v>
      </c>
      <c r="AR3414" s="3" t="s">
        <v>63</v>
      </c>
      <c r="AS3414" s="3" t="s">
        <v>63</v>
      </c>
      <c r="AT3414" s="3" t="s">
        <v>62</v>
      </c>
      <c r="AU3414" s="6" t="str">
        <f>HYPERLINK("http://catalog.hathitrust.org/Record/001730209","HathiTrust Record")</f>
        <v>HathiTrust Record</v>
      </c>
      <c r="AV3414" s="6" t="str">
        <f>HYPERLINK("http://mcgill.on.worldcat.org/oclc/316977","Catalog Record")</f>
        <v>Catalog Record</v>
      </c>
      <c r="AW3414" s="6" t="str">
        <f>HYPERLINK("http://www.worldcat.org/oclc/316977","WorldCat Record")</f>
        <v>WorldCat Record</v>
      </c>
      <c r="AX3414" s="3" t="s">
        <v>28601</v>
      </c>
      <c r="AY3414" s="3" t="s">
        <v>28602</v>
      </c>
      <c r="AZ3414" s="3" t="s">
        <v>28603</v>
      </c>
      <c r="BA3414" s="3" t="s">
        <v>28603</v>
      </c>
      <c r="BB3414" s="3" t="s">
        <v>28609</v>
      </c>
      <c r="BC3414" s="3" t="s">
        <v>82</v>
      </c>
      <c r="BD3414" s="3" t="s">
        <v>70</v>
      </c>
      <c r="BF3414" s="3" t="s">
        <v>28609</v>
      </c>
      <c r="BG3414" s="3" t="s">
        <v>28610</v>
      </c>
    </row>
    <row r="3415" spans="1:59" ht="60" x14ac:dyDescent="0.25">
      <c r="A3415" s="2" t="s">
        <v>59</v>
      </c>
      <c r="B3415" s="2" t="s">
        <v>60</v>
      </c>
      <c r="C3415" s="2" t="s">
        <v>28598</v>
      </c>
      <c r="D3415" s="2" t="s">
        <v>28599</v>
      </c>
      <c r="E3415" s="2" t="s">
        <v>16848</v>
      </c>
      <c r="F3415" s="3" t="s">
        <v>10477</v>
      </c>
      <c r="G3415" s="3" t="s">
        <v>62</v>
      </c>
      <c r="I3415" s="3" t="s">
        <v>62</v>
      </c>
      <c r="J3415" s="3" t="s">
        <v>63</v>
      </c>
      <c r="K3415" s="3" t="s">
        <v>64</v>
      </c>
      <c r="L3415" s="2" t="s">
        <v>28579</v>
      </c>
      <c r="M3415" s="2" t="s">
        <v>28600</v>
      </c>
      <c r="N3415" s="3" t="s">
        <v>2182</v>
      </c>
      <c r="P3415" s="3" t="s">
        <v>90</v>
      </c>
      <c r="R3415" s="3" t="s">
        <v>67</v>
      </c>
      <c r="S3415" s="4">
        <v>7</v>
      </c>
      <c r="T3415" s="4">
        <v>28</v>
      </c>
      <c r="U3415" s="5" t="s">
        <v>13804</v>
      </c>
      <c r="V3415" s="5" t="s">
        <v>23622</v>
      </c>
      <c r="W3415" s="5" t="s">
        <v>69</v>
      </c>
      <c r="X3415" s="5" t="s">
        <v>69</v>
      </c>
      <c r="Y3415" s="4">
        <v>201</v>
      </c>
      <c r="Z3415" s="4">
        <v>13</v>
      </c>
      <c r="AA3415" s="4">
        <v>14</v>
      </c>
      <c r="AB3415" s="4">
        <v>1</v>
      </c>
      <c r="AC3415" s="4">
        <v>1</v>
      </c>
      <c r="AD3415" s="4">
        <v>85</v>
      </c>
      <c r="AE3415" s="4">
        <v>94</v>
      </c>
      <c r="AF3415" s="4">
        <v>0</v>
      </c>
      <c r="AG3415" s="4">
        <v>0</v>
      </c>
      <c r="AH3415" s="4">
        <v>79</v>
      </c>
      <c r="AI3415" s="4">
        <v>86</v>
      </c>
      <c r="AJ3415" s="4">
        <v>10</v>
      </c>
      <c r="AK3415" s="4">
        <v>11</v>
      </c>
      <c r="AL3415" s="4">
        <v>48</v>
      </c>
      <c r="AM3415" s="4">
        <v>52</v>
      </c>
      <c r="AN3415" s="4">
        <v>0</v>
      </c>
      <c r="AO3415" s="4">
        <v>0</v>
      </c>
      <c r="AP3415" s="4">
        <v>10</v>
      </c>
      <c r="AQ3415" s="4">
        <v>11</v>
      </c>
      <c r="AR3415" s="3" t="s">
        <v>63</v>
      </c>
      <c r="AS3415" s="3" t="s">
        <v>63</v>
      </c>
      <c r="AT3415" s="3" t="s">
        <v>62</v>
      </c>
      <c r="AU3415" s="6" t="str">
        <f>HYPERLINK("http://catalog.hathitrust.org/Record/001730209","HathiTrust Record")</f>
        <v>HathiTrust Record</v>
      </c>
      <c r="AV3415" s="6" t="str">
        <f>HYPERLINK("http://mcgill.on.worldcat.org/oclc/316977","Catalog Record")</f>
        <v>Catalog Record</v>
      </c>
      <c r="AW3415" s="6" t="str">
        <f>HYPERLINK("http://www.worldcat.org/oclc/316977","WorldCat Record")</f>
        <v>WorldCat Record</v>
      </c>
      <c r="AX3415" s="3" t="s">
        <v>28601</v>
      </c>
      <c r="AY3415" s="3" t="s">
        <v>28602</v>
      </c>
      <c r="AZ3415" s="3" t="s">
        <v>28603</v>
      </c>
      <c r="BA3415" s="3" t="s">
        <v>28603</v>
      </c>
      <c r="BB3415" s="3" t="s">
        <v>28611</v>
      </c>
      <c r="BC3415" s="3" t="s">
        <v>82</v>
      </c>
      <c r="BD3415" s="3" t="s">
        <v>70</v>
      </c>
      <c r="BF3415" s="3" t="s">
        <v>28611</v>
      </c>
      <c r="BG3415" s="3" t="s">
        <v>28612</v>
      </c>
    </row>
    <row r="3416" spans="1:59" ht="60" x14ac:dyDescent="0.25">
      <c r="A3416" s="2" t="s">
        <v>59</v>
      </c>
      <c r="B3416" s="2" t="s">
        <v>60</v>
      </c>
      <c r="C3416" s="2" t="s">
        <v>28598</v>
      </c>
      <c r="D3416" s="2" t="s">
        <v>28599</v>
      </c>
      <c r="E3416" s="2" t="s">
        <v>16848</v>
      </c>
      <c r="F3416" s="3" t="s">
        <v>10473</v>
      </c>
      <c r="G3416" s="3" t="s">
        <v>62</v>
      </c>
      <c r="I3416" s="3" t="s">
        <v>62</v>
      </c>
      <c r="J3416" s="3" t="s">
        <v>63</v>
      </c>
      <c r="K3416" s="3" t="s">
        <v>64</v>
      </c>
      <c r="L3416" s="2" t="s">
        <v>28579</v>
      </c>
      <c r="M3416" s="2" t="s">
        <v>28600</v>
      </c>
      <c r="N3416" s="3" t="s">
        <v>2182</v>
      </c>
      <c r="P3416" s="3" t="s">
        <v>90</v>
      </c>
      <c r="R3416" s="3" t="s">
        <v>67</v>
      </c>
      <c r="S3416" s="4">
        <v>3</v>
      </c>
      <c r="T3416" s="4">
        <v>28</v>
      </c>
      <c r="U3416" s="5" t="s">
        <v>13212</v>
      </c>
      <c r="V3416" s="5" t="s">
        <v>23622</v>
      </c>
      <c r="W3416" s="5" t="s">
        <v>69</v>
      </c>
      <c r="X3416" s="5" t="s">
        <v>69</v>
      </c>
      <c r="Y3416" s="4">
        <v>201</v>
      </c>
      <c r="Z3416" s="4">
        <v>13</v>
      </c>
      <c r="AA3416" s="4">
        <v>14</v>
      </c>
      <c r="AB3416" s="4">
        <v>1</v>
      </c>
      <c r="AC3416" s="4">
        <v>1</v>
      </c>
      <c r="AD3416" s="4">
        <v>85</v>
      </c>
      <c r="AE3416" s="4">
        <v>94</v>
      </c>
      <c r="AF3416" s="4">
        <v>0</v>
      </c>
      <c r="AG3416" s="4">
        <v>0</v>
      </c>
      <c r="AH3416" s="4">
        <v>79</v>
      </c>
      <c r="AI3416" s="4">
        <v>86</v>
      </c>
      <c r="AJ3416" s="4">
        <v>10</v>
      </c>
      <c r="AK3416" s="4">
        <v>11</v>
      </c>
      <c r="AL3416" s="4">
        <v>48</v>
      </c>
      <c r="AM3416" s="4">
        <v>52</v>
      </c>
      <c r="AN3416" s="4">
        <v>0</v>
      </c>
      <c r="AO3416" s="4">
        <v>0</v>
      </c>
      <c r="AP3416" s="4">
        <v>10</v>
      </c>
      <c r="AQ3416" s="4">
        <v>11</v>
      </c>
      <c r="AR3416" s="3" t="s">
        <v>63</v>
      </c>
      <c r="AS3416" s="3" t="s">
        <v>63</v>
      </c>
      <c r="AT3416" s="3" t="s">
        <v>62</v>
      </c>
      <c r="AU3416" s="6" t="str">
        <f>HYPERLINK("http://catalog.hathitrust.org/Record/001730209","HathiTrust Record")</f>
        <v>HathiTrust Record</v>
      </c>
      <c r="AV3416" s="6" t="str">
        <f>HYPERLINK("http://mcgill.on.worldcat.org/oclc/316977","Catalog Record")</f>
        <v>Catalog Record</v>
      </c>
      <c r="AW3416" s="6" t="str">
        <f>HYPERLINK("http://www.worldcat.org/oclc/316977","WorldCat Record")</f>
        <v>WorldCat Record</v>
      </c>
      <c r="AX3416" s="3" t="s">
        <v>28601</v>
      </c>
      <c r="AY3416" s="3" t="s">
        <v>28602</v>
      </c>
      <c r="AZ3416" s="3" t="s">
        <v>28603</v>
      </c>
      <c r="BA3416" s="3" t="s">
        <v>28603</v>
      </c>
      <c r="BB3416" s="3" t="s">
        <v>28613</v>
      </c>
      <c r="BC3416" s="3" t="s">
        <v>82</v>
      </c>
      <c r="BD3416" s="3" t="s">
        <v>70</v>
      </c>
      <c r="BF3416" s="3" t="s">
        <v>28613</v>
      </c>
      <c r="BG3416" s="3" t="s">
        <v>28614</v>
      </c>
    </row>
    <row r="3417" spans="1:59" ht="60" x14ac:dyDescent="0.25">
      <c r="A3417" s="2" t="s">
        <v>59</v>
      </c>
      <c r="B3417" s="2" t="s">
        <v>60</v>
      </c>
      <c r="C3417" s="2" t="s">
        <v>28598</v>
      </c>
      <c r="D3417" s="2" t="s">
        <v>28599</v>
      </c>
      <c r="E3417" s="2" t="s">
        <v>16848</v>
      </c>
      <c r="F3417" s="3" t="s">
        <v>4184</v>
      </c>
      <c r="G3417" s="3" t="s">
        <v>62</v>
      </c>
      <c r="I3417" s="3" t="s">
        <v>62</v>
      </c>
      <c r="J3417" s="3" t="s">
        <v>63</v>
      </c>
      <c r="K3417" s="3" t="s">
        <v>64</v>
      </c>
      <c r="L3417" s="2" t="s">
        <v>28579</v>
      </c>
      <c r="M3417" s="2" t="s">
        <v>28600</v>
      </c>
      <c r="N3417" s="3" t="s">
        <v>2182</v>
      </c>
      <c r="P3417" s="3" t="s">
        <v>90</v>
      </c>
      <c r="R3417" s="3" t="s">
        <v>67</v>
      </c>
      <c r="S3417" s="4">
        <v>4</v>
      </c>
      <c r="T3417" s="4">
        <v>28</v>
      </c>
      <c r="U3417" s="5" t="s">
        <v>28615</v>
      </c>
      <c r="V3417" s="5" t="s">
        <v>23622</v>
      </c>
      <c r="W3417" s="5" t="s">
        <v>69</v>
      </c>
      <c r="X3417" s="5" t="s">
        <v>69</v>
      </c>
      <c r="Y3417" s="4">
        <v>201</v>
      </c>
      <c r="Z3417" s="4">
        <v>13</v>
      </c>
      <c r="AA3417" s="4">
        <v>14</v>
      </c>
      <c r="AB3417" s="4">
        <v>1</v>
      </c>
      <c r="AC3417" s="4">
        <v>1</v>
      </c>
      <c r="AD3417" s="4">
        <v>85</v>
      </c>
      <c r="AE3417" s="4">
        <v>94</v>
      </c>
      <c r="AF3417" s="4">
        <v>0</v>
      </c>
      <c r="AG3417" s="4">
        <v>0</v>
      </c>
      <c r="AH3417" s="4">
        <v>79</v>
      </c>
      <c r="AI3417" s="4">
        <v>86</v>
      </c>
      <c r="AJ3417" s="4">
        <v>10</v>
      </c>
      <c r="AK3417" s="4">
        <v>11</v>
      </c>
      <c r="AL3417" s="4">
        <v>48</v>
      </c>
      <c r="AM3417" s="4">
        <v>52</v>
      </c>
      <c r="AN3417" s="4">
        <v>0</v>
      </c>
      <c r="AO3417" s="4">
        <v>0</v>
      </c>
      <c r="AP3417" s="4">
        <v>10</v>
      </c>
      <c r="AQ3417" s="4">
        <v>11</v>
      </c>
      <c r="AR3417" s="3" t="s">
        <v>63</v>
      </c>
      <c r="AS3417" s="3" t="s">
        <v>63</v>
      </c>
      <c r="AT3417" s="3" t="s">
        <v>62</v>
      </c>
      <c r="AU3417" s="6" t="str">
        <f>HYPERLINK("http://catalog.hathitrust.org/Record/001730209","HathiTrust Record")</f>
        <v>HathiTrust Record</v>
      </c>
      <c r="AV3417" s="6" t="str">
        <f>HYPERLINK("http://mcgill.on.worldcat.org/oclc/316977","Catalog Record")</f>
        <v>Catalog Record</v>
      </c>
      <c r="AW3417" s="6" t="str">
        <f>HYPERLINK("http://www.worldcat.org/oclc/316977","WorldCat Record")</f>
        <v>WorldCat Record</v>
      </c>
      <c r="AX3417" s="3" t="s">
        <v>28601</v>
      </c>
      <c r="AY3417" s="3" t="s">
        <v>28602</v>
      </c>
      <c r="AZ3417" s="3" t="s">
        <v>28603</v>
      </c>
      <c r="BA3417" s="3" t="s">
        <v>28603</v>
      </c>
      <c r="BB3417" s="3" t="s">
        <v>28616</v>
      </c>
      <c r="BC3417" s="3" t="s">
        <v>82</v>
      </c>
      <c r="BD3417" s="3" t="s">
        <v>70</v>
      </c>
      <c r="BF3417" s="3" t="s">
        <v>28616</v>
      </c>
      <c r="BG3417" s="3" t="s">
        <v>28617</v>
      </c>
    </row>
    <row r="3418" spans="1:59" ht="60" x14ac:dyDescent="0.25">
      <c r="A3418" s="2" t="s">
        <v>59</v>
      </c>
      <c r="B3418" s="2" t="s">
        <v>60</v>
      </c>
      <c r="C3418" s="2" t="s">
        <v>28598</v>
      </c>
      <c r="D3418" s="2" t="s">
        <v>28599</v>
      </c>
      <c r="E3418" s="2" t="s">
        <v>16848</v>
      </c>
      <c r="F3418" s="3" t="s">
        <v>1095</v>
      </c>
      <c r="G3418" s="3" t="s">
        <v>62</v>
      </c>
      <c r="I3418" s="3" t="s">
        <v>62</v>
      </c>
      <c r="J3418" s="3" t="s">
        <v>63</v>
      </c>
      <c r="K3418" s="3" t="s">
        <v>64</v>
      </c>
      <c r="L3418" s="2" t="s">
        <v>28579</v>
      </c>
      <c r="M3418" s="2" t="s">
        <v>28600</v>
      </c>
      <c r="N3418" s="3" t="s">
        <v>2182</v>
      </c>
      <c r="P3418" s="3" t="s">
        <v>90</v>
      </c>
      <c r="R3418" s="3" t="s">
        <v>67</v>
      </c>
      <c r="S3418" s="4">
        <v>2</v>
      </c>
      <c r="T3418" s="4">
        <v>28</v>
      </c>
      <c r="U3418" s="5" t="s">
        <v>28618</v>
      </c>
      <c r="V3418" s="5" t="s">
        <v>23622</v>
      </c>
      <c r="W3418" s="5" t="s">
        <v>69</v>
      </c>
      <c r="X3418" s="5" t="s">
        <v>69</v>
      </c>
      <c r="Y3418" s="4">
        <v>201</v>
      </c>
      <c r="Z3418" s="4">
        <v>13</v>
      </c>
      <c r="AA3418" s="4">
        <v>14</v>
      </c>
      <c r="AB3418" s="4">
        <v>1</v>
      </c>
      <c r="AC3418" s="4">
        <v>1</v>
      </c>
      <c r="AD3418" s="4">
        <v>85</v>
      </c>
      <c r="AE3418" s="4">
        <v>94</v>
      </c>
      <c r="AF3418" s="4">
        <v>0</v>
      </c>
      <c r="AG3418" s="4">
        <v>0</v>
      </c>
      <c r="AH3418" s="4">
        <v>79</v>
      </c>
      <c r="AI3418" s="4">
        <v>86</v>
      </c>
      <c r="AJ3418" s="4">
        <v>10</v>
      </c>
      <c r="AK3418" s="4">
        <v>11</v>
      </c>
      <c r="AL3418" s="4">
        <v>48</v>
      </c>
      <c r="AM3418" s="4">
        <v>52</v>
      </c>
      <c r="AN3418" s="4">
        <v>0</v>
      </c>
      <c r="AO3418" s="4">
        <v>0</v>
      </c>
      <c r="AP3418" s="4">
        <v>10</v>
      </c>
      <c r="AQ3418" s="4">
        <v>11</v>
      </c>
      <c r="AR3418" s="3" t="s">
        <v>63</v>
      </c>
      <c r="AS3418" s="3" t="s">
        <v>63</v>
      </c>
      <c r="AT3418" s="3" t="s">
        <v>62</v>
      </c>
      <c r="AU3418" s="6" t="str">
        <f>HYPERLINK("http://catalog.hathitrust.org/Record/001730209","HathiTrust Record")</f>
        <v>HathiTrust Record</v>
      </c>
      <c r="AV3418" s="6" t="str">
        <f>HYPERLINK("http://mcgill.on.worldcat.org/oclc/316977","Catalog Record")</f>
        <v>Catalog Record</v>
      </c>
      <c r="AW3418" s="6" t="str">
        <f>HYPERLINK("http://www.worldcat.org/oclc/316977","WorldCat Record")</f>
        <v>WorldCat Record</v>
      </c>
      <c r="AX3418" s="3" t="s">
        <v>28601</v>
      </c>
      <c r="AY3418" s="3" t="s">
        <v>28602</v>
      </c>
      <c r="AZ3418" s="3" t="s">
        <v>28603</v>
      </c>
      <c r="BA3418" s="3" t="s">
        <v>28603</v>
      </c>
      <c r="BB3418" s="3" t="s">
        <v>28619</v>
      </c>
      <c r="BC3418" s="3" t="s">
        <v>82</v>
      </c>
      <c r="BD3418" s="3" t="s">
        <v>70</v>
      </c>
      <c r="BF3418" s="3" t="s">
        <v>28619</v>
      </c>
      <c r="BG3418" s="3" t="s">
        <v>28620</v>
      </c>
    </row>
    <row r="3419" spans="1:59" ht="60" x14ac:dyDescent="0.25">
      <c r="A3419" s="2" t="s">
        <v>59</v>
      </c>
      <c r="B3419" s="2" t="s">
        <v>60</v>
      </c>
      <c r="C3419" s="2" t="s">
        <v>28598</v>
      </c>
      <c r="D3419" s="2" t="s">
        <v>28599</v>
      </c>
      <c r="E3419" s="2" t="s">
        <v>16848</v>
      </c>
      <c r="F3419" s="3" t="s">
        <v>10507</v>
      </c>
      <c r="G3419" s="3" t="s">
        <v>62</v>
      </c>
      <c r="I3419" s="3" t="s">
        <v>62</v>
      </c>
      <c r="J3419" s="3" t="s">
        <v>63</v>
      </c>
      <c r="K3419" s="3" t="s">
        <v>64</v>
      </c>
      <c r="L3419" s="2" t="s">
        <v>28579</v>
      </c>
      <c r="M3419" s="2" t="s">
        <v>28600</v>
      </c>
      <c r="N3419" s="3" t="s">
        <v>2182</v>
      </c>
      <c r="P3419" s="3" t="s">
        <v>90</v>
      </c>
      <c r="R3419" s="3" t="s">
        <v>67</v>
      </c>
      <c r="S3419" s="4">
        <v>0</v>
      </c>
      <c r="T3419" s="4">
        <v>28</v>
      </c>
      <c r="V3419" s="5" t="s">
        <v>23622</v>
      </c>
      <c r="W3419" s="5" t="s">
        <v>69</v>
      </c>
      <c r="X3419" s="5" t="s">
        <v>69</v>
      </c>
      <c r="Y3419" s="4">
        <v>201</v>
      </c>
      <c r="Z3419" s="4">
        <v>13</v>
      </c>
      <c r="AA3419" s="4">
        <v>14</v>
      </c>
      <c r="AB3419" s="4">
        <v>1</v>
      </c>
      <c r="AC3419" s="4">
        <v>1</v>
      </c>
      <c r="AD3419" s="4">
        <v>85</v>
      </c>
      <c r="AE3419" s="4">
        <v>94</v>
      </c>
      <c r="AF3419" s="4">
        <v>0</v>
      </c>
      <c r="AG3419" s="4">
        <v>0</v>
      </c>
      <c r="AH3419" s="4">
        <v>79</v>
      </c>
      <c r="AI3419" s="4">
        <v>86</v>
      </c>
      <c r="AJ3419" s="4">
        <v>10</v>
      </c>
      <c r="AK3419" s="4">
        <v>11</v>
      </c>
      <c r="AL3419" s="4">
        <v>48</v>
      </c>
      <c r="AM3419" s="4">
        <v>52</v>
      </c>
      <c r="AN3419" s="4">
        <v>0</v>
      </c>
      <c r="AO3419" s="4">
        <v>0</v>
      </c>
      <c r="AP3419" s="4">
        <v>10</v>
      </c>
      <c r="AQ3419" s="4">
        <v>11</v>
      </c>
      <c r="AR3419" s="3" t="s">
        <v>63</v>
      </c>
      <c r="AS3419" s="3" t="s">
        <v>63</v>
      </c>
      <c r="AT3419" s="3" t="s">
        <v>62</v>
      </c>
      <c r="AU3419" s="6" t="str">
        <f>HYPERLINK("http://catalog.hathitrust.org/Record/001730209","HathiTrust Record")</f>
        <v>HathiTrust Record</v>
      </c>
      <c r="AV3419" s="6" t="str">
        <f>HYPERLINK("http://mcgill.on.worldcat.org/oclc/316977","Catalog Record")</f>
        <v>Catalog Record</v>
      </c>
      <c r="AW3419" s="6" t="str">
        <f>HYPERLINK("http://www.worldcat.org/oclc/316977","WorldCat Record")</f>
        <v>WorldCat Record</v>
      </c>
      <c r="AX3419" s="3" t="s">
        <v>28601</v>
      </c>
      <c r="AY3419" s="3" t="s">
        <v>28602</v>
      </c>
      <c r="AZ3419" s="3" t="s">
        <v>28603</v>
      </c>
      <c r="BA3419" s="3" t="s">
        <v>28603</v>
      </c>
      <c r="BB3419" s="3" t="s">
        <v>28621</v>
      </c>
      <c r="BC3419" s="3" t="s">
        <v>82</v>
      </c>
      <c r="BD3419" s="3" t="s">
        <v>70</v>
      </c>
      <c r="BF3419" s="3" t="s">
        <v>28621</v>
      </c>
      <c r="BG3419" s="3" t="s">
        <v>28622</v>
      </c>
    </row>
    <row r="3420" spans="1:59" ht="60" x14ac:dyDescent="0.25">
      <c r="A3420" s="2" t="s">
        <v>59</v>
      </c>
      <c r="B3420" s="2" t="s">
        <v>60</v>
      </c>
      <c r="C3420" s="2" t="s">
        <v>28598</v>
      </c>
      <c r="D3420" s="2" t="s">
        <v>28599</v>
      </c>
      <c r="E3420" s="2" t="s">
        <v>16848</v>
      </c>
      <c r="F3420" s="3" t="s">
        <v>61</v>
      </c>
      <c r="G3420" s="3" t="s">
        <v>62</v>
      </c>
      <c r="I3420" s="3" t="s">
        <v>62</v>
      </c>
      <c r="J3420" s="3" t="s">
        <v>63</v>
      </c>
      <c r="K3420" s="3" t="s">
        <v>64</v>
      </c>
      <c r="L3420" s="2" t="s">
        <v>28579</v>
      </c>
      <c r="M3420" s="2" t="s">
        <v>28600</v>
      </c>
      <c r="N3420" s="3" t="s">
        <v>2182</v>
      </c>
      <c r="P3420" s="3" t="s">
        <v>90</v>
      </c>
      <c r="R3420" s="3" t="s">
        <v>67</v>
      </c>
      <c r="S3420" s="4">
        <v>2</v>
      </c>
      <c r="T3420" s="4">
        <v>28</v>
      </c>
      <c r="U3420" s="5" t="s">
        <v>28623</v>
      </c>
      <c r="V3420" s="5" t="s">
        <v>23622</v>
      </c>
      <c r="W3420" s="5" t="s">
        <v>69</v>
      </c>
      <c r="X3420" s="5" t="s">
        <v>69</v>
      </c>
      <c r="Y3420" s="4">
        <v>201</v>
      </c>
      <c r="Z3420" s="4">
        <v>13</v>
      </c>
      <c r="AA3420" s="4">
        <v>14</v>
      </c>
      <c r="AB3420" s="4">
        <v>1</v>
      </c>
      <c r="AC3420" s="4">
        <v>1</v>
      </c>
      <c r="AD3420" s="4">
        <v>85</v>
      </c>
      <c r="AE3420" s="4">
        <v>94</v>
      </c>
      <c r="AF3420" s="4">
        <v>0</v>
      </c>
      <c r="AG3420" s="4">
        <v>0</v>
      </c>
      <c r="AH3420" s="4">
        <v>79</v>
      </c>
      <c r="AI3420" s="4">
        <v>86</v>
      </c>
      <c r="AJ3420" s="4">
        <v>10</v>
      </c>
      <c r="AK3420" s="4">
        <v>11</v>
      </c>
      <c r="AL3420" s="4">
        <v>48</v>
      </c>
      <c r="AM3420" s="4">
        <v>52</v>
      </c>
      <c r="AN3420" s="4">
        <v>0</v>
      </c>
      <c r="AO3420" s="4">
        <v>0</v>
      </c>
      <c r="AP3420" s="4">
        <v>10</v>
      </c>
      <c r="AQ3420" s="4">
        <v>11</v>
      </c>
      <c r="AR3420" s="3" t="s">
        <v>63</v>
      </c>
      <c r="AS3420" s="3" t="s">
        <v>63</v>
      </c>
      <c r="AT3420" s="3" t="s">
        <v>62</v>
      </c>
      <c r="AU3420" s="6" t="str">
        <f>HYPERLINK("http://catalog.hathitrust.org/Record/001730209","HathiTrust Record")</f>
        <v>HathiTrust Record</v>
      </c>
      <c r="AV3420" s="6" t="str">
        <f>HYPERLINK("http://mcgill.on.worldcat.org/oclc/316977","Catalog Record")</f>
        <v>Catalog Record</v>
      </c>
      <c r="AW3420" s="6" t="str">
        <f>HYPERLINK("http://www.worldcat.org/oclc/316977","WorldCat Record")</f>
        <v>WorldCat Record</v>
      </c>
      <c r="AX3420" s="3" t="s">
        <v>28601</v>
      </c>
      <c r="AY3420" s="3" t="s">
        <v>28602</v>
      </c>
      <c r="AZ3420" s="3" t="s">
        <v>28603</v>
      </c>
      <c r="BA3420" s="3" t="s">
        <v>28603</v>
      </c>
      <c r="BB3420" s="3" t="s">
        <v>28624</v>
      </c>
      <c r="BC3420" s="3" t="s">
        <v>82</v>
      </c>
      <c r="BD3420" s="3" t="s">
        <v>70</v>
      </c>
      <c r="BF3420" s="3" t="s">
        <v>28624</v>
      </c>
      <c r="BG3420" s="3" t="s">
        <v>28625</v>
      </c>
    </row>
    <row r="3421" spans="1:59" ht="60" x14ac:dyDescent="0.25">
      <c r="A3421" s="2" t="s">
        <v>59</v>
      </c>
      <c r="B3421" s="2" t="s">
        <v>60</v>
      </c>
      <c r="C3421" s="2" t="s">
        <v>28598</v>
      </c>
      <c r="D3421" s="2" t="s">
        <v>28599</v>
      </c>
      <c r="E3421" s="2" t="s">
        <v>16848</v>
      </c>
      <c r="F3421" s="3" t="s">
        <v>1379</v>
      </c>
      <c r="G3421" s="3" t="s">
        <v>62</v>
      </c>
      <c r="I3421" s="3" t="s">
        <v>62</v>
      </c>
      <c r="J3421" s="3" t="s">
        <v>63</v>
      </c>
      <c r="K3421" s="3" t="s">
        <v>64</v>
      </c>
      <c r="L3421" s="2" t="s">
        <v>28579</v>
      </c>
      <c r="M3421" s="2" t="s">
        <v>28600</v>
      </c>
      <c r="N3421" s="3" t="s">
        <v>2182</v>
      </c>
      <c r="P3421" s="3" t="s">
        <v>90</v>
      </c>
      <c r="R3421" s="3" t="s">
        <v>67</v>
      </c>
      <c r="S3421" s="4">
        <v>3</v>
      </c>
      <c r="T3421" s="4">
        <v>28</v>
      </c>
      <c r="U3421" s="5" t="s">
        <v>28626</v>
      </c>
      <c r="V3421" s="5" t="s">
        <v>23622</v>
      </c>
      <c r="W3421" s="5" t="s">
        <v>69</v>
      </c>
      <c r="X3421" s="5" t="s">
        <v>69</v>
      </c>
      <c r="Y3421" s="4">
        <v>201</v>
      </c>
      <c r="Z3421" s="4">
        <v>13</v>
      </c>
      <c r="AA3421" s="4">
        <v>14</v>
      </c>
      <c r="AB3421" s="4">
        <v>1</v>
      </c>
      <c r="AC3421" s="4">
        <v>1</v>
      </c>
      <c r="AD3421" s="4">
        <v>85</v>
      </c>
      <c r="AE3421" s="4">
        <v>94</v>
      </c>
      <c r="AF3421" s="4">
        <v>0</v>
      </c>
      <c r="AG3421" s="4">
        <v>0</v>
      </c>
      <c r="AH3421" s="4">
        <v>79</v>
      </c>
      <c r="AI3421" s="4">
        <v>86</v>
      </c>
      <c r="AJ3421" s="4">
        <v>10</v>
      </c>
      <c r="AK3421" s="4">
        <v>11</v>
      </c>
      <c r="AL3421" s="4">
        <v>48</v>
      </c>
      <c r="AM3421" s="4">
        <v>52</v>
      </c>
      <c r="AN3421" s="4">
        <v>0</v>
      </c>
      <c r="AO3421" s="4">
        <v>0</v>
      </c>
      <c r="AP3421" s="4">
        <v>10</v>
      </c>
      <c r="AQ3421" s="4">
        <v>11</v>
      </c>
      <c r="AR3421" s="3" t="s">
        <v>63</v>
      </c>
      <c r="AS3421" s="3" t="s">
        <v>63</v>
      </c>
      <c r="AT3421" s="3" t="s">
        <v>62</v>
      </c>
      <c r="AU3421" s="6" t="str">
        <f>HYPERLINK("http://catalog.hathitrust.org/Record/001730209","HathiTrust Record")</f>
        <v>HathiTrust Record</v>
      </c>
      <c r="AV3421" s="6" t="str">
        <f>HYPERLINK("http://mcgill.on.worldcat.org/oclc/316977","Catalog Record")</f>
        <v>Catalog Record</v>
      </c>
      <c r="AW3421" s="6" t="str">
        <f>HYPERLINK("http://www.worldcat.org/oclc/316977","WorldCat Record")</f>
        <v>WorldCat Record</v>
      </c>
      <c r="AX3421" s="3" t="s">
        <v>28601</v>
      </c>
      <c r="AY3421" s="3" t="s">
        <v>28602</v>
      </c>
      <c r="AZ3421" s="3" t="s">
        <v>28603</v>
      </c>
      <c r="BA3421" s="3" t="s">
        <v>28603</v>
      </c>
      <c r="BB3421" s="3" t="s">
        <v>28627</v>
      </c>
      <c r="BC3421" s="3" t="s">
        <v>82</v>
      </c>
      <c r="BD3421" s="3" t="s">
        <v>70</v>
      </c>
      <c r="BF3421" s="3" t="s">
        <v>28627</v>
      </c>
      <c r="BG3421" s="3" t="s">
        <v>28628</v>
      </c>
    </row>
    <row r="3422" spans="1:59" ht="60" x14ac:dyDescent="0.25">
      <c r="A3422" s="2" t="s">
        <v>59</v>
      </c>
      <c r="B3422" s="2" t="s">
        <v>60</v>
      </c>
      <c r="C3422" s="2" t="s">
        <v>28598</v>
      </c>
      <c r="D3422" s="2" t="s">
        <v>28599</v>
      </c>
      <c r="E3422" s="2" t="s">
        <v>16848</v>
      </c>
      <c r="F3422" s="3" t="s">
        <v>10499</v>
      </c>
      <c r="G3422" s="3" t="s">
        <v>62</v>
      </c>
      <c r="I3422" s="3" t="s">
        <v>62</v>
      </c>
      <c r="J3422" s="3" t="s">
        <v>63</v>
      </c>
      <c r="K3422" s="3" t="s">
        <v>64</v>
      </c>
      <c r="L3422" s="2" t="s">
        <v>28579</v>
      </c>
      <c r="M3422" s="2" t="s">
        <v>28600</v>
      </c>
      <c r="N3422" s="3" t="s">
        <v>2182</v>
      </c>
      <c r="P3422" s="3" t="s">
        <v>90</v>
      </c>
      <c r="R3422" s="3" t="s">
        <v>67</v>
      </c>
      <c r="S3422" s="4">
        <v>0</v>
      </c>
      <c r="T3422" s="4">
        <v>28</v>
      </c>
      <c r="V3422" s="5" t="s">
        <v>23622</v>
      </c>
      <c r="W3422" s="5" t="s">
        <v>69</v>
      </c>
      <c r="X3422" s="5" t="s">
        <v>69</v>
      </c>
      <c r="Y3422" s="4">
        <v>201</v>
      </c>
      <c r="Z3422" s="4">
        <v>13</v>
      </c>
      <c r="AA3422" s="4">
        <v>14</v>
      </c>
      <c r="AB3422" s="4">
        <v>1</v>
      </c>
      <c r="AC3422" s="4">
        <v>1</v>
      </c>
      <c r="AD3422" s="4">
        <v>85</v>
      </c>
      <c r="AE3422" s="4">
        <v>94</v>
      </c>
      <c r="AF3422" s="4">
        <v>0</v>
      </c>
      <c r="AG3422" s="4">
        <v>0</v>
      </c>
      <c r="AH3422" s="4">
        <v>79</v>
      </c>
      <c r="AI3422" s="4">
        <v>86</v>
      </c>
      <c r="AJ3422" s="4">
        <v>10</v>
      </c>
      <c r="AK3422" s="4">
        <v>11</v>
      </c>
      <c r="AL3422" s="4">
        <v>48</v>
      </c>
      <c r="AM3422" s="4">
        <v>52</v>
      </c>
      <c r="AN3422" s="4">
        <v>0</v>
      </c>
      <c r="AO3422" s="4">
        <v>0</v>
      </c>
      <c r="AP3422" s="4">
        <v>10</v>
      </c>
      <c r="AQ3422" s="4">
        <v>11</v>
      </c>
      <c r="AR3422" s="3" t="s">
        <v>63</v>
      </c>
      <c r="AS3422" s="3" t="s">
        <v>63</v>
      </c>
      <c r="AT3422" s="3" t="s">
        <v>62</v>
      </c>
      <c r="AU3422" s="6" t="str">
        <f>HYPERLINK("http://catalog.hathitrust.org/Record/001730209","HathiTrust Record")</f>
        <v>HathiTrust Record</v>
      </c>
      <c r="AV3422" s="6" t="str">
        <f>HYPERLINK("http://mcgill.on.worldcat.org/oclc/316977","Catalog Record")</f>
        <v>Catalog Record</v>
      </c>
      <c r="AW3422" s="6" t="str">
        <f>HYPERLINK("http://www.worldcat.org/oclc/316977","WorldCat Record")</f>
        <v>WorldCat Record</v>
      </c>
      <c r="AX3422" s="3" t="s">
        <v>28601</v>
      </c>
      <c r="AY3422" s="3" t="s">
        <v>28602</v>
      </c>
      <c r="AZ3422" s="3" t="s">
        <v>28603</v>
      </c>
      <c r="BA3422" s="3" t="s">
        <v>28603</v>
      </c>
      <c r="BB3422" s="3" t="s">
        <v>28629</v>
      </c>
      <c r="BC3422" s="3" t="s">
        <v>82</v>
      </c>
      <c r="BD3422" s="3" t="s">
        <v>70</v>
      </c>
      <c r="BF3422" s="3" t="s">
        <v>28629</v>
      </c>
      <c r="BG3422" s="3" t="s">
        <v>28630</v>
      </c>
    </row>
    <row r="3423" spans="1:59" ht="60" x14ac:dyDescent="0.25">
      <c r="A3423" s="2" t="s">
        <v>59</v>
      </c>
      <c r="B3423" s="2" t="s">
        <v>60</v>
      </c>
      <c r="C3423" s="2" t="s">
        <v>28598</v>
      </c>
      <c r="D3423" s="2" t="s">
        <v>28599</v>
      </c>
      <c r="E3423" s="2" t="s">
        <v>16848</v>
      </c>
      <c r="F3423" s="3" t="s">
        <v>1390</v>
      </c>
      <c r="G3423" s="3" t="s">
        <v>62</v>
      </c>
      <c r="I3423" s="3" t="s">
        <v>62</v>
      </c>
      <c r="J3423" s="3" t="s">
        <v>63</v>
      </c>
      <c r="K3423" s="3" t="s">
        <v>64</v>
      </c>
      <c r="L3423" s="2" t="s">
        <v>28579</v>
      </c>
      <c r="M3423" s="2" t="s">
        <v>28600</v>
      </c>
      <c r="N3423" s="3" t="s">
        <v>2182</v>
      </c>
      <c r="P3423" s="3" t="s">
        <v>90</v>
      </c>
      <c r="R3423" s="3" t="s">
        <v>67</v>
      </c>
      <c r="S3423" s="4">
        <v>3</v>
      </c>
      <c r="T3423" s="4">
        <v>28</v>
      </c>
      <c r="U3423" s="5" t="s">
        <v>28631</v>
      </c>
      <c r="V3423" s="5" t="s">
        <v>23622</v>
      </c>
      <c r="W3423" s="5" t="s">
        <v>69</v>
      </c>
      <c r="X3423" s="5" t="s">
        <v>69</v>
      </c>
      <c r="Y3423" s="4">
        <v>201</v>
      </c>
      <c r="Z3423" s="4">
        <v>13</v>
      </c>
      <c r="AA3423" s="4">
        <v>14</v>
      </c>
      <c r="AB3423" s="4">
        <v>1</v>
      </c>
      <c r="AC3423" s="4">
        <v>1</v>
      </c>
      <c r="AD3423" s="4">
        <v>85</v>
      </c>
      <c r="AE3423" s="4">
        <v>94</v>
      </c>
      <c r="AF3423" s="4">
        <v>0</v>
      </c>
      <c r="AG3423" s="4">
        <v>0</v>
      </c>
      <c r="AH3423" s="4">
        <v>79</v>
      </c>
      <c r="AI3423" s="4">
        <v>86</v>
      </c>
      <c r="AJ3423" s="4">
        <v>10</v>
      </c>
      <c r="AK3423" s="4">
        <v>11</v>
      </c>
      <c r="AL3423" s="4">
        <v>48</v>
      </c>
      <c r="AM3423" s="4">
        <v>52</v>
      </c>
      <c r="AN3423" s="4">
        <v>0</v>
      </c>
      <c r="AO3423" s="4">
        <v>0</v>
      </c>
      <c r="AP3423" s="4">
        <v>10</v>
      </c>
      <c r="AQ3423" s="4">
        <v>11</v>
      </c>
      <c r="AR3423" s="3" t="s">
        <v>63</v>
      </c>
      <c r="AS3423" s="3" t="s">
        <v>63</v>
      </c>
      <c r="AT3423" s="3" t="s">
        <v>62</v>
      </c>
      <c r="AU3423" s="6" t="str">
        <f>HYPERLINK("http://catalog.hathitrust.org/Record/001730209","HathiTrust Record")</f>
        <v>HathiTrust Record</v>
      </c>
      <c r="AV3423" s="6" t="str">
        <f>HYPERLINK("http://mcgill.on.worldcat.org/oclc/316977","Catalog Record")</f>
        <v>Catalog Record</v>
      </c>
      <c r="AW3423" s="6" t="str">
        <f>HYPERLINK("http://www.worldcat.org/oclc/316977","WorldCat Record")</f>
        <v>WorldCat Record</v>
      </c>
      <c r="AX3423" s="3" t="s">
        <v>28601</v>
      </c>
      <c r="AY3423" s="3" t="s">
        <v>28602</v>
      </c>
      <c r="AZ3423" s="3" t="s">
        <v>28603</v>
      </c>
      <c r="BA3423" s="3" t="s">
        <v>28603</v>
      </c>
      <c r="BB3423" s="3" t="s">
        <v>28632</v>
      </c>
      <c r="BC3423" s="3" t="s">
        <v>82</v>
      </c>
      <c r="BD3423" s="3" t="s">
        <v>70</v>
      </c>
      <c r="BF3423" s="3" t="s">
        <v>28632</v>
      </c>
      <c r="BG3423" s="3" t="s">
        <v>28633</v>
      </c>
    </row>
    <row r="3424" spans="1:59" ht="60" x14ac:dyDescent="0.25">
      <c r="A3424" s="2" t="s">
        <v>59</v>
      </c>
      <c r="B3424" s="2" t="s">
        <v>60</v>
      </c>
      <c r="C3424" s="2" t="s">
        <v>28576</v>
      </c>
      <c r="D3424" s="2" t="s">
        <v>28577</v>
      </c>
      <c r="E3424" s="2" t="s">
        <v>28578</v>
      </c>
      <c r="G3424" s="3" t="s">
        <v>63</v>
      </c>
      <c r="I3424" s="3" t="s">
        <v>63</v>
      </c>
      <c r="J3424" s="3" t="s">
        <v>62</v>
      </c>
      <c r="K3424" s="3" t="s">
        <v>64</v>
      </c>
      <c r="L3424" s="2" t="s">
        <v>28579</v>
      </c>
      <c r="M3424" s="2" t="s">
        <v>26809</v>
      </c>
      <c r="N3424" s="3" t="s">
        <v>1916</v>
      </c>
      <c r="P3424" s="3" t="s">
        <v>66</v>
      </c>
      <c r="R3424" s="3" t="s">
        <v>67</v>
      </c>
      <c r="S3424" s="4">
        <v>9</v>
      </c>
      <c r="T3424" s="4">
        <v>9</v>
      </c>
      <c r="U3424" s="5" t="s">
        <v>23656</v>
      </c>
      <c r="V3424" s="5" t="s">
        <v>23656</v>
      </c>
      <c r="W3424" s="5" t="s">
        <v>69</v>
      </c>
      <c r="X3424" s="5" t="s">
        <v>69</v>
      </c>
      <c r="Y3424" s="4">
        <v>182</v>
      </c>
      <c r="Z3424" s="4">
        <v>20</v>
      </c>
      <c r="AA3424" s="4">
        <v>29</v>
      </c>
      <c r="AB3424" s="4">
        <v>2</v>
      </c>
      <c r="AC3424" s="4">
        <v>3</v>
      </c>
      <c r="AD3424" s="4">
        <v>84</v>
      </c>
      <c r="AE3424" s="4">
        <v>113</v>
      </c>
      <c r="AF3424" s="4">
        <v>1</v>
      </c>
      <c r="AG3424" s="4">
        <v>1</v>
      </c>
      <c r="AH3424" s="4">
        <v>77</v>
      </c>
      <c r="AI3424" s="4">
        <v>99</v>
      </c>
      <c r="AJ3424" s="4">
        <v>16</v>
      </c>
      <c r="AK3424" s="4">
        <v>19</v>
      </c>
      <c r="AL3424" s="4">
        <v>42</v>
      </c>
      <c r="AM3424" s="4">
        <v>57</v>
      </c>
      <c r="AN3424" s="4">
        <v>0</v>
      </c>
      <c r="AO3424" s="4">
        <v>0</v>
      </c>
      <c r="AP3424" s="4">
        <v>16</v>
      </c>
      <c r="AQ3424" s="4">
        <v>21</v>
      </c>
      <c r="AR3424" s="3" t="s">
        <v>63</v>
      </c>
      <c r="AS3424" s="3" t="s">
        <v>63</v>
      </c>
      <c r="AT3424" s="3" t="s">
        <v>62</v>
      </c>
      <c r="AU3424" s="6" t="str">
        <f>HYPERLINK("http://catalog.hathitrust.org/Record/000656396","HathiTrust Record")</f>
        <v>HathiTrust Record</v>
      </c>
      <c r="AV3424" s="6" t="str">
        <f>HYPERLINK("http://mcgill.on.worldcat.org/oclc/11971949","Catalog Record")</f>
        <v>Catalog Record</v>
      </c>
      <c r="AW3424" s="6" t="str">
        <f>HYPERLINK("http://www.worldcat.org/oclc/11971949","WorldCat Record")</f>
        <v>WorldCat Record</v>
      </c>
      <c r="AX3424" s="3" t="s">
        <v>28580</v>
      </c>
      <c r="AY3424" s="3" t="s">
        <v>28581</v>
      </c>
      <c r="AZ3424" s="3" t="s">
        <v>28582</v>
      </c>
      <c r="BA3424" s="3" t="s">
        <v>28582</v>
      </c>
      <c r="BB3424" s="3" t="s">
        <v>28583</v>
      </c>
      <c r="BC3424" s="3" t="s">
        <v>82</v>
      </c>
      <c r="BD3424" s="3" t="s">
        <v>70</v>
      </c>
      <c r="BE3424" s="3" t="s">
        <v>28584</v>
      </c>
      <c r="BF3424" s="3" t="s">
        <v>28583</v>
      </c>
      <c r="BG3424" s="3" t="s">
        <v>28585</v>
      </c>
    </row>
    <row r="3425" spans="1:59" ht="60" x14ac:dyDescent="0.25">
      <c r="A3425" s="2" t="s">
        <v>59</v>
      </c>
      <c r="B3425" s="2" t="s">
        <v>60</v>
      </c>
      <c r="C3425" s="2" t="s">
        <v>28586</v>
      </c>
      <c r="D3425" s="2" t="s">
        <v>28587</v>
      </c>
      <c r="E3425" s="2" t="s">
        <v>28588</v>
      </c>
      <c r="F3425" s="3" t="s">
        <v>582</v>
      </c>
      <c r="G3425" s="3" t="s">
        <v>62</v>
      </c>
      <c r="I3425" s="3" t="s">
        <v>63</v>
      </c>
      <c r="J3425" s="3" t="s">
        <v>63</v>
      </c>
      <c r="K3425" s="3" t="s">
        <v>64</v>
      </c>
      <c r="L3425" s="2" t="s">
        <v>28579</v>
      </c>
      <c r="M3425" s="2" t="s">
        <v>28589</v>
      </c>
      <c r="N3425" s="3" t="s">
        <v>918</v>
      </c>
      <c r="P3425" s="3" t="s">
        <v>90</v>
      </c>
      <c r="R3425" s="3" t="s">
        <v>67</v>
      </c>
      <c r="S3425" s="4">
        <v>3</v>
      </c>
      <c r="T3425" s="4">
        <v>7</v>
      </c>
      <c r="U3425" s="5" t="s">
        <v>2867</v>
      </c>
      <c r="V3425" s="5" t="s">
        <v>2867</v>
      </c>
      <c r="W3425" s="5" t="s">
        <v>69</v>
      </c>
      <c r="X3425" s="5" t="s">
        <v>69</v>
      </c>
      <c r="Y3425" s="4">
        <v>26</v>
      </c>
      <c r="Z3425" s="4">
        <v>1</v>
      </c>
      <c r="AA3425" s="4">
        <v>10</v>
      </c>
      <c r="AB3425" s="4">
        <v>1</v>
      </c>
      <c r="AC3425" s="4">
        <v>1</v>
      </c>
      <c r="AD3425" s="4">
        <v>13</v>
      </c>
      <c r="AE3425" s="4">
        <v>62</v>
      </c>
      <c r="AF3425" s="4">
        <v>0</v>
      </c>
      <c r="AG3425" s="4">
        <v>0</v>
      </c>
      <c r="AH3425" s="4">
        <v>12</v>
      </c>
      <c r="AI3425" s="4">
        <v>60</v>
      </c>
      <c r="AJ3425" s="4">
        <v>0</v>
      </c>
      <c r="AK3425" s="4">
        <v>5</v>
      </c>
      <c r="AL3425" s="4">
        <v>11</v>
      </c>
      <c r="AM3425" s="4">
        <v>39</v>
      </c>
      <c r="AN3425" s="4">
        <v>0</v>
      </c>
      <c r="AO3425" s="4">
        <v>0</v>
      </c>
      <c r="AP3425" s="4">
        <v>0</v>
      </c>
      <c r="AQ3425" s="4">
        <v>6</v>
      </c>
      <c r="AR3425" s="3" t="s">
        <v>63</v>
      </c>
      <c r="AS3425" s="3" t="s">
        <v>63</v>
      </c>
      <c r="AT3425" s="3" t="s">
        <v>63</v>
      </c>
      <c r="AV3425" s="6" t="str">
        <f>HYPERLINK("http://mcgill.on.worldcat.org/oclc/656307","Catalog Record")</f>
        <v>Catalog Record</v>
      </c>
      <c r="AW3425" s="6" t="str">
        <f>HYPERLINK("http://www.worldcat.org/oclc/656307","WorldCat Record")</f>
        <v>WorldCat Record</v>
      </c>
      <c r="AX3425" s="3" t="s">
        <v>28590</v>
      </c>
      <c r="AY3425" s="3" t="s">
        <v>28591</v>
      </c>
      <c r="AZ3425" s="3" t="s">
        <v>28592</v>
      </c>
      <c r="BA3425" s="3" t="s">
        <v>28592</v>
      </c>
      <c r="BB3425" s="3" t="s">
        <v>28593</v>
      </c>
      <c r="BC3425" s="3" t="s">
        <v>82</v>
      </c>
      <c r="BD3425" s="3" t="s">
        <v>70</v>
      </c>
      <c r="BF3425" s="3" t="s">
        <v>28593</v>
      </c>
      <c r="BG3425" s="3" t="s">
        <v>28594</v>
      </c>
    </row>
    <row r="3426" spans="1:59" ht="60" x14ac:dyDescent="0.25">
      <c r="A3426" s="2" t="s">
        <v>59</v>
      </c>
      <c r="B3426" s="2" t="s">
        <v>60</v>
      </c>
      <c r="C3426" s="2" t="s">
        <v>28586</v>
      </c>
      <c r="D3426" s="2" t="s">
        <v>28587</v>
      </c>
      <c r="E3426" s="2" t="s">
        <v>28588</v>
      </c>
      <c r="F3426" s="3" t="s">
        <v>571</v>
      </c>
      <c r="G3426" s="3" t="s">
        <v>62</v>
      </c>
      <c r="I3426" s="3" t="s">
        <v>63</v>
      </c>
      <c r="J3426" s="3" t="s">
        <v>63</v>
      </c>
      <c r="K3426" s="3" t="s">
        <v>64</v>
      </c>
      <c r="L3426" s="2" t="s">
        <v>28579</v>
      </c>
      <c r="M3426" s="2" t="s">
        <v>28589</v>
      </c>
      <c r="N3426" s="3" t="s">
        <v>918</v>
      </c>
      <c r="P3426" s="3" t="s">
        <v>90</v>
      </c>
      <c r="R3426" s="3" t="s">
        <v>67</v>
      </c>
      <c r="S3426" s="4">
        <v>4</v>
      </c>
      <c r="T3426" s="4">
        <v>7</v>
      </c>
      <c r="U3426" s="5" t="s">
        <v>28595</v>
      </c>
      <c r="V3426" s="5" t="s">
        <v>2867</v>
      </c>
      <c r="W3426" s="5" t="s">
        <v>69</v>
      </c>
      <c r="X3426" s="5" t="s">
        <v>69</v>
      </c>
      <c r="Y3426" s="4">
        <v>26</v>
      </c>
      <c r="Z3426" s="4">
        <v>1</v>
      </c>
      <c r="AA3426" s="4">
        <v>10</v>
      </c>
      <c r="AB3426" s="4">
        <v>1</v>
      </c>
      <c r="AC3426" s="4">
        <v>1</v>
      </c>
      <c r="AD3426" s="4">
        <v>13</v>
      </c>
      <c r="AE3426" s="4">
        <v>62</v>
      </c>
      <c r="AF3426" s="4">
        <v>0</v>
      </c>
      <c r="AG3426" s="4">
        <v>0</v>
      </c>
      <c r="AH3426" s="4">
        <v>12</v>
      </c>
      <c r="AI3426" s="4">
        <v>60</v>
      </c>
      <c r="AJ3426" s="4">
        <v>0</v>
      </c>
      <c r="AK3426" s="4">
        <v>5</v>
      </c>
      <c r="AL3426" s="4">
        <v>11</v>
      </c>
      <c r="AM3426" s="4">
        <v>39</v>
      </c>
      <c r="AN3426" s="4">
        <v>0</v>
      </c>
      <c r="AO3426" s="4">
        <v>0</v>
      </c>
      <c r="AP3426" s="4">
        <v>0</v>
      </c>
      <c r="AQ3426" s="4">
        <v>6</v>
      </c>
      <c r="AR3426" s="3" t="s">
        <v>63</v>
      </c>
      <c r="AS3426" s="3" t="s">
        <v>63</v>
      </c>
      <c r="AT3426" s="3" t="s">
        <v>63</v>
      </c>
      <c r="AV3426" s="6" t="str">
        <f>HYPERLINK("http://mcgill.on.worldcat.org/oclc/656307","Catalog Record")</f>
        <v>Catalog Record</v>
      </c>
      <c r="AW3426" s="6" t="str">
        <f>HYPERLINK("http://www.worldcat.org/oclc/656307","WorldCat Record")</f>
        <v>WorldCat Record</v>
      </c>
      <c r="AX3426" s="3" t="s">
        <v>28590</v>
      </c>
      <c r="AY3426" s="3" t="s">
        <v>28591</v>
      </c>
      <c r="AZ3426" s="3" t="s">
        <v>28592</v>
      </c>
      <c r="BA3426" s="3" t="s">
        <v>28592</v>
      </c>
      <c r="BB3426" s="3" t="s">
        <v>28596</v>
      </c>
      <c r="BC3426" s="3" t="s">
        <v>82</v>
      </c>
      <c r="BD3426" s="3" t="s">
        <v>538</v>
      </c>
      <c r="BF3426" s="3" t="s">
        <v>28596</v>
      </c>
      <c r="BG3426" s="3" t="s">
        <v>28597</v>
      </c>
    </row>
    <row r="3427" spans="1:59" ht="60" x14ac:dyDescent="0.25">
      <c r="A3427" s="2" t="s">
        <v>59</v>
      </c>
      <c r="B3427" s="2" t="s">
        <v>60</v>
      </c>
      <c r="C3427" s="2" t="s">
        <v>28634</v>
      </c>
      <c r="D3427" s="2" t="s">
        <v>28635</v>
      </c>
      <c r="E3427" s="2" t="s">
        <v>28636</v>
      </c>
      <c r="G3427" s="3" t="s">
        <v>63</v>
      </c>
      <c r="I3427" s="3" t="s">
        <v>63</v>
      </c>
      <c r="J3427" s="3" t="s">
        <v>63</v>
      </c>
      <c r="K3427" s="3" t="s">
        <v>64</v>
      </c>
      <c r="L3427" s="2" t="s">
        <v>28637</v>
      </c>
      <c r="M3427" s="2" t="s">
        <v>28638</v>
      </c>
      <c r="N3427" s="3" t="s">
        <v>106</v>
      </c>
      <c r="P3427" s="3" t="s">
        <v>90</v>
      </c>
      <c r="R3427" s="3" t="s">
        <v>67</v>
      </c>
      <c r="S3427" s="4">
        <v>0</v>
      </c>
      <c r="T3427" s="4">
        <v>0</v>
      </c>
      <c r="W3427" s="5" t="s">
        <v>9728</v>
      </c>
      <c r="X3427" s="5" t="s">
        <v>9728</v>
      </c>
      <c r="Y3427" s="4">
        <v>10</v>
      </c>
      <c r="Z3427" s="4">
        <v>1</v>
      </c>
      <c r="AA3427" s="4">
        <v>1</v>
      </c>
      <c r="AB3427" s="4">
        <v>1</v>
      </c>
      <c r="AC3427" s="4">
        <v>1</v>
      </c>
      <c r="AD3427" s="4">
        <v>9</v>
      </c>
      <c r="AE3427" s="4">
        <v>9</v>
      </c>
      <c r="AF3427" s="4">
        <v>0</v>
      </c>
      <c r="AG3427" s="4">
        <v>0</v>
      </c>
      <c r="AH3427" s="4">
        <v>9</v>
      </c>
      <c r="AI3427" s="4">
        <v>9</v>
      </c>
      <c r="AJ3427" s="4">
        <v>0</v>
      </c>
      <c r="AK3427" s="4">
        <v>0</v>
      </c>
      <c r="AL3427" s="4">
        <v>6</v>
      </c>
      <c r="AM3427" s="4">
        <v>6</v>
      </c>
      <c r="AN3427" s="4">
        <v>0</v>
      </c>
      <c r="AO3427" s="4">
        <v>0</v>
      </c>
      <c r="AP3427" s="4">
        <v>0</v>
      </c>
      <c r="AQ3427" s="4">
        <v>0</v>
      </c>
      <c r="AR3427" s="3" t="s">
        <v>63</v>
      </c>
      <c r="AS3427" s="3" t="s">
        <v>63</v>
      </c>
      <c r="AT3427" s="3" t="s">
        <v>63</v>
      </c>
      <c r="AV3427" s="6" t="str">
        <f>HYPERLINK("http://mcgill.on.worldcat.org/oclc/972309191","Catalog Record")</f>
        <v>Catalog Record</v>
      </c>
      <c r="AW3427" s="6" t="str">
        <f>HYPERLINK("http://www.worldcat.org/oclc/972309191","WorldCat Record")</f>
        <v>WorldCat Record</v>
      </c>
      <c r="AX3427" s="3" t="s">
        <v>28639</v>
      </c>
      <c r="AY3427" s="3" t="s">
        <v>28640</v>
      </c>
      <c r="AZ3427" s="3" t="s">
        <v>28641</v>
      </c>
      <c r="BA3427" s="3" t="s">
        <v>28641</v>
      </c>
      <c r="BB3427" s="3" t="s">
        <v>28642</v>
      </c>
      <c r="BC3427" s="3" t="s">
        <v>82</v>
      </c>
      <c r="BD3427" s="3" t="s">
        <v>70</v>
      </c>
      <c r="BE3427" s="3" t="s">
        <v>28643</v>
      </c>
      <c r="BF3427" s="3" t="s">
        <v>28642</v>
      </c>
      <c r="BG3427" s="3" t="s">
        <v>28644</v>
      </c>
    </row>
    <row r="3428" spans="1:59" ht="60" x14ac:dyDescent="0.25">
      <c r="A3428" s="2" t="s">
        <v>59</v>
      </c>
      <c r="B3428" s="2" t="s">
        <v>60</v>
      </c>
      <c r="C3428" s="2" t="s">
        <v>28645</v>
      </c>
      <c r="D3428" s="2" t="s">
        <v>28646</v>
      </c>
      <c r="E3428" s="2" t="s">
        <v>28647</v>
      </c>
      <c r="G3428" s="3" t="s">
        <v>63</v>
      </c>
      <c r="I3428" s="3" t="s">
        <v>63</v>
      </c>
      <c r="J3428" s="3" t="s">
        <v>63</v>
      </c>
      <c r="K3428" s="3" t="s">
        <v>64</v>
      </c>
      <c r="M3428" s="2" t="s">
        <v>28648</v>
      </c>
      <c r="N3428" s="3" t="s">
        <v>313</v>
      </c>
      <c r="P3428" s="3" t="s">
        <v>90</v>
      </c>
      <c r="R3428" s="3" t="s">
        <v>67</v>
      </c>
      <c r="S3428" s="4">
        <v>1</v>
      </c>
      <c r="T3428" s="4">
        <v>1</v>
      </c>
      <c r="U3428" s="5" t="s">
        <v>28649</v>
      </c>
      <c r="V3428" s="5" t="s">
        <v>28649</v>
      </c>
      <c r="W3428" s="5" t="s">
        <v>69</v>
      </c>
      <c r="X3428" s="5" t="s">
        <v>69</v>
      </c>
      <c r="Y3428" s="4">
        <v>30</v>
      </c>
      <c r="Z3428" s="4">
        <v>3</v>
      </c>
      <c r="AA3428" s="4">
        <v>3</v>
      </c>
      <c r="AB3428" s="4">
        <v>1</v>
      </c>
      <c r="AC3428" s="4">
        <v>1</v>
      </c>
      <c r="AD3428" s="4">
        <v>22</v>
      </c>
      <c r="AE3428" s="4">
        <v>22</v>
      </c>
      <c r="AF3428" s="4">
        <v>0</v>
      </c>
      <c r="AG3428" s="4">
        <v>0</v>
      </c>
      <c r="AH3428" s="4">
        <v>22</v>
      </c>
      <c r="AI3428" s="4">
        <v>22</v>
      </c>
      <c r="AJ3428" s="4">
        <v>1</v>
      </c>
      <c r="AK3428" s="4">
        <v>1</v>
      </c>
      <c r="AL3428" s="4">
        <v>18</v>
      </c>
      <c r="AM3428" s="4">
        <v>18</v>
      </c>
      <c r="AN3428" s="4">
        <v>0</v>
      </c>
      <c r="AO3428" s="4">
        <v>0</v>
      </c>
      <c r="AP3428" s="4">
        <v>1</v>
      </c>
      <c r="AQ3428" s="4">
        <v>1</v>
      </c>
      <c r="AR3428" s="3" t="s">
        <v>63</v>
      </c>
      <c r="AS3428" s="3" t="s">
        <v>63</v>
      </c>
      <c r="AT3428" s="3" t="s">
        <v>63</v>
      </c>
      <c r="AV3428" s="6" t="str">
        <f>HYPERLINK("http://mcgill.on.worldcat.org/oclc/714294262","Catalog Record")</f>
        <v>Catalog Record</v>
      </c>
      <c r="AW3428" s="6" t="str">
        <f>HYPERLINK("http://www.worldcat.org/oclc/714294262","WorldCat Record")</f>
        <v>WorldCat Record</v>
      </c>
      <c r="AX3428" s="3" t="s">
        <v>28650</v>
      </c>
      <c r="AY3428" s="3" t="s">
        <v>28651</v>
      </c>
      <c r="AZ3428" s="3" t="s">
        <v>28652</v>
      </c>
      <c r="BA3428" s="3" t="s">
        <v>28652</v>
      </c>
      <c r="BB3428" s="3" t="s">
        <v>28653</v>
      </c>
      <c r="BC3428" s="3" t="s">
        <v>82</v>
      </c>
      <c r="BD3428" s="3" t="s">
        <v>70</v>
      </c>
      <c r="BE3428" s="3" t="s">
        <v>28654</v>
      </c>
      <c r="BF3428" s="3" t="s">
        <v>28653</v>
      </c>
      <c r="BG3428" s="3" t="s">
        <v>28655</v>
      </c>
    </row>
    <row r="3429" spans="1:59" ht="60" x14ac:dyDescent="0.25">
      <c r="A3429" s="2" t="s">
        <v>59</v>
      </c>
      <c r="B3429" s="2" t="s">
        <v>60</v>
      </c>
      <c r="C3429" s="2" t="s">
        <v>28656</v>
      </c>
      <c r="D3429" s="2" t="s">
        <v>28657</v>
      </c>
      <c r="E3429" s="2" t="s">
        <v>28658</v>
      </c>
      <c r="G3429" s="3" t="s">
        <v>63</v>
      </c>
      <c r="I3429" s="3" t="s">
        <v>63</v>
      </c>
      <c r="J3429" s="3" t="s">
        <v>63</v>
      </c>
      <c r="K3429" s="3" t="s">
        <v>64</v>
      </c>
      <c r="L3429" s="2" t="s">
        <v>28659</v>
      </c>
      <c r="M3429" s="2" t="s">
        <v>28660</v>
      </c>
      <c r="N3429" s="3" t="s">
        <v>76</v>
      </c>
      <c r="P3429" s="3" t="s">
        <v>66</v>
      </c>
      <c r="R3429" s="3" t="s">
        <v>67</v>
      </c>
      <c r="S3429" s="4">
        <v>3</v>
      </c>
      <c r="T3429" s="4">
        <v>3</v>
      </c>
      <c r="U3429" s="5" t="s">
        <v>9320</v>
      </c>
      <c r="V3429" s="5" t="s">
        <v>9320</v>
      </c>
      <c r="W3429" s="5" t="s">
        <v>1690</v>
      </c>
      <c r="X3429" s="5" t="s">
        <v>1690</v>
      </c>
      <c r="Y3429" s="4">
        <v>134</v>
      </c>
      <c r="Z3429" s="4">
        <v>10</v>
      </c>
      <c r="AA3429" s="4">
        <v>12</v>
      </c>
      <c r="AB3429" s="4">
        <v>1</v>
      </c>
      <c r="AC3429" s="4">
        <v>1</v>
      </c>
      <c r="AD3429" s="4">
        <v>51</v>
      </c>
      <c r="AE3429" s="4">
        <v>52</v>
      </c>
      <c r="AF3429" s="4">
        <v>0</v>
      </c>
      <c r="AG3429" s="4">
        <v>0</v>
      </c>
      <c r="AH3429" s="4">
        <v>49</v>
      </c>
      <c r="AI3429" s="4">
        <v>50</v>
      </c>
      <c r="AJ3429" s="4">
        <v>6</v>
      </c>
      <c r="AK3429" s="4">
        <v>7</v>
      </c>
      <c r="AL3429" s="4">
        <v>32</v>
      </c>
      <c r="AM3429" s="4">
        <v>32</v>
      </c>
      <c r="AN3429" s="4">
        <v>0</v>
      </c>
      <c r="AO3429" s="4">
        <v>0</v>
      </c>
      <c r="AP3429" s="4">
        <v>6</v>
      </c>
      <c r="AQ3429" s="4">
        <v>7</v>
      </c>
      <c r="AR3429" s="3" t="s">
        <v>63</v>
      </c>
      <c r="AS3429" s="3" t="s">
        <v>63</v>
      </c>
      <c r="AT3429" s="3" t="s">
        <v>63</v>
      </c>
      <c r="AV3429" s="6" t="str">
        <f>HYPERLINK("http://mcgill.on.worldcat.org/oclc/828184851","Catalog Record")</f>
        <v>Catalog Record</v>
      </c>
      <c r="AW3429" s="6" t="str">
        <f>HYPERLINK("http://www.worldcat.org/oclc/828184851","WorldCat Record")</f>
        <v>WorldCat Record</v>
      </c>
      <c r="AX3429" s="3" t="s">
        <v>28661</v>
      </c>
      <c r="AY3429" s="3" t="s">
        <v>28662</v>
      </c>
      <c r="AZ3429" s="3" t="s">
        <v>28663</v>
      </c>
      <c r="BA3429" s="3" t="s">
        <v>28663</v>
      </c>
      <c r="BB3429" s="3" t="s">
        <v>28664</v>
      </c>
      <c r="BC3429" s="3" t="s">
        <v>82</v>
      </c>
      <c r="BD3429" s="3" t="s">
        <v>70</v>
      </c>
      <c r="BE3429" s="3" t="s">
        <v>28665</v>
      </c>
      <c r="BF3429" s="3" t="s">
        <v>28664</v>
      </c>
      <c r="BG3429" s="3" t="s">
        <v>28666</v>
      </c>
    </row>
    <row r="3430" spans="1:59" ht="60" x14ac:dyDescent="0.25">
      <c r="A3430" s="2" t="s">
        <v>59</v>
      </c>
      <c r="B3430" s="2" t="s">
        <v>60</v>
      </c>
      <c r="C3430" s="2" t="s">
        <v>28667</v>
      </c>
      <c r="D3430" s="2" t="s">
        <v>28668</v>
      </c>
      <c r="E3430" s="2" t="s">
        <v>28669</v>
      </c>
      <c r="G3430" s="3" t="s">
        <v>63</v>
      </c>
      <c r="I3430" s="3" t="s">
        <v>63</v>
      </c>
      <c r="J3430" s="3" t="s">
        <v>63</v>
      </c>
      <c r="K3430" s="3" t="s">
        <v>64</v>
      </c>
      <c r="L3430" s="2" t="s">
        <v>28659</v>
      </c>
      <c r="M3430" s="2" t="s">
        <v>28670</v>
      </c>
      <c r="N3430" s="3" t="s">
        <v>143</v>
      </c>
      <c r="O3430" s="2" t="s">
        <v>28671</v>
      </c>
      <c r="P3430" s="3" t="s">
        <v>66</v>
      </c>
      <c r="R3430" s="3" t="s">
        <v>67</v>
      </c>
      <c r="S3430" s="4">
        <v>3</v>
      </c>
      <c r="T3430" s="4">
        <v>3</v>
      </c>
      <c r="U3430" s="5" t="s">
        <v>23553</v>
      </c>
      <c r="V3430" s="5" t="s">
        <v>23553</v>
      </c>
      <c r="W3430" s="5" t="s">
        <v>69</v>
      </c>
      <c r="X3430" s="5" t="s">
        <v>69</v>
      </c>
      <c r="Y3430" s="4">
        <v>108</v>
      </c>
      <c r="Z3430" s="4">
        <v>10</v>
      </c>
      <c r="AA3430" s="4">
        <v>11</v>
      </c>
      <c r="AB3430" s="4">
        <v>1</v>
      </c>
      <c r="AC3430" s="4">
        <v>2</v>
      </c>
      <c r="AD3430" s="4">
        <v>46</v>
      </c>
      <c r="AE3430" s="4">
        <v>47</v>
      </c>
      <c r="AF3430" s="4">
        <v>0</v>
      </c>
      <c r="AG3430" s="4">
        <v>0</v>
      </c>
      <c r="AH3430" s="4">
        <v>43</v>
      </c>
      <c r="AI3430" s="4">
        <v>44</v>
      </c>
      <c r="AJ3430" s="4">
        <v>6</v>
      </c>
      <c r="AK3430" s="4">
        <v>6</v>
      </c>
      <c r="AL3430" s="4">
        <v>28</v>
      </c>
      <c r="AM3430" s="4">
        <v>29</v>
      </c>
      <c r="AN3430" s="4">
        <v>0</v>
      </c>
      <c r="AO3430" s="4">
        <v>0</v>
      </c>
      <c r="AP3430" s="4">
        <v>6</v>
      </c>
      <c r="AQ3430" s="4">
        <v>6</v>
      </c>
      <c r="AR3430" s="3" t="s">
        <v>63</v>
      </c>
      <c r="AS3430" s="3" t="s">
        <v>63</v>
      </c>
      <c r="AT3430" s="3" t="s">
        <v>63</v>
      </c>
      <c r="AV3430" s="6" t="str">
        <f>HYPERLINK("http://mcgill.on.worldcat.org/oclc/869824797","Catalog Record")</f>
        <v>Catalog Record</v>
      </c>
      <c r="AW3430" s="6" t="str">
        <f>HYPERLINK("http://www.worldcat.org/oclc/869824797","WorldCat Record")</f>
        <v>WorldCat Record</v>
      </c>
      <c r="AX3430" s="3" t="s">
        <v>28672</v>
      </c>
      <c r="AY3430" s="3" t="s">
        <v>28673</v>
      </c>
      <c r="AZ3430" s="3" t="s">
        <v>28674</v>
      </c>
      <c r="BA3430" s="3" t="s">
        <v>28674</v>
      </c>
      <c r="BB3430" s="3" t="s">
        <v>28675</v>
      </c>
      <c r="BC3430" s="3" t="s">
        <v>82</v>
      </c>
      <c r="BD3430" s="3" t="s">
        <v>70</v>
      </c>
      <c r="BE3430" s="3" t="s">
        <v>28676</v>
      </c>
      <c r="BF3430" s="3" t="s">
        <v>28675</v>
      </c>
      <c r="BG3430" s="3" t="s">
        <v>28677</v>
      </c>
    </row>
    <row r="3431" spans="1:59" ht="60" x14ac:dyDescent="0.25">
      <c r="A3431" s="2" t="s">
        <v>59</v>
      </c>
      <c r="B3431" s="2" t="s">
        <v>60</v>
      </c>
      <c r="C3431" s="2" t="s">
        <v>28678</v>
      </c>
      <c r="D3431" s="2" t="s">
        <v>28679</v>
      </c>
      <c r="E3431" s="2" t="s">
        <v>28680</v>
      </c>
      <c r="G3431" s="3" t="s">
        <v>63</v>
      </c>
      <c r="I3431" s="3" t="s">
        <v>63</v>
      </c>
      <c r="J3431" s="3" t="s">
        <v>63</v>
      </c>
      <c r="K3431" s="3" t="s">
        <v>64</v>
      </c>
      <c r="L3431" s="2" t="s">
        <v>16165</v>
      </c>
      <c r="M3431" s="2" t="s">
        <v>28681</v>
      </c>
      <c r="N3431" s="3" t="s">
        <v>706</v>
      </c>
      <c r="O3431" s="2" t="s">
        <v>28682</v>
      </c>
      <c r="P3431" s="3" t="s">
        <v>66</v>
      </c>
      <c r="Q3431" s="2" t="s">
        <v>28683</v>
      </c>
      <c r="R3431" s="3" t="s">
        <v>67</v>
      </c>
      <c r="S3431" s="4">
        <v>19</v>
      </c>
      <c r="T3431" s="4">
        <v>19</v>
      </c>
      <c r="U3431" s="5" t="s">
        <v>15912</v>
      </c>
      <c r="V3431" s="5" t="s">
        <v>15912</v>
      </c>
      <c r="W3431" s="5" t="s">
        <v>69</v>
      </c>
      <c r="X3431" s="5" t="s">
        <v>69</v>
      </c>
      <c r="Y3431" s="4">
        <v>88</v>
      </c>
      <c r="Z3431" s="4">
        <v>5</v>
      </c>
      <c r="AA3431" s="4">
        <v>28</v>
      </c>
      <c r="AB3431" s="4">
        <v>1</v>
      </c>
      <c r="AC3431" s="4">
        <v>3</v>
      </c>
      <c r="AD3431" s="4">
        <v>36</v>
      </c>
      <c r="AE3431" s="4">
        <v>113</v>
      </c>
      <c r="AF3431" s="4">
        <v>0</v>
      </c>
      <c r="AG3431" s="4">
        <v>2</v>
      </c>
      <c r="AH3431" s="4">
        <v>34</v>
      </c>
      <c r="AI3431" s="4">
        <v>96</v>
      </c>
      <c r="AJ3431" s="4">
        <v>4</v>
      </c>
      <c r="AK3431" s="4">
        <v>15</v>
      </c>
      <c r="AL3431" s="4">
        <v>24</v>
      </c>
      <c r="AM3431" s="4">
        <v>55</v>
      </c>
      <c r="AN3431" s="4">
        <v>0</v>
      </c>
      <c r="AO3431" s="4">
        <v>0</v>
      </c>
      <c r="AP3431" s="4">
        <v>4</v>
      </c>
      <c r="AQ3431" s="4">
        <v>19</v>
      </c>
      <c r="AR3431" s="3" t="s">
        <v>63</v>
      </c>
      <c r="AS3431" s="3" t="s">
        <v>63</v>
      </c>
      <c r="AT3431" s="3" t="s">
        <v>62</v>
      </c>
      <c r="AU3431" s="6" t="str">
        <f>HYPERLINK("http://catalog.hathitrust.org/Record/007104917","HathiTrust Record")</f>
        <v>HathiTrust Record</v>
      </c>
      <c r="AV3431" s="6" t="str">
        <f>HYPERLINK("http://mcgill.on.worldcat.org/oclc/15514002","Catalog Record")</f>
        <v>Catalog Record</v>
      </c>
      <c r="AW3431" s="6" t="str">
        <f>HYPERLINK("http://www.worldcat.org/oclc/15514002","WorldCat Record")</f>
        <v>WorldCat Record</v>
      </c>
      <c r="AX3431" s="3" t="s">
        <v>28684</v>
      </c>
      <c r="AY3431" s="3" t="s">
        <v>28685</v>
      </c>
      <c r="AZ3431" s="3" t="s">
        <v>28686</v>
      </c>
      <c r="BA3431" s="3" t="s">
        <v>28686</v>
      </c>
      <c r="BB3431" s="3" t="s">
        <v>28687</v>
      </c>
      <c r="BC3431" s="3" t="s">
        <v>82</v>
      </c>
      <c r="BD3431" s="3" t="s">
        <v>538</v>
      </c>
      <c r="BE3431" s="3" t="s">
        <v>28688</v>
      </c>
      <c r="BF3431" s="3" t="s">
        <v>28687</v>
      </c>
      <c r="BG3431" s="3" t="s">
        <v>28689</v>
      </c>
    </row>
    <row r="3432" spans="1:59" ht="60" x14ac:dyDescent="0.25">
      <c r="A3432" s="2" t="s">
        <v>59</v>
      </c>
      <c r="B3432" s="2" t="s">
        <v>60</v>
      </c>
      <c r="C3432" s="2" t="s">
        <v>28690</v>
      </c>
      <c r="D3432" s="2" t="s">
        <v>28691</v>
      </c>
      <c r="E3432" s="2" t="s">
        <v>28692</v>
      </c>
      <c r="G3432" s="3" t="s">
        <v>63</v>
      </c>
      <c r="I3432" s="3" t="s">
        <v>63</v>
      </c>
      <c r="J3432" s="3" t="s">
        <v>62</v>
      </c>
      <c r="K3432" s="3" t="s">
        <v>64</v>
      </c>
      <c r="L3432" s="2" t="s">
        <v>16165</v>
      </c>
      <c r="M3432" s="2" t="s">
        <v>28693</v>
      </c>
      <c r="N3432" s="3" t="s">
        <v>274</v>
      </c>
      <c r="O3432" s="2" t="s">
        <v>2359</v>
      </c>
      <c r="P3432" s="3" t="s">
        <v>66</v>
      </c>
      <c r="Q3432" s="2" t="s">
        <v>28694</v>
      </c>
      <c r="R3432" s="3" t="s">
        <v>67</v>
      </c>
      <c r="S3432" s="4">
        <v>12</v>
      </c>
      <c r="T3432" s="4">
        <v>12</v>
      </c>
      <c r="U3432" s="5" t="s">
        <v>23035</v>
      </c>
      <c r="V3432" s="5" t="s">
        <v>23035</v>
      </c>
      <c r="W3432" s="5" t="s">
        <v>69</v>
      </c>
      <c r="X3432" s="5" t="s">
        <v>69</v>
      </c>
      <c r="Y3432" s="4">
        <v>86</v>
      </c>
      <c r="Z3432" s="4">
        <v>6</v>
      </c>
      <c r="AA3432" s="4">
        <v>40</v>
      </c>
      <c r="AB3432" s="4">
        <v>2</v>
      </c>
      <c r="AC3432" s="4">
        <v>7</v>
      </c>
      <c r="AD3432" s="4">
        <v>40</v>
      </c>
      <c r="AE3432" s="4">
        <v>126</v>
      </c>
      <c r="AF3432" s="4">
        <v>0</v>
      </c>
      <c r="AG3432" s="4">
        <v>2</v>
      </c>
      <c r="AH3432" s="4">
        <v>37</v>
      </c>
      <c r="AI3432" s="4">
        <v>107</v>
      </c>
      <c r="AJ3432" s="4">
        <v>4</v>
      </c>
      <c r="AK3432" s="4">
        <v>22</v>
      </c>
      <c r="AL3432" s="4">
        <v>20</v>
      </c>
      <c r="AM3432" s="4">
        <v>60</v>
      </c>
      <c r="AN3432" s="4">
        <v>0</v>
      </c>
      <c r="AO3432" s="4">
        <v>5</v>
      </c>
      <c r="AP3432" s="4">
        <v>4</v>
      </c>
      <c r="AQ3432" s="4">
        <v>24</v>
      </c>
      <c r="AR3432" s="3" t="s">
        <v>63</v>
      </c>
      <c r="AS3432" s="3" t="s">
        <v>63</v>
      </c>
      <c r="AT3432" s="3" t="s">
        <v>63</v>
      </c>
      <c r="AV3432" s="6" t="str">
        <f>HYPERLINK("http://mcgill.on.worldcat.org/oclc/44019984","Catalog Record")</f>
        <v>Catalog Record</v>
      </c>
      <c r="AW3432" s="6" t="str">
        <f>HYPERLINK("http://www.worldcat.org/oclc/44019984","WorldCat Record")</f>
        <v>WorldCat Record</v>
      </c>
      <c r="AX3432" s="3" t="s">
        <v>28695</v>
      </c>
      <c r="AY3432" s="3" t="s">
        <v>28696</v>
      </c>
      <c r="AZ3432" s="3" t="s">
        <v>28697</v>
      </c>
      <c r="BA3432" s="3" t="s">
        <v>28697</v>
      </c>
      <c r="BB3432" s="3" t="s">
        <v>28698</v>
      </c>
      <c r="BC3432" s="3" t="s">
        <v>82</v>
      </c>
      <c r="BD3432" s="3" t="s">
        <v>538</v>
      </c>
      <c r="BE3432" s="3" t="s">
        <v>28699</v>
      </c>
      <c r="BF3432" s="3" t="s">
        <v>28698</v>
      </c>
      <c r="BG3432" s="3" t="s">
        <v>28700</v>
      </c>
    </row>
    <row r="3433" spans="1:59" ht="60" x14ac:dyDescent="0.25">
      <c r="A3433" s="2" t="s">
        <v>59</v>
      </c>
      <c r="B3433" s="2" t="s">
        <v>60</v>
      </c>
      <c r="C3433" s="2" t="s">
        <v>28701</v>
      </c>
      <c r="D3433" s="2" t="s">
        <v>28702</v>
      </c>
      <c r="E3433" s="2" t="s">
        <v>28703</v>
      </c>
      <c r="G3433" s="3" t="s">
        <v>63</v>
      </c>
      <c r="I3433" s="3" t="s">
        <v>63</v>
      </c>
      <c r="J3433" s="3" t="s">
        <v>63</v>
      </c>
      <c r="K3433" s="3" t="s">
        <v>64</v>
      </c>
      <c r="L3433" s="2" t="s">
        <v>16165</v>
      </c>
      <c r="M3433" s="2" t="s">
        <v>28704</v>
      </c>
      <c r="N3433" s="3" t="s">
        <v>2103</v>
      </c>
      <c r="P3433" s="3" t="s">
        <v>66</v>
      </c>
      <c r="Q3433" s="2" t="s">
        <v>16458</v>
      </c>
      <c r="R3433" s="3" t="s">
        <v>67</v>
      </c>
      <c r="S3433" s="4">
        <v>7</v>
      </c>
      <c r="T3433" s="4">
        <v>7</v>
      </c>
      <c r="U3433" s="5" t="s">
        <v>1702</v>
      </c>
      <c r="V3433" s="5" t="s">
        <v>1702</v>
      </c>
      <c r="W3433" s="5" t="s">
        <v>69</v>
      </c>
      <c r="X3433" s="5" t="s">
        <v>69</v>
      </c>
      <c r="Y3433" s="4">
        <v>390</v>
      </c>
      <c r="Z3433" s="4">
        <v>15</v>
      </c>
      <c r="AA3433" s="4">
        <v>18</v>
      </c>
      <c r="AB3433" s="4">
        <v>1</v>
      </c>
      <c r="AC3433" s="4">
        <v>3</v>
      </c>
      <c r="AD3433" s="4">
        <v>100</v>
      </c>
      <c r="AE3433" s="4">
        <v>102</v>
      </c>
      <c r="AF3433" s="4">
        <v>0</v>
      </c>
      <c r="AG3433" s="4">
        <v>1</v>
      </c>
      <c r="AH3433" s="4">
        <v>94</v>
      </c>
      <c r="AI3433" s="4">
        <v>95</v>
      </c>
      <c r="AJ3433" s="4">
        <v>8</v>
      </c>
      <c r="AK3433" s="4">
        <v>10</v>
      </c>
      <c r="AL3433" s="4">
        <v>56</v>
      </c>
      <c r="AM3433" s="4">
        <v>56</v>
      </c>
      <c r="AN3433" s="4">
        <v>0</v>
      </c>
      <c r="AO3433" s="4">
        <v>0</v>
      </c>
      <c r="AP3433" s="4">
        <v>8</v>
      </c>
      <c r="AQ3433" s="4">
        <v>10</v>
      </c>
      <c r="AR3433" s="3" t="s">
        <v>63</v>
      </c>
      <c r="AS3433" s="3" t="s">
        <v>63</v>
      </c>
      <c r="AT3433" s="3" t="s">
        <v>62</v>
      </c>
      <c r="AU3433" s="6" t="str">
        <f>HYPERLINK("http://catalog.hathitrust.org/Record/004294345","HathiTrust Record")</f>
        <v>HathiTrust Record</v>
      </c>
      <c r="AV3433" s="6" t="str">
        <f>HYPERLINK("http://mcgill.on.worldcat.org/oclc/49385838","Catalog Record")</f>
        <v>Catalog Record</v>
      </c>
      <c r="AW3433" s="6" t="str">
        <f>HYPERLINK("http://www.worldcat.org/oclc/49385838","WorldCat Record")</f>
        <v>WorldCat Record</v>
      </c>
      <c r="AX3433" s="3" t="s">
        <v>28705</v>
      </c>
      <c r="AY3433" s="3" t="s">
        <v>28706</v>
      </c>
      <c r="AZ3433" s="3" t="s">
        <v>28707</v>
      </c>
      <c r="BA3433" s="3" t="s">
        <v>28707</v>
      </c>
      <c r="BB3433" s="3" t="s">
        <v>28708</v>
      </c>
      <c r="BC3433" s="3" t="s">
        <v>82</v>
      </c>
      <c r="BD3433" s="3" t="s">
        <v>70</v>
      </c>
      <c r="BE3433" s="3" t="s">
        <v>28709</v>
      </c>
      <c r="BF3433" s="3" t="s">
        <v>28708</v>
      </c>
      <c r="BG3433" s="3" t="s">
        <v>28710</v>
      </c>
    </row>
    <row r="3434" spans="1:59" ht="75" x14ac:dyDescent="0.25">
      <c r="A3434" s="2" t="s">
        <v>59</v>
      </c>
      <c r="B3434" s="2" t="s">
        <v>60</v>
      </c>
      <c r="C3434" s="2" t="s">
        <v>28711</v>
      </c>
      <c r="D3434" s="2" t="s">
        <v>28712</v>
      </c>
      <c r="E3434" s="2" t="s">
        <v>28713</v>
      </c>
      <c r="G3434" s="3" t="s">
        <v>63</v>
      </c>
      <c r="I3434" s="3" t="s">
        <v>63</v>
      </c>
      <c r="J3434" s="3" t="s">
        <v>63</v>
      </c>
      <c r="K3434" s="3" t="s">
        <v>64</v>
      </c>
      <c r="L3434" s="2" t="s">
        <v>28659</v>
      </c>
      <c r="M3434" s="2" t="s">
        <v>28714</v>
      </c>
      <c r="N3434" s="3" t="s">
        <v>161</v>
      </c>
      <c r="P3434" s="3" t="s">
        <v>66</v>
      </c>
      <c r="Q3434" s="2" t="s">
        <v>28715</v>
      </c>
      <c r="R3434" s="3" t="s">
        <v>67</v>
      </c>
      <c r="S3434" s="4">
        <v>17</v>
      </c>
      <c r="T3434" s="4">
        <v>17</v>
      </c>
      <c r="U3434" s="5" t="s">
        <v>69</v>
      </c>
      <c r="V3434" s="5" t="s">
        <v>69</v>
      </c>
      <c r="W3434" s="5" t="s">
        <v>69</v>
      </c>
      <c r="X3434" s="5" t="s">
        <v>69</v>
      </c>
      <c r="Y3434" s="4">
        <v>213</v>
      </c>
      <c r="Z3434" s="4">
        <v>18</v>
      </c>
      <c r="AA3434" s="4">
        <v>21</v>
      </c>
      <c r="AB3434" s="4">
        <v>1</v>
      </c>
      <c r="AC3434" s="4">
        <v>2</v>
      </c>
      <c r="AD3434" s="4">
        <v>81</v>
      </c>
      <c r="AE3434" s="4">
        <v>85</v>
      </c>
      <c r="AF3434" s="4">
        <v>0</v>
      </c>
      <c r="AG3434" s="4">
        <v>0</v>
      </c>
      <c r="AH3434" s="4">
        <v>73</v>
      </c>
      <c r="AI3434" s="4">
        <v>76</v>
      </c>
      <c r="AJ3434" s="4">
        <v>12</v>
      </c>
      <c r="AK3434" s="4">
        <v>13</v>
      </c>
      <c r="AL3434" s="4">
        <v>44</v>
      </c>
      <c r="AM3434" s="4">
        <v>46</v>
      </c>
      <c r="AN3434" s="4">
        <v>0</v>
      </c>
      <c r="AO3434" s="4">
        <v>0</v>
      </c>
      <c r="AP3434" s="4">
        <v>12</v>
      </c>
      <c r="AQ3434" s="4">
        <v>14</v>
      </c>
      <c r="AR3434" s="3" t="s">
        <v>63</v>
      </c>
      <c r="AS3434" s="3" t="s">
        <v>63</v>
      </c>
      <c r="AT3434" s="3" t="s">
        <v>62</v>
      </c>
      <c r="AU3434" s="6" t="str">
        <f>HYPERLINK("http://catalog.hathitrust.org/Record/001831547","HathiTrust Record")</f>
        <v>HathiTrust Record</v>
      </c>
      <c r="AV3434" s="6" t="str">
        <f>HYPERLINK("http://mcgill.on.worldcat.org/oclc/20523384","Catalog Record")</f>
        <v>Catalog Record</v>
      </c>
      <c r="AW3434" s="6" t="str">
        <f>HYPERLINK("http://www.worldcat.org/oclc/20523384","WorldCat Record")</f>
        <v>WorldCat Record</v>
      </c>
      <c r="AX3434" s="3" t="s">
        <v>28716</v>
      </c>
      <c r="AY3434" s="3" t="s">
        <v>28717</v>
      </c>
      <c r="AZ3434" s="3" t="s">
        <v>28718</v>
      </c>
      <c r="BA3434" s="3" t="s">
        <v>28718</v>
      </c>
      <c r="BB3434" s="3" t="s">
        <v>28719</v>
      </c>
      <c r="BC3434" s="3" t="s">
        <v>82</v>
      </c>
      <c r="BD3434" s="3" t="s">
        <v>70</v>
      </c>
      <c r="BE3434" s="3" t="s">
        <v>28720</v>
      </c>
      <c r="BF3434" s="3" t="s">
        <v>28719</v>
      </c>
      <c r="BG3434" s="3" t="s">
        <v>28721</v>
      </c>
    </row>
    <row r="3435" spans="1:59" ht="60" x14ac:dyDescent="0.25">
      <c r="A3435" s="2" t="s">
        <v>59</v>
      </c>
      <c r="B3435" s="2" t="s">
        <v>60</v>
      </c>
      <c r="C3435" s="2" t="s">
        <v>28722</v>
      </c>
      <c r="D3435" s="2" t="s">
        <v>28723</v>
      </c>
      <c r="E3435" s="2" t="s">
        <v>28724</v>
      </c>
      <c r="G3435" s="3" t="s">
        <v>63</v>
      </c>
      <c r="I3435" s="3" t="s">
        <v>63</v>
      </c>
      <c r="J3435" s="3" t="s">
        <v>62</v>
      </c>
      <c r="K3435" s="3" t="s">
        <v>64</v>
      </c>
      <c r="L3435" s="2" t="s">
        <v>16165</v>
      </c>
      <c r="M3435" s="2" t="s">
        <v>28725</v>
      </c>
      <c r="N3435" s="3" t="s">
        <v>313</v>
      </c>
      <c r="P3435" s="3" t="s">
        <v>66</v>
      </c>
      <c r="R3435" s="3" t="s">
        <v>67</v>
      </c>
      <c r="S3435" s="4">
        <v>6</v>
      </c>
      <c r="T3435" s="4">
        <v>6</v>
      </c>
      <c r="U3435" s="5" t="s">
        <v>15912</v>
      </c>
      <c r="V3435" s="5" t="s">
        <v>15912</v>
      </c>
      <c r="W3435" s="5" t="s">
        <v>69</v>
      </c>
      <c r="X3435" s="5" t="s">
        <v>69</v>
      </c>
      <c r="Y3435" s="4">
        <v>51</v>
      </c>
      <c r="Z3435" s="4">
        <v>6</v>
      </c>
      <c r="AA3435" s="4">
        <v>18</v>
      </c>
      <c r="AB3435" s="4">
        <v>1</v>
      </c>
      <c r="AC3435" s="4">
        <v>3</v>
      </c>
      <c r="AD3435" s="4">
        <v>19</v>
      </c>
      <c r="AE3435" s="4">
        <v>102</v>
      </c>
      <c r="AF3435" s="4">
        <v>0</v>
      </c>
      <c r="AG3435" s="4">
        <v>0</v>
      </c>
      <c r="AH3435" s="4">
        <v>18</v>
      </c>
      <c r="AI3435" s="4">
        <v>97</v>
      </c>
      <c r="AJ3435" s="4">
        <v>4</v>
      </c>
      <c r="AK3435" s="4">
        <v>12</v>
      </c>
      <c r="AL3435" s="4">
        <v>12</v>
      </c>
      <c r="AM3435" s="4">
        <v>55</v>
      </c>
      <c r="AN3435" s="4">
        <v>0</v>
      </c>
      <c r="AO3435" s="4">
        <v>3</v>
      </c>
      <c r="AP3435" s="4">
        <v>4</v>
      </c>
      <c r="AQ3435" s="4">
        <v>13</v>
      </c>
      <c r="AR3435" s="3" t="s">
        <v>63</v>
      </c>
      <c r="AS3435" s="3" t="s">
        <v>63</v>
      </c>
      <c r="AT3435" s="3" t="s">
        <v>63</v>
      </c>
      <c r="AV3435" s="6" t="str">
        <f>HYPERLINK("http://mcgill.on.worldcat.org/oclc/573397668","Catalog Record")</f>
        <v>Catalog Record</v>
      </c>
      <c r="AW3435" s="6" t="str">
        <f>HYPERLINK("http://www.worldcat.org/oclc/573397668","WorldCat Record")</f>
        <v>WorldCat Record</v>
      </c>
      <c r="AX3435" s="3" t="s">
        <v>28726</v>
      </c>
      <c r="AY3435" s="3" t="s">
        <v>28727</v>
      </c>
      <c r="AZ3435" s="3" t="s">
        <v>28728</v>
      </c>
      <c r="BA3435" s="3" t="s">
        <v>28728</v>
      </c>
      <c r="BB3435" s="3" t="s">
        <v>28729</v>
      </c>
      <c r="BC3435" s="3" t="s">
        <v>82</v>
      </c>
      <c r="BD3435" s="3" t="s">
        <v>538</v>
      </c>
      <c r="BE3435" s="3" t="s">
        <v>28730</v>
      </c>
      <c r="BF3435" s="3" t="s">
        <v>28729</v>
      </c>
      <c r="BG3435" s="3" t="s">
        <v>28731</v>
      </c>
    </row>
    <row r="3436" spans="1:59" ht="60" x14ac:dyDescent="0.25">
      <c r="A3436" s="2" t="s">
        <v>59</v>
      </c>
      <c r="B3436" s="2" t="s">
        <v>60</v>
      </c>
      <c r="C3436" s="2" t="s">
        <v>28732</v>
      </c>
      <c r="D3436" s="2" t="s">
        <v>28733</v>
      </c>
      <c r="E3436" s="2" t="s">
        <v>28734</v>
      </c>
      <c r="G3436" s="3" t="s">
        <v>63</v>
      </c>
      <c r="I3436" s="3" t="s">
        <v>63</v>
      </c>
      <c r="J3436" s="3" t="s">
        <v>63</v>
      </c>
      <c r="K3436" s="3" t="s">
        <v>64</v>
      </c>
      <c r="L3436" s="2" t="s">
        <v>16165</v>
      </c>
      <c r="M3436" s="2" t="s">
        <v>28735</v>
      </c>
      <c r="N3436" s="3" t="s">
        <v>706</v>
      </c>
      <c r="P3436" s="3" t="s">
        <v>548</v>
      </c>
      <c r="Q3436" s="2" t="s">
        <v>28736</v>
      </c>
      <c r="R3436" s="3" t="s">
        <v>67</v>
      </c>
      <c r="S3436" s="4">
        <v>19</v>
      </c>
      <c r="T3436" s="4">
        <v>19</v>
      </c>
      <c r="U3436" s="5" t="s">
        <v>12287</v>
      </c>
      <c r="V3436" s="5" t="s">
        <v>12287</v>
      </c>
      <c r="W3436" s="5" t="s">
        <v>69</v>
      </c>
      <c r="X3436" s="5" t="s">
        <v>69</v>
      </c>
      <c r="Y3436" s="4">
        <v>20</v>
      </c>
      <c r="Z3436" s="4">
        <v>2</v>
      </c>
      <c r="AA3436" s="4">
        <v>4</v>
      </c>
      <c r="AB3436" s="4">
        <v>1</v>
      </c>
      <c r="AC3436" s="4">
        <v>3</v>
      </c>
      <c r="AD3436" s="4">
        <v>4</v>
      </c>
      <c r="AE3436" s="4">
        <v>5</v>
      </c>
      <c r="AF3436" s="4">
        <v>0</v>
      </c>
      <c r="AG3436" s="4">
        <v>1</v>
      </c>
      <c r="AH3436" s="4">
        <v>3</v>
      </c>
      <c r="AI3436" s="4">
        <v>3</v>
      </c>
      <c r="AJ3436" s="4">
        <v>0</v>
      </c>
      <c r="AK3436" s="4">
        <v>1</v>
      </c>
      <c r="AL3436" s="4">
        <v>3</v>
      </c>
      <c r="AM3436" s="4">
        <v>3</v>
      </c>
      <c r="AN3436" s="4">
        <v>0</v>
      </c>
      <c r="AO3436" s="4">
        <v>0</v>
      </c>
      <c r="AP3436" s="4">
        <v>0</v>
      </c>
      <c r="AQ3436" s="4">
        <v>0</v>
      </c>
      <c r="AR3436" s="3" t="s">
        <v>63</v>
      </c>
      <c r="AS3436" s="3" t="s">
        <v>63</v>
      </c>
      <c r="AT3436" s="3" t="s">
        <v>63</v>
      </c>
      <c r="AV3436" s="6" t="str">
        <f>HYPERLINK("http://mcgill.on.worldcat.org/oclc/16164439","Catalog Record")</f>
        <v>Catalog Record</v>
      </c>
      <c r="AW3436" s="6" t="str">
        <f>HYPERLINK("http://www.worldcat.org/oclc/16164439","WorldCat Record")</f>
        <v>WorldCat Record</v>
      </c>
      <c r="AX3436" s="3" t="s">
        <v>28737</v>
      </c>
      <c r="AY3436" s="3" t="s">
        <v>28738</v>
      </c>
      <c r="AZ3436" s="3" t="s">
        <v>28739</v>
      </c>
      <c r="BA3436" s="3" t="s">
        <v>28739</v>
      </c>
      <c r="BB3436" s="3" t="s">
        <v>28740</v>
      </c>
      <c r="BC3436" s="3" t="s">
        <v>82</v>
      </c>
      <c r="BD3436" s="3" t="s">
        <v>70</v>
      </c>
      <c r="BE3436" s="3" t="s">
        <v>28741</v>
      </c>
      <c r="BF3436" s="3" t="s">
        <v>28740</v>
      </c>
      <c r="BG3436" s="3" t="s">
        <v>28742</v>
      </c>
    </row>
    <row r="3437" spans="1:59" ht="75" x14ac:dyDescent="0.25">
      <c r="A3437" s="2" t="s">
        <v>59</v>
      </c>
      <c r="B3437" s="2" t="s">
        <v>60</v>
      </c>
      <c r="C3437" s="2" t="s">
        <v>28743</v>
      </c>
      <c r="D3437" s="2" t="s">
        <v>28744</v>
      </c>
      <c r="E3437" s="2" t="s">
        <v>28745</v>
      </c>
      <c r="G3437" s="3" t="s">
        <v>63</v>
      </c>
      <c r="I3437" s="3" t="s">
        <v>63</v>
      </c>
      <c r="J3437" s="3" t="s">
        <v>63</v>
      </c>
      <c r="K3437" s="3" t="s">
        <v>64</v>
      </c>
      <c r="L3437" s="2" t="s">
        <v>28659</v>
      </c>
      <c r="M3437" s="2" t="s">
        <v>28746</v>
      </c>
      <c r="N3437" s="3" t="s">
        <v>1557</v>
      </c>
      <c r="P3437" s="3" t="s">
        <v>90</v>
      </c>
      <c r="R3437" s="3" t="s">
        <v>67</v>
      </c>
      <c r="S3437" s="4">
        <v>0</v>
      </c>
      <c r="T3437" s="4">
        <v>0</v>
      </c>
      <c r="W3437" s="5" t="s">
        <v>12377</v>
      </c>
      <c r="X3437" s="5" t="s">
        <v>12377</v>
      </c>
      <c r="Y3437" s="4">
        <v>12</v>
      </c>
      <c r="Z3437" s="4">
        <v>1</v>
      </c>
      <c r="AA3437" s="4">
        <v>1</v>
      </c>
      <c r="AB3437" s="4">
        <v>1</v>
      </c>
      <c r="AC3437" s="4">
        <v>1</v>
      </c>
      <c r="AD3437" s="4">
        <v>9</v>
      </c>
      <c r="AE3437" s="4">
        <v>9</v>
      </c>
      <c r="AF3437" s="4">
        <v>0</v>
      </c>
      <c r="AG3437" s="4">
        <v>0</v>
      </c>
      <c r="AH3437" s="4">
        <v>9</v>
      </c>
      <c r="AI3437" s="4">
        <v>9</v>
      </c>
      <c r="AJ3437" s="4">
        <v>0</v>
      </c>
      <c r="AK3437" s="4">
        <v>0</v>
      </c>
      <c r="AL3437" s="4">
        <v>9</v>
      </c>
      <c r="AM3437" s="4">
        <v>9</v>
      </c>
      <c r="AN3437" s="4">
        <v>0</v>
      </c>
      <c r="AO3437" s="4">
        <v>0</v>
      </c>
      <c r="AP3437" s="4">
        <v>0</v>
      </c>
      <c r="AQ3437" s="4">
        <v>0</v>
      </c>
      <c r="AR3437" s="3" t="s">
        <v>63</v>
      </c>
      <c r="AS3437" s="3" t="s">
        <v>63</v>
      </c>
      <c r="AT3437" s="3" t="s">
        <v>63</v>
      </c>
      <c r="AV3437" s="6" t="str">
        <f>HYPERLINK("http://mcgill.on.worldcat.org/oclc/1005141283","Catalog Record")</f>
        <v>Catalog Record</v>
      </c>
      <c r="AW3437" s="6" t="str">
        <f>HYPERLINK("http://www.worldcat.org/oclc/1005141283","WorldCat Record")</f>
        <v>WorldCat Record</v>
      </c>
      <c r="AX3437" s="3" t="s">
        <v>28747</v>
      </c>
      <c r="AY3437" s="3" t="s">
        <v>28748</v>
      </c>
      <c r="AZ3437" s="3" t="s">
        <v>28749</v>
      </c>
      <c r="BA3437" s="3" t="s">
        <v>28749</v>
      </c>
      <c r="BB3437" s="3" t="s">
        <v>28750</v>
      </c>
      <c r="BC3437" s="3" t="s">
        <v>82</v>
      </c>
      <c r="BD3437" s="3" t="s">
        <v>70</v>
      </c>
      <c r="BE3437" s="3" t="s">
        <v>28751</v>
      </c>
      <c r="BF3437" s="3" t="s">
        <v>28750</v>
      </c>
      <c r="BG3437" s="3" t="s">
        <v>28752</v>
      </c>
    </row>
    <row r="3438" spans="1:59" ht="60" x14ac:dyDescent="0.25">
      <c r="A3438" s="2" t="s">
        <v>59</v>
      </c>
      <c r="B3438" s="2" t="s">
        <v>60</v>
      </c>
      <c r="C3438" s="2" t="s">
        <v>28753</v>
      </c>
      <c r="D3438" s="2" t="s">
        <v>28754</v>
      </c>
      <c r="E3438" s="2" t="s">
        <v>28755</v>
      </c>
      <c r="G3438" s="3" t="s">
        <v>63</v>
      </c>
      <c r="I3438" s="3" t="s">
        <v>63</v>
      </c>
      <c r="J3438" s="3" t="s">
        <v>63</v>
      </c>
      <c r="K3438" s="3" t="s">
        <v>64</v>
      </c>
      <c r="L3438" s="2" t="s">
        <v>16165</v>
      </c>
      <c r="M3438" s="2" t="s">
        <v>14724</v>
      </c>
      <c r="N3438" s="3" t="s">
        <v>1343</v>
      </c>
      <c r="P3438" s="3" t="s">
        <v>66</v>
      </c>
      <c r="Q3438" s="2" t="s">
        <v>20415</v>
      </c>
      <c r="R3438" s="3" t="s">
        <v>67</v>
      </c>
      <c r="S3438" s="4">
        <v>6</v>
      </c>
      <c r="T3438" s="4">
        <v>6</v>
      </c>
      <c r="U3438" s="5" t="s">
        <v>28756</v>
      </c>
      <c r="V3438" s="5" t="s">
        <v>28756</v>
      </c>
      <c r="W3438" s="5" t="s">
        <v>69</v>
      </c>
      <c r="X3438" s="5" t="s">
        <v>69</v>
      </c>
      <c r="Y3438" s="4">
        <v>160</v>
      </c>
      <c r="Z3438" s="4">
        <v>6</v>
      </c>
      <c r="AA3438" s="4">
        <v>13</v>
      </c>
      <c r="AB3438" s="4">
        <v>2</v>
      </c>
      <c r="AC3438" s="4">
        <v>2</v>
      </c>
      <c r="AD3438" s="4">
        <v>59</v>
      </c>
      <c r="AE3438" s="4">
        <v>92</v>
      </c>
      <c r="AF3438" s="4">
        <v>0</v>
      </c>
      <c r="AG3438" s="4">
        <v>0</v>
      </c>
      <c r="AH3438" s="4">
        <v>57</v>
      </c>
      <c r="AI3438" s="4">
        <v>86</v>
      </c>
      <c r="AJ3438" s="4">
        <v>3</v>
      </c>
      <c r="AK3438" s="4">
        <v>7</v>
      </c>
      <c r="AL3438" s="4">
        <v>31</v>
      </c>
      <c r="AM3438" s="4">
        <v>55</v>
      </c>
      <c r="AN3438" s="4">
        <v>0</v>
      </c>
      <c r="AO3438" s="4">
        <v>0</v>
      </c>
      <c r="AP3438" s="4">
        <v>3</v>
      </c>
      <c r="AQ3438" s="4">
        <v>7</v>
      </c>
      <c r="AR3438" s="3" t="s">
        <v>63</v>
      </c>
      <c r="AS3438" s="3" t="s">
        <v>63</v>
      </c>
      <c r="AT3438" s="3" t="s">
        <v>62</v>
      </c>
      <c r="AU3438" s="6" t="str">
        <f>HYPERLINK("http://catalog.hathitrust.org/Record/004126995","HathiTrust Record")</f>
        <v>HathiTrust Record</v>
      </c>
      <c r="AV3438" s="6" t="str">
        <f>HYPERLINK("http://mcgill.on.worldcat.org/oclc/45156735","Catalog Record")</f>
        <v>Catalog Record</v>
      </c>
      <c r="AW3438" s="6" t="str">
        <f>HYPERLINK("http://www.worldcat.org/oclc/45156735","WorldCat Record")</f>
        <v>WorldCat Record</v>
      </c>
      <c r="AX3438" s="3" t="s">
        <v>28757</v>
      </c>
      <c r="AY3438" s="3" t="s">
        <v>28758</v>
      </c>
      <c r="AZ3438" s="3" t="s">
        <v>28759</v>
      </c>
      <c r="BA3438" s="3" t="s">
        <v>28759</v>
      </c>
      <c r="BB3438" s="3" t="s">
        <v>28760</v>
      </c>
      <c r="BC3438" s="3" t="s">
        <v>82</v>
      </c>
      <c r="BD3438" s="3" t="s">
        <v>70</v>
      </c>
      <c r="BE3438" s="3" t="s">
        <v>28761</v>
      </c>
      <c r="BF3438" s="3" t="s">
        <v>28760</v>
      </c>
      <c r="BG3438" s="3" t="s">
        <v>28762</v>
      </c>
    </row>
    <row r="3439" spans="1:59" ht="60" x14ac:dyDescent="0.25">
      <c r="A3439" s="2" t="s">
        <v>59</v>
      </c>
      <c r="B3439" s="2" t="s">
        <v>60</v>
      </c>
      <c r="C3439" s="2" t="s">
        <v>28763</v>
      </c>
      <c r="D3439" s="2" t="s">
        <v>28764</v>
      </c>
      <c r="E3439" s="2" t="s">
        <v>28765</v>
      </c>
      <c r="G3439" s="3" t="s">
        <v>63</v>
      </c>
      <c r="I3439" s="3" t="s">
        <v>63</v>
      </c>
      <c r="J3439" s="3" t="s">
        <v>62</v>
      </c>
      <c r="K3439" s="3" t="s">
        <v>64</v>
      </c>
      <c r="L3439" s="2" t="s">
        <v>16165</v>
      </c>
      <c r="M3439" s="2" t="s">
        <v>28766</v>
      </c>
      <c r="N3439" s="3" t="s">
        <v>313</v>
      </c>
      <c r="P3439" s="3" t="s">
        <v>90</v>
      </c>
      <c r="R3439" s="3" t="s">
        <v>67</v>
      </c>
      <c r="S3439" s="4">
        <v>0</v>
      </c>
      <c r="T3439" s="4">
        <v>0</v>
      </c>
      <c r="W3439" s="5" t="s">
        <v>69</v>
      </c>
      <c r="X3439" s="5" t="s">
        <v>69</v>
      </c>
      <c r="Y3439" s="4">
        <v>2</v>
      </c>
      <c r="Z3439" s="4">
        <v>2</v>
      </c>
      <c r="AA3439" s="4">
        <v>24</v>
      </c>
      <c r="AB3439" s="4">
        <v>1</v>
      </c>
      <c r="AC3439" s="4">
        <v>3</v>
      </c>
      <c r="AD3439" s="4">
        <v>1</v>
      </c>
      <c r="AE3439" s="4">
        <v>104</v>
      </c>
      <c r="AF3439" s="4">
        <v>0</v>
      </c>
      <c r="AG3439" s="4">
        <v>2</v>
      </c>
      <c r="AH3439" s="4">
        <v>1</v>
      </c>
      <c r="AI3439" s="4">
        <v>94</v>
      </c>
      <c r="AJ3439" s="4">
        <v>1</v>
      </c>
      <c r="AK3439" s="4">
        <v>19</v>
      </c>
      <c r="AL3439" s="4">
        <v>0</v>
      </c>
      <c r="AM3439" s="4">
        <v>56</v>
      </c>
      <c r="AN3439" s="4">
        <v>0</v>
      </c>
      <c r="AO3439" s="4">
        <v>0</v>
      </c>
      <c r="AP3439" s="4">
        <v>1</v>
      </c>
      <c r="AQ3439" s="4">
        <v>19</v>
      </c>
      <c r="AR3439" s="3" t="s">
        <v>63</v>
      </c>
      <c r="AS3439" s="3" t="s">
        <v>63</v>
      </c>
      <c r="AT3439" s="3" t="s">
        <v>63</v>
      </c>
      <c r="AV3439" s="6" t="str">
        <f>HYPERLINK("http://mcgill.on.worldcat.org/oclc/855403049","Catalog Record")</f>
        <v>Catalog Record</v>
      </c>
      <c r="AW3439" s="6" t="str">
        <f>HYPERLINK("http://www.worldcat.org/oclc/855403049","WorldCat Record")</f>
        <v>WorldCat Record</v>
      </c>
      <c r="AX3439" s="3" t="s">
        <v>28767</v>
      </c>
      <c r="AY3439" s="3" t="s">
        <v>28768</v>
      </c>
      <c r="AZ3439" s="3" t="s">
        <v>28769</v>
      </c>
      <c r="BA3439" s="3" t="s">
        <v>28769</v>
      </c>
      <c r="BB3439" s="3" t="s">
        <v>28770</v>
      </c>
      <c r="BC3439" s="3" t="s">
        <v>82</v>
      </c>
      <c r="BD3439" s="3" t="s">
        <v>70</v>
      </c>
      <c r="BE3439" s="3" t="s">
        <v>28771</v>
      </c>
      <c r="BF3439" s="3" t="s">
        <v>28770</v>
      </c>
      <c r="BG3439" s="3" t="s">
        <v>28772</v>
      </c>
    </row>
    <row r="3440" spans="1:59" ht="60" x14ac:dyDescent="0.25">
      <c r="A3440" s="2" t="s">
        <v>59</v>
      </c>
      <c r="B3440" s="2" t="s">
        <v>60</v>
      </c>
      <c r="C3440" s="2" t="s">
        <v>28773</v>
      </c>
      <c r="D3440" s="2" t="s">
        <v>28774</v>
      </c>
      <c r="E3440" s="2" t="s">
        <v>28775</v>
      </c>
      <c r="G3440" s="3" t="s">
        <v>63</v>
      </c>
      <c r="I3440" s="3" t="s">
        <v>63</v>
      </c>
      <c r="J3440" s="3" t="s">
        <v>63</v>
      </c>
      <c r="K3440" s="3" t="s">
        <v>64</v>
      </c>
      <c r="L3440" s="2" t="s">
        <v>16165</v>
      </c>
      <c r="M3440" s="2" t="s">
        <v>28776</v>
      </c>
      <c r="N3440" s="3" t="s">
        <v>76</v>
      </c>
      <c r="P3440" s="3" t="s">
        <v>66</v>
      </c>
      <c r="Q3440" s="2" t="s">
        <v>28777</v>
      </c>
      <c r="R3440" s="3" t="s">
        <v>67</v>
      </c>
      <c r="S3440" s="4">
        <v>2</v>
      </c>
      <c r="T3440" s="4">
        <v>2</v>
      </c>
      <c r="U3440" s="5" t="s">
        <v>69</v>
      </c>
      <c r="V3440" s="5" t="s">
        <v>69</v>
      </c>
      <c r="W3440" s="5" t="s">
        <v>69</v>
      </c>
      <c r="X3440" s="5" t="s">
        <v>69</v>
      </c>
      <c r="Y3440" s="4">
        <v>19</v>
      </c>
      <c r="Z3440" s="4">
        <v>2</v>
      </c>
      <c r="AA3440" s="4">
        <v>2</v>
      </c>
      <c r="AB3440" s="4">
        <v>1</v>
      </c>
      <c r="AC3440" s="4">
        <v>1</v>
      </c>
      <c r="AD3440" s="4">
        <v>9</v>
      </c>
      <c r="AE3440" s="4">
        <v>10</v>
      </c>
      <c r="AF3440" s="4">
        <v>0</v>
      </c>
      <c r="AG3440" s="4">
        <v>0</v>
      </c>
      <c r="AH3440" s="4">
        <v>9</v>
      </c>
      <c r="AI3440" s="4">
        <v>10</v>
      </c>
      <c r="AJ3440" s="4">
        <v>1</v>
      </c>
      <c r="AK3440" s="4">
        <v>1</v>
      </c>
      <c r="AL3440" s="4">
        <v>6</v>
      </c>
      <c r="AM3440" s="4">
        <v>7</v>
      </c>
      <c r="AN3440" s="4">
        <v>0</v>
      </c>
      <c r="AO3440" s="4">
        <v>0</v>
      </c>
      <c r="AP3440" s="4">
        <v>1</v>
      </c>
      <c r="AQ3440" s="4">
        <v>1</v>
      </c>
      <c r="AR3440" s="3" t="s">
        <v>63</v>
      </c>
      <c r="AS3440" s="3" t="s">
        <v>63</v>
      </c>
      <c r="AT3440" s="3" t="s">
        <v>63</v>
      </c>
      <c r="AV3440" s="6" t="str">
        <f>HYPERLINK("http://mcgill.on.worldcat.org/oclc/797977271","Catalog Record")</f>
        <v>Catalog Record</v>
      </c>
      <c r="AW3440" s="6" t="str">
        <f>HYPERLINK("http://www.worldcat.org/oclc/797977271","WorldCat Record")</f>
        <v>WorldCat Record</v>
      </c>
      <c r="AX3440" s="3" t="s">
        <v>28778</v>
      </c>
      <c r="AY3440" s="3" t="s">
        <v>28779</v>
      </c>
      <c r="AZ3440" s="3" t="s">
        <v>28780</v>
      </c>
      <c r="BA3440" s="3" t="s">
        <v>28780</v>
      </c>
      <c r="BB3440" s="3" t="s">
        <v>28781</v>
      </c>
      <c r="BC3440" s="3" t="s">
        <v>82</v>
      </c>
      <c r="BD3440" s="3" t="s">
        <v>70</v>
      </c>
      <c r="BE3440" s="3" t="s">
        <v>28782</v>
      </c>
      <c r="BF3440" s="3" t="s">
        <v>28781</v>
      </c>
      <c r="BG3440" s="3" t="s">
        <v>28783</v>
      </c>
    </row>
    <row r="3441" spans="1:59" ht="75" x14ac:dyDescent="0.25">
      <c r="A3441" s="2" t="s">
        <v>59</v>
      </c>
      <c r="B3441" s="2" t="s">
        <v>60</v>
      </c>
      <c r="C3441" s="2" t="s">
        <v>28784</v>
      </c>
      <c r="D3441" s="2" t="s">
        <v>28785</v>
      </c>
      <c r="E3441" s="2" t="s">
        <v>28786</v>
      </c>
      <c r="G3441" s="3" t="s">
        <v>63</v>
      </c>
      <c r="I3441" s="3" t="s">
        <v>63</v>
      </c>
      <c r="J3441" s="3" t="s">
        <v>63</v>
      </c>
      <c r="K3441" s="3" t="s">
        <v>64</v>
      </c>
      <c r="L3441" s="2" t="s">
        <v>16165</v>
      </c>
      <c r="M3441" s="2" t="s">
        <v>28787</v>
      </c>
      <c r="N3441" s="3" t="s">
        <v>455</v>
      </c>
      <c r="P3441" s="3" t="s">
        <v>548</v>
      </c>
      <c r="Q3441" s="2" t="s">
        <v>28788</v>
      </c>
      <c r="R3441" s="3" t="s">
        <v>67</v>
      </c>
      <c r="S3441" s="4">
        <v>7</v>
      </c>
      <c r="T3441" s="4">
        <v>7</v>
      </c>
      <c r="U3441" s="5" t="s">
        <v>12287</v>
      </c>
      <c r="V3441" s="5" t="s">
        <v>12287</v>
      </c>
      <c r="W3441" s="5" t="s">
        <v>69</v>
      </c>
      <c r="X3441" s="5" t="s">
        <v>69</v>
      </c>
      <c r="Y3441" s="4">
        <v>11</v>
      </c>
      <c r="Z3441" s="4">
        <v>3</v>
      </c>
      <c r="AA3441" s="4">
        <v>4</v>
      </c>
      <c r="AB3441" s="4">
        <v>1</v>
      </c>
      <c r="AC3441" s="4">
        <v>2</v>
      </c>
      <c r="AD3441" s="4">
        <v>7</v>
      </c>
      <c r="AE3441" s="4">
        <v>7</v>
      </c>
      <c r="AF3441" s="4">
        <v>0</v>
      </c>
      <c r="AG3441" s="4">
        <v>0</v>
      </c>
      <c r="AH3441" s="4">
        <v>6</v>
      </c>
      <c r="AI3441" s="4">
        <v>6</v>
      </c>
      <c r="AJ3441" s="4">
        <v>1</v>
      </c>
      <c r="AK3441" s="4">
        <v>1</v>
      </c>
      <c r="AL3441" s="4">
        <v>5</v>
      </c>
      <c r="AM3441" s="4">
        <v>5</v>
      </c>
      <c r="AN3441" s="4">
        <v>0</v>
      </c>
      <c r="AO3441" s="4">
        <v>0</v>
      </c>
      <c r="AP3441" s="4">
        <v>1</v>
      </c>
      <c r="AQ3441" s="4">
        <v>1</v>
      </c>
      <c r="AR3441" s="3" t="s">
        <v>63</v>
      </c>
      <c r="AS3441" s="3" t="s">
        <v>63</v>
      </c>
      <c r="AT3441" s="3" t="s">
        <v>63</v>
      </c>
      <c r="AV3441" s="6" t="str">
        <f>HYPERLINK("http://mcgill.on.worldcat.org/oclc/16933297","Catalog Record")</f>
        <v>Catalog Record</v>
      </c>
      <c r="AW3441" s="6" t="str">
        <f>HYPERLINK("http://www.worldcat.org/oclc/16933297","WorldCat Record")</f>
        <v>WorldCat Record</v>
      </c>
      <c r="AX3441" s="3" t="s">
        <v>28789</v>
      </c>
      <c r="AY3441" s="3" t="s">
        <v>28790</v>
      </c>
      <c r="AZ3441" s="3" t="s">
        <v>28791</v>
      </c>
      <c r="BA3441" s="3" t="s">
        <v>28791</v>
      </c>
      <c r="BB3441" s="3" t="s">
        <v>28792</v>
      </c>
      <c r="BC3441" s="3" t="s">
        <v>82</v>
      </c>
      <c r="BD3441" s="3" t="s">
        <v>70</v>
      </c>
      <c r="BF3441" s="3" t="s">
        <v>28792</v>
      </c>
      <c r="BG3441" s="3" t="s">
        <v>28793</v>
      </c>
    </row>
    <row r="3442" spans="1:59" ht="60" x14ac:dyDescent="0.25">
      <c r="A3442" s="2" t="s">
        <v>59</v>
      </c>
      <c r="B3442" s="2" t="s">
        <v>60</v>
      </c>
      <c r="C3442" s="2" t="s">
        <v>28794</v>
      </c>
      <c r="D3442" s="2" t="s">
        <v>28795</v>
      </c>
      <c r="E3442" s="2" t="s">
        <v>28796</v>
      </c>
      <c r="G3442" s="3" t="s">
        <v>63</v>
      </c>
      <c r="I3442" s="3" t="s">
        <v>63</v>
      </c>
      <c r="J3442" s="3" t="s">
        <v>63</v>
      </c>
      <c r="K3442" s="3" t="s">
        <v>64</v>
      </c>
      <c r="L3442" s="2" t="s">
        <v>16165</v>
      </c>
      <c r="M3442" s="2" t="s">
        <v>28797</v>
      </c>
      <c r="N3442" s="3" t="s">
        <v>468</v>
      </c>
      <c r="P3442" s="3" t="s">
        <v>90</v>
      </c>
      <c r="R3442" s="3" t="s">
        <v>67</v>
      </c>
      <c r="S3442" s="4">
        <v>2</v>
      </c>
      <c r="T3442" s="4">
        <v>2</v>
      </c>
      <c r="U3442" s="5" t="s">
        <v>3789</v>
      </c>
      <c r="V3442" s="5" t="s">
        <v>3789</v>
      </c>
      <c r="W3442" s="5" t="s">
        <v>69</v>
      </c>
      <c r="X3442" s="5" t="s">
        <v>69</v>
      </c>
      <c r="Y3442" s="4">
        <v>83</v>
      </c>
      <c r="Z3442" s="4">
        <v>7</v>
      </c>
      <c r="AA3442" s="4">
        <v>10</v>
      </c>
      <c r="AB3442" s="4">
        <v>1</v>
      </c>
      <c r="AC3442" s="4">
        <v>2</v>
      </c>
      <c r="AD3442" s="4">
        <v>43</v>
      </c>
      <c r="AE3442" s="4">
        <v>50</v>
      </c>
      <c r="AF3442" s="4">
        <v>0</v>
      </c>
      <c r="AG3442" s="4">
        <v>1</v>
      </c>
      <c r="AH3442" s="4">
        <v>40</v>
      </c>
      <c r="AI3442" s="4">
        <v>46</v>
      </c>
      <c r="AJ3442" s="4">
        <v>4</v>
      </c>
      <c r="AK3442" s="4">
        <v>7</v>
      </c>
      <c r="AL3442" s="4">
        <v>31</v>
      </c>
      <c r="AM3442" s="4">
        <v>34</v>
      </c>
      <c r="AN3442" s="4">
        <v>0</v>
      </c>
      <c r="AO3442" s="4">
        <v>0</v>
      </c>
      <c r="AP3442" s="4">
        <v>4</v>
      </c>
      <c r="AQ3442" s="4">
        <v>7</v>
      </c>
      <c r="AR3442" s="3" t="s">
        <v>63</v>
      </c>
      <c r="AS3442" s="3" t="s">
        <v>63</v>
      </c>
      <c r="AT3442" s="3" t="s">
        <v>62</v>
      </c>
      <c r="AU3442" s="6" t="str">
        <f>HYPERLINK("http://catalog.hathitrust.org/Record/001730573","HathiTrust Record")</f>
        <v>HathiTrust Record</v>
      </c>
      <c r="AV3442" s="6" t="str">
        <f>HYPERLINK("http://mcgill.on.worldcat.org/oclc/2324047","Catalog Record")</f>
        <v>Catalog Record</v>
      </c>
      <c r="AW3442" s="6" t="str">
        <f>HYPERLINK("http://www.worldcat.org/oclc/2324047","WorldCat Record")</f>
        <v>WorldCat Record</v>
      </c>
      <c r="AX3442" s="3" t="s">
        <v>28798</v>
      </c>
      <c r="AY3442" s="3" t="s">
        <v>28799</v>
      </c>
      <c r="AZ3442" s="3" t="s">
        <v>28800</v>
      </c>
      <c r="BA3442" s="3" t="s">
        <v>28800</v>
      </c>
      <c r="BB3442" s="3" t="s">
        <v>28801</v>
      </c>
      <c r="BC3442" s="3" t="s">
        <v>82</v>
      </c>
      <c r="BD3442" s="3" t="s">
        <v>70</v>
      </c>
      <c r="BF3442" s="3" t="s">
        <v>28801</v>
      </c>
      <c r="BG3442" s="3" t="s">
        <v>28802</v>
      </c>
    </row>
    <row r="3443" spans="1:59" ht="60" x14ac:dyDescent="0.25">
      <c r="A3443" s="2" t="s">
        <v>59</v>
      </c>
      <c r="B3443" s="2" t="s">
        <v>60</v>
      </c>
      <c r="C3443" s="2" t="s">
        <v>28803</v>
      </c>
      <c r="D3443" s="2" t="s">
        <v>28804</v>
      </c>
      <c r="E3443" s="2" t="s">
        <v>28805</v>
      </c>
      <c r="G3443" s="3" t="s">
        <v>63</v>
      </c>
      <c r="I3443" s="3" t="s">
        <v>63</v>
      </c>
      <c r="J3443" s="3" t="s">
        <v>63</v>
      </c>
      <c r="K3443" s="3" t="s">
        <v>64</v>
      </c>
      <c r="L3443" s="2" t="s">
        <v>16165</v>
      </c>
      <c r="M3443" s="2" t="s">
        <v>28806</v>
      </c>
      <c r="N3443" s="3" t="s">
        <v>1226</v>
      </c>
      <c r="P3443" s="3" t="s">
        <v>66</v>
      </c>
      <c r="Q3443" s="2" t="s">
        <v>28807</v>
      </c>
      <c r="R3443" s="3" t="s">
        <v>67</v>
      </c>
      <c r="S3443" s="4">
        <v>13</v>
      </c>
      <c r="T3443" s="4">
        <v>13</v>
      </c>
      <c r="U3443" s="5" t="s">
        <v>23553</v>
      </c>
      <c r="V3443" s="5" t="s">
        <v>23553</v>
      </c>
      <c r="W3443" s="5" t="s">
        <v>69</v>
      </c>
      <c r="X3443" s="5" t="s">
        <v>69</v>
      </c>
      <c r="Y3443" s="4">
        <v>209</v>
      </c>
      <c r="Z3443" s="4">
        <v>10</v>
      </c>
      <c r="AA3443" s="4">
        <v>13</v>
      </c>
      <c r="AB3443" s="4">
        <v>1</v>
      </c>
      <c r="AC3443" s="4">
        <v>1</v>
      </c>
      <c r="AD3443" s="4">
        <v>89</v>
      </c>
      <c r="AE3443" s="4">
        <v>94</v>
      </c>
      <c r="AF3443" s="4">
        <v>0</v>
      </c>
      <c r="AG3443" s="4">
        <v>0</v>
      </c>
      <c r="AH3443" s="4">
        <v>83</v>
      </c>
      <c r="AI3443" s="4">
        <v>87</v>
      </c>
      <c r="AJ3443" s="4">
        <v>7</v>
      </c>
      <c r="AK3443" s="4">
        <v>10</v>
      </c>
      <c r="AL3443" s="4">
        <v>49</v>
      </c>
      <c r="AM3443" s="4">
        <v>51</v>
      </c>
      <c r="AN3443" s="4">
        <v>0</v>
      </c>
      <c r="AO3443" s="4">
        <v>0</v>
      </c>
      <c r="AP3443" s="4">
        <v>8</v>
      </c>
      <c r="AQ3443" s="4">
        <v>11</v>
      </c>
      <c r="AR3443" s="3" t="s">
        <v>63</v>
      </c>
      <c r="AS3443" s="3" t="s">
        <v>63</v>
      </c>
      <c r="AT3443" s="3" t="s">
        <v>62</v>
      </c>
      <c r="AU3443" s="6" t="str">
        <f>HYPERLINK("http://catalog.hathitrust.org/Record/004365690","HathiTrust Record")</f>
        <v>HathiTrust Record</v>
      </c>
      <c r="AV3443" s="6" t="str">
        <f>HYPERLINK("http://mcgill.on.worldcat.org/oclc/50004735","Catalog Record")</f>
        <v>Catalog Record</v>
      </c>
      <c r="AW3443" s="6" t="str">
        <f>HYPERLINK("http://www.worldcat.org/oclc/50004735","WorldCat Record")</f>
        <v>WorldCat Record</v>
      </c>
      <c r="AX3443" s="3" t="s">
        <v>28808</v>
      </c>
      <c r="AY3443" s="3" t="s">
        <v>28809</v>
      </c>
      <c r="AZ3443" s="3" t="s">
        <v>28810</v>
      </c>
      <c r="BA3443" s="3" t="s">
        <v>28810</v>
      </c>
      <c r="BB3443" s="3" t="s">
        <v>28811</v>
      </c>
      <c r="BC3443" s="3" t="s">
        <v>82</v>
      </c>
      <c r="BD3443" s="3" t="s">
        <v>70</v>
      </c>
      <c r="BE3443" s="3" t="s">
        <v>28812</v>
      </c>
      <c r="BF3443" s="3" t="s">
        <v>28811</v>
      </c>
      <c r="BG3443" s="3" t="s">
        <v>28813</v>
      </c>
    </row>
    <row r="3444" spans="1:59" ht="90" x14ac:dyDescent="0.25">
      <c r="A3444" s="2" t="s">
        <v>59</v>
      </c>
      <c r="B3444" s="2" t="s">
        <v>60</v>
      </c>
      <c r="C3444" s="2" t="s">
        <v>28814</v>
      </c>
      <c r="D3444" s="2" t="s">
        <v>28815</v>
      </c>
      <c r="E3444" s="2" t="s">
        <v>28816</v>
      </c>
      <c r="G3444" s="3" t="s">
        <v>63</v>
      </c>
      <c r="I3444" s="3" t="s">
        <v>63</v>
      </c>
      <c r="J3444" s="3" t="s">
        <v>63</v>
      </c>
      <c r="K3444" s="3" t="s">
        <v>64</v>
      </c>
      <c r="L3444" s="2" t="s">
        <v>28659</v>
      </c>
      <c r="M3444" s="2" t="s">
        <v>28817</v>
      </c>
      <c r="N3444" s="3" t="s">
        <v>130</v>
      </c>
      <c r="P3444" s="3" t="s">
        <v>90</v>
      </c>
      <c r="R3444" s="3" t="s">
        <v>67</v>
      </c>
      <c r="S3444" s="4">
        <v>0</v>
      </c>
      <c r="T3444" s="4">
        <v>0</v>
      </c>
      <c r="W3444" s="5" t="s">
        <v>69</v>
      </c>
      <c r="X3444" s="5" t="s">
        <v>69</v>
      </c>
      <c r="Y3444" s="4">
        <v>40</v>
      </c>
      <c r="Z3444" s="4">
        <v>4</v>
      </c>
      <c r="AA3444" s="4">
        <v>4</v>
      </c>
      <c r="AB3444" s="4">
        <v>1</v>
      </c>
      <c r="AC3444" s="4">
        <v>1</v>
      </c>
      <c r="AD3444" s="4">
        <v>33</v>
      </c>
      <c r="AE3444" s="4">
        <v>33</v>
      </c>
      <c r="AF3444" s="4">
        <v>0</v>
      </c>
      <c r="AG3444" s="4">
        <v>0</v>
      </c>
      <c r="AH3444" s="4">
        <v>32</v>
      </c>
      <c r="AI3444" s="4">
        <v>32</v>
      </c>
      <c r="AJ3444" s="4">
        <v>2</v>
      </c>
      <c r="AK3444" s="4">
        <v>2</v>
      </c>
      <c r="AL3444" s="4">
        <v>25</v>
      </c>
      <c r="AM3444" s="4">
        <v>25</v>
      </c>
      <c r="AN3444" s="4">
        <v>0</v>
      </c>
      <c r="AO3444" s="4">
        <v>0</v>
      </c>
      <c r="AP3444" s="4">
        <v>2</v>
      </c>
      <c r="AQ3444" s="4">
        <v>2</v>
      </c>
      <c r="AR3444" s="3" t="s">
        <v>63</v>
      </c>
      <c r="AS3444" s="3" t="s">
        <v>63</v>
      </c>
      <c r="AT3444" s="3" t="s">
        <v>63</v>
      </c>
      <c r="AV3444" s="6" t="str">
        <f>HYPERLINK("http://mcgill.on.worldcat.org/oclc/872403632","Catalog Record")</f>
        <v>Catalog Record</v>
      </c>
      <c r="AW3444" s="6" t="str">
        <f>HYPERLINK("http://www.worldcat.org/oclc/872403632","WorldCat Record")</f>
        <v>WorldCat Record</v>
      </c>
      <c r="AX3444" s="3" t="s">
        <v>28818</v>
      </c>
      <c r="AY3444" s="3" t="s">
        <v>28819</v>
      </c>
      <c r="AZ3444" s="3" t="s">
        <v>28820</v>
      </c>
      <c r="BA3444" s="3" t="s">
        <v>28820</v>
      </c>
      <c r="BB3444" s="3" t="s">
        <v>28821</v>
      </c>
      <c r="BC3444" s="3" t="s">
        <v>82</v>
      </c>
      <c r="BD3444" s="3" t="s">
        <v>70</v>
      </c>
      <c r="BE3444" s="3" t="s">
        <v>28822</v>
      </c>
      <c r="BF3444" s="3" t="s">
        <v>28821</v>
      </c>
      <c r="BG3444" s="3" t="s">
        <v>28823</v>
      </c>
    </row>
    <row r="3445" spans="1:59" ht="60" x14ac:dyDescent="0.25">
      <c r="A3445" s="2" t="s">
        <v>59</v>
      </c>
      <c r="B3445" s="2" t="s">
        <v>60</v>
      </c>
      <c r="C3445" s="2" t="s">
        <v>28824</v>
      </c>
      <c r="D3445" s="2" t="s">
        <v>28825</v>
      </c>
      <c r="E3445" s="2" t="s">
        <v>28826</v>
      </c>
      <c r="G3445" s="3" t="s">
        <v>63</v>
      </c>
      <c r="I3445" s="3" t="s">
        <v>63</v>
      </c>
      <c r="J3445" s="3" t="s">
        <v>63</v>
      </c>
      <c r="K3445" s="3" t="s">
        <v>64</v>
      </c>
      <c r="L3445" s="2" t="s">
        <v>28827</v>
      </c>
      <c r="M3445" s="2" t="s">
        <v>28648</v>
      </c>
      <c r="N3445" s="3" t="s">
        <v>313</v>
      </c>
      <c r="P3445" s="3" t="s">
        <v>90</v>
      </c>
      <c r="R3445" s="3" t="s">
        <v>67</v>
      </c>
      <c r="S3445" s="4">
        <v>0</v>
      </c>
      <c r="T3445" s="4">
        <v>0</v>
      </c>
      <c r="W3445" s="5" t="s">
        <v>69</v>
      </c>
      <c r="X3445" s="5" t="s">
        <v>69</v>
      </c>
      <c r="Y3445" s="4">
        <v>23</v>
      </c>
      <c r="Z3445" s="4">
        <v>5</v>
      </c>
      <c r="AA3445" s="4">
        <v>5</v>
      </c>
      <c r="AB3445" s="4">
        <v>1</v>
      </c>
      <c r="AC3445" s="4">
        <v>1</v>
      </c>
      <c r="AD3445" s="4">
        <v>17</v>
      </c>
      <c r="AE3445" s="4">
        <v>17</v>
      </c>
      <c r="AF3445" s="4">
        <v>0</v>
      </c>
      <c r="AG3445" s="4">
        <v>0</v>
      </c>
      <c r="AH3445" s="4">
        <v>16</v>
      </c>
      <c r="AI3445" s="4">
        <v>16</v>
      </c>
      <c r="AJ3445" s="4">
        <v>3</v>
      </c>
      <c r="AK3445" s="4">
        <v>3</v>
      </c>
      <c r="AL3445" s="4">
        <v>14</v>
      </c>
      <c r="AM3445" s="4">
        <v>14</v>
      </c>
      <c r="AN3445" s="4">
        <v>0</v>
      </c>
      <c r="AO3445" s="4">
        <v>0</v>
      </c>
      <c r="AP3445" s="4">
        <v>3</v>
      </c>
      <c r="AQ3445" s="4">
        <v>3</v>
      </c>
      <c r="AR3445" s="3" t="s">
        <v>63</v>
      </c>
      <c r="AS3445" s="3" t="s">
        <v>63</v>
      </c>
      <c r="AT3445" s="3" t="s">
        <v>62</v>
      </c>
      <c r="AU3445" s="6" t="str">
        <f>HYPERLINK("http://catalog.hathitrust.org/Record/008561308","HathiTrust Record")</f>
        <v>HathiTrust Record</v>
      </c>
      <c r="AV3445" s="6" t="str">
        <f>HYPERLINK("http://mcgill.on.worldcat.org/oclc/667207939","Catalog Record")</f>
        <v>Catalog Record</v>
      </c>
      <c r="AW3445" s="6" t="str">
        <f>HYPERLINK("http://www.worldcat.org/oclc/667207939","WorldCat Record")</f>
        <v>WorldCat Record</v>
      </c>
      <c r="AX3445" s="3" t="s">
        <v>28828</v>
      </c>
      <c r="AY3445" s="3" t="s">
        <v>28829</v>
      </c>
      <c r="AZ3445" s="3" t="s">
        <v>28830</v>
      </c>
      <c r="BA3445" s="3" t="s">
        <v>28830</v>
      </c>
      <c r="BB3445" s="3" t="s">
        <v>28831</v>
      </c>
      <c r="BC3445" s="3" t="s">
        <v>82</v>
      </c>
      <c r="BD3445" s="3" t="s">
        <v>70</v>
      </c>
      <c r="BE3445" s="3" t="s">
        <v>28832</v>
      </c>
      <c r="BF3445" s="3" t="s">
        <v>28831</v>
      </c>
      <c r="BG3445" s="3" t="s">
        <v>28833</v>
      </c>
    </row>
    <row r="3446" spans="1:59" ht="60" x14ac:dyDescent="0.25">
      <c r="A3446" s="2" t="s">
        <v>59</v>
      </c>
      <c r="B3446" s="2" t="s">
        <v>60</v>
      </c>
      <c r="C3446" s="2" t="s">
        <v>28834</v>
      </c>
      <c r="D3446" s="2" t="s">
        <v>28835</v>
      </c>
      <c r="E3446" s="2" t="s">
        <v>28836</v>
      </c>
      <c r="G3446" s="3" t="s">
        <v>63</v>
      </c>
      <c r="I3446" s="3" t="s">
        <v>63</v>
      </c>
      <c r="J3446" s="3" t="s">
        <v>63</v>
      </c>
      <c r="K3446" s="3" t="s">
        <v>64</v>
      </c>
      <c r="L3446" s="2" t="s">
        <v>28837</v>
      </c>
      <c r="M3446" s="2" t="s">
        <v>28838</v>
      </c>
      <c r="N3446" s="3" t="s">
        <v>234</v>
      </c>
      <c r="P3446" s="3" t="s">
        <v>66</v>
      </c>
      <c r="R3446" s="3" t="s">
        <v>67</v>
      </c>
      <c r="S3446" s="4">
        <v>2</v>
      </c>
      <c r="T3446" s="4">
        <v>2</v>
      </c>
      <c r="U3446" s="5" t="s">
        <v>9040</v>
      </c>
      <c r="V3446" s="5" t="s">
        <v>9040</v>
      </c>
      <c r="W3446" s="5" t="s">
        <v>69</v>
      </c>
      <c r="X3446" s="5" t="s">
        <v>69</v>
      </c>
      <c r="Y3446" s="4">
        <v>397</v>
      </c>
      <c r="Z3446" s="4">
        <v>19</v>
      </c>
      <c r="AA3446" s="4">
        <v>26</v>
      </c>
      <c r="AB3446" s="4">
        <v>1</v>
      </c>
      <c r="AC3446" s="4">
        <v>5</v>
      </c>
      <c r="AD3446" s="4">
        <v>105</v>
      </c>
      <c r="AE3446" s="4">
        <v>109</v>
      </c>
      <c r="AF3446" s="4">
        <v>0</v>
      </c>
      <c r="AG3446" s="4">
        <v>1</v>
      </c>
      <c r="AH3446" s="4">
        <v>97</v>
      </c>
      <c r="AI3446" s="4">
        <v>100</v>
      </c>
      <c r="AJ3446" s="4">
        <v>13</v>
      </c>
      <c r="AK3446" s="4">
        <v>14</v>
      </c>
      <c r="AL3446" s="4">
        <v>54</v>
      </c>
      <c r="AM3446" s="4">
        <v>55</v>
      </c>
      <c r="AN3446" s="4">
        <v>0</v>
      </c>
      <c r="AO3446" s="4">
        <v>0</v>
      </c>
      <c r="AP3446" s="4">
        <v>14</v>
      </c>
      <c r="AQ3446" s="4">
        <v>16</v>
      </c>
      <c r="AR3446" s="3" t="s">
        <v>63</v>
      </c>
      <c r="AS3446" s="3" t="s">
        <v>63</v>
      </c>
      <c r="AT3446" s="3" t="s">
        <v>63</v>
      </c>
      <c r="AV3446" s="6" t="str">
        <f>HYPERLINK("http://mcgill.on.worldcat.org/oclc/64594401","Catalog Record")</f>
        <v>Catalog Record</v>
      </c>
      <c r="AW3446" s="6" t="str">
        <f>HYPERLINK("http://www.worldcat.org/oclc/64594401","WorldCat Record")</f>
        <v>WorldCat Record</v>
      </c>
      <c r="AX3446" s="3" t="s">
        <v>28839</v>
      </c>
      <c r="AY3446" s="3" t="s">
        <v>28840</v>
      </c>
      <c r="AZ3446" s="3" t="s">
        <v>28841</v>
      </c>
      <c r="BA3446" s="3" t="s">
        <v>28841</v>
      </c>
      <c r="BB3446" s="3" t="s">
        <v>28842</v>
      </c>
      <c r="BC3446" s="3" t="s">
        <v>82</v>
      </c>
      <c r="BD3446" s="3" t="s">
        <v>70</v>
      </c>
      <c r="BE3446" s="3" t="s">
        <v>28843</v>
      </c>
      <c r="BF3446" s="3" t="s">
        <v>28842</v>
      </c>
      <c r="BG3446" s="3" t="s">
        <v>28844</v>
      </c>
    </row>
    <row r="3447" spans="1:59" ht="60" x14ac:dyDescent="0.25">
      <c r="A3447" s="2" t="s">
        <v>59</v>
      </c>
      <c r="B3447" s="2" t="s">
        <v>60</v>
      </c>
      <c r="C3447" s="2" t="s">
        <v>28845</v>
      </c>
      <c r="D3447" s="2" t="s">
        <v>28846</v>
      </c>
      <c r="E3447" s="2" t="s">
        <v>28847</v>
      </c>
      <c r="G3447" s="3" t="s">
        <v>63</v>
      </c>
      <c r="I3447" s="3" t="s">
        <v>63</v>
      </c>
      <c r="J3447" s="3" t="s">
        <v>63</v>
      </c>
      <c r="K3447" s="3" t="s">
        <v>64</v>
      </c>
      <c r="L3447" s="2" t="s">
        <v>23344</v>
      </c>
      <c r="M3447" s="2" t="s">
        <v>28848</v>
      </c>
      <c r="N3447" s="3" t="s">
        <v>161</v>
      </c>
      <c r="P3447" s="3" t="s">
        <v>66</v>
      </c>
      <c r="Q3447" s="2" t="s">
        <v>28849</v>
      </c>
      <c r="R3447" s="3" t="s">
        <v>67</v>
      </c>
      <c r="S3447" s="4">
        <v>5</v>
      </c>
      <c r="T3447" s="4">
        <v>5</v>
      </c>
      <c r="U3447" s="5" t="s">
        <v>28850</v>
      </c>
      <c r="V3447" s="5" t="s">
        <v>28850</v>
      </c>
      <c r="W3447" s="5" t="s">
        <v>69</v>
      </c>
      <c r="X3447" s="5" t="s">
        <v>69</v>
      </c>
      <c r="Y3447" s="4">
        <v>110</v>
      </c>
      <c r="Z3447" s="4">
        <v>8</v>
      </c>
      <c r="AA3447" s="4">
        <v>8</v>
      </c>
      <c r="AB3447" s="4">
        <v>1</v>
      </c>
      <c r="AC3447" s="4">
        <v>1</v>
      </c>
      <c r="AD3447" s="4">
        <v>23</v>
      </c>
      <c r="AE3447" s="4">
        <v>23</v>
      </c>
      <c r="AF3447" s="4">
        <v>0</v>
      </c>
      <c r="AG3447" s="4">
        <v>0</v>
      </c>
      <c r="AH3447" s="4">
        <v>22</v>
      </c>
      <c r="AI3447" s="4">
        <v>22</v>
      </c>
      <c r="AJ3447" s="4">
        <v>5</v>
      </c>
      <c r="AK3447" s="4">
        <v>5</v>
      </c>
      <c r="AL3447" s="4">
        <v>15</v>
      </c>
      <c r="AM3447" s="4">
        <v>15</v>
      </c>
      <c r="AN3447" s="4">
        <v>0</v>
      </c>
      <c r="AO3447" s="4">
        <v>0</v>
      </c>
      <c r="AP3447" s="4">
        <v>5</v>
      </c>
      <c r="AQ3447" s="4">
        <v>5</v>
      </c>
      <c r="AR3447" s="3" t="s">
        <v>63</v>
      </c>
      <c r="AS3447" s="3" t="s">
        <v>63</v>
      </c>
      <c r="AT3447" s="3" t="s">
        <v>63</v>
      </c>
      <c r="AV3447" s="6" t="str">
        <f>HYPERLINK("http://mcgill.on.worldcat.org/oclc/19668928","Catalog Record")</f>
        <v>Catalog Record</v>
      </c>
      <c r="AW3447" s="6" t="str">
        <f>HYPERLINK("http://www.worldcat.org/oclc/19668928","WorldCat Record")</f>
        <v>WorldCat Record</v>
      </c>
      <c r="AX3447" s="3" t="s">
        <v>28851</v>
      </c>
      <c r="AY3447" s="3" t="s">
        <v>28852</v>
      </c>
      <c r="AZ3447" s="3" t="s">
        <v>28853</v>
      </c>
      <c r="BA3447" s="3" t="s">
        <v>28853</v>
      </c>
      <c r="BB3447" s="3" t="s">
        <v>28854</v>
      </c>
      <c r="BC3447" s="3" t="s">
        <v>82</v>
      </c>
      <c r="BD3447" s="3" t="s">
        <v>70</v>
      </c>
      <c r="BE3447" s="3" t="s">
        <v>28855</v>
      </c>
      <c r="BF3447" s="3" t="s">
        <v>28854</v>
      </c>
      <c r="BG3447" s="3" t="s">
        <v>28856</v>
      </c>
    </row>
    <row r="3448" spans="1:59" ht="75" x14ac:dyDescent="0.25">
      <c r="A3448" s="2" t="s">
        <v>59</v>
      </c>
      <c r="B3448" s="2" t="s">
        <v>60</v>
      </c>
      <c r="C3448" s="2" t="s">
        <v>28857</v>
      </c>
      <c r="D3448" s="2" t="s">
        <v>28858</v>
      </c>
      <c r="E3448" s="2" t="s">
        <v>28859</v>
      </c>
      <c r="G3448" s="3" t="s">
        <v>63</v>
      </c>
      <c r="I3448" s="3" t="s">
        <v>63</v>
      </c>
      <c r="J3448" s="3" t="s">
        <v>63</v>
      </c>
      <c r="K3448" s="3" t="s">
        <v>64</v>
      </c>
      <c r="L3448" s="2" t="s">
        <v>28860</v>
      </c>
      <c r="M3448" s="2" t="s">
        <v>28861</v>
      </c>
      <c r="N3448" s="3" t="s">
        <v>693</v>
      </c>
      <c r="O3448" s="2" t="s">
        <v>590</v>
      </c>
      <c r="P3448" s="3" t="s">
        <v>66</v>
      </c>
      <c r="R3448" s="3" t="s">
        <v>67</v>
      </c>
      <c r="S3448" s="4">
        <v>1</v>
      </c>
      <c r="T3448" s="4">
        <v>1</v>
      </c>
      <c r="U3448" s="5" t="s">
        <v>9040</v>
      </c>
      <c r="V3448" s="5" t="s">
        <v>9040</v>
      </c>
      <c r="W3448" s="5" t="s">
        <v>69</v>
      </c>
      <c r="X3448" s="5" t="s">
        <v>69</v>
      </c>
      <c r="Y3448" s="4">
        <v>444</v>
      </c>
      <c r="Z3448" s="4">
        <v>17</v>
      </c>
      <c r="AA3448" s="4">
        <v>19</v>
      </c>
      <c r="AB3448" s="4">
        <v>1</v>
      </c>
      <c r="AC3448" s="4">
        <v>3</v>
      </c>
      <c r="AD3448" s="4">
        <v>99</v>
      </c>
      <c r="AE3448" s="4">
        <v>100</v>
      </c>
      <c r="AF3448" s="4">
        <v>0</v>
      </c>
      <c r="AG3448" s="4">
        <v>1</v>
      </c>
      <c r="AH3448" s="4">
        <v>92</v>
      </c>
      <c r="AI3448" s="4">
        <v>93</v>
      </c>
      <c r="AJ3448" s="4">
        <v>9</v>
      </c>
      <c r="AK3448" s="4">
        <v>10</v>
      </c>
      <c r="AL3448" s="4">
        <v>52</v>
      </c>
      <c r="AM3448" s="4">
        <v>52</v>
      </c>
      <c r="AN3448" s="4">
        <v>0</v>
      </c>
      <c r="AO3448" s="4">
        <v>0</v>
      </c>
      <c r="AP3448" s="4">
        <v>11</v>
      </c>
      <c r="AQ3448" s="4">
        <v>12</v>
      </c>
      <c r="AR3448" s="3" t="s">
        <v>63</v>
      </c>
      <c r="AS3448" s="3" t="s">
        <v>63</v>
      </c>
      <c r="AT3448" s="3" t="s">
        <v>62</v>
      </c>
      <c r="AU3448" s="6" t="str">
        <f>HYPERLINK("http://catalog.hathitrust.org/Record/004368037","HathiTrust Record")</f>
        <v>HathiTrust Record</v>
      </c>
      <c r="AV3448" s="6" t="str">
        <f>HYPERLINK("http://mcgill.on.worldcat.org/oclc/53276623","Catalog Record")</f>
        <v>Catalog Record</v>
      </c>
      <c r="AW3448" s="6" t="str">
        <f>HYPERLINK("http://www.worldcat.org/oclc/53276623","WorldCat Record")</f>
        <v>WorldCat Record</v>
      </c>
      <c r="AX3448" s="3" t="s">
        <v>28862</v>
      </c>
      <c r="AY3448" s="3" t="s">
        <v>28863</v>
      </c>
      <c r="AZ3448" s="3" t="s">
        <v>28864</v>
      </c>
      <c r="BA3448" s="3" t="s">
        <v>28864</v>
      </c>
      <c r="BB3448" s="3" t="s">
        <v>28865</v>
      </c>
      <c r="BC3448" s="3" t="s">
        <v>82</v>
      </c>
      <c r="BD3448" s="3" t="s">
        <v>70</v>
      </c>
      <c r="BE3448" s="3" t="s">
        <v>28866</v>
      </c>
      <c r="BF3448" s="3" t="s">
        <v>28865</v>
      </c>
      <c r="BG3448" s="3" t="s">
        <v>28867</v>
      </c>
    </row>
    <row r="3449" spans="1:59" ht="60" x14ac:dyDescent="0.25">
      <c r="A3449" s="2" t="s">
        <v>59</v>
      </c>
      <c r="B3449" s="2" t="s">
        <v>60</v>
      </c>
      <c r="C3449" s="2" t="s">
        <v>28868</v>
      </c>
      <c r="D3449" s="2" t="s">
        <v>28869</v>
      </c>
      <c r="E3449" s="2" t="s">
        <v>28870</v>
      </c>
      <c r="G3449" s="3" t="s">
        <v>63</v>
      </c>
      <c r="I3449" s="3" t="s">
        <v>63</v>
      </c>
      <c r="J3449" s="3" t="s">
        <v>63</v>
      </c>
      <c r="K3449" s="3" t="s">
        <v>64</v>
      </c>
      <c r="L3449" s="2" t="s">
        <v>28871</v>
      </c>
      <c r="M3449" s="2" t="s">
        <v>28872</v>
      </c>
      <c r="N3449" s="3" t="s">
        <v>668</v>
      </c>
      <c r="P3449" s="3" t="s">
        <v>548</v>
      </c>
      <c r="Q3449" s="2" t="s">
        <v>28873</v>
      </c>
      <c r="R3449" s="3" t="s">
        <v>67</v>
      </c>
      <c r="S3449" s="4">
        <v>8</v>
      </c>
      <c r="T3449" s="4">
        <v>8</v>
      </c>
      <c r="U3449" s="5" t="s">
        <v>12287</v>
      </c>
      <c r="V3449" s="5" t="s">
        <v>12287</v>
      </c>
      <c r="W3449" s="5" t="s">
        <v>69</v>
      </c>
      <c r="X3449" s="5" t="s">
        <v>69</v>
      </c>
      <c r="Y3449" s="4">
        <v>51</v>
      </c>
      <c r="Z3449" s="4">
        <v>4</v>
      </c>
      <c r="AA3449" s="4">
        <v>10</v>
      </c>
      <c r="AB3449" s="4">
        <v>2</v>
      </c>
      <c r="AC3449" s="4">
        <v>6</v>
      </c>
      <c r="AD3449" s="4">
        <v>27</v>
      </c>
      <c r="AE3449" s="4">
        <v>37</v>
      </c>
      <c r="AF3449" s="4">
        <v>0</v>
      </c>
      <c r="AG3449" s="4">
        <v>3</v>
      </c>
      <c r="AH3449" s="4">
        <v>26</v>
      </c>
      <c r="AI3449" s="4">
        <v>34</v>
      </c>
      <c r="AJ3449" s="4">
        <v>2</v>
      </c>
      <c r="AK3449" s="4">
        <v>7</v>
      </c>
      <c r="AL3449" s="4">
        <v>22</v>
      </c>
      <c r="AM3449" s="4">
        <v>25</v>
      </c>
      <c r="AN3449" s="4">
        <v>0</v>
      </c>
      <c r="AO3449" s="4">
        <v>0</v>
      </c>
      <c r="AP3449" s="4">
        <v>2</v>
      </c>
      <c r="AQ3449" s="4">
        <v>6</v>
      </c>
      <c r="AR3449" s="3" t="s">
        <v>63</v>
      </c>
      <c r="AS3449" s="3" t="s">
        <v>63</v>
      </c>
      <c r="AT3449" s="3" t="s">
        <v>62</v>
      </c>
      <c r="AU3449" s="6" t="str">
        <f>HYPERLINK("http://catalog.hathitrust.org/Record/002205858","HathiTrust Record")</f>
        <v>HathiTrust Record</v>
      </c>
      <c r="AV3449" s="6" t="str">
        <f>HYPERLINK("http://mcgill.on.worldcat.org/oclc/21478169","Catalog Record")</f>
        <v>Catalog Record</v>
      </c>
      <c r="AW3449" s="6" t="str">
        <f>HYPERLINK("http://www.worldcat.org/oclc/21478169","WorldCat Record")</f>
        <v>WorldCat Record</v>
      </c>
      <c r="AX3449" s="3" t="s">
        <v>28874</v>
      </c>
      <c r="AY3449" s="3" t="s">
        <v>28875</v>
      </c>
      <c r="AZ3449" s="3" t="s">
        <v>28876</v>
      </c>
      <c r="BA3449" s="3" t="s">
        <v>28876</v>
      </c>
      <c r="BB3449" s="3" t="s">
        <v>28877</v>
      </c>
      <c r="BC3449" s="3" t="s">
        <v>82</v>
      </c>
      <c r="BD3449" s="3" t="s">
        <v>70</v>
      </c>
      <c r="BE3449" s="3" t="s">
        <v>28878</v>
      </c>
      <c r="BF3449" s="3" t="s">
        <v>28877</v>
      </c>
      <c r="BG3449" s="3" t="s">
        <v>28879</v>
      </c>
    </row>
    <row r="3450" spans="1:59" ht="90" x14ac:dyDescent="0.25">
      <c r="A3450" s="2" t="s">
        <v>59</v>
      </c>
      <c r="B3450" s="2" t="s">
        <v>60</v>
      </c>
      <c r="C3450" s="2" t="s">
        <v>28880</v>
      </c>
      <c r="D3450" s="2" t="s">
        <v>28881</v>
      </c>
      <c r="E3450" s="2" t="s">
        <v>28882</v>
      </c>
      <c r="G3450" s="3" t="s">
        <v>63</v>
      </c>
      <c r="I3450" s="3" t="s">
        <v>63</v>
      </c>
      <c r="J3450" s="3" t="s">
        <v>63</v>
      </c>
      <c r="K3450" s="3" t="s">
        <v>64</v>
      </c>
      <c r="L3450" s="2" t="s">
        <v>28883</v>
      </c>
      <c r="M3450" s="2" t="s">
        <v>28884</v>
      </c>
      <c r="N3450" s="3" t="s">
        <v>76</v>
      </c>
      <c r="P3450" s="3" t="s">
        <v>90</v>
      </c>
      <c r="R3450" s="3" t="s">
        <v>67</v>
      </c>
      <c r="S3450" s="4">
        <v>0</v>
      </c>
      <c r="T3450" s="4">
        <v>0</v>
      </c>
      <c r="W3450" s="5" t="s">
        <v>69</v>
      </c>
      <c r="X3450" s="5" t="s">
        <v>69</v>
      </c>
      <c r="Y3450" s="4">
        <v>42</v>
      </c>
      <c r="Z3450" s="4">
        <v>4</v>
      </c>
      <c r="AA3450" s="4">
        <v>4</v>
      </c>
      <c r="AB3450" s="4">
        <v>1</v>
      </c>
      <c r="AC3450" s="4">
        <v>1</v>
      </c>
      <c r="AD3450" s="4">
        <v>34</v>
      </c>
      <c r="AE3450" s="4">
        <v>34</v>
      </c>
      <c r="AF3450" s="4">
        <v>0</v>
      </c>
      <c r="AG3450" s="4">
        <v>0</v>
      </c>
      <c r="AH3450" s="4">
        <v>33</v>
      </c>
      <c r="AI3450" s="4">
        <v>33</v>
      </c>
      <c r="AJ3450" s="4">
        <v>2</v>
      </c>
      <c r="AK3450" s="4">
        <v>2</v>
      </c>
      <c r="AL3450" s="4">
        <v>26</v>
      </c>
      <c r="AM3450" s="4">
        <v>26</v>
      </c>
      <c r="AN3450" s="4">
        <v>0</v>
      </c>
      <c r="AO3450" s="4">
        <v>0</v>
      </c>
      <c r="AP3450" s="4">
        <v>2</v>
      </c>
      <c r="AQ3450" s="4">
        <v>2</v>
      </c>
      <c r="AR3450" s="3" t="s">
        <v>63</v>
      </c>
      <c r="AS3450" s="3" t="s">
        <v>63</v>
      </c>
      <c r="AT3450" s="3" t="s">
        <v>63</v>
      </c>
      <c r="AV3450" s="6" t="str">
        <f>HYPERLINK("http://mcgill.on.worldcat.org/oclc/815723832","Catalog Record")</f>
        <v>Catalog Record</v>
      </c>
      <c r="AW3450" s="6" t="str">
        <f>HYPERLINK("http://www.worldcat.org/oclc/815723832","WorldCat Record")</f>
        <v>WorldCat Record</v>
      </c>
      <c r="AX3450" s="3" t="s">
        <v>28885</v>
      </c>
      <c r="AY3450" s="3" t="s">
        <v>28886</v>
      </c>
      <c r="AZ3450" s="3" t="s">
        <v>28887</v>
      </c>
      <c r="BA3450" s="3" t="s">
        <v>28887</v>
      </c>
      <c r="BB3450" s="3" t="s">
        <v>28888</v>
      </c>
      <c r="BC3450" s="3" t="s">
        <v>82</v>
      </c>
      <c r="BD3450" s="3" t="s">
        <v>70</v>
      </c>
      <c r="BE3450" s="3" t="s">
        <v>28889</v>
      </c>
      <c r="BF3450" s="3" t="s">
        <v>28888</v>
      </c>
      <c r="BG3450" s="3" t="s">
        <v>28890</v>
      </c>
    </row>
    <row r="3451" spans="1:59" ht="60" x14ac:dyDescent="0.25">
      <c r="A3451" s="2" t="s">
        <v>59</v>
      </c>
      <c r="B3451" s="2" t="s">
        <v>60</v>
      </c>
      <c r="C3451" s="2" t="s">
        <v>28891</v>
      </c>
      <c r="D3451" s="2" t="s">
        <v>28892</v>
      </c>
      <c r="E3451" s="2" t="s">
        <v>28893</v>
      </c>
      <c r="F3451" s="3" t="s">
        <v>582</v>
      </c>
      <c r="G3451" s="3" t="s">
        <v>62</v>
      </c>
      <c r="I3451" s="3" t="s">
        <v>63</v>
      </c>
      <c r="J3451" s="3" t="s">
        <v>63</v>
      </c>
      <c r="K3451" s="3" t="s">
        <v>64</v>
      </c>
      <c r="L3451" s="2" t="s">
        <v>28894</v>
      </c>
      <c r="M3451" s="2" t="s">
        <v>28895</v>
      </c>
      <c r="N3451" s="3" t="s">
        <v>2765</v>
      </c>
      <c r="P3451" s="3" t="s">
        <v>90</v>
      </c>
      <c r="R3451" s="3" t="s">
        <v>67</v>
      </c>
      <c r="S3451" s="4">
        <v>0</v>
      </c>
      <c r="T3451" s="4">
        <v>0</v>
      </c>
      <c r="W3451" s="5" t="s">
        <v>69</v>
      </c>
      <c r="X3451" s="5" t="s">
        <v>69</v>
      </c>
      <c r="Y3451" s="4">
        <v>23</v>
      </c>
      <c r="Z3451" s="4">
        <v>3</v>
      </c>
      <c r="AA3451" s="4">
        <v>3</v>
      </c>
      <c r="AB3451" s="4">
        <v>1</v>
      </c>
      <c r="AC3451" s="4">
        <v>1</v>
      </c>
      <c r="AD3451" s="4">
        <v>15</v>
      </c>
      <c r="AE3451" s="4">
        <v>17</v>
      </c>
      <c r="AF3451" s="4">
        <v>0</v>
      </c>
      <c r="AG3451" s="4">
        <v>0</v>
      </c>
      <c r="AH3451" s="4">
        <v>14</v>
      </c>
      <c r="AI3451" s="4">
        <v>16</v>
      </c>
      <c r="AJ3451" s="4">
        <v>1</v>
      </c>
      <c r="AK3451" s="4">
        <v>1</v>
      </c>
      <c r="AL3451" s="4">
        <v>14</v>
      </c>
      <c r="AM3451" s="4">
        <v>15</v>
      </c>
      <c r="AN3451" s="4">
        <v>0</v>
      </c>
      <c r="AO3451" s="4">
        <v>0</v>
      </c>
      <c r="AP3451" s="4">
        <v>1</v>
      </c>
      <c r="AQ3451" s="4">
        <v>1</v>
      </c>
      <c r="AR3451" s="3" t="s">
        <v>63</v>
      </c>
      <c r="AS3451" s="3" t="s">
        <v>63</v>
      </c>
      <c r="AT3451" s="3" t="s">
        <v>63</v>
      </c>
      <c r="AV3451" s="6" t="str">
        <f>HYPERLINK("http://mcgill.on.worldcat.org/oclc/908937683","Catalog Record")</f>
        <v>Catalog Record</v>
      </c>
      <c r="AW3451" s="6" t="str">
        <f>HYPERLINK("http://www.worldcat.org/oclc/908937683","WorldCat Record")</f>
        <v>WorldCat Record</v>
      </c>
      <c r="AX3451" s="3" t="s">
        <v>28896</v>
      </c>
      <c r="AY3451" s="3" t="s">
        <v>28897</v>
      </c>
      <c r="AZ3451" s="3" t="s">
        <v>28898</v>
      </c>
      <c r="BA3451" s="3" t="s">
        <v>28898</v>
      </c>
      <c r="BB3451" s="3" t="s">
        <v>28899</v>
      </c>
      <c r="BC3451" s="3" t="s">
        <v>82</v>
      </c>
      <c r="BD3451" s="3" t="s">
        <v>70</v>
      </c>
      <c r="BE3451" s="3" t="s">
        <v>28900</v>
      </c>
      <c r="BF3451" s="3" t="s">
        <v>28899</v>
      </c>
      <c r="BG3451" s="3" t="s">
        <v>28901</v>
      </c>
    </row>
    <row r="3452" spans="1:59" ht="60" x14ac:dyDescent="0.25">
      <c r="A3452" s="2" t="s">
        <v>59</v>
      </c>
      <c r="B3452" s="2" t="s">
        <v>60</v>
      </c>
      <c r="C3452" s="2" t="s">
        <v>28891</v>
      </c>
      <c r="D3452" s="2" t="s">
        <v>28892</v>
      </c>
      <c r="E3452" s="2" t="s">
        <v>28893</v>
      </c>
      <c r="F3452" s="3" t="s">
        <v>571</v>
      </c>
      <c r="G3452" s="3" t="s">
        <v>62</v>
      </c>
      <c r="I3452" s="3" t="s">
        <v>63</v>
      </c>
      <c r="J3452" s="3" t="s">
        <v>63</v>
      </c>
      <c r="K3452" s="3" t="s">
        <v>64</v>
      </c>
      <c r="L3452" s="2" t="s">
        <v>28894</v>
      </c>
      <c r="M3452" s="2" t="s">
        <v>28895</v>
      </c>
      <c r="N3452" s="3" t="s">
        <v>2765</v>
      </c>
      <c r="P3452" s="3" t="s">
        <v>90</v>
      </c>
      <c r="R3452" s="3" t="s">
        <v>67</v>
      </c>
      <c r="S3452" s="4">
        <v>0</v>
      </c>
      <c r="T3452" s="4">
        <v>0</v>
      </c>
      <c r="W3452" s="5" t="s">
        <v>69</v>
      </c>
      <c r="X3452" s="5" t="s">
        <v>69</v>
      </c>
      <c r="Y3452" s="4">
        <v>23</v>
      </c>
      <c r="Z3452" s="4">
        <v>3</v>
      </c>
      <c r="AA3452" s="4">
        <v>3</v>
      </c>
      <c r="AB3452" s="4">
        <v>1</v>
      </c>
      <c r="AC3452" s="4">
        <v>1</v>
      </c>
      <c r="AD3452" s="4">
        <v>15</v>
      </c>
      <c r="AE3452" s="4">
        <v>17</v>
      </c>
      <c r="AF3452" s="4">
        <v>0</v>
      </c>
      <c r="AG3452" s="4">
        <v>0</v>
      </c>
      <c r="AH3452" s="4">
        <v>14</v>
      </c>
      <c r="AI3452" s="4">
        <v>16</v>
      </c>
      <c r="AJ3452" s="4">
        <v>1</v>
      </c>
      <c r="AK3452" s="4">
        <v>1</v>
      </c>
      <c r="AL3452" s="4">
        <v>14</v>
      </c>
      <c r="AM3452" s="4">
        <v>15</v>
      </c>
      <c r="AN3452" s="4">
        <v>0</v>
      </c>
      <c r="AO3452" s="4">
        <v>0</v>
      </c>
      <c r="AP3452" s="4">
        <v>1</v>
      </c>
      <c r="AQ3452" s="4">
        <v>1</v>
      </c>
      <c r="AR3452" s="3" t="s">
        <v>63</v>
      </c>
      <c r="AS3452" s="3" t="s">
        <v>63</v>
      </c>
      <c r="AT3452" s="3" t="s">
        <v>63</v>
      </c>
      <c r="AV3452" s="6" t="str">
        <f>HYPERLINK("http://mcgill.on.worldcat.org/oclc/908937683","Catalog Record")</f>
        <v>Catalog Record</v>
      </c>
      <c r="AW3452" s="6" t="str">
        <f>HYPERLINK("http://www.worldcat.org/oclc/908937683","WorldCat Record")</f>
        <v>WorldCat Record</v>
      </c>
      <c r="AX3452" s="3" t="s">
        <v>28896</v>
      </c>
      <c r="AY3452" s="3" t="s">
        <v>28897</v>
      </c>
      <c r="AZ3452" s="3" t="s">
        <v>28898</v>
      </c>
      <c r="BA3452" s="3" t="s">
        <v>28898</v>
      </c>
      <c r="BB3452" s="3" t="s">
        <v>28902</v>
      </c>
      <c r="BC3452" s="3" t="s">
        <v>82</v>
      </c>
      <c r="BD3452" s="3" t="s">
        <v>70</v>
      </c>
      <c r="BE3452" s="3" t="s">
        <v>28900</v>
      </c>
      <c r="BF3452" s="3" t="s">
        <v>28902</v>
      </c>
      <c r="BG3452" s="3" t="s">
        <v>28903</v>
      </c>
    </row>
    <row r="3453" spans="1:59" ht="60" x14ac:dyDescent="0.25">
      <c r="A3453" s="2" t="s">
        <v>59</v>
      </c>
      <c r="B3453" s="2" t="s">
        <v>60</v>
      </c>
      <c r="C3453" s="2" t="s">
        <v>28904</v>
      </c>
      <c r="D3453" s="2" t="s">
        <v>28905</v>
      </c>
      <c r="E3453" s="2" t="s">
        <v>28906</v>
      </c>
      <c r="G3453" s="3" t="s">
        <v>63</v>
      </c>
      <c r="I3453" s="3" t="s">
        <v>63</v>
      </c>
      <c r="J3453" s="3" t="s">
        <v>63</v>
      </c>
      <c r="K3453" s="3" t="s">
        <v>64</v>
      </c>
      <c r="L3453" s="2" t="s">
        <v>28907</v>
      </c>
      <c r="M3453" s="2" t="s">
        <v>28908</v>
      </c>
      <c r="N3453" s="3" t="s">
        <v>313</v>
      </c>
      <c r="P3453" s="3" t="s">
        <v>90</v>
      </c>
      <c r="R3453" s="3" t="s">
        <v>67</v>
      </c>
      <c r="S3453" s="4">
        <v>0</v>
      </c>
      <c r="T3453" s="4">
        <v>0</v>
      </c>
      <c r="W3453" s="5" t="s">
        <v>69</v>
      </c>
      <c r="X3453" s="5" t="s">
        <v>69</v>
      </c>
      <c r="Y3453" s="4">
        <v>17</v>
      </c>
      <c r="Z3453" s="4">
        <v>3</v>
      </c>
      <c r="AA3453" s="4">
        <v>3</v>
      </c>
      <c r="AB3453" s="4">
        <v>1</v>
      </c>
      <c r="AC3453" s="4">
        <v>1</v>
      </c>
      <c r="AD3453" s="4">
        <v>11</v>
      </c>
      <c r="AE3453" s="4">
        <v>11</v>
      </c>
      <c r="AF3453" s="4">
        <v>0</v>
      </c>
      <c r="AG3453" s="4">
        <v>0</v>
      </c>
      <c r="AH3453" s="4">
        <v>11</v>
      </c>
      <c r="AI3453" s="4">
        <v>11</v>
      </c>
      <c r="AJ3453" s="4">
        <v>1</v>
      </c>
      <c r="AK3453" s="4">
        <v>1</v>
      </c>
      <c r="AL3453" s="4">
        <v>7</v>
      </c>
      <c r="AM3453" s="4">
        <v>7</v>
      </c>
      <c r="AN3453" s="4">
        <v>0</v>
      </c>
      <c r="AO3453" s="4">
        <v>0</v>
      </c>
      <c r="AP3453" s="4">
        <v>1</v>
      </c>
      <c r="AQ3453" s="4">
        <v>1</v>
      </c>
      <c r="AR3453" s="3" t="s">
        <v>63</v>
      </c>
      <c r="AS3453" s="3" t="s">
        <v>63</v>
      </c>
      <c r="AT3453" s="3" t="s">
        <v>63</v>
      </c>
      <c r="AV3453" s="6" t="str">
        <f>HYPERLINK("http://mcgill.on.worldcat.org/oclc/697977416","Catalog Record")</f>
        <v>Catalog Record</v>
      </c>
      <c r="AW3453" s="6" t="str">
        <f>HYPERLINK("http://www.worldcat.org/oclc/697977416","WorldCat Record")</f>
        <v>WorldCat Record</v>
      </c>
      <c r="AX3453" s="3" t="s">
        <v>28909</v>
      </c>
      <c r="AY3453" s="3" t="s">
        <v>28910</v>
      </c>
      <c r="AZ3453" s="3" t="s">
        <v>28911</v>
      </c>
      <c r="BA3453" s="3" t="s">
        <v>28911</v>
      </c>
      <c r="BB3453" s="3" t="s">
        <v>28912</v>
      </c>
      <c r="BC3453" s="3" t="s">
        <v>82</v>
      </c>
      <c r="BD3453" s="3" t="s">
        <v>70</v>
      </c>
      <c r="BE3453" s="3" t="s">
        <v>28913</v>
      </c>
      <c r="BF3453" s="3" t="s">
        <v>28912</v>
      </c>
      <c r="BG3453" s="3" t="s">
        <v>28914</v>
      </c>
    </row>
    <row r="3454" spans="1:59" ht="75" x14ac:dyDescent="0.25">
      <c r="A3454" s="2" t="s">
        <v>59</v>
      </c>
      <c r="B3454" s="2" t="s">
        <v>60</v>
      </c>
      <c r="C3454" s="2" t="s">
        <v>28915</v>
      </c>
      <c r="D3454" s="2" t="s">
        <v>28916</v>
      </c>
      <c r="E3454" s="2" t="s">
        <v>28917</v>
      </c>
      <c r="G3454" s="3" t="s">
        <v>63</v>
      </c>
      <c r="I3454" s="3" t="s">
        <v>63</v>
      </c>
      <c r="J3454" s="3" t="s">
        <v>63</v>
      </c>
      <c r="K3454" s="3" t="s">
        <v>64</v>
      </c>
      <c r="L3454" s="2" t="s">
        <v>28907</v>
      </c>
      <c r="M3454" s="2" t="s">
        <v>28918</v>
      </c>
      <c r="N3454" s="3" t="s">
        <v>313</v>
      </c>
      <c r="P3454" s="3" t="s">
        <v>90</v>
      </c>
      <c r="R3454" s="3" t="s">
        <v>67</v>
      </c>
      <c r="S3454" s="4">
        <v>0</v>
      </c>
      <c r="T3454" s="4">
        <v>0</v>
      </c>
      <c r="W3454" s="5" t="s">
        <v>69</v>
      </c>
      <c r="X3454" s="5" t="s">
        <v>69</v>
      </c>
      <c r="Y3454" s="4">
        <v>35</v>
      </c>
      <c r="Z3454" s="4">
        <v>4</v>
      </c>
      <c r="AA3454" s="4">
        <v>4</v>
      </c>
      <c r="AB3454" s="4">
        <v>1</v>
      </c>
      <c r="AC3454" s="4">
        <v>1</v>
      </c>
      <c r="AD3454" s="4">
        <v>26</v>
      </c>
      <c r="AE3454" s="4">
        <v>26</v>
      </c>
      <c r="AF3454" s="4">
        <v>0</v>
      </c>
      <c r="AG3454" s="4">
        <v>0</v>
      </c>
      <c r="AH3454" s="4">
        <v>25</v>
      </c>
      <c r="AI3454" s="4">
        <v>25</v>
      </c>
      <c r="AJ3454" s="4">
        <v>2</v>
      </c>
      <c r="AK3454" s="4">
        <v>2</v>
      </c>
      <c r="AL3454" s="4">
        <v>19</v>
      </c>
      <c r="AM3454" s="4">
        <v>19</v>
      </c>
      <c r="AN3454" s="4">
        <v>0</v>
      </c>
      <c r="AO3454" s="4">
        <v>0</v>
      </c>
      <c r="AP3454" s="4">
        <v>2</v>
      </c>
      <c r="AQ3454" s="4">
        <v>2</v>
      </c>
      <c r="AR3454" s="3" t="s">
        <v>63</v>
      </c>
      <c r="AS3454" s="3" t="s">
        <v>63</v>
      </c>
      <c r="AT3454" s="3" t="s">
        <v>63</v>
      </c>
      <c r="AV3454" s="6" t="str">
        <f>HYPERLINK("http://mcgill.on.worldcat.org/oclc/697266319","Catalog Record")</f>
        <v>Catalog Record</v>
      </c>
      <c r="AW3454" s="6" t="str">
        <f>HYPERLINK("http://www.worldcat.org/oclc/697266319","WorldCat Record")</f>
        <v>WorldCat Record</v>
      </c>
      <c r="AX3454" s="3" t="s">
        <v>28919</v>
      </c>
      <c r="AY3454" s="3" t="s">
        <v>28920</v>
      </c>
      <c r="AZ3454" s="3" t="s">
        <v>28921</v>
      </c>
      <c r="BA3454" s="3" t="s">
        <v>28921</v>
      </c>
      <c r="BB3454" s="3" t="s">
        <v>28922</v>
      </c>
      <c r="BC3454" s="3" t="s">
        <v>82</v>
      </c>
      <c r="BD3454" s="3" t="s">
        <v>70</v>
      </c>
      <c r="BE3454" s="3" t="s">
        <v>28923</v>
      </c>
      <c r="BF3454" s="3" t="s">
        <v>28922</v>
      </c>
      <c r="BG3454" s="3" t="s">
        <v>28924</v>
      </c>
    </row>
    <row r="3455" spans="1:59" ht="60" x14ac:dyDescent="0.25">
      <c r="A3455" s="2" t="s">
        <v>59</v>
      </c>
      <c r="B3455" s="2" t="s">
        <v>60</v>
      </c>
      <c r="C3455" s="2" t="s">
        <v>28925</v>
      </c>
      <c r="D3455" s="2" t="s">
        <v>28926</v>
      </c>
      <c r="E3455" s="2" t="s">
        <v>28927</v>
      </c>
      <c r="G3455" s="3" t="s">
        <v>63</v>
      </c>
      <c r="I3455" s="3" t="s">
        <v>63</v>
      </c>
      <c r="J3455" s="3" t="s">
        <v>63</v>
      </c>
      <c r="K3455" s="3" t="s">
        <v>64</v>
      </c>
      <c r="L3455" s="2" t="s">
        <v>28928</v>
      </c>
      <c r="M3455" s="2" t="s">
        <v>28929</v>
      </c>
      <c r="N3455" s="3" t="s">
        <v>668</v>
      </c>
      <c r="P3455" s="3" t="s">
        <v>66</v>
      </c>
      <c r="Q3455" s="2" t="s">
        <v>28930</v>
      </c>
      <c r="R3455" s="3" t="s">
        <v>67</v>
      </c>
      <c r="S3455" s="4">
        <v>2</v>
      </c>
      <c r="T3455" s="4">
        <v>2</v>
      </c>
      <c r="U3455" s="5" t="s">
        <v>21436</v>
      </c>
      <c r="V3455" s="5" t="s">
        <v>21436</v>
      </c>
      <c r="W3455" s="5" t="s">
        <v>69</v>
      </c>
      <c r="X3455" s="5" t="s">
        <v>69</v>
      </c>
      <c r="Y3455" s="4">
        <v>267</v>
      </c>
      <c r="Z3455" s="4">
        <v>18</v>
      </c>
      <c r="AA3455" s="4">
        <v>18</v>
      </c>
      <c r="AB3455" s="4">
        <v>2</v>
      </c>
      <c r="AC3455" s="4">
        <v>2</v>
      </c>
      <c r="AD3455" s="4">
        <v>75</v>
      </c>
      <c r="AE3455" s="4">
        <v>78</v>
      </c>
      <c r="AF3455" s="4">
        <v>0</v>
      </c>
      <c r="AG3455" s="4">
        <v>0</v>
      </c>
      <c r="AH3455" s="4">
        <v>69</v>
      </c>
      <c r="AI3455" s="4">
        <v>72</v>
      </c>
      <c r="AJ3455" s="4">
        <v>9</v>
      </c>
      <c r="AK3455" s="4">
        <v>9</v>
      </c>
      <c r="AL3455" s="4">
        <v>40</v>
      </c>
      <c r="AM3455" s="4">
        <v>43</v>
      </c>
      <c r="AN3455" s="4">
        <v>0</v>
      </c>
      <c r="AO3455" s="4">
        <v>2</v>
      </c>
      <c r="AP3455" s="4">
        <v>11</v>
      </c>
      <c r="AQ3455" s="4">
        <v>11</v>
      </c>
      <c r="AR3455" s="3" t="s">
        <v>63</v>
      </c>
      <c r="AS3455" s="3" t="s">
        <v>63</v>
      </c>
      <c r="AT3455" s="3" t="s">
        <v>62</v>
      </c>
      <c r="AU3455" s="6" t="str">
        <f>HYPERLINK("http://catalog.hathitrust.org/Record/002483693","HathiTrust Record")</f>
        <v>HathiTrust Record</v>
      </c>
      <c r="AV3455" s="6" t="str">
        <f>HYPERLINK("http://mcgill.on.worldcat.org/oclc/23373534","Catalog Record")</f>
        <v>Catalog Record</v>
      </c>
      <c r="AW3455" s="6" t="str">
        <f>HYPERLINK("http://www.worldcat.org/oclc/23373534","WorldCat Record")</f>
        <v>WorldCat Record</v>
      </c>
      <c r="AX3455" s="3" t="s">
        <v>28931</v>
      </c>
      <c r="AY3455" s="3" t="s">
        <v>28932</v>
      </c>
      <c r="AZ3455" s="3" t="s">
        <v>28933</v>
      </c>
      <c r="BA3455" s="3" t="s">
        <v>28933</v>
      </c>
      <c r="BB3455" s="3" t="s">
        <v>28934</v>
      </c>
      <c r="BC3455" s="3" t="s">
        <v>82</v>
      </c>
      <c r="BD3455" s="3" t="s">
        <v>70</v>
      </c>
      <c r="BE3455" s="3" t="s">
        <v>28935</v>
      </c>
      <c r="BF3455" s="3" t="s">
        <v>28934</v>
      </c>
      <c r="BG3455" s="3" t="s">
        <v>28936</v>
      </c>
    </row>
    <row r="3456" spans="1:59" ht="60" x14ac:dyDescent="0.25">
      <c r="A3456" s="2" t="s">
        <v>59</v>
      </c>
      <c r="B3456" s="2" t="s">
        <v>60</v>
      </c>
      <c r="C3456" s="2" t="s">
        <v>28937</v>
      </c>
      <c r="D3456" s="2" t="s">
        <v>28938</v>
      </c>
      <c r="E3456" s="2" t="s">
        <v>28939</v>
      </c>
      <c r="G3456" s="3" t="s">
        <v>63</v>
      </c>
      <c r="I3456" s="3" t="s">
        <v>63</v>
      </c>
      <c r="J3456" s="3" t="s">
        <v>63</v>
      </c>
      <c r="K3456" s="3" t="s">
        <v>64</v>
      </c>
      <c r="L3456" s="2" t="s">
        <v>28940</v>
      </c>
      <c r="M3456" s="2" t="s">
        <v>28941</v>
      </c>
      <c r="N3456" s="3" t="s">
        <v>161</v>
      </c>
      <c r="P3456" s="3" t="s">
        <v>90</v>
      </c>
      <c r="R3456" s="3" t="s">
        <v>67</v>
      </c>
      <c r="S3456" s="4">
        <v>3</v>
      </c>
      <c r="T3456" s="4">
        <v>3</v>
      </c>
      <c r="U3456" s="5" t="s">
        <v>28942</v>
      </c>
      <c r="V3456" s="5" t="s">
        <v>28942</v>
      </c>
      <c r="W3456" s="5" t="s">
        <v>69</v>
      </c>
      <c r="X3456" s="5" t="s">
        <v>69</v>
      </c>
      <c r="Y3456" s="4">
        <v>12</v>
      </c>
      <c r="Z3456" s="4">
        <v>1</v>
      </c>
      <c r="AA3456" s="4">
        <v>3</v>
      </c>
      <c r="AB3456" s="4">
        <v>1</v>
      </c>
      <c r="AC3456" s="4">
        <v>1</v>
      </c>
      <c r="AD3456" s="4">
        <v>9</v>
      </c>
      <c r="AE3456" s="4">
        <v>20</v>
      </c>
      <c r="AF3456" s="4">
        <v>0</v>
      </c>
      <c r="AG3456" s="4">
        <v>0</v>
      </c>
      <c r="AH3456" s="4">
        <v>9</v>
      </c>
      <c r="AI3456" s="4">
        <v>20</v>
      </c>
      <c r="AJ3456" s="4">
        <v>0</v>
      </c>
      <c r="AK3456" s="4">
        <v>1</v>
      </c>
      <c r="AL3456" s="4">
        <v>7</v>
      </c>
      <c r="AM3456" s="4">
        <v>17</v>
      </c>
      <c r="AN3456" s="4">
        <v>0</v>
      </c>
      <c r="AO3456" s="4">
        <v>0</v>
      </c>
      <c r="AP3456" s="4">
        <v>0</v>
      </c>
      <c r="AQ3456" s="4">
        <v>1</v>
      </c>
      <c r="AR3456" s="3" t="s">
        <v>63</v>
      </c>
      <c r="AS3456" s="3" t="s">
        <v>63</v>
      </c>
      <c r="AT3456" s="3" t="s">
        <v>63</v>
      </c>
      <c r="AV3456" s="6" t="str">
        <f>HYPERLINK("http://mcgill.on.worldcat.org/oclc/27977664","Catalog Record")</f>
        <v>Catalog Record</v>
      </c>
      <c r="AW3456" s="6" t="str">
        <f>HYPERLINK("http://www.worldcat.org/oclc/27977664","WorldCat Record")</f>
        <v>WorldCat Record</v>
      </c>
      <c r="AX3456" s="3" t="s">
        <v>28943</v>
      </c>
      <c r="AY3456" s="3" t="s">
        <v>28944</v>
      </c>
      <c r="AZ3456" s="3" t="s">
        <v>28945</v>
      </c>
      <c r="BA3456" s="3" t="s">
        <v>28945</v>
      </c>
      <c r="BB3456" s="3" t="s">
        <v>28946</v>
      </c>
      <c r="BC3456" s="3" t="s">
        <v>82</v>
      </c>
      <c r="BD3456" s="3" t="s">
        <v>70</v>
      </c>
      <c r="BE3456" s="3" t="s">
        <v>28947</v>
      </c>
      <c r="BF3456" s="3" t="s">
        <v>28946</v>
      </c>
      <c r="BG3456" s="3" t="s">
        <v>28948</v>
      </c>
    </row>
    <row r="3457" spans="1:59" ht="60" x14ac:dyDescent="0.25">
      <c r="A3457" s="2" t="s">
        <v>59</v>
      </c>
      <c r="B3457" s="2" t="s">
        <v>60</v>
      </c>
      <c r="C3457" s="2" t="s">
        <v>28949</v>
      </c>
      <c r="D3457" s="2" t="s">
        <v>28950</v>
      </c>
      <c r="E3457" s="2" t="s">
        <v>28951</v>
      </c>
      <c r="G3457" s="3" t="s">
        <v>63</v>
      </c>
      <c r="I3457" s="3" t="s">
        <v>63</v>
      </c>
      <c r="J3457" s="3" t="s">
        <v>62</v>
      </c>
      <c r="K3457" s="3" t="s">
        <v>64</v>
      </c>
      <c r="L3457" s="2" t="s">
        <v>28952</v>
      </c>
      <c r="M3457" s="2" t="s">
        <v>28953</v>
      </c>
      <c r="N3457" s="3" t="s">
        <v>1296</v>
      </c>
      <c r="P3457" s="3" t="s">
        <v>66</v>
      </c>
      <c r="R3457" s="3" t="s">
        <v>67</v>
      </c>
      <c r="S3457" s="4">
        <v>17</v>
      </c>
      <c r="T3457" s="4">
        <v>17</v>
      </c>
      <c r="U3457" s="5" t="s">
        <v>21159</v>
      </c>
      <c r="V3457" s="5" t="s">
        <v>21159</v>
      </c>
      <c r="W3457" s="5" t="s">
        <v>69</v>
      </c>
      <c r="X3457" s="5" t="s">
        <v>69</v>
      </c>
      <c r="Y3457" s="4">
        <v>57</v>
      </c>
      <c r="Z3457" s="4">
        <v>4</v>
      </c>
      <c r="AA3457" s="4">
        <v>32</v>
      </c>
      <c r="AB3457" s="4">
        <v>1</v>
      </c>
      <c r="AC3457" s="4">
        <v>2</v>
      </c>
      <c r="AD3457" s="4">
        <v>9</v>
      </c>
      <c r="AE3457" s="4">
        <v>111</v>
      </c>
      <c r="AF3457" s="4">
        <v>0</v>
      </c>
      <c r="AG3457" s="4">
        <v>1</v>
      </c>
      <c r="AH3457" s="4">
        <v>7</v>
      </c>
      <c r="AI3457" s="4">
        <v>94</v>
      </c>
      <c r="AJ3457" s="4">
        <v>1</v>
      </c>
      <c r="AK3457" s="4">
        <v>18</v>
      </c>
      <c r="AL3457" s="4">
        <v>4</v>
      </c>
      <c r="AM3457" s="4">
        <v>54</v>
      </c>
      <c r="AN3457" s="4">
        <v>0</v>
      </c>
      <c r="AO3457" s="4">
        <v>0</v>
      </c>
      <c r="AP3457" s="4">
        <v>2</v>
      </c>
      <c r="AQ3457" s="4">
        <v>22</v>
      </c>
      <c r="AR3457" s="3" t="s">
        <v>63</v>
      </c>
      <c r="AS3457" s="3" t="s">
        <v>63</v>
      </c>
      <c r="AT3457" s="3" t="s">
        <v>63</v>
      </c>
      <c r="AV3457" s="6" t="str">
        <f>HYPERLINK("http://mcgill.on.worldcat.org/oclc/98594","Catalog Record")</f>
        <v>Catalog Record</v>
      </c>
      <c r="AW3457" s="6" t="str">
        <f>HYPERLINK("http://www.worldcat.org/oclc/98594","WorldCat Record")</f>
        <v>WorldCat Record</v>
      </c>
      <c r="AX3457" s="3" t="s">
        <v>28954</v>
      </c>
      <c r="AY3457" s="3" t="s">
        <v>28955</v>
      </c>
      <c r="AZ3457" s="3" t="s">
        <v>28956</v>
      </c>
      <c r="BA3457" s="3" t="s">
        <v>28956</v>
      </c>
      <c r="BB3457" s="3" t="s">
        <v>28957</v>
      </c>
      <c r="BC3457" s="3" t="s">
        <v>82</v>
      </c>
      <c r="BD3457" s="3" t="s">
        <v>70</v>
      </c>
      <c r="BE3457" s="3" t="s">
        <v>28958</v>
      </c>
      <c r="BF3457" s="3" t="s">
        <v>28957</v>
      </c>
      <c r="BG3457" s="3" t="s">
        <v>28959</v>
      </c>
    </row>
    <row r="3458" spans="1:59" ht="60" x14ac:dyDescent="0.25">
      <c r="A3458" s="2" t="s">
        <v>59</v>
      </c>
      <c r="B3458" s="2" t="s">
        <v>60</v>
      </c>
      <c r="C3458" s="2" t="s">
        <v>28960</v>
      </c>
      <c r="D3458" s="2" t="s">
        <v>28961</v>
      </c>
      <c r="E3458" s="2" t="s">
        <v>28962</v>
      </c>
      <c r="G3458" s="3" t="s">
        <v>63</v>
      </c>
      <c r="I3458" s="3" t="s">
        <v>63</v>
      </c>
      <c r="J3458" s="3" t="s">
        <v>63</v>
      </c>
      <c r="K3458" s="3" t="s">
        <v>64</v>
      </c>
      <c r="L3458" s="2" t="s">
        <v>28952</v>
      </c>
      <c r="M3458" s="2" t="s">
        <v>28963</v>
      </c>
      <c r="N3458" s="3" t="s">
        <v>401</v>
      </c>
      <c r="P3458" s="3" t="s">
        <v>90</v>
      </c>
      <c r="Q3458" s="2" t="s">
        <v>28964</v>
      </c>
      <c r="R3458" s="3" t="s">
        <v>67</v>
      </c>
      <c r="S3458" s="4">
        <v>15</v>
      </c>
      <c r="T3458" s="4">
        <v>15</v>
      </c>
      <c r="U3458" s="5" t="s">
        <v>28965</v>
      </c>
      <c r="V3458" s="5" t="s">
        <v>28965</v>
      </c>
      <c r="W3458" s="5" t="s">
        <v>69</v>
      </c>
      <c r="X3458" s="5" t="s">
        <v>69</v>
      </c>
      <c r="Y3458" s="4">
        <v>87</v>
      </c>
      <c r="Z3458" s="4">
        <v>3</v>
      </c>
      <c r="AA3458" s="4">
        <v>9</v>
      </c>
      <c r="AB3458" s="4">
        <v>1</v>
      </c>
      <c r="AC3458" s="4">
        <v>1</v>
      </c>
      <c r="AD3458" s="4">
        <v>35</v>
      </c>
      <c r="AE3458" s="4">
        <v>51</v>
      </c>
      <c r="AF3458" s="4">
        <v>0</v>
      </c>
      <c r="AG3458" s="4">
        <v>0</v>
      </c>
      <c r="AH3458" s="4">
        <v>34</v>
      </c>
      <c r="AI3458" s="4">
        <v>48</v>
      </c>
      <c r="AJ3458" s="4">
        <v>0</v>
      </c>
      <c r="AK3458" s="4">
        <v>5</v>
      </c>
      <c r="AL3458" s="4">
        <v>18</v>
      </c>
      <c r="AM3458" s="4">
        <v>24</v>
      </c>
      <c r="AN3458" s="4">
        <v>0</v>
      </c>
      <c r="AO3458" s="4">
        <v>0</v>
      </c>
      <c r="AP3458" s="4">
        <v>1</v>
      </c>
      <c r="AQ3458" s="4">
        <v>7</v>
      </c>
      <c r="AR3458" s="3" t="s">
        <v>63</v>
      </c>
      <c r="AS3458" s="3" t="s">
        <v>63</v>
      </c>
      <c r="AT3458" s="3" t="s">
        <v>62</v>
      </c>
      <c r="AU3458" s="6" t="str">
        <f>HYPERLINK("http://catalog.hathitrust.org/Record/002502802","HathiTrust Record")</f>
        <v>HathiTrust Record</v>
      </c>
      <c r="AV3458" s="6" t="str">
        <f>HYPERLINK("http://mcgill.on.worldcat.org/oclc/3062032","Catalog Record")</f>
        <v>Catalog Record</v>
      </c>
      <c r="AW3458" s="6" t="str">
        <f>HYPERLINK("http://www.worldcat.org/oclc/3062032","WorldCat Record")</f>
        <v>WorldCat Record</v>
      </c>
      <c r="AX3458" s="3" t="s">
        <v>28966</v>
      </c>
      <c r="AY3458" s="3" t="s">
        <v>28967</v>
      </c>
      <c r="AZ3458" s="3" t="s">
        <v>28968</v>
      </c>
      <c r="BA3458" s="3" t="s">
        <v>28968</v>
      </c>
      <c r="BB3458" s="3" t="s">
        <v>28969</v>
      </c>
      <c r="BC3458" s="3" t="s">
        <v>82</v>
      </c>
      <c r="BD3458" s="3" t="s">
        <v>70</v>
      </c>
      <c r="BF3458" s="3" t="s">
        <v>28969</v>
      </c>
      <c r="BG3458" s="3" t="s">
        <v>28970</v>
      </c>
    </row>
    <row r="3459" spans="1:59" ht="75" x14ac:dyDescent="0.25">
      <c r="A3459" s="2" t="s">
        <v>59</v>
      </c>
      <c r="B3459" s="2" t="s">
        <v>60</v>
      </c>
      <c r="C3459" s="2" t="s">
        <v>28971</v>
      </c>
      <c r="D3459" s="2" t="s">
        <v>28972</v>
      </c>
      <c r="E3459" s="2" t="s">
        <v>28973</v>
      </c>
      <c r="G3459" s="3" t="s">
        <v>63</v>
      </c>
      <c r="I3459" s="3" t="s">
        <v>63</v>
      </c>
      <c r="J3459" s="3" t="s">
        <v>63</v>
      </c>
      <c r="K3459" s="3" t="s">
        <v>64</v>
      </c>
      <c r="L3459" s="2" t="s">
        <v>28974</v>
      </c>
      <c r="M3459" s="2" t="s">
        <v>20033</v>
      </c>
      <c r="N3459" s="3" t="s">
        <v>130</v>
      </c>
      <c r="P3459" s="3" t="s">
        <v>90</v>
      </c>
      <c r="Q3459" s="2" t="s">
        <v>28975</v>
      </c>
      <c r="R3459" s="3" t="s">
        <v>67</v>
      </c>
      <c r="S3459" s="4">
        <v>1</v>
      </c>
      <c r="T3459" s="4">
        <v>1</v>
      </c>
      <c r="U3459" s="5" t="s">
        <v>28976</v>
      </c>
      <c r="V3459" s="5" t="s">
        <v>28976</v>
      </c>
      <c r="W3459" s="5" t="s">
        <v>69</v>
      </c>
      <c r="X3459" s="5" t="s">
        <v>69</v>
      </c>
      <c r="Y3459" s="4">
        <v>14</v>
      </c>
      <c r="Z3459" s="4">
        <v>1</v>
      </c>
      <c r="AA3459" s="4">
        <v>4</v>
      </c>
      <c r="AB3459" s="4">
        <v>1</v>
      </c>
      <c r="AC3459" s="4">
        <v>1</v>
      </c>
      <c r="AD3459" s="4">
        <v>10</v>
      </c>
      <c r="AE3459" s="4">
        <v>21</v>
      </c>
      <c r="AF3459" s="4">
        <v>0</v>
      </c>
      <c r="AG3459" s="4">
        <v>0</v>
      </c>
      <c r="AH3459" s="4">
        <v>9</v>
      </c>
      <c r="AI3459" s="4">
        <v>20</v>
      </c>
      <c r="AJ3459" s="4">
        <v>0</v>
      </c>
      <c r="AK3459" s="4">
        <v>2</v>
      </c>
      <c r="AL3459" s="4">
        <v>9</v>
      </c>
      <c r="AM3459" s="4">
        <v>17</v>
      </c>
      <c r="AN3459" s="4">
        <v>0</v>
      </c>
      <c r="AO3459" s="4">
        <v>0</v>
      </c>
      <c r="AP3459" s="4">
        <v>0</v>
      </c>
      <c r="AQ3459" s="4">
        <v>2</v>
      </c>
      <c r="AR3459" s="3" t="s">
        <v>63</v>
      </c>
      <c r="AS3459" s="3" t="s">
        <v>63</v>
      </c>
      <c r="AT3459" s="3" t="s">
        <v>63</v>
      </c>
      <c r="AV3459" s="6" t="str">
        <f>HYPERLINK("http://mcgill.on.worldcat.org/oclc/857741209","Catalog Record")</f>
        <v>Catalog Record</v>
      </c>
      <c r="AW3459" s="6" t="str">
        <f>HYPERLINK("http://www.worldcat.org/oclc/857741209","WorldCat Record")</f>
        <v>WorldCat Record</v>
      </c>
      <c r="AX3459" s="3" t="s">
        <v>28977</v>
      </c>
      <c r="AY3459" s="3" t="s">
        <v>28978</v>
      </c>
      <c r="AZ3459" s="3" t="s">
        <v>28979</v>
      </c>
      <c r="BA3459" s="3" t="s">
        <v>28979</v>
      </c>
      <c r="BB3459" s="3" t="s">
        <v>28980</v>
      </c>
      <c r="BC3459" s="3" t="s">
        <v>82</v>
      </c>
      <c r="BD3459" s="3" t="s">
        <v>70</v>
      </c>
      <c r="BE3459" s="3" t="s">
        <v>28981</v>
      </c>
      <c r="BF3459" s="3" t="s">
        <v>28980</v>
      </c>
      <c r="BG3459" s="3" t="s">
        <v>28982</v>
      </c>
    </row>
    <row r="3460" spans="1:59" ht="60" x14ac:dyDescent="0.25">
      <c r="A3460" s="2" t="s">
        <v>59</v>
      </c>
      <c r="B3460" s="2" t="s">
        <v>60</v>
      </c>
      <c r="C3460" s="2" t="s">
        <v>28983</v>
      </c>
      <c r="D3460" s="2" t="s">
        <v>28984</v>
      </c>
      <c r="E3460" s="2" t="s">
        <v>28985</v>
      </c>
      <c r="G3460" s="3" t="s">
        <v>63</v>
      </c>
      <c r="I3460" s="3" t="s">
        <v>63</v>
      </c>
      <c r="J3460" s="3" t="s">
        <v>63</v>
      </c>
      <c r="K3460" s="3" t="s">
        <v>64</v>
      </c>
      <c r="L3460" s="2" t="s">
        <v>28986</v>
      </c>
      <c r="M3460" s="2" t="s">
        <v>28987</v>
      </c>
      <c r="N3460" s="3" t="s">
        <v>681</v>
      </c>
      <c r="P3460" s="3" t="s">
        <v>66</v>
      </c>
      <c r="R3460" s="3" t="s">
        <v>67</v>
      </c>
      <c r="S3460" s="4">
        <v>31</v>
      </c>
      <c r="T3460" s="4">
        <v>31</v>
      </c>
      <c r="U3460" s="5" t="s">
        <v>7247</v>
      </c>
      <c r="V3460" s="5" t="s">
        <v>7247</v>
      </c>
      <c r="W3460" s="5" t="s">
        <v>69</v>
      </c>
      <c r="X3460" s="5" t="s">
        <v>69</v>
      </c>
      <c r="Y3460" s="4">
        <v>932</v>
      </c>
      <c r="Z3460" s="4">
        <v>45</v>
      </c>
      <c r="AA3460" s="4">
        <v>45</v>
      </c>
      <c r="AB3460" s="4">
        <v>4</v>
      </c>
      <c r="AC3460" s="4">
        <v>4</v>
      </c>
      <c r="AD3460" s="4">
        <v>136</v>
      </c>
      <c r="AE3460" s="4">
        <v>136</v>
      </c>
      <c r="AF3460" s="4">
        <v>2</v>
      </c>
      <c r="AG3460" s="4">
        <v>2</v>
      </c>
      <c r="AH3460" s="4">
        <v>107</v>
      </c>
      <c r="AI3460" s="4">
        <v>107</v>
      </c>
      <c r="AJ3460" s="4">
        <v>19</v>
      </c>
      <c r="AK3460" s="4">
        <v>19</v>
      </c>
      <c r="AL3460" s="4">
        <v>59</v>
      </c>
      <c r="AM3460" s="4">
        <v>59</v>
      </c>
      <c r="AN3460" s="4">
        <v>0</v>
      </c>
      <c r="AO3460" s="4">
        <v>0</v>
      </c>
      <c r="AP3460" s="4">
        <v>35</v>
      </c>
      <c r="AQ3460" s="4">
        <v>35</v>
      </c>
      <c r="AR3460" s="3" t="s">
        <v>63</v>
      </c>
      <c r="AS3460" s="3" t="s">
        <v>63</v>
      </c>
      <c r="AT3460" s="3" t="s">
        <v>62</v>
      </c>
      <c r="AU3460" s="6" t="str">
        <f>HYPERLINK("http://catalog.hathitrust.org/Record/001110462","HathiTrust Record")</f>
        <v>HathiTrust Record</v>
      </c>
      <c r="AV3460" s="6" t="str">
        <f>HYPERLINK("http://mcgill.on.worldcat.org/oclc/110493","Catalog Record")</f>
        <v>Catalog Record</v>
      </c>
      <c r="AW3460" s="6" t="str">
        <f>HYPERLINK("http://www.worldcat.org/oclc/110493","WorldCat Record")</f>
        <v>WorldCat Record</v>
      </c>
      <c r="AX3460" s="3" t="s">
        <v>28988</v>
      </c>
      <c r="AY3460" s="3" t="s">
        <v>28989</v>
      </c>
      <c r="AZ3460" s="3" t="s">
        <v>28990</v>
      </c>
      <c r="BA3460" s="3" t="s">
        <v>28990</v>
      </c>
      <c r="BB3460" s="3" t="s">
        <v>28991</v>
      </c>
      <c r="BC3460" s="3" t="s">
        <v>82</v>
      </c>
      <c r="BD3460" s="3" t="s">
        <v>70</v>
      </c>
      <c r="BE3460" s="3" t="s">
        <v>28992</v>
      </c>
      <c r="BF3460" s="3" t="s">
        <v>28991</v>
      </c>
      <c r="BG3460" s="3" t="s">
        <v>28993</v>
      </c>
    </row>
    <row r="3461" spans="1:59" ht="60" x14ac:dyDescent="0.25">
      <c r="A3461" s="2" t="s">
        <v>59</v>
      </c>
      <c r="B3461" s="2" t="s">
        <v>60</v>
      </c>
      <c r="C3461" s="2" t="s">
        <v>28994</v>
      </c>
      <c r="D3461" s="2" t="s">
        <v>28995</v>
      </c>
      <c r="E3461" s="2" t="s">
        <v>28996</v>
      </c>
      <c r="G3461" s="3" t="s">
        <v>63</v>
      </c>
      <c r="I3461" s="3" t="s">
        <v>63</v>
      </c>
      <c r="J3461" s="3" t="s">
        <v>62</v>
      </c>
      <c r="K3461" s="3" t="s">
        <v>64</v>
      </c>
      <c r="L3461" s="2" t="s">
        <v>28997</v>
      </c>
      <c r="M3461" s="2" t="s">
        <v>28998</v>
      </c>
      <c r="N3461" s="3" t="s">
        <v>918</v>
      </c>
      <c r="P3461" s="3" t="s">
        <v>90</v>
      </c>
      <c r="R3461" s="3" t="s">
        <v>67</v>
      </c>
      <c r="S3461" s="4">
        <v>16</v>
      </c>
      <c r="T3461" s="4">
        <v>16</v>
      </c>
      <c r="U3461" s="5" t="s">
        <v>21512</v>
      </c>
      <c r="V3461" s="5" t="s">
        <v>21512</v>
      </c>
      <c r="W3461" s="5" t="s">
        <v>69</v>
      </c>
      <c r="X3461" s="5" t="s">
        <v>69</v>
      </c>
      <c r="Y3461" s="4">
        <v>126</v>
      </c>
      <c r="Z3461" s="4">
        <v>12</v>
      </c>
      <c r="AA3461" s="4">
        <v>28</v>
      </c>
      <c r="AB3461" s="4">
        <v>1</v>
      </c>
      <c r="AC3461" s="4">
        <v>2</v>
      </c>
      <c r="AD3461" s="4">
        <v>48</v>
      </c>
      <c r="AE3461" s="4">
        <v>112</v>
      </c>
      <c r="AF3461" s="4">
        <v>0</v>
      </c>
      <c r="AG3461" s="4">
        <v>1</v>
      </c>
      <c r="AH3461" s="4">
        <v>41</v>
      </c>
      <c r="AI3461" s="4">
        <v>99</v>
      </c>
      <c r="AJ3461" s="4">
        <v>7</v>
      </c>
      <c r="AK3461" s="4">
        <v>18</v>
      </c>
      <c r="AL3461" s="4">
        <v>27</v>
      </c>
      <c r="AM3461" s="4">
        <v>58</v>
      </c>
      <c r="AN3461" s="4">
        <v>0</v>
      </c>
      <c r="AO3461" s="4">
        <v>2</v>
      </c>
      <c r="AP3461" s="4">
        <v>8</v>
      </c>
      <c r="AQ3461" s="4">
        <v>17</v>
      </c>
      <c r="AR3461" s="3" t="s">
        <v>63</v>
      </c>
      <c r="AS3461" s="3" t="s">
        <v>63</v>
      </c>
      <c r="AT3461" s="3" t="s">
        <v>62</v>
      </c>
      <c r="AU3461" s="6" t="str">
        <f>HYPERLINK("http://catalog.hathitrust.org/Record/001731065","HathiTrust Record")</f>
        <v>HathiTrust Record</v>
      </c>
      <c r="AV3461" s="6" t="str">
        <f>HYPERLINK("http://mcgill.on.worldcat.org/oclc/3069064","Catalog Record")</f>
        <v>Catalog Record</v>
      </c>
      <c r="AW3461" s="6" t="str">
        <f>HYPERLINK("http://www.worldcat.org/oclc/3069064","WorldCat Record")</f>
        <v>WorldCat Record</v>
      </c>
      <c r="AX3461" s="3" t="s">
        <v>28999</v>
      </c>
      <c r="AY3461" s="3" t="s">
        <v>29000</v>
      </c>
      <c r="AZ3461" s="3" t="s">
        <v>29001</v>
      </c>
      <c r="BA3461" s="3" t="s">
        <v>29001</v>
      </c>
      <c r="BB3461" s="3" t="s">
        <v>29002</v>
      </c>
      <c r="BC3461" s="3" t="s">
        <v>82</v>
      </c>
      <c r="BD3461" s="3" t="s">
        <v>70</v>
      </c>
      <c r="BF3461" s="3" t="s">
        <v>29002</v>
      </c>
      <c r="BG3461" s="3" t="s">
        <v>29003</v>
      </c>
    </row>
    <row r="3462" spans="1:59" ht="60" x14ac:dyDescent="0.25">
      <c r="A3462" s="2" t="s">
        <v>59</v>
      </c>
      <c r="B3462" s="2" t="s">
        <v>60</v>
      </c>
      <c r="C3462" s="2" t="s">
        <v>29004</v>
      </c>
      <c r="D3462" s="2" t="s">
        <v>29005</v>
      </c>
      <c r="E3462" s="2" t="s">
        <v>29006</v>
      </c>
      <c r="G3462" s="3" t="s">
        <v>63</v>
      </c>
      <c r="I3462" s="3" t="s">
        <v>62</v>
      </c>
      <c r="J3462" s="3" t="s">
        <v>62</v>
      </c>
      <c r="K3462" s="3" t="s">
        <v>64</v>
      </c>
      <c r="L3462" s="2" t="s">
        <v>28986</v>
      </c>
      <c r="M3462" s="2" t="s">
        <v>29007</v>
      </c>
      <c r="N3462" s="3" t="s">
        <v>837</v>
      </c>
      <c r="P3462" s="3" t="s">
        <v>66</v>
      </c>
      <c r="R3462" s="3" t="s">
        <v>67</v>
      </c>
      <c r="S3462" s="4">
        <v>71</v>
      </c>
      <c r="T3462" s="4">
        <v>154</v>
      </c>
      <c r="U3462" s="5" t="s">
        <v>29008</v>
      </c>
      <c r="V3462" s="5" t="s">
        <v>29008</v>
      </c>
      <c r="W3462" s="5" t="s">
        <v>69</v>
      </c>
      <c r="X3462" s="5" t="s">
        <v>69</v>
      </c>
      <c r="Y3462" s="4">
        <v>3</v>
      </c>
      <c r="Z3462" s="4">
        <v>1</v>
      </c>
      <c r="AA3462" s="4">
        <v>96</v>
      </c>
      <c r="AB3462" s="4">
        <v>1</v>
      </c>
      <c r="AC3462" s="4">
        <v>11</v>
      </c>
      <c r="AD3462" s="4">
        <v>0</v>
      </c>
      <c r="AE3462" s="4">
        <v>152</v>
      </c>
      <c r="AF3462" s="4">
        <v>0</v>
      </c>
      <c r="AG3462" s="4">
        <v>3</v>
      </c>
      <c r="AH3462" s="4">
        <v>0</v>
      </c>
      <c r="AI3462" s="4">
        <v>114</v>
      </c>
      <c r="AJ3462" s="4">
        <v>0</v>
      </c>
      <c r="AK3462" s="4">
        <v>25</v>
      </c>
      <c r="AL3462" s="4">
        <v>0</v>
      </c>
      <c r="AM3462" s="4">
        <v>62</v>
      </c>
      <c r="AN3462" s="4">
        <v>0</v>
      </c>
      <c r="AO3462" s="4">
        <v>10</v>
      </c>
      <c r="AP3462" s="4">
        <v>0</v>
      </c>
      <c r="AQ3462" s="4">
        <v>44</v>
      </c>
      <c r="AR3462" s="3" t="s">
        <v>63</v>
      </c>
      <c r="AS3462" s="3" t="s">
        <v>63</v>
      </c>
      <c r="AT3462" s="3" t="s">
        <v>63</v>
      </c>
      <c r="AV3462" s="6" t="str">
        <f>HYPERLINK("http://mcgill.on.worldcat.org/oclc/427396064","Catalog Record")</f>
        <v>Catalog Record</v>
      </c>
      <c r="AW3462" s="6" t="str">
        <f>HYPERLINK("http://www.worldcat.org/oclc/427396064","WorldCat Record")</f>
        <v>WorldCat Record</v>
      </c>
      <c r="AX3462" s="3" t="s">
        <v>29009</v>
      </c>
      <c r="AY3462" s="3" t="s">
        <v>29010</v>
      </c>
      <c r="AZ3462" s="3" t="s">
        <v>29011</v>
      </c>
      <c r="BA3462" s="3" t="s">
        <v>29011</v>
      </c>
      <c r="BB3462" s="3" t="s">
        <v>29012</v>
      </c>
      <c r="BC3462" s="3" t="s">
        <v>82</v>
      </c>
      <c r="BD3462" s="3" t="s">
        <v>70</v>
      </c>
      <c r="BE3462" s="3" t="s">
        <v>29013</v>
      </c>
      <c r="BF3462" s="3" t="s">
        <v>29012</v>
      </c>
      <c r="BG3462" s="3" t="s">
        <v>29014</v>
      </c>
    </row>
    <row r="3463" spans="1:59" ht="60" x14ac:dyDescent="0.25">
      <c r="A3463" s="2" t="s">
        <v>59</v>
      </c>
      <c r="B3463" s="2" t="s">
        <v>60</v>
      </c>
      <c r="C3463" s="2" t="s">
        <v>29004</v>
      </c>
      <c r="D3463" s="2" t="s">
        <v>29005</v>
      </c>
      <c r="E3463" s="2" t="s">
        <v>29006</v>
      </c>
      <c r="G3463" s="3" t="s">
        <v>63</v>
      </c>
      <c r="I3463" s="3" t="s">
        <v>62</v>
      </c>
      <c r="J3463" s="3" t="s">
        <v>62</v>
      </c>
      <c r="K3463" s="3" t="s">
        <v>64</v>
      </c>
      <c r="L3463" s="2" t="s">
        <v>28986</v>
      </c>
      <c r="M3463" s="2" t="s">
        <v>29007</v>
      </c>
      <c r="N3463" s="3" t="s">
        <v>837</v>
      </c>
      <c r="P3463" s="3" t="s">
        <v>66</v>
      </c>
      <c r="R3463" s="3" t="s">
        <v>67</v>
      </c>
      <c r="S3463" s="4">
        <v>83</v>
      </c>
      <c r="T3463" s="4">
        <v>154</v>
      </c>
      <c r="U3463" s="5" t="s">
        <v>29015</v>
      </c>
      <c r="V3463" s="5" t="s">
        <v>29008</v>
      </c>
      <c r="W3463" s="5" t="s">
        <v>69</v>
      </c>
      <c r="X3463" s="5" t="s">
        <v>69</v>
      </c>
      <c r="Y3463" s="4">
        <v>3</v>
      </c>
      <c r="Z3463" s="4">
        <v>1</v>
      </c>
      <c r="AA3463" s="4">
        <v>96</v>
      </c>
      <c r="AB3463" s="4">
        <v>1</v>
      </c>
      <c r="AC3463" s="4">
        <v>11</v>
      </c>
      <c r="AD3463" s="4">
        <v>0</v>
      </c>
      <c r="AE3463" s="4">
        <v>152</v>
      </c>
      <c r="AF3463" s="4">
        <v>0</v>
      </c>
      <c r="AG3463" s="4">
        <v>3</v>
      </c>
      <c r="AH3463" s="4">
        <v>0</v>
      </c>
      <c r="AI3463" s="4">
        <v>114</v>
      </c>
      <c r="AJ3463" s="4">
        <v>0</v>
      </c>
      <c r="AK3463" s="4">
        <v>25</v>
      </c>
      <c r="AL3463" s="4">
        <v>0</v>
      </c>
      <c r="AM3463" s="4">
        <v>62</v>
      </c>
      <c r="AN3463" s="4">
        <v>0</v>
      </c>
      <c r="AO3463" s="4">
        <v>10</v>
      </c>
      <c r="AP3463" s="4">
        <v>0</v>
      </c>
      <c r="AQ3463" s="4">
        <v>44</v>
      </c>
      <c r="AR3463" s="3" t="s">
        <v>63</v>
      </c>
      <c r="AS3463" s="3" t="s">
        <v>63</v>
      </c>
      <c r="AT3463" s="3" t="s">
        <v>63</v>
      </c>
      <c r="AV3463" s="6" t="str">
        <f>HYPERLINK("http://mcgill.on.worldcat.org/oclc/427396064","Catalog Record")</f>
        <v>Catalog Record</v>
      </c>
      <c r="AW3463" s="6" t="str">
        <f>HYPERLINK("http://www.worldcat.org/oclc/427396064","WorldCat Record")</f>
        <v>WorldCat Record</v>
      </c>
      <c r="AX3463" s="3" t="s">
        <v>29009</v>
      </c>
      <c r="AY3463" s="3" t="s">
        <v>29010</v>
      </c>
      <c r="AZ3463" s="3" t="s">
        <v>29011</v>
      </c>
      <c r="BA3463" s="3" t="s">
        <v>29011</v>
      </c>
      <c r="BB3463" s="3" t="s">
        <v>29016</v>
      </c>
      <c r="BC3463" s="3" t="s">
        <v>82</v>
      </c>
      <c r="BD3463" s="3" t="s">
        <v>70</v>
      </c>
      <c r="BE3463" s="3" t="s">
        <v>29013</v>
      </c>
      <c r="BF3463" s="3" t="s">
        <v>29016</v>
      </c>
      <c r="BG3463" s="3" t="s">
        <v>29017</v>
      </c>
    </row>
    <row r="3464" spans="1:59" ht="60" x14ac:dyDescent="0.25">
      <c r="A3464" s="2" t="s">
        <v>59</v>
      </c>
      <c r="B3464" s="2" t="s">
        <v>60</v>
      </c>
      <c r="C3464" s="2" t="s">
        <v>29018</v>
      </c>
      <c r="D3464" s="2" t="s">
        <v>29019</v>
      </c>
      <c r="E3464" s="2" t="s">
        <v>29020</v>
      </c>
      <c r="G3464" s="3" t="s">
        <v>63</v>
      </c>
      <c r="I3464" s="3" t="s">
        <v>63</v>
      </c>
      <c r="J3464" s="3" t="s">
        <v>62</v>
      </c>
      <c r="K3464" s="3" t="s">
        <v>64</v>
      </c>
      <c r="L3464" s="2" t="s">
        <v>28986</v>
      </c>
      <c r="M3464" s="2" t="s">
        <v>29021</v>
      </c>
      <c r="N3464" s="3" t="s">
        <v>326</v>
      </c>
      <c r="P3464" s="3" t="s">
        <v>66</v>
      </c>
      <c r="Q3464" s="2" t="s">
        <v>24058</v>
      </c>
      <c r="R3464" s="3" t="s">
        <v>67</v>
      </c>
      <c r="S3464" s="4">
        <v>22</v>
      </c>
      <c r="T3464" s="4">
        <v>22</v>
      </c>
      <c r="U3464" s="5" t="s">
        <v>5934</v>
      </c>
      <c r="V3464" s="5" t="s">
        <v>5934</v>
      </c>
      <c r="W3464" s="5" t="s">
        <v>69</v>
      </c>
      <c r="X3464" s="5" t="s">
        <v>69</v>
      </c>
      <c r="Y3464" s="4">
        <v>101</v>
      </c>
      <c r="Z3464" s="4">
        <v>7</v>
      </c>
      <c r="AA3464" s="4">
        <v>96</v>
      </c>
      <c r="AB3464" s="4">
        <v>2</v>
      </c>
      <c r="AC3464" s="4">
        <v>11</v>
      </c>
      <c r="AD3464" s="4">
        <v>31</v>
      </c>
      <c r="AE3464" s="4">
        <v>152</v>
      </c>
      <c r="AF3464" s="4">
        <v>0</v>
      </c>
      <c r="AG3464" s="4">
        <v>3</v>
      </c>
      <c r="AH3464" s="4">
        <v>29</v>
      </c>
      <c r="AI3464" s="4">
        <v>114</v>
      </c>
      <c r="AJ3464" s="4">
        <v>3</v>
      </c>
      <c r="AK3464" s="4">
        <v>25</v>
      </c>
      <c r="AL3464" s="4">
        <v>22</v>
      </c>
      <c r="AM3464" s="4">
        <v>62</v>
      </c>
      <c r="AN3464" s="4">
        <v>5</v>
      </c>
      <c r="AO3464" s="4">
        <v>10</v>
      </c>
      <c r="AP3464" s="4">
        <v>4</v>
      </c>
      <c r="AQ3464" s="4">
        <v>44</v>
      </c>
      <c r="AR3464" s="3" t="s">
        <v>63</v>
      </c>
      <c r="AS3464" s="3" t="s">
        <v>63</v>
      </c>
      <c r="AT3464" s="3" t="s">
        <v>62</v>
      </c>
      <c r="AU3464" s="6" t="str">
        <f>HYPERLINK("http://catalog.hathitrust.org/Record/102187002","HathiTrust Record")</f>
        <v>HathiTrust Record</v>
      </c>
      <c r="AV3464" s="6" t="str">
        <f>HYPERLINK("http://mcgill.on.worldcat.org/oclc/220001787","Catalog Record")</f>
        <v>Catalog Record</v>
      </c>
      <c r="AW3464" s="6" t="str">
        <f>HYPERLINK("http://www.worldcat.org/oclc/220001787","WorldCat Record")</f>
        <v>WorldCat Record</v>
      </c>
      <c r="AX3464" s="3" t="s">
        <v>29009</v>
      </c>
      <c r="AY3464" s="3" t="s">
        <v>29022</v>
      </c>
      <c r="AZ3464" s="3" t="s">
        <v>29023</v>
      </c>
      <c r="BA3464" s="3" t="s">
        <v>29023</v>
      </c>
      <c r="BB3464" s="3" t="s">
        <v>29024</v>
      </c>
      <c r="BC3464" s="3" t="s">
        <v>82</v>
      </c>
      <c r="BD3464" s="3" t="s">
        <v>538</v>
      </c>
      <c r="BE3464" s="3" t="s">
        <v>29025</v>
      </c>
      <c r="BF3464" s="3" t="s">
        <v>29024</v>
      </c>
      <c r="BG3464" s="3" t="s">
        <v>29026</v>
      </c>
    </row>
    <row r="3465" spans="1:59" ht="60" x14ac:dyDescent="0.25">
      <c r="A3465" s="2" t="s">
        <v>59</v>
      </c>
      <c r="B3465" s="2" t="s">
        <v>60</v>
      </c>
      <c r="C3465" s="2" t="s">
        <v>29027</v>
      </c>
      <c r="D3465" s="2" t="s">
        <v>29028</v>
      </c>
      <c r="E3465" s="2" t="s">
        <v>29029</v>
      </c>
      <c r="G3465" s="3" t="s">
        <v>63</v>
      </c>
      <c r="I3465" s="3" t="s">
        <v>63</v>
      </c>
      <c r="J3465" s="3" t="s">
        <v>62</v>
      </c>
      <c r="K3465" s="3" t="s">
        <v>64</v>
      </c>
      <c r="L3465" s="2" t="s">
        <v>28997</v>
      </c>
      <c r="M3465" s="2" t="s">
        <v>29030</v>
      </c>
      <c r="N3465" s="3" t="s">
        <v>2765</v>
      </c>
      <c r="P3465" s="3" t="s">
        <v>66</v>
      </c>
      <c r="R3465" s="3" t="s">
        <v>67</v>
      </c>
      <c r="S3465" s="4">
        <v>4</v>
      </c>
      <c r="T3465" s="4">
        <v>4</v>
      </c>
      <c r="U3465" s="5" t="s">
        <v>11583</v>
      </c>
      <c r="V3465" s="5" t="s">
        <v>11583</v>
      </c>
      <c r="W3465" s="5" t="s">
        <v>69</v>
      </c>
      <c r="X3465" s="5" t="s">
        <v>69</v>
      </c>
      <c r="Y3465" s="4">
        <v>150</v>
      </c>
      <c r="Z3465" s="4">
        <v>9</v>
      </c>
      <c r="AA3465" s="4">
        <v>96</v>
      </c>
      <c r="AB3465" s="4">
        <v>1</v>
      </c>
      <c r="AC3465" s="4">
        <v>11</v>
      </c>
      <c r="AD3465" s="4">
        <v>58</v>
      </c>
      <c r="AE3465" s="4">
        <v>152</v>
      </c>
      <c r="AF3465" s="4">
        <v>0</v>
      </c>
      <c r="AG3465" s="4">
        <v>3</v>
      </c>
      <c r="AH3465" s="4">
        <v>57</v>
      </c>
      <c r="AI3465" s="4">
        <v>114</v>
      </c>
      <c r="AJ3465" s="4">
        <v>6</v>
      </c>
      <c r="AK3465" s="4">
        <v>25</v>
      </c>
      <c r="AL3465" s="4">
        <v>36</v>
      </c>
      <c r="AM3465" s="4">
        <v>62</v>
      </c>
      <c r="AN3465" s="4">
        <v>0</v>
      </c>
      <c r="AO3465" s="4">
        <v>10</v>
      </c>
      <c r="AP3465" s="4">
        <v>6</v>
      </c>
      <c r="AQ3465" s="4">
        <v>44</v>
      </c>
      <c r="AR3465" s="3" t="s">
        <v>63</v>
      </c>
      <c r="AS3465" s="3" t="s">
        <v>63</v>
      </c>
      <c r="AT3465" s="3" t="s">
        <v>63</v>
      </c>
      <c r="AV3465" s="6" t="str">
        <f>HYPERLINK("http://mcgill.on.worldcat.org/oclc/902656952","Catalog Record")</f>
        <v>Catalog Record</v>
      </c>
      <c r="AW3465" s="6" t="str">
        <f>HYPERLINK("http://www.worldcat.org/oclc/902656952","WorldCat Record")</f>
        <v>WorldCat Record</v>
      </c>
      <c r="AX3465" s="3" t="s">
        <v>29009</v>
      </c>
      <c r="AY3465" s="3" t="s">
        <v>29031</v>
      </c>
      <c r="AZ3465" s="3" t="s">
        <v>29032</v>
      </c>
      <c r="BA3465" s="3" t="s">
        <v>29032</v>
      </c>
      <c r="BB3465" s="3" t="s">
        <v>29033</v>
      </c>
      <c r="BC3465" s="3" t="s">
        <v>82</v>
      </c>
      <c r="BD3465" s="3" t="s">
        <v>70</v>
      </c>
      <c r="BE3465" s="3" t="s">
        <v>29034</v>
      </c>
      <c r="BF3465" s="3" t="s">
        <v>29033</v>
      </c>
      <c r="BG3465" s="3" t="s">
        <v>29035</v>
      </c>
    </row>
    <row r="3466" spans="1:59" ht="75" x14ac:dyDescent="0.25">
      <c r="A3466" s="2" t="s">
        <v>59</v>
      </c>
      <c r="B3466" s="2" t="s">
        <v>60</v>
      </c>
      <c r="C3466" s="2" t="s">
        <v>29036</v>
      </c>
      <c r="D3466" s="2" t="s">
        <v>29037</v>
      </c>
      <c r="E3466" s="2" t="s">
        <v>29038</v>
      </c>
      <c r="G3466" s="3" t="s">
        <v>63</v>
      </c>
      <c r="I3466" s="3" t="s">
        <v>63</v>
      </c>
      <c r="J3466" s="3" t="s">
        <v>63</v>
      </c>
      <c r="K3466" s="3" t="s">
        <v>64</v>
      </c>
      <c r="L3466" s="2" t="s">
        <v>7812</v>
      </c>
      <c r="M3466" s="2" t="s">
        <v>29039</v>
      </c>
      <c r="N3466" s="3" t="s">
        <v>1343</v>
      </c>
      <c r="P3466" s="3" t="s">
        <v>66</v>
      </c>
      <c r="Q3466" s="2" t="s">
        <v>13900</v>
      </c>
      <c r="R3466" s="3" t="s">
        <v>67</v>
      </c>
      <c r="S3466" s="4">
        <v>16</v>
      </c>
      <c r="T3466" s="4">
        <v>16</v>
      </c>
      <c r="U3466" s="5" t="s">
        <v>3069</v>
      </c>
      <c r="V3466" s="5" t="s">
        <v>3069</v>
      </c>
      <c r="W3466" s="5" t="s">
        <v>69</v>
      </c>
      <c r="X3466" s="5" t="s">
        <v>69</v>
      </c>
      <c r="Y3466" s="4">
        <v>65</v>
      </c>
      <c r="Z3466" s="4">
        <v>6</v>
      </c>
      <c r="AA3466" s="4">
        <v>8</v>
      </c>
      <c r="AB3466" s="4">
        <v>2</v>
      </c>
      <c r="AC3466" s="4">
        <v>2</v>
      </c>
      <c r="AD3466" s="4">
        <v>25</v>
      </c>
      <c r="AE3466" s="4">
        <v>37</v>
      </c>
      <c r="AF3466" s="4">
        <v>0</v>
      </c>
      <c r="AG3466" s="4">
        <v>0</v>
      </c>
      <c r="AH3466" s="4">
        <v>22</v>
      </c>
      <c r="AI3466" s="4">
        <v>34</v>
      </c>
      <c r="AJ3466" s="4">
        <v>4</v>
      </c>
      <c r="AK3466" s="4">
        <v>6</v>
      </c>
      <c r="AL3466" s="4">
        <v>16</v>
      </c>
      <c r="AM3466" s="4">
        <v>22</v>
      </c>
      <c r="AN3466" s="4">
        <v>0</v>
      </c>
      <c r="AO3466" s="4">
        <v>0</v>
      </c>
      <c r="AP3466" s="4">
        <v>4</v>
      </c>
      <c r="AQ3466" s="4">
        <v>6</v>
      </c>
      <c r="AR3466" s="3" t="s">
        <v>63</v>
      </c>
      <c r="AS3466" s="3" t="s">
        <v>63</v>
      </c>
      <c r="AT3466" s="3" t="s">
        <v>62</v>
      </c>
      <c r="AU3466" s="6" t="str">
        <f>HYPERLINK("http://catalog.hathitrust.org/Record/004209338","HathiTrust Record")</f>
        <v>HathiTrust Record</v>
      </c>
      <c r="AV3466" s="6" t="str">
        <f>HYPERLINK("http://mcgill.on.worldcat.org/oclc/44427779","Catalog Record")</f>
        <v>Catalog Record</v>
      </c>
      <c r="AW3466" s="6" t="str">
        <f>HYPERLINK("http://www.worldcat.org/oclc/44427779","WorldCat Record")</f>
        <v>WorldCat Record</v>
      </c>
      <c r="AX3466" s="3" t="s">
        <v>29040</v>
      </c>
      <c r="AY3466" s="3" t="s">
        <v>29041</v>
      </c>
      <c r="AZ3466" s="3" t="s">
        <v>29042</v>
      </c>
      <c r="BA3466" s="3" t="s">
        <v>29042</v>
      </c>
      <c r="BB3466" s="3" t="s">
        <v>29043</v>
      </c>
      <c r="BC3466" s="3" t="s">
        <v>82</v>
      </c>
      <c r="BD3466" s="3" t="s">
        <v>70</v>
      </c>
      <c r="BE3466" s="3" t="s">
        <v>29044</v>
      </c>
      <c r="BF3466" s="3" t="s">
        <v>29043</v>
      </c>
      <c r="BG3466" s="3" t="s">
        <v>29045</v>
      </c>
    </row>
    <row r="3467" spans="1:59" ht="60" x14ac:dyDescent="0.25">
      <c r="A3467" s="2" t="s">
        <v>59</v>
      </c>
      <c r="B3467" s="2" t="s">
        <v>60</v>
      </c>
      <c r="C3467" s="2" t="s">
        <v>29046</v>
      </c>
      <c r="D3467" s="2" t="s">
        <v>29047</v>
      </c>
      <c r="E3467" s="2" t="s">
        <v>29048</v>
      </c>
      <c r="G3467" s="3" t="s">
        <v>63</v>
      </c>
      <c r="I3467" s="3" t="s">
        <v>62</v>
      </c>
      <c r="J3467" s="3" t="s">
        <v>63</v>
      </c>
      <c r="K3467" s="3" t="s">
        <v>64</v>
      </c>
      <c r="M3467" s="2" t="s">
        <v>29049</v>
      </c>
      <c r="N3467" s="3" t="s">
        <v>427</v>
      </c>
      <c r="P3467" s="3" t="s">
        <v>66</v>
      </c>
      <c r="R3467" s="3" t="s">
        <v>67</v>
      </c>
      <c r="S3467" s="4">
        <v>21</v>
      </c>
      <c r="T3467" s="4">
        <v>68</v>
      </c>
      <c r="U3467" s="5" t="s">
        <v>3069</v>
      </c>
      <c r="V3467" s="5" t="s">
        <v>3069</v>
      </c>
      <c r="W3467" s="5" t="s">
        <v>69</v>
      </c>
      <c r="X3467" s="5" t="s">
        <v>69</v>
      </c>
      <c r="Y3467" s="4">
        <v>308</v>
      </c>
      <c r="Z3467" s="4">
        <v>25</v>
      </c>
      <c r="AA3467" s="4">
        <v>25</v>
      </c>
      <c r="AB3467" s="4">
        <v>2</v>
      </c>
      <c r="AC3467" s="4">
        <v>2</v>
      </c>
      <c r="AD3467" s="4">
        <v>110</v>
      </c>
      <c r="AE3467" s="4">
        <v>110</v>
      </c>
      <c r="AF3467" s="4">
        <v>0</v>
      </c>
      <c r="AG3467" s="4">
        <v>0</v>
      </c>
      <c r="AH3467" s="4">
        <v>96</v>
      </c>
      <c r="AI3467" s="4">
        <v>96</v>
      </c>
      <c r="AJ3467" s="4">
        <v>18</v>
      </c>
      <c r="AK3467" s="4">
        <v>18</v>
      </c>
      <c r="AL3467" s="4">
        <v>55</v>
      </c>
      <c r="AM3467" s="4">
        <v>55</v>
      </c>
      <c r="AN3467" s="4">
        <v>0</v>
      </c>
      <c r="AO3467" s="4">
        <v>0</v>
      </c>
      <c r="AP3467" s="4">
        <v>21</v>
      </c>
      <c r="AQ3467" s="4">
        <v>21</v>
      </c>
      <c r="AR3467" s="3" t="s">
        <v>63</v>
      </c>
      <c r="AS3467" s="3" t="s">
        <v>63</v>
      </c>
      <c r="AT3467" s="3" t="s">
        <v>62</v>
      </c>
      <c r="AU3467" s="6" t="str">
        <f>HYPERLINK("http://catalog.hathitrust.org/Record/000917622","HathiTrust Record")</f>
        <v>HathiTrust Record</v>
      </c>
      <c r="AV3467" s="6" t="str">
        <f>HYPERLINK("http://mcgill.on.worldcat.org/oclc/17618775","Catalog Record")</f>
        <v>Catalog Record</v>
      </c>
      <c r="AW3467" s="6" t="str">
        <f>HYPERLINK("http://www.worldcat.org/oclc/17618775","WorldCat Record")</f>
        <v>WorldCat Record</v>
      </c>
      <c r="AX3467" s="3" t="s">
        <v>29050</v>
      </c>
      <c r="AY3467" s="3" t="s">
        <v>29051</v>
      </c>
      <c r="AZ3467" s="3" t="s">
        <v>29052</v>
      </c>
      <c r="BA3467" s="3" t="s">
        <v>29052</v>
      </c>
      <c r="BB3467" s="3" t="s">
        <v>29053</v>
      </c>
      <c r="BC3467" s="3" t="s">
        <v>82</v>
      </c>
      <c r="BD3467" s="3" t="s">
        <v>70</v>
      </c>
      <c r="BE3467" s="3" t="s">
        <v>29054</v>
      </c>
      <c r="BF3467" s="3" t="s">
        <v>29053</v>
      </c>
      <c r="BG3467" s="3" t="s">
        <v>29055</v>
      </c>
    </row>
    <row r="3468" spans="1:59" ht="60" x14ac:dyDescent="0.25">
      <c r="A3468" s="2" t="s">
        <v>59</v>
      </c>
      <c r="B3468" s="2" t="s">
        <v>60</v>
      </c>
      <c r="C3468" s="2" t="s">
        <v>29046</v>
      </c>
      <c r="D3468" s="2" t="s">
        <v>29047</v>
      </c>
      <c r="E3468" s="2" t="s">
        <v>29048</v>
      </c>
      <c r="G3468" s="3" t="s">
        <v>63</v>
      </c>
      <c r="I3468" s="3" t="s">
        <v>62</v>
      </c>
      <c r="J3468" s="3" t="s">
        <v>63</v>
      </c>
      <c r="K3468" s="3" t="s">
        <v>64</v>
      </c>
      <c r="M3468" s="2" t="s">
        <v>29049</v>
      </c>
      <c r="N3468" s="3" t="s">
        <v>427</v>
      </c>
      <c r="P3468" s="3" t="s">
        <v>66</v>
      </c>
      <c r="R3468" s="3" t="s">
        <v>67</v>
      </c>
      <c r="S3468" s="4">
        <v>47</v>
      </c>
      <c r="T3468" s="4">
        <v>68</v>
      </c>
      <c r="U3468" s="5" t="s">
        <v>29056</v>
      </c>
      <c r="V3468" s="5" t="s">
        <v>3069</v>
      </c>
      <c r="W3468" s="5" t="s">
        <v>69</v>
      </c>
      <c r="X3468" s="5" t="s">
        <v>69</v>
      </c>
      <c r="Y3468" s="4">
        <v>308</v>
      </c>
      <c r="Z3468" s="4">
        <v>25</v>
      </c>
      <c r="AA3468" s="4">
        <v>25</v>
      </c>
      <c r="AB3468" s="4">
        <v>2</v>
      </c>
      <c r="AC3468" s="4">
        <v>2</v>
      </c>
      <c r="AD3468" s="4">
        <v>110</v>
      </c>
      <c r="AE3468" s="4">
        <v>110</v>
      </c>
      <c r="AF3468" s="4">
        <v>0</v>
      </c>
      <c r="AG3468" s="4">
        <v>0</v>
      </c>
      <c r="AH3468" s="4">
        <v>96</v>
      </c>
      <c r="AI3468" s="4">
        <v>96</v>
      </c>
      <c r="AJ3468" s="4">
        <v>18</v>
      </c>
      <c r="AK3468" s="4">
        <v>18</v>
      </c>
      <c r="AL3468" s="4">
        <v>55</v>
      </c>
      <c r="AM3468" s="4">
        <v>55</v>
      </c>
      <c r="AN3468" s="4">
        <v>0</v>
      </c>
      <c r="AO3468" s="4">
        <v>0</v>
      </c>
      <c r="AP3468" s="4">
        <v>21</v>
      </c>
      <c r="AQ3468" s="4">
        <v>21</v>
      </c>
      <c r="AR3468" s="3" t="s">
        <v>63</v>
      </c>
      <c r="AS3468" s="3" t="s">
        <v>63</v>
      </c>
      <c r="AT3468" s="3" t="s">
        <v>62</v>
      </c>
      <c r="AU3468" s="6" t="str">
        <f>HYPERLINK("http://catalog.hathitrust.org/Record/000917622","HathiTrust Record")</f>
        <v>HathiTrust Record</v>
      </c>
      <c r="AV3468" s="6" t="str">
        <f>HYPERLINK("http://mcgill.on.worldcat.org/oclc/17618775","Catalog Record")</f>
        <v>Catalog Record</v>
      </c>
      <c r="AW3468" s="6" t="str">
        <f>HYPERLINK("http://www.worldcat.org/oclc/17618775","WorldCat Record")</f>
        <v>WorldCat Record</v>
      </c>
      <c r="AX3468" s="3" t="s">
        <v>29050</v>
      </c>
      <c r="AY3468" s="3" t="s">
        <v>29051</v>
      </c>
      <c r="AZ3468" s="3" t="s">
        <v>29052</v>
      </c>
      <c r="BA3468" s="3" t="s">
        <v>29052</v>
      </c>
      <c r="BB3468" s="3" t="s">
        <v>29057</v>
      </c>
      <c r="BC3468" s="3" t="s">
        <v>82</v>
      </c>
      <c r="BD3468" s="3" t="s">
        <v>70</v>
      </c>
      <c r="BE3468" s="3" t="s">
        <v>29054</v>
      </c>
      <c r="BF3468" s="3" t="s">
        <v>29057</v>
      </c>
      <c r="BG3468" s="3" t="s">
        <v>29058</v>
      </c>
    </row>
    <row r="3469" spans="1:59" ht="60" x14ac:dyDescent="0.25">
      <c r="A3469" s="2" t="s">
        <v>59</v>
      </c>
      <c r="B3469" s="2" t="s">
        <v>60</v>
      </c>
      <c r="C3469" s="2" t="s">
        <v>29059</v>
      </c>
      <c r="D3469" s="2" t="s">
        <v>29060</v>
      </c>
      <c r="E3469" s="2" t="s">
        <v>29061</v>
      </c>
      <c r="G3469" s="3" t="s">
        <v>63</v>
      </c>
      <c r="I3469" s="3" t="s">
        <v>63</v>
      </c>
      <c r="J3469" s="3" t="s">
        <v>63</v>
      </c>
      <c r="K3469" s="3" t="s">
        <v>64</v>
      </c>
      <c r="M3469" s="2" t="s">
        <v>29062</v>
      </c>
      <c r="N3469" s="3" t="s">
        <v>161</v>
      </c>
      <c r="P3469" s="3" t="s">
        <v>548</v>
      </c>
      <c r="Q3469" s="2" t="s">
        <v>29063</v>
      </c>
      <c r="R3469" s="3" t="s">
        <v>67</v>
      </c>
      <c r="S3469" s="4">
        <v>13</v>
      </c>
      <c r="T3469" s="4">
        <v>13</v>
      </c>
      <c r="U3469" s="5" t="s">
        <v>7577</v>
      </c>
      <c r="V3469" s="5" t="s">
        <v>7577</v>
      </c>
      <c r="W3469" s="5" t="s">
        <v>69</v>
      </c>
      <c r="X3469" s="5" t="s">
        <v>69</v>
      </c>
      <c r="Y3469" s="4">
        <v>7</v>
      </c>
      <c r="Z3469" s="4">
        <v>4</v>
      </c>
      <c r="AA3469" s="4">
        <v>8</v>
      </c>
      <c r="AB3469" s="4">
        <v>1</v>
      </c>
      <c r="AC3469" s="4">
        <v>3</v>
      </c>
      <c r="AD3469" s="4">
        <v>3</v>
      </c>
      <c r="AE3469" s="4">
        <v>27</v>
      </c>
      <c r="AF3469" s="4">
        <v>0</v>
      </c>
      <c r="AG3469" s="4">
        <v>1</v>
      </c>
      <c r="AH3469" s="4">
        <v>3</v>
      </c>
      <c r="AI3469" s="4">
        <v>24</v>
      </c>
      <c r="AJ3469" s="4">
        <v>2</v>
      </c>
      <c r="AK3469" s="4">
        <v>5</v>
      </c>
      <c r="AL3469" s="4">
        <v>1</v>
      </c>
      <c r="AM3469" s="4">
        <v>19</v>
      </c>
      <c r="AN3469" s="4">
        <v>0</v>
      </c>
      <c r="AO3469" s="4">
        <v>0</v>
      </c>
      <c r="AP3469" s="4">
        <v>2</v>
      </c>
      <c r="AQ3469" s="4">
        <v>4</v>
      </c>
      <c r="AR3469" s="3" t="s">
        <v>63</v>
      </c>
      <c r="AS3469" s="3" t="s">
        <v>63</v>
      </c>
      <c r="AT3469" s="3" t="s">
        <v>63</v>
      </c>
      <c r="AV3469" s="6" t="str">
        <f>HYPERLINK("http://mcgill.on.worldcat.org/oclc/427367794","Catalog Record")</f>
        <v>Catalog Record</v>
      </c>
      <c r="AW3469" s="6" t="str">
        <f>HYPERLINK("http://www.worldcat.org/oclc/427367794","WorldCat Record")</f>
        <v>WorldCat Record</v>
      </c>
      <c r="AX3469" s="3" t="s">
        <v>29064</v>
      </c>
      <c r="AY3469" s="3" t="s">
        <v>29065</v>
      </c>
      <c r="AZ3469" s="3" t="s">
        <v>29066</v>
      </c>
      <c r="BA3469" s="3" t="s">
        <v>29066</v>
      </c>
      <c r="BB3469" s="3" t="s">
        <v>29067</v>
      </c>
      <c r="BC3469" s="3" t="s">
        <v>82</v>
      </c>
      <c r="BD3469" s="3" t="s">
        <v>70</v>
      </c>
      <c r="BF3469" s="3" t="s">
        <v>29067</v>
      </c>
      <c r="BG3469" s="3" t="s">
        <v>29068</v>
      </c>
    </row>
    <row r="3470" spans="1:59" ht="60" x14ac:dyDescent="0.25">
      <c r="A3470" s="2" t="s">
        <v>59</v>
      </c>
      <c r="B3470" s="2" t="s">
        <v>60</v>
      </c>
      <c r="C3470" s="2" t="s">
        <v>29069</v>
      </c>
      <c r="D3470" s="2" t="s">
        <v>29070</v>
      </c>
      <c r="E3470" s="2" t="s">
        <v>29071</v>
      </c>
      <c r="G3470" s="3" t="s">
        <v>63</v>
      </c>
      <c r="I3470" s="3" t="s">
        <v>62</v>
      </c>
      <c r="J3470" s="3" t="s">
        <v>63</v>
      </c>
      <c r="K3470" s="3" t="s">
        <v>64</v>
      </c>
      <c r="L3470" s="2" t="s">
        <v>29072</v>
      </c>
      <c r="M3470" s="2" t="s">
        <v>29073</v>
      </c>
      <c r="N3470" s="3" t="s">
        <v>939</v>
      </c>
      <c r="P3470" s="3" t="s">
        <v>66</v>
      </c>
      <c r="Q3470" s="2" t="s">
        <v>29074</v>
      </c>
      <c r="R3470" s="3" t="s">
        <v>67</v>
      </c>
      <c r="S3470" s="4">
        <v>30</v>
      </c>
      <c r="T3470" s="4">
        <v>66</v>
      </c>
      <c r="U3470" s="5" t="s">
        <v>10097</v>
      </c>
      <c r="V3470" s="5" t="s">
        <v>10097</v>
      </c>
      <c r="W3470" s="5" t="s">
        <v>69</v>
      </c>
      <c r="X3470" s="5" t="s">
        <v>69</v>
      </c>
      <c r="Y3470" s="4">
        <v>562</v>
      </c>
      <c r="Z3470" s="4">
        <v>31</v>
      </c>
      <c r="AA3470" s="4">
        <v>33</v>
      </c>
      <c r="AB3470" s="4">
        <v>3</v>
      </c>
      <c r="AC3470" s="4">
        <v>4</v>
      </c>
      <c r="AD3470" s="4">
        <v>120</v>
      </c>
      <c r="AE3470" s="4">
        <v>123</v>
      </c>
      <c r="AF3470" s="4">
        <v>1</v>
      </c>
      <c r="AG3470" s="4">
        <v>2</v>
      </c>
      <c r="AH3470" s="4">
        <v>102</v>
      </c>
      <c r="AI3470" s="4">
        <v>104</v>
      </c>
      <c r="AJ3470" s="4">
        <v>19</v>
      </c>
      <c r="AK3470" s="4">
        <v>21</v>
      </c>
      <c r="AL3470" s="4">
        <v>56</v>
      </c>
      <c r="AM3470" s="4">
        <v>57</v>
      </c>
      <c r="AN3470" s="4">
        <v>0</v>
      </c>
      <c r="AO3470" s="4">
        <v>0</v>
      </c>
      <c r="AP3470" s="4">
        <v>24</v>
      </c>
      <c r="AQ3470" s="4">
        <v>26</v>
      </c>
      <c r="AR3470" s="3" t="s">
        <v>63</v>
      </c>
      <c r="AS3470" s="3" t="s">
        <v>63</v>
      </c>
      <c r="AT3470" s="3" t="s">
        <v>62</v>
      </c>
      <c r="AU3470" s="6" t="str">
        <f>HYPERLINK("http://catalog.hathitrust.org/Record/001110463","HathiTrust Record")</f>
        <v>HathiTrust Record</v>
      </c>
      <c r="AV3470" s="6" t="str">
        <f>HYPERLINK("http://mcgill.on.worldcat.org/oclc/441082","Catalog Record")</f>
        <v>Catalog Record</v>
      </c>
      <c r="AW3470" s="6" t="str">
        <f>HYPERLINK("http://www.worldcat.org/oclc/441082","WorldCat Record")</f>
        <v>WorldCat Record</v>
      </c>
      <c r="AX3470" s="3" t="s">
        <v>29075</v>
      </c>
      <c r="AY3470" s="3" t="s">
        <v>29076</v>
      </c>
      <c r="AZ3470" s="3" t="s">
        <v>29077</v>
      </c>
      <c r="BA3470" s="3" t="s">
        <v>29077</v>
      </c>
      <c r="BB3470" s="3" t="s">
        <v>29078</v>
      </c>
      <c r="BC3470" s="3" t="s">
        <v>82</v>
      </c>
      <c r="BD3470" s="3" t="s">
        <v>70</v>
      </c>
      <c r="BF3470" s="3" t="s">
        <v>29078</v>
      </c>
      <c r="BG3470" s="3" t="s">
        <v>29079</v>
      </c>
    </row>
    <row r="3471" spans="1:59" ht="60" x14ac:dyDescent="0.25">
      <c r="A3471" s="2" t="s">
        <v>59</v>
      </c>
      <c r="B3471" s="2" t="s">
        <v>60</v>
      </c>
      <c r="C3471" s="2" t="s">
        <v>29069</v>
      </c>
      <c r="D3471" s="2" t="s">
        <v>29070</v>
      </c>
      <c r="E3471" s="2" t="s">
        <v>29071</v>
      </c>
      <c r="G3471" s="3" t="s">
        <v>63</v>
      </c>
      <c r="I3471" s="3" t="s">
        <v>62</v>
      </c>
      <c r="J3471" s="3" t="s">
        <v>63</v>
      </c>
      <c r="K3471" s="3" t="s">
        <v>64</v>
      </c>
      <c r="L3471" s="2" t="s">
        <v>29072</v>
      </c>
      <c r="M3471" s="2" t="s">
        <v>29073</v>
      </c>
      <c r="N3471" s="3" t="s">
        <v>939</v>
      </c>
      <c r="P3471" s="3" t="s">
        <v>66</v>
      </c>
      <c r="Q3471" s="2" t="s">
        <v>29074</v>
      </c>
      <c r="R3471" s="3" t="s">
        <v>67</v>
      </c>
      <c r="S3471" s="4">
        <v>36</v>
      </c>
      <c r="T3471" s="4">
        <v>66</v>
      </c>
      <c r="U3471" s="5" t="s">
        <v>29080</v>
      </c>
      <c r="V3471" s="5" t="s">
        <v>10097</v>
      </c>
      <c r="W3471" s="5" t="s">
        <v>69</v>
      </c>
      <c r="X3471" s="5" t="s">
        <v>69</v>
      </c>
      <c r="Y3471" s="4">
        <v>562</v>
      </c>
      <c r="Z3471" s="4">
        <v>31</v>
      </c>
      <c r="AA3471" s="4">
        <v>33</v>
      </c>
      <c r="AB3471" s="4">
        <v>3</v>
      </c>
      <c r="AC3471" s="4">
        <v>4</v>
      </c>
      <c r="AD3471" s="4">
        <v>120</v>
      </c>
      <c r="AE3471" s="4">
        <v>123</v>
      </c>
      <c r="AF3471" s="4">
        <v>1</v>
      </c>
      <c r="AG3471" s="4">
        <v>2</v>
      </c>
      <c r="AH3471" s="4">
        <v>102</v>
      </c>
      <c r="AI3471" s="4">
        <v>104</v>
      </c>
      <c r="AJ3471" s="4">
        <v>19</v>
      </c>
      <c r="AK3471" s="4">
        <v>21</v>
      </c>
      <c r="AL3471" s="4">
        <v>56</v>
      </c>
      <c r="AM3471" s="4">
        <v>57</v>
      </c>
      <c r="AN3471" s="4">
        <v>0</v>
      </c>
      <c r="AO3471" s="4">
        <v>0</v>
      </c>
      <c r="AP3471" s="4">
        <v>24</v>
      </c>
      <c r="AQ3471" s="4">
        <v>26</v>
      </c>
      <c r="AR3471" s="3" t="s">
        <v>63</v>
      </c>
      <c r="AS3471" s="3" t="s">
        <v>63</v>
      </c>
      <c r="AT3471" s="3" t="s">
        <v>62</v>
      </c>
      <c r="AU3471" s="6" t="str">
        <f>HYPERLINK("http://catalog.hathitrust.org/Record/001110463","HathiTrust Record")</f>
        <v>HathiTrust Record</v>
      </c>
      <c r="AV3471" s="6" t="str">
        <f>HYPERLINK("http://mcgill.on.worldcat.org/oclc/441082","Catalog Record")</f>
        <v>Catalog Record</v>
      </c>
      <c r="AW3471" s="6" t="str">
        <f>HYPERLINK("http://www.worldcat.org/oclc/441082","WorldCat Record")</f>
        <v>WorldCat Record</v>
      </c>
      <c r="AX3471" s="3" t="s">
        <v>29075</v>
      </c>
      <c r="AY3471" s="3" t="s">
        <v>29076</v>
      </c>
      <c r="AZ3471" s="3" t="s">
        <v>29077</v>
      </c>
      <c r="BA3471" s="3" t="s">
        <v>29077</v>
      </c>
      <c r="BB3471" s="3" t="s">
        <v>29081</v>
      </c>
      <c r="BC3471" s="3" t="s">
        <v>82</v>
      </c>
      <c r="BD3471" s="3" t="s">
        <v>70</v>
      </c>
      <c r="BF3471" s="3" t="s">
        <v>29081</v>
      </c>
      <c r="BG3471" s="3" t="s">
        <v>29082</v>
      </c>
    </row>
    <row r="3472" spans="1:59" ht="60" x14ac:dyDescent="0.25">
      <c r="A3472" s="2" t="s">
        <v>59</v>
      </c>
      <c r="B3472" s="2" t="s">
        <v>60</v>
      </c>
      <c r="C3472" s="2" t="s">
        <v>29083</v>
      </c>
      <c r="D3472" s="2" t="s">
        <v>29084</v>
      </c>
      <c r="E3472" s="2" t="s">
        <v>29085</v>
      </c>
      <c r="G3472" s="3" t="s">
        <v>63</v>
      </c>
      <c r="I3472" s="3" t="s">
        <v>63</v>
      </c>
      <c r="J3472" s="3" t="s">
        <v>63</v>
      </c>
      <c r="K3472" s="3" t="s">
        <v>64</v>
      </c>
      <c r="L3472" s="2" t="s">
        <v>29086</v>
      </c>
      <c r="M3472" s="2" t="s">
        <v>29087</v>
      </c>
      <c r="N3472" s="3" t="s">
        <v>531</v>
      </c>
      <c r="P3472" s="3" t="s">
        <v>90</v>
      </c>
      <c r="R3472" s="3" t="s">
        <v>67</v>
      </c>
      <c r="S3472" s="4">
        <v>1</v>
      </c>
      <c r="T3472" s="4">
        <v>1</v>
      </c>
      <c r="U3472" s="5" t="s">
        <v>25975</v>
      </c>
      <c r="V3472" s="5" t="s">
        <v>25975</v>
      </c>
      <c r="W3472" s="5" t="s">
        <v>69</v>
      </c>
      <c r="X3472" s="5" t="s">
        <v>69</v>
      </c>
      <c r="Y3472" s="4">
        <v>44</v>
      </c>
      <c r="Z3472" s="4">
        <v>4</v>
      </c>
      <c r="AA3472" s="4">
        <v>4</v>
      </c>
      <c r="AB3472" s="4">
        <v>1</v>
      </c>
      <c r="AC3472" s="4">
        <v>1</v>
      </c>
      <c r="AD3472" s="4">
        <v>35</v>
      </c>
      <c r="AE3472" s="4">
        <v>35</v>
      </c>
      <c r="AF3472" s="4">
        <v>0</v>
      </c>
      <c r="AG3472" s="4">
        <v>0</v>
      </c>
      <c r="AH3472" s="4">
        <v>34</v>
      </c>
      <c r="AI3472" s="4">
        <v>34</v>
      </c>
      <c r="AJ3472" s="4">
        <v>2</v>
      </c>
      <c r="AK3472" s="4">
        <v>2</v>
      </c>
      <c r="AL3472" s="4">
        <v>26</v>
      </c>
      <c r="AM3472" s="4">
        <v>26</v>
      </c>
      <c r="AN3472" s="4">
        <v>0</v>
      </c>
      <c r="AO3472" s="4">
        <v>0</v>
      </c>
      <c r="AP3472" s="4">
        <v>2</v>
      </c>
      <c r="AQ3472" s="4">
        <v>2</v>
      </c>
      <c r="AR3472" s="3" t="s">
        <v>63</v>
      </c>
      <c r="AS3472" s="3" t="s">
        <v>63</v>
      </c>
      <c r="AT3472" s="3" t="s">
        <v>62</v>
      </c>
      <c r="AU3472" s="6" t="str">
        <f>HYPERLINK("http://catalog.hathitrust.org/Record/002728185","HathiTrust Record")</f>
        <v>HathiTrust Record</v>
      </c>
      <c r="AV3472" s="6" t="str">
        <f>HYPERLINK("http://mcgill.on.worldcat.org/oclc/27918384","Catalog Record")</f>
        <v>Catalog Record</v>
      </c>
      <c r="AW3472" s="6" t="str">
        <f>HYPERLINK("http://www.worldcat.org/oclc/27918384","WorldCat Record")</f>
        <v>WorldCat Record</v>
      </c>
      <c r="AX3472" s="3" t="s">
        <v>29088</v>
      </c>
      <c r="AY3472" s="3" t="s">
        <v>29089</v>
      </c>
      <c r="AZ3472" s="3" t="s">
        <v>29090</v>
      </c>
      <c r="BA3472" s="3" t="s">
        <v>29090</v>
      </c>
      <c r="BB3472" s="3" t="s">
        <v>29091</v>
      </c>
      <c r="BC3472" s="3" t="s">
        <v>82</v>
      </c>
      <c r="BD3472" s="3" t="s">
        <v>70</v>
      </c>
      <c r="BE3472" s="3" t="s">
        <v>29092</v>
      </c>
      <c r="BF3472" s="3" t="s">
        <v>29091</v>
      </c>
      <c r="BG3472" s="3" t="s">
        <v>29093</v>
      </c>
    </row>
    <row r="3473" spans="1:59" ht="60" x14ac:dyDescent="0.25">
      <c r="A3473" s="2" t="s">
        <v>59</v>
      </c>
      <c r="B3473" s="2" t="s">
        <v>60</v>
      </c>
      <c r="C3473" s="2" t="s">
        <v>29094</v>
      </c>
      <c r="D3473" s="2" t="s">
        <v>29095</v>
      </c>
      <c r="E3473" s="2" t="s">
        <v>29096</v>
      </c>
      <c r="G3473" s="3" t="s">
        <v>63</v>
      </c>
      <c r="I3473" s="3" t="s">
        <v>63</v>
      </c>
      <c r="J3473" s="3" t="s">
        <v>63</v>
      </c>
      <c r="K3473" s="3" t="s">
        <v>64</v>
      </c>
      <c r="L3473" s="2" t="s">
        <v>29097</v>
      </c>
      <c r="M3473" s="2" t="s">
        <v>5878</v>
      </c>
      <c r="N3473" s="3" t="s">
        <v>143</v>
      </c>
      <c r="P3473" s="3" t="s">
        <v>90</v>
      </c>
      <c r="R3473" s="3" t="s">
        <v>67</v>
      </c>
      <c r="S3473" s="4">
        <v>1</v>
      </c>
      <c r="T3473" s="4">
        <v>1</v>
      </c>
      <c r="U3473" s="5" t="s">
        <v>29098</v>
      </c>
      <c r="V3473" s="5" t="s">
        <v>29098</v>
      </c>
      <c r="W3473" s="5" t="s">
        <v>69</v>
      </c>
      <c r="X3473" s="5" t="s">
        <v>69</v>
      </c>
      <c r="Y3473" s="4">
        <v>33</v>
      </c>
      <c r="Z3473" s="4">
        <v>3</v>
      </c>
      <c r="AA3473" s="4">
        <v>3</v>
      </c>
      <c r="AB3473" s="4">
        <v>1</v>
      </c>
      <c r="AC3473" s="4">
        <v>1</v>
      </c>
      <c r="AD3473" s="4">
        <v>24</v>
      </c>
      <c r="AE3473" s="4">
        <v>24</v>
      </c>
      <c r="AF3473" s="4">
        <v>0</v>
      </c>
      <c r="AG3473" s="4">
        <v>0</v>
      </c>
      <c r="AH3473" s="4">
        <v>23</v>
      </c>
      <c r="AI3473" s="4">
        <v>23</v>
      </c>
      <c r="AJ3473" s="4">
        <v>1</v>
      </c>
      <c r="AK3473" s="4">
        <v>1</v>
      </c>
      <c r="AL3473" s="4">
        <v>18</v>
      </c>
      <c r="AM3473" s="4">
        <v>18</v>
      </c>
      <c r="AN3473" s="4">
        <v>0</v>
      </c>
      <c r="AO3473" s="4">
        <v>0</v>
      </c>
      <c r="AP3473" s="4">
        <v>1</v>
      </c>
      <c r="AQ3473" s="4">
        <v>1</v>
      </c>
      <c r="AR3473" s="3" t="s">
        <v>63</v>
      </c>
      <c r="AS3473" s="3" t="s">
        <v>63</v>
      </c>
      <c r="AT3473" s="3" t="s">
        <v>63</v>
      </c>
      <c r="AV3473" s="6" t="str">
        <f>HYPERLINK("http://mcgill.on.worldcat.org/oclc/893459745","Catalog Record")</f>
        <v>Catalog Record</v>
      </c>
      <c r="AW3473" s="6" t="str">
        <f>HYPERLINK("http://www.worldcat.org/oclc/893459745","WorldCat Record")</f>
        <v>WorldCat Record</v>
      </c>
      <c r="AX3473" s="3" t="s">
        <v>29099</v>
      </c>
      <c r="AY3473" s="3" t="s">
        <v>29100</v>
      </c>
      <c r="AZ3473" s="3" t="s">
        <v>29101</v>
      </c>
      <c r="BA3473" s="3" t="s">
        <v>29101</v>
      </c>
      <c r="BB3473" s="3" t="s">
        <v>29102</v>
      </c>
      <c r="BC3473" s="3" t="s">
        <v>82</v>
      </c>
      <c r="BD3473" s="3" t="s">
        <v>70</v>
      </c>
      <c r="BE3473" s="3" t="s">
        <v>29103</v>
      </c>
      <c r="BF3473" s="3" t="s">
        <v>29102</v>
      </c>
      <c r="BG3473" s="3" t="s">
        <v>29104</v>
      </c>
    </row>
    <row r="3474" spans="1:59" ht="60" x14ac:dyDescent="0.25">
      <c r="A3474" s="2" t="s">
        <v>59</v>
      </c>
      <c r="B3474" s="2" t="s">
        <v>60</v>
      </c>
      <c r="C3474" s="2" t="s">
        <v>29105</v>
      </c>
      <c r="D3474" s="2" t="s">
        <v>29106</v>
      </c>
      <c r="E3474" s="2" t="s">
        <v>29107</v>
      </c>
      <c r="G3474" s="3" t="s">
        <v>63</v>
      </c>
      <c r="I3474" s="3" t="s">
        <v>63</v>
      </c>
      <c r="J3474" s="3" t="s">
        <v>63</v>
      </c>
      <c r="K3474" s="3" t="s">
        <v>64</v>
      </c>
      <c r="L3474" s="2" t="s">
        <v>29108</v>
      </c>
      <c r="M3474" s="2" t="s">
        <v>29109</v>
      </c>
      <c r="N3474" s="3" t="s">
        <v>706</v>
      </c>
      <c r="P3474" s="3" t="s">
        <v>90</v>
      </c>
      <c r="R3474" s="3" t="s">
        <v>67</v>
      </c>
      <c r="S3474" s="4">
        <v>2</v>
      </c>
      <c r="T3474" s="4">
        <v>2</v>
      </c>
      <c r="U3474" s="5" t="s">
        <v>28965</v>
      </c>
      <c r="V3474" s="5" t="s">
        <v>28965</v>
      </c>
      <c r="W3474" s="5" t="s">
        <v>69</v>
      </c>
      <c r="X3474" s="5" t="s">
        <v>69</v>
      </c>
      <c r="Y3474" s="4">
        <v>28</v>
      </c>
      <c r="Z3474" s="4">
        <v>6</v>
      </c>
      <c r="AA3474" s="4">
        <v>6</v>
      </c>
      <c r="AB3474" s="4">
        <v>2</v>
      </c>
      <c r="AC3474" s="4">
        <v>2</v>
      </c>
      <c r="AD3474" s="4">
        <v>21</v>
      </c>
      <c r="AE3474" s="4">
        <v>23</v>
      </c>
      <c r="AF3474" s="4">
        <v>0</v>
      </c>
      <c r="AG3474" s="4">
        <v>0</v>
      </c>
      <c r="AH3474" s="4">
        <v>21</v>
      </c>
      <c r="AI3474" s="4">
        <v>22</v>
      </c>
      <c r="AJ3474" s="4">
        <v>3</v>
      </c>
      <c r="AK3474" s="4">
        <v>3</v>
      </c>
      <c r="AL3474" s="4">
        <v>16</v>
      </c>
      <c r="AM3474" s="4">
        <v>18</v>
      </c>
      <c r="AN3474" s="4">
        <v>0</v>
      </c>
      <c r="AO3474" s="4">
        <v>0</v>
      </c>
      <c r="AP3474" s="4">
        <v>3</v>
      </c>
      <c r="AQ3474" s="4">
        <v>3</v>
      </c>
      <c r="AR3474" s="3" t="s">
        <v>63</v>
      </c>
      <c r="AS3474" s="3" t="s">
        <v>63</v>
      </c>
      <c r="AT3474" s="3" t="s">
        <v>62</v>
      </c>
      <c r="AU3474" s="6" t="str">
        <f>HYPERLINK("http://catalog.hathitrust.org/Record/000911900","HathiTrust Record")</f>
        <v>HathiTrust Record</v>
      </c>
      <c r="AV3474" s="6" t="str">
        <f>HYPERLINK("http://mcgill.on.worldcat.org/oclc/14137169","Catalog Record")</f>
        <v>Catalog Record</v>
      </c>
      <c r="AW3474" s="6" t="str">
        <f>HYPERLINK("http://www.worldcat.org/oclc/14137169","WorldCat Record")</f>
        <v>WorldCat Record</v>
      </c>
      <c r="AX3474" s="3" t="s">
        <v>29110</v>
      </c>
      <c r="AY3474" s="3" t="s">
        <v>29111</v>
      </c>
      <c r="AZ3474" s="3" t="s">
        <v>29112</v>
      </c>
      <c r="BA3474" s="3" t="s">
        <v>29112</v>
      </c>
      <c r="BB3474" s="3" t="s">
        <v>29113</v>
      </c>
      <c r="BC3474" s="3" t="s">
        <v>82</v>
      </c>
      <c r="BD3474" s="3" t="s">
        <v>70</v>
      </c>
      <c r="BF3474" s="3" t="s">
        <v>29113</v>
      </c>
      <c r="BG3474" s="3" t="s">
        <v>29114</v>
      </c>
    </row>
    <row r="3475" spans="1:59" ht="60" x14ac:dyDescent="0.25">
      <c r="A3475" s="2" t="s">
        <v>59</v>
      </c>
      <c r="B3475" s="2" t="s">
        <v>60</v>
      </c>
      <c r="C3475" s="2" t="s">
        <v>29115</v>
      </c>
      <c r="D3475" s="2" t="s">
        <v>29116</v>
      </c>
      <c r="E3475" s="2" t="s">
        <v>29117</v>
      </c>
      <c r="G3475" s="3" t="s">
        <v>63</v>
      </c>
      <c r="I3475" s="3" t="s">
        <v>63</v>
      </c>
      <c r="J3475" s="3" t="s">
        <v>63</v>
      </c>
      <c r="K3475" s="3" t="s">
        <v>64</v>
      </c>
      <c r="L3475" s="2" t="s">
        <v>29108</v>
      </c>
      <c r="M3475" s="2" t="s">
        <v>29118</v>
      </c>
      <c r="N3475" s="3" t="s">
        <v>261</v>
      </c>
      <c r="P3475" s="3" t="s">
        <v>90</v>
      </c>
      <c r="R3475" s="3" t="s">
        <v>67</v>
      </c>
      <c r="S3475" s="4">
        <v>3</v>
      </c>
      <c r="T3475" s="4">
        <v>3</v>
      </c>
      <c r="U3475" s="5" t="s">
        <v>9180</v>
      </c>
      <c r="V3475" s="5" t="s">
        <v>9180</v>
      </c>
      <c r="W3475" s="5" t="s">
        <v>69</v>
      </c>
      <c r="X3475" s="5" t="s">
        <v>69</v>
      </c>
      <c r="Y3475" s="4">
        <v>66</v>
      </c>
      <c r="Z3475" s="4">
        <v>6</v>
      </c>
      <c r="AA3475" s="4">
        <v>6</v>
      </c>
      <c r="AB3475" s="4">
        <v>1</v>
      </c>
      <c r="AC3475" s="4">
        <v>1</v>
      </c>
      <c r="AD3475" s="4">
        <v>35</v>
      </c>
      <c r="AE3475" s="4">
        <v>35</v>
      </c>
      <c r="AF3475" s="4">
        <v>0</v>
      </c>
      <c r="AG3475" s="4">
        <v>0</v>
      </c>
      <c r="AH3475" s="4">
        <v>34</v>
      </c>
      <c r="AI3475" s="4">
        <v>34</v>
      </c>
      <c r="AJ3475" s="4">
        <v>2</v>
      </c>
      <c r="AK3475" s="4">
        <v>2</v>
      </c>
      <c r="AL3475" s="4">
        <v>28</v>
      </c>
      <c r="AM3475" s="4">
        <v>28</v>
      </c>
      <c r="AN3475" s="4">
        <v>0</v>
      </c>
      <c r="AO3475" s="4">
        <v>0</v>
      </c>
      <c r="AP3475" s="4">
        <v>2</v>
      </c>
      <c r="AQ3475" s="4">
        <v>2</v>
      </c>
      <c r="AR3475" s="3" t="s">
        <v>63</v>
      </c>
      <c r="AS3475" s="3" t="s">
        <v>63</v>
      </c>
      <c r="AT3475" s="3" t="s">
        <v>63</v>
      </c>
      <c r="AV3475" s="6" t="str">
        <f>HYPERLINK("http://mcgill.on.worldcat.org/oclc/84650283","Catalog Record")</f>
        <v>Catalog Record</v>
      </c>
      <c r="AW3475" s="6" t="str">
        <f>HYPERLINK("http://www.worldcat.org/oclc/84650283","WorldCat Record")</f>
        <v>WorldCat Record</v>
      </c>
      <c r="AX3475" s="3" t="s">
        <v>29119</v>
      </c>
      <c r="AY3475" s="3" t="s">
        <v>29120</v>
      </c>
      <c r="AZ3475" s="3" t="s">
        <v>29121</v>
      </c>
      <c r="BA3475" s="3" t="s">
        <v>29121</v>
      </c>
      <c r="BB3475" s="3" t="s">
        <v>29122</v>
      </c>
      <c r="BC3475" s="3" t="s">
        <v>82</v>
      </c>
      <c r="BD3475" s="3" t="s">
        <v>70</v>
      </c>
      <c r="BE3475" s="3" t="s">
        <v>29123</v>
      </c>
      <c r="BF3475" s="3" t="s">
        <v>29122</v>
      </c>
      <c r="BG3475" s="3" t="s">
        <v>29124</v>
      </c>
    </row>
    <row r="3476" spans="1:59" ht="60" x14ac:dyDescent="0.25">
      <c r="A3476" s="2" t="s">
        <v>59</v>
      </c>
      <c r="B3476" s="2" t="s">
        <v>60</v>
      </c>
      <c r="C3476" s="2" t="s">
        <v>29125</v>
      </c>
      <c r="D3476" s="2" t="s">
        <v>29126</v>
      </c>
      <c r="E3476" s="2" t="s">
        <v>29127</v>
      </c>
      <c r="G3476" s="3" t="s">
        <v>63</v>
      </c>
      <c r="I3476" s="3" t="s">
        <v>63</v>
      </c>
      <c r="J3476" s="3" t="s">
        <v>63</v>
      </c>
      <c r="K3476" s="3" t="s">
        <v>64</v>
      </c>
      <c r="L3476" s="2" t="s">
        <v>29128</v>
      </c>
      <c r="M3476" s="2" t="s">
        <v>29129</v>
      </c>
      <c r="N3476" s="3" t="s">
        <v>287</v>
      </c>
      <c r="P3476" s="3" t="s">
        <v>66</v>
      </c>
      <c r="Q3476" s="2" t="s">
        <v>15267</v>
      </c>
      <c r="R3476" s="3" t="s">
        <v>67</v>
      </c>
      <c r="S3476" s="4">
        <v>0</v>
      </c>
      <c r="T3476" s="4">
        <v>0</v>
      </c>
      <c r="W3476" s="5" t="s">
        <v>69</v>
      </c>
      <c r="X3476" s="5" t="s">
        <v>69</v>
      </c>
      <c r="Y3476" s="4">
        <v>147</v>
      </c>
      <c r="Z3476" s="4">
        <v>7</v>
      </c>
      <c r="AA3476" s="4">
        <v>75</v>
      </c>
      <c r="AB3476" s="4">
        <v>1</v>
      </c>
      <c r="AC3476" s="4">
        <v>15</v>
      </c>
      <c r="AD3476" s="4">
        <v>49</v>
      </c>
      <c r="AE3476" s="4">
        <v>110</v>
      </c>
      <c r="AF3476" s="4">
        <v>0</v>
      </c>
      <c r="AG3476" s="4">
        <v>8</v>
      </c>
      <c r="AH3476" s="4">
        <v>45</v>
      </c>
      <c r="AI3476" s="4">
        <v>78</v>
      </c>
      <c r="AJ3476" s="4">
        <v>4</v>
      </c>
      <c r="AK3476" s="4">
        <v>20</v>
      </c>
      <c r="AL3476" s="4">
        <v>29</v>
      </c>
      <c r="AM3476" s="4">
        <v>43</v>
      </c>
      <c r="AN3476" s="4">
        <v>0</v>
      </c>
      <c r="AO3476" s="4">
        <v>0</v>
      </c>
      <c r="AP3476" s="4">
        <v>4</v>
      </c>
      <c r="AQ3476" s="4">
        <v>39</v>
      </c>
      <c r="AR3476" s="3" t="s">
        <v>63</v>
      </c>
      <c r="AS3476" s="3" t="s">
        <v>63</v>
      </c>
      <c r="AT3476" s="3" t="s">
        <v>63</v>
      </c>
      <c r="AV3476" s="6" t="str">
        <f>HYPERLINK("http://mcgill.on.worldcat.org/oclc/1042813613","Catalog Record")</f>
        <v>Catalog Record</v>
      </c>
      <c r="AW3476" s="6" t="str">
        <f>HYPERLINK("http://www.worldcat.org/oclc/1042813613","WorldCat Record")</f>
        <v>WorldCat Record</v>
      </c>
      <c r="AX3476" s="3" t="s">
        <v>29130</v>
      </c>
      <c r="AY3476" s="3" t="s">
        <v>29131</v>
      </c>
      <c r="AZ3476" s="3" t="s">
        <v>29132</v>
      </c>
      <c r="BA3476" s="3" t="s">
        <v>29132</v>
      </c>
      <c r="BB3476" s="3" t="s">
        <v>29133</v>
      </c>
      <c r="BC3476" s="3" t="s">
        <v>82</v>
      </c>
      <c r="BD3476" s="3" t="s">
        <v>70</v>
      </c>
      <c r="BE3476" s="3" t="s">
        <v>29134</v>
      </c>
      <c r="BF3476" s="3" t="s">
        <v>29133</v>
      </c>
      <c r="BG3476" s="3" t="s">
        <v>29135</v>
      </c>
    </row>
    <row r="3477" spans="1:59" ht="75" x14ac:dyDescent="0.25">
      <c r="A3477" s="2" t="s">
        <v>59</v>
      </c>
      <c r="B3477" s="2" t="s">
        <v>60</v>
      </c>
      <c r="C3477" s="2" t="s">
        <v>29136</v>
      </c>
      <c r="D3477" s="2" t="s">
        <v>29137</v>
      </c>
      <c r="E3477" s="2" t="s">
        <v>29138</v>
      </c>
      <c r="G3477" s="3" t="s">
        <v>63</v>
      </c>
      <c r="I3477" s="3" t="s">
        <v>63</v>
      </c>
      <c r="J3477" s="3" t="s">
        <v>62</v>
      </c>
      <c r="K3477" s="3" t="s">
        <v>64</v>
      </c>
      <c r="L3477" s="2" t="s">
        <v>29139</v>
      </c>
      <c r="M3477" s="2" t="s">
        <v>29140</v>
      </c>
      <c r="N3477" s="3" t="s">
        <v>2271</v>
      </c>
      <c r="P3477" s="3" t="s">
        <v>66</v>
      </c>
      <c r="R3477" s="3" t="s">
        <v>67</v>
      </c>
      <c r="S3477" s="4">
        <v>18</v>
      </c>
      <c r="T3477" s="4">
        <v>18</v>
      </c>
      <c r="U3477" s="5" t="s">
        <v>3183</v>
      </c>
      <c r="V3477" s="5" t="s">
        <v>3183</v>
      </c>
      <c r="W3477" s="5" t="s">
        <v>69</v>
      </c>
      <c r="X3477" s="5" t="s">
        <v>69</v>
      </c>
      <c r="Y3477" s="4">
        <v>97</v>
      </c>
      <c r="Z3477" s="4">
        <v>6</v>
      </c>
      <c r="AA3477" s="4">
        <v>34</v>
      </c>
      <c r="AB3477" s="4">
        <v>1</v>
      </c>
      <c r="AC3477" s="4">
        <v>2</v>
      </c>
      <c r="AD3477" s="4">
        <v>18</v>
      </c>
      <c r="AE3477" s="4">
        <v>124</v>
      </c>
      <c r="AF3477" s="4">
        <v>0</v>
      </c>
      <c r="AG3477" s="4">
        <v>1</v>
      </c>
      <c r="AH3477" s="4">
        <v>16</v>
      </c>
      <c r="AI3477" s="4">
        <v>107</v>
      </c>
      <c r="AJ3477" s="4">
        <v>4</v>
      </c>
      <c r="AK3477" s="4">
        <v>17</v>
      </c>
      <c r="AL3477" s="4">
        <v>4</v>
      </c>
      <c r="AM3477" s="4">
        <v>59</v>
      </c>
      <c r="AN3477" s="4">
        <v>0</v>
      </c>
      <c r="AO3477" s="4">
        <v>7</v>
      </c>
      <c r="AP3477" s="4">
        <v>5</v>
      </c>
      <c r="AQ3477" s="4">
        <v>24</v>
      </c>
      <c r="AR3477" s="3" t="s">
        <v>63</v>
      </c>
      <c r="AS3477" s="3" t="s">
        <v>63</v>
      </c>
      <c r="AT3477" s="3" t="s">
        <v>63</v>
      </c>
      <c r="AV3477" s="6" t="str">
        <f>HYPERLINK("http://mcgill.on.worldcat.org/oclc/2960003","Catalog Record")</f>
        <v>Catalog Record</v>
      </c>
      <c r="AW3477" s="6" t="str">
        <f>HYPERLINK("http://www.worldcat.org/oclc/2960003","WorldCat Record")</f>
        <v>WorldCat Record</v>
      </c>
      <c r="AX3477" s="3" t="s">
        <v>29141</v>
      </c>
      <c r="AY3477" s="3" t="s">
        <v>29142</v>
      </c>
      <c r="AZ3477" s="3" t="s">
        <v>29143</v>
      </c>
      <c r="BA3477" s="3" t="s">
        <v>29143</v>
      </c>
      <c r="BB3477" s="3" t="s">
        <v>29144</v>
      </c>
      <c r="BC3477" s="3" t="s">
        <v>82</v>
      </c>
      <c r="BD3477" s="3" t="s">
        <v>70</v>
      </c>
      <c r="BF3477" s="3" t="s">
        <v>29144</v>
      </c>
      <c r="BG3477" s="3" t="s">
        <v>29145</v>
      </c>
    </row>
    <row r="3478" spans="1:59" ht="60" x14ac:dyDescent="0.25">
      <c r="A3478" s="2" t="s">
        <v>59</v>
      </c>
      <c r="B3478" s="2" t="s">
        <v>60</v>
      </c>
      <c r="C3478" s="2" t="s">
        <v>29146</v>
      </c>
      <c r="D3478" s="2" t="s">
        <v>29147</v>
      </c>
      <c r="E3478" s="2" t="s">
        <v>29148</v>
      </c>
      <c r="G3478" s="3" t="s">
        <v>63</v>
      </c>
      <c r="I3478" s="3" t="s">
        <v>63</v>
      </c>
      <c r="J3478" s="3" t="s">
        <v>63</v>
      </c>
      <c r="K3478" s="3" t="s">
        <v>64</v>
      </c>
      <c r="L3478" s="2" t="s">
        <v>29128</v>
      </c>
      <c r="M3478" s="2" t="s">
        <v>29149</v>
      </c>
      <c r="N3478" s="3" t="s">
        <v>918</v>
      </c>
      <c r="P3478" s="3" t="s">
        <v>90</v>
      </c>
      <c r="R3478" s="3" t="s">
        <v>67</v>
      </c>
      <c r="S3478" s="4">
        <v>2</v>
      </c>
      <c r="T3478" s="4">
        <v>2</v>
      </c>
      <c r="U3478" s="5" t="s">
        <v>29150</v>
      </c>
      <c r="V3478" s="5" t="s">
        <v>29150</v>
      </c>
      <c r="W3478" s="5" t="s">
        <v>69</v>
      </c>
      <c r="X3478" s="5" t="s">
        <v>69</v>
      </c>
      <c r="Y3478" s="4">
        <v>172</v>
      </c>
      <c r="Z3478" s="4">
        <v>15</v>
      </c>
      <c r="AA3478" s="4">
        <v>16</v>
      </c>
      <c r="AB3478" s="4">
        <v>1</v>
      </c>
      <c r="AC3478" s="4">
        <v>2</v>
      </c>
      <c r="AD3478" s="4">
        <v>72</v>
      </c>
      <c r="AE3478" s="4">
        <v>73</v>
      </c>
      <c r="AF3478" s="4">
        <v>0</v>
      </c>
      <c r="AG3478" s="4">
        <v>1</v>
      </c>
      <c r="AH3478" s="4">
        <v>64</v>
      </c>
      <c r="AI3478" s="4">
        <v>65</v>
      </c>
      <c r="AJ3478" s="4">
        <v>13</v>
      </c>
      <c r="AK3478" s="4">
        <v>14</v>
      </c>
      <c r="AL3478" s="4">
        <v>35</v>
      </c>
      <c r="AM3478" s="4">
        <v>35</v>
      </c>
      <c r="AN3478" s="4">
        <v>0</v>
      </c>
      <c r="AO3478" s="4">
        <v>0</v>
      </c>
      <c r="AP3478" s="4">
        <v>14</v>
      </c>
      <c r="AQ3478" s="4">
        <v>15</v>
      </c>
      <c r="AR3478" s="3" t="s">
        <v>63</v>
      </c>
      <c r="AS3478" s="3" t="s">
        <v>63</v>
      </c>
      <c r="AT3478" s="3" t="s">
        <v>62</v>
      </c>
      <c r="AU3478" s="6" t="str">
        <f>HYPERLINK("http://catalog.hathitrust.org/Record/001061507","HathiTrust Record")</f>
        <v>HathiTrust Record</v>
      </c>
      <c r="AV3478" s="6" t="str">
        <f>HYPERLINK("http://mcgill.on.worldcat.org/oclc/839187","Catalog Record")</f>
        <v>Catalog Record</v>
      </c>
      <c r="AW3478" s="6" t="str">
        <f>HYPERLINK("http://www.worldcat.org/oclc/839187","WorldCat Record")</f>
        <v>WorldCat Record</v>
      </c>
      <c r="AX3478" s="3" t="s">
        <v>29151</v>
      </c>
      <c r="AY3478" s="3" t="s">
        <v>29152</v>
      </c>
      <c r="AZ3478" s="3" t="s">
        <v>29153</v>
      </c>
      <c r="BA3478" s="3" t="s">
        <v>29153</v>
      </c>
      <c r="BB3478" s="3" t="s">
        <v>29154</v>
      </c>
      <c r="BC3478" s="3" t="s">
        <v>82</v>
      </c>
      <c r="BD3478" s="3" t="s">
        <v>70</v>
      </c>
      <c r="BF3478" s="3" t="s">
        <v>29154</v>
      </c>
      <c r="BG3478" s="3" t="s">
        <v>29155</v>
      </c>
    </row>
    <row r="3479" spans="1:59" ht="60" x14ac:dyDescent="0.25">
      <c r="A3479" s="2" t="s">
        <v>59</v>
      </c>
      <c r="B3479" s="2" t="s">
        <v>60</v>
      </c>
      <c r="C3479" s="2" t="s">
        <v>23550</v>
      </c>
      <c r="D3479" s="2" t="s">
        <v>23551</v>
      </c>
      <c r="E3479" s="2" t="s">
        <v>23552</v>
      </c>
      <c r="G3479" s="3" t="s">
        <v>63</v>
      </c>
      <c r="I3479" s="3" t="s">
        <v>63</v>
      </c>
      <c r="J3479" s="3" t="s">
        <v>63</v>
      </c>
      <c r="K3479" s="3" t="s">
        <v>64</v>
      </c>
      <c r="L3479" s="2" t="s">
        <v>23465</v>
      </c>
      <c r="M3479" s="2" t="s">
        <v>20281</v>
      </c>
      <c r="N3479" s="3" t="s">
        <v>106</v>
      </c>
      <c r="P3479" s="3" t="s">
        <v>66</v>
      </c>
      <c r="R3479" s="3" t="s">
        <v>67</v>
      </c>
      <c r="S3479" s="4">
        <v>2</v>
      </c>
      <c r="T3479" s="4">
        <v>2</v>
      </c>
      <c r="U3479" s="5" t="s">
        <v>23553</v>
      </c>
      <c r="V3479" s="5" t="s">
        <v>23553</v>
      </c>
      <c r="W3479" s="5" t="s">
        <v>2009</v>
      </c>
      <c r="X3479" s="5" t="s">
        <v>2009</v>
      </c>
      <c r="Y3479" s="4">
        <v>132</v>
      </c>
      <c r="Z3479" s="4">
        <v>12</v>
      </c>
      <c r="AA3479" s="4">
        <v>14</v>
      </c>
      <c r="AB3479" s="4">
        <v>1</v>
      </c>
      <c r="AC3479" s="4">
        <v>3</v>
      </c>
      <c r="AD3479" s="4">
        <v>51</v>
      </c>
      <c r="AE3479" s="4">
        <v>55</v>
      </c>
      <c r="AF3479" s="4">
        <v>0</v>
      </c>
      <c r="AG3479" s="4">
        <v>0</v>
      </c>
      <c r="AH3479" s="4">
        <v>50</v>
      </c>
      <c r="AI3479" s="4">
        <v>54</v>
      </c>
      <c r="AJ3479" s="4">
        <v>7</v>
      </c>
      <c r="AK3479" s="4">
        <v>7</v>
      </c>
      <c r="AL3479" s="4">
        <v>32</v>
      </c>
      <c r="AM3479" s="4">
        <v>35</v>
      </c>
      <c r="AN3479" s="4">
        <v>0</v>
      </c>
      <c r="AO3479" s="4">
        <v>0</v>
      </c>
      <c r="AP3479" s="4">
        <v>7</v>
      </c>
      <c r="AQ3479" s="4">
        <v>7</v>
      </c>
      <c r="AR3479" s="3" t="s">
        <v>63</v>
      </c>
      <c r="AS3479" s="3" t="s">
        <v>63</v>
      </c>
      <c r="AT3479" s="3" t="s">
        <v>63</v>
      </c>
      <c r="AV3479" s="6" t="str">
        <f>HYPERLINK("http://mcgill.on.worldcat.org/oclc/940933107","Catalog Record")</f>
        <v>Catalog Record</v>
      </c>
      <c r="AW3479" s="6" t="str">
        <f>HYPERLINK("http://www.worldcat.org/oclc/940933107","WorldCat Record")</f>
        <v>WorldCat Record</v>
      </c>
      <c r="AX3479" s="3" t="s">
        <v>23554</v>
      </c>
      <c r="AY3479" s="3" t="s">
        <v>23555</v>
      </c>
      <c r="AZ3479" s="3" t="s">
        <v>23556</v>
      </c>
      <c r="BA3479" s="3" t="s">
        <v>23556</v>
      </c>
      <c r="BB3479" s="3" t="s">
        <v>23557</v>
      </c>
      <c r="BC3479" s="3" t="s">
        <v>82</v>
      </c>
      <c r="BD3479" s="3" t="s">
        <v>70</v>
      </c>
      <c r="BE3479" s="3" t="s">
        <v>23558</v>
      </c>
      <c r="BF3479" s="3" t="s">
        <v>23557</v>
      </c>
      <c r="BG3479" s="3" t="s">
        <v>23559</v>
      </c>
    </row>
    <row r="3480" spans="1:59" ht="60" x14ac:dyDescent="0.25">
      <c r="A3480" s="2" t="s">
        <v>59</v>
      </c>
      <c r="B3480" s="2" t="s">
        <v>60</v>
      </c>
      <c r="C3480" s="2" t="s">
        <v>24232</v>
      </c>
      <c r="D3480" s="2" t="s">
        <v>24233</v>
      </c>
      <c r="E3480" s="2" t="s">
        <v>24234</v>
      </c>
      <c r="G3480" s="3" t="s">
        <v>63</v>
      </c>
      <c r="I3480" s="3" t="s">
        <v>63</v>
      </c>
      <c r="J3480" s="3" t="s">
        <v>63</v>
      </c>
      <c r="K3480" s="3" t="s">
        <v>64</v>
      </c>
      <c r="L3480" s="2" t="s">
        <v>24235</v>
      </c>
      <c r="M3480" s="2" t="s">
        <v>24236</v>
      </c>
      <c r="N3480" s="3" t="s">
        <v>1557</v>
      </c>
      <c r="P3480" s="3" t="s">
        <v>90</v>
      </c>
      <c r="R3480" s="3" t="s">
        <v>67</v>
      </c>
      <c r="S3480" s="4">
        <v>0</v>
      </c>
      <c r="T3480" s="4">
        <v>0</v>
      </c>
      <c r="W3480" s="5" t="s">
        <v>9728</v>
      </c>
      <c r="X3480" s="5" t="s">
        <v>9728</v>
      </c>
      <c r="Y3480" s="4">
        <v>38</v>
      </c>
      <c r="Z3480" s="4">
        <v>2</v>
      </c>
      <c r="AA3480" s="4">
        <v>2</v>
      </c>
      <c r="AB3480" s="4">
        <v>1</v>
      </c>
      <c r="AC3480" s="4">
        <v>1</v>
      </c>
      <c r="AD3480" s="4">
        <v>30</v>
      </c>
      <c r="AE3480" s="4">
        <v>31</v>
      </c>
      <c r="AF3480" s="4">
        <v>0</v>
      </c>
      <c r="AG3480" s="4">
        <v>0</v>
      </c>
      <c r="AH3480" s="4">
        <v>29</v>
      </c>
      <c r="AI3480" s="4">
        <v>30</v>
      </c>
      <c r="AJ3480" s="4">
        <v>1</v>
      </c>
      <c r="AK3480" s="4">
        <v>1</v>
      </c>
      <c r="AL3480" s="4">
        <v>24</v>
      </c>
      <c r="AM3480" s="4">
        <v>25</v>
      </c>
      <c r="AN3480" s="4">
        <v>0</v>
      </c>
      <c r="AO3480" s="4">
        <v>0</v>
      </c>
      <c r="AP3480" s="4">
        <v>1</v>
      </c>
      <c r="AQ3480" s="4">
        <v>1</v>
      </c>
      <c r="AR3480" s="3" t="s">
        <v>63</v>
      </c>
      <c r="AS3480" s="3" t="s">
        <v>63</v>
      </c>
      <c r="AT3480" s="3" t="s">
        <v>63</v>
      </c>
      <c r="AV3480" s="6" t="str">
        <f>HYPERLINK("http://mcgill.on.worldcat.org/oclc/1002219585","Catalog Record")</f>
        <v>Catalog Record</v>
      </c>
      <c r="AW3480" s="6" t="str">
        <f>HYPERLINK("http://www.worldcat.org/oclc/1002219585","WorldCat Record")</f>
        <v>WorldCat Record</v>
      </c>
      <c r="AX3480" s="3" t="s">
        <v>24237</v>
      </c>
      <c r="AY3480" s="3" t="s">
        <v>24238</v>
      </c>
      <c r="AZ3480" s="3" t="s">
        <v>24239</v>
      </c>
      <c r="BA3480" s="3" t="s">
        <v>24239</v>
      </c>
      <c r="BB3480" s="3" t="s">
        <v>24240</v>
      </c>
      <c r="BC3480" s="3" t="s">
        <v>82</v>
      </c>
      <c r="BD3480" s="3" t="s">
        <v>70</v>
      </c>
      <c r="BE3480" s="3" t="s">
        <v>24241</v>
      </c>
      <c r="BF3480" s="3" t="s">
        <v>24240</v>
      </c>
      <c r="BG3480" s="3" t="s">
        <v>24242</v>
      </c>
    </row>
    <row r="3481" spans="1:59" ht="60" x14ac:dyDescent="0.25">
      <c r="A3481" s="2" t="s">
        <v>59</v>
      </c>
      <c r="B3481" s="2" t="s">
        <v>60</v>
      </c>
      <c r="C3481" s="2" t="s">
        <v>24858</v>
      </c>
      <c r="D3481" s="2" t="s">
        <v>24859</v>
      </c>
      <c r="E3481" s="2" t="s">
        <v>24860</v>
      </c>
      <c r="G3481" s="3" t="s">
        <v>63</v>
      </c>
      <c r="I3481" s="3" t="s">
        <v>63</v>
      </c>
      <c r="J3481" s="3" t="s">
        <v>63</v>
      </c>
      <c r="K3481" s="3" t="s">
        <v>64</v>
      </c>
      <c r="L3481" s="2" t="s">
        <v>18265</v>
      </c>
      <c r="M3481" s="2" t="s">
        <v>24861</v>
      </c>
      <c r="N3481" s="3" t="s">
        <v>1752</v>
      </c>
      <c r="P3481" s="3" t="s">
        <v>66</v>
      </c>
      <c r="R3481" s="3" t="s">
        <v>67</v>
      </c>
      <c r="S3481" s="4">
        <v>2</v>
      </c>
      <c r="T3481" s="4">
        <v>2</v>
      </c>
      <c r="W3481" s="5" t="s">
        <v>24862</v>
      </c>
      <c r="X3481" s="5" t="s">
        <v>24862</v>
      </c>
      <c r="Y3481" s="4">
        <v>286</v>
      </c>
      <c r="Z3481" s="4">
        <v>11</v>
      </c>
      <c r="AA3481" s="4">
        <v>27</v>
      </c>
      <c r="AB3481" s="4">
        <v>2</v>
      </c>
      <c r="AC3481" s="4">
        <v>8</v>
      </c>
      <c r="AD3481" s="4">
        <v>57</v>
      </c>
      <c r="AE3481" s="4">
        <v>75</v>
      </c>
      <c r="AF3481" s="4">
        <v>1</v>
      </c>
      <c r="AG3481" s="4">
        <v>4</v>
      </c>
      <c r="AH3481" s="4">
        <v>52</v>
      </c>
      <c r="AI3481" s="4">
        <v>62</v>
      </c>
      <c r="AJ3481" s="4">
        <v>6</v>
      </c>
      <c r="AK3481" s="4">
        <v>13</v>
      </c>
      <c r="AL3481" s="4">
        <v>36</v>
      </c>
      <c r="AM3481" s="4">
        <v>38</v>
      </c>
      <c r="AN3481" s="4">
        <v>0</v>
      </c>
      <c r="AO3481" s="4">
        <v>0</v>
      </c>
      <c r="AP3481" s="4">
        <v>6</v>
      </c>
      <c r="AQ3481" s="4">
        <v>18</v>
      </c>
      <c r="AR3481" s="3" t="s">
        <v>63</v>
      </c>
      <c r="AS3481" s="3" t="s">
        <v>63</v>
      </c>
      <c r="AT3481" s="3" t="s">
        <v>63</v>
      </c>
      <c r="AV3481" s="6" t="str">
        <f>HYPERLINK("http://mcgill.on.worldcat.org/oclc/1048947607","Catalog Record")</f>
        <v>Catalog Record</v>
      </c>
      <c r="AW3481" s="6" t="str">
        <f>HYPERLINK("http://www.worldcat.org/oclc/1048947607","WorldCat Record")</f>
        <v>WorldCat Record</v>
      </c>
      <c r="AX3481" s="3" t="s">
        <v>24863</v>
      </c>
      <c r="AY3481" s="3" t="s">
        <v>24864</v>
      </c>
      <c r="AZ3481" s="3" t="s">
        <v>24865</v>
      </c>
      <c r="BA3481" s="3" t="s">
        <v>24865</v>
      </c>
      <c r="BB3481" s="3" t="s">
        <v>24866</v>
      </c>
      <c r="BC3481" s="3" t="s">
        <v>82</v>
      </c>
      <c r="BD3481" s="3" t="s">
        <v>538</v>
      </c>
      <c r="BE3481" s="3" t="s">
        <v>24867</v>
      </c>
      <c r="BF3481" s="3" t="s">
        <v>24866</v>
      </c>
      <c r="BG3481" s="3" t="s">
        <v>24868</v>
      </c>
    </row>
    <row r="3482" spans="1:59" ht="60" x14ac:dyDescent="0.25">
      <c r="A3482" s="2" t="s">
        <v>59</v>
      </c>
      <c r="B3482" s="2" t="s">
        <v>60</v>
      </c>
      <c r="C3482" s="2" t="s">
        <v>26575</v>
      </c>
      <c r="D3482" s="2" t="s">
        <v>26576</v>
      </c>
      <c r="E3482" s="2" t="s">
        <v>26564</v>
      </c>
      <c r="G3482" s="3" t="s">
        <v>63</v>
      </c>
      <c r="I3482" s="3" t="s">
        <v>63</v>
      </c>
      <c r="J3482" s="3" t="s">
        <v>62</v>
      </c>
      <c r="K3482" s="3" t="s">
        <v>64</v>
      </c>
      <c r="L3482" s="2" t="s">
        <v>14234</v>
      </c>
      <c r="M3482" s="2" t="s">
        <v>26577</v>
      </c>
      <c r="N3482" s="3" t="s">
        <v>161</v>
      </c>
      <c r="O3482" s="2" t="s">
        <v>26578</v>
      </c>
      <c r="P3482" s="3" t="s">
        <v>66</v>
      </c>
      <c r="Q3482" s="2" t="s">
        <v>26118</v>
      </c>
      <c r="R3482" s="3" t="s">
        <v>67</v>
      </c>
      <c r="S3482" s="4">
        <v>17</v>
      </c>
      <c r="T3482" s="4">
        <v>17</v>
      </c>
      <c r="U3482" s="5" t="s">
        <v>17565</v>
      </c>
      <c r="V3482" s="5" t="s">
        <v>17565</v>
      </c>
      <c r="W3482" s="5" t="s">
        <v>69</v>
      </c>
      <c r="X3482" s="5" t="s">
        <v>69</v>
      </c>
      <c r="Y3482" s="4">
        <v>375</v>
      </c>
      <c r="Z3482" s="4">
        <v>8</v>
      </c>
      <c r="AA3482" s="4">
        <v>99</v>
      </c>
      <c r="AB3482" s="4">
        <v>1</v>
      </c>
      <c r="AC3482" s="4">
        <v>11</v>
      </c>
      <c r="AD3482" s="4">
        <v>30</v>
      </c>
      <c r="AE3482" s="4">
        <v>160</v>
      </c>
      <c r="AF3482" s="4">
        <v>0</v>
      </c>
      <c r="AG3482" s="4">
        <v>6</v>
      </c>
      <c r="AH3482" s="4">
        <v>26</v>
      </c>
      <c r="AI3482" s="4">
        <v>112</v>
      </c>
      <c r="AJ3482" s="4">
        <v>1</v>
      </c>
      <c r="AK3482" s="4">
        <v>28</v>
      </c>
      <c r="AL3482" s="4">
        <v>16</v>
      </c>
      <c r="AM3482" s="4">
        <v>63</v>
      </c>
      <c r="AN3482" s="4">
        <v>5</v>
      </c>
      <c r="AO3482" s="4">
        <v>5</v>
      </c>
      <c r="AP3482" s="4">
        <v>3</v>
      </c>
      <c r="AQ3482" s="4">
        <v>50</v>
      </c>
      <c r="AR3482" s="3" t="s">
        <v>63</v>
      </c>
      <c r="AS3482" s="3" t="s">
        <v>63</v>
      </c>
      <c r="AT3482" s="3" t="s">
        <v>62</v>
      </c>
      <c r="AU3482" s="6" t="str">
        <f>HYPERLINK("http://catalog.hathitrust.org/Record/007110662","HathiTrust Record")</f>
        <v>HathiTrust Record</v>
      </c>
      <c r="AV3482" s="6" t="str">
        <f>HYPERLINK("http://mcgill.on.worldcat.org/oclc/20649775","Catalog Record")</f>
        <v>Catalog Record</v>
      </c>
      <c r="AW3482" s="6" t="str">
        <f>HYPERLINK("http://www.worldcat.org/oclc/20649775","WorldCat Record")</f>
        <v>WorldCat Record</v>
      </c>
      <c r="AX3482" s="3" t="s">
        <v>26534</v>
      </c>
      <c r="AY3482" s="3" t="s">
        <v>26579</v>
      </c>
      <c r="AZ3482" s="3" t="s">
        <v>26580</v>
      </c>
      <c r="BA3482" s="3" t="s">
        <v>26580</v>
      </c>
      <c r="BB3482" s="3" t="s">
        <v>26581</v>
      </c>
      <c r="BC3482" s="3" t="s">
        <v>82</v>
      </c>
      <c r="BD3482" s="3" t="s">
        <v>70</v>
      </c>
      <c r="BE3482" s="3" t="s">
        <v>26582</v>
      </c>
      <c r="BF3482" s="3" t="s">
        <v>26581</v>
      </c>
      <c r="BG3482" s="3" t="s">
        <v>26583</v>
      </c>
    </row>
    <row r="3483" spans="1:59" ht="75" x14ac:dyDescent="0.25">
      <c r="A3483" s="2" t="s">
        <v>59</v>
      </c>
      <c r="B3483" s="2" t="s">
        <v>60</v>
      </c>
      <c r="C3483" s="2" t="s">
        <v>27534</v>
      </c>
      <c r="D3483" s="2" t="s">
        <v>27535</v>
      </c>
      <c r="E3483" s="2" t="s">
        <v>27485</v>
      </c>
      <c r="G3483" s="3" t="s">
        <v>63</v>
      </c>
      <c r="I3483" s="3" t="s">
        <v>62</v>
      </c>
      <c r="J3483" s="3" t="s">
        <v>63</v>
      </c>
      <c r="K3483" s="3" t="s">
        <v>64</v>
      </c>
      <c r="L3483" s="2" t="s">
        <v>27486</v>
      </c>
      <c r="M3483" s="2" t="s">
        <v>27487</v>
      </c>
      <c r="N3483" s="3" t="s">
        <v>668</v>
      </c>
      <c r="P3483" s="3" t="s">
        <v>548</v>
      </c>
      <c r="Q3483" s="2" t="s">
        <v>27488</v>
      </c>
      <c r="R3483" s="3" t="s">
        <v>67</v>
      </c>
      <c r="S3483" s="4">
        <v>6</v>
      </c>
      <c r="T3483" s="4">
        <v>7</v>
      </c>
      <c r="U3483" s="5" t="s">
        <v>27536</v>
      </c>
      <c r="V3483" s="5" t="s">
        <v>27489</v>
      </c>
      <c r="W3483" s="5" t="s">
        <v>69</v>
      </c>
      <c r="X3483" s="5" t="s">
        <v>69</v>
      </c>
      <c r="Y3483" s="4">
        <v>120</v>
      </c>
      <c r="Z3483" s="4">
        <v>10</v>
      </c>
      <c r="AA3483" s="4">
        <v>14</v>
      </c>
      <c r="AB3483" s="4">
        <v>7</v>
      </c>
      <c r="AC3483" s="4">
        <v>7</v>
      </c>
      <c r="AD3483" s="4">
        <v>12</v>
      </c>
      <c r="AE3483" s="4">
        <v>19</v>
      </c>
      <c r="AF3483" s="4">
        <v>3</v>
      </c>
      <c r="AG3483" s="4">
        <v>3</v>
      </c>
      <c r="AH3483" s="4">
        <v>9</v>
      </c>
      <c r="AI3483" s="4">
        <v>13</v>
      </c>
      <c r="AJ3483" s="4">
        <v>5</v>
      </c>
      <c r="AK3483" s="4">
        <v>5</v>
      </c>
      <c r="AL3483" s="4">
        <v>4</v>
      </c>
      <c r="AM3483" s="4">
        <v>9</v>
      </c>
      <c r="AN3483" s="4">
        <v>0</v>
      </c>
      <c r="AO3483" s="4">
        <v>0</v>
      </c>
      <c r="AP3483" s="4">
        <v>5</v>
      </c>
      <c r="AQ3483" s="4">
        <v>7</v>
      </c>
      <c r="AR3483" s="3" t="s">
        <v>63</v>
      </c>
      <c r="AS3483" s="3" t="s">
        <v>63</v>
      </c>
      <c r="AT3483" s="3" t="s">
        <v>63</v>
      </c>
      <c r="AV3483" s="6" t="str">
        <f>HYPERLINK("http://mcgill.on.worldcat.org/oclc/22372999","Catalog Record")</f>
        <v>Catalog Record</v>
      </c>
      <c r="AW3483" s="6" t="str">
        <f>HYPERLINK("http://www.worldcat.org/oclc/22372999","WorldCat Record")</f>
        <v>WorldCat Record</v>
      </c>
      <c r="AX3483" s="3" t="s">
        <v>27490</v>
      </c>
      <c r="AY3483" s="3" t="s">
        <v>27491</v>
      </c>
      <c r="AZ3483" s="3" t="s">
        <v>27492</v>
      </c>
      <c r="BA3483" s="3" t="s">
        <v>27492</v>
      </c>
      <c r="BB3483" s="3" t="s">
        <v>27537</v>
      </c>
      <c r="BC3483" s="3" t="s">
        <v>82</v>
      </c>
      <c r="BD3483" s="3" t="s">
        <v>70</v>
      </c>
      <c r="BE3483" s="3" t="s">
        <v>27494</v>
      </c>
      <c r="BF3483" s="3" t="s">
        <v>27537</v>
      </c>
      <c r="BG3483" s="3" t="s">
        <v>27538</v>
      </c>
    </row>
    <row r="3484" spans="1:59" ht="60" x14ac:dyDescent="0.25">
      <c r="A3484" s="2" t="s">
        <v>59</v>
      </c>
      <c r="B3484" s="2" t="s">
        <v>60</v>
      </c>
      <c r="C3484" s="2" t="s">
        <v>29156</v>
      </c>
      <c r="D3484" s="2" t="s">
        <v>29157</v>
      </c>
      <c r="E3484" s="2" t="s">
        <v>29158</v>
      </c>
      <c r="G3484" s="3" t="s">
        <v>63</v>
      </c>
      <c r="I3484" s="3" t="s">
        <v>63</v>
      </c>
      <c r="J3484" s="3" t="s">
        <v>63</v>
      </c>
      <c r="K3484" s="3" t="s">
        <v>64</v>
      </c>
      <c r="M3484" s="2" t="s">
        <v>29159</v>
      </c>
      <c r="N3484" s="3" t="s">
        <v>1343</v>
      </c>
      <c r="P3484" s="3" t="s">
        <v>90</v>
      </c>
      <c r="R3484" s="3" t="s">
        <v>67</v>
      </c>
      <c r="S3484" s="4">
        <v>1</v>
      </c>
      <c r="T3484" s="4">
        <v>1</v>
      </c>
      <c r="U3484" s="5" t="s">
        <v>2795</v>
      </c>
      <c r="V3484" s="5" t="s">
        <v>2795</v>
      </c>
      <c r="W3484" s="5" t="s">
        <v>69</v>
      </c>
      <c r="X3484" s="5" t="s">
        <v>69</v>
      </c>
      <c r="Y3484" s="4">
        <v>51</v>
      </c>
      <c r="Z3484" s="4">
        <v>5</v>
      </c>
      <c r="AA3484" s="4">
        <v>5</v>
      </c>
      <c r="AB3484" s="4">
        <v>2</v>
      </c>
      <c r="AC3484" s="4">
        <v>2</v>
      </c>
      <c r="AD3484" s="4">
        <v>37</v>
      </c>
      <c r="AE3484" s="4">
        <v>37</v>
      </c>
      <c r="AF3484" s="4">
        <v>0</v>
      </c>
      <c r="AG3484" s="4">
        <v>0</v>
      </c>
      <c r="AH3484" s="4">
        <v>36</v>
      </c>
      <c r="AI3484" s="4">
        <v>36</v>
      </c>
      <c r="AJ3484" s="4">
        <v>2</v>
      </c>
      <c r="AK3484" s="4">
        <v>2</v>
      </c>
      <c r="AL3484" s="4">
        <v>27</v>
      </c>
      <c r="AM3484" s="4">
        <v>27</v>
      </c>
      <c r="AN3484" s="4">
        <v>0</v>
      </c>
      <c r="AO3484" s="4">
        <v>0</v>
      </c>
      <c r="AP3484" s="4">
        <v>2</v>
      </c>
      <c r="AQ3484" s="4">
        <v>2</v>
      </c>
      <c r="AR3484" s="3" t="s">
        <v>63</v>
      </c>
      <c r="AS3484" s="3" t="s">
        <v>63</v>
      </c>
      <c r="AT3484" s="3" t="s">
        <v>62</v>
      </c>
      <c r="AU3484" s="6" t="str">
        <f>HYPERLINK("http://catalog.hathitrust.org/Record/005415348","HathiTrust Record")</f>
        <v>HathiTrust Record</v>
      </c>
      <c r="AV3484" s="6" t="str">
        <f>HYPERLINK("http://mcgill.on.worldcat.org/oclc/46994211","Catalog Record")</f>
        <v>Catalog Record</v>
      </c>
      <c r="AW3484" s="6" t="str">
        <f>HYPERLINK("http://www.worldcat.org/oclc/46994211","WorldCat Record")</f>
        <v>WorldCat Record</v>
      </c>
      <c r="AX3484" s="3" t="s">
        <v>29160</v>
      </c>
      <c r="AY3484" s="3" t="s">
        <v>29161</v>
      </c>
      <c r="AZ3484" s="3" t="s">
        <v>29162</v>
      </c>
      <c r="BA3484" s="3" t="s">
        <v>29162</v>
      </c>
      <c r="BB3484" s="3" t="s">
        <v>29163</v>
      </c>
      <c r="BC3484" s="3" t="s">
        <v>82</v>
      </c>
      <c r="BD3484" s="3" t="s">
        <v>70</v>
      </c>
      <c r="BE3484" s="3" t="s">
        <v>29164</v>
      </c>
      <c r="BF3484" s="3" t="s">
        <v>29163</v>
      </c>
      <c r="BG3484" s="3" t="s">
        <v>29165</v>
      </c>
    </row>
    <row r="3485" spans="1:59" ht="60" x14ac:dyDescent="0.25">
      <c r="A3485" s="2" t="s">
        <v>59</v>
      </c>
      <c r="B3485" s="2" t="s">
        <v>60</v>
      </c>
      <c r="C3485" s="2" t="s">
        <v>29166</v>
      </c>
      <c r="D3485" s="2" t="s">
        <v>29167</v>
      </c>
      <c r="E3485" s="2" t="s">
        <v>29168</v>
      </c>
      <c r="G3485" s="3" t="s">
        <v>63</v>
      </c>
      <c r="I3485" s="3" t="s">
        <v>63</v>
      </c>
      <c r="J3485" s="3" t="s">
        <v>63</v>
      </c>
      <c r="K3485" s="3" t="s">
        <v>64</v>
      </c>
      <c r="L3485" s="2" t="s">
        <v>29169</v>
      </c>
      <c r="M3485" s="2" t="s">
        <v>29170</v>
      </c>
      <c r="N3485" s="3" t="s">
        <v>76</v>
      </c>
      <c r="P3485" s="3" t="s">
        <v>90</v>
      </c>
      <c r="R3485" s="3" t="s">
        <v>67</v>
      </c>
      <c r="S3485" s="4">
        <v>1</v>
      </c>
      <c r="T3485" s="4">
        <v>1</v>
      </c>
      <c r="U3485" s="5" t="s">
        <v>29171</v>
      </c>
      <c r="V3485" s="5" t="s">
        <v>29171</v>
      </c>
      <c r="W3485" s="5" t="s">
        <v>69</v>
      </c>
      <c r="X3485" s="5" t="s">
        <v>69</v>
      </c>
      <c r="Y3485" s="4">
        <v>29</v>
      </c>
      <c r="Z3485" s="4">
        <v>2</v>
      </c>
      <c r="AA3485" s="4">
        <v>2</v>
      </c>
      <c r="AB3485" s="4">
        <v>1</v>
      </c>
      <c r="AC3485" s="4">
        <v>1</v>
      </c>
      <c r="AD3485" s="4">
        <v>15</v>
      </c>
      <c r="AE3485" s="4">
        <v>23</v>
      </c>
      <c r="AF3485" s="4">
        <v>0</v>
      </c>
      <c r="AG3485" s="4">
        <v>0</v>
      </c>
      <c r="AH3485" s="4">
        <v>15</v>
      </c>
      <c r="AI3485" s="4">
        <v>22</v>
      </c>
      <c r="AJ3485" s="4">
        <v>0</v>
      </c>
      <c r="AK3485" s="4">
        <v>0</v>
      </c>
      <c r="AL3485" s="4">
        <v>10</v>
      </c>
      <c r="AM3485" s="4">
        <v>18</v>
      </c>
      <c r="AN3485" s="4">
        <v>0</v>
      </c>
      <c r="AO3485" s="4">
        <v>0</v>
      </c>
      <c r="AP3485" s="4">
        <v>0</v>
      </c>
      <c r="AQ3485" s="4">
        <v>0</v>
      </c>
      <c r="AR3485" s="3" t="s">
        <v>63</v>
      </c>
      <c r="AS3485" s="3" t="s">
        <v>63</v>
      </c>
      <c r="AT3485" s="3" t="s">
        <v>63</v>
      </c>
      <c r="AV3485" s="6" t="str">
        <f>HYPERLINK("http://mcgill.on.worldcat.org/oclc/796355714","Catalog Record")</f>
        <v>Catalog Record</v>
      </c>
      <c r="AW3485" s="6" t="str">
        <f>HYPERLINK("http://www.worldcat.org/oclc/796355714","WorldCat Record")</f>
        <v>WorldCat Record</v>
      </c>
      <c r="AX3485" s="3" t="s">
        <v>29172</v>
      </c>
      <c r="AY3485" s="3" t="s">
        <v>29173</v>
      </c>
      <c r="AZ3485" s="3" t="s">
        <v>29174</v>
      </c>
      <c r="BA3485" s="3" t="s">
        <v>29174</v>
      </c>
      <c r="BB3485" s="3" t="s">
        <v>29175</v>
      </c>
      <c r="BC3485" s="3" t="s">
        <v>82</v>
      </c>
      <c r="BD3485" s="3" t="s">
        <v>70</v>
      </c>
      <c r="BE3485" s="3" t="s">
        <v>29176</v>
      </c>
      <c r="BF3485" s="3" t="s">
        <v>29175</v>
      </c>
      <c r="BG3485" s="3" t="s">
        <v>29177</v>
      </c>
    </row>
    <row r="3486" spans="1:59" ht="60" x14ac:dyDescent="0.25">
      <c r="A3486" s="2" t="s">
        <v>59</v>
      </c>
      <c r="B3486" s="2" t="s">
        <v>60</v>
      </c>
      <c r="C3486" s="2" t="s">
        <v>29178</v>
      </c>
      <c r="D3486" s="2" t="s">
        <v>29179</v>
      </c>
      <c r="E3486" s="2" t="s">
        <v>29180</v>
      </c>
      <c r="G3486" s="3" t="s">
        <v>63</v>
      </c>
      <c r="I3486" s="3" t="s">
        <v>63</v>
      </c>
      <c r="J3486" s="3" t="s">
        <v>63</v>
      </c>
      <c r="K3486" s="3" t="s">
        <v>64</v>
      </c>
      <c r="L3486" s="2" t="s">
        <v>29181</v>
      </c>
      <c r="M3486" s="2" t="s">
        <v>29182</v>
      </c>
      <c r="N3486" s="3" t="s">
        <v>362</v>
      </c>
      <c r="P3486" s="3" t="s">
        <v>90</v>
      </c>
      <c r="R3486" s="3" t="s">
        <v>67</v>
      </c>
      <c r="S3486" s="4">
        <v>2</v>
      </c>
      <c r="T3486" s="4">
        <v>2</v>
      </c>
      <c r="U3486" s="5" t="s">
        <v>29183</v>
      </c>
      <c r="V3486" s="5" t="s">
        <v>29183</v>
      </c>
      <c r="W3486" s="5" t="s">
        <v>69</v>
      </c>
      <c r="X3486" s="5" t="s">
        <v>69</v>
      </c>
      <c r="Y3486" s="4">
        <v>46</v>
      </c>
      <c r="Z3486" s="4">
        <v>6</v>
      </c>
      <c r="AA3486" s="4">
        <v>6</v>
      </c>
      <c r="AB3486" s="4">
        <v>2</v>
      </c>
      <c r="AC3486" s="4">
        <v>2</v>
      </c>
      <c r="AD3486" s="4">
        <v>38</v>
      </c>
      <c r="AE3486" s="4">
        <v>38</v>
      </c>
      <c r="AF3486" s="4">
        <v>0</v>
      </c>
      <c r="AG3486" s="4">
        <v>0</v>
      </c>
      <c r="AH3486" s="4">
        <v>36</v>
      </c>
      <c r="AI3486" s="4">
        <v>36</v>
      </c>
      <c r="AJ3486" s="4">
        <v>3</v>
      </c>
      <c r="AK3486" s="4">
        <v>3</v>
      </c>
      <c r="AL3486" s="4">
        <v>33</v>
      </c>
      <c r="AM3486" s="4">
        <v>33</v>
      </c>
      <c r="AN3486" s="4">
        <v>0</v>
      </c>
      <c r="AO3486" s="4">
        <v>0</v>
      </c>
      <c r="AP3486" s="4">
        <v>3</v>
      </c>
      <c r="AQ3486" s="4">
        <v>3</v>
      </c>
      <c r="AR3486" s="3" t="s">
        <v>63</v>
      </c>
      <c r="AS3486" s="3" t="s">
        <v>63</v>
      </c>
      <c r="AT3486" s="3" t="s">
        <v>63</v>
      </c>
      <c r="AV3486" s="6" t="str">
        <f>HYPERLINK("http://mcgill.on.worldcat.org/oclc/48492067","Catalog Record")</f>
        <v>Catalog Record</v>
      </c>
      <c r="AW3486" s="6" t="str">
        <f>HYPERLINK("http://www.worldcat.org/oclc/48492067","WorldCat Record")</f>
        <v>WorldCat Record</v>
      </c>
      <c r="AX3486" s="3" t="s">
        <v>29184</v>
      </c>
      <c r="AY3486" s="3" t="s">
        <v>29185</v>
      </c>
      <c r="AZ3486" s="3" t="s">
        <v>29186</v>
      </c>
      <c r="BA3486" s="3" t="s">
        <v>29186</v>
      </c>
      <c r="BB3486" s="3" t="s">
        <v>29187</v>
      </c>
      <c r="BC3486" s="3" t="s">
        <v>82</v>
      </c>
      <c r="BD3486" s="3" t="s">
        <v>70</v>
      </c>
      <c r="BE3486" s="3" t="s">
        <v>29188</v>
      </c>
      <c r="BF3486" s="3" t="s">
        <v>29187</v>
      </c>
      <c r="BG3486" s="3" t="s">
        <v>29189</v>
      </c>
    </row>
    <row r="3487" spans="1:59" ht="60" x14ac:dyDescent="0.25">
      <c r="A3487" s="2" t="s">
        <v>59</v>
      </c>
      <c r="B3487" s="2" t="s">
        <v>60</v>
      </c>
      <c r="C3487" s="2" t="s">
        <v>29190</v>
      </c>
      <c r="D3487" s="2" t="s">
        <v>29191</v>
      </c>
      <c r="E3487" s="2" t="s">
        <v>29192</v>
      </c>
      <c r="G3487" s="3" t="s">
        <v>63</v>
      </c>
      <c r="I3487" s="3" t="s">
        <v>63</v>
      </c>
      <c r="J3487" s="3" t="s">
        <v>63</v>
      </c>
      <c r="K3487" s="3" t="s">
        <v>64</v>
      </c>
      <c r="L3487" s="2" t="s">
        <v>29193</v>
      </c>
      <c r="M3487" s="2" t="s">
        <v>29194</v>
      </c>
      <c r="N3487" s="3" t="s">
        <v>143</v>
      </c>
      <c r="P3487" s="3" t="s">
        <v>90</v>
      </c>
      <c r="Q3487" s="2" t="s">
        <v>4553</v>
      </c>
      <c r="R3487" s="3" t="s">
        <v>67</v>
      </c>
      <c r="S3487" s="4">
        <v>1</v>
      </c>
      <c r="T3487" s="4">
        <v>1</v>
      </c>
      <c r="U3487" s="5" t="s">
        <v>561</v>
      </c>
      <c r="V3487" s="5" t="s">
        <v>561</v>
      </c>
      <c r="W3487" s="5" t="s">
        <v>69</v>
      </c>
      <c r="X3487" s="5" t="s">
        <v>69</v>
      </c>
      <c r="Y3487" s="4">
        <v>41</v>
      </c>
      <c r="Z3487" s="4">
        <v>3</v>
      </c>
      <c r="AA3487" s="4">
        <v>3</v>
      </c>
      <c r="AB3487" s="4">
        <v>1</v>
      </c>
      <c r="AC3487" s="4">
        <v>1</v>
      </c>
      <c r="AD3487" s="4">
        <v>31</v>
      </c>
      <c r="AE3487" s="4">
        <v>31</v>
      </c>
      <c r="AF3487" s="4">
        <v>0</v>
      </c>
      <c r="AG3487" s="4">
        <v>0</v>
      </c>
      <c r="AH3487" s="4">
        <v>30</v>
      </c>
      <c r="AI3487" s="4">
        <v>30</v>
      </c>
      <c r="AJ3487" s="4">
        <v>1</v>
      </c>
      <c r="AK3487" s="4">
        <v>1</v>
      </c>
      <c r="AL3487" s="4">
        <v>25</v>
      </c>
      <c r="AM3487" s="4">
        <v>25</v>
      </c>
      <c r="AN3487" s="4">
        <v>0</v>
      </c>
      <c r="AO3487" s="4">
        <v>0</v>
      </c>
      <c r="AP3487" s="4">
        <v>1</v>
      </c>
      <c r="AQ3487" s="4">
        <v>1</v>
      </c>
      <c r="AR3487" s="3" t="s">
        <v>63</v>
      </c>
      <c r="AS3487" s="3" t="s">
        <v>63</v>
      </c>
      <c r="AT3487" s="3" t="s">
        <v>63</v>
      </c>
      <c r="AV3487" s="6" t="str">
        <f>HYPERLINK("http://mcgill.on.worldcat.org/oclc/893857387","Catalog Record")</f>
        <v>Catalog Record</v>
      </c>
      <c r="AW3487" s="6" t="str">
        <f>HYPERLINK("http://www.worldcat.org/oclc/893857387","WorldCat Record")</f>
        <v>WorldCat Record</v>
      </c>
      <c r="AX3487" s="3" t="s">
        <v>29195</v>
      </c>
      <c r="AY3487" s="3" t="s">
        <v>29196</v>
      </c>
      <c r="AZ3487" s="3" t="s">
        <v>29197</v>
      </c>
      <c r="BA3487" s="3" t="s">
        <v>29197</v>
      </c>
      <c r="BB3487" s="3" t="s">
        <v>29198</v>
      </c>
      <c r="BC3487" s="3" t="s">
        <v>82</v>
      </c>
      <c r="BD3487" s="3" t="s">
        <v>70</v>
      </c>
      <c r="BE3487" s="3" t="s">
        <v>29199</v>
      </c>
      <c r="BF3487" s="3" t="s">
        <v>29198</v>
      </c>
      <c r="BG3487" s="3" t="s">
        <v>29200</v>
      </c>
    </row>
    <row r="3488" spans="1:59" ht="60" x14ac:dyDescent="0.25">
      <c r="A3488" s="2" t="s">
        <v>59</v>
      </c>
      <c r="B3488" s="2" t="s">
        <v>60</v>
      </c>
      <c r="C3488" s="2" t="s">
        <v>29201</v>
      </c>
      <c r="D3488" s="2" t="s">
        <v>29202</v>
      </c>
      <c r="E3488" s="2" t="s">
        <v>29203</v>
      </c>
      <c r="G3488" s="3" t="s">
        <v>63</v>
      </c>
      <c r="I3488" s="3" t="s">
        <v>63</v>
      </c>
      <c r="J3488" s="3" t="s">
        <v>63</v>
      </c>
      <c r="K3488" s="3" t="s">
        <v>64</v>
      </c>
      <c r="L3488" s="2" t="s">
        <v>29204</v>
      </c>
      <c r="M3488" s="2" t="s">
        <v>29205</v>
      </c>
      <c r="N3488" s="3" t="s">
        <v>1226</v>
      </c>
      <c r="P3488" s="3" t="s">
        <v>66</v>
      </c>
      <c r="Q3488" s="2" t="s">
        <v>29206</v>
      </c>
      <c r="R3488" s="3" t="s">
        <v>67</v>
      </c>
      <c r="S3488" s="4">
        <v>4</v>
      </c>
      <c r="T3488" s="4">
        <v>4</v>
      </c>
      <c r="U3488" s="5" t="s">
        <v>12599</v>
      </c>
      <c r="V3488" s="5" t="s">
        <v>12599</v>
      </c>
      <c r="W3488" s="5" t="s">
        <v>69</v>
      </c>
      <c r="X3488" s="5" t="s">
        <v>69</v>
      </c>
      <c r="Y3488" s="4">
        <v>166</v>
      </c>
      <c r="Z3488" s="4">
        <v>10</v>
      </c>
      <c r="AA3488" s="4">
        <v>10</v>
      </c>
      <c r="AB3488" s="4">
        <v>1</v>
      </c>
      <c r="AC3488" s="4">
        <v>1</v>
      </c>
      <c r="AD3488" s="4">
        <v>75</v>
      </c>
      <c r="AE3488" s="4">
        <v>75</v>
      </c>
      <c r="AF3488" s="4">
        <v>0</v>
      </c>
      <c r="AG3488" s="4">
        <v>0</v>
      </c>
      <c r="AH3488" s="4">
        <v>71</v>
      </c>
      <c r="AI3488" s="4">
        <v>71</v>
      </c>
      <c r="AJ3488" s="4">
        <v>6</v>
      </c>
      <c r="AK3488" s="4">
        <v>6</v>
      </c>
      <c r="AL3488" s="4">
        <v>44</v>
      </c>
      <c r="AM3488" s="4">
        <v>44</v>
      </c>
      <c r="AN3488" s="4">
        <v>0</v>
      </c>
      <c r="AO3488" s="4">
        <v>0</v>
      </c>
      <c r="AP3488" s="4">
        <v>6</v>
      </c>
      <c r="AQ3488" s="4">
        <v>6</v>
      </c>
      <c r="AR3488" s="3" t="s">
        <v>63</v>
      </c>
      <c r="AS3488" s="3" t="s">
        <v>63</v>
      </c>
      <c r="AT3488" s="3" t="s">
        <v>62</v>
      </c>
      <c r="AU3488" s="6" t="str">
        <f>HYPERLINK("http://catalog.hathitrust.org/Record/004316589","HathiTrust Record")</f>
        <v>HathiTrust Record</v>
      </c>
      <c r="AV3488" s="6" t="str">
        <f>HYPERLINK("http://mcgill.on.worldcat.org/oclc/50773450","Catalog Record")</f>
        <v>Catalog Record</v>
      </c>
      <c r="AW3488" s="6" t="str">
        <f>HYPERLINK("http://www.worldcat.org/oclc/50773450","WorldCat Record")</f>
        <v>WorldCat Record</v>
      </c>
      <c r="AX3488" s="3" t="s">
        <v>29207</v>
      </c>
      <c r="AY3488" s="3" t="s">
        <v>29208</v>
      </c>
      <c r="AZ3488" s="3" t="s">
        <v>29209</v>
      </c>
      <c r="BA3488" s="3" t="s">
        <v>29209</v>
      </c>
      <c r="BB3488" s="3" t="s">
        <v>29210</v>
      </c>
      <c r="BC3488" s="3" t="s">
        <v>82</v>
      </c>
      <c r="BD3488" s="3" t="s">
        <v>70</v>
      </c>
      <c r="BE3488" s="3" t="s">
        <v>29211</v>
      </c>
      <c r="BF3488" s="3" t="s">
        <v>29210</v>
      </c>
      <c r="BG3488" s="3" t="s">
        <v>29212</v>
      </c>
    </row>
    <row r="3489" spans="1:59" ht="60" x14ac:dyDescent="0.25">
      <c r="A3489" s="2" t="s">
        <v>59</v>
      </c>
      <c r="B3489" s="2" t="s">
        <v>60</v>
      </c>
      <c r="C3489" s="2" t="s">
        <v>29213</v>
      </c>
      <c r="D3489" s="2" t="s">
        <v>29214</v>
      </c>
      <c r="E3489" s="2" t="s">
        <v>29215</v>
      </c>
      <c r="G3489" s="3" t="s">
        <v>63</v>
      </c>
      <c r="I3489" s="3" t="s">
        <v>63</v>
      </c>
      <c r="J3489" s="3" t="s">
        <v>63</v>
      </c>
      <c r="K3489" s="3" t="s">
        <v>64</v>
      </c>
      <c r="L3489" s="2" t="s">
        <v>29204</v>
      </c>
      <c r="M3489" s="2" t="s">
        <v>29216</v>
      </c>
      <c r="N3489" s="3" t="s">
        <v>2459</v>
      </c>
      <c r="P3489" s="3" t="s">
        <v>90</v>
      </c>
      <c r="R3489" s="3" t="s">
        <v>67</v>
      </c>
      <c r="S3489" s="4">
        <v>3</v>
      </c>
      <c r="T3489" s="4">
        <v>3</v>
      </c>
      <c r="U3489" s="5" t="s">
        <v>12599</v>
      </c>
      <c r="V3489" s="5" t="s">
        <v>12599</v>
      </c>
      <c r="W3489" s="5" t="s">
        <v>69</v>
      </c>
      <c r="X3489" s="5" t="s">
        <v>69</v>
      </c>
      <c r="Y3489" s="4">
        <v>43</v>
      </c>
      <c r="Z3489" s="4">
        <v>5</v>
      </c>
      <c r="AA3489" s="4">
        <v>5</v>
      </c>
      <c r="AB3489" s="4">
        <v>2</v>
      </c>
      <c r="AC3489" s="4">
        <v>2</v>
      </c>
      <c r="AD3489" s="4">
        <v>24</v>
      </c>
      <c r="AE3489" s="4">
        <v>24</v>
      </c>
      <c r="AF3489" s="4">
        <v>0</v>
      </c>
      <c r="AG3489" s="4">
        <v>0</v>
      </c>
      <c r="AH3489" s="4">
        <v>23</v>
      </c>
      <c r="AI3489" s="4">
        <v>23</v>
      </c>
      <c r="AJ3489" s="4">
        <v>1</v>
      </c>
      <c r="AK3489" s="4">
        <v>1</v>
      </c>
      <c r="AL3489" s="4">
        <v>21</v>
      </c>
      <c r="AM3489" s="4">
        <v>21</v>
      </c>
      <c r="AN3489" s="4">
        <v>0</v>
      </c>
      <c r="AO3489" s="4">
        <v>0</v>
      </c>
      <c r="AP3489" s="4">
        <v>1</v>
      </c>
      <c r="AQ3489" s="4">
        <v>1</v>
      </c>
      <c r="AR3489" s="3" t="s">
        <v>63</v>
      </c>
      <c r="AS3489" s="3" t="s">
        <v>63</v>
      </c>
      <c r="AT3489" s="3" t="s">
        <v>63</v>
      </c>
      <c r="AV3489" s="6" t="str">
        <f>HYPERLINK("http://mcgill.on.worldcat.org/oclc/294761214","Catalog Record")</f>
        <v>Catalog Record</v>
      </c>
      <c r="AW3489" s="6" t="str">
        <f>HYPERLINK("http://www.worldcat.org/oclc/294761214","WorldCat Record")</f>
        <v>WorldCat Record</v>
      </c>
      <c r="AX3489" s="3" t="s">
        <v>29217</v>
      </c>
      <c r="AY3489" s="3" t="s">
        <v>29218</v>
      </c>
      <c r="AZ3489" s="3" t="s">
        <v>29219</v>
      </c>
      <c r="BA3489" s="3" t="s">
        <v>29219</v>
      </c>
      <c r="BB3489" s="3" t="s">
        <v>29220</v>
      </c>
      <c r="BC3489" s="3" t="s">
        <v>82</v>
      </c>
      <c r="BD3489" s="3" t="s">
        <v>70</v>
      </c>
      <c r="BE3489" s="3" t="s">
        <v>29221</v>
      </c>
      <c r="BF3489" s="3" t="s">
        <v>29220</v>
      </c>
      <c r="BG3489" s="3" t="s">
        <v>29222</v>
      </c>
    </row>
    <row r="3490" spans="1:59" ht="75" x14ac:dyDescent="0.25">
      <c r="A3490" s="2" t="s">
        <v>59</v>
      </c>
      <c r="B3490" s="2" t="s">
        <v>60</v>
      </c>
      <c r="C3490" s="2" t="s">
        <v>29223</v>
      </c>
      <c r="D3490" s="2" t="s">
        <v>29224</v>
      </c>
      <c r="E3490" s="2" t="s">
        <v>29225</v>
      </c>
      <c r="G3490" s="3" t="s">
        <v>63</v>
      </c>
      <c r="I3490" s="3" t="s">
        <v>63</v>
      </c>
      <c r="J3490" s="3" t="s">
        <v>63</v>
      </c>
      <c r="K3490" s="3" t="s">
        <v>64</v>
      </c>
      <c r="L3490" s="2" t="s">
        <v>29204</v>
      </c>
      <c r="M3490" s="2" t="s">
        <v>29226</v>
      </c>
      <c r="N3490" s="3" t="s">
        <v>2103</v>
      </c>
      <c r="O3490" s="2" t="s">
        <v>1605</v>
      </c>
      <c r="P3490" s="3" t="s">
        <v>66</v>
      </c>
      <c r="R3490" s="3" t="s">
        <v>67</v>
      </c>
      <c r="S3490" s="4">
        <v>1</v>
      </c>
      <c r="T3490" s="4">
        <v>1</v>
      </c>
      <c r="U3490" s="5" t="s">
        <v>12599</v>
      </c>
      <c r="V3490" s="5" t="s">
        <v>12599</v>
      </c>
      <c r="W3490" s="5" t="s">
        <v>69</v>
      </c>
      <c r="X3490" s="5" t="s">
        <v>69</v>
      </c>
      <c r="Y3490" s="4">
        <v>94</v>
      </c>
      <c r="Z3490" s="4">
        <v>5</v>
      </c>
      <c r="AA3490" s="4">
        <v>5</v>
      </c>
      <c r="AB3490" s="4">
        <v>1</v>
      </c>
      <c r="AC3490" s="4">
        <v>1</v>
      </c>
      <c r="AD3490" s="4">
        <v>48</v>
      </c>
      <c r="AE3490" s="4">
        <v>48</v>
      </c>
      <c r="AF3490" s="4">
        <v>0</v>
      </c>
      <c r="AG3490" s="4">
        <v>0</v>
      </c>
      <c r="AH3490" s="4">
        <v>46</v>
      </c>
      <c r="AI3490" s="4">
        <v>46</v>
      </c>
      <c r="AJ3490" s="4">
        <v>2</v>
      </c>
      <c r="AK3490" s="4">
        <v>2</v>
      </c>
      <c r="AL3490" s="4">
        <v>32</v>
      </c>
      <c r="AM3490" s="4">
        <v>32</v>
      </c>
      <c r="AN3490" s="4">
        <v>0</v>
      </c>
      <c r="AO3490" s="4">
        <v>0</v>
      </c>
      <c r="AP3490" s="4">
        <v>2</v>
      </c>
      <c r="AQ3490" s="4">
        <v>2</v>
      </c>
      <c r="AR3490" s="3" t="s">
        <v>63</v>
      </c>
      <c r="AS3490" s="3" t="s">
        <v>63</v>
      </c>
      <c r="AT3490" s="3" t="s">
        <v>63</v>
      </c>
      <c r="AV3490" s="6" t="str">
        <f>HYPERLINK("http://mcgill.on.worldcat.org/oclc/50670793","Catalog Record")</f>
        <v>Catalog Record</v>
      </c>
      <c r="AW3490" s="6" t="str">
        <f>HYPERLINK("http://www.worldcat.org/oclc/50670793","WorldCat Record")</f>
        <v>WorldCat Record</v>
      </c>
      <c r="AX3490" s="3" t="s">
        <v>29227</v>
      </c>
      <c r="AY3490" s="3" t="s">
        <v>29228</v>
      </c>
      <c r="AZ3490" s="3" t="s">
        <v>29229</v>
      </c>
      <c r="BA3490" s="3" t="s">
        <v>29229</v>
      </c>
      <c r="BB3490" s="3" t="s">
        <v>29230</v>
      </c>
      <c r="BC3490" s="3" t="s">
        <v>82</v>
      </c>
      <c r="BD3490" s="3" t="s">
        <v>70</v>
      </c>
      <c r="BE3490" s="3" t="s">
        <v>29231</v>
      </c>
      <c r="BF3490" s="3" t="s">
        <v>29230</v>
      </c>
      <c r="BG3490" s="3" t="s">
        <v>29232</v>
      </c>
    </row>
    <row r="3491" spans="1:59" ht="60" x14ac:dyDescent="0.25">
      <c r="A3491" s="2" t="s">
        <v>59</v>
      </c>
      <c r="B3491" s="2" t="s">
        <v>60</v>
      </c>
      <c r="C3491" s="2" t="s">
        <v>29233</v>
      </c>
      <c r="D3491" s="2" t="s">
        <v>29234</v>
      </c>
      <c r="E3491" s="2" t="s">
        <v>29235</v>
      </c>
      <c r="G3491" s="3" t="s">
        <v>63</v>
      </c>
      <c r="I3491" s="3" t="s">
        <v>63</v>
      </c>
      <c r="J3491" s="3" t="s">
        <v>63</v>
      </c>
      <c r="K3491" s="3" t="s">
        <v>64</v>
      </c>
      <c r="L3491" s="2" t="s">
        <v>29236</v>
      </c>
      <c r="M3491" s="2" t="s">
        <v>29237</v>
      </c>
      <c r="N3491" s="3" t="s">
        <v>261</v>
      </c>
      <c r="P3491" s="3" t="s">
        <v>66</v>
      </c>
      <c r="R3491" s="3" t="s">
        <v>67</v>
      </c>
      <c r="S3491" s="4">
        <v>6</v>
      </c>
      <c r="T3491" s="4">
        <v>6</v>
      </c>
      <c r="U3491" s="5" t="s">
        <v>11535</v>
      </c>
      <c r="V3491" s="5" t="s">
        <v>11535</v>
      </c>
      <c r="W3491" s="5" t="s">
        <v>69</v>
      </c>
      <c r="X3491" s="5" t="s">
        <v>69</v>
      </c>
      <c r="Y3491" s="4">
        <v>133</v>
      </c>
      <c r="Z3491" s="4">
        <v>9</v>
      </c>
      <c r="AA3491" s="4">
        <v>9</v>
      </c>
      <c r="AB3491" s="4">
        <v>2</v>
      </c>
      <c r="AC3491" s="4">
        <v>2</v>
      </c>
      <c r="AD3491" s="4">
        <v>49</v>
      </c>
      <c r="AE3491" s="4">
        <v>49</v>
      </c>
      <c r="AF3491" s="4">
        <v>0</v>
      </c>
      <c r="AG3491" s="4">
        <v>0</v>
      </c>
      <c r="AH3491" s="4">
        <v>46</v>
      </c>
      <c r="AI3491" s="4">
        <v>46</v>
      </c>
      <c r="AJ3491" s="4">
        <v>5</v>
      </c>
      <c r="AK3491" s="4">
        <v>5</v>
      </c>
      <c r="AL3491" s="4">
        <v>35</v>
      </c>
      <c r="AM3491" s="4">
        <v>35</v>
      </c>
      <c r="AN3491" s="4">
        <v>0</v>
      </c>
      <c r="AO3491" s="4">
        <v>0</v>
      </c>
      <c r="AP3491" s="4">
        <v>6</v>
      </c>
      <c r="AQ3491" s="4">
        <v>6</v>
      </c>
      <c r="AR3491" s="3" t="s">
        <v>63</v>
      </c>
      <c r="AS3491" s="3" t="s">
        <v>63</v>
      </c>
      <c r="AT3491" s="3" t="s">
        <v>63</v>
      </c>
      <c r="AV3491" s="6" t="str">
        <f>HYPERLINK("http://mcgill.on.worldcat.org/oclc/85898378","Catalog Record")</f>
        <v>Catalog Record</v>
      </c>
      <c r="AW3491" s="6" t="str">
        <f>HYPERLINK("http://www.worldcat.org/oclc/85898378","WorldCat Record")</f>
        <v>WorldCat Record</v>
      </c>
      <c r="AX3491" s="3" t="s">
        <v>29238</v>
      </c>
      <c r="AY3491" s="3" t="s">
        <v>29239</v>
      </c>
      <c r="AZ3491" s="3" t="s">
        <v>29240</v>
      </c>
      <c r="BA3491" s="3" t="s">
        <v>29240</v>
      </c>
      <c r="BB3491" s="3" t="s">
        <v>29241</v>
      </c>
      <c r="BC3491" s="3" t="s">
        <v>82</v>
      </c>
      <c r="BD3491" s="3" t="s">
        <v>538</v>
      </c>
      <c r="BE3491" s="3" t="s">
        <v>29242</v>
      </c>
      <c r="BF3491" s="3" t="s">
        <v>29241</v>
      </c>
      <c r="BG3491" s="3" t="s">
        <v>29243</v>
      </c>
    </row>
    <row r="3492" spans="1:59" ht="60" x14ac:dyDescent="0.25">
      <c r="A3492" s="2" t="s">
        <v>59</v>
      </c>
      <c r="B3492" s="2" t="s">
        <v>60</v>
      </c>
      <c r="C3492" s="2" t="s">
        <v>29244</v>
      </c>
      <c r="D3492" s="2" t="s">
        <v>29245</v>
      </c>
      <c r="E3492" s="2" t="s">
        <v>29246</v>
      </c>
      <c r="F3492" s="3" t="s">
        <v>29247</v>
      </c>
      <c r="G3492" s="3" t="s">
        <v>63</v>
      </c>
      <c r="I3492" s="3" t="s">
        <v>63</v>
      </c>
      <c r="J3492" s="3" t="s">
        <v>63</v>
      </c>
      <c r="K3492" s="3" t="s">
        <v>64</v>
      </c>
      <c r="L3492" s="2" t="s">
        <v>29248</v>
      </c>
      <c r="M3492" s="2" t="s">
        <v>29170</v>
      </c>
      <c r="N3492" s="3" t="s">
        <v>76</v>
      </c>
      <c r="P3492" s="3" t="s">
        <v>90</v>
      </c>
      <c r="R3492" s="3" t="s">
        <v>67</v>
      </c>
      <c r="S3492" s="4">
        <v>2</v>
      </c>
      <c r="T3492" s="4">
        <v>2</v>
      </c>
      <c r="U3492" s="5" t="s">
        <v>24495</v>
      </c>
      <c r="V3492" s="5" t="s">
        <v>24495</v>
      </c>
      <c r="W3492" s="5" t="s">
        <v>69</v>
      </c>
      <c r="X3492" s="5" t="s">
        <v>69</v>
      </c>
      <c r="Y3492" s="4">
        <v>17</v>
      </c>
      <c r="Z3492" s="4">
        <v>1</v>
      </c>
      <c r="AA3492" s="4">
        <v>1</v>
      </c>
      <c r="AB3492" s="4">
        <v>1</v>
      </c>
      <c r="AC3492" s="4">
        <v>1</v>
      </c>
      <c r="AD3492" s="4">
        <v>8</v>
      </c>
      <c r="AE3492" s="4">
        <v>16</v>
      </c>
      <c r="AF3492" s="4">
        <v>0</v>
      </c>
      <c r="AG3492" s="4">
        <v>0</v>
      </c>
      <c r="AH3492" s="4">
        <v>7</v>
      </c>
      <c r="AI3492" s="4">
        <v>15</v>
      </c>
      <c r="AJ3492" s="4">
        <v>0</v>
      </c>
      <c r="AK3492" s="4">
        <v>0</v>
      </c>
      <c r="AL3492" s="4">
        <v>5</v>
      </c>
      <c r="AM3492" s="4">
        <v>11</v>
      </c>
      <c r="AN3492" s="4">
        <v>0</v>
      </c>
      <c r="AO3492" s="4">
        <v>0</v>
      </c>
      <c r="AP3492" s="4">
        <v>0</v>
      </c>
      <c r="AQ3492" s="4">
        <v>0</v>
      </c>
      <c r="AR3492" s="3" t="s">
        <v>63</v>
      </c>
      <c r="AS3492" s="3" t="s">
        <v>63</v>
      </c>
      <c r="AT3492" s="3" t="s">
        <v>63</v>
      </c>
      <c r="AV3492" s="6" t="str">
        <f>HYPERLINK("http://mcgill.on.worldcat.org/oclc/823894813","Catalog Record")</f>
        <v>Catalog Record</v>
      </c>
      <c r="AW3492" s="6" t="str">
        <f>HYPERLINK("http://www.worldcat.org/oclc/823894813","WorldCat Record")</f>
        <v>WorldCat Record</v>
      </c>
      <c r="AX3492" s="3" t="s">
        <v>29249</v>
      </c>
      <c r="AY3492" s="3" t="s">
        <v>29250</v>
      </c>
      <c r="AZ3492" s="3" t="s">
        <v>29251</v>
      </c>
      <c r="BA3492" s="3" t="s">
        <v>29251</v>
      </c>
      <c r="BB3492" s="3" t="s">
        <v>29252</v>
      </c>
      <c r="BC3492" s="3" t="s">
        <v>82</v>
      </c>
      <c r="BD3492" s="3" t="s">
        <v>70</v>
      </c>
      <c r="BE3492" s="3" t="s">
        <v>29253</v>
      </c>
      <c r="BF3492" s="3" t="s">
        <v>29252</v>
      </c>
      <c r="BG3492" s="3" t="s">
        <v>29254</v>
      </c>
    </row>
    <row r="3493" spans="1:59" ht="60" x14ac:dyDescent="0.25">
      <c r="A3493" s="2" t="s">
        <v>59</v>
      </c>
      <c r="B3493" s="2" t="s">
        <v>60</v>
      </c>
      <c r="C3493" s="2" t="s">
        <v>29255</v>
      </c>
      <c r="D3493" s="2" t="s">
        <v>29256</v>
      </c>
      <c r="E3493" s="2" t="s">
        <v>29257</v>
      </c>
      <c r="G3493" s="3" t="s">
        <v>63</v>
      </c>
      <c r="I3493" s="3" t="s">
        <v>63</v>
      </c>
      <c r="J3493" s="3" t="s">
        <v>63</v>
      </c>
      <c r="K3493" s="3" t="s">
        <v>64</v>
      </c>
      <c r="L3493" s="2" t="s">
        <v>29258</v>
      </c>
      <c r="M3493" s="2" t="s">
        <v>29259</v>
      </c>
      <c r="N3493" s="3" t="s">
        <v>939</v>
      </c>
      <c r="P3493" s="3" t="s">
        <v>90</v>
      </c>
      <c r="R3493" s="3" t="s">
        <v>67</v>
      </c>
      <c r="S3493" s="4">
        <v>3</v>
      </c>
      <c r="T3493" s="4">
        <v>3</v>
      </c>
      <c r="U3493" s="5" t="s">
        <v>3569</v>
      </c>
      <c r="V3493" s="5" t="s">
        <v>3569</v>
      </c>
      <c r="W3493" s="5" t="s">
        <v>69</v>
      </c>
      <c r="X3493" s="5" t="s">
        <v>69</v>
      </c>
      <c r="Y3493" s="4">
        <v>185</v>
      </c>
      <c r="Z3493" s="4">
        <v>14</v>
      </c>
      <c r="AA3493" s="4">
        <v>14</v>
      </c>
      <c r="AB3493" s="4">
        <v>1</v>
      </c>
      <c r="AC3493" s="4">
        <v>1</v>
      </c>
      <c r="AD3493" s="4">
        <v>80</v>
      </c>
      <c r="AE3493" s="4">
        <v>80</v>
      </c>
      <c r="AF3493" s="4">
        <v>0</v>
      </c>
      <c r="AG3493" s="4">
        <v>0</v>
      </c>
      <c r="AH3493" s="4">
        <v>75</v>
      </c>
      <c r="AI3493" s="4">
        <v>75</v>
      </c>
      <c r="AJ3493" s="4">
        <v>11</v>
      </c>
      <c r="AK3493" s="4">
        <v>11</v>
      </c>
      <c r="AL3493" s="4">
        <v>48</v>
      </c>
      <c r="AM3493" s="4">
        <v>48</v>
      </c>
      <c r="AN3493" s="4">
        <v>0</v>
      </c>
      <c r="AO3493" s="4">
        <v>0</v>
      </c>
      <c r="AP3493" s="4">
        <v>11</v>
      </c>
      <c r="AQ3493" s="4">
        <v>11</v>
      </c>
      <c r="AR3493" s="3" t="s">
        <v>63</v>
      </c>
      <c r="AS3493" s="3" t="s">
        <v>63</v>
      </c>
      <c r="AT3493" s="3" t="s">
        <v>62</v>
      </c>
      <c r="AU3493" s="6" t="str">
        <f>HYPERLINK("http://catalog.hathitrust.org/Record/001223768","HathiTrust Record")</f>
        <v>HathiTrust Record</v>
      </c>
      <c r="AV3493" s="6" t="str">
        <f>HYPERLINK("http://mcgill.on.worldcat.org/oclc/3069060","Catalog Record")</f>
        <v>Catalog Record</v>
      </c>
      <c r="AW3493" s="6" t="str">
        <f>HYPERLINK("http://www.worldcat.org/oclc/3069060","WorldCat Record")</f>
        <v>WorldCat Record</v>
      </c>
      <c r="AX3493" s="3" t="s">
        <v>29260</v>
      </c>
      <c r="AY3493" s="3" t="s">
        <v>29261</v>
      </c>
      <c r="AZ3493" s="3" t="s">
        <v>29262</v>
      </c>
      <c r="BA3493" s="3" t="s">
        <v>29262</v>
      </c>
      <c r="BB3493" s="3" t="s">
        <v>29263</v>
      </c>
      <c r="BC3493" s="3" t="s">
        <v>82</v>
      </c>
      <c r="BD3493" s="3" t="s">
        <v>70</v>
      </c>
      <c r="BF3493" s="3" t="s">
        <v>29263</v>
      </c>
      <c r="BG3493" s="3" t="s">
        <v>29264</v>
      </c>
    </row>
    <row r="3494" spans="1:59" ht="60" x14ac:dyDescent="0.25">
      <c r="A3494" s="2" t="s">
        <v>59</v>
      </c>
      <c r="B3494" s="2" t="s">
        <v>60</v>
      </c>
      <c r="C3494" s="2" t="s">
        <v>29265</v>
      </c>
      <c r="D3494" s="2" t="s">
        <v>29266</v>
      </c>
      <c r="E3494" s="2" t="s">
        <v>29267</v>
      </c>
      <c r="G3494" s="3" t="s">
        <v>63</v>
      </c>
      <c r="I3494" s="3" t="s">
        <v>63</v>
      </c>
      <c r="J3494" s="3" t="s">
        <v>63</v>
      </c>
      <c r="K3494" s="3" t="s">
        <v>64</v>
      </c>
      <c r="L3494" s="2" t="s">
        <v>29258</v>
      </c>
      <c r="M3494" s="2" t="s">
        <v>29268</v>
      </c>
      <c r="N3494" s="3" t="s">
        <v>374</v>
      </c>
      <c r="P3494" s="3" t="s">
        <v>90</v>
      </c>
      <c r="Q3494" s="2" t="s">
        <v>29269</v>
      </c>
      <c r="R3494" s="3" t="s">
        <v>67</v>
      </c>
      <c r="S3494" s="4">
        <v>4</v>
      </c>
      <c r="T3494" s="4">
        <v>4</v>
      </c>
      <c r="U3494" s="5" t="s">
        <v>3569</v>
      </c>
      <c r="V3494" s="5" t="s">
        <v>3569</v>
      </c>
      <c r="W3494" s="5" t="s">
        <v>69</v>
      </c>
      <c r="X3494" s="5" t="s">
        <v>69</v>
      </c>
      <c r="Y3494" s="4">
        <v>26</v>
      </c>
      <c r="Z3494" s="4">
        <v>2</v>
      </c>
      <c r="AA3494" s="4">
        <v>9</v>
      </c>
      <c r="AB3494" s="4">
        <v>1</v>
      </c>
      <c r="AC3494" s="4">
        <v>1</v>
      </c>
      <c r="AD3494" s="4">
        <v>24</v>
      </c>
      <c r="AE3494" s="4">
        <v>59</v>
      </c>
      <c r="AF3494" s="4">
        <v>0</v>
      </c>
      <c r="AG3494" s="4">
        <v>0</v>
      </c>
      <c r="AH3494" s="4">
        <v>23</v>
      </c>
      <c r="AI3494" s="4">
        <v>56</v>
      </c>
      <c r="AJ3494" s="4">
        <v>1</v>
      </c>
      <c r="AK3494" s="4">
        <v>7</v>
      </c>
      <c r="AL3494" s="4">
        <v>20</v>
      </c>
      <c r="AM3494" s="4">
        <v>38</v>
      </c>
      <c r="AN3494" s="4">
        <v>0</v>
      </c>
      <c r="AO3494" s="4">
        <v>0</v>
      </c>
      <c r="AP3494" s="4">
        <v>1</v>
      </c>
      <c r="AQ3494" s="4">
        <v>7</v>
      </c>
      <c r="AR3494" s="3" t="s">
        <v>63</v>
      </c>
      <c r="AS3494" s="3" t="s">
        <v>63</v>
      </c>
      <c r="AT3494" s="3" t="s">
        <v>63</v>
      </c>
      <c r="AV3494" s="6" t="str">
        <f>HYPERLINK("http://mcgill.on.worldcat.org/oclc/34009598","Catalog Record")</f>
        <v>Catalog Record</v>
      </c>
      <c r="AW3494" s="6" t="str">
        <f>HYPERLINK("http://www.worldcat.org/oclc/34009598","WorldCat Record")</f>
        <v>WorldCat Record</v>
      </c>
      <c r="AX3494" s="3" t="s">
        <v>29270</v>
      </c>
      <c r="AY3494" s="3" t="s">
        <v>29271</v>
      </c>
      <c r="AZ3494" s="3" t="s">
        <v>29272</v>
      </c>
      <c r="BA3494" s="3" t="s">
        <v>29272</v>
      </c>
      <c r="BB3494" s="3" t="s">
        <v>29273</v>
      </c>
      <c r="BC3494" s="3" t="s">
        <v>82</v>
      </c>
      <c r="BD3494" s="3" t="s">
        <v>70</v>
      </c>
      <c r="BE3494" s="3" t="s">
        <v>29274</v>
      </c>
      <c r="BF3494" s="3" t="s">
        <v>29273</v>
      </c>
      <c r="BG3494" s="3" t="s">
        <v>29275</v>
      </c>
    </row>
    <row r="3495" spans="1:59" ht="60" x14ac:dyDescent="0.25">
      <c r="A3495" s="2" t="s">
        <v>59</v>
      </c>
      <c r="B3495" s="2" t="s">
        <v>60</v>
      </c>
      <c r="C3495" s="2" t="s">
        <v>29276</v>
      </c>
      <c r="D3495" s="2" t="s">
        <v>29277</v>
      </c>
      <c r="E3495" s="2" t="s">
        <v>29278</v>
      </c>
      <c r="F3495" s="3" t="s">
        <v>571</v>
      </c>
      <c r="G3495" s="3" t="s">
        <v>62</v>
      </c>
      <c r="I3495" s="3" t="s">
        <v>63</v>
      </c>
      <c r="J3495" s="3" t="s">
        <v>63</v>
      </c>
      <c r="K3495" s="3" t="s">
        <v>64</v>
      </c>
      <c r="L3495" s="2" t="s">
        <v>29258</v>
      </c>
      <c r="M3495" s="2" t="s">
        <v>29279</v>
      </c>
      <c r="N3495" s="3" t="s">
        <v>1113</v>
      </c>
      <c r="P3495" s="3" t="s">
        <v>90</v>
      </c>
      <c r="R3495" s="3" t="s">
        <v>67</v>
      </c>
      <c r="S3495" s="4">
        <v>1</v>
      </c>
      <c r="T3495" s="4">
        <v>2</v>
      </c>
      <c r="U3495" s="5" t="s">
        <v>29280</v>
      </c>
      <c r="V3495" s="5" t="s">
        <v>29280</v>
      </c>
      <c r="W3495" s="5" t="s">
        <v>69</v>
      </c>
      <c r="X3495" s="5" t="s">
        <v>69</v>
      </c>
      <c r="Y3495" s="4">
        <v>65</v>
      </c>
      <c r="Z3495" s="4">
        <v>6</v>
      </c>
      <c r="AA3495" s="4">
        <v>6</v>
      </c>
      <c r="AB3495" s="4">
        <v>1</v>
      </c>
      <c r="AC3495" s="4">
        <v>1</v>
      </c>
      <c r="AD3495" s="4">
        <v>41</v>
      </c>
      <c r="AE3495" s="4">
        <v>41</v>
      </c>
      <c r="AF3495" s="4">
        <v>0</v>
      </c>
      <c r="AG3495" s="4">
        <v>0</v>
      </c>
      <c r="AH3495" s="4">
        <v>40</v>
      </c>
      <c r="AI3495" s="4">
        <v>40</v>
      </c>
      <c r="AJ3495" s="4">
        <v>4</v>
      </c>
      <c r="AK3495" s="4">
        <v>4</v>
      </c>
      <c r="AL3495" s="4">
        <v>32</v>
      </c>
      <c r="AM3495" s="4">
        <v>32</v>
      </c>
      <c r="AN3495" s="4">
        <v>0</v>
      </c>
      <c r="AO3495" s="4">
        <v>0</v>
      </c>
      <c r="AP3495" s="4">
        <v>4</v>
      </c>
      <c r="AQ3495" s="4">
        <v>4</v>
      </c>
      <c r="AR3495" s="3" t="s">
        <v>63</v>
      </c>
      <c r="AS3495" s="3" t="s">
        <v>63</v>
      </c>
      <c r="AT3495" s="3" t="s">
        <v>62</v>
      </c>
      <c r="AU3495" s="6" t="str">
        <f>HYPERLINK("http://catalog.hathitrust.org/Record/003160262","HathiTrust Record")</f>
        <v>HathiTrust Record</v>
      </c>
      <c r="AV3495" s="6" t="str">
        <f>HYPERLINK("http://mcgill.on.worldcat.org/oclc/37204175","Catalog Record")</f>
        <v>Catalog Record</v>
      </c>
      <c r="AW3495" s="6" t="str">
        <f>HYPERLINK("http://www.worldcat.org/oclc/37204175","WorldCat Record")</f>
        <v>WorldCat Record</v>
      </c>
      <c r="AX3495" s="3" t="s">
        <v>29281</v>
      </c>
      <c r="AY3495" s="3" t="s">
        <v>29282</v>
      </c>
      <c r="AZ3495" s="3" t="s">
        <v>29283</v>
      </c>
      <c r="BA3495" s="3" t="s">
        <v>29283</v>
      </c>
      <c r="BB3495" s="3" t="s">
        <v>29284</v>
      </c>
      <c r="BC3495" s="3" t="s">
        <v>82</v>
      </c>
      <c r="BD3495" s="3" t="s">
        <v>70</v>
      </c>
      <c r="BE3495" s="3" t="s">
        <v>29285</v>
      </c>
      <c r="BF3495" s="3" t="s">
        <v>29284</v>
      </c>
      <c r="BG3495" s="3" t="s">
        <v>29286</v>
      </c>
    </row>
    <row r="3496" spans="1:59" ht="60" x14ac:dyDescent="0.25">
      <c r="A3496" s="2" t="s">
        <v>59</v>
      </c>
      <c r="B3496" s="2" t="s">
        <v>60</v>
      </c>
      <c r="C3496" s="2" t="s">
        <v>29276</v>
      </c>
      <c r="D3496" s="2" t="s">
        <v>29277</v>
      </c>
      <c r="E3496" s="2" t="s">
        <v>29278</v>
      </c>
      <c r="F3496" s="3" t="s">
        <v>4437</v>
      </c>
      <c r="G3496" s="3" t="s">
        <v>62</v>
      </c>
      <c r="I3496" s="3" t="s">
        <v>63</v>
      </c>
      <c r="J3496" s="3" t="s">
        <v>63</v>
      </c>
      <c r="K3496" s="3" t="s">
        <v>64</v>
      </c>
      <c r="L3496" s="2" t="s">
        <v>29258</v>
      </c>
      <c r="M3496" s="2" t="s">
        <v>29279</v>
      </c>
      <c r="N3496" s="3" t="s">
        <v>1113</v>
      </c>
      <c r="P3496" s="3" t="s">
        <v>90</v>
      </c>
      <c r="R3496" s="3" t="s">
        <v>67</v>
      </c>
      <c r="S3496" s="4">
        <v>0</v>
      </c>
      <c r="T3496" s="4">
        <v>2</v>
      </c>
      <c r="V3496" s="5" t="s">
        <v>29280</v>
      </c>
      <c r="W3496" s="5" t="s">
        <v>69</v>
      </c>
      <c r="X3496" s="5" t="s">
        <v>69</v>
      </c>
      <c r="Y3496" s="4">
        <v>65</v>
      </c>
      <c r="Z3496" s="4">
        <v>6</v>
      </c>
      <c r="AA3496" s="4">
        <v>6</v>
      </c>
      <c r="AB3496" s="4">
        <v>1</v>
      </c>
      <c r="AC3496" s="4">
        <v>1</v>
      </c>
      <c r="AD3496" s="4">
        <v>41</v>
      </c>
      <c r="AE3496" s="4">
        <v>41</v>
      </c>
      <c r="AF3496" s="4">
        <v>0</v>
      </c>
      <c r="AG3496" s="4">
        <v>0</v>
      </c>
      <c r="AH3496" s="4">
        <v>40</v>
      </c>
      <c r="AI3496" s="4">
        <v>40</v>
      </c>
      <c r="AJ3496" s="4">
        <v>4</v>
      </c>
      <c r="AK3496" s="4">
        <v>4</v>
      </c>
      <c r="AL3496" s="4">
        <v>32</v>
      </c>
      <c r="AM3496" s="4">
        <v>32</v>
      </c>
      <c r="AN3496" s="4">
        <v>0</v>
      </c>
      <c r="AO3496" s="4">
        <v>0</v>
      </c>
      <c r="AP3496" s="4">
        <v>4</v>
      </c>
      <c r="AQ3496" s="4">
        <v>4</v>
      </c>
      <c r="AR3496" s="3" t="s">
        <v>63</v>
      </c>
      <c r="AS3496" s="3" t="s">
        <v>63</v>
      </c>
      <c r="AT3496" s="3" t="s">
        <v>62</v>
      </c>
      <c r="AU3496" s="6" t="str">
        <f>HYPERLINK("http://catalog.hathitrust.org/Record/003160262","HathiTrust Record")</f>
        <v>HathiTrust Record</v>
      </c>
      <c r="AV3496" s="6" t="str">
        <f>HYPERLINK("http://mcgill.on.worldcat.org/oclc/37204175","Catalog Record")</f>
        <v>Catalog Record</v>
      </c>
      <c r="AW3496" s="6" t="str">
        <f>HYPERLINK("http://www.worldcat.org/oclc/37204175","WorldCat Record")</f>
        <v>WorldCat Record</v>
      </c>
      <c r="AX3496" s="3" t="s">
        <v>29281</v>
      </c>
      <c r="AY3496" s="3" t="s">
        <v>29282</v>
      </c>
      <c r="AZ3496" s="3" t="s">
        <v>29283</v>
      </c>
      <c r="BA3496" s="3" t="s">
        <v>29283</v>
      </c>
      <c r="BB3496" s="3" t="s">
        <v>29287</v>
      </c>
      <c r="BC3496" s="3" t="s">
        <v>82</v>
      </c>
      <c r="BD3496" s="3" t="s">
        <v>70</v>
      </c>
      <c r="BE3496" s="3" t="s">
        <v>29285</v>
      </c>
      <c r="BF3496" s="3" t="s">
        <v>29287</v>
      </c>
      <c r="BG3496" s="3" t="s">
        <v>29288</v>
      </c>
    </row>
    <row r="3497" spans="1:59" ht="60" x14ac:dyDescent="0.25">
      <c r="A3497" s="2" t="s">
        <v>59</v>
      </c>
      <c r="B3497" s="2" t="s">
        <v>60</v>
      </c>
      <c r="C3497" s="2" t="s">
        <v>29276</v>
      </c>
      <c r="D3497" s="2" t="s">
        <v>29277</v>
      </c>
      <c r="E3497" s="2" t="s">
        <v>29278</v>
      </c>
      <c r="F3497" s="3" t="s">
        <v>582</v>
      </c>
      <c r="G3497" s="3" t="s">
        <v>62</v>
      </c>
      <c r="I3497" s="3" t="s">
        <v>63</v>
      </c>
      <c r="J3497" s="3" t="s">
        <v>63</v>
      </c>
      <c r="K3497" s="3" t="s">
        <v>64</v>
      </c>
      <c r="L3497" s="2" t="s">
        <v>29258</v>
      </c>
      <c r="M3497" s="2" t="s">
        <v>29279</v>
      </c>
      <c r="N3497" s="3" t="s">
        <v>1113</v>
      </c>
      <c r="P3497" s="3" t="s">
        <v>90</v>
      </c>
      <c r="R3497" s="3" t="s">
        <v>67</v>
      </c>
      <c r="S3497" s="4">
        <v>1</v>
      </c>
      <c r="T3497" s="4">
        <v>2</v>
      </c>
      <c r="U3497" s="5" t="s">
        <v>29289</v>
      </c>
      <c r="V3497" s="5" t="s">
        <v>29280</v>
      </c>
      <c r="W3497" s="5" t="s">
        <v>69</v>
      </c>
      <c r="X3497" s="5" t="s">
        <v>69</v>
      </c>
      <c r="Y3497" s="4">
        <v>65</v>
      </c>
      <c r="Z3497" s="4">
        <v>6</v>
      </c>
      <c r="AA3497" s="4">
        <v>6</v>
      </c>
      <c r="AB3497" s="4">
        <v>1</v>
      </c>
      <c r="AC3497" s="4">
        <v>1</v>
      </c>
      <c r="AD3497" s="4">
        <v>41</v>
      </c>
      <c r="AE3497" s="4">
        <v>41</v>
      </c>
      <c r="AF3497" s="4">
        <v>0</v>
      </c>
      <c r="AG3497" s="4">
        <v>0</v>
      </c>
      <c r="AH3497" s="4">
        <v>40</v>
      </c>
      <c r="AI3497" s="4">
        <v>40</v>
      </c>
      <c r="AJ3497" s="4">
        <v>4</v>
      </c>
      <c r="AK3497" s="4">
        <v>4</v>
      </c>
      <c r="AL3497" s="4">
        <v>32</v>
      </c>
      <c r="AM3497" s="4">
        <v>32</v>
      </c>
      <c r="AN3497" s="4">
        <v>0</v>
      </c>
      <c r="AO3497" s="4">
        <v>0</v>
      </c>
      <c r="AP3497" s="4">
        <v>4</v>
      </c>
      <c r="AQ3497" s="4">
        <v>4</v>
      </c>
      <c r="AR3497" s="3" t="s">
        <v>63</v>
      </c>
      <c r="AS3497" s="3" t="s">
        <v>63</v>
      </c>
      <c r="AT3497" s="3" t="s">
        <v>62</v>
      </c>
      <c r="AU3497" s="6" t="str">
        <f>HYPERLINK("http://catalog.hathitrust.org/Record/003160262","HathiTrust Record")</f>
        <v>HathiTrust Record</v>
      </c>
      <c r="AV3497" s="6" t="str">
        <f>HYPERLINK("http://mcgill.on.worldcat.org/oclc/37204175","Catalog Record")</f>
        <v>Catalog Record</v>
      </c>
      <c r="AW3497" s="6" t="str">
        <f>HYPERLINK("http://www.worldcat.org/oclc/37204175","WorldCat Record")</f>
        <v>WorldCat Record</v>
      </c>
      <c r="AX3497" s="3" t="s">
        <v>29281</v>
      </c>
      <c r="AY3497" s="3" t="s">
        <v>29282</v>
      </c>
      <c r="AZ3497" s="3" t="s">
        <v>29283</v>
      </c>
      <c r="BA3497" s="3" t="s">
        <v>29283</v>
      </c>
      <c r="BB3497" s="3" t="s">
        <v>29290</v>
      </c>
      <c r="BC3497" s="3" t="s">
        <v>82</v>
      </c>
      <c r="BD3497" s="3" t="s">
        <v>70</v>
      </c>
      <c r="BE3497" s="3" t="s">
        <v>29285</v>
      </c>
      <c r="BF3497" s="3" t="s">
        <v>29290</v>
      </c>
      <c r="BG3497" s="3" t="s">
        <v>29291</v>
      </c>
    </row>
    <row r="3498" spans="1:59" ht="60" x14ac:dyDescent="0.25">
      <c r="A3498" s="2" t="s">
        <v>59</v>
      </c>
      <c r="B3498" s="2" t="s">
        <v>60</v>
      </c>
      <c r="C3498" s="2" t="s">
        <v>29292</v>
      </c>
      <c r="D3498" s="2" t="s">
        <v>29293</v>
      </c>
      <c r="E3498" s="2" t="s">
        <v>29294</v>
      </c>
      <c r="G3498" s="3" t="s">
        <v>63</v>
      </c>
      <c r="I3498" s="3" t="s">
        <v>63</v>
      </c>
      <c r="J3498" s="3" t="s">
        <v>63</v>
      </c>
      <c r="K3498" s="3" t="s">
        <v>64</v>
      </c>
      <c r="L3498" s="2" t="s">
        <v>29258</v>
      </c>
      <c r="M3498" s="2" t="s">
        <v>29295</v>
      </c>
      <c r="N3498" s="3" t="s">
        <v>1113</v>
      </c>
      <c r="P3498" s="3" t="s">
        <v>90</v>
      </c>
      <c r="Q3498" s="2" t="s">
        <v>29296</v>
      </c>
      <c r="R3498" s="3" t="s">
        <v>67</v>
      </c>
      <c r="S3498" s="4">
        <v>3</v>
      </c>
      <c r="T3498" s="4">
        <v>3</v>
      </c>
      <c r="U3498" s="5" t="s">
        <v>7212</v>
      </c>
      <c r="V3498" s="5" t="s">
        <v>7212</v>
      </c>
      <c r="W3498" s="5" t="s">
        <v>69</v>
      </c>
      <c r="X3498" s="5" t="s">
        <v>69</v>
      </c>
      <c r="Y3498" s="4">
        <v>107</v>
      </c>
      <c r="Z3498" s="4">
        <v>7</v>
      </c>
      <c r="AA3498" s="4">
        <v>7</v>
      </c>
      <c r="AB3498" s="4">
        <v>1</v>
      </c>
      <c r="AC3498" s="4">
        <v>1</v>
      </c>
      <c r="AD3498" s="4">
        <v>56</v>
      </c>
      <c r="AE3498" s="4">
        <v>56</v>
      </c>
      <c r="AF3498" s="4">
        <v>0</v>
      </c>
      <c r="AG3498" s="4">
        <v>0</v>
      </c>
      <c r="AH3498" s="4">
        <v>55</v>
      </c>
      <c r="AI3498" s="4">
        <v>55</v>
      </c>
      <c r="AJ3498" s="4">
        <v>5</v>
      </c>
      <c r="AK3498" s="4">
        <v>5</v>
      </c>
      <c r="AL3498" s="4">
        <v>40</v>
      </c>
      <c r="AM3498" s="4">
        <v>40</v>
      </c>
      <c r="AN3498" s="4">
        <v>0</v>
      </c>
      <c r="AO3498" s="4">
        <v>0</v>
      </c>
      <c r="AP3498" s="4">
        <v>5</v>
      </c>
      <c r="AQ3498" s="4">
        <v>5</v>
      </c>
      <c r="AR3498" s="3" t="s">
        <v>63</v>
      </c>
      <c r="AS3498" s="3" t="s">
        <v>63</v>
      </c>
      <c r="AT3498" s="3" t="s">
        <v>62</v>
      </c>
      <c r="AU3498" s="6" t="str">
        <f>HYPERLINK("http://catalog.hathitrust.org/Record/003947331","HathiTrust Record")</f>
        <v>HathiTrust Record</v>
      </c>
      <c r="AV3498" s="6" t="str">
        <f>HYPERLINK("http://mcgill.on.worldcat.org/oclc/37698499","Catalog Record")</f>
        <v>Catalog Record</v>
      </c>
      <c r="AW3498" s="6" t="str">
        <f>HYPERLINK("http://www.worldcat.org/oclc/37698499","WorldCat Record")</f>
        <v>WorldCat Record</v>
      </c>
      <c r="AX3498" s="3" t="s">
        <v>29297</v>
      </c>
      <c r="AY3498" s="3" t="s">
        <v>29298</v>
      </c>
      <c r="AZ3498" s="3" t="s">
        <v>29299</v>
      </c>
      <c r="BA3498" s="3" t="s">
        <v>29299</v>
      </c>
      <c r="BB3498" s="3" t="s">
        <v>29300</v>
      </c>
      <c r="BC3498" s="3" t="s">
        <v>82</v>
      </c>
      <c r="BD3498" s="3" t="s">
        <v>70</v>
      </c>
      <c r="BF3498" s="3" t="s">
        <v>29300</v>
      </c>
      <c r="BG3498" s="3" t="s">
        <v>29301</v>
      </c>
    </row>
    <row r="3499" spans="1:59" ht="60" x14ac:dyDescent="0.25">
      <c r="A3499" s="2" t="s">
        <v>59</v>
      </c>
      <c r="B3499" s="2" t="s">
        <v>60</v>
      </c>
      <c r="C3499" s="2" t="s">
        <v>29302</v>
      </c>
      <c r="D3499" s="2" t="s">
        <v>29303</v>
      </c>
      <c r="E3499" s="2" t="s">
        <v>29304</v>
      </c>
      <c r="G3499" s="3" t="s">
        <v>63</v>
      </c>
      <c r="I3499" s="3" t="s">
        <v>63</v>
      </c>
      <c r="J3499" s="3" t="s">
        <v>63</v>
      </c>
      <c r="K3499" s="3" t="s">
        <v>64</v>
      </c>
      <c r="L3499" s="2" t="s">
        <v>29258</v>
      </c>
      <c r="M3499" s="2" t="s">
        <v>29305</v>
      </c>
      <c r="N3499" s="3" t="s">
        <v>204</v>
      </c>
      <c r="P3499" s="3" t="s">
        <v>90</v>
      </c>
      <c r="R3499" s="3" t="s">
        <v>67</v>
      </c>
      <c r="S3499" s="4">
        <v>1</v>
      </c>
      <c r="T3499" s="4">
        <v>1</v>
      </c>
      <c r="U3499" s="5" t="s">
        <v>29306</v>
      </c>
      <c r="V3499" s="5" t="s">
        <v>29306</v>
      </c>
      <c r="W3499" s="5" t="s">
        <v>69</v>
      </c>
      <c r="X3499" s="5" t="s">
        <v>69</v>
      </c>
      <c r="Y3499" s="4">
        <v>102</v>
      </c>
      <c r="Z3499" s="4">
        <v>8</v>
      </c>
      <c r="AA3499" s="4">
        <v>8</v>
      </c>
      <c r="AB3499" s="4">
        <v>1</v>
      </c>
      <c r="AC3499" s="4">
        <v>1</v>
      </c>
      <c r="AD3499" s="4">
        <v>65</v>
      </c>
      <c r="AE3499" s="4">
        <v>65</v>
      </c>
      <c r="AF3499" s="4">
        <v>0</v>
      </c>
      <c r="AG3499" s="4">
        <v>0</v>
      </c>
      <c r="AH3499" s="4">
        <v>63</v>
      </c>
      <c r="AI3499" s="4">
        <v>63</v>
      </c>
      <c r="AJ3499" s="4">
        <v>6</v>
      </c>
      <c r="AK3499" s="4">
        <v>6</v>
      </c>
      <c r="AL3499" s="4">
        <v>44</v>
      </c>
      <c r="AM3499" s="4">
        <v>44</v>
      </c>
      <c r="AN3499" s="4">
        <v>0</v>
      </c>
      <c r="AO3499" s="4">
        <v>0</v>
      </c>
      <c r="AP3499" s="4">
        <v>6</v>
      </c>
      <c r="AQ3499" s="4">
        <v>6</v>
      </c>
      <c r="AR3499" s="3" t="s">
        <v>63</v>
      </c>
      <c r="AS3499" s="3" t="s">
        <v>63</v>
      </c>
      <c r="AT3499" s="3" t="s">
        <v>62</v>
      </c>
      <c r="AU3499" s="6" t="str">
        <f>HYPERLINK("http://catalog.hathitrust.org/Record/003268473","HathiTrust Record")</f>
        <v>HathiTrust Record</v>
      </c>
      <c r="AV3499" s="6" t="str">
        <f>HYPERLINK("http://mcgill.on.worldcat.org/oclc/35708329","Catalog Record")</f>
        <v>Catalog Record</v>
      </c>
      <c r="AW3499" s="6" t="str">
        <f>HYPERLINK("http://www.worldcat.org/oclc/35708329","WorldCat Record")</f>
        <v>WorldCat Record</v>
      </c>
      <c r="AX3499" s="3" t="s">
        <v>29307</v>
      </c>
      <c r="AY3499" s="3" t="s">
        <v>29308</v>
      </c>
      <c r="AZ3499" s="3" t="s">
        <v>29309</v>
      </c>
      <c r="BA3499" s="3" t="s">
        <v>29309</v>
      </c>
      <c r="BB3499" s="3" t="s">
        <v>29310</v>
      </c>
      <c r="BC3499" s="3" t="s">
        <v>82</v>
      </c>
      <c r="BD3499" s="3" t="s">
        <v>70</v>
      </c>
      <c r="BE3499" s="3" t="s">
        <v>29311</v>
      </c>
      <c r="BF3499" s="3" t="s">
        <v>29310</v>
      </c>
      <c r="BG3499" s="3" t="s">
        <v>29312</v>
      </c>
    </row>
    <row r="3500" spans="1:59" ht="60" x14ac:dyDescent="0.25">
      <c r="A3500" s="2" t="s">
        <v>59</v>
      </c>
      <c r="B3500" s="2" t="s">
        <v>60</v>
      </c>
      <c r="C3500" s="2" t="s">
        <v>29313</v>
      </c>
      <c r="D3500" s="2" t="s">
        <v>29314</v>
      </c>
      <c r="E3500" s="2" t="s">
        <v>29315</v>
      </c>
      <c r="G3500" s="3" t="s">
        <v>63</v>
      </c>
      <c r="I3500" s="3" t="s">
        <v>63</v>
      </c>
      <c r="J3500" s="3" t="s">
        <v>63</v>
      </c>
      <c r="K3500" s="3" t="s">
        <v>64</v>
      </c>
      <c r="L3500" s="2" t="s">
        <v>29258</v>
      </c>
      <c r="M3500" s="2" t="s">
        <v>29316</v>
      </c>
      <c r="N3500" s="3" t="s">
        <v>1418</v>
      </c>
      <c r="P3500" s="3" t="s">
        <v>90</v>
      </c>
      <c r="R3500" s="3" t="s">
        <v>67</v>
      </c>
      <c r="S3500" s="4">
        <v>2</v>
      </c>
      <c r="T3500" s="4">
        <v>2</v>
      </c>
      <c r="U3500" s="5" t="s">
        <v>29306</v>
      </c>
      <c r="V3500" s="5" t="s">
        <v>29306</v>
      </c>
      <c r="W3500" s="5" t="s">
        <v>69</v>
      </c>
      <c r="X3500" s="5" t="s">
        <v>69</v>
      </c>
      <c r="Y3500" s="4">
        <v>93</v>
      </c>
      <c r="Z3500" s="4">
        <v>13</v>
      </c>
      <c r="AA3500" s="4">
        <v>14</v>
      </c>
      <c r="AB3500" s="4">
        <v>2</v>
      </c>
      <c r="AC3500" s="4">
        <v>2</v>
      </c>
      <c r="AD3500" s="4">
        <v>51</v>
      </c>
      <c r="AE3500" s="4">
        <v>52</v>
      </c>
      <c r="AF3500" s="4">
        <v>0</v>
      </c>
      <c r="AG3500" s="4">
        <v>0</v>
      </c>
      <c r="AH3500" s="4">
        <v>49</v>
      </c>
      <c r="AI3500" s="4">
        <v>49</v>
      </c>
      <c r="AJ3500" s="4">
        <v>9</v>
      </c>
      <c r="AK3500" s="4">
        <v>10</v>
      </c>
      <c r="AL3500" s="4">
        <v>32</v>
      </c>
      <c r="AM3500" s="4">
        <v>32</v>
      </c>
      <c r="AN3500" s="4">
        <v>0</v>
      </c>
      <c r="AO3500" s="4">
        <v>0</v>
      </c>
      <c r="AP3500" s="4">
        <v>9</v>
      </c>
      <c r="AQ3500" s="4">
        <v>10</v>
      </c>
      <c r="AR3500" s="3" t="s">
        <v>63</v>
      </c>
      <c r="AS3500" s="3" t="s">
        <v>63</v>
      </c>
      <c r="AT3500" s="3" t="s">
        <v>62</v>
      </c>
      <c r="AU3500" s="6" t="str">
        <f>HYPERLINK("http://catalog.hathitrust.org/Record/000869552","HathiTrust Record")</f>
        <v>HathiTrust Record</v>
      </c>
      <c r="AV3500" s="6" t="str">
        <f>HYPERLINK("http://mcgill.on.worldcat.org/oclc/17363357","Catalog Record")</f>
        <v>Catalog Record</v>
      </c>
      <c r="AW3500" s="6" t="str">
        <f>HYPERLINK("http://www.worldcat.org/oclc/17363357","WorldCat Record")</f>
        <v>WorldCat Record</v>
      </c>
      <c r="AX3500" s="3" t="s">
        <v>29317</v>
      </c>
      <c r="AY3500" s="3" t="s">
        <v>29318</v>
      </c>
      <c r="AZ3500" s="3" t="s">
        <v>29319</v>
      </c>
      <c r="BA3500" s="3" t="s">
        <v>29319</v>
      </c>
      <c r="BB3500" s="3" t="s">
        <v>29320</v>
      </c>
      <c r="BC3500" s="3" t="s">
        <v>82</v>
      </c>
      <c r="BD3500" s="3" t="s">
        <v>70</v>
      </c>
      <c r="BF3500" s="3" t="s">
        <v>29320</v>
      </c>
      <c r="BG3500" s="3" t="s">
        <v>29321</v>
      </c>
    </row>
    <row r="3501" spans="1:59" ht="75" x14ac:dyDescent="0.25">
      <c r="A3501" s="2" t="s">
        <v>59</v>
      </c>
      <c r="B3501" s="2" t="s">
        <v>60</v>
      </c>
      <c r="C3501" s="2" t="s">
        <v>29322</v>
      </c>
      <c r="D3501" s="2" t="s">
        <v>29323</v>
      </c>
      <c r="E3501" s="2" t="s">
        <v>29324</v>
      </c>
      <c r="G3501" s="3" t="s">
        <v>63</v>
      </c>
      <c r="I3501" s="3" t="s">
        <v>63</v>
      </c>
      <c r="J3501" s="3" t="s">
        <v>63</v>
      </c>
      <c r="K3501" s="3" t="s">
        <v>64</v>
      </c>
      <c r="L3501" s="2" t="s">
        <v>29325</v>
      </c>
      <c r="M3501" s="2" t="s">
        <v>4552</v>
      </c>
      <c r="N3501" s="3" t="s">
        <v>313</v>
      </c>
      <c r="P3501" s="3" t="s">
        <v>90</v>
      </c>
      <c r="Q3501" s="2" t="s">
        <v>29326</v>
      </c>
      <c r="R3501" s="3" t="s">
        <v>67</v>
      </c>
      <c r="S3501" s="4">
        <v>0</v>
      </c>
      <c r="T3501" s="4">
        <v>0</v>
      </c>
      <c r="W3501" s="5" t="s">
        <v>69</v>
      </c>
      <c r="X3501" s="5" t="s">
        <v>69</v>
      </c>
      <c r="Y3501" s="4">
        <v>18</v>
      </c>
      <c r="Z3501" s="4">
        <v>4</v>
      </c>
      <c r="AA3501" s="4">
        <v>4</v>
      </c>
      <c r="AB3501" s="4">
        <v>1</v>
      </c>
      <c r="AC3501" s="4">
        <v>1</v>
      </c>
      <c r="AD3501" s="4">
        <v>12</v>
      </c>
      <c r="AE3501" s="4">
        <v>12</v>
      </c>
      <c r="AF3501" s="4">
        <v>0</v>
      </c>
      <c r="AG3501" s="4">
        <v>0</v>
      </c>
      <c r="AH3501" s="4">
        <v>11</v>
      </c>
      <c r="AI3501" s="4">
        <v>11</v>
      </c>
      <c r="AJ3501" s="4">
        <v>2</v>
      </c>
      <c r="AK3501" s="4">
        <v>2</v>
      </c>
      <c r="AL3501" s="4">
        <v>8</v>
      </c>
      <c r="AM3501" s="4">
        <v>8</v>
      </c>
      <c r="AN3501" s="4">
        <v>0</v>
      </c>
      <c r="AO3501" s="4">
        <v>0</v>
      </c>
      <c r="AP3501" s="4">
        <v>2</v>
      </c>
      <c r="AQ3501" s="4">
        <v>2</v>
      </c>
      <c r="AR3501" s="3" t="s">
        <v>63</v>
      </c>
      <c r="AS3501" s="3" t="s">
        <v>63</v>
      </c>
      <c r="AT3501" s="3" t="s">
        <v>63</v>
      </c>
      <c r="AV3501" s="6" t="str">
        <f>HYPERLINK("http://mcgill.on.worldcat.org/oclc/670281272","Catalog Record")</f>
        <v>Catalog Record</v>
      </c>
      <c r="AW3501" s="6" t="str">
        <f>HYPERLINK("http://www.worldcat.org/oclc/670281272","WorldCat Record")</f>
        <v>WorldCat Record</v>
      </c>
      <c r="AX3501" s="3" t="s">
        <v>29327</v>
      </c>
      <c r="AY3501" s="3" t="s">
        <v>29328</v>
      </c>
      <c r="AZ3501" s="3" t="s">
        <v>29329</v>
      </c>
      <c r="BA3501" s="3" t="s">
        <v>29329</v>
      </c>
      <c r="BB3501" s="3" t="s">
        <v>29330</v>
      </c>
      <c r="BC3501" s="3" t="s">
        <v>82</v>
      </c>
      <c r="BD3501" s="3" t="s">
        <v>70</v>
      </c>
      <c r="BE3501" s="3" t="s">
        <v>29331</v>
      </c>
      <c r="BF3501" s="3" t="s">
        <v>29330</v>
      </c>
      <c r="BG3501" s="3" t="s">
        <v>29332</v>
      </c>
    </row>
    <row r="3502" spans="1:59" ht="60" x14ac:dyDescent="0.25">
      <c r="A3502" s="2" t="s">
        <v>59</v>
      </c>
      <c r="B3502" s="2" t="s">
        <v>60</v>
      </c>
      <c r="C3502" s="2" t="s">
        <v>29333</v>
      </c>
      <c r="D3502" s="2" t="s">
        <v>29334</v>
      </c>
      <c r="E3502" s="2" t="s">
        <v>29335</v>
      </c>
      <c r="G3502" s="3" t="s">
        <v>63</v>
      </c>
      <c r="I3502" s="3" t="s">
        <v>63</v>
      </c>
      <c r="J3502" s="3" t="s">
        <v>63</v>
      </c>
      <c r="K3502" s="3" t="s">
        <v>64</v>
      </c>
      <c r="L3502" s="2" t="s">
        <v>29336</v>
      </c>
      <c r="M3502" s="2" t="s">
        <v>29337</v>
      </c>
      <c r="N3502" s="3" t="s">
        <v>234</v>
      </c>
      <c r="P3502" s="3" t="s">
        <v>90</v>
      </c>
      <c r="Q3502" s="2" t="s">
        <v>29338</v>
      </c>
      <c r="R3502" s="3" t="s">
        <v>67</v>
      </c>
      <c r="S3502" s="4">
        <v>4</v>
      </c>
      <c r="T3502" s="4">
        <v>4</v>
      </c>
      <c r="U3502" s="5" t="s">
        <v>10010</v>
      </c>
      <c r="V3502" s="5" t="s">
        <v>10010</v>
      </c>
      <c r="W3502" s="5" t="s">
        <v>69</v>
      </c>
      <c r="X3502" s="5" t="s">
        <v>69</v>
      </c>
      <c r="Y3502" s="4">
        <v>144</v>
      </c>
      <c r="Z3502" s="4">
        <v>8</v>
      </c>
      <c r="AA3502" s="4">
        <v>10</v>
      </c>
      <c r="AB3502" s="4">
        <v>1</v>
      </c>
      <c r="AC3502" s="4">
        <v>1</v>
      </c>
      <c r="AD3502" s="4">
        <v>55</v>
      </c>
      <c r="AE3502" s="4">
        <v>57</v>
      </c>
      <c r="AF3502" s="4">
        <v>0</v>
      </c>
      <c r="AG3502" s="4">
        <v>0</v>
      </c>
      <c r="AH3502" s="4">
        <v>53</v>
      </c>
      <c r="AI3502" s="4">
        <v>55</v>
      </c>
      <c r="AJ3502" s="4">
        <v>3</v>
      </c>
      <c r="AK3502" s="4">
        <v>4</v>
      </c>
      <c r="AL3502" s="4">
        <v>37</v>
      </c>
      <c r="AM3502" s="4">
        <v>38</v>
      </c>
      <c r="AN3502" s="4">
        <v>0</v>
      </c>
      <c r="AO3502" s="4">
        <v>0</v>
      </c>
      <c r="AP3502" s="4">
        <v>3</v>
      </c>
      <c r="AQ3502" s="4">
        <v>4</v>
      </c>
      <c r="AR3502" s="3" t="s">
        <v>63</v>
      </c>
      <c r="AS3502" s="3" t="s">
        <v>63</v>
      </c>
      <c r="AT3502" s="3" t="s">
        <v>62</v>
      </c>
      <c r="AU3502" s="6" t="str">
        <f>HYPERLINK("http://catalog.hathitrust.org/Record/005227540","HathiTrust Record")</f>
        <v>HathiTrust Record</v>
      </c>
      <c r="AV3502" s="6" t="str">
        <f>HYPERLINK("http://mcgill.on.worldcat.org/oclc/65183040","Catalog Record")</f>
        <v>Catalog Record</v>
      </c>
      <c r="AW3502" s="6" t="str">
        <f>HYPERLINK("http://www.worldcat.org/oclc/65183040","WorldCat Record")</f>
        <v>WorldCat Record</v>
      </c>
      <c r="AX3502" s="3" t="s">
        <v>29339</v>
      </c>
      <c r="AY3502" s="3" t="s">
        <v>29340</v>
      </c>
      <c r="AZ3502" s="3" t="s">
        <v>29341</v>
      </c>
      <c r="BA3502" s="3" t="s">
        <v>29341</v>
      </c>
      <c r="BB3502" s="3" t="s">
        <v>29342</v>
      </c>
      <c r="BC3502" s="3" t="s">
        <v>82</v>
      </c>
      <c r="BD3502" s="3" t="s">
        <v>70</v>
      </c>
      <c r="BE3502" s="3" t="s">
        <v>29343</v>
      </c>
      <c r="BF3502" s="3" t="s">
        <v>29342</v>
      </c>
      <c r="BG3502" s="3" t="s">
        <v>29344</v>
      </c>
    </row>
    <row r="3503" spans="1:59" ht="60" x14ac:dyDescent="0.25">
      <c r="A3503" s="2" t="s">
        <v>59</v>
      </c>
      <c r="B3503" s="2" t="s">
        <v>60</v>
      </c>
      <c r="C3503" s="2" t="s">
        <v>29345</v>
      </c>
      <c r="D3503" s="2" t="s">
        <v>29346</v>
      </c>
      <c r="E3503" s="2" t="s">
        <v>29347</v>
      </c>
      <c r="G3503" s="3" t="s">
        <v>63</v>
      </c>
      <c r="I3503" s="3" t="s">
        <v>63</v>
      </c>
      <c r="J3503" s="3" t="s">
        <v>63</v>
      </c>
      <c r="K3503" s="3" t="s">
        <v>64</v>
      </c>
      <c r="L3503" s="2" t="s">
        <v>29336</v>
      </c>
      <c r="M3503" s="2" t="s">
        <v>29348</v>
      </c>
      <c r="N3503" s="3" t="s">
        <v>204</v>
      </c>
      <c r="O3503" s="2" t="s">
        <v>590</v>
      </c>
      <c r="P3503" s="3" t="s">
        <v>66</v>
      </c>
      <c r="R3503" s="3" t="s">
        <v>67</v>
      </c>
      <c r="S3503" s="4">
        <v>5</v>
      </c>
      <c r="T3503" s="4">
        <v>5</v>
      </c>
      <c r="U3503" s="5" t="s">
        <v>6320</v>
      </c>
      <c r="V3503" s="5" t="s">
        <v>6320</v>
      </c>
      <c r="W3503" s="5" t="s">
        <v>69</v>
      </c>
      <c r="X3503" s="5" t="s">
        <v>69</v>
      </c>
      <c r="Y3503" s="4">
        <v>443</v>
      </c>
      <c r="Z3503" s="4">
        <v>16</v>
      </c>
      <c r="AA3503" s="4">
        <v>16</v>
      </c>
      <c r="AB3503" s="4">
        <v>1</v>
      </c>
      <c r="AC3503" s="4">
        <v>1</v>
      </c>
      <c r="AD3503" s="4">
        <v>91</v>
      </c>
      <c r="AE3503" s="4">
        <v>91</v>
      </c>
      <c r="AF3503" s="4">
        <v>0</v>
      </c>
      <c r="AG3503" s="4">
        <v>0</v>
      </c>
      <c r="AH3503" s="4">
        <v>87</v>
      </c>
      <c r="AI3503" s="4">
        <v>87</v>
      </c>
      <c r="AJ3503" s="4">
        <v>9</v>
      </c>
      <c r="AK3503" s="4">
        <v>9</v>
      </c>
      <c r="AL3503" s="4">
        <v>51</v>
      </c>
      <c r="AM3503" s="4">
        <v>51</v>
      </c>
      <c r="AN3503" s="4">
        <v>0</v>
      </c>
      <c r="AO3503" s="4">
        <v>0</v>
      </c>
      <c r="AP3503" s="4">
        <v>9</v>
      </c>
      <c r="AQ3503" s="4">
        <v>9</v>
      </c>
      <c r="AR3503" s="3" t="s">
        <v>63</v>
      </c>
      <c r="AS3503" s="3" t="s">
        <v>63</v>
      </c>
      <c r="AT3503" s="3" t="s">
        <v>62</v>
      </c>
      <c r="AU3503" s="6" t="str">
        <f>HYPERLINK("http://catalog.hathitrust.org/Record/003094169","HathiTrust Record")</f>
        <v>HathiTrust Record</v>
      </c>
      <c r="AV3503" s="6" t="str">
        <f>HYPERLINK("http://mcgill.on.worldcat.org/oclc/32778605","Catalog Record")</f>
        <v>Catalog Record</v>
      </c>
      <c r="AW3503" s="6" t="str">
        <f>HYPERLINK("http://www.worldcat.org/oclc/32778605","WorldCat Record")</f>
        <v>WorldCat Record</v>
      </c>
      <c r="AX3503" s="3" t="s">
        <v>29349</v>
      </c>
      <c r="AY3503" s="3" t="s">
        <v>29350</v>
      </c>
      <c r="AZ3503" s="3" t="s">
        <v>29351</v>
      </c>
      <c r="BA3503" s="3" t="s">
        <v>29351</v>
      </c>
      <c r="BB3503" s="3" t="s">
        <v>29352</v>
      </c>
      <c r="BC3503" s="3" t="s">
        <v>82</v>
      </c>
      <c r="BD3503" s="3" t="s">
        <v>70</v>
      </c>
      <c r="BE3503" s="3" t="s">
        <v>29353</v>
      </c>
      <c r="BF3503" s="3" t="s">
        <v>29352</v>
      </c>
      <c r="BG3503" s="3" t="s">
        <v>29354</v>
      </c>
    </row>
    <row r="3504" spans="1:59" ht="60" x14ac:dyDescent="0.25">
      <c r="A3504" s="2" t="s">
        <v>59</v>
      </c>
      <c r="B3504" s="2" t="s">
        <v>60</v>
      </c>
      <c r="C3504" s="2" t="s">
        <v>29355</v>
      </c>
      <c r="D3504" s="2" t="s">
        <v>29356</v>
      </c>
      <c r="E3504" s="2" t="s">
        <v>29357</v>
      </c>
      <c r="G3504" s="3" t="s">
        <v>63</v>
      </c>
      <c r="I3504" s="3" t="s">
        <v>63</v>
      </c>
      <c r="J3504" s="3" t="s">
        <v>63</v>
      </c>
      <c r="K3504" s="3" t="s">
        <v>64</v>
      </c>
      <c r="L3504" s="2" t="s">
        <v>29358</v>
      </c>
      <c r="M3504" s="2" t="s">
        <v>29359</v>
      </c>
      <c r="N3504" s="3" t="s">
        <v>1418</v>
      </c>
      <c r="O3504" s="2" t="s">
        <v>1605</v>
      </c>
      <c r="P3504" s="3" t="s">
        <v>66</v>
      </c>
      <c r="R3504" s="3" t="s">
        <v>67</v>
      </c>
      <c r="S3504" s="4">
        <v>5</v>
      </c>
      <c r="T3504" s="4">
        <v>5</v>
      </c>
      <c r="U3504" s="5" t="s">
        <v>29360</v>
      </c>
      <c r="V3504" s="5" t="s">
        <v>29360</v>
      </c>
      <c r="W3504" s="5" t="s">
        <v>69</v>
      </c>
      <c r="X3504" s="5" t="s">
        <v>69</v>
      </c>
      <c r="Y3504" s="4">
        <v>612</v>
      </c>
      <c r="Z3504" s="4">
        <v>19</v>
      </c>
      <c r="AA3504" s="4">
        <v>20</v>
      </c>
      <c r="AB3504" s="4">
        <v>1</v>
      </c>
      <c r="AC3504" s="4">
        <v>1</v>
      </c>
      <c r="AD3504" s="4">
        <v>98</v>
      </c>
      <c r="AE3504" s="4">
        <v>102</v>
      </c>
      <c r="AF3504" s="4">
        <v>0</v>
      </c>
      <c r="AG3504" s="4">
        <v>0</v>
      </c>
      <c r="AH3504" s="4">
        <v>90</v>
      </c>
      <c r="AI3504" s="4">
        <v>93</v>
      </c>
      <c r="AJ3504" s="4">
        <v>14</v>
      </c>
      <c r="AK3504" s="4">
        <v>14</v>
      </c>
      <c r="AL3504" s="4">
        <v>50</v>
      </c>
      <c r="AM3504" s="4">
        <v>51</v>
      </c>
      <c r="AN3504" s="4">
        <v>0</v>
      </c>
      <c r="AO3504" s="4">
        <v>5</v>
      </c>
      <c r="AP3504" s="4">
        <v>13</v>
      </c>
      <c r="AQ3504" s="4">
        <v>14</v>
      </c>
      <c r="AR3504" s="3" t="s">
        <v>63</v>
      </c>
      <c r="AS3504" s="3" t="s">
        <v>63</v>
      </c>
      <c r="AT3504" s="3" t="s">
        <v>62</v>
      </c>
      <c r="AU3504" s="6" t="str">
        <f>HYPERLINK("http://catalog.hathitrust.org/Record/000833298","HathiTrust Record")</f>
        <v>HathiTrust Record</v>
      </c>
      <c r="AV3504" s="6" t="str">
        <f>HYPERLINK("http://mcgill.on.worldcat.org/oclc/14520881","Catalog Record")</f>
        <v>Catalog Record</v>
      </c>
      <c r="AW3504" s="6" t="str">
        <f>HYPERLINK("http://www.worldcat.org/oclc/14520881","WorldCat Record")</f>
        <v>WorldCat Record</v>
      </c>
      <c r="AX3504" s="3" t="s">
        <v>29361</v>
      </c>
      <c r="AY3504" s="3" t="s">
        <v>29362</v>
      </c>
      <c r="AZ3504" s="3" t="s">
        <v>29363</v>
      </c>
      <c r="BA3504" s="3" t="s">
        <v>29363</v>
      </c>
      <c r="BB3504" s="3" t="s">
        <v>29364</v>
      </c>
      <c r="BC3504" s="3" t="s">
        <v>82</v>
      </c>
      <c r="BD3504" s="3" t="s">
        <v>70</v>
      </c>
      <c r="BE3504" s="3" t="s">
        <v>29365</v>
      </c>
      <c r="BF3504" s="3" t="s">
        <v>29364</v>
      </c>
      <c r="BG3504" s="3" t="s">
        <v>29366</v>
      </c>
    </row>
    <row r="3505" spans="1:59" ht="75" x14ac:dyDescent="0.25">
      <c r="A3505" s="2" t="s">
        <v>59</v>
      </c>
      <c r="B3505" s="2" t="s">
        <v>60</v>
      </c>
      <c r="C3505" s="2" t="s">
        <v>29367</v>
      </c>
      <c r="D3505" s="2" t="s">
        <v>29368</v>
      </c>
      <c r="E3505" s="2" t="s">
        <v>29369</v>
      </c>
      <c r="G3505" s="3" t="s">
        <v>63</v>
      </c>
      <c r="I3505" s="3" t="s">
        <v>63</v>
      </c>
      <c r="J3505" s="3" t="s">
        <v>63</v>
      </c>
      <c r="K3505" s="3" t="s">
        <v>64</v>
      </c>
      <c r="L3505" s="2" t="s">
        <v>29370</v>
      </c>
      <c r="M3505" s="2" t="s">
        <v>29371</v>
      </c>
      <c r="N3505" s="3" t="s">
        <v>629</v>
      </c>
      <c r="P3505" s="3" t="s">
        <v>66</v>
      </c>
      <c r="Q3505" s="2" t="s">
        <v>29372</v>
      </c>
      <c r="R3505" s="3" t="s">
        <v>67</v>
      </c>
      <c r="S3505" s="4">
        <v>1</v>
      </c>
      <c r="T3505" s="4">
        <v>1</v>
      </c>
      <c r="U3505" s="5" t="s">
        <v>29373</v>
      </c>
      <c r="V3505" s="5" t="s">
        <v>29373</v>
      </c>
      <c r="W3505" s="5" t="s">
        <v>69</v>
      </c>
      <c r="X3505" s="5" t="s">
        <v>69</v>
      </c>
      <c r="Y3505" s="4">
        <v>143</v>
      </c>
      <c r="Z3505" s="4">
        <v>4</v>
      </c>
      <c r="AA3505" s="4">
        <v>5</v>
      </c>
      <c r="AB3505" s="4">
        <v>1</v>
      </c>
      <c r="AC3505" s="4">
        <v>2</v>
      </c>
      <c r="AD3505" s="4">
        <v>18</v>
      </c>
      <c r="AE3505" s="4">
        <v>20</v>
      </c>
      <c r="AF3505" s="4">
        <v>0</v>
      </c>
      <c r="AG3505" s="4">
        <v>0</v>
      </c>
      <c r="AH3505" s="4">
        <v>17</v>
      </c>
      <c r="AI3505" s="4">
        <v>19</v>
      </c>
      <c r="AJ3505" s="4">
        <v>1</v>
      </c>
      <c r="AK3505" s="4">
        <v>1</v>
      </c>
      <c r="AL3505" s="4">
        <v>14</v>
      </c>
      <c r="AM3505" s="4">
        <v>16</v>
      </c>
      <c r="AN3505" s="4">
        <v>0</v>
      </c>
      <c r="AO3505" s="4">
        <v>0</v>
      </c>
      <c r="AP3505" s="4">
        <v>1</v>
      </c>
      <c r="AQ3505" s="4">
        <v>1</v>
      </c>
      <c r="AR3505" s="3" t="s">
        <v>63</v>
      </c>
      <c r="AS3505" s="3" t="s">
        <v>63</v>
      </c>
      <c r="AT3505" s="3" t="s">
        <v>63</v>
      </c>
      <c r="AV3505" s="6" t="str">
        <f>HYPERLINK("http://mcgill.on.worldcat.org/oclc/712128453","Catalog Record")</f>
        <v>Catalog Record</v>
      </c>
      <c r="AW3505" s="6" t="str">
        <f>HYPERLINK("http://www.worldcat.org/oclc/712128453","WorldCat Record")</f>
        <v>WorldCat Record</v>
      </c>
      <c r="AX3505" s="3" t="s">
        <v>29374</v>
      </c>
      <c r="AY3505" s="3" t="s">
        <v>29375</v>
      </c>
      <c r="AZ3505" s="3" t="s">
        <v>29376</v>
      </c>
      <c r="BA3505" s="3" t="s">
        <v>29376</v>
      </c>
      <c r="BB3505" s="3" t="s">
        <v>29377</v>
      </c>
      <c r="BC3505" s="3" t="s">
        <v>82</v>
      </c>
      <c r="BD3505" s="3" t="s">
        <v>70</v>
      </c>
      <c r="BE3505" s="3" t="s">
        <v>29378</v>
      </c>
      <c r="BF3505" s="3" t="s">
        <v>29377</v>
      </c>
      <c r="BG3505" s="3" t="s">
        <v>29379</v>
      </c>
    </row>
    <row r="3506" spans="1:59" ht="60" x14ac:dyDescent="0.25">
      <c r="A3506" s="2" t="s">
        <v>59</v>
      </c>
      <c r="B3506" s="2" t="s">
        <v>60</v>
      </c>
      <c r="C3506" s="2" t="s">
        <v>29380</v>
      </c>
      <c r="D3506" s="2" t="s">
        <v>29381</v>
      </c>
      <c r="E3506" s="2" t="s">
        <v>29382</v>
      </c>
      <c r="G3506" s="3" t="s">
        <v>63</v>
      </c>
      <c r="I3506" s="3" t="s">
        <v>63</v>
      </c>
      <c r="J3506" s="3" t="s">
        <v>63</v>
      </c>
      <c r="K3506" s="3" t="s">
        <v>64</v>
      </c>
      <c r="L3506" s="2" t="s">
        <v>29370</v>
      </c>
      <c r="M3506" s="2" t="s">
        <v>29383</v>
      </c>
      <c r="N3506" s="3" t="s">
        <v>693</v>
      </c>
      <c r="P3506" s="3" t="s">
        <v>90</v>
      </c>
      <c r="Q3506" s="2" t="s">
        <v>29384</v>
      </c>
      <c r="R3506" s="3" t="s">
        <v>67</v>
      </c>
      <c r="S3506" s="4">
        <v>15</v>
      </c>
      <c r="T3506" s="4">
        <v>15</v>
      </c>
      <c r="U3506" s="5" t="s">
        <v>26945</v>
      </c>
      <c r="V3506" s="5" t="s">
        <v>26945</v>
      </c>
      <c r="W3506" s="5" t="s">
        <v>69</v>
      </c>
      <c r="X3506" s="5" t="s">
        <v>69</v>
      </c>
      <c r="Y3506" s="4">
        <v>8</v>
      </c>
      <c r="Z3506" s="4">
        <v>1</v>
      </c>
      <c r="AA3506" s="4">
        <v>2</v>
      </c>
      <c r="AB3506" s="4">
        <v>1</v>
      </c>
      <c r="AC3506" s="4">
        <v>1</v>
      </c>
      <c r="AD3506" s="4">
        <v>1</v>
      </c>
      <c r="AE3506" s="4">
        <v>1</v>
      </c>
      <c r="AF3506" s="4">
        <v>0</v>
      </c>
      <c r="AG3506" s="4">
        <v>0</v>
      </c>
      <c r="AH3506" s="4">
        <v>1</v>
      </c>
      <c r="AI3506" s="4">
        <v>1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3" t="s">
        <v>63</v>
      </c>
      <c r="AS3506" s="3" t="s">
        <v>63</v>
      </c>
      <c r="AT3506" s="3" t="s">
        <v>63</v>
      </c>
      <c r="AV3506" s="6" t="str">
        <f>HYPERLINK("http://mcgill.on.worldcat.org/oclc/56039505","Catalog Record")</f>
        <v>Catalog Record</v>
      </c>
      <c r="AW3506" s="6" t="str">
        <f>HYPERLINK("http://www.worldcat.org/oclc/56039505","WorldCat Record")</f>
        <v>WorldCat Record</v>
      </c>
      <c r="AX3506" s="3" t="s">
        <v>29385</v>
      </c>
      <c r="AY3506" s="3" t="s">
        <v>29386</v>
      </c>
      <c r="AZ3506" s="3" t="s">
        <v>29387</v>
      </c>
      <c r="BA3506" s="3" t="s">
        <v>29387</v>
      </c>
      <c r="BB3506" s="3" t="s">
        <v>29388</v>
      </c>
      <c r="BC3506" s="3" t="s">
        <v>82</v>
      </c>
      <c r="BD3506" s="3" t="s">
        <v>70</v>
      </c>
      <c r="BE3506" s="3" t="s">
        <v>29389</v>
      </c>
      <c r="BF3506" s="3" t="s">
        <v>29388</v>
      </c>
      <c r="BG3506" s="3" t="s">
        <v>29390</v>
      </c>
    </row>
    <row r="3507" spans="1:59" ht="75" x14ac:dyDescent="0.25">
      <c r="A3507" s="2" t="s">
        <v>59</v>
      </c>
      <c r="B3507" s="2" t="s">
        <v>60</v>
      </c>
      <c r="C3507" s="2" t="s">
        <v>29391</v>
      </c>
      <c r="D3507" s="2" t="s">
        <v>29392</v>
      </c>
      <c r="E3507" s="2" t="s">
        <v>29393</v>
      </c>
      <c r="G3507" s="3" t="s">
        <v>63</v>
      </c>
      <c r="I3507" s="3" t="s">
        <v>63</v>
      </c>
      <c r="J3507" s="3" t="s">
        <v>63</v>
      </c>
      <c r="K3507" s="3" t="s">
        <v>64</v>
      </c>
      <c r="L3507" s="2" t="s">
        <v>29394</v>
      </c>
      <c r="M3507" s="2" t="s">
        <v>29395</v>
      </c>
      <c r="N3507" s="3" t="s">
        <v>1226</v>
      </c>
      <c r="O3507" s="2" t="s">
        <v>590</v>
      </c>
      <c r="P3507" s="3" t="s">
        <v>66</v>
      </c>
      <c r="Q3507" s="2" t="s">
        <v>29396</v>
      </c>
      <c r="R3507" s="3" t="s">
        <v>67</v>
      </c>
      <c r="S3507" s="4">
        <v>22</v>
      </c>
      <c r="T3507" s="4">
        <v>22</v>
      </c>
      <c r="U3507" s="5" t="s">
        <v>11291</v>
      </c>
      <c r="V3507" s="5" t="s">
        <v>11291</v>
      </c>
      <c r="W3507" s="5" t="s">
        <v>69</v>
      </c>
      <c r="X3507" s="5" t="s">
        <v>69</v>
      </c>
      <c r="Y3507" s="4">
        <v>970</v>
      </c>
      <c r="Z3507" s="4">
        <v>39</v>
      </c>
      <c r="AA3507" s="4">
        <v>50</v>
      </c>
      <c r="AB3507" s="4">
        <v>3</v>
      </c>
      <c r="AC3507" s="4">
        <v>6</v>
      </c>
      <c r="AD3507" s="4">
        <v>79</v>
      </c>
      <c r="AE3507" s="4">
        <v>96</v>
      </c>
      <c r="AF3507" s="4">
        <v>0</v>
      </c>
      <c r="AG3507" s="4">
        <v>0</v>
      </c>
      <c r="AH3507" s="4">
        <v>76</v>
      </c>
      <c r="AI3507" s="4">
        <v>91</v>
      </c>
      <c r="AJ3507" s="4">
        <v>7</v>
      </c>
      <c r="AK3507" s="4">
        <v>10</v>
      </c>
      <c r="AL3507" s="4">
        <v>41</v>
      </c>
      <c r="AM3507" s="4">
        <v>53</v>
      </c>
      <c r="AN3507" s="4">
        <v>0</v>
      </c>
      <c r="AO3507" s="4">
        <v>0</v>
      </c>
      <c r="AP3507" s="4">
        <v>7</v>
      </c>
      <c r="AQ3507" s="4">
        <v>10</v>
      </c>
      <c r="AR3507" s="3" t="s">
        <v>63</v>
      </c>
      <c r="AS3507" s="3" t="s">
        <v>63</v>
      </c>
      <c r="AT3507" s="3" t="s">
        <v>62</v>
      </c>
      <c r="AU3507" s="6" t="str">
        <f>HYPERLINK("http://catalog.hathitrust.org/Record/004321625","HathiTrust Record")</f>
        <v>HathiTrust Record</v>
      </c>
      <c r="AV3507" s="6" t="str">
        <f>HYPERLINK("http://mcgill.on.worldcat.org/oclc/50898816","Catalog Record")</f>
        <v>Catalog Record</v>
      </c>
      <c r="AW3507" s="6" t="str">
        <f>HYPERLINK("http://www.worldcat.org/oclc/50898816","WorldCat Record")</f>
        <v>WorldCat Record</v>
      </c>
      <c r="AX3507" s="3" t="s">
        <v>29397</v>
      </c>
      <c r="AY3507" s="3" t="s">
        <v>29398</v>
      </c>
      <c r="AZ3507" s="3" t="s">
        <v>29399</v>
      </c>
      <c r="BA3507" s="3" t="s">
        <v>29399</v>
      </c>
      <c r="BB3507" s="3" t="s">
        <v>29400</v>
      </c>
      <c r="BC3507" s="3" t="s">
        <v>82</v>
      </c>
      <c r="BD3507" s="3" t="s">
        <v>70</v>
      </c>
      <c r="BE3507" s="3" t="s">
        <v>29401</v>
      </c>
      <c r="BF3507" s="3" t="s">
        <v>29400</v>
      </c>
      <c r="BG3507" s="3" t="s">
        <v>29402</v>
      </c>
    </row>
    <row r="3508" spans="1:59" ht="60" x14ac:dyDescent="0.25">
      <c r="A3508" s="2" t="s">
        <v>59</v>
      </c>
      <c r="B3508" s="2" t="s">
        <v>60</v>
      </c>
      <c r="C3508" s="2" t="s">
        <v>29403</v>
      </c>
      <c r="D3508" s="2" t="s">
        <v>29404</v>
      </c>
      <c r="E3508" s="2" t="s">
        <v>29405</v>
      </c>
      <c r="G3508" s="3" t="s">
        <v>63</v>
      </c>
      <c r="I3508" s="3" t="s">
        <v>63</v>
      </c>
      <c r="J3508" s="3" t="s">
        <v>63</v>
      </c>
      <c r="K3508" s="3" t="s">
        <v>64</v>
      </c>
      <c r="L3508" s="2" t="s">
        <v>29394</v>
      </c>
      <c r="M3508" s="2" t="s">
        <v>29406</v>
      </c>
      <c r="N3508" s="3" t="s">
        <v>2765</v>
      </c>
      <c r="P3508" s="3" t="s">
        <v>90</v>
      </c>
      <c r="Q3508" s="2" t="s">
        <v>29407</v>
      </c>
      <c r="R3508" s="3" t="s">
        <v>67</v>
      </c>
      <c r="S3508" s="4">
        <v>4</v>
      </c>
      <c r="T3508" s="4">
        <v>4</v>
      </c>
      <c r="U3508" s="5" t="s">
        <v>29408</v>
      </c>
      <c r="V3508" s="5" t="s">
        <v>29408</v>
      </c>
      <c r="W3508" s="5" t="s">
        <v>69</v>
      </c>
      <c r="X3508" s="5" t="s">
        <v>69</v>
      </c>
      <c r="Y3508" s="4">
        <v>104</v>
      </c>
      <c r="Z3508" s="4">
        <v>10</v>
      </c>
      <c r="AA3508" s="4">
        <v>10</v>
      </c>
      <c r="AB3508" s="4">
        <v>1</v>
      </c>
      <c r="AC3508" s="4">
        <v>1</v>
      </c>
      <c r="AD3508" s="4">
        <v>41</v>
      </c>
      <c r="AE3508" s="4">
        <v>41</v>
      </c>
      <c r="AF3508" s="4">
        <v>0</v>
      </c>
      <c r="AG3508" s="4">
        <v>0</v>
      </c>
      <c r="AH3508" s="4">
        <v>41</v>
      </c>
      <c r="AI3508" s="4">
        <v>41</v>
      </c>
      <c r="AJ3508" s="4">
        <v>2</v>
      </c>
      <c r="AK3508" s="4">
        <v>2</v>
      </c>
      <c r="AL3508" s="4">
        <v>32</v>
      </c>
      <c r="AM3508" s="4">
        <v>32</v>
      </c>
      <c r="AN3508" s="4">
        <v>0</v>
      </c>
      <c r="AO3508" s="4">
        <v>0</v>
      </c>
      <c r="AP3508" s="4">
        <v>2</v>
      </c>
      <c r="AQ3508" s="4">
        <v>2</v>
      </c>
      <c r="AR3508" s="3" t="s">
        <v>63</v>
      </c>
      <c r="AS3508" s="3" t="s">
        <v>63</v>
      </c>
      <c r="AT3508" s="3" t="s">
        <v>63</v>
      </c>
      <c r="AV3508" s="6" t="str">
        <f>HYPERLINK("http://mcgill.on.worldcat.org/oclc/923012302","Catalog Record")</f>
        <v>Catalog Record</v>
      </c>
      <c r="AW3508" s="6" t="str">
        <f>HYPERLINK("http://www.worldcat.org/oclc/923012302","WorldCat Record")</f>
        <v>WorldCat Record</v>
      </c>
      <c r="AX3508" s="3" t="s">
        <v>29409</v>
      </c>
      <c r="AY3508" s="3" t="s">
        <v>29410</v>
      </c>
      <c r="AZ3508" s="3" t="s">
        <v>29411</v>
      </c>
      <c r="BA3508" s="3" t="s">
        <v>29411</v>
      </c>
      <c r="BB3508" s="3" t="s">
        <v>29412</v>
      </c>
      <c r="BC3508" s="3" t="s">
        <v>82</v>
      </c>
      <c r="BD3508" s="3" t="s">
        <v>70</v>
      </c>
      <c r="BE3508" s="3" t="s">
        <v>29413</v>
      </c>
      <c r="BF3508" s="3" t="s">
        <v>29412</v>
      </c>
      <c r="BG3508" s="3" t="s">
        <v>29414</v>
      </c>
    </row>
    <row r="3509" spans="1:59" ht="60" x14ac:dyDescent="0.25">
      <c r="A3509" s="2" t="s">
        <v>59</v>
      </c>
      <c r="B3509" s="2" t="s">
        <v>60</v>
      </c>
      <c r="C3509" s="2" t="s">
        <v>29415</v>
      </c>
      <c r="D3509" s="2" t="s">
        <v>29416</v>
      </c>
      <c r="E3509" s="2" t="s">
        <v>29417</v>
      </c>
      <c r="G3509" s="3" t="s">
        <v>63</v>
      </c>
      <c r="I3509" s="3" t="s">
        <v>63</v>
      </c>
      <c r="J3509" s="3" t="s">
        <v>63</v>
      </c>
      <c r="K3509" s="3" t="s">
        <v>64</v>
      </c>
      <c r="L3509" s="2" t="s">
        <v>29394</v>
      </c>
      <c r="M3509" s="2" t="s">
        <v>29418</v>
      </c>
      <c r="N3509" s="3" t="s">
        <v>1557</v>
      </c>
      <c r="P3509" s="3" t="s">
        <v>90</v>
      </c>
      <c r="Q3509" s="2" t="s">
        <v>29419</v>
      </c>
      <c r="R3509" s="3" t="s">
        <v>67</v>
      </c>
      <c r="S3509" s="4">
        <v>4</v>
      </c>
      <c r="T3509" s="4">
        <v>4</v>
      </c>
      <c r="U3509" s="5" t="s">
        <v>13807</v>
      </c>
      <c r="V3509" s="5" t="s">
        <v>13807</v>
      </c>
      <c r="W3509" s="5" t="s">
        <v>69</v>
      </c>
      <c r="X3509" s="5" t="s">
        <v>69</v>
      </c>
      <c r="Y3509" s="4">
        <v>52</v>
      </c>
      <c r="Z3509" s="4">
        <v>1</v>
      </c>
      <c r="AA3509" s="4">
        <v>1</v>
      </c>
      <c r="AB3509" s="4">
        <v>1</v>
      </c>
      <c r="AC3509" s="4">
        <v>1</v>
      </c>
      <c r="AD3509" s="4">
        <v>17</v>
      </c>
      <c r="AE3509" s="4">
        <v>17</v>
      </c>
      <c r="AF3509" s="4">
        <v>0</v>
      </c>
      <c r="AG3509" s="4">
        <v>0</v>
      </c>
      <c r="AH3509" s="4">
        <v>16</v>
      </c>
      <c r="AI3509" s="4">
        <v>16</v>
      </c>
      <c r="AJ3509" s="4">
        <v>0</v>
      </c>
      <c r="AK3509" s="4">
        <v>0</v>
      </c>
      <c r="AL3509" s="4">
        <v>14</v>
      </c>
      <c r="AM3509" s="4">
        <v>14</v>
      </c>
      <c r="AN3509" s="4">
        <v>0</v>
      </c>
      <c r="AO3509" s="4">
        <v>0</v>
      </c>
      <c r="AP3509" s="4">
        <v>0</v>
      </c>
      <c r="AQ3509" s="4">
        <v>0</v>
      </c>
      <c r="AR3509" s="3" t="s">
        <v>63</v>
      </c>
      <c r="AS3509" s="3" t="s">
        <v>63</v>
      </c>
      <c r="AT3509" s="3" t="s">
        <v>63</v>
      </c>
      <c r="AV3509" s="6" t="str">
        <f>HYPERLINK("http://mcgill.on.worldcat.org/oclc/1004861344","Catalog Record")</f>
        <v>Catalog Record</v>
      </c>
      <c r="AW3509" s="6" t="str">
        <f>HYPERLINK("http://www.worldcat.org/oclc/1004861344","WorldCat Record")</f>
        <v>WorldCat Record</v>
      </c>
      <c r="AX3509" s="3" t="s">
        <v>29420</v>
      </c>
      <c r="AY3509" s="3" t="s">
        <v>29421</v>
      </c>
      <c r="AZ3509" s="3" t="s">
        <v>29422</v>
      </c>
      <c r="BA3509" s="3" t="s">
        <v>29422</v>
      </c>
      <c r="BB3509" s="3" t="s">
        <v>29423</v>
      </c>
      <c r="BC3509" s="3" t="s">
        <v>82</v>
      </c>
      <c r="BD3509" s="3" t="s">
        <v>70</v>
      </c>
      <c r="BE3509" s="3" t="s">
        <v>29424</v>
      </c>
      <c r="BF3509" s="3" t="s">
        <v>29423</v>
      </c>
      <c r="BG3509" s="3" t="s">
        <v>29425</v>
      </c>
    </row>
    <row r="3510" spans="1:59" ht="60" x14ac:dyDescent="0.25">
      <c r="A3510" s="2" t="s">
        <v>59</v>
      </c>
      <c r="B3510" s="2" t="s">
        <v>60</v>
      </c>
      <c r="C3510" s="2" t="s">
        <v>29426</v>
      </c>
      <c r="D3510" s="2" t="s">
        <v>29427</v>
      </c>
      <c r="E3510" s="2" t="s">
        <v>29428</v>
      </c>
      <c r="G3510" s="3" t="s">
        <v>63</v>
      </c>
      <c r="I3510" s="3" t="s">
        <v>63</v>
      </c>
      <c r="J3510" s="3" t="s">
        <v>63</v>
      </c>
      <c r="K3510" s="3" t="s">
        <v>64</v>
      </c>
      <c r="L3510" s="2" t="s">
        <v>29394</v>
      </c>
      <c r="M3510" s="2" t="s">
        <v>29429</v>
      </c>
      <c r="N3510" s="3" t="s">
        <v>693</v>
      </c>
      <c r="P3510" s="3" t="s">
        <v>90</v>
      </c>
      <c r="Q3510" s="2" t="s">
        <v>29430</v>
      </c>
      <c r="R3510" s="3" t="s">
        <v>67</v>
      </c>
      <c r="S3510" s="4">
        <v>17</v>
      </c>
      <c r="T3510" s="4">
        <v>17</v>
      </c>
      <c r="U3510" s="5" t="s">
        <v>7883</v>
      </c>
      <c r="V3510" s="5" t="s">
        <v>7883</v>
      </c>
      <c r="W3510" s="5" t="s">
        <v>69</v>
      </c>
      <c r="X3510" s="5" t="s">
        <v>69</v>
      </c>
      <c r="Y3510" s="4">
        <v>3</v>
      </c>
      <c r="Z3510" s="4">
        <v>1</v>
      </c>
      <c r="AA3510" s="4">
        <v>11</v>
      </c>
      <c r="AB3510" s="4">
        <v>1</v>
      </c>
      <c r="AC3510" s="4">
        <v>2</v>
      </c>
      <c r="AD3510" s="4">
        <v>1</v>
      </c>
      <c r="AE3510" s="4">
        <v>50</v>
      </c>
      <c r="AF3510" s="4">
        <v>0</v>
      </c>
      <c r="AG3510" s="4">
        <v>0</v>
      </c>
      <c r="AH3510" s="4">
        <v>1</v>
      </c>
      <c r="AI3510" s="4">
        <v>48</v>
      </c>
      <c r="AJ3510" s="4">
        <v>0</v>
      </c>
      <c r="AK3510" s="4">
        <v>4</v>
      </c>
      <c r="AL3510" s="4">
        <v>1</v>
      </c>
      <c r="AM3510" s="4">
        <v>34</v>
      </c>
      <c r="AN3510" s="4">
        <v>0</v>
      </c>
      <c r="AO3510" s="4">
        <v>0</v>
      </c>
      <c r="AP3510" s="4">
        <v>0</v>
      </c>
      <c r="AQ3510" s="4">
        <v>4</v>
      </c>
      <c r="AR3510" s="3" t="s">
        <v>63</v>
      </c>
      <c r="AS3510" s="3" t="s">
        <v>63</v>
      </c>
      <c r="AT3510" s="3" t="s">
        <v>62</v>
      </c>
      <c r="AU3510" s="6" t="str">
        <f>HYPERLINK("http://catalog.hathitrust.org/Record/004124066","HathiTrust Record")</f>
        <v>HathiTrust Record</v>
      </c>
      <c r="AV3510" s="6" t="str">
        <f>HYPERLINK("http://mcgill.on.worldcat.org/oclc/427613863","Catalog Record")</f>
        <v>Catalog Record</v>
      </c>
      <c r="AW3510" s="6" t="str">
        <f>HYPERLINK("http://www.worldcat.org/oclc/427613863","WorldCat Record")</f>
        <v>WorldCat Record</v>
      </c>
      <c r="AX3510" s="3" t="s">
        <v>29431</v>
      </c>
      <c r="AY3510" s="3" t="s">
        <v>29432</v>
      </c>
      <c r="AZ3510" s="3" t="s">
        <v>29433</v>
      </c>
      <c r="BA3510" s="3" t="s">
        <v>29433</v>
      </c>
      <c r="BB3510" s="3" t="s">
        <v>29434</v>
      </c>
      <c r="BC3510" s="3" t="s">
        <v>82</v>
      </c>
      <c r="BD3510" s="3" t="s">
        <v>70</v>
      </c>
      <c r="BE3510" s="3" t="s">
        <v>29435</v>
      </c>
      <c r="BF3510" s="3" t="s">
        <v>29434</v>
      </c>
      <c r="BG3510" s="3" t="s">
        <v>29436</v>
      </c>
    </row>
    <row r="3511" spans="1:59" ht="60" x14ac:dyDescent="0.25">
      <c r="A3511" s="2" t="s">
        <v>59</v>
      </c>
      <c r="B3511" s="2" t="s">
        <v>60</v>
      </c>
      <c r="C3511" s="2" t="s">
        <v>29437</v>
      </c>
      <c r="D3511" s="2" t="s">
        <v>29438</v>
      </c>
      <c r="E3511" s="2" t="s">
        <v>29439</v>
      </c>
      <c r="G3511" s="3" t="s">
        <v>63</v>
      </c>
      <c r="I3511" s="3" t="s">
        <v>63</v>
      </c>
      <c r="J3511" s="3" t="s">
        <v>63</v>
      </c>
      <c r="K3511" s="3" t="s">
        <v>64</v>
      </c>
      <c r="L3511" s="2" t="s">
        <v>29370</v>
      </c>
      <c r="M3511" s="2" t="s">
        <v>29440</v>
      </c>
      <c r="N3511" s="3" t="s">
        <v>693</v>
      </c>
      <c r="O3511" s="2" t="s">
        <v>590</v>
      </c>
      <c r="P3511" s="3" t="s">
        <v>66</v>
      </c>
      <c r="R3511" s="3" t="s">
        <v>67</v>
      </c>
      <c r="S3511" s="4">
        <v>12</v>
      </c>
      <c r="T3511" s="4">
        <v>12</v>
      </c>
      <c r="U3511" s="5" t="s">
        <v>7883</v>
      </c>
      <c r="V3511" s="5" t="s">
        <v>7883</v>
      </c>
      <c r="W3511" s="5" t="s">
        <v>69</v>
      </c>
      <c r="X3511" s="5" t="s">
        <v>69</v>
      </c>
      <c r="Y3511" s="4">
        <v>691</v>
      </c>
      <c r="Z3511" s="4">
        <v>30</v>
      </c>
      <c r="AA3511" s="4">
        <v>41</v>
      </c>
      <c r="AB3511" s="4">
        <v>3</v>
      </c>
      <c r="AC3511" s="4">
        <v>5</v>
      </c>
      <c r="AD3511" s="4">
        <v>54</v>
      </c>
      <c r="AE3511" s="4">
        <v>69</v>
      </c>
      <c r="AF3511" s="4">
        <v>0</v>
      </c>
      <c r="AG3511" s="4">
        <v>0</v>
      </c>
      <c r="AH3511" s="4">
        <v>51</v>
      </c>
      <c r="AI3511" s="4">
        <v>65</v>
      </c>
      <c r="AJ3511" s="4">
        <v>4</v>
      </c>
      <c r="AK3511" s="4">
        <v>6</v>
      </c>
      <c r="AL3511" s="4">
        <v>30</v>
      </c>
      <c r="AM3511" s="4">
        <v>40</v>
      </c>
      <c r="AN3511" s="4">
        <v>5</v>
      </c>
      <c r="AO3511" s="4">
        <v>5</v>
      </c>
      <c r="AP3511" s="4">
        <v>4</v>
      </c>
      <c r="AQ3511" s="4">
        <v>6</v>
      </c>
      <c r="AR3511" s="3" t="s">
        <v>63</v>
      </c>
      <c r="AS3511" s="3" t="s">
        <v>63</v>
      </c>
      <c r="AT3511" s="3" t="s">
        <v>62</v>
      </c>
      <c r="AU3511" s="6" t="str">
        <f>HYPERLINK("http://catalog.hathitrust.org/Record/102031865","HathiTrust Record")</f>
        <v>HathiTrust Record</v>
      </c>
      <c r="AV3511" s="6" t="str">
        <f>HYPERLINK("http://mcgill.on.worldcat.org/oclc/53932741","Catalog Record")</f>
        <v>Catalog Record</v>
      </c>
      <c r="AW3511" s="6" t="str">
        <f>HYPERLINK("http://www.worldcat.org/oclc/53932741","WorldCat Record")</f>
        <v>WorldCat Record</v>
      </c>
      <c r="AX3511" s="3" t="s">
        <v>29441</v>
      </c>
      <c r="AY3511" s="3" t="s">
        <v>29442</v>
      </c>
      <c r="AZ3511" s="3" t="s">
        <v>29443</v>
      </c>
      <c r="BA3511" s="3" t="s">
        <v>29443</v>
      </c>
      <c r="BB3511" s="3" t="s">
        <v>29444</v>
      </c>
      <c r="BC3511" s="3" t="s">
        <v>82</v>
      </c>
      <c r="BD3511" s="3" t="s">
        <v>70</v>
      </c>
      <c r="BE3511" s="3" t="s">
        <v>29445</v>
      </c>
      <c r="BF3511" s="3" t="s">
        <v>29444</v>
      </c>
      <c r="BG3511" s="3" t="s">
        <v>29446</v>
      </c>
    </row>
    <row r="3512" spans="1:59" ht="60" x14ac:dyDescent="0.25">
      <c r="A3512" s="2" t="s">
        <v>59</v>
      </c>
      <c r="B3512" s="2" t="s">
        <v>60</v>
      </c>
      <c r="C3512" s="2" t="s">
        <v>29447</v>
      </c>
      <c r="D3512" s="2" t="s">
        <v>29448</v>
      </c>
      <c r="E3512" s="2" t="s">
        <v>29449</v>
      </c>
      <c r="G3512" s="3" t="s">
        <v>63</v>
      </c>
      <c r="I3512" s="3" t="s">
        <v>63</v>
      </c>
      <c r="J3512" s="3" t="s">
        <v>63</v>
      </c>
      <c r="K3512" s="3" t="s">
        <v>64</v>
      </c>
      <c r="L3512" s="2" t="s">
        <v>29370</v>
      </c>
      <c r="M3512" s="2" t="s">
        <v>29450</v>
      </c>
      <c r="N3512" s="3" t="s">
        <v>629</v>
      </c>
      <c r="O3512" s="2" t="s">
        <v>29451</v>
      </c>
      <c r="P3512" s="3" t="s">
        <v>66</v>
      </c>
      <c r="Q3512" s="2" t="s">
        <v>29452</v>
      </c>
      <c r="R3512" s="3" t="s">
        <v>67</v>
      </c>
      <c r="S3512" s="4">
        <v>9</v>
      </c>
      <c r="T3512" s="4">
        <v>9</v>
      </c>
      <c r="U3512" s="5" t="s">
        <v>15943</v>
      </c>
      <c r="V3512" s="5" t="s">
        <v>15943</v>
      </c>
      <c r="W3512" s="5" t="s">
        <v>69</v>
      </c>
      <c r="X3512" s="5" t="s">
        <v>69</v>
      </c>
      <c r="Y3512" s="4">
        <v>9</v>
      </c>
      <c r="Z3512" s="4">
        <v>1</v>
      </c>
      <c r="AA3512" s="4">
        <v>6</v>
      </c>
      <c r="AB3512" s="4">
        <v>1</v>
      </c>
      <c r="AC3512" s="4">
        <v>2</v>
      </c>
      <c r="AD3512" s="4">
        <v>5</v>
      </c>
      <c r="AE3512" s="4">
        <v>16</v>
      </c>
      <c r="AF3512" s="4">
        <v>0</v>
      </c>
      <c r="AG3512" s="4">
        <v>0</v>
      </c>
      <c r="AH3512" s="4">
        <v>4</v>
      </c>
      <c r="AI3512" s="4">
        <v>15</v>
      </c>
      <c r="AJ3512" s="4">
        <v>0</v>
      </c>
      <c r="AK3512" s="4">
        <v>1</v>
      </c>
      <c r="AL3512" s="4">
        <v>4</v>
      </c>
      <c r="AM3512" s="4">
        <v>13</v>
      </c>
      <c r="AN3512" s="4">
        <v>0</v>
      </c>
      <c r="AO3512" s="4">
        <v>0</v>
      </c>
      <c r="AP3512" s="4">
        <v>0</v>
      </c>
      <c r="AQ3512" s="4">
        <v>1</v>
      </c>
      <c r="AR3512" s="3" t="s">
        <v>63</v>
      </c>
      <c r="AS3512" s="3" t="s">
        <v>63</v>
      </c>
      <c r="AT3512" s="3" t="s">
        <v>63</v>
      </c>
      <c r="AV3512" s="6" t="str">
        <f>HYPERLINK("http://mcgill.on.worldcat.org/oclc/713597033","Catalog Record")</f>
        <v>Catalog Record</v>
      </c>
      <c r="AW3512" s="6" t="str">
        <f>HYPERLINK("http://www.worldcat.org/oclc/713597033","WorldCat Record")</f>
        <v>WorldCat Record</v>
      </c>
      <c r="AX3512" s="3" t="s">
        <v>29453</v>
      </c>
      <c r="AY3512" s="3" t="s">
        <v>29454</v>
      </c>
      <c r="AZ3512" s="3" t="s">
        <v>29455</v>
      </c>
      <c r="BA3512" s="3" t="s">
        <v>29455</v>
      </c>
      <c r="BB3512" s="3" t="s">
        <v>29456</v>
      </c>
      <c r="BC3512" s="3" t="s">
        <v>82</v>
      </c>
      <c r="BD3512" s="3" t="s">
        <v>70</v>
      </c>
      <c r="BE3512" s="3" t="s">
        <v>29457</v>
      </c>
      <c r="BF3512" s="3" t="s">
        <v>29456</v>
      </c>
      <c r="BG3512" s="3" t="s">
        <v>29458</v>
      </c>
    </row>
    <row r="3513" spans="1:59" ht="75" x14ac:dyDescent="0.25">
      <c r="A3513" s="2" t="s">
        <v>59</v>
      </c>
      <c r="B3513" s="2" t="s">
        <v>60</v>
      </c>
      <c r="C3513" s="2" t="s">
        <v>29459</v>
      </c>
      <c r="D3513" s="2" t="s">
        <v>29460</v>
      </c>
      <c r="E3513" s="2" t="s">
        <v>29461</v>
      </c>
      <c r="G3513" s="3" t="s">
        <v>63</v>
      </c>
      <c r="I3513" s="3" t="s">
        <v>63</v>
      </c>
      <c r="J3513" s="3" t="s">
        <v>63</v>
      </c>
      <c r="K3513" s="3" t="s">
        <v>64</v>
      </c>
      <c r="L3513" s="2" t="s">
        <v>29370</v>
      </c>
      <c r="M3513" s="2" t="s">
        <v>29462</v>
      </c>
      <c r="N3513" s="3" t="s">
        <v>261</v>
      </c>
      <c r="P3513" s="3" t="s">
        <v>66</v>
      </c>
      <c r="Q3513" s="2" t="s">
        <v>29463</v>
      </c>
      <c r="R3513" s="3" t="s">
        <v>67</v>
      </c>
      <c r="S3513" s="4">
        <v>14</v>
      </c>
      <c r="T3513" s="4">
        <v>14</v>
      </c>
      <c r="U3513" s="5" t="s">
        <v>29464</v>
      </c>
      <c r="V3513" s="5" t="s">
        <v>29464</v>
      </c>
      <c r="W3513" s="5" t="s">
        <v>69</v>
      </c>
      <c r="X3513" s="5" t="s">
        <v>69</v>
      </c>
      <c r="Y3513" s="4">
        <v>151</v>
      </c>
      <c r="Z3513" s="4">
        <v>7</v>
      </c>
      <c r="AA3513" s="4">
        <v>39</v>
      </c>
      <c r="AB3513" s="4">
        <v>2</v>
      </c>
      <c r="AC3513" s="4">
        <v>6</v>
      </c>
      <c r="AD3513" s="4">
        <v>41</v>
      </c>
      <c r="AE3513" s="4">
        <v>70</v>
      </c>
      <c r="AF3513" s="4">
        <v>0</v>
      </c>
      <c r="AG3513" s="4">
        <v>0</v>
      </c>
      <c r="AH3513" s="4">
        <v>40</v>
      </c>
      <c r="AI3513" s="4">
        <v>66</v>
      </c>
      <c r="AJ3513" s="4">
        <v>3</v>
      </c>
      <c r="AK3513" s="4">
        <v>8</v>
      </c>
      <c r="AL3513" s="4">
        <v>29</v>
      </c>
      <c r="AM3513" s="4">
        <v>41</v>
      </c>
      <c r="AN3513" s="4">
        <v>0</v>
      </c>
      <c r="AO3513" s="4">
        <v>0</v>
      </c>
      <c r="AP3513" s="4">
        <v>3</v>
      </c>
      <c r="AQ3513" s="4">
        <v>9</v>
      </c>
      <c r="AR3513" s="3" t="s">
        <v>63</v>
      </c>
      <c r="AS3513" s="3" t="s">
        <v>63</v>
      </c>
      <c r="AT3513" s="3" t="s">
        <v>63</v>
      </c>
      <c r="AV3513" s="6" t="str">
        <f>HYPERLINK("http://mcgill.on.worldcat.org/oclc/156553945","Catalog Record")</f>
        <v>Catalog Record</v>
      </c>
      <c r="AW3513" s="6" t="str">
        <f>HYPERLINK("http://www.worldcat.org/oclc/156553945","WorldCat Record")</f>
        <v>WorldCat Record</v>
      </c>
      <c r="AX3513" s="3" t="s">
        <v>29465</v>
      </c>
      <c r="AY3513" s="3" t="s">
        <v>29466</v>
      </c>
      <c r="AZ3513" s="3" t="s">
        <v>29467</v>
      </c>
      <c r="BA3513" s="3" t="s">
        <v>29467</v>
      </c>
      <c r="BB3513" s="3" t="s">
        <v>29468</v>
      </c>
      <c r="BC3513" s="3" t="s">
        <v>82</v>
      </c>
      <c r="BD3513" s="3" t="s">
        <v>70</v>
      </c>
      <c r="BE3513" s="3" t="s">
        <v>29469</v>
      </c>
      <c r="BF3513" s="3" t="s">
        <v>29468</v>
      </c>
      <c r="BG3513" s="3" t="s">
        <v>29470</v>
      </c>
    </row>
    <row r="3514" spans="1:59" ht="60" x14ac:dyDescent="0.25">
      <c r="A3514" s="2" t="s">
        <v>59</v>
      </c>
      <c r="B3514" s="2" t="s">
        <v>60</v>
      </c>
      <c r="C3514" s="2" t="s">
        <v>29471</v>
      </c>
      <c r="D3514" s="2" t="s">
        <v>29472</v>
      </c>
      <c r="E3514" s="2" t="s">
        <v>29473</v>
      </c>
      <c r="G3514" s="3" t="s">
        <v>63</v>
      </c>
      <c r="I3514" s="3" t="s">
        <v>63</v>
      </c>
      <c r="J3514" s="3" t="s">
        <v>63</v>
      </c>
      <c r="K3514" s="3" t="s">
        <v>64</v>
      </c>
      <c r="L3514" s="2" t="s">
        <v>29394</v>
      </c>
      <c r="M3514" s="2" t="s">
        <v>29474</v>
      </c>
      <c r="N3514" s="3" t="s">
        <v>2765</v>
      </c>
      <c r="P3514" s="3" t="s">
        <v>90</v>
      </c>
      <c r="Q3514" s="2" t="s">
        <v>29475</v>
      </c>
      <c r="R3514" s="3" t="s">
        <v>67</v>
      </c>
      <c r="S3514" s="4">
        <v>1</v>
      </c>
      <c r="T3514" s="4">
        <v>1</v>
      </c>
      <c r="U3514" s="5" t="s">
        <v>7212</v>
      </c>
      <c r="V3514" s="5" t="s">
        <v>7212</v>
      </c>
      <c r="W3514" s="5" t="s">
        <v>69</v>
      </c>
      <c r="X3514" s="5" t="s">
        <v>69</v>
      </c>
      <c r="Y3514" s="4">
        <v>78</v>
      </c>
      <c r="Z3514" s="4">
        <v>7</v>
      </c>
      <c r="AA3514" s="4">
        <v>7</v>
      </c>
      <c r="AB3514" s="4">
        <v>1</v>
      </c>
      <c r="AC3514" s="4">
        <v>1</v>
      </c>
      <c r="AD3514" s="4">
        <v>37</v>
      </c>
      <c r="AE3514" s="4">
        <v>37</v>
      </c>
      <c r="AF3514" s="4">
        <v>0</v>
      </c>
      <c r="AG3514" s="4">
        <v>0</v>
      </c>
      <c r="AH3514" s="4">
        <v>36</v>
      </c>
      <c r="AI3514" s="4">
        <v>36</v>
      </c>
      <c r="AJ3514" s="4">
        <v>2</v>
      </c>
      <c r="AK3514" s="4">
        <v>2</v>
      </c>
      <c r="AL3514" s="4">
        <v>29</v>
      </c>
      <c r="AM3514" s="4">
        <v>29</v>
      </c>
      <c r="AN3514" s="4">
        <v>0</v>
      </c>
      <c r="AO3514" s="4">
        <v>0</v>
      </c>
      <c r="AP3514" s="4">
        <v>2</v>
      </c>
      <c r="AQ3514" s="4">
        <v>2</v>
      </c>
      <c r="AR3514" s="3" t="s">
        <v>63</v>
      </c>
      <c r="AS3514" s="3" t="s">
        <v>63</v>
      </c>
      <c r="AT3514" s="3" t="s">
        <v>63</v>
      </c>
      <c r="AV3514" s="6" t="str">
        <f>HYPERLINK("http://mcgill.on.worldcat.org/oclc/908692183","Catalog Record")</f>
        <v>Catalog Record</v>
      </c>
      <c r="AW3514" s="6" t="str">
        <f>HYPERLINK("http://www.worldcat.org/oclc/908692183","WorldCat Record")</f>
        <v>WorldCat Record</v>
      </c>
      <c r="AX3514" s="3" t="s">
        <v>29476</v>
      </c>
      <c r="AY3514" s="3" t="s">
        <v>29477</v>
      </c>
      <c r="AZ3514" s="3" t="s">
        <v>29478</v>
      </c>
      <c r="BA3514" s="3" t="s">
        <v>29478</v>
      </c>
      <c r="BB3514" s="3" t="s">
        <v>29479</v>
      </c>
      <c r="BC3514" s="3" t="s">
        <v>82</v>
      </c>
      <c r="BD3514" s="3" t="s">
        <v>70</v>
      </c>
      <c r="BE3514" s="3" t="s">
        <v>29480</v>
      </c>
      <c r="BF3514" s="3" t="s">
        <v>29479</v>
      </c>
      <c r="BG3514" s="3" t="s">
        <v>29481</v>
      </c>
    </row>
    <row r="3515" spans="1:59" ht="60" x14ac:dyDescent="0.25">
      <c r="A3515" s="2" t="s">
        <v>59</v>
      </c>
      <c r="B3515" s="2" t="s">
        <v>60</v>
      </c>
      <c r="C3515" s="2" t="s">
        <v>29482</v>
      </c>
      <c r="D3515" s="2" t="s">
        <v>29483</v>
      </c>
      <c r="E3515" s="2" t="s">
        <v>29484</v>
      </c>
      <c r="G3515" s="3" t="s">
        <v>63</v>
      </c>
      <c r="I3515" s="3" t="s">
        <v>63</v>
      </c>
      <c r="J3515" s="3" t="s">
        <v>63</v>
      </c>
      <c r="K3515" s="3" t="s">
        <v>64</v>
      </c>
      <c r="L3515" s="2" t="s">
        <v>29370</v>
      </c>
      <c r="M3515" s="2" t="s">
        <v>29485</v>
      </c>
      <c r="N3515" s="3" t="s">
        <v>190</v>
      </c>
      <c r="P3515" s="3" t="s">
        <v>90</v>
      </c>
      <c r="Q3515" s="2" t="s">
        <v>29486</v>
      </c>
      <c r="R3515" s="3" t="s">
        <v>67</v>
      </c>
      <c r="S3515" s="4">
        <v>23</v>
      </c>
      <c r="T3515" s="4">
        <v>23</v>
      </c>
      <c r="U3515" s="5" t="s">
        <v>29487</v>
      </c>
      <c r="V3515" s="5" t="s">
        <v>29487</v>
      </c>
      <c r="W3515" s="5" t="s">
        <v>69</v>
      </c>
      <c r="X3515" s="5" t="s">
        <v>69</v>
      </c>
      <c r="Y3515" s="4">
        <v>115</v>
      </c>
      <c r="Z3515" s="4">
        <v>12</v>
      </c>
      <c r="AA3515" s="4">
        <v>12</v>
      </c>
      <c r="AB3515" s="4">
        <v>1</v>
      </c>
      <c r="AC3515" s="4">
        <v>1</v>
      </c>
      <c r="AD3515" s="4">
        <v>50</v>
      </c>
      <c r="AE3515" s="4">
        <v>52</v>
      </c>
      <c r="AF3515" s="4">
        <v>0</v>
      </c>
      <c r="AG3515" s="4">
        <v>0</v>
      </c>
      <c r="AH3515" s="4">
        <v>47</v>
      </c>
      <c r="AI3515" s="4">
        <v>49</v>
      </c>
      <c r="AJ3515" s="4">
        <v>6</v>
      </c>
      <c r="AK3515" s="4">
        <v>6</v>
      </c>
      <c r="AL3515" s="4">
        <v>33</v>
      </c>
      <c r="AM3515" s="4">
        <v>35</v>
      </c>
      <c r="AN3515" s="4">
        <v>0</v>
      </c>
      <c r="AO3515" s="4">
        <v>0</v>
      </c>
      <c r="AP3515" s="4">
        <v>6</v>
      </c>
      <c r="AQ3515" s="4">
        <v>6</v>
      </c>
      <c r="AR3515" s="3" t="s">
        <v>63</v>
      </c>
      <c r="AS3515" s="3" t="s">
        <v>63</v>
      </c>
      <c r="AT3515" s="3" t="s">
        <v>62</v>
      </c>
      <c r="AU3515" s="6" t="str">
        <f>HYPERLINK("http://catalog.hathitrust.org/Record/004979051","HathiTrust Record")</f>
        <v>HathiTrust Record</v>
      </c>
      <c r="AV3515" s="6" t="str">
        <f>HYPERLINK("http://mcgill.on.worldcat.org/oclc/58547351","Catalog Record")</f>
        <v>Catalog Record</v>
      </c>
      <c r="AW3515" s="6" t="str">
        <f>HYPERLINK("http://www.worldcat.org/oclc/58547351","WorldCat Record")</f>
        <v>WorldCat Record</v>
      </c>
      <c r="AX3515" s="3" t="s">
        <v>29488</v>
      </c>
      <c r="AY3515" s="3" t="s">
        <v>29489</v>
      </c>
      <c r="AZ3515" s="3" t="s">
        <v>29490</v>
      </c>
      <c r="BA3515" s="3" t="s">
        <v>29490</v>
      </c>
      <c r="BB3515" s="3" t="s">
        <v>29491</v>
      </c>
      <c r="BC3515" s="3" t="s">
        <v>82</v>
      </c>
      <c r="BD3515" s="3" t="s">
        <v>70</v>
      </c>
      <c r="BE3515" s="3" t="s">
        <v>29492</v>
      </c>
      <c r="BF3515" s="3" t="s">
        <v>29491</v>
      </c>
      <c r="BG3515" s="3" t="s">
        <v>29493</v>
      </c>
    </row>
    <row r="3516" spans="1:59" ht="60" x14ac:dyDescent="0.25">
      <c r="A3516" s="2" t="s">
        <v>59</v>
      </c>
      <c r="B3516" s="2" t="s">
        <v>60</v>
      </c>
      <c r="C3516" s="2" t="s">
        <v>29494</v>
      </c>
      <c r="D3516" s="2" t="s">
        <v>29495</v>
      </c>
      <c r="E3516" s="2" t="s">
        <v>29496</v>
      </c>
      <c r="G3516" s="3" t="s">
        <v>63</v>
      </c>
      <c r="I3516" s="3" t="s">
        <v>63</v>
      </c>
      <c r="J3516" s="3" t="s">
        <v>63</v>
      </c>
      <c r="K3516" s="3" t="s">
        <v>64</v>
      </c>
      <c r="L3516" s="2" t="s">
        <v>29370</v>
      </c>
      <c r="M3516" s="2" t="s">
        <v>29497</v>
      </c>
      <c r="N3516" s="3" t="s">
        <v>2459</v>
      </c>
      <c r="P3516" s="3" t="s">
        <v>66</v>
      </c>
      <c r="R3516" s="3" t="s">
        <v>67</v>
      </c>
      <c r="S3516" s="4">
        <v>4</v>
      </c>
      <c r="T3516" s="4">
        <v>4</v>
      </c>
      <c r="U3516" s="5" t="s">
        <v>29498</v>
      </c>
      <c r="V3516" s="5" t="s">
        <v>29498</v>
      </c>
      <c r="W3516" s="5" t="s">
        <v>69</v>
      </c>
      <c r="X3516" s="5" t="s">
        <v>69</v>
      </c>
      <c r="Y3516" s="4">
        <v>9</v>
      </c>
      <c r="Z3516" s="4">
        <v>2</v>
      </c>
      <c r="AA3516" s="4">
        <v>16</v>
      </c>
      <c r="AB3516" s="4">
        <v>1</v>
      </c>
      <c r="AC3516" s="4">
        <v>6</v>
      </c>
      <c r="AD3516" s="4">
        <v>1</v>
      </c>
      <c r="AE3516" s="4">
        <v>42</v>
      </c>
      <c r="AF3516" s="4">
        <v>0</v>
      </c>
      <c r="AG3516" s="4">
        <v>0</v>
      </c>
      <c r="AH3516" s="4">
        <v>1</v>
      </c>
      <c r="AI3516" s="4">
        <v>40</v>
      </c>
      <c r="AJ3516" s="4">
        <v>1</v>
      </c>
      <c r="AK3516" s="4">
        <v>2</v>
      </c>
      <c r="AL3516" s="4">
        <v>0</v>
      </c>
      <c r="AM3516" s="4">
        <v>30</v>
      </c>
      <c r="AN3516" s="4">
        <v>0</v>
      </c>
      <c r="AO3516" s="4">
        <v>0</v>
      </c>
      <c r="AP3516" s="4">
        <v>1</v>
      </c>
      <c r="AQ3516" s="4">
        <v>2</v>
      </c>
      <c r="AR3516" s="3" t="s">
        <v>63</v>
      </c>
      <c r="AS3516" s="3" t="s">
        <v>63</v>
      </c>
      <c r="AT3516" s="3" t="s">
        <v>63</v>
      </c>
      <c r="AV3516" s="6" t="str">
        <f>HYPERLINK("http://mcgill.on.worldcat.org/oclc/465357779","Catalog Record")</f>
        <v>Catalog Record</v>
      </c>
      <c r="AW3516" s="6" t="str">
        <f>HYPERLINK("http://www.worldcat.org/oclc/465357779","WorldCat Record")</f>
        <v>WorldCat Record</v>
      </c>
      <c r="AX3516" s="3" t="s">
        <v>29499</v>
      </c>
      <c r="AY3516" s="3" t="s">
        <v>29500</v>
      </c>
      <c r="AZ3516" s="3" t="s">
        <v>29501</v>
      </c>
      <c r="BA3516" s="3" t="s">
        <v>29501</v>
      </c>
      <c r="BB3516" s="3" t="s">
        <v>29502</v>
      </c>
      <c r="BC3516" s="3" t="s">
        <v>82</v>
      </c>
      <c r="BD3516" s="3" t="s">
        <v>70</v>
      </c>
      <c r="BE3516" s="3" t="s">
        <v>29503</v>
      </c>
      <c r="BF3516" s="3" t="s">
        <v>29502</v>
      </c>
      <c r="BG3516" s="3" t="s">
        <v>29504</v>
      </c>
    </row>
    <row r="3517" spans="1:59" ht="60" x14ac:dyDescent="0.25">
      <c r="A3517" s="2" t="s">
        <v>59</v>
      </c>
      <c r="B3517" s="2" t="s">
        <v>60</v>
      </c>
      <c r="C3517" s="2" t="s">
        <v>29505</v>
      </c>
      <c r="D3517" s="2" t="s">
        <v>29506</v>
      </c>
      <c r="E3517" s="2" t="s">
        <v>29507</v>
      </c>
      <c r="G3517" s="3" t="s">
        <v>63</v>
      </c>
      <c r="I3517" s="3" t="s">
        <v>63</v>
      </c>
      <c r="J3517" s="3" t="s">
        <v>63</v>
      </c>
      <c r="K3517" s="3" t="s">
        <v>64</v>
      </c>
      <c r="L3517" s="2" t="s">
        <v>29508</v>
      </c>
      <c r="M3517" s="2" t="s">
        <v>29509</v>
      </c>
      <c r="N3517" s="3" t="s">
        <v>1557</v>
      </c>
      <c r="P3517" s="3" t="s">
        <v>90</v>
      </c>
      <c r="Q3517" s="2" t="s">
        <v>29510</v>
      </c>
      <c r="R3517" s="3" t="s">
        <v>67</v>
      </c>
      <c r="S3517" s="4">
        <v>1</v>
      </c>
      <c r="T3517" s="4">
        <v>1</v>
      </c>
      <c r="U3517" s="5" t="s">
        <v>19517</v>
      </c>
      <c r="V3517" s="5" t="s">
        <v>19517</v>
      </c>
      <c r="W3517" s="5" t="s">
        <v>69</v>
      </c>
      <c r="X3517" s="5" t="s">
        <v>69</v>
      </c>
      <c r="Y3517" s="4">
        <v>47</v>
      </c>
      <c r="Z3517" s="4">
        <v>6</v>
      </c>
      <c r="AA3517" s="4">
        <v>6</v>
      </c>
      <c r="AB3517" s="4">
        <v>1</v>
      </c>
      <c r="AC3517" s="4">
        <v>1</v>
      </c>
      <c r="AD3517" s="4">
        <v>34</v>
      </c>
      <c r="AE3517" s="4">
        <v>34</v>
      </c>
      <c r="AF3517" s="4">
        <v>0</v>
      </c>
      <c r="AG3517" s="4">
        <v>0</v>
      </c>
      <c r="AH3517" s="4">
        <v>33</v>
      </c>
      <c r="AI3517" s="4">
        <v>33</v>
      </c>
      <c r="AJ3517" s="4">
        <v>4</v>
      </c>
      <c r="AK3517" s="4">
        <v>4</v>
      </c>
      <c r="AL3517" s="4">
        <v>23</v>
      </c>
      <c r="AM3517" s="4">
        <v>23</v>
      </c>
      <c r="AN3517" s="4">
        <v>0</v>
      </c>
      <c r="AO3517" s="4">
        <v>0</v>
      </c>
      <c r="AP3517" s="4">
        <v>4</v>
      </c>
      <c r="AQ3517" s="4">
        <v>4</v>
      </c>
      <c r="AR3517" s="3" t="s">
        <v>63</v>
      </c>
      <c r="AS3517" s="3" t="s">
        <v>63</v>
      </c>
      <c r="AT3517" s="3" t="s">
        <v>63</v>
      </c>
      <c r="AV3517" s="6" t="str">
        <f>HYPERLINK("http://mcgill.on.worldcat.org/oclc/986526714","Catalog Record")</f>
        <v>Catalog Record</v>
      </c>
      <c r="AW3517" s="6" t="str">
        <f>HYPERLINK("http://www.worldcat.org/oclc/986526714","WorldCat Record")</f>
        <v>WorldCat Record</v>
      </c>
      <c r="AX3517" s="3" t="s">
        <v>29511</v>
      </c>
      <c r="AY3517" s="3" t="s">
        <v>29512</v>
      </c>
      <c r="AZ3517" s="3" t="s">
        <v>29513</v>
      </c>
      <c r="BA3517" s="3" t="s">
        <v>29513</v>
      </c>
      <c r="BB3517" s="3" t="s">
        <v>29514</v>
      </c>
      <c r="BC3517" s="3" t="s">
        <v>82</v>
      </c>
      <c r="BD3517" s="3" t="s">
        <v>70</v>
      </c>
      <c r="BE3517" s="3" t="s">
        <v>29515</v>
      </c>
      <c r="BF3517" s="3" t="s">
        <v>29514</v>
      </c>
      <c r="BG3517" s="3" t="s">
        <v>29516</v>
      </c>
    </row>
    <row r="3518" spans="1:59" ht="60" x14ac:dyDescent="0.25">
      <c r="A3518" s="2" t="s">
        <v>59</v>
      </c>
      <c r="B3518" s="2" t="s">
        <v>60</v>
      </c>
      <c r="C3518" s="2" t="s">
        <v>29517</v>
      </c>
      <c r="D3518" s="2" t="s">
        <v>29518</v>
      </c>
      <c r="E3518" s="2" t="s">
        <v>29519</v>
      </c>
      <c r="G3518" s="3" t="s">
        <v>63</v>
      </c>
      <c r="I3518" s="3" t="s">
        <v>63</v>
      </c>
      <c r="J3518" s="3" t="s">
        <v>63</v>
      </c>
      <c r="K3518" s="3" t="s">
        <v>64</v>
      </c>
      <c r="L3518" s="2" t="s">
        <v>29508</v>
      </c>
      <c r="M3518" s="2" t="s">
        <v>29520</v>
      </c>
      <c r="N3518" s="3" t="s">
        <v>1557</v>
      </c>
      <c r="P3518" s="3" t="s">
        <v>90</v>
      </c>
      <c r="Q3518" s="2" t="s">
        <v>29510</v>
      </c>
      <c r="R3518" s="3" t="s">
        <v>67</v>
      </c>
      <c r="S3518" s="4">
        <v>1</v>
      </c>
      <c r="T3518" s="4">
        <v>1</v>
      </c>
      <c r="U3518" s="5" t="s">
        <v>19517</v>
      </c>
      <c r="V3518" s="5" t="s">
        <v>19517</v>
      </c>
      <c r="W3518" s="5" t="s">
        <v>69</v>
      </c>
      <c r="X3518" s="5" t="s">
        <v>69</v>
      </c>
      <c r="Y3518" s="4">
        <v>31</v>
      </c>
      <c r="Z3518" s="4">
        <v>4</v>
      </c>
      <c r="AA3518" s="4">
        <v>4</v>
      </c>
      <c r="AB3518" s="4">
        <v>1</v>
      </c>
      <c r="AC3518" s="4">
        <v>1</v>
      </c>
      <c r="AD3518" s="4">
        <v>7</v>
      </c>
      <c r="AE3518" s="4">
        <v>7</v>
      </c>
      <c r="AF3518" s="4">
        <v>0</v>
      </c>
      <c r="AG3518" s="4">
        <v>0</v>
      </c>
      <c r="AH3518" s="4">
        <v>7</v>
      </c>
      <c r="AI3518" s="4">
        <v>7</v>
      </c>
      <c r="AJ3518" s="4">
        <v>1</v>
      </c>
      <c r="AK3518" s="4">
        <v>1</v>
      </c>
      <c r="AL3518" s="4">
        <v>3</v>
      </c>
      <c r="AM3518" s="4">
        <v>3</v>
      </c>
      <c r="AN3518" s="4">
        <v>0</v>
      </c>
      <c r="AO3518" s="4">
        <v>0</v>
      </c>
      <c r="AP3518" s="4">
        <v>1</v>
      </c>
      <c r="AQ3518" s="4">
        <v>1</v>
      </c>
      <c r="AR3518" s="3" t="s">
        <v>63</v>
      </c>
      <c r="AS3518" s="3" t="s">
        <v>63</v>
      </c>
      <c r="AT3518" s="3" t="s">
        <v>63</v>
      </c>
      <c r="AV3518" s="6" t="str">
        <f>HYPERLINK("http://mcgill.on.worldcat.org/oclc/990791846","Catalog Record")</f>
        <v>Catalog Record</v>
      </c>
      <c r="AW3518" s="6" t="str">
        <f>HYPERLINK("http://www.worldcat.org/oclc/990791846","WorldCat Record")</f>
        <v>WorldCat Record</v>
      </c>
      <c r="AX3518" s="3" t="s">
        <v>29521</v>
      </c>
      <c r="AY3518" s="3" t="s">
        <v>29522</v>
      </c>
      <c r="AZ3518" s="3" t="s">
        <v>29523</v>
      </c>
      <c r="BA3518" s="3" t="s">
        <v>29523</v>
      </c>
      <c r="BB3518" s="3" t="s">
        <v>29524</v>
      </c>
      <c r="BC3518" s="3" t="s">
        <v>82</v>
      </c>
      <c r="BD3518" s="3" t="s">
        <v>70</v>
      </c>
      <c r="BE3518" s="3" t="s">
        <v>29525</v>
      </c>
      <c r="BF3518" s="3" t="s">
        <v>29524</v>
      </c>
      <c r="BG3518" s="3" t="s">
        <v>29526</v>
      </c>
    </row>
    <row r="3519" spans="1:59" ht="60" x14ac:dyDescent="0.25">
      <c r="A3519" s="2" t="s">
        <v>59</v>
      </c>
      <c r="B3519" s="2" t="s">
        <v>60</v>
      </c>
      <c r="C3519" s="2" t="s">
        <v>29527</v>
      </c>
      <c r="D3519" s="2" t="s">
        <v>29528</v>
      </c>
      <c r="E3519" s="2" t="s">
        <v>29529</v>
      </c>
      <c r="G3519" s="3" t="s">
        <v>63</v>
      </c>
      <c r="I3519" s="3" t="s">
        <v>63</v>
      </c>
      <c r="J3519" s="3" t="s">
        <v>63</v>
      </c>
      <c r="K3519" s="3" t="s">
        <v>64</v>
      </c>
      <c r="L3519" s="2" t="s">
        <v>29508</v>
      </c>
      <c r="M3519" s="2" t="s">
        <v>29530</v>
      </c>
      <c r="N3519" s="3" t="s">
        <v>2765</v>
      </c>
      <c r="P3519" s="3" t="s">
        <v>90</v>
      </c>
      <c r="Q3519" s="2" t="s">
        <v>29510</v>
      </c>
      <c r="R3519" s="3" t="s">
        <v>67</v>
      </c>
      <c r="S3519" s="4">
        <v>1</v>
      </c>
      <c r="T3519" s="4">
        <v>1</v>
      </c>
      <c r="U3519" s="5" t="s">
        <v>21373</v>
      </c>
      <c r="V3519" s="5" t="s">
        <v>21373</v>
      </c>
      <c r="W3519" s="5" t="s">
        <v>69</v>
      </c>
      <c r="X3519" s="5" t="s">
        <v>69</v>
      </c>
      <c r="Y3519" s="4">
        <v>89</v>
      </c>
      <c r="Z3519" s="4">
        <v>5</v>
      </c>
      <c r="AA3519" s="4">
        <v>8</v>
      </c>
      <c r="AB3519" s="4">
        <v>1</v>
      </c>
      <c r="AC3519" s="4">
        <v>1</v>
      </c>
      <c r="AD3519" s="4">
        <v>40</v>
      </c>
      <c r="AE3519" s="4">
        <v>44</v>
      </c>
      <c r="AF3519" s="4">
        <v>0</v>
      </c>
      <c r="AG3519" s="4">
        <v>0</v>
      </c>
      <c r="AH3519" s="4">
        <v>39</v>
      </c>
      <c r="AI3519" s="4">
        <v>43</v>
      </c>
      <c r="AJ3519" s="4">
        <v>2</v>
      </c>
      <c r="AK3519" s="4">
        <v>3</v>
      </c>
      <c r="AL3519" s="4">
        <v>33</v>
      </c>
      <c r="AM3519" s="4">
        <v>35</v>
      </c>
      <c r="AN3519" s="4">
        <v>0</v>
      </c>
      <c r="AO3519" s="4">
        <v>0</v>
      </c>
      <c r="AP3519" s="4">
        <v>2</v>
      </c>
      <c r="AQ3519" s="4">
        <v>3</v>
      </c>
      <c r="AR3519" s="3" t="s">
        <v>63</v>
      </c>
      <c r="AS3519" s="3" t="s">
        <v>63</v>
      </c>
      <c r="AT3519" s="3" t="s">
        <v>63</v>
      </c>
      <c r="AV3519" s="6" t="str">
        <f>HYPERLINK("http://mcgill.on.worldcat.org/oclc/925475999","Catalog Record")</f>
        <v>Catalog Record</v>
      </c>
      <c r="AW3519" s="6" t="str">
        <f>HYPERLINK("http://www.worldcat.org/oclc/925475999","WorldCat Record")</f>
        <v>WorldCat Record</v>
      </c>
      <c r="AX3519" s="3" t="s">
        <v>29531</v>
      </c>
      <c r="AY3519" s="3" t="s">
        <v>29532</v>
      </c>
      <c r="AZ3519" s="3" t="s">
        <v>29533</v>
      </c>
      <c r="BA3519" s="3" t="s">
        <v>29533</v>
      </c>
      <c r="BB3519" s="3" t="s">
        <v>29534</v>
      </c>
      <c r="BC3519" s="3" t="s">
        <v>82</v>
      </c>
      <c r="BD3519" s="3" t="s">
        <v>70</v>
      </c>
      <c r="BE3519" s="3" t="s">
        <v>29535</v>
      </c>
      <c r="BF3519" s="3" t="s">
        <v>29534</v>
      </c>
      <c r="BG3519" s="3" t="s">
        <v>29536</v>
      </c>
    </row>
    <row r="3520" spans="1:59" ht="75" x14ac:dyDescent="0.25">
      <c r="A3520" s="2" t="s">
        <v>59</v>
      </c>
      <c r="B3520" s="2" t="s">
        <v>60</v>
      </c>
      <c r="C3520" s="2" t="s">
        <v>29537</v>
      </c>
      <c r="D3520" s="2" t="s">
        <v>29538</v>
      </c>
      <c r="E3520" s="2" t="s">
        <v>29539</v>
      </c>
      <c r="G3520" s="3" t="s">
        <v>63</v>
      </c>
      <c r="I3520" s="3" t="s">
        <v>63</v>
      </c>
      <c r="J3520" s="3" t="s">
        <v>63</v>
      </c>
      <c r="K3520" s="3" t="s">
        <v>64</v>
      </c>
      <c r="L3520" s="2" t="s">
        <v>29540</v>
      </c>
      <c r="M3520" s="2" t="s">
        <v>29541</v>
      </c>
      <c r="N3520" s="3" t="s">
        <v>629</v>
      </c>
      <c r="P3520" s="3" t="s">
        <v>90</v>
      </c>
      <c r="R3520" s="3" t="s">
        <v>67</v>
      </c>
      <c r="S3520" s="4">
        <v>0</v>
      </c>
      <c r="T3520" s="4">
        <v>0</v>
      </c>
      <c r="W3520" s="5" t="s">
        <v>69</v>
      </c>
      <c r="X3520" s="5" t="s">
        <v>69</v>
      </c>
      <c r="Y3520" s="4">
        <v>31</v>
      </c>
      <c r="Z3520" s="4">
        <v>4</v>
      </c>
      <c r="AA3520" s="4">
        <v>4</v>
      </c>
      <c r="AB3520" s="4">
        <v>1</v>
      </c>
      <c r="AC3520" s="4">
        <v>1</v>
      </c>
      <c r="AD3520" s="4">
        <v>24</v>
      </c>
      <c r="AE3520" s="4">
        <v>24</v>
      </c>
      <c r="AF3520" s="4">
        <v>0</v>
      </c>
      <c r="AG3520" s="4">
        <v>0</v>
      </c>
      <c r="AH3520" s="4">
        <v>23</v>
      </c>
      <c r="AI3520" s="4">
        <v>23</v>
      </c>
      <c r="AJ3520" s="4">
        <v>2</v>
      </c>
      <c r="AK3520" s="4">
        <v>2</v>
      </c>
      <c r="AL3520" s="4">
        <v>17</v>
      </c>
      <c r="AM3520" s="4">
        <v>17</v>
      </c>
      <c r="AN3520" s="4">
        <v>0</v>
      </c>
      <c r="AO3520" s="4">
        <v>0</v>
      </c>
      <c r="AP3520" s="4">
        <v>2</v>
      </c>
      <c r="AQ3520" s="4">
        <v>2</v>
      </c>
      <c r="AR3520" s="3" t="s">
        <v>63</v>
      </c>
      <c r="AS3520" s="3" t="s">
        <v>63</v>
      </c>
      <c r="AT3520" s="3" t="s">
        <v>63</v>
      </c>
      <c r="AV3520" s="6" t="str">
        <f>HYPERLINK("http://mcgill.on.worldcat.org/oclc/711744190","Catalog Record")</f>
        <v>Catalog Record</v>
      </c>
      <c r="AW3520" s="6" t="str">
        <f>HYPERLINK("http://www.worldcat.org/oclc/711744190","WorldCat Record")</f>
        <v>WorldCat Record</v>
      </c>
      <c r="AX3520" s="3" t="s">
        <v>29542</v>
      </c>
      <c r="AY3520" s="3" t="s">
        <v>29543</v>
      </c>
      <c r="AZ3520" s="3" t="s">
        <v>29544</v>
      </c>
      <c r="BA3520" s="3" t="s">
        <v>29544</v>
      </c>
      <c r="BB3520" s="3" t="s">
        <v>29545</v>
      </c>
      <c r="BC3520" s="3" t="s">
        <v>82</v>
      </c>
      <c r="BD3520" s="3" t="s">
        <v>70</v>
      </c>
      <c r="BE3520" s="3" t="s">
        <v>29546</v>
      </c>
      <c r="BF3520" s="3" t="s">
        <v>29545</v>
      </c>
      <c r="BG3520" s="3" t="s">
        <v>29547</v>
      </c>
    </row>
    <row r="3521" spans="1:59" ht="75" x14ac:dyDescent="0.25">
      <c r="A3521" s="2" t="s">
        <v>59</v>
      </c>
      <c r="B3521" s="2" t="s">
        <v>60</v>
      </c>
      <c r="C3521" s="2" t="s">
        <v>29548</v>
      </c>
      <c r="D3521" s="2" t="s">
        <v>29549</v>
      </c>
      <c r="E3521" s="2" t="s">
        <v>29550</v>
      </c>
      <c r="G3521" s="3" t="s">
        <v>63</v>
      </c>
      <c r="I3521" s="3" t="s">
        <v>63</v>
      </c>
      <c r="J3521" s="3" t="s">
        <v>63</v>
      </c>
      <c r="K3521" s="3" t="s">
        <v>64</v>
      </c>
      <c r="L3521" s="2" t="s">
        <v>29551</v>
      </c>
      <c r="M3521" s="2" t="s">
        <v>20249</v>
      </c>
      <c r="N3521" s="3" t="s">
        <v>629</v>
      </c>
      <c r="P3521" s="3" t="s">
        <v>90</v>
      </c>
      <c r="Q3521" s="2" t="s">
        <v>29552</v>
      </c>
      <c r="R3521" s="3" t="s">
        <v>67</v>
      </c>
      <c r="S3521" s="4">
        <v>1</v>
      </c>
      <c r="T3521" s="4">
        <v>1</v>
      </c>
      <c r="U3521" s="5" t="s">
        <v>12713</v>
      </c>
      <c r="V3521" s="5" t="s">
        <v>12713</v>
      </c>
      <c r="W3521" s="5" t="s">
        <v>69</v>
      </c>
      <c r="X3521" s="5" t="s">
        <v>69</v>
      </c>
      <c r="Y3521" s="4">
        <v>11</v>
      </c>
      <c r="Z3521" s="4">
        <v>3</v>
      </c>
      <c r="AA3521" s="4">
        <v>3</v>
      </c>
      <c r="AB3521" s="4">
        <v>1</v>
      </c>
      <c r="AC3521" s="4">
        <v>1</v>
      </c>
      <c r="AD3521" s="4">
        <v>8</v>
      </c>
      <c r="AE3521" s="4">
        <v>8</v>
      </c>
      <c r="AF3521" s="4">
        <v>0</v>
      </c>
      <c r="AG3521" s="4">
        <v>0</v>
      </c>
      <c r="AH3521" s="4">
        <v>8</v>
      </c>
      <c r="AI3521" s="4">
        <v>8</v>
      </c>
      <c r="AJ3521" s="4">
        <v>1</v>
      </c>
      <c r="AK3521" s="4">
        <v>1</v>
      </c>
      <c r="AL3521" s="4">
        <v>6</v>
      </c>
      <c r="AM3521" s="4">
        <v>6</v>
      </c>
      <c r="AN3521" s="4">
        <v>0</v>
      </c>
      <c r="AO3521" s="4">
        <v>0</v>
      </c>
      <c r="AP3521" s="4">
        <v>1</v>
      </c>
      <c r="AQ3521" s="4">
        <v>1</v>
      </c>
      <c r="AR3521" s="3" t="s">
        <v>63</v>
      </c>
      <c r="AS3521" s="3" t="s">
        <v>63</v>
      </c>
      <c r="AT3521" s="3" t="s">
        <v>63</v>
      </c>
      <c r="AV3521" s="6" t="str">
        <f>HYPERLINK("http://mcgill.on.worldcat.org/oclc/714294213","Catalog Record")</f>
        <v>Catalog Record</v>
      </c>
      <c r="AW3521" s="6" t="str">
        <f>HYPERLINK("http://www.worldcat.org/oclc/714294213","WorldCat Record")</f>
        <v>WorldCat Record</v>
      </c>
      <c r="AX3521" s="3" t="s">
        <v>29553</v>
      </c>
      <c r="AY3521" s="3" t="s">
        <v>29554</v>
      </c>
      <c r="AZ3521" s="3" t="s">
        <v>29555</v>
      </c>
      <c r="BA3521" s="3" t="s">
        <v>29555</v>
      </c>
      <c r="BB3521" s="3" t="s">
        <v>29556</v>
      </c>
      <c r="BC3521" s="3" t="s">
        <v>82</v>
      </c>
      <c r="BD3521" s="3" t="s">
        <v>70</v>
      </c>
      <c r="BE3521" s="3" t="s">
        <v>29557</v>
      </c>
      <c r="BF3521" s="3" t="s">
        <v>29556</v>
      </c>
      <c r="BG3521" s="3" t="s">
        <v>29558</v>
      </c>
    </row>
    <row r="3522" spans="1:59" ht="60" x14ac:dyDescent="0.25">
      <c r="A3522" s="2" t="s">
        <v>59</v>
      </c>
      <c r="B3522" s="2" t="s">
        <v>60</v>
      </c>
      <c r="C3522" s="2" t="s">
        <v>29559</v>
      </c>
      <c r="D3522" s="2" t="s">
        <v>29560</v>
      </c>
      <c r="E3522" s="2" t="s">
        <v>29561</v>
      </c>
      <c r="G3522" s="3" t="s">
        <v>63</v>
      </c>
      <c r="I3522" s="3" t="s">
        <v>63</v>
      </c>
      <c r="J3522" s="3" t="s">
        <v>63</v>
      </c>
      <c r="K3522" s="3" t="s">
        <v>64</v>
      </c>
      <c r="L3522" s="2" t="s">
        <v>29562</v>
      </c>
      <c r="M3522" s="2" t="s">
        <v>29563</v>
      </c>
      <c r="N3522" s="3" t="s">
        <v>130</v>
      </c>
      <c r="P3522" s="3" t="s">
        <v>90</v>
      </c>
      <c r="R3522" s="3" t="s">
        <v>67</v>
      </c>
      <c r="S3522" s="4">
        <v>2</v>
      </c>
      <c r="T3522" s="4">
        <v>2</v>
      </c>
      <c r="U3522" s="5" t="s">
        <v>14260</v>
      </c>
      <c r="V3522" s="5" t="s">
        <v>14260</v>
      </c>
      <c r="W3522" s="5" t="s">
        <v>69</v>
      </c>
      <c r="X3522" s="5" t="s">
        <v>69</v>
      </c>
      <c r="Y3522" s="4">
        <v>11</v>
      </c>
      <c r="Z3522" s="4">
        <v>3</v>
      </c>
      <c r="AA3522" s="4">
        <v>3</v>
      </c>
      <c r="AB3522" s="4">
        <v>1</v>
      </c>
      <c r="AC3522" s="4">
        <v>1</v>
      </c>
      <c r="AD3522" s="4">
        <v>8</v>
      </c>
      <c r="AE3522" s="4">
        <v>8</v>
      </c>
      <c r="AF3522" s="4">
        <v>0</v>
      </c>
      <c r="AG3522" s="4">
        <v>0</v>
      </c>
      <c r="AH3522" s="4">
        <v>8</v>
      </c>
      <c r="AI3522" s="4">
        <v>8</v>
      </c>
      <c r="AJ3522" s="4">
        <v>1</v>
      </c>
      <c r="AK3522" s="4">
        <v>1</v>
      </c>
      <c r="AL3522" s="4">
        <v>8</v>
      </c>
      <c r="AM3522" s="4">
        <v>8</v>
      </c>
      <c r="AN3522" s="4">
        <v>0</v>
      </c>
      <c r="AO3522" s="4">
        <v>0</v>
      </c>
      <c r="AP3522" s="4">
        <v>1</v>
      </c>
      <c r="AQ3522" s="4">
        <v>1</v>
      </c>
      <c r="AR3522" s="3" t="s">
        <v>63</v>
      </c>
      <c r="AS3522" s="3" t="s">
        <v>63</v>
      </c>
      <c r="AT3522" s="3" t="s">
        <v>63</v>
      </c>
      <c r="AV3522" s="6" t="str">
        <f>HYPERLINK("http://mcgill.on.worldcat.org/oclc/878040040","Catalog Record")</f>
        <v>Catalog Record</v>
      </c>
      <c r="AW3522" s="6" t="str">
        <f>HYPERLINK("http://www.worldcat.org/oclc/878040040","WorldCat Record")</f>
        <v>WorldCat Record</v>
      </c>
      <c r="AX3522" s="3" t="s">
        <v>29564</v>
      </c>
      <c r="AY3522" s="3" t="s">
        <v>29565</v>
      </c>
      <c r="AZ3522" s="3" t="s">
        <v>29566</v>
      </c>
      <c r="BA3522" s="3" t="s">
        <v>29566</v>
      </c>
      <c r="BB3522" s="3" t="s">
        <v>29567</v>
      </c>
      <c r="BC3522" s="3" t="s">
        <v>82</v>
      </c>
      <c r="BD3522" s="3" t="s">
        <v>70</v>
      </c>
      <c r="BE3522" s="3" t="s">
        <v>29568</v>
      </c>
      <c r="BF3522" s="3" t="s">
        <v>29567</v>
      </c>
      <c r="BG3522" s="3" t="s">
        <v>29569</v>
      </c>
    </row>
    <row r="3523" spans="1:59" ht="60" x14ac:dyDescent="0.25">
      <c r="A3523" s="2" t="s">
        <v>59</v>
      </c>
      <c r="B3523" s="2" t="s">
        <v>60</v>
      </c>
      <c r="C3523" s="2" t="s">
        <v>29570</v>
      </c>
      <c r="D3523" s="2" t="s">
        <v>29571</v>
      </c>
      <c r="E3523" s="2" t="s">
        <v>29572</v>
      </c>
      <c r="G3523" s="3" t="s">
        <v>63</v>
      </c>
      <c r="I3523" s="3" t="s">
        <v>63</v>
      </c>
      <c r="J3523" s="3" t="s">
        <v>63</v>
      </c>
      <c r="K3523" s="3" t="s">
        <v>64</v>
      </c>
      <c r="L3523" s="2" t="s">
        <v>29573</v>
      </c>
      <c r="M3523" s="2" t="s">
        <v>5187</v>
      </c>
      <c r="N3523" s="3" t="s">
        <v>143</v>
      </c>
      <c r="P3523" s="3" t="s">
        <v>90</v>
      </c>
      <c r="Q3523" s="2" t="s">
        <v>29574</v>
      </c>
      <c r="R3523" s="3" t="s">
        <v>67</v>
      </c>
      <c r="S3523" s="4">
        <v>1</v>
      </c>
      <c r="T3523" s="4">
        <v>1</v>
      </c>
      <c r="U3523" s="5" t="s">
        <v>25441</v>
      </c>
      <c r="V3523" s="5" t="s">
        <v>25441</v>
      </c>
      <c r="W3523" s="5" t="s">
        <v>69</v>
      </c>
      <c r="X3523" s="5" t="s">
        <v>69</v>
      </c>
      <c r="Y3523" s="4">
        <v>47</v>
      </c>
      <c r="Z3523" s="4">
        <v>5</v>
      </c>
      <c r="AA3523" s="4">
        <v>5</v>
      </c>
      <c r="AB3523" s="4">
        <v>1</v>
      </c>
      <c r="AC3523" s="4">
        <v>1</v>
      </c>
      <c r="AD3523" s="4">
        <v>33</v>
      </c>
      <c r="AE3523" s="4">
        <v>33</v>
      </c>
      <c r="AF3523" s="4">
        <v>0</v>
      </c>
      <c r="AG3523" s="4">
        <v>0</v>
      </c>
      <c r="AH3523" s="4">
        <v>32</v>
      </c>
      <c r="AI3523" s="4">
        <v>32</v>
      </c>
      <c r="AJ3523" s="4">
        <v>3</v>
      </c>
      <c r="AK3523" s="4">
        <v>3</v>
      </c>
      <c r="AL3523" s="4">
        <v>25</v>
      </c>
      <c r="AM3523" s="4">
        <v>25</v>
      </c>
      <c r="AN3523" s="4">
        <v>0</v>
      </c>
      <c r="AO3523" s="4">
        <v>0</v>
      </c>
      <c r="AP3523" s="4">
        <v>3</v>
      </c>
      <c r="AQ3523" s="4">
        <v>3</v>
      </c>
      <c r="AR3523" s="3" t="s">
        <v>63</v>
      </c>
      <c r="AS3523" s="3" t="s">
        <v>63</v>
      </c>
      <c r="AT3523" s="3" t="s">
        <v>63</v>
      </c>
      <c r="AV3523" s="6" t="str">
        <f>HYPERLINK("http://mcgill.on.worldcat.org/oclc/891380735","Catalog Record")</f>
        <v>Catalog Record</v>
      </c>
      <c r="AW3523" s="6" t="str">
        <f>HYPERLINK("http://www.worldcat.org/oclc/891380735","WorldCat Record")</f>
        <v>WorldCat Record</v>
      </c>
      <c r="AX3523" s="3" t="s">
        <v>29575</v>
      </c>
      <c r="AY3523" s="3" t="s">
        <v>29576</v>
      </c>
      <c r="AZ3523" s="3" t="s">
        <v>29577</v>
      </c>
      <c r="BA3523" s="3" t="s">
        <v>29577</v>
      </c>
      <c r="BB3523" s="3" t="s">
        <v>29578</v>
      </c>
      <c r="BC3523" s="3" t="s">
        <v>82</v>
      </c>
      <c r="BD3523" s="3" t="s">
        <v>70</v>
      </c>
      <c r="BE3523" s="3" t="s">
        <v>29579</v>
      </c>
      <c r="BF3523" s="3" t="s">
        <v>29578</v>
      </c>
      <c r="BG3523" s="3" t="s">
        <v>29580</v>
      </c>
    </row>
    <row r="3524" spans="1:59" ht="75" x14ac:dyDescent="0.25">
      <c r="A3524" s="2" t="s">
        <v>59</v>
      </c>
      <c r="B3524" s="2" t="s">
        <v>60</v>
      </c>
      <c r="C3524" s="2" t="s">
        <v>29581</v>
      </c>
      <c r="D3524" s="2" t="s">
        <v>29582</v>
      </c>
      <c r="E3524" s="2" t="s">
        <v>29583</v>
      </c>
      <c r="G3524" s="3" t="s">
        <v>63</v>
      </c>
      <c r="I3524" s="3" t="s">
        <v>63</v>
      </c>
      <c r="J3524" s="3" t="s">
        <v>63</v>
      </c>
      <c r="K3524" s="3" t="s">
        <v>64</v>
      </c>
      <c r="L3524" s="2" t="s">
        <v>29584</v>
      </c>
      <c r="M3524" s="2" t="s">
        <v>29585</v>
      </c>
      <c r="N3524" s="3" t="s">
        <v>1557</v>
      </c>
      <c r="P3524" s="3" t="s">
        <v>90</v>
      </c>
      <c r="Q3524" s="2" t="s">
        <v>29586</v>
      </c>
      <c r="R3524" s="3" t="s">
        <v>67</v>
      </c>
      <c r="S3524" s="4">
        <v>2</v>
      </c>
      <c r="T3524" s="4">
        <v>2</v>
      </c>
      <c r="U3524" s="5" t="s">
        <v>15943</v>
      </c>
      <c r="V3524" s="5" t="s">
        <v>15943</v>
      </c>
      <c r="W3524" s="5" t="s">
        <v>69</v>
      </c>
      <c r="X3524" s="5" t="s">
        <v>69</v>
      </c>
      <c r="Y3524" s="4">
        <v>14</v>
      </c>
      <c r="Z3524" s="4">
        <v>1</v>
      </c>
      <c r="AA3524" s="4">
        <v>1</v>
      </c>
      <c r="AB3524" s="4">
        <v>1</v>
      </c>
      <c r="AC3524" s="4">
        <v>1</v>
      </c>
      <c r="AD3524" s="4">
        <v>11</v>
      </c>
      <c r="AE3524" s="4">
        <v>11</v>
      </c>
      <c r="AF3524" s="4">
        <v>0</v>
      </c>
      <c r="AG3524" s="4">
        <v>0</v>
      </c>
      <c r="AH3524" s="4">
        <v>10</v>
      </c>
      <c r="AI3524" s="4">
        <v>10</v>
      </c>
      <c r="AJ3524" s="4">
        <v>0</v>
      </c>
      <c r="AK3524" s="4">
        <v>0</v>
      </c>
      <c r="AL3524" s="4">
        <v>10</v>
      </c>
      <c r="AM3524" s="4">
        <v>10</v>
      </c>
      <c r="AN3524" s="4">
        <v>0</v>
      </c>
      <c r="AO3524" s="4">
        <v>0</v>
      </c>
      <c r="AP3524" s="4">
        <v>0</v>
      </c>
      <c r="AQ3524" s="4">
        <v>0</v>
      </c>
      <c r="AR3524" s="3" t="s">
        <v>63</v>
      </c>
      <c r="AS3524" s="3" t="s">
        <v>63</v>
      </c>
      <c r="AT3524" s="3" t="s">
        <v>63</v>
      </c>
      <c r="AV3524" s="6" t="str">
        <f>HYPERLINK("http://mcgill.on.worldcat.org/oclc/978374853","Catalog Record")</f>
        <v>Catalog Record</v>
      </c>
      <c r="AW3524" s="6" t="str">
        <f>HYPERLINK("http://www.worldcat.org/oclc/978374853","WorldCat Record")</f>
        <v>WorldCat Record</v>
      </c>
      <c r="AX3524" s="3" t="s">
        <v>29587</v>
      </c>
      <c r="AY3524" s="3" t="s">
        <v>29588</v>
      </c>
      <c r="AZ3524" s="3" t="s">
        <v>29589</v>
      </c>
      <c r="BA3524" s="3" t="s">
        <v>29589</v>
      </c>
      <c r="BB3524" s="3" t="s">
        <v>29590</v>
      </c>
      <c r="BC3524" s="3" t="s">
        <v>82</v>
      </c>
      <c r="BD3524" s="3" t="s">
        <v>70</v>
      </c>
      <c r="BE3524" s="3" t="s">
        <v>29591</v>
      </c>
      <c r="BF3524" s="3" t="s">
        <v>29590</v>
      </c>
      <c r="BG3524" s="3" t="s">
        <v>29592</v>
      </c>
    </row>
    <row r="3525" spans="1:59" ht="60" x14ac:dyDescent="0.25">
      <c r="A3525" s="2" t="s">
        <v>59</v>
      </c>
      <c r="B3525" s="2" t="s">
        <v>60</v>
      </c>
      <c r="C3525" s="2" t="s">
        <v>29593</v>
      </c>
      <c r="D3525" s="2" t="s">
        <v>29594</v>
      </c>
      <c r="E3525" s="2" t="s">
        <v>29595</v>
      </c>
      <c r="G3525" s="3" t="s">
        <v>63</v>
      </c>
      <c r="I3525" s="3" t="s">
        <v>63</v>
      </c>
      <c r="J3525" s="3" t="s">
        <v>63</v>
      </c>
      <c r="K3525" s="3" t="s">
        <v>64</v>
      </c>
      <c r="L3525" s="2" t="s">
        <v>29584</v>
      </c>
      <c r="M3525" s="2" t="s">
        <v>5236</v>
      </c>
      <c r="N3525" s="3" t="s">
        <v>106</v>
      </c>
      <c r="P3525" s="3" t="s">
        <v>90</v>
      </c>
      <c r="Q3525" s="2" t="s">
        <v>29586</v>
      </c>
      <c r="R3525" s="3" t="s">
        <v>67</v>
      </c>
      <c r="S3525" s="4">
        <v>3</v>
      </c>
      <c r="T3525" s="4">
        <v>3</v>
      </c>
      <c r="U3525" s="5" t="s">
        <v>15943</v>
      </c>
      <c r="V3525" s="5" t="s">
        <v>15943</v>
      </c>
      <c r="W3525" s="5" t="s">
        <v>69</v>
      </c>
      <c r="X3525" s="5" t="s">
        <v>69</v>
      </c>
      <c r="Y3525" s="4">
        <v>26</v>
      </c>
      <c r="Z3525" s="4">
        <v>3</v>
      </c>
      <c r="AA3525" s="4">
        <v>3</v>
      </c>
      <c r="AB3525" s="4">
        <v>1</v>
      </c>
      <c r="AC3525" s="4">
        <v>1</v>
      </c>
      <c r="AD3525" s="4">
        <v>22</v>
      </c>
      <c r="AE3525" s="4">
        <v>22</v>
      </c>
      <c r="AF3525" s="4">
        <v>0</v>
      </c>
      <c r="AG3525" s="4">
        <v>0</v>
      </c>
      <c r="AH3525" s="4">
        <v>21</v>
      </c>
      <c r="AI3525" s="4">
        <v>21</v>
      </c>
      <c r="AJ3525" s="4">
        <v>1</v>
      </c>
      <c r="AK3525" s="4">
        <v>1</v>
      </c>
      <c r="AL3525" s="4">
        <v>18</v>
      </c>
      <c r="AM3525" s="4">
        <v>18</v>
      </c>
      <c r="AN3525" s="4">
        <v>0</v>
      </c>
      <c r="AO3525" s="4">
        <v>0</v>
      </c>
      <c r="AP3525" s="4">
        <v>1</v>
      </c>
      <c r="AQ3525" s="4">
        <v>1</v>
      </c>
      <c r="AR3525" s="3" t="s">
        <v>63</v>
      </c>
      <c r="AS3525" s="3" t="s">
        <v>63</v>
      </c>
      <c r="AT3525" s="3" t="s">
        <v>63</v>
      </c>
      <c r="AV3525" s="6" t="str">
        <f>HYPERLINK("http://mcgill.on.worldcat.org/oclc/936376521","Catalog Record")</f>
        <v>Catalog Record</v>
      </c>
      <c r="AW3525" s="6" t="str">
        <f>HYPERLINK("http://www.worldcat.org/oclc/936376521","WorldCat Record")</f>
        <v>WorldCat Record</v>
      </c>
      <c r="AX3525" s="3" t="s">
        <v>29596</v>
      </c>
      <c r="AY3525" s="3" t="s">
        <v>29597</v>
      </c>
      <c r="AZ3525" s="3" t="s">
        <v>29598</v>
      </c>
      <c r="BA3525" s="3" t="s">
        <v>29598</v>
      </c>
      <c r="BB3525" s="3" t="s">
        <v>29599</v>
      </c>
      <c r="BC3525" s="3" t="s">
        <v>82</v>
      </c>
      <c r="BD3525" s="3" t="s">
        <v>70</v>
      </c>
      <c r="BE3525" s="3" t="s">
        <v>29600</v>
      </c>
      <c r="BF3525" s="3" t="s">
        <v>29599</v>
      </c>
      <c r="BG3525" s="3" t="s">
        <v>29601</v>
      </c>
    </row>
    <row r="3526" spans="1:59" ht="60" x14ac:dyDescent="0.25">
      <c r="A3526" s="2" t="s">
        <v>59</v>
      </c>
      <c r="B3526" s="2" t="s">
        <v>60</v>
      </c>
      <c r="C3526" s="2" t="s">
        <v>29602</v>
      </c>
      <c r="D3526" s="2" t="s">
        <v>29603</v>
      </c>
      <c r="E3526" s="2" t="s">
        <v>29604</v>
      </c>
      <c r="G3526" s="3" t="s">
        <v>63</v>
      </c>
      <c r="I3526" s="3" t="s">
        <v>63</v>
      </c>
      <c r="J3526" s="3" t="s">
        <v>63</v>
      </c>
      <c r="K3526" s="3" t="s">
        <v>64</v>
      </c>
      <c r="L3526" s="2" t="s">
        <v>29605</v>
      </c>
      <c r="M3526" s="2" t="s">
        <v>29606</v>
      </c>
      <c r="N3526" s="3" t="s">
        <v>629</v>
      </c>
      <c r="P3526" s="3" t="s">
        <v>90</v>
      </c>
      <c r="Q3526" s="2" t="s">
        <v>29607</v>
      </c>
      <c r="R3526" s="3" t="s">
        <v>67</v>
      </c>
      <c r="S3526" s="4">
        <v>1</v>
      </c>
      <c r="T3526" s="4">
        <v>1</v>
      </c>
      <c r="U3526" s="5" t="s">
        <v>29608</v>
      </c>
      <c r="V3526" s="5" t="s">
        <v>29608</v>
      </c>
      <c r="W3526" s="5" t="s">
        <v>69</v>
      </c>
      <c r="X3526" s="5" t="s">
        <v>69</v>
      </c>
      <c r="Y3526" s="4">
        <v>32</v>
      </c>
      <c r="Z3526" s="4">
        <v>3</v>
      </c>
      <c r="AA3526" s="4">
        <v>3</v>
      </c>
      <c r="AB3526" s="4">
        <v>1</v>
      </c>
      <c r="AC3526" s="4">
        <v>1</v>
      </c>
      <c r="AD3526" s="4">
        <v>22</v>
      </c>
      <c r="AE3526" s="4">
        <v>22</v>
      </c>
      <c r="AF3526" s="4">
        <v>0</v>
      </c>
      <c r="AG3526" s="4">
        <v>0</v>
      </c>
      <c r="AH3526" s="4">
        <v>22</v>
      </c>
      <c r="AI3526" s="4">
        <v>22</v>
      </c>
      <c r="AJ3526" s="4">
        <v>1</v>
      </c>
      <c r="AK3526" s="4">
        <v>1</v>
      </c>
      <c r="AL3526" s="4">
        <v>16</v>
      </c>
      <c r="AM3526" s="4">
        <v>16</v>
      </c>
      <c r="AN3526" s="4">
        <v>0</v>
      </c>
      <c r="AO3526" s="4">
        <v>0</v>
      </c>
      <c r="AP3526" s="4">
        <v>1</v>
      </c>
      <c r="AQ3526" s="4">
        <v>1</v>
      </c>
      <c r="AR3526" s="3" t="s">
        <v>63</v>
      </c>
      <c r="AS3526" s="3" t="s">
        <v>63</v>
      </c>
      <c r="AT3526" s="3" t="s">
        <v>63</v>
      </c>
      <c r="AV3526" s="6" t="str">
        <f>HYPERLINK("http://mcgill.on.worldcat.org/oclc/755066744","Catalog Record")</f>
        <v>Catalog Record</v>
      </c>
      <c r="AW3526" s="6" t="str">
        <f>HYPERLINK("http://www.worldcat.org/oclc/755066744","WorldCat Record")</f>
        <v>WorldCat Record</v>
      </c>
      <c r="AX3526" s="3" t="s">
        <v>29609</v>
      </c>
      <c r="AY3526" s="3" t="s">
        <v>29610</v>
      </c>
      <c r="AZ3526" s="3" t="s">
        <v>29611</v>
      </c>
      <c r="BA3526" s="3" t="s">
        <v>29611</v>
      </c>
      <c r="BB3526" s="3" t="s">
        <v>29612</v>
      </c>
      <c r="BC3526" s="3" t="s">
        <v>82</v>
      </c>
      <c r="BD3526" s="3" t="s">
        <v>70</v>
      </c>
      <c r="BE3526" s="3" t="s">
        <v>29613</v>
      </c>
      <c r="BF3526" s="3" t="s">
        <v>29612</v>
      </c>
      <c r="BG3526" s="3" t="s">
        <v>29614</v>
      </c>
    </row>
    <row r="3527" spans="1:59" ht="60" x14ac:dyDescent="0.25">
      <c r="A3527" s="2" t="s">
        <v>59</v>
      </c>
      <c r="B3527" s="2" t="s">
        <v>60</v>
      </c>
      <c r="C3527" s="2" t="s">
        <v>29615</v>
      </c>
      <c r="D3527" s="2" t="s">
        <v>29616</v>
      </c>
      <c r="E3527" s="2" t="s">
        <v>29617</v>
      </c>
      <c r="G3527" s="3" t="s">
        <v>63</v>
      </c>
      <c r="I3527" s="3" t="s">
        <v>63</v>
      </c>
      <c r="J3527" s="3" t="s">
        <v>63</v>
      </c>
      <c r="K3527" s="3" t="s">
        <v>64</v>
      </c>
      <c r="L3527" s="2" t="s">
        <v>29618</v>
      </c>
      <c r="M3527" s="2" t="s">
        <v>29619</v>
      </c>
      <c r="N3527" s="3" t="s">
        <v>130</v>
      </c>
      <c r="P3527" s="3" t="s">
        <v>90</v>
      </c>
      <c r="Q3527" s="2" t="s">
        <v>29607</v>
      </c>
      <c r="R3527" s="3" t="s">
        <v>67</v>
      </c>
      <c r="S3527" s="4">
        <v>1</v>
      </c>
      <c r="T3527" s="4">
        <v>1</v>
      </c>
      <c r="U3527" s="5" t="s">
        <v>29098</v>
      </c>
      <c r="V3527" s="5" t="s">
        <v>29098</v>
      </c>
      <c r="W3527" s="5" t="s">
        <v>69</v>
      </c>
      <c r="X3527" s="5" t="s">
        <v>69</v>
      </c>
      <c r="Y3527" s="4">
        <v>52</v>
      </c>
      <c r="Z3527" s="4">
        <v>8</v>
      </c>
      <c r="AA3527" s="4">
        <v>8</v>
      </c>
      <c r="AB3527" s="4">
        <v>1</v>
      </c>
      <c r="AC3527" s="4">
        <v>1</v>
      </c>
      <c r="AD3527" s="4">
        <v>40</v>
      </c>
      <c r="AE3527" s="4">
        <v>40</v>
      </c>
      <c r="AF3527" s="4">
        <v>0</v>
      </c>
      <c r="AG3527" s="4">
        <v>0</v>
      </c>
      <c r="AH3527" s="4">
        <v>38</v>
      </c>
      <c r="AI3527" s="4">
        <v>38</v>
      </c>
      <c r="AJ3527" s="4">
        <v>4</v>
      </c>
      <c r="AK3527" s="4">
        <v>4</v>
      </c>
      <c r="AL3527" s="4">
        <v>27</v>
      </c>
      <c r="AM3527" s="4">
        <v>27</v>
      </c>
      <c r="AN3527" s="4">
        <v>0</v>
      </c>
      <c r="AO3527" s="4">
        <v>0</v>
      </c>
      <c r="AP3527" s="4">
        <v>4</v>
      </c>
      <c r="AQ3527" s="4">
        <v>4</v>
      </c>
      <c r="AR3527" s="3" t="s">
        <v>63</v>
      </c>
      <c r="AS3527" s="3" t="s">
        <v>63</v>
      </c>
      <c r="AT3527" s="3" t="s">
        <v>63</v>
      </c>
      <c r="AV3527" s="6" t="str">
        <f>HYPERLINK("http://mcgill.on.worldcat.org/oclc/855048453","Catalog Record")</f>
        <v>Catalog Record</v>
      </c>
      <c r="AW3527" s="6" t="str">
        <f>HYPERLINK("http://www.worldcat.org/oclc/855048453","WorldCat Record")</f>
        <v>WorldCat Record</v>
      </c>
      <c r="AX3527" s="3" t="s">
        <v>29620</v>
      </c>
      <c r="AY3527" s="3" t="s">
        <v>29621</v>
      </c>
      <c r="AZ3527" s="3" t="s">
        <v>29622</v>
      </c>
      <c r="BA3527" s="3" t="s">
        <v>29622</v>
      </c>
      <c r="BB3527" s="3" t="s">
        <v>29623</v>
      </c>
      <c r="BC3527" s="3" t="s">
        <v>82</v>
      </c>
      <c r="BD3527" s="3" t="s">
        <v>70</v>
      </c>
      <c r="BE3527" s="3" t="s">
        <v>29624</v>
      </c>
      <c r="BF3527" s="3" t="s">
        <v>29623</v>
      </c>
      <c r="BG3527" s="3" t="s">
        <v>29625</v>
      </c>
    </row>
    <row r="3528" spans="1:59" ht="60" x14ac:dyDescent="0.25">
      <c r="A3528" s="2" t="s">
        <v>59</v>
      </c>
      <c r="B3528" s="2" t="s">
        <v>60</v>
      </c>
      <c r="C3528" s="2" t="s">
        <v>29626</v>
      </c>
      <c r="D3528" s="2" t="s">
        <v>29627</v>
      </c>
      <c r="E3528" s="2" t="s">
        <v>29628</v>
      </c>
      <c r="G3528" s="3" t="s">
        <v>63</v>
      </c>
      <c r="I3528" s="3" t="s">
        <v>63</v>
      </c>
      <c r="J3528" s="3" t="s">
        <v>63</v>
      </c>
      <c r="K3528" s="3" t="s">
        <v>64</v>
      </c>
      <c r="L3528" s="2" t="s">
        <v>29618</v>
      </c>
      <c r="M3528" s="2" t="s">
        <v>5878</v>
      </c>
      <c r="N3528" s="3" t="s">
        <v>143</v>
      </c>
      <c r="P3528" s="3" t="s">
        <v>90</v>
      </c>
      <c r="Q3528" s="2" t="s">
        <v>29629</v>
      </c>
      <c r="R3528" s="3" t="s">
        <v>67</v>
      </c>
      <c r="S3528" s="4">
        <v>1</v>
      </c>
      <c r="T3528" s="4">
        <v>1</v>
      </c>
      <c r="U3528" s="5" t="s">
        <v>29630</v>
      </c>
      <c r="V3528" s="5" t="s">
        <v>29630</v>
      </c>
      <c r="W3528" s="5" t="s">
        <v>69</v>
      </c>
      <c r="X3528" s="5" t="s">
        <v>69</v>
      </c>
      <c r="Y3528" s="4">
        <v>47</v>
      </c>
      <c r="Z3528" s="4">
        <v>4</v>
      </c>
      <c r="AA3528" s="4">
        <v>4</v>
      </c>
      <c r="AB3528" s="4">
        <v>1</v>
      </c>
      <c r="AC3528" s="4">
        <v>1</v>
      </c>
      <c r="AD3528" s="4">
        <v>36</v>
      </c>
      <c r="AE3528" s="4">
        <v>37</v>
      </c>
      <c r="AF3528" s="4">
        <v>0</v>
      </c>
      <c r="AG3528" s="4">
        <v>0</v>
      </c>
      <c r="AH3528" s="4">
        <v>35</v>
      </c>
      <c r="AI3528" s="4">
        <v>36</v>
      </c>
      <c r="AJ3528" s="4">
        <v>2</v>
      </c>
      <c r="AK3528" s="4">
        <v>2</v>
      </c>
      <c r="AL3528" s="4">
        <v>25</v>
      </c>
      <c r="AM3528" s="4">
        <v>26</v>
      </c>
      <c r="AN3528" s="4">
        <v>0</v>
      </c>
      <c r="AO3528" s="4">
        <v>0</v>
      </c>
      <c r="AP3528" s="4">
        <v>2</v>
      </c>
      <c r="AQ3528" s="4">
        <v>2</v>
      </c>
      <c r="AR3528" s="3" t="s">
        <v>63</v>
      </c>
      <c r="AS3528" s="3" t="s">
        <v>63</v>
      </c>
      <c r="AT3528" s="3" t="s">
        <v>63</v>
      </c>
      <c r="AV3528" s="6" t="str">
        <f>HYPERLINK("http://mcgill.on.worldcat.org/oclc/878039293","Catalog Record")</f>
        <v>Catalog Record</v>
      </c>
      <c r="AW3528" s="6" t="str">
        <f>HYPERLINK("http://www.worldcat.org/oclc/878039293","WorldCat Record")</f>
        <v>WorldCat Record</v>
      </c>
      <c r="AX3528" s="3" t="s">
        <v>29631</v>
      </c>
      <c r="AY3528" s="3" t="s">
        <v>29632</v>
      </c>
      <c r="AZ3528" s="3" t="s">
        <v>29633</v>
      </c>
      <c r="BA3528" s="3" t="s">
        <v>29633</v>
      </c>
      <c r="BB3528" s="3" t="s">
        <v>29634</v>
      </c>
      <c r="BC3528" s="3" t="s">
        <v>82</v>
      </c>
      <c r="BD3528" s="3" t="s">
        <v>70</v>
      </c>
      <c r="BE3528" s="3" t="s">
        <v>29635</v>
      </c>
      <c r="BF3528" s="3" t="s">
        <v>29634</v>
      </c>
      <c r="BG3528" s="3" t="s">
        <v>29636</v>
      </c>
    </row>
    <row r="3529" spans="1:59" ht="60" x14ac:dyDescent="0.25">
      <c r="A3529" s="2" t="s">
        <v>59</v>
      </c>
      <c r="B3529" s="2" t="s">
        <v>60</v>
      </c>
      <c r="C3529" s="2" t="s">
        <v>29637</v>
      </c>
      <c r="D3529" s="2" t="s">
        <v>29638</v>
      </c>
      <c r="E3529" s="2" t="s">
        <v>29639</v>
      </c>
      <c r="F3529" s="3" t="s">
        <v>61</v>
      </c>
      <c r="G3529" s="3" t="s">
        <v>62</v>
      </c>
      <c r="I3529" s="3" t="s">
        <v>63</v>
      </c>
      <c r="J3529" s="3" t="s">
        <v>63</v>
      </c>
      <c r="K3529" s="3" t="s">
        <v>64</v>
      </c>
      <c r="L3529" s="2" t="s">
        <v>29640</v>
      </c>
      <c r="M3529" s="2" t="s">
        <v>29641</v>
      </c>
      <c r="N3529" s="3" t="s">
        <v>2271</v>
      </c>
      <c r="P3529" s="3" t="s">
        <v>90</v>
      </c>
      <c r="R3529" s="3" t="s">
        <v>67</v>
      </c>
      <c r="S3529" s="4">
        <v>0</v>
      </c>
      <c r="T3529" s="4">
        <v>1</v>
      </c>
      <c r="V3529" s="5" t="s">
        <v>12050</v>
      </c>
      <c r="W3529" s="5" t="s">
        <v>69</v>
      </c>
      <c r="X3529" s="5" t="s">
        <v>69</v>
      </c>
      <c r="Y3529" s="4">
        <v>2</v>
      </c>
      <c r="Z3529" s="4">
        <v>2</v>
      </c>
      <c r="AA3529" s="4">
        <v>5</v>
      </c>
      <c r="AB3529" s="4">
        <v>1</v>
      </c>
      <c r="AC3529" s="4">
        <v>1</v>
      </c>
      <c r="AD3529" s="4">
        <v>1</v>
      </c>
      <c r="AE3529" s="4">
        <v>27</v>
      </c>
      <c r="AF3529" s="4">
        <v>0</v>
      </c>
      <c r="AG3529" s="4">
        <v>0</v>
      </c>
      <c r="AH3529" s="4">
        <v>1</v>
      </c>
      <c r="AI3529" s="4">
        <v>25</v>
      </c>
      <c r="AJ3529" s="4">
        <v>1</v>
      </c>
      <c r="AK3529" s="4">
        <v>4</v>
      </c>
      <c r="AL3529" s="4">
        <v>0</v>
      </c>
      <c r="AM3529" s="4">
        <v>18</v>
      </c>
      <c r="AN3529" s="4">
        <v>0</v>
      </c>
      <c r="AO3529" s="4">
        <v>0</v>
      </c>
      <c r="AP3529" s="4">
        <v>1</v>
      </c>
      <c r="AQ3529" s="4">
        <v>4</v>
      </c>
      <c r="AR3529" s="3" t="s">
        <v>63</v>
      </c>
      <c r="AS3529" s="3" t="s">
        <v>63</v>
      </c>
      <c r="AT3529" s="3" t="s">
        <v>63</v>
      </c>
      <c r="AV3529" s="6" t="str">
        <f>HYPERLINK("http://mcgill.on.worldcat.org/oclc/427265256","Catalog Record")</f>
        <v>Catalog Record</v>
      </c>
      <c r="AW3529" s="6" t="str">
        <f>HYPERLINK("http://www.worldcat.org/oclc/427265256","WorldCat Record")</f>
        <v>WorldCat Record</v>
      </c>
      <c r="AX3529" s="3" t="s">
        <v>29642</v>
      </c>
      <c r="AY3529" s="3" t="s">
        <v>29643</v>
      </c>
      <c r="AZ3529" s="3" t="s">
        <v>29644</v>
      </c>
      <c r="BA3529" s="3" t="s">
        <v>29644</v>
      </c>
      <c r="BB3529" s="3" t="s">
        <v>29645</v>
      </c>
      <c r="BC3529" s="3" t="s">
        <v>82</v>
      </c>
      <c r="BD3529" s="3" t="s">
        <v>70</v>
      </c>
      <c r="BF3529" s="3" t="s">
        <v>29645</v>
      </c>
      <c r="BG3529" s="3" t="s">
        <v>29646</v>
      </c>
    </row>
    <row r="3530" spans="1:59" ht="60" x14ac:dyDescent="0.25">
      <c r="A3530" s="2" t="s">
        <v>59</v>
      </c>
      <c r="B3530" s="2" t="s">
        <v>60</v>
      </c>
      <c r="C3530" s="2" t="s">
        <v>29637</v>
      </c>
      <c r="D3530" s="2" t="s">
        <v>29638</v>
      </c>
      <c r="E3530" s="2" t="s">
        <v>29639</v>
      </c>
      <c r="F3530" s="3" t="s">
        <v>1095</v>
      </c>
      <c r="G3530" s="3" t="s">
        <v>62</v>
      </c>
      <c r="I3530" s="3" t="s">
        <v>63</v>
      </c>
      <c r="J3530" s="3" t="s">
        <v>63</v>
      </c>
      <c r="K3530" s="3" t="s">
        <v>64</v>
      </c>
      <c r="L3530" s="2" t="s">
        <v>29640</v>
      </c>
      <c r="M3530" s="2" t="s">
        <v>29641</v>
      </c>
      <c r="N3530" s="3" t="s">
        <v>2271</v>
      </c>
      <c r="P3530" s="3" t="s">
        <v>90</v>
      </c>
      <c r="R3530" s="3" t="s">
        <v>67</v>
      </c>
      <c r="S3530" s="4">
        <v>1</v>
      </c>
      <c r="T3530" s="4">
        <v>1</v>
      </c>
      <c r="U3530" s="5" t="s">
        <v>12050</v>
      </c>
      <c r="V3530" s="5" t="s">
        <v>12050</v>
      </c>
      <c r="W3530" s="5" t="s">
        <v>69</v>
      </c>
      <c r="X3530" s="5" t="s">
        <v>69</v>
      </c>
      <c r="Y3530" s="4">
        <v>2</v>
      </c>
      <c r="Z3530" s="4">
        <v>2</v>
      </c>
      <c r="AA3530" s="4">
        <v>5</v>
      </c>
      <c r="AB3530" s="4">
        <v>1</v>
      </c>
      <c r="AC3530" s="4">
        <v>1</v>
      </c>
      <c r="AD3530" s="4">
        <v>1</v>
      </c>
      <c r="AE3530" s="4">
        <v>27</v>
      </c>
      <c r="AF3530" s="4">
        <v>0</v>
      </c>
      <c r="AG3530" s="4">
        <v>0</v>
      </c>
      <c r="AH3530" s="4">
        <v>1</v>
      </c>
      <c r="AI3530" s="4">
        <v>25</v>
      </c>
      <c r="AJ3530" s="4">
        <v>1</v>
      </c>
      <c r="AK3530" s="4">
        <v>4</v>
      </c>
      <c r="AL3530" s="4">
        <v>0</v>
      </c>
      <c r="AM3530" s="4">
        <v>18</v>
      </c>
      <c r="AN3530" s="4">
        <v>0</v>
      </c>
      <c r="AO3530" s="4">
        <v>0</v>
      </c>
      <c r="AP3530" s="4">
        <v>1</v>
      </c>
      <c r="AQ3530" s="4">
        <v>4</v>
      </c>
      <c r="AR3530" s="3" t="s">
        <v>63</v>
      </c>
      <c r="AS3530" s="3" t="s">
        <v>63</v>
      </c>
      <c r="AT3530" s="3" t="s">
        <v>63</v>
      </c>
      <c r="AV3530" s="6" t="str">
        <f>HYPERLINK("http://mcgill.on.worldcat.org/oclc/427265256","Catalog Record")</f>
        <v>Catalog Record</v>
      </c>
      <c r="AW3530" s="6" t="str">
        <f>HYPERLINK("http://www.worldcat.org/oclc/427265256","WorldCat Record")</f>
        <v>WorldCat Record</v>
      </c>
      <c r="AX3530" s="3" t="s">
        <v>29642</v>
      </c>
      <c r="AY3530" s="3" t="s">
        <v>29643</v>
      </c>
      <c r="AZ3530" s="3" t="s">
        <v>29644</v>
      </c>
      <c r="BA3530" s="3" t="s">
        <v>29644</v>
      </c>
      <c r="BB3530" s="3" t="s">
        <v>29647</v>
      </c>
      <c r="BC3530" s="3" t="s">
        <v>82</v>
      </c>
      <c r="BD3530" s="3" t="s">
        <v>70</v>
      </c>
      <c r="BF3530" s="3" t="s">
        <v>29647</v>
      </c>
      <c r="BG3530" s="3" t="s">
        <v>29648</v>
      </c>
    </row>
    <row r="3531" spans="1:59" ht="75" x14ac:dyDescent="0.25">
      <c r="A3531" s="2" t="s">
        <v>59</v>
      </c>
      <c r="B3531" s="2" t="s">
        <v>60</v>
      </c>
      <c r="C3531" s="2" t="s">
        <v>29649</v>
      </c>
      <c r="D3531" s="2" t="s">
        <v>29650</v>
      </c>
      <c r="E3531" s="2" t="s">
        <v>29651</v>
      </c>
      <c r="G3531" s="3" t="s">
        <v>63</v>
      </c>
      <c r="I3531" s="3" t="s">
        <v>63</v>
      </c>
      <c r="J3531" s="3" t="s">
        <v>63</v>
      </c>
      <c r="K3531" s="3" t="s">
        <v>64</v>
      </c>
      <c r="L3531" s="2" t="s">
        <v>29652</v>
      </c>
      <c r="M3531" s="2" t="s">
        <v>9631</v>
      </c>
      <c r="N3531" s="3" t="s">
        <v>106</v>
      </c>
      <c r="P3531" s="3" t="s">
        <v>90</v>
      </c>
      <c r="Q3531" s="2" t="s">
        <v>29653</v>
      </c>
      <c r="R3531" s="3" t="s">
        <v>67</v>
      </c>
      <c r="S3531" s="4">
        <v>1</v>
      </c>
      <c r="T3531" s="4">
        <v>1</v>
      </c>
      <c r="U3531" s="5" t="s">
        <v>29654</v>
      </c>
      <c r="V3531" s="5" t="s">
        <v>29654</v>
      </c>
      <c r="W3531" s="5" t="s">
        <v>69</v>
      </c>
      <c r="X3531" s="5" t="s">
        <v>69</v>
      </c>
      <c r="Y3531" s="4">
        <v>40</v>
      </c>
      <c r="Z3531" s="4">
        <v>1</v>
      </c>
      <c r="AA3531" s="4">
        <v>1</v>
      </c>
      <c r="AB3531" s="4">
        <v>1</v>
      </c>
      <c r="AC3531" s="4">
        <v>1</v>
      </c>
      <c r="AD3531" s="4">
        <v>25</v>
      </c>
      <c r="AE3531" s="4">
        <v>25</v>
      </c>
      <c r="AF3531" s="4">
        <v>0</v>
      </c>
      <c r="AG3531" s="4">
        <v>0</v>
      </c>
      <c r="AH3531" s="4">
        <v>25</v>
      </c>
      <c r="AI3531" s="4">
        <v>25</v>
      </c>
      <c r="AJ3531" s="4">
        <v>0</v>
      </c>
      <c r="AK3531" s="4">
        <v>0</v>
      </c>
      <c r="AL3531" s="4">
        <v>18</v>
      </c>
      <c r="AM3531" s="4">
        <v>18</v>
      </c>
      <c r="AN3531" s="4">
        <v>0</v>
      </c>
      <c r="AO3531" s="4">
        <v>0</v>
      </c>
      <c r="AP3531" s="4">
        <v>0</v>
      </c>
      <c r="AQ3531" s="4">
        <v>0</v>
      </c>
      <c r="AR3531" s="3" t="s">
        <v>63</v>
      </c>
      <c r="AS3531" s="3" t="s">
        <v>63</v>
      </c>
      <c r="AT3531" s="3" t="s">
        <v>63</v>
      </c>
      <c r="AV3531" s="6" t="str">
        <f>HYPERLINK("http://mcgill.on.worldcat.org/oclc/944224774","Catalog Record")</f>
        <v>Catalog Record</v>
      </c>
      <c r="AW3531" s="6" t="str">
        <f>HYPERLINK("http://www.worldcat.org/oclc/944224774","WorldCat Record")</f>
        <v>WorldCat Record</v>
      </c>
      <c r="AX3531" s="3" t="s">
        <v>29655</v>
      </c>
      <c r="AY3531" s="3" t="s">
        <v>29656</v>
      </c>
      <c r="AZ3531" s="3" t="s">
        <v>29657</v>
      </c>
      <c r="BA3531" s="3" t="s">
        <v>29657</v>
      </c>
      <c r="BB3531" s="3" t="s">
        <v>29658</v>
      </c>
      <c r="BC3531" s="3" t="s">
        <v>82</v>
      </c>
      <c r="BD3531" s="3" t="s">
        <v>70</v>
      </c>
      <c r="BE3531" s="3" t="s">
        <v>29659</v>
      </c>
      <c r="BF3531" s="3" t="s">
        <v>29658</v>
      </c>
      <c r="BG3531" s="3" t="s">
        <v>29660</v>
      </c>
    </row>
    <row r="3532" spans="1:59" ht="75" x14ac:dyDescent="0.25">
      <c r="A3532" s="2" t="s">
        <v>59</v>
      </c>
      <c r="B3532" s="2" t="s">
        <v>60</v>
      </c>
      <c r="C3532" s="2" t="s">
        <v>29661</v>
      </c>
      <c r="D3532" s="2" t="s">
        <v>29662</v>
      </c>
      <c r="E3532" s="2" t="s">
        <v>29663</v>
      </c>
      <c r="G3532" s="3" t="s">
        <v>63</v>
      </c>
      <c r="I3532" s="3" t="s">
        <v>63</v>
      </c>
      <c r="J3532" s="3" t="s">
        <v>63</v>
      </c>
      <c r="K3532" s="3" t="s">
        <v>64</v>
      </c>
      <c r="L3532" s="2" t="s">
        <v>29652</v>
      </c>
      <c r="M3532" s="2" t="s">
        <v>9557</v>
      </c>
      <c r="N3532" s="3" t="s">
        <v>1557</v>
      </c>
      <c r="P3532" s="3" t="s">
        <v>90</v>
      </c>
      <c r="R3532" s="3" t="s">
        <v>67</v>
      </c>
      <c r="S3532" s="4">
        <v>1</v>
      </c>
      <c r="T3532" s="4">
        <v>1</v>
      </c>
      <c r="U3532" s="5" t="s">
        <v>19517</v>
      </c>
      <c r="V3532" s="5" t="s">
        <v>19517</v>
      </c>
      <c r="W3532" s="5" t="s">
        <v>69</v>
      </c>
      <c r="X3532" s="5" t="s">
        <v>69</v>
      </c>
      <c r="Y3532" s="4">
        <v>19</v>
      </c>
      <c r="Z3532" s="4">
        <v>1</v>
      </c>
      <c r="AA3532" s="4">
        <v>1</v>
      </c>
      <c r="AB3532" s="4">
        <v>1</v>
      </c>
      <c r="AC3532" s="4">
        <v>1</v>
      </c>
      <c r="AD3532" s="4">
        <v>14</v>
      </c>
      <c r="AE3532" s="4">
        <v>14</v>
      </c>
      <c r="AF3532" s="4">
        <v>0</v>
      </c>
      <c r="AG3532" s="4">
        <v>0</v>
      </c>
      <c r="AH3532" s="4">
        <v>14</v>
      </c>
      <c r="AI3532" s="4">
        <v>14</v>
      </c>
      <c r="AJ3532" s="4">
        <v>0</v>
      </c>
      <c r="AK3532" s="4">
        <v>0</v>
      </c>
      <c r="AL3532" s="4">
        <v>11</v>
      </c>
      <c r="AM3532" s="4">
        <v>11</v>
      </c>
      <c r="AN3532" s="4">
        <v>0</v>
      </c>
      <c r="AO3532" s="4">
        <v>0</v>
      </c>
      <c r="AP3532" s="4">
        <v>0</v>
      </c>
      <c r="AQ3532" s="4">
        <v>0</v>
      </c>
      <c r="AR3532" s="3" t="s">
        <v>63</v>
      </c>
      <c r="AS3532" s="3" t="s">
        <v>63</v>
      </c>
      <c r="AT3532" s="3" t="s">
        <v>63</v>
      </c>
      <c r="AV3532" s="6" t="str">
        <f>HYPERLINK("http://mcgill.on.worldcat.org/oclc/1013977432","Catalog Record")</f>
        <v>Catalog Record</v>
      </c>
      <c r="AW3532" s="6" t="str">
        <f>HYPERLINK("http://www.worldcat.org/oclc/1013977432","WorldCat Record")</f>
        <v>WorldCat Record</v>
      </c>
      <c r="AX3532" s="3" t="s">
        <v>29664</v>
      </c>
      <c r="AY3532" s="3" t="s">
        <v>29665</v>
      </c>
      <c r="AZ3532" s="3" t="s">
        <v>29666</v>
      </c>
      <c r="BA3532" s="3" t="s">
        <v>29666</v>
      </c>
      <c r="BB3532" s="3" t="s">
        <v>29667</v>
      </c>
      <c r="BC3532" s="3" t="s">
        <v>82</v>
      </c>
      <c r="BD3532" s="3" t="s">
        <v>70</v>
      </c>
      <c r="BE3532" s="3" t="s">
        <v>29668</v>
      </c>
      <c r="BF3532" s="3" t="s">
        <v>29667</v>
      </c>
      <c r="BG3532" s="3" t="s">
        <v>29669</v>
      </c>
    </row>
    <row r="3533" spans="1:59" ht="60" x14ac:dyDescent="0.25">
      <c r="A3533" s="2" t="s">
        <v>59</v>
      </c>
      <c r="B3533" s="2" t="s">
        <v>60</v>
      </c>
      <c r="C3533" s="2" t="s">
        <v>29670</v>
      </c>
      <c r="D3533" s="2" t="s">
        <v>29671</v>
      </c>
      <c r="E3533" s="2" t="s">
        <v>29672</v>
      </c>
      <c r="G3533" s="3" t="s">
        <v>63</v>
      </c>
      <c r="I3533" s="3" t="s">
        <v>63</v>
      </c>
      <c r="J3533" s="3" t="s">
        <v>63</v>
      </c>
      <c r="K3533" s="3" t="s">
        <v>64</v>
      </c>
      <c r="L3533" s="2" t="s">
        <v>29673</v>
      </c>
      <c r="M3533" s="2" t="s">
        <v>29674</v>
      </c>
      <c r="N3533" s="3" t="s">
        <v>706</v>
      </c>
      <c r="P3533" s="3" t="s">
        <v>66</v>
      </c>
      <c r="R3533" s="3" t="s">
        <v>67</v>
      </c>
      <c r="S3533" s="4">
        <v>8</v>
      </c>
      <c r="T3533" s="4">
        <v>8</v>
      </c>
      <c r="U3533" s="5" t="s">
        <v>22810</v>
      </c>
      <c r="V3533" s="5" t="s">
        <v>22810</v>
      </c>
      <c r="W3533" s="5" t="s">
        <v>69</v>
      </c>
      <c r="X3533" s="5" t="s">
        <v>69</v>
      </c>
      <c r="Y3533" s="4">
        <v>350</v>
      </c>
      <c r="Z3533" s="4">
        <v>22</v>
      </c>
      <c r="AA3533" s="4">
        <v>22</v>
      </c>
      <c r="AB3533" s="4">
        <v>1</v>
      </c>
      <c r="AC3533" s="4">
        <v>1</v>
      </c>
      <c r="AD3533" s="4">
        <v>110</v>
      </c>
      <c r="AE3533" s="4">
        <v>110</v>
      </c>
      <c r="AF3533" s="4">
        <v>0</v>
      </c>
      <c r="AG3533" s="4">
        <v>0</v>
      </c>
      <c r="AH3533" s="4">
        <v>97</v>
      </c>
      <c r="AI3533" s="4">
        <v>97</v>
      </c>
      <c r="AJ3533" s="4">
        <v>18</v>
      </c>
      <c r="AK3533" s="4">
        <v>18</v>
      </c>
      <c r="AL3533" s="4">
        <v>59</v>
      </c>
      <c r="AM3533" s="4">
        <v>59</v>
      </c>
      <c r="AN3533" s="4">
        <v>0</v>
      </c>
      <c r="AO3533" s="4">
        <v>0</v>
      </c>
      <c r="AP3533" s="4">
        <v>18</v>
      </c>
      <c r="AQ3533" s="4">
        <v>18</v>
      </c>
      <c r="AR3533" s="3" t="s">
        <v>63</v>
      </c>
      <c r="AS3533" s="3" t="s">
        <v>63</v>
      </c>
      <c r="AT3533" s="3" t="s">
        <v>62</v>
      </c>
      <c r="AU3533" s="6" t="str">
        <f>HYPERLINK("http://catalog.hathitrust.org/Record/000665022","HathiTrust Record")</f>
        <v>HathiTrust Record</v>
      </c>
      <c r="AV3533" s="6" t="str">
        <f>HYPERLINK("http://mcgill.on.worldcat.org/oclc/12418955","Catalog Record")</f>
        <v>Catalog Record</v>
      </c>
      <c r="AW3533" s="6" t="str">
        <f>HYPERLINK("http://www.worldcat.org/oclc/12418955","WorldCat Record")</f>
        <v>WorldCat Record</v>
      </c>
      <c r="AX3533" s="3" t="s">
        <v>29675</v>
      </c>
      <c r="AY3533" s="3" t="s">
        <v>29676</v>
      </c>
      <c r="AZ3533" s="3" t="s">
        <v>29677</v>
      </c>
      <c r="BA3533" s="3" t="s">
        <v>29677</v>
      </c>
      <c r="BB3533" s="3" t="s">
        <v>29678</v>
      </c>
      <c r="BC3533" s="3" t="s">
        <v>82</v>
      </c>
      <c r="BD3533" s="3" t="s">
        <v>70</v>
      </c>
      <c r="BE3533" s="3" t="s">
        <v>29679</v>
      </c>
      <c r="BF3533" s="3" t="s">
        <v>29678</v>
      </c>
      <c r="BG3533" s="3" t="s">
        <v>29680</v>
      </c>
    </row>
    <row r="3534" spans="1:59" ht="60" x14ac:dyDescent="0.25">
      <c r="A3534" s="2" t="s">
        <v>59</v>
      </c>
      <c r="B3534" s="2" t="s">
        <v>60</v>
      </c>
      <c r="C3534" s="2" t="s">
        <v>29681</v>
      </c>
      <c r="D3534" s="2" t="s">
        <v>29682</v>
      </c>
      <c r="E3534" s="2" t="s">
        <v>29683</v>
      </c>
      <c r="G3534" s="3" t="s">
        <v>63</v>
      </c>
      <c r="I3534" s="3" t="s">
        <v>63</v>
      </c>
      <c r="J3534" s="3" t="s">
        <v>63</v>
      </c>
      <c r="K3534" s="3" t="s">
        <v>64</v>
      </c>
      <c r="L3534" s="2" t="s">
        <v>29684</v>
      </c>
      <c r="M3534" s="2" t="s">
        <v>29685</v>
      </c>
      <c r="N3534" s="3" t="s">
        <v>531</v>
      </c>
      <c r="O3534" s="2" t="s">
        <v>590</v>
      </c>
      <c r="P3534" s="3" t="s">
        <v>66</v>
      </c>
      <c r="R3534" s="3" t="s">
        <v>67</v>
      </c>
      <c r="S3534" s="4">
        <v>5</v>
      </c>
      <c r="T3534" s="4">
        <v>5</v>
      </c>
      <c r="U3534" s="5" t="s">
        <v>18668</v>
      </c>
      <c r="V3534" s="5" t="s">
        <v>18668</v>
      </c>
      <c r="W3534" s="5" t="s">
        <v>69</v>
      </c>
      <c r="X3534" s="5" t="s">
        <v>69</v>
      </c>
      <c r="Y3534" s="4">
        <v>300</v>
      </c>
      <c r="Z3534" s="4">
        <v>14</v>
      </c>
      <c r="AA3534" s="4">
        <v>14</v>
      </c>
      <c r="AB3534" s="4">
        <v>1</v>
      </c>
      <c r="AC3534" s="4">
        <v>1</v>
      </c>
      <c r="AD3534" s="4">
        <v>86</v>
      </c>
      <c r="AE3534" s="4">
        <v>88</v>
      </c>
      <c r="AF3534" s="4">
        <v>0</v>
      </c>
      <c r="AG3534" s="4">
        <v>0</v>
      </c>
      <c r="AH3534" s="4">
        <v>79</v>
      </c>
      <c r="AI3534" s="4">
        <v>81</v>
      </c>
      <c r="AJ3534" s="4">
        <v>9</v>
      </c>
      <c r="AK3534" s="4">
        <v>9</v>
      </c>
      <c r="AL3534" s="4">
        <v>51</v>
      </c>
      <c r="AM3534" s="4">
        <v>52</v>
      </c>
      <c r="AN3534" s="4">
        <v>0</v>
      </c>
      <c r="AO3534" s="4">
        <v>0</v>
      </c>
      <c r="AP3534" s="4">
        <v>10</v>
      </c>
      <c r="AQ3534" s="4">
        <v>10</v>
      </c>
      <c r="AR3534" s="3" t="s">
        <v>63</v>
      </c>
      <c r="AS3534" s="3" t="s">
        <v>63</v>
      </c>
      <c r="AT3534" s="3" t="s">
        <v>62</v>
      </c>
      <c r="AU3534" s="6" t="str">
        <f>HYPERLINK("http://catalog.hathitrust.org/Record/002560919","HathiTrust Record")</f>
        <v>HathiTrust Record</v>
      </c>
      <c r="AV3534" s="6" t="str">
        <f>HYPERLINK("http://mcgill.on.worldcat.org/oclc/24871206","Catalog Record")</f>
        <v>Catalog Record</v>
      </c>
      <c r="AW3534" s="6" t="str">
        <f>HYPERLINK("http://www.worldcat.org/oclc/24871206","WorldCat Record")</f>
        <v>WorldCat Record</v>
      </c>
      <c r="AX3534" s="3" t="s">
        <v>29686</v>
      </c>
      <c r="AY3534" s="3" t="s">
        <v>29687</v>
      </c>
      <c r="AZ3534" s="3" t="s">
        <v>29688</v>
      </c>
      <c r="BA3534" s="3" t="s">
        <v>29688</v>
      </c>
      <c r="BB3534" s="3" t="s">
        <v>29689</v>
      </c>
      <c r="BC3534" s="3" t="s">
        <v>82</v>
      </c>
      <c r="BD3534" s="3" t="s">
        <v>70</v>
      </c>
      <c r="BE3534" s="3" t="s">
        <v>29690</v>
      </c>
      <c r="BF3534" s="3" t="s">
        <v>29689</v>
      </c>
      <c r="BG3534" s="3" t="s">
        <v>29691</v>
      </c>
    </row>
    <row r="3535" spans="1:59" ht="60" x14ac:dyDescent="0.25">
      <c r="A3535" s="2" t="s">
        <v>59</v>
      </c>
      <c r="B3535" s="2" t="s">
        <v>60</v>
      </c>
      <c r="C3535" s="2" t="s">
        <v>29692</v>
      </c>
      <c r="D3535" s="2" t="s">
        <v>29693</v>
      </c>
      <c r="E3535" s="2" t="s">
        <v>29694</v>
      </c>
      <c r="F3535" s="3" t="s">
        <v>582</v>
      </c>
      <c r="G3535" s="3" t="s">
        <v>62</v>
      </c>
      <c r="I3535" s="3" t="s">
        <v>63</v>
      </c>
      <c r="J3535" s="3" t="s">
        <v>63</v>
      </c>
      <c r="K3535" s="3" t="s">
        <v>64</v>
      </c>
      <c r="L3535" s="2" t="s">
        <v>29684</v>
      </c>
      <c r="M3535" s="2" t="s">
        <v>29695</v>
      </c>
      <c r="N3535" s="3" t="s">
        <v>204</v>
      </c>
      <c r="P3535" s="3" t="s">
        <v>90</v>
      </c>
      <c r="Q3535" s="2" t="s">
        <v>29696</v>
      </c>
      <c r="R3535" s="3" t="s">
        <v>67</v>
      </c>
      <c r="S3535" s="4">
        <v>4</v>
      </c>
      <c r="T3535" s="4">
        <v>9</v>
      </c>
      <c r="U3535" s="5" t="s">
        <v>29697</v>
      </c>
      <c r="V3535" s="5" t="s">
        <v>29697</v>
      </c>
      <c r="W3535" s="5" t="s">
        <v>69</v>
      </c>
      <c r="X3535" s="5" t="s">
        <v>69</v>
      </c>
      <c r="Y3535" s="4">
        <v>108</v>
      </c>
      <c r="Z3535" s="4">
        <v>7</v>
      </c>
      <c r="AA3535" s="4">
        <v>7</v>
      </c>
      <c r="AB3535" s="4">
        <v>1</v>
      </c>
      <c r="AC3535" s="4">
        <v>1</v>
      </c>
      <c r="AD3535" s="4">
        <v>58</v>
      </c>
      <c r="AE3535" s="4">
        <v>58</v>
      </c>
      <c r="AF3535" s="4">
        <v>0</v>
      </c>
      <c r="AG3535" s="4">
        <v>0</v>
      </c>
      <c r="AH3535" s="4">
        <v>56</v>
      </c>
      <c r="AI3535" s="4">
        <v>56</v>
      </c>
      <c r="AJ3535" s="4">
        <v>4</v>
      </c>
      <c r="AK3535" s="4">
        <v>4</v>
      </c>
      <c r="AL3535" s="4">
        <v>38</v>
      </c>
      <c r="AM3535" s="4">
        <v>38</v>
      </c>
      <c r="AN3535" s="4">
        <v>0</v>
      </c>
      <c r="AO3535" s="4">
        <v>0</v>
      </c>
      <c r="AP3535" s="4">
        <v>4</v>
      </c>
      <c r="AQ3535" s="4">
        <v>4</v>
      </c>
      <c r="AR3535" s="3" t="s">
        <v>63</v>
      </c>
      <c r="AS3535" s="3" t="s">
        <v>63</v>
      </c>
      <c r="AT3535" s="3" t="s">
        <v>62</v>
      </c>
      <c r="AU3535" s="6" t="str">
        <f>HYPERLINK("http://catalog.hathitrust.org/Record/003152426","HathiTrust Record")</f>
        <v>HathiTrust Record</v>
      </c>
      <c r="AV3535" s="6" t="str">
        <f>HYPERLINK("http://mcgill.on.worldcat.org/oclc/36014067","Catalog Record")</f>
        <v>Catalog Record</v>
      </c>
      <c r="AW3535" s="6" t="str">
        <f>HYPERLINK("http://www.worldcat.org/oclc/36014067","WorldCat Record")</f>
        <v>WorldCat Record</v>
      </c>
      <c r="AX3535" s="3" t="s">
        <v>29698</v>
      </c>
      <c r="AY3535" s="3" t="s">
        <v>29699</v>
      </c>
      <c r="AZ3535" s="3" t="s">
        <v>29700</v>
      </c>
      <c r="BA3535" s="3" t="s">
        <v>29700</v>
      </c>
      <c r="BB3535" s="3" t="s">
        <v>29701</v>
      </c>
      <c r="BC3535" s="3" t="s">
        <v>82</v>
      </c>
      <c r="BD3535" s="3" t="s">
        <v>70</v>
      </c>
      <c r="BE3535" s="3" t="s">
        <v>29702</v>
      </c>
      <c r="BF3535" s="3" t="s">
        <v>29701</v>
      </c>
      <c r="BG3535" s="3" t="s">
        <v>29703</v>
      </c>
    </row>
    <row r="3536" spans="1:59" ht="60" x14ac:dyDescent="0.25">
      <c r="A3536" s="2" t="s">
        <v>59</v>
      </c>
      <c r="B3536" s="2" t="s">
        <v>60</v>
      </c>
      <c r="C3536" s="2" t="s">
        <v>29692</v>
      </c>
      <c r="D3536" s="2" t="s">
        <v>29693</v>
      </c>
      <c r="E3536" s="2" t="s">
        <v>29694</v>
      </c>
      <c r="F3536" s="3" t="s">
        <v>4439</v>
      </c>
      <c r="G3536" s="3" t="s">
        <v>62</v>
      </c>
      <c r="I3536" s="3" t="s">
        <v>63</v>
      </c>
      <c r="J3536" s="3" t="s">
        <v>63</v>
      </c>
      <c r="K3536" s="3" t="s">
        <v>64</v>
      </c>
      <c r="L3536" s="2" t="s">
        <v>29684</v>
      </c>
      <c r="M3536" s="2" t="s">
        <v>29695</v>
      </c>
      <c r="N3536" s="3" t="s">
        <v>204</v>
      </c>
      <c r="P3536" s="3" t="s">
        <v>90</v>
      </c>
      <c r="Q3536" s="2" t="s">
        <v>29696</v>
      </c>
      <c r="R3536" s="3" t="s">
        <v>67</v>
      </c>
      <c r="S3536" s="4">
        <v>0</v>
      </c>
      <c r="T3536" s="4">
        <v>9</v>
      </c>
      <c r="V3536" s="5" t="s">
        <v>29697</v>
      </c>
      <c r="W3536" s="5" t="s">
        <v>69</v>
      </c>
      <c r="X3536" s="5" t="s">
        <v>69</v>
      </c>
      <c r="Y3536" s="4">
        <v>108</v>
      </c>
      <c r="Z3536" s="4">
        <v>7</v>
      </c>
      <c r="AA3536" s="4">
        <v>7</v>
      </c>
      <c r="AB3536" s="4">
        <v>1</v>
      </c>
      <c r="AC3536" s="4">
        <v>1</v>
      </c>
      <c r="AD3536" s="4">
        <v>58</v>
      </c>
      <c r="AE3536" s="4">
        <v>58</v>
      </c>
      <c r="AF3536" s="4">
        <v>0</v>
      </c>
      <c r="AG3536" s="4">
        <v>0</v>
      </c>
      <c r="AH3536" s="4">
        <v>56</v>
      </c>
      <c r="AI3536" s="4">
        <v>56</v>
      </c>
      <c r="AJ3536" s="4">
        <v>4</v>
      </c>
      <c r="AK3536" s="4">
        <v>4</v>
      </c>
      <c r="AL3536" s="4">
        <v>38</v>
      </c>
      <c r="AM3536" s="4">
        <v>38</v>
      </c>
      <c r="AN3536" s="4">
        <v>0</v>
      </c>
      <c r="AO3536" s="4">
        <v>0</v>
      </c>
      <c r="AP3536" s="4">
        <v>4</v>
      </c>
      <c r="AQ3536" s="4">
        <v>4</v>
      </c>
      <c r="AR3536" s="3" t="s">
        <v>63</v>
      </c>
      <c r="AS3536" s="3" t="s">
        <v>63</v>
      </c>
      <c r="AT3536" s="3" t="s">
        <v>62</v>
      </c>
      <c r="AU3536" s="6" t="str">
        <f>HYPERLINK("http://catalog.hathitrust.org/Record/003152426","HathiTrust Record")</f>
        <v>HathiTrust Record</v>
      </c>
      <c r="AV3536" s="6" t="str">
        <f>HYPERLINK("http://mcgill.on.worldcat.org/oclc/36014067","Catalog Record")</f>
        <v>Catalog Record</v>
      </c>
      <c r="AW3536" s="6" t="str">
        <f>HYPERLINK("http://www.worldcat.org/oclc/36014067","WorldCat Record")</f>
        <v>WorldCat Record</v>
      </c>
      <c r="AX3536" s="3" t="s">
        <v>29698</v>
      </c>
      <c r="AY3536" s="3" t="s">
        <v>29699</v>
      </c>
      <c r="AZ3536" s="3" t="s">
        <v>29700</v>
      </c>
      <c r="BA3536" s="3" t="s">
        <v>29700</v>
      </c>
      <c r="BB3536" s="3" t="s">
        <v>29704</v>
      </c>
      <c r="BC3536" s="3" t="s">
        <v>82</v>
      </c>
      <c r="BD3536" s="3" t="s">
        <v>70</v>
      </c>
      <c r="BE3536" s="3" t="s">
        <v>29702</v>
      </c>
      <c r="BF3536" s="3" t="s">
        <v>29704</v>
      </c>
      <c r="BG3536" s="3" t="s">
        <v>29705</v>
      </c>
    </row>
    <row r="3537" spans="1:59" ht="60" x14ac:dyDescent="0.25">
      <c r="A3537" s="2" t="s">
        <v>59</v>
      </c>
      <c r="B3537" s="2" t="s">
        <v>60</v>
      </c>
      <c r="C3537" s="2" t="s">
        <v>29692</v>
      </c>
      <c r="D3537" s="2" t="s">
        <v>29693</v>
      </c>
      <c r="E3537" s="2" t="s">
        <v>29694</v>
      </c>
      <c r="F3537" s="3" t="s">
        <v>4437</v>
      </c>
      <c r="G3537" s="3" t="s">
        <v>62</v>
      </c>
      <c r="I3537" s="3" t="s">
        <v>63</v>
      </c>
      <c r="J3537" s="3" t="s">
        <v>63</v>
      </c>
      <c r="K3537" s="3" t="s">
        <v>64</v>
      </c>
      <c r="L3537" s="2" t="s">
        <v>29684</v>
      </c>
      <c r="M3537" s="2" t="s">
        <v>29695</v>
      </c>
      <c r="N3537" s="3" t="s">
        <v>204</v>
      </c>
      <c r="P3537" s="3" t="s">
        <v>90</v>
      </c>
      <c r="Q3537" s="2" t="s">
        <v>29696</v>
      </c>
      <c r="R3537" s="3" t="s">
        <v>67</v>
      </c>
      <c r="S3537" s="4">
        <v>3</v>
      </c>
      <c r="T3537" s="4">
        <v>9</v>
      </c>
      <c r="U3537" s="5" t="s">
        <v>29706</v>
      </c>
      <c r="V3537" s="5" t="s">
        <v>29697</v>
      </c>
      <c r="W3537" s="5" t="s">
        <v>69</v>
      </c>
      <c r="X3537" s="5" t="s">
        <v>69</v>
      </c>
      <c r="Y3537" s="4">
        <v>108</v>
      </c>
      <c r="Z3537" s="4">
        <v>7</v>
      </c>
      <c r="AA3537" s="4">
        <v>7</v>
      </c>
      <c r="AB3537" s="4">
        <v>1</v>
      </c>
      <c r="AC3537" s="4">
        <v>1</v>
      </c>
      <c r="AD3537" s="4">
        <v>58</v>
      </c>
      <c r="AE3537" s="4">
        <v>58</v>
      </c>
      <c r="AF3537" s="4">
        <v>0</v>
      </c>
      <c r="AG3537" s="4">
        <v>0</v>
      </c>
      <c r="AH3537" s="4">
        <v>56</v>
      </c>
      <c r="AI3537" s="4">
        <v>56</v>
      </c>
      <c r="AJ3537" s="4">
        <v>4</v>
      </c>
      <c r="AK3537" s="4">
        <v>4</v>
      </c>
      <c r="AL3537" s="4">
        <v>38</v>
      </c>
      <c r="AM3537" s="4">
        <v>38</v>
      </c>
      <c r="AN3537" s="4">
        <v>0</v>
      </c>
      <c r="AO3537" s="4">
        <v>0</v>
      </c>
      <c r="AP3537" s="4">
        <v>4</v>
      </c>
      <c r="AQ3537" s="4">
        <v>4</v>
      </c>
      <c r="AR3537" s="3" t="s">
        <v>63</v>
      </c>
      <c r="AS3537" s="3" t="s">
        <v>63</v>
      </c>
      <c r="AT3537" s="3" t="s">
        <v>62</v>
      </c>
      <c r="AU3537" s="6" t="str">
        <f>HYPERLINK("http://catalog.hathitrust.org/Record/003152426","HathiTrust Record")</f>
        <v>HathiTrust Record</v>
      </c>
      <c r="AV3537" s="6" t="str">
        <f>HYPERLINK("http://mcgill.on.worldcat.org/oclc/36014067","Catalog Record")</f>
        <v>Catalog Record</v>
      </c>
      <c r="AW3537" s="6" t="str">
        <f>HYPERLINK("http://www.worldcat.org/oclc/36014067","WorldCat Record")</f>
        <v>WorldCat Record</v>
      </c>
      <c r="AX3537" s="3" t="s">
        <v>29698</v>
      </c>
      <c r="AY3537" s="3" t="s">
        <v>29699</v>
      </c>
      <c r="AZ3537" s="3" t="s">
        <v>29700</v>
      </c>
      <c r="BA3537" s="3" t="s">
        <v>29700</v>
      </c>
      <c r="BB3537" s="3" t="s">
        <v>29707</v>
      </c>
      <c r="BC3537" s="3" t="s">
        <v>82</v>
      </c>
      <c r="BD3537" s="3" t="s">
        <v>70</v>
      </c>
      <c r="BE3537" s="3" t="s">
        <v>29702</v>
      </c>
      <c r="BF3537" s="3" t="s">
        <v>29707</v>
      </c>
      <c r="BG3537" s="3" t="s">
        <v>29708</v>
      </c>
    </row>
    <row r="3538" spans="1:59" ht="60" x14ac:dyDescent="0.25">
      <c r="A3538" s="2" t="s">
        <v>59</v>
      </c>
      <c r="B3538" s="2" t="s">
        <v>60</v>
      </c>
      <c r="C3538" s="2" t="s">
        <v>29692</v>
      </c>
      <c r="D3538" s="2" t="s">
        <v>29693</v>
      </c>
      <c r="E3538" s="2" t="s">
        <v>29694</v>
      </c>
      <c r="F3538" s="3" t="s">
        <v>571</v>
      </c>
      <c r="G3538" s="3" t="s">
        <v>62</v>
      </c>
      <c r="I3538" s="3" t="s">
        <v>63</v>
      </c>
      <c r="J3538" s="3" t="s">
        <v>63</v>
      </c>
      <c r="K3538" s="3" t="s">
        <v>64</v>
      </c>
      <c r="L3538" s="2" t="s">
        <v>29684</v>
      </c>
      <c r="M3538" s="2" t="s">
        <v>29695</v>
      </c>
      <c r="N3538" s="3" t="s">
        <v>204</v>
      </c>
      <c r="P3538" s="3" t="s">
        <v>90</v>
      </c>
      <c r="Q3538" s="2" t="s">
        <v>29696</v>
      </c>
      <c r="R3538" s="3" t="s">
        <v>67</v>
      </c>
      <c r="S3538" s="4">
        <v>2</v>
      </c>
      <c r="T3538" s="4">
        <v>9</v>
      </c>
      <c r="U3538" s="5" t="s">
        <v>29697</v>
      </c>
      <c r="V3538" s="5" t="s">
        <v>29697</v>
      </c>
      <c r="W3538" s="5" t="s">
        <v>69</v>
      </c>
      <c r="X3538" s="5" t="s">
        <v>69</v>
      </c>
      <c r="Y3538" s="4">
        <v>108</v>
      </c>
      <c r="Z3538" s="4">
        <v>7</v>
      </c>
      <c r="AA3538" s="4">
        <v>7</v>
      </c>
      <c r="AB3538" s="4">
        <v>1</v>
      </c>
      <c r="AC3538" s="4">
        <v>1</v>
      </c>
      <c r="AD3538" s="4">
        <v>58</v>
      </c>
      <c r="AE3538" s="4">
        <v>58</v>
      </c>
      <c r="AF3538" s="4">
        <v>0</v>
      </c>
      <c r="AG3538" s="4">
        <v>0</v>
      </c>
      <c r="AH3538" s="4">
        <v>56</v>
      </c>
      <c r="AI3538" s="4">
        <v>56</v>
      </c>
      <c r="AJ3538" s="4">
        <v>4</v>
      </c>
      <c r="AK3538" s="4">
        <v>4</v>
      </c>
      <c r="AL3538" s="4">
        <v>38</v>
      </c>
      <c r="AM3538" s="4">
        <v>38</v>
      </c>
      <c r="AN3538" s="4">
        <v>0</v>
      </c>
      <c r="AO3538" s="4">
        <v>0</v>
      </c>
      <c r="AP3538" s="4">
        <v>4</v>
      </c>
      <c r="AQ3538" s="4">
        <v>4</v>
      </c>
      <c r="AR3538" s="3" t="s">
        <v>63</v>
      </c>
      <c r="AS3538" s="3" t="s">
        <v>63</v>
      </c>
      <c r="AT3538" s="3" t="s">
        <v>62</v>
      </c>
      <c r="AU3538" s="6" t="str">
        <f>HYPERLINK("http://catalog.hathitrust.org/Record/003152426","HathiTrust Record")</f>
        <v>HathiTrust Record</v>
      </c>
      <c r="AV3538" s="6" t="str">
        <f>HYPERLINK("http://mcgill.on.worldcat.org/oclc/36014067","Catalog Record")</f>
        <v>Catalog Record</v>
      </c>
      <c r="AW3538" s="6" t="str">
        <f>HYPERLINK("http://www.worldcat.org/oclc/36014067","WorldCat Record")</f>
        <v>WorldCat Record</v>
      </c>
      <c r="AX3538" s="3" t="s">
        <v>29698</v>
      </c>
      <c r="AY3538" s="3" t="s">
        <v>29699</v>
      </c>
      <c r="AZ3538" s="3" t="s">
        <v>29700</v>
      </c>
      <c r="BA3538" s="3" t="s">
        <v>29700</v>
      </c>
      <c r="BB3538" s="3" t="s">
        <v>29709</v>
      </c>
      <c r="BC3538" s="3" t="s">
        <v>82</v>
      </c>
      <c r="BD3538" s="3" t="s">
        <v>70</v>
      </c>
      <c r="BE3538" s="3" t="s">
        <v>29702</v>
      </c>
      <c r="BF3538" s="3" t="s">
        <v>29709</v>
      </c>
      <c r="BG3538" s="3" t="s">
        <v>29710</v>
      </c>
    </row>
    <row r="3539" spans="1:59" ht="60" x14ac:dyDescent="0.25">
      <c r="A3539" s="2" t="s">
        <v>59</v>
      </c>
      <c r="B3539" s="2" t="s">
        <v>60</v>
      </c>
      <c r="C3539" s="2" t="s">
        <v>29711</v>
      </c>
      <c r="D3539" s="2" t="s">
        <v>29712</v>
      </c>
      <c r="E3539" s="2" t="s">
        <v>29713</v>
      </c>
      <c r="G3539" s="3" t="s">
        <v>63</v>
      </c>
      <c r="I3539" s="3" t="s">
        <v>63</v>
      </c>
      <c r="J3539" s="3" t="s">
        <v>63</v>
      </c>
      <c r="K3539" s="3" t="s">
        <v>64</v>
      </c>
      <c r="L3539" s="2" t="s">
        <v>29684</v>
      </c>
      <c r="M3539" s="2" t="s">
        <v>29714</v>
      </c>
      <c r="N3539" s="3" t="s">
        <v>374</v>
      </c>
      <c r="P3539" s="3" t="s">
        <v>90</v>
      </c>
      <c r="R3539" s="3" t="s">
        <v>67</v>
      </c>
      <c r="S3539" s="4">
        <v>5</v>
      </c>
      <c r="T3539" s="4">
        <v>5</v>
      </c>
      <c r="U3539" s="5" t="s">
        <v>9728</v>
      </c>
      <c r="V3539" s="5" t="s">
        <v>9728</v>
      </c>
      <c r="W3539" s="5" t="s">
        <v>69</v>
      </c>
      <c r="X3539" s="5" t="s">
        <v>69</v>
      </c>
      <c r="Y3539" s="4">
        <v>44</v>
      </c>
      <c r="Z3539" s="4">
        <v>1</v>
      </c>
      <c r="AA3539" s="4">
        <v>10</v>
      </c>
      <c r="AB3539" s="4">
        <v>1</v>
      </c>
      <c r="AC3539" s="4">
        <v>1</v>
      </c>
      <c r="AD3539" s="4">
        <v>30</v>
      </c>
      <c r="AE3539" s="4">
        <v>67</v>
      </c>
      <c r="AF3539" s="4">
        <v>0</v>
      </c>
      <c r="AG3539" s="4">
        <v>0</v>
      </c>
      <c r="AH3539" s="4">
        <v>28</v>
      </c>
      <c r="AI3539" s="4">
        <v>64</v>
      </c>
      <c r="AJ3539" s="4">
        <v>0</v>
      </c>
      <c r="AK3539" s="4">
        <v>7</v>
      </c>
      <c r="AL3539" s="4">
        <v>23</v>
      </c>
      <c r="AM3539" s="4">
        <v>42</v>
      </c>
      <c r="AN3539" s="4">
        <v>0</v>
      </c>
      <c r="AO3539" s="4">
        <v>0</v>
      </c>
      <c r="AP3539" s="4">
        <v>0</v>
      </c>
      <c r="AQ3539" s="4">
        <v>7</v>
      </c>
      <c r="AR3539" s="3" t="s">
        <v>63</v>
      </c>
      <c r="AS3539" s="3" t="s">
        <v>63</v>
      </c>
      <c r="AT3539" s="3" t="s">
        <v>63</v>
      </c>
      <c r="AV3539" s="6" t="str">
        <f>HYPERLINK("http://mcgill.on.worldcat.org/oclc/33247697","Catalog Record")</f>
        <v>Catalog Record</v>
      </c>
      <c r="AW3539" s="6" t="str">
        <f>HYPERLINK("http://www.worldcat.org/oclc/33247697","WorldCat Record")</f>
        <v>WorldCat Record</v>
      </c>
      <c r="AX3539" s="3" t="s">
        <v>29715</v>
      </c>
      <c r="AY3539" s="3" t="s">
        <v>29716</v>
      </c>
      <c r="AZ3539" s="3" t="s">
        <v>29717</v>
      </c>
      <c r="BA3539" s="3" t="s">
        <v>29717</v>
      </c>
      <c r="BB3539" s="3" t="s">
        <v>29718</v>
      </c>
      <c r="BC3539" s="3" t="s">
        <v>82</v>
      </c>
      <c r="BD3539" s="3" t="s">
        <v>70</v>
      </c>
      <c r="BF3539" s="3" t="s">
        <v>29718</v>
      </c>
      <c r="BG3539" s="3" t="s">
        <v>29719</v>
      </c>
    </row>
    <row r="3540" spans="1:59" ht="60" x14ac:dyDescent="0.25">
      <c r="A3540" s="2" t="s">
        <v>59</v>
      </c>
      <c r="B3540" s="2" t="s">
        <v>60</v>
      </c>
      <c r="C3540" s="2" t="s">
        <v>29720</v>
      </c>
      <c r="D3540" s="2" t="s">
        <v>29721</v>
      </c>
      <c r="E3540" s="2" t="s">
        <v>29722</v>
      </c>
      <c r="G3540" s="3" t="s">
        <v>63</v>
      </c>
      <c r="I3540" s="3" t="s">
        <v>62</v>
      </c>
      <c r="J3540" s="3" t="s">
        <v>63</v>
      </c>
      <c r="K3540" s="3" t="s">
        <v>64</v>
      </c>
      <c r="L3540" s="2" t="s">
        <v>29684</v>
      </c>
      <c r="M3540" s="2" t="s">
        <v>27780</v>
      </c>
      <c r="N3540" s="3" t="s">
        <v>814</v>
      </c>
      <c r="P3540" s="3" t="s">
        <v>90</v>
      </c>
      <c r="R3540" s="3" t="s">
        <v>67</v>
      </c>
      <c r="S3540" s="4">
        <v>11</v>
      </c>
      <c r="T3540" s="4">
        <v>25</v>
      </c>
      <c r="U3540" s="5" t="s">
        <v>9728</v>
      </c>
      <c r="V3540" s="5" t="s">
        <v>9728</v>
      </c>
      <c r="W3540" s="5" t="s">
        <v>69</v>
      </c>
      <c r="X3540" s="5" t="s">
        <v>69</v>
      </c>
      <c r="Y3540" s="4">
        <v>242</v>
      </c>
      <c r="Z3540" s="4">
        <v>20</v>
      </c>
      <c r="AA3540" s="4">
        <v>25</v>
      </c>
      <c r="AB3540" s="4">
        <v>1</v>
      </c>
      <c r="AC3540" s="4">
        <v>2</v>
      </c>
      <c r="AD3540" s="4">
        <v>100</v>
      </c>
      <c r="AE3540" s="4">
        <v>106</v>
      </c>
      <c r="AF3540" s="4">
        <v>0</v>
      </c>
      <c r="AG3540" s="4">
        <v>0</v>
      </c>
      <c r="AH3540" s="4">
        <v>91</v>
      </c>
      <c r="AI3540" s="4">
        <v>96</v>
      </c>
      <c r="AJ3540" s="4">
        <v>17</v>
      </c>
      <c r="AK3540" s="4">
        <v>18</v>
      </c>
      <c r="AL3540" s="4">
        <v>52</v>
      </c>
      <c r="AM3540" s="4">
        <v>56</v>
      </c>
      <c r="AN3540" s="4">
        <v>0</v>
      </c>
      <c r="AO3540" s="4">
        <v>2</v>
      </c>
      <c r="AP3540" s="4">
        <v>17</v>
      </c>
      <c r="AQ3540" s="4">
        <v>18</v>
      </c>
      <c r="AR3540" s="3" t="s">
        <v>63</v>
      </c>
      <c r="AS3540" s="3" t="s">
        <v>63</v>
      </c>
      <c r="AT3540" s="3" t="s">
        <v>62</v>
      </c>
      <c r="AU3540" s="6" t="str">
        <f>HYPERLINK("http://catalog.hathitrust.org/Record/001227812","HathiTrust Record")</f>
        <v>HathiTrust Record</v>
      </c>
      <c r="AV3540" s="6" t="str">
        <f>HYPERLINK("http://mcgill.on.worldcat.org/oclc/4231805","Catalog Record")</f>
        <v>Catalog Record</v>
      </c>
      <c r="AW3540" s="6" t="str">
        <f>HYPERLINK("http://www.worldcat.org/oclc/4231805","WorldCat Record")</f>
        <v>WorldCat Record</v>
      </c>
      <c r="AX3540" s="3" t="s">
        <v>29723</v>
      </c>
      <c r="AY3540" s="3" t="s">
        <v>29724</v>
      </c>
      <c r="AZ3540" s="3" t="s">
        <v>29725</v>
      </c>
      <c r="BA3540" s="3" t="s">
        <v>29725</v>
      </c>
      <c r="BB3540" s="3" t="s">
        <v>29726</v>
      </c>
      <c r="BC3540" s="3" t="s">
        <v>82</v>
      </c>
      <c r="BD3540" s="3" t="s">
        <v>70</v>
      </c>
      <c r="BE3540" s="3" t="s">
        <v>29727</v>
      </c>
      <c r="BF3540" s="3" t="s">
        <v>29726</v>
      </c>
      <c r="BG3540" s="3" t="s">
        <v>29728</v>
      </c>
    </row>
    <row r="3541" spans="1:59" ht="60" x14ac:dyDescent="0.25">
      <c r="A3541" s="2" t="s">
        <v>59</v>
      </c>
      <c r="B3541" s="2" t="s">
        <v>60</v>
      </c>
      <c r="C3541" s="2" t="s">
        <v>29720</v>
      </c>
      <c r="D3541" s="2" t="s">
        <v>29721</v>
      </c>
      <c r="E3541" s="2" t="s">
        <v>29722</v>
      </c>
      <c r="G3541" s="3" t="s">
        <v>63</v>
      </c>
      <c r="I3541" s="3" t="s">
        <v>62</v>
      </c>
      <c r="J3541" s="3" t="s">
        <v>63</v>
      </c>
      <c r="K3541" s="3" t="s">
        <v>64</v>
      </c>
      <c r="L3541" s="2" t="s">
        <v>29684</v>
      </c>
      <c r="M3541" s="2" t="s">
        <v>27780</v>
      </c>
      <c r="N3541" s="3" t="s">
        <v>814</v>
      </c>
      <c r="P3541" s="3" t="s">
        <v>90</v>
      </c>
      <c r="R3541" s="3" t="s">
        <v>67</v>
      </c>
      <c r="S3541" s="4">
        <v>14</v>
      </c>
      <c r="T3541" s="4">
        <v>25</v>
      </c>
      <c r="U3541" s="5" t="s">
        <v>29729</v>
      </c>
      <c r="V3541" s="5" t="s">
        <v>9728</v>
      </c>
      <c r="W3541" s="5" t="s">
        <v>69</v>
      </c>
      <c r="X3541" s="5" t="s">
        <v>69</v>
      </c>
      <c r="Y3541" s="4">
        <v>242</v>
      </c>
      <c r="Z3541" s="4">
        <v>20</v>
      </c>
      <c r="AA3541" s="4">
        <v>25</v>
      </c>
      <c r="AB3541" s="4">
        <v>1</v>
      </c>
      <c r="AC3541" s="4">
        <v>2</v>
      </c>
      <c r="AD3541" s="4">
        <v>100</v>
      </c>
      <c r="AE3541" s="4">
        <v>106</v>
      </c>
      <c r="AF3541" s="4">
        <v>0</v>
      </c>
      <c r="AG3541" s="4">
        <v>0</v>
      </c>
      <c r="AH3541" s="4">
        <v>91</v>
      </c>
      <c r="AI3541" s="4">
        <v>96</v>
      </c>
      <c r="AJ3541" s="4">
        <v>17</v>
      </c>
      <c r="AK3541" s="4">
        <v>18</v>
      </c>
      <c r="AL3541" s="4">
        <v>52</v>
      </c>
      <c r="AM3541" s="4">
        <v>56</v>
      </c>
      <c r="AN3541" s="4">
        <v>0</v>
      </c>
      <c r="AO3541" s="4">
        <v>2</v>
      </c>
      <c r="AP3541" s="4">
        <v>17</v>
      </c>
      <c r="AQ3541" s="4">
        <v>18</v>
      </c>
      <c r="AR3541" s="3" t="s">
        <v>63</v>
      </c>
      <c r="AS3541" s="3" t="s">
        <v>63</v>
      </c>
      <c r="AT3541" s="3" t="s">
        <v>62</v>
      </c>
      <c r="AU3541" s="6" t="str">
        <f>HYPERLINK("http://catalog.hathitrust.org/Record/001227812","HathiTrust Record")</f>
        <v>HathiTrust Record</v>
      </c>
      <c r="AV3541" s="6" t="str">
        <f>HYPERLINK("http://mcgill.on.worldcat.org/oclc/4231805","Catalog Record")</f>
        <v>Catalog Record</v>
      </c>
      <c r="AW3541" s="6" t="str">
        <f>HYPERLINK("http://www.worldcat.org/oclc/4231805","WorldCat Record")</f>
        <v>WorldCat Record</v>
      </c>
      <c r="AX3541" s="3" t="s">
        <v>29723</v>
      </c>
      <c r="AY3541" s="3" t="s">
        <v>29724</v>
      </c>
      <c r="AZ3541" s="3" t="s">
        <v>29725</v>
      </c>
      <c r="BA3541" s="3" t="s">
        <v>29725</v>
      </c>
      <c r="BB3541" s="3" t="s">
        <v>29730</v>
      </c>
      <c r="BC3541" s="3" t="s">
        <v>82</v>
      </c>
      <c r="BD3541" s="3" t="s">
        <v>70</v>
      </c>
      <c r="BE3541" s="3" t="s">
        <v>29727</v>
      </c>
      <c r="BF3541" s="3" t="s">
        <v>29730</v>
      </c>
      <c r="BG3541" s="3" t="s">
        <v>29731</v>
      </c>
    </row>
    <row r="3542" spans="1:59" ht="60" x14ac:dyDescent="0.25">
      <c r="A3542" s="2" t="s">
        <v>59</v>
      </c>
      <c r="B3542" s="2" t="s">
        <v>60</v>
      </c>
      <c r="C3542" s="2" t="s">
        <v>29732</v>
      </c>
      <c r="D3542" s="2" t="s">
        <v>29733</v>
      </c>
      <c r="E3542" s="2" t="s">
        <v>29734</v>
      </c>
      <c r="G3542" s="3" t="s">
        <v>63</v>
      </c>
      <c r="I3542" s="3" t="s">
        <v>63</v>
      </c>
      <c r="J3542" s="3" t="s">
        <v>63</v>
      </c>
      <c r="K3542" s="3" t="s">
        <v>64</v>
      </c>
      <c r="L3542" s="2" t="s">
        <v>29684</v>
      </c>
      <c r="M3542" s="2" t="s">
        <v>29735</v>
      </c>
      <c r="N3542" s="3" t="s">
        <v>1418</v>
      </c>
      <c r="O3542" s="2" t="s">
        <v>590</v>
      </c>
      <c r="P3542" s="3" t="s">
        <v>66</v>
      </c>
      <c r="R3542" s="3" t="s">
        <v>67</v>
      </c>
      <c r="S3542" s="4">
        <v>20</v>
      </c>
      <c r="T3542" s="4">
        <v>20</v>
      </c>
      <c r="U3542" s="5" t="s">
        <v>29736</v>
      </c>
      <c r="V3542" s="5" t="s">
        <v>29736</v>
      </c>
      <c r="W3542" s="5" t="s">
        <v>69</v>
      </c>
      <c r="X3542" s="5" t="s">
        <v>69</v>
      </c>
      <c r="Y3542" s="4">
        <v>471</v>
      </c>
      <c r="Z3542" s="4">
        <v>20</v>
      </c>
      <c r="AA3542" s="4">
        <v>32</v>
      </c>
      <c r="AB3542" s="4">
        <v>2</v>
      </c>
      <c r="AC3542" s="4">
        <v>2</v>
      </c>
      <c r="AD3542" s="4">
        <v>96</v>
      </c>
      <c r="AE3542" s="4">
        <v>115</v>
      </c>
      <c r="AF3542" s="4">
        <v>0</v>
      </c>
      <c r="AG3542" s="4">
        <v>0</v>
      </c>
      <c r="AH3542" s="4">
        <v>84</v>
      </c>
      <c r="AI3542" s="4">
        <v>99</v>
      </c>
      <c r="AJ3542" s="4">
        <v>13</v>
      </c>
      <c r="AK3542" s="4">
        <v>17</v>
      </c>
      <c r="AL3542" s="4">
        <v>51</v>
      </c>
      <c r="AM3542" s="4">
        <v>55</v>
      </c>
      <c r="AN3542" s="4">
        <v>0</v>
      </c>
      <c r="AO3542" s="4">
        <v>0</v>
      </c>
      <c r="AP3542" s="4">
        <v>12</v>
      </c>
      <c r="AQ3542" s="4">
        <v>20</v>
      </c>
      <c r="AR3542" s="3" t="s">
        <v>63</v>
      </c>
      <c r="AS3542" s="3" t="s">
        <v>63</v>
      </c>
      <c r="AT3542" s="3" t="s">
        <v>62</v>
      </c>
      <c r="AU3542" s="6" t="str">
        <f>HYPERLINK("http://catalog.hathitrust.org/Record/000877214","HathiTrust Record")</f>
        <v>HathiTrust Record</v>
      </c>
      <c r="AV3542" s="6" t="str">
        <f>HYPERLINK("http://mcgill.on.worldcat.org/oclc/16226782","Catalog Record")</f>
        <v>Catalog Record</v>
      </c>
      <c r="AW3542" s="6" t="str">
        <f>HYPERLINK("http://www.worldcat.org/oclc/16226782","WorldCat Record")</f>
        <v>WorldCat Record</v>
      </c>
      <c r="AX3542" s="3" t="s">
        <v>29737</v>
      </c>
      <c r="AY3542" s="3" t="s">
        <v>29738</v>
      </c>
      <c r="AZ3542" s="3" t="s">
        <v>29739</v>
      </c>
      <c r="BA3542" s="3" t="s">
        <v>29739</v>
      </c>
      <c r="BB3542" s="3" t="s">
        <v>29740</v>
      </c>
      <c r="BC3542" s="3" t="s">
        <v>82</v>
      </c>
      <c r="BD3542" s="3" t="s">
        <v>70</v>
      </c>
      <c r="BE3542" s="3" t="s">
        <v>29741</v>
      </c>
      <c r="BF3542" s="3" t="s">
        <v>29740</v>
      </c>
      <c r="BG3542" s="3" t="s">
        <v>29742</v>
      </c>
    </row>
    <row r="3543" spans="1:59" ht="60" x14ac:dyDescent="0.25">
      <c r="A3543" s="2" t="s">
        <v>59</v>
      </c>
      <c r="B3543" s="2" t="s">
        <v>60</v>
      </c>
      <c r="C3543" s="2" t="s">
        <v>29743</v>
      </c>
      <c r="D3543" s="2" t="s">
        <v>29744</v>
      </c>
      <c r="E3543" s="2" t="s">
        <v>29745</v>
      </c>
      <c r="G3543" s="3" t="s">
        <v>63</v>
      </c>
      <c r="I3543" s="3" t="s">
        <v>63</v>
      </c>
      <c r="J3543" s="3" t="s">
        <v>63</v>
      </c>
      <c r="K3543" s="3" t="s">
        <v>64</v>
      </c>
      <c r="L3543" s="2" t="s">
        <v>29746</v>
      </c>
      <c r="M3543" s="2" t="s">
        <v>29747</v>
      </c>
      <c r="N3543" s="3" t="s">
        <v>106</v>
      </c>
      <c r="P3543" s="3" t="s">
        <v>90</v>
      </c>
      <c r="Q3543" s="2" t="s">
        <v>29748</v>
      </c>
      <c r="R3543" s="3" t="s">
        <v>67</v>
      </c>
      <c r="S3543" s="4">
        <v>0</v>
      </c>
      <c r="T3543" s="4">
        <v>0</v>
      </c>
      <c r="W3543" s="5" t="s">
        <v>69</v>
      </c>
      <c r="X3543" s="5" t="s">
        <v>69</v>
      </c>
      <c r="Y3543" s="4">
        <v>36</v>
      </c>
      <c r="Z3543" s="4">
        <v>1</v>
      </c>
      <c r="AA3543" s="4">
        <v>1</v>
      </c>
      <c r="AB3543" s="4">
        <v>1</v>
      </c>
      <c r="AC3543" s="4">
        <v>1</v>
      </c>
      <c r="AD3543" s="4">
        <v>29</v>
      </c>
      <c r="AE3543" s="4">
        <v>29</v>
      </c>
      <c r="AF3543" s="4">
        <v>0</v>
      </c>
      <c r="AG3543" s="4">
        <v>0</v>
      </c>
      <c r="AH3543" s="4">
        <v>28</v>
      </c>
      <c r="AI3543" s="4">
        <v>28</v>
      </c>
      <c r="AJ3543" s="4">
        <v>0</v>
      </c>
      <c r="AK3543" s="4">
        <v>0</v>
      </c>
      <c r="AL3543" s="4">
        <v>24</v>
      </c>
      <c r="AM3543" s="4">
        <v>24</v>
      </c>
      <c r="AN3543" s="4">
        <v>0</v>
      </c>
      <c r="AO3543" s="4">
        <v>0</v>
      </c>
      <c r="AP3543" s="4">
        <v>0</v>
      </c>
      <c r="AQ3543" s="4">
        <v>0</v>
      </c>
      <c r="AR3543" s="3" t="s">
        <v>63</v>
      </c>
      <c r="AS3543" s="3" t="s">
        <v>63</v>
      </c>
      <c r="AT3543" s="3" t="s">
        <v>63</v>
      </c>
      <c r="AV3543" s="6" t="str">
        <f>HYPERLINK("http://mcgill.on.worldcat.org/oclc/958391332","Catalog Record")</f>
        <v>Catalog Record</v>
      </c>
      <c r="AW3543" s="6" t="str">
        <f>HYPERLINK("http://www.worldcat.org/oclc/958391332","WorldCat Record")</f>
        <v>WorldCat Record</v>
      </c>
      <c r="AX3543" s="3" t="s">
        <v>29749</v>
      </c>
      <c r="AY3543" s="3" t="s">
        <v>29750</v>
      </c>
      <c r="AZ3543" s="3" t="s">
        <v>29751</v>
      </c>
      <c r="BA3543" s="3" t="s">
        <v>29751</v>
      </c>
      <c r="BB3543" s="3" t="s">
        <v>29752</v>
      </c>
      <c r="BC3543" s="3" t="s">
        <v>82</v>
      </c>
      <c r="BD3543" s="3" t="s">
        <v>70</v>
      </c>
      <c r="BE3543" s="3" t="s">
        <v>29753</v>
      </c>
      <c r="BF3543" s="3" t="s">
        <v>29752</v>
      </c>
      <c r="BG3543" s="3" t="s">
        <v>29754</v>
      </c>
    </row>
    <row r="3544" spans="1:59" ht="75" x14ac:dyDescent="0.25">
      <c r="A3544" s="2" t="s">
        <v>59</v>
      </c>
      <c r="B3544" s="2" t="s">
        <v>60</v>
      </c>
      <c r="C3544" s="2" t="s">
        <v>29755</v>
      </c>
      <c r="D3544" s="2" t="s">
        <v>29756</v>
      </c>
      <c r="E3544" s="2" t="s">
        <v>29757</v>
      </c>
      <c r="G3544" s="3" t="s">
        <v>63</v>
      </c>
      <c r="I3544" s="3" t="s">
        <v>63</v>
      </c>
      <c r="J3544" s="3" t="s">
        <v>63</v>
      </c>
      <c r="K3544" s="3" t="s">
        <v>64</v>
      </c>
      <c r="L3544" s="2" t="s">
        <v>29758</v>
      </c>
      <c r="M3544" s="2" t="s">
        <v>29759</v>
      </c>
      <c r="N3544" s="3" t="s">
        <v>261</v>
      </c>
      <c r="P3544" s="3" t="s">
        <v>90</v>
      </c>
      <c r="R3544" s="3" t="s">
        <v>67</v>
      </c>
      <c r="S3544" s="4">
        <v>2</v>
      </c>
      <c r="T3544" s="4">
        <v>2</v>
      </c>
      <c r="U3544" s="5" t="s">
        <v>29306</v>
      </c>
      <c r="V3544" s="5" t="s">
        <v>29306</v>
      </c>
      <c r="W3544" s="5" t="s">
        <v>69</v>
      </c>
      <c r="X3544" s="5" t="s">
        <v>69</v>
      </c>
      <c r="Y3544" s="4">
        <v>34</v>
      </c>
      <c r="Z3544" s="4">
        <v>5</v>
      </c>
      <c r="AA3544" s="4">
        <v>6</v>
      </c>
      <c r="AB3544" s="4">
        <v>2</v>
      </c>
      <c r="AC3544" s="4">
        <v>2</v>
      </c>
      <c r="AD3544" s="4">
        <v>14</v>
      </c>
      <c r="AE3544" s="4">
        <v>17</v>
      </c>
      <c r="AF3544" s="4">
        <v>0</v>
      </c>
      <c r="AG3544" s="4">
        <v>0</v>
      </c>
      <c r="AH3544" s="4">
        <v>13</v>
      </c>
      <c r="AI3544" s="4">
        <v>16</v>
      </c>
      <c r="AJ3544" s="4">
        <v>2</v>
      </c>
      <c r="AK3544" s="4">
        <v>2</v>
      </c>
      <c r="AL3544" s="4">
        <v>9</v>
      </c>
      <c r="AM3544" s="4">
        <v>12</v>
      </c>
      <c r="AN3544" s="4">
        <v>0</v>
      </c>
      <c r="AO3544" s="4">
        <v>0</v>
      </c>
      <c r="AP3544" s="4">
        <v>2</v>
      </c>
      <c r="AQ3544" s="4">
        <v>2</v>
      </c>
      <c r="AR3544" s="3" t="s">
        <v>63</v>
      </c>
      <c r="AS3544" s="3" t="s">
        <v>63</v>
      </c>
      <c r="AT3544" s="3" t="s">
        <v>63</v>
      </c>
      <c r="AV3544" s="6" t="str">
        <f>HYPERLINK("http://mcgill.on.worldcat.org/oclc/163620208","Catalog Record")</f>
        <v>Catalog Record</v>
      </c>
      <c r="AW3544" s="6" t="str">
        <f>HYPERLINK("http://www.worldcat.org/oclc/163620208","WorldCat Record")</f>
        <v>WorldCat Record</v>
      </c>
      <c r="AX3544" s="3" t="s">
        <v>29760</v>
      </c>
      <c r="AY3544" s="3" t="s">
        <v>29761</v>
      </c>
      <c r="AZ3544" s="3" t="s">
        <v>29762</v>
      </c>
      <c r="BA3544" s="3" t="s">
        <v>29762</v>
      </c>
      <c r="BB3544" s="3" t="s">
        <v>29763</v>
      </c>
      <c r="BC3544" s="3" t="s">
        <v>82</v>
      </c>
      <c r="BD3544" s="3" t="s">
        <v>70</v>
      </c>
      <c r="BE3544" s="3" t="s">
        <v>29764</v>
      </c>
      <c r="BF3544" s="3" t="s">
        <v>29763</v>
      </c>
      <c r="BG3544" s="3" t="s">
        <v>29765</v>
      </c>
    </row>
    <row r="3545" spans="1:59" ht="60" x14ac:dyDescent="0.25">
      <c r="A3545" s="2" t="s">
        <v>59</v>
      </c>
      <c r="B3545" s="2" t="s">
        <v>60</v>
      </c>
      <c r="C3545" s="2" t="s">
        <v>29766</v>
      </c>
      <c r="D3545" s="2" t="s">
        <v>29767</v>
      </c>
      <c r="E3545" s="2" t="s">
        <v>29768</v>
      </c>
      <c r="G3545" s="3" t="s">
        <v>63</v>
      </c>
      <c r="I3545" s="3" t="s">
        <v>63</v>
      </c>
      <c r="J3545" s="3" t="s">
        <v>63</v>
      </c>
      <c r="K3545" s="3" t="s">
        <v>64</v>
      </c>
      <c r="L3545" s="2" t="s">
        <v>29769</v>
      </c>
      <c r="M3545" s="2" t="s">
        <v>29770</v>
      </c>
      <c r="N3545" s="3" t="s">
        <v>287</v>
      </c>
      <c r="P3545" s="3" t="s">
        <v>90</v>
      </c>
      <c r="Q3545" s="2" t="s">
        <v>29771</v>
      </c>
      <c r="R3545" s="3" t="s">
        <v>67</v>
      </c>
      <c r="S3545" s="4">
        <v>1</v>
      </c>
      <c r="T3545" s="4">
        <v>1</v>
      </c>
      <c r="U3545" s="5" t="s">
        <v>6011</v>
      </c>
      <c r="V3545" s="5" t="s">
        <v>6011</v>
      </c>
      <c r="W3545" s="5" t="s">
        <v>12377</v>
      </c>
      <c r="X3545" s="5" t="s">
        <v>12377</v>
      </c>
      <c r="Y3545" s="4">
        <v>9</v>
      </c>
      <c r="Z3545" s="4">
        <v>1</v>
      </c>
      <c r="AA3545" s="4">
        <v>1</v>
      </c>
      <c r="AB3545" s="4">
        <v>1</v>
      </c>
      <c r="AC3545" s="4">
        <v>1</v>
      </c>
      <c r="AD3545" s="4">
        <v>8</v>
      </c>
      <c r="AE3545" s="4">
        <v>8</v>
      </c>
      <c r="AF3545" s="4">
        <v>0</v>
      </c>
      <c r="AG3545" s="4">
        <v>0</v>
      </c>
      <c r="AH3545" s="4">
        <v>8</v>
      </c>
      <c r="AI3545" s="4">
        <v>8</v>
      </c>
      <c r="AJ3545" s="4">
        <v>0</v>
      </c>
      <c r="AK3545" s="4">
        <v>0</v>
      </c>
      <c r="AL3545" s="4">
        <v>5</v>
      </c>
      <c r="AM3545" s="4">
        <v>5</v>
      </c>
      <c r="AN3545" s="4">
        <v>0</v>
      </c>
      <c r="AO3545" s="4">
        <v>0</v>
      </c>
      <c r="AP3545" s="4">
        <v>0</v>
      </c>
      <c r="AQ3545" s="4">
        <v>0</v>
      </c>
      <c r="AR3545" s="3" t="s">
        <v>63</v>
      </c>
      <c r="AS3545" s="3" t="s">
        <v>63</v>
      </c>
      <c r="AT3545" s="3" t="s">
        <v>63</v>
      </c>
      <c r="AV3545" s="6" t="str">
        <f>HYPERLINK("http://mcgill.on.worldcat.org/oclc/1054262307","Catalog Record")</f>
        <v>Catalog Record</v>
      </c>
      <c r="AW3545" s="6" t="str">
        <f>HYPERLINK("http://www.worldcat.org/oclc/1054262307","WorldCat Record")</f>
        <v>WorldCat Record</v>
      </c>
      <c r="AX3545" s="3" t="s">
        <v>29772</v>
      </c>
      <c r="AY3545" s="3" t="s">
        <v>29773</v>
      </c>
      <c r="AZ3545" s="3" t="s">
        <v>29774</v>
      </c>
      <c r="BA3545" s="3" t="s">
        <v>29774</v>
      </c>
      <c r="BB3545" s="3" t="s">
        <v>29775</v>
      </c>
      <c r="BC3545" s="3" t="s">
        <v>82</v>
      </c>
      <c r="BD3545" s="3" t="s">
        <v>70</v>
      </c>
      <c r="BE3545" s="3" t="s">
        <v>29776</v>
      </c>
      <c r="BF3545" s="3" t="s">
        <v>29775</v>
      </c>
      <c r="BG3545" s="3" t="s">
        <v>29777</v>
      </c>
    </row>
    <row r="3546" spans="1:59" ht="60" x14ac:dyDescent="0.25">
      <c r="A3546" s="2" t="s">
        <v>59</v>
      </c>
      <c r="B3546" s="2" t="s">
        <v>60</v>
      </c>
      <c r="C3546" s="2" t="s">
        <v>29999</v>
      </c>
      <c r="D3546" s="2" t="s">
        <v>30000</v>
      </c>
      <c r="E3546" s="2" t="s">
        <v>30001</v>
      </c>
      <c r="F3546" s="3" t="s">
        <v>571</v>
      </c>
      <c r="G3546" s="3" t="s">
        <v>62</v>
      </c>
      <c r="I3546" s="3" t="s">
        <v>63</v>
      </c>
      <c r="J3546" s="3" t="s">
        <v>63</v>
      </c>
      <c r="K3546" s="3" t="s">
        <v>64</v>
      </c>
      <c r="L3546" s="2" t="s">
        <v>29792</v>
      </c>
      <c r="M3546" s="2" t="s">
        <v>30002</v>
      </c>
      <c r="N3546" s="3" t="s">
        <v>531</v>
      </c>
      <c r="P3546" s="3" t="s">
        <v>90</v>
      </c>
      <c r="R3546" s="3" t="s">
        <v>67</v>
      </c>
      <c r="S3546" s="4">
        <v>13</v>
      </c>
      <c r="T3546" s="4">
        <v>33</v>
      </c>
      <c r="U3546" s="5" t="s">
        <v>29815</v>
      </c>
      <c r="V3546" s="5" t="s">
        <v>16663</v>
      </c>
      <c r="W3546" s="5" t="s">
        <v>69</v>
      </c>
      <c r="X3546" s="5" t="s">
        <v>69</v>
      </c>
      <c r="Y3546" s="4">
        <v>114</v>
      </c>
      <c r="Z3546" s="4">
        <v>9</v>
      </c>
      <c r="AA3546" s="4">
        <v>9</v>
      </c>
      <c r="AB3546" s="4">
        <v>1</v>
      </c>
      <c r="AC3546" s="4">
        <v>1</v>
      </c>
      <c r="AD3546" s="4">
        <v>61</v>
      </c>
      <c r="AE3546" s="4">
        <v>64</v>
      </c>
      <c r="AF3546" s="4">
        <v>0</v>
      </c>
      <c r="AG3546" s="4">
        <v>0</v>
      </c>
      <c r="AH3546" s="4">
        <v>58</v>
      </c>
      <c r="AI3546" s="4">
        <v>60</v>
      </c>
      <c r="AJ3546" s="4">
        <v>7</v>
      </c>
      <c r="AK3546" s="4">
        <v>7</v>
      </c>
      <c r="AL3546" s="4">
        <v>41</v>
      </c>
      <c r="AM3546" s="4">
        <v>43</v>
      </c>
      <c r="AN3546" s="4">
        <v>0</v>
      </c>
      <c r="AO3546" s="4">
        <v>0</v>
      </c>
      <c r="AP3546" s="4">
        <v>7</v>
      </c>
      <c r="AQ3546" s="4">
        <v>7</v>
      </c>
      <c r="AR3546" s="3" t="s">
        <v>63</v>
      </c>
      <c r="AS3546" s="3" t="s">
        <v>63</v>
      </c>
      <c r="AT3546" s="3" t="s">
        <v>62</v>
      </c>
      <c r="AU3546" s="6" t="str">
        <f>HYPERLINK("http://catalog.hathitrust.org/Record/002734683","HathiTrust Record")</f>
        <v>HathiTrust Record</v>
      </c>
      <c r="AV3546" s="6" t="str">
        <f>HYPERLINK("http://mcgill.on.worldcat.org/oclc/29549193","Catalog Record")</f>
        <v>Catalog Record</v>
      </c>
      <c r="AW3546" s="6" t="str">
        <f>HYPERLINK("http://www.worldcat.org/oclc/29549193","WorldCat Record")</f>
        <v>WorldCat Record</v>
      </c>
      <c r="AX3546" s="3" t="s">
        <v>30003</v>
      </c>
      <c r="AY3546" s="3" t="s">
        <v>30004</v>
      </c>
      <c r="AZ3546" s="3" t="s">
        <v>30005</v>
      </c>
      <c r="BA3546" s="3" t="s">
        <v>30005</v>
      </c>
      <c r="BB3546" s="3" t="s">
        <v>30006</v>
      </c>
      <c r="BC3546" s="3" t="s">
        <v>82</v>
      </c>
      <c r="BD3546" s="3" t="s">
        <v>70</v>
      </c>
      <c r="BE3546" s="3" t="s">
        <v>30007</v>
      </c>
      <c r="BF3546" s="3" t="s">
        <v>30006</v>
      </c>
      <c r="BG3546" s="3" t="s">
        <v>30008</v>
      </c>
    </row>
    <row r="3547" spans="1:59" ht="60" x14ac:dyDescent="0.25">
      <c r="A3547" s="2" t="s">
        <v>59</v>
      </c>
      <c r="B3547" s="2" t="s">
        <v>60</v>
      </c>
      <c r="C3547" s="2" t="s">
        <v>29999</v>
      </c>
      <c r="D3547" s="2" t="s">
        <v>30000</v>
      </c>
      <c r="E3547" s="2" t="s">
        <v>30001</v>
      </c>
      <c r="F3547" s="3" t="s">
        <v>582</v>
      </c>
      <c r="G3547" s="3" t="s">
        <v>62</v>
      </c>
      <c r="I3547" s="3" t="s">
        <v>63</v>
      </c>
      <c r="J3547" s="3" t="s">
        <v>63</v>
      </c>
      <c r="K3547" s="3" t="s">
        <v>64</v>
      </c>
      <c r="L3547" s="2" t="s">
        <v>29792</v>
      </c>
      <c r="M3547" s="2" t="s">
        <v>30002</v>
      </c>
      <c r="N3547" s="3" t="s">
        <v>531</v>
      </c>
      <c r="P3547" s="3" t="s">
        <v>90</v>
      </c>
      <c r="R3547" s="3" t="s">
        <v>67</v>
      </c>
      <c r="S3547" s="4">
        <v>10</v>
      </c>
      <c r="T3547" s="4">
        <v>33</v>
      </c>
      <c r="U3547" s="5" t="s">
        <v>12050</v>
      </c>
      <c r="V3547" s="5" t="s">
        <v>16663</v>
      </c>
      <c r="W3547" s="5" t="s">
        <v>69</v>
      </c>
      <c r="X3547" s="5" t="s">
        <v>69</v>
      </c>
      <c r="Y3547" s="4">
        <v>114</v>
      </c>
      <c r="Z3547" s="4">
        <v>9</v>
      </c>
      <c r="AA3547" s="4">
        <v>9</v>
      </c>
      <c r="AB3547" s="4">
        <v>1</v>
      </c>
      <c r="AC3547" s="4">
        <v>1</v>
      </c>
      <c r="AD3547" s="4">
        <v>61</v>
      </c>
      <c r="AE3547" s="4">
        <v>64</v>
      </c>
      <c r="AF3547" s="4">
        <v>0</v>
      </c>
      <c r="AG3547" s="4">
        <v>0</v>
      </c>
      <c r="AH3547" s="4">
        <v>58</v>
      </c>
      <c r="AI3547" s="4">
        <v>60</v>
      </c>
      <c r="AJ3547" s="4">
        <v>7</v>
      </c>
      <c r="AK3547" s="4">
        <v>7</v>
      </c>
      <c r="AL3547" s="4">
        <v>41</v>
      </c>
      <c r="AM3547" s="4">
        <v>43</v>
      </c>
      <c r="AN3547" s="4">
        <v>0</v>
      </c>
      <c r="AO3547" s="4">
        <v>0</v>
      </c>
      <c r="AP3547" s="4">
        <v>7</v>
      </c>
      <c r="AQ3547" s="4">
        <v>7</v>
      </c>
      <c r="AR3547" s="3" t="s">
        <v>63</v>
      </c>
      <c r="AS3547" s="3" t="s">
        <v>63</v>
      </c>
      <c r="AT3547" s="3" t="s">
        <v>62</v>
      </c>
      <c r="AU3547" s="6" t="str">
        <f>HYPERLINK("http://catalog.hathitrust.org/Record/002734683","HathiTrust Record")</f>
        <v>HathiTrust Record</v>
      </c>
      <c r="AV3547" s="6" t="str">
        <f>HYPERLINK("http://mcgill.on.worldcat.org/oclc/29549193","Catalog Record")</f>
        <v>Catalog Record</v>
      </c>
      <c r="AW3547" s="6" t="str">
        <f>HYPERLINK("http://www.worldcat.org/oclc/29549193","WorldCat Record")</f>
        <v>WorldCat Record</v>
      </c>
      <c r="AX3547" s="3" t="s">
        <v>30003</v>
      </c>
      <c r="AY3547" s="3" t="s">
        <v>30004</v>
      </c>
      <c r="AZ3547" s="3" t="s">
        <v>30005</v>
      </c>
      <c r="BA3547" s="3" t="s">
        <v>30005</v>
      </c>
      <c r="BB3547" s="3" t="s">
        <v>30009</v>
      </c>
      <c r="BC3547" s="3" t="s">
        <v>82</v>
      </c>
      <c r="BD3547" s="3" t="s">
        <v>70</v>
      </c>
      <c r="BE3547" s="3" t="s">
        <v>30007</v>
      </c>
      <c r="BF3547" s="3" t="s">
        <v>30009</v>
      </c>
      <c r="BG3547" s="3" t="s">
        <v>30010</v>
      </c>
    </row>
    <row r="3548" spans="1:59" ht="60" x14ac:dyDescent="0.25">
      <c r="A3548" s="2" t="s">
        <v>59</v>
      </c>
      <c r="B3548" s="2" t="s">
        <v>60</v>
      </c>
      <c r="C3548" s="2" t="s">
        <v>29999</v>
      </c>
      <c r="D3548" s="2" t="s">
        <v>30000</v>
      </c>
      <c r="E3548" s="2" t="s">
        <v>30001</v>
      </c>
      <c r="F3548" s="3" t="s">
        <v>4439</v>
      </c>
      <c r="G3548" s="3" t="s">
        <v>62</v>
      </c>
      <c r="I3548" s="3" t="s">
        <v>63</v>
      </c>
      <c r="J3548" s="3" t="s">
        <v>63</v>
      </c>
      <c r="K3548" s="3" t="s">
        <v>64</v>
      </c>
      <c r="L3548" s="2" t="s">
        <v>29792</v>
      </c>
      <c r="M3548" s="2" t="s">
        <v>30002</v>
      </c>
      <c r="N3548" s="3" t="s">
        <v>531</v>
      </c>
      <c r="P3548" s="3" t="s">
        <v>90</v>
      </c>
      <c r="R3548" s="3" t="s">
        <v>67</v>
      </c>
      <c r="S3548" s="4">
        <v>4</v>
      </c>
      <c r="T3548" s="4">
        <v>33</v>
      </c>
      <c r="U3548" s="5" t="s">
        <v>16663</v>
      </c>
      <c r="V3548" s="5" t="s">
        <v>16663</v>
      </c>
      <c r="W3548" s="5" t="s">
        <v>69</v>
      </c>
      <c r="X3548" s="5" t="s">
        <v>69</v>
      </c>
      <c r="Y3548" s="4">
        <v>114</v>
      </c>
      <c r="Z3548" s="4">
        <v>9</v>
      </c>
      <c r="AA3548" s="4">
        <v>9</v>
      </c>
      <c r="AB3548" s="4">
        <v>1</v>
      </c>
      <c r="AC3548" s="4">
        <v>1</v>
      </c>
      <c r="AD3548" s="4">
        <v>61</v>
      </c>
      <c r="AE3548" s="4">
        <v>64</v>
      </c>
      <c r="AF3548" s="4">
        <v>0</v>
      </c>
      <c r="AG3548" s="4">
        <v>0</v>
      </c>
      <c r="AH3548" s="4">
        <v>58</v>
      </c>
      <c r="AI3548" s="4">
        <v>60</v>
      </c>
      <c r="AJ3548" s="4">
        <v>7</v>
      </c>
      <c r="AK3548" s="4">
        <v>7</v>
      </c>
      <c r="AL3548" s="4">
        <v>41</v>
      </c>
      <c r="AM3548" s="4">
        <v>43</v>
      </c>
      <c r="AN3548" s="4">
        <v>0</v>
      </c>
      <c r="AO3548" s="4">
        <v>0</v>
      </c>
      <c r="AP3548" s="4">
        <v>7</v>
      </c>
      <c r="AQ3548" s="4">
        <v>7</v>
      </c>
      <c r="AR3548" s="3" t="s">
        <v>63</v>
      </c>
      <c r="AS3548" s="3" t="s">
        <v>63</v>
      </c>
      <c r="AT3548" s="3" t="s">
        <v>62</v>
      </c>
      <c r="AU3548" s="6" t="str">
        <f>HYPERLINK("http://catalog.hathitrust.org/Record/002734683","HathiTrust Record")</f>
        <v>HathiTrust Record</v>
      </c>
      <c r="AV3548" s="6" t="str">
        <f>HYPERLINK("http://mcgill.on.worldcat.org/oclc/29549193","Catalog Record")</f>
        <v>Catalog Record</v>
      </c>
      <c r="AW3548" s="6" t="str">
        <f>HYPERLINK("http://www.worldcat.org/oclc/29549193","WorldCat Record")</f>
        <v>WorldCat Record</v>
      </c>
      <c r="AX3548" s="3" t="s">
        <v>30003</v>
      </c>
      <c r="AY3548" s="3" t="s">
        <v>30004</v>
      </c>
      <c r="AZ3548" s="3" t="s">
        <v>30005</v>
      </c>
      <c r="BA3548" s="3" t="s">
        <v>30005</v>
      </c>
      <c r="BB3548" s="3" t="s">
        <v>30011</v>
      </c>
      <c r="BC3548" s="3" t="s">
        <v>82</v>
      </c>
      <c r="BD3548" s="3" t="s">
        <v>70</v>
      </c>
      <c r="BE3548" s="3" t="s">
        <v>30007</v>
      </c>
      <c r="BF3548" s="3" t="s">
        <v>30011</v>
      </c>
      <c r="BG3548" s="3" t="s">
        <v>30012</v>
      </c>
    </row>
    <row r="3549" spans="1:59" ht="60" x14ac:dyDescent="0.25">
      <c r="A3549" s="2" t="s">
        <v>59</v>
      </c>
      <c r="B3549" s="2" t="s">
        <v>60</v>
      </c>
      <c r="C3549" s="2" t="s">
        <v>29999</v>
      </c>
      <c r="D3549" s="2" t="s">
        <v>30000</v>
      </c>
      <c r="E3549" s="2" t="s">
        <v>30001</v>
      </c>
      <c r="F3549" s="3" t="s">
        <v>4437</v>
      </c>
      <c r="G3549" s="3" t="s">
        <v>62</v>
      </c>
      <c r="I3549" s="3" t="s">
        <v>63</v>
      </c>
      <c r="J3549" s="3" t="s">
        <v>63</v>
      </c>
      <c r="K3549" s="3" t="s">
        <v>64</v>
      </c>
      <c r="L3549" s="2" t="s">
        <v>29792</v>
      </c>
      <c r="M3549" s="2" t="s">
        <v>30002</v>
      </c>
      <c r="N3549" s="3" t="s">
        <v>531</v>
      </c>
      <c r="P3549" s="3" t="s">
        <v>90</v>
      </c>
      <c r="R3549" s="3" t="s">
        <v>67</v>
      </c>
      <c r="S3549" s="4">
        <v>6</v>
      </c>
      <c r="T3549" s="4">
        <v>33</v>
      </c>
      <c r="U3549" s="5" t="s">
        <v>7280</v>
      </c>
      <c r="V3549" s="5" t="s">
        <v>16663</v>
      </c>
      <c r="W3549" s="5" t="s">
        <v>69</v>
      </c>
      <c r="X3549" s="5" t="s">
        <v>69</v>
      </c>
      <c r="Y3549" s="4">
        <v>114</v>
      </c>
      <c r="Z3549" s="4">
        <v>9</v>
      </c>
      <c r="AA3549" s="4">
        <v>9</v>
      </c>
      <c r="AB3549" s="4">
        <v>1</v>
      </c>
      <c r="AC3549" s="4">
        <v>1</v>
      </c>
      <c r="AD3549" s="4">
        <v>61</v>
      </c>
      <c r="AE3549" s="4">
        <v>64</v>
      </c>
      <c r="AF3549" s="4">
        <v>0</v>
      </c>
      <c r="AG3549" s="4">
        <v>0</v>
      </c>
      <c r="AH3549" s="4">
        <v>58</v>
      </c>
      <c r="AI3549" s="4">
        <v>60</v>
      </c>
      <c r="AJ3549" s="4">
        <v>7</v>
      </c>
      <c r="AK3549" s="4">
        <v>7</v>
      </c>
      <c r="AL3549" s="4">
        <v>41</v>
      </c>
      <c r="AM3549" s="4">
        <v>43</v>
      </c>
      <c r="AN3549" s="4">
        <v>0</v>
      </c>
      <c r="AO3549" s="4">
        <v>0</v>
      </c>
      <c r="AP3549" s="4">
        <v>7</v>
      </c>
      <c r="AQ3549" s="4">
        <v>7</v>
      </c>
      <c r="AR3549" s="3" t="s">
        <v>63</v>
      </c>
      <c r="AS3549" s="3" t="s">
        <v>63</v>
      </c>
      <c r="AT3549" s="3" t="s">
        <v>62</v>
      </c>
      <c r="AU3549" s="6" t="str">
        <f>HYPERLINK("http://catalog.hathitrust.org/Record/002734683","HathiTrust Record")</f>
        <v>HathiTrust Record</v>
      </c>
      <c r="AV3549" s="6" t="str">
        <f>HYPERLINK("http://mcgill.on.worldcat.org/oclc/29549193","Catalog Record")</f>
        <v>Catalog Record</v>
      </c>
      <c r="AW3549" s="6" t="str">
        <f>HYPERLINK("http://www.worldcat.org/oclc/29549193","WorldCat Record")</f>
        <v>WorldCat Record</v>
      </c>
      <c r="AX3549" s="3" t="s">
        <v>30003</v>
      </c>
      <c r="AY3549" s="3" t="s">
        <v>30004</v>
      </c>
      <c r="AZ3549" s="3" t="s">
        <v>30005</v>
      </c>
      <c r="BA3549" s="3" t="s">
        <v>30005</v>
      </c>
      <c r="BB3549" s="3" t="s">
        <v>30013</v>
      </c>
      <c r="BC3549" s="3" t="s">
        <v>82</v>
      </c>
      <c r="BD3549" s="3" t="s">
        <v>70</v>
      </c>
      <c r="BE3549" s="3" t="s">
        <v>30007</v>
      </c>
      <c r="BF3549" s="3" t="s">
        <v>30013</v>
      </c>
      <c r="BG3549" s="3" t="s">
        <v>30014</v>
      </c>
    </row>
    <row r="3550" spans="1:59" ht="60" x14ac:dyDescent="0.25">
      <c r="A3550" s="2" t="s">
        <v>59</v>
      </c>
      <c r="B3550" s="2" t="s">
        <v>60</v>
      </c>
      <c r="C3550" s="2" t="s">
        <v>29778</v>
      </c>
      <c r="D3550" s="2" t="s">
        <v>29779</v>
      </c>
      <c r="E3550" s="2" t="s">
        <v>29780</v>
      </c>
      <c r="G3550" s="3" t="s">
        <v>63</v>
      </c>
      <c r="I3550" s="3" t="s">
        <v>63</v>
      </c>
      <c r="J3550" s="3" t="s">
        <v>63</v>
      </c>
      <c r="K3550" s="3" t="s">
        <v>64</v>
      </c>
      <c r="L3550" s="2" t="s">
        <v>29781</v>
      </c>
      <c r="M3550" s="2" t="s">
        <v>29782</v>
      </c>
      <c r="N3550" s="3" t="s">
        <v>2535</v>
      </c>
      <c r="O3550" s="2" t="s">
        <v>1569</v>
      </c>
      <c r="P3550" s="3" t="s">
        <v>66</v>
      </c>
      <c r="R3550" s="3" t="s">
        <v>67</v>
      </c>
      <c r="S3550" s="4">
        <v>22</v>
      </c>
      <c r="T3550" s="4">
        <v>22</v>
      </c>
      <c r="U3550" s="5" t="s">
        <v>16882</v>
      </c>
      <c r="V3550" s="5" t="s">
        <v>16882</v>
      </c>
      <c r="W3550" s="5" t="s">
        <v>69</v>
      </c>
      <c r="X3550" s="5" t="s">
        <v>69</v>
      </c>
      <c r="Y3550" s="4">
        <v>634</v>
      </c>
      <c r="Z3550" s="4">
        <v>20</v>
      </c>
      <c r="AA3550" s="4">
        <v>31</v>
      </c>
      <c r="AB3550" s="4">
        <v>2</v>
      </c>
      <c r="AC3550" s="4">
        <v>3</v>
      </c>
      <c r="AD3550" s="4">
        <v>101</v>
      </c>
      <c r="AE3550" s="4">
        <v>115</v>
      </c>
      <c r="AF3550" s="4">
        <v>1</v>
      </c>
      <c r="AG3550" s="4">
        <v>2</v>
      </c>
      <c r="AH3550" s="4">
        <v>90</v>
      </c>
      <c r="AI3550" s="4">
        <v>98</v>
      </c>
      <c r="AJ3550" s="4">
        <v>10</v>
      </c>
      <c r="AK3550" s="4">
        <v>17</v>
      </c>
      <c r="AL3550" s="4">
        <v>54</v>
      </c>
      <c r="AM3550" s="4">
        <v>56</v>
      </c>
      <c r="AN3550" s="4">
        <v>5</v>
      </c>
      <c r="AO3550" s="4">
        <v>5</v>
      </c>
      <c r="AP3550" s="4">
        <v>14</v>
      </c>
      <c r="AQ3550" s="4">
        <v>21</v>
      </c>
      <c r="AR3550" s="3" t="s">
        <v>63</v>
      </c>
      <c r="AS3550" s="3" t="s">
        <v>63</v>
      </c>
      <c r="AT3550" s="3" t="s">
        <v>62</v>
      </c>
      <c r="AU3550" s="6" t="str">
        <f>HYPERLINK("http://catalog.hathitrust.org/Record/001353695","HathiTrust Record")</f>
        <v>HathiTrust Record</v>
      </c>
      <c r="AV3550" s="6" t="str">
        <f>HYPERLINK("http://mcgill.on.worldcat.org/oclc/931163","Catalog Record")</f>
        <v>Catalog Record</v>
      </c>
      <c r="AW3550" s="6" t="str">
        <f>HYPERLINK("http://www.worldcat.org/oclc/931163","WorldCat Record")</f>
        <v>WorldCat Record</v>
      </c>
      <c r="AX3550" s="3" t="s">
        <v>29783</v>
      </c>
      <c r="AY3550" s="3" t="s">
        <v>29784</v>
      </c>
      <c r="AZ3550" s="3" t="s">
        <v>29785</v>
      </c>
      <c r="BA3550" s="3" t="s">
        <v>29785</v>
      </c>
      <c r="BB3550" s="3" t="s">
        <v>29786</v>
      </c>
      <c r="BC3550" s="3" t="s">
        <v>82</v>
      </c>
      <c r="BD3550" s="3" t="s">
        <v>538</v>
      </c>
      <c r="BE3550" s="3" t="s">
        <v>29787</v>
      </c>
      <c r="BF3550" s="3" t="s">
        <v>29786</v>
      </c>
      <c r="BG3550" s="3" t="s">
        <v>29788</v>
      </c>
    </row>
    <row r="3551" spans="1:59" ht="60" x14ac:dyDescent="0.25">
      <c r="A3551" s="2" t="s">
        <v>59</v>
      </c>
      <c r="B3551" s="2" t="s">
        <v>60</v>
      </c>
      <c r="C3551" s="2" t="s">
        <v>29789</v>
      </c>
      <c r="D3551" s="2" t="s">
        <v>29790</v>
      </c>
      <c r="E3551" s="2" t="s">
        <v>29791</v>
      </c>
      <c r="G3551" s="3" t="s">
        <v>63</v>
      </c>
      <c r="I3551" s="3" t="s">
        <v>63</v>
      </c>
      <c r="J3551" s="3" t="s">
        <v>63</v>
      </c>
      <c r="K3551" s="3" t="s">
        <v>64</v>
      </c>
      <c r="L3551" s="2" t="s">
        <v>29792</v>
      </c>
      <c r="M3551" s="2" t="s">
        <v>29793</v>
      </c>
      <c r="N3551" s="3" t="s">
        <v>1023</v>
      </c>
      <c r="P3551" s="3" t="s">
        <v>90</v>
      </c>
      <c r="Q3551" s="2" t="s">
        <v>29794</v>
      </c>
      <c r="R3551" s="3" t="s">
        <v>67</v>
      </c>
      <c r="S3551" s="4">
        <v>9</v>
      </c>
      <c r="T3551" s="4">
        <v>9</v>
      </c>
      <c r="U3551" s="5" t="s">
        <v>4539</v>
      </c>
      <c r="V3551" s="5" t="s">
        <v>4539</v>
      </c>
      <c r="W3551" s="5" t="s">
        <v>69</v>
      </c>
      <c r="X3551" s="5" t="s">
        <v>69</v>
      </c>
      <c r="Y3551" s="4">
        <v>77</v>
      </c>
      <c r="Z3551" s="4">
        <v>6</v>
      </c>
      <c r="AA3551" s="4">
        <v>6</v>
      </c>
      <c r="AB3551" s="4">
        <v>1</v>
      </c>
      <c r="AC3551" s="4">
        <v>1</v>
      </c>
      <c r="AD3551" s="4">
        <v>44</v>
      </c>
      <c r="AE3551" s="4">
        <v>50</v>
      </c>
      <c r="AF3551" s="4">
        <v>0</v>
      </c>
      <c r="AG3551" s="4">
        <v>0</v>
      </c>
      <c r="AH3551" s="4">
        <v>41</v>
      </c>
      <c r="AI3551" s="4">
        <v>47</v>
      </c>
      <c r="AJ3551" s="4">
        <v>3</v>
      </c>
      <c r="AK3551" s="4">
        <v>3</v>
      </c>
      <c r="AL3551" s="4">
        <v>33</v>
      </c>
      <c r="AM3551" s="4">
        <v>38</v>
      </c>
      <c r="AN3551" s="4">
        <v>0</v>
      </c>
      <c r="AO3551" s="4">
        <v>0</v>
      </c>
      <c r="AP3551" s="4">
        <v>3</v>
      </c>
      <c r="AQ3551" s="4">
        <v>3</v>
      </c>
      <c r="AR3551" s="3" t="s">
        <v>63</v>
      </c>
      <c r="AS3551" s="3" t="s">
        <v>63</v>
      </c>
      <c r="AT3551" s="3" t="s">
        <v>62</v>
      </c>
      <c r="AU3551" s="6" t="str">
        <f>HYPERLINK("http://catalog.hathitrust.org/Record/002979183","HathiTrust Record")</f>
        <v>HathiTrust Record</v>
      </c>
      <c r="AV3551" s="6" t="str">
        <f>HYPERLINK("http://mcgill.on.worldcat.org/oclc/31908915","Catalog Record")</f>
        <v>Catalog Record</v>
      </c>
      <c r="AW3551" s="6" t="str">
        <f>HYPERLINK("http://www.worldcat.org/oclc/31908915","WorldCat Record")</f>
        <v>WorldCat Record</v>
      </c>
      <c r="AX3551" s="3" t="s">
        <v>29795</v>
      </c>
      <c r="AY3551" s="3" t="s">
        <v>29796</v>
      </c>
      <c r="AZ3551" s="3" t="s">
        <v>29797</v>
      </c>
      <c r="BA3551" s="3" t="s">
        <v>29797</v>
      </c>
      <c r="BB3551" s="3" t="s">
        <v>29798</v>
      </c>
      <c r="BC3551" s="3" t="s">
        <v>82</v>
      </c>
      <c r="BD3551" s="3" t="s">
        <v>70</v>
      </c>
      <c r="BE3551" s="3" t="s">
        <v>29799</v>
      </c>
      <c r="BF3551" s="3" t="s">
        <v>29798</v>
      </c>
      <c r="BG3551" s="3" t="s">
        <v>29800</v>
      </c>
    </row>
    <row r="3552" spans="1:59" ht="60" x14ac:dyDescent="0.25">
      <c r="A3552" s="2" t="s">
        <v>59</v>
      </c>
      <c r="B3552" s="2" t="s">
        <v>60</v>
      </c>
      <c r="C3552" s="2" t="s">
        <v>29801</v>
      </c>
      <c r="D3552" s="2" t="s">
        <v>29802</v>
      </c>
      <c r="E3552" s="2" t="s">
        <v>29803</v>
      </c>
      <c r="G3552" s="3" t="s">
        <v>63</v>
      </c>
      <c r="I3552" s="3" t="s">
        <v>63</v>
      </c>
      <c r="J3552" s="3" t="s">
        <v>63</v>
      </c>
      <c r="K3552" s="3" t="s">
        <v>64</v>
      </c>
      <c r="L3552" s="2" t="s">
        <v>29792</v>
      </c>
      <c r="M3552" s="2" t="s">
        <v>29804</v>
      </c>
      <c r="N3552" s="3" t="s">
        <v>531</v>
      </c>
      <c r="P3552" s="3" t="s">
        <v>90</v>
      </c>
      <c r="R3552" s="3" t="s">
        <v>67</v>
      </c>
      <c r="S3552" s="4">
        <v>3</v>
      </c>
      <c r="T3552" s="4">
        <v>3</v>
      </c>
      <c r="U3552" s="5" t="s">
        <v>24991</v>
      </c>
      <c r="V3552" s="5" t="s">
        <v>24991</v>
      </c>
      <c r="W3552" s="5" t="s">
        <v>69</v>
      </c>
      <c r="X3552" s="5" t="s">
        <v>69</v>
      </c>
      <c r="Y3552" s="4">
        <v>76</v>
      </c>
      <c r="Z3552" s="4">
        <v>9</v>
      </c>
      <c r="AA3552" s="4">
        <v>9</v>
      </c>
      <c r="AB3552" s="4">
        <v>1</v>
      </c>
      <c r="AC3552" s="4">
        <v>1</v>
      </c>
      <c r="AD3552" s="4">
        <v>45</v>
      </c>
      <c r="AE3552" s="4">
        <v>45</v>
      </c>
      <c r="AF3552" s="4">
        <v>0</v>
      </c>
      <c r="AG3552" s="4">
        <v>0</v>
      </c>
      <c r="AH3552" s="4">
        <v>42</v>
      </c>
      <c r="AI3552" s="4">
        <v>42</v>
      </c>
      <c r="AJ3552" s="4">
        <v>5</v>
      </c>
      <c r="AK3552" s="4">
        <v>5</v>
      </c>
      <c r="AL3552" s="4">
        <v>30</v>
      </c>
      <c r="AM3552" s="4">
        <v>30</v>
      </c>
      <c r="AN3552" s="4">
        <v>0</v>
      </c>
      <c r="AO3552" s="4">
        <v>0</v>
      </c>
      <c r="AP3552" s="4">
        <v>5</v>
      </c>
      <c r="AQ3552" s="4">
        <v>5</v>
      </c>
      <c r="AR3552" s="3" t="s">
        <v>63</v>
      </c>
      <c r="AS3552" s="3" t="s">
        <v>63</v>
      </c>
      <c r="AT3552" s="3" t="s">
        <v>62</v>
      </c>
      <c r="AU3552" s="6" t="str">
        <f>HYPERLINK("http://catalog.hathitrust.org/Record/002719929","HathiTrust Record")</f>
        <v>HathiTrust Record</v>
      </c>
      <c r="AV3552" s="6" t="str">
        <f>HYPERLINK("http://mcgill.on.worldcat.org/oclc/27196877","Catalog Record")</f>
        <v>Catalog Record</v>
      </c>
      <c r="AW3552" s="6" t="str">
        <f>HYPERLINK("http://www.worldcat.org/oclc/27196877","WorldCat Record")</f>
        <v>WorldCat Record</v>
      </c>
      <c r="AX3552" s="3" t="s">
        <v>29805</v>
      </c>
      <c r="AY3552" s="3" t="s">
        <v>29806</v>
      </c>
      <c r="AZ3552" s="3" t="s">
        <v>29807</v>
      </c>
      <c r="BA3552" s="3" t="s">
        <v>29807</v>
      </c>
      <c r="BB3552" s="3" t="s">
        <v>29808</v>
      </c>
      <c r="BC3552" s="3" t="s">
        <v>82</v>
      </c>
      <c r="BD3552" s="3" t="s">
        <v>70</v>
      </c>
      <c r="BE3552" s="3" t="s">
        <v>29809</v>
      </c>
      <c r="BF3552" s="3" t="s">
        <v>29808</v>
      </c>
      <c r="BG3552" s="3" t="s">
        <v>29810</v>
      </c>
    </row>
    <row r="3553" spans="1:59" ht="60" x14ac:dyDescent="0.25">
      <c r="A3553" s="2" t="s">
        <v>59</v>
      </c>
      <c r="B3553" s="2" t="s">
        <v>60</v>
      </c>
      <c r="C3553" s="2" t="s">
        <v>29811</v>
      </c>
      <c r="D3553" s="2" t="s">
        <v>29812</v>
      </c>
      <c r="E3553" s="2" t="s">
        <v>29813</v>
      </c>
      <c r="G3553" s="3" t="s">
        <v>63</v>
      </c>
      <c r="I3553" s="3" t="s">
        <v>63</v>
      </c>
      <c r="J3553" s="3" t="s">
        <v>63</v>
      </c>
      <c r="K3553" s="3" t="s">
        <v>64</v>
      </c>
      <c r="L3553" s="2" t="s">
        <v>29792</v>
      </c>
      <c r="M3553" s="2" t="s">
        <v>29814</v>
      </c>
      <c r="N3553" s="3" t="s">
        <v>401</v>
      </c>
      <c r="P3553" s="3" t="s">
        <v>548</v>
      </c>
      <c r="R3553" s="3" t="s">
        <v>67</v>
      </c>
      <c r="S3553" s="4">
        <v>5</v>
      </c>
      <c r="T3553" s="4">
        <v>5</v>
      </c>
      <c r="U3553" s="5" t="s">
        <v>29815</v>
      </c>
      <c r="V3553" s="5" t="s">
        <v>29815</v>
      </c>
      <c r="W3553" s="5" t="s">
        <v>69</v>
      </c>
      <c r="X3553" s="5" t="s">
        <v>69</v>
      </c>
      <c r="Y3553" s="4">
        <v>22</v>
      </c>
      <c r="Z3553" s="4">
        <v>3</v>
      </c>
      <c r="AA3553" s="4">
        <v>7</v>
      </c>
      <c r="AB3553" s="4">
        <v>1</v>
      </c>
      <c r="AC3553" s="4">
        <v>4</v>
      </c>
      <c r="AD3553" s="4">
        <v>10</v>
      </c>
      <c r="AE3553" s="4">
        <v>13</v>
      </c>
      <c r="AF3553" s="4">
        <v>0</v>
      </c>
      <c r="AG3553" s="4">
        <v>2</v>
      </c>
      <c r="AH3553" s="4">
        <v>8</v>
      </c>
      <c r="AI3553" s="4">
        <v>9</v>
      </c>
      <c r="AJ3553" s="4">
        <v>2</v>
      </c>
      <c r="AK3553" s="4">
        <v>5</v>
      </c>
      <c r="AL3553" s="4">
        <v>7</v>
      </c>
      <c r="AM3553" s="4">
        <v>7</v>
      </c>
      <c r="AN3553" s="4">
        <v>5</v>
      </c>
      <c r="AO3553" s="4">
        <v>5</v>
      </c>
      <c r="AP3553" s="4">
        <v>1</v>
      </c>
      <c r="AQ3553" s="4">
        <v>3</v>
      </c>
      <c r="AR3553" s="3" t="s">
        <v>63</v>
      </c>
      <c r="AS3553" s="3" t="s">
        <v>63</v>
      </c>
      <c r="AT3553" s="3" t="s">
        <v>62</v>
      </c>
      <c r="AU3553" s="6" t="str">
        <f>HYPERLINK("http://catalog.hathitrust.org/Record/101883250","HathiTrust Record")</f>
        <v>HathiTrust Record</v>
      </c>
      <c r="AV3553" s="6" t="str">
        <f>HYPERLINK("http://mcgill.on.worldcat.org/oclc/664662","Catalog Record")</f>
        <v>Catalog Record</v>
      </c>
      <c r="AW3553" s="6" t="str">
        <f>HYPERLINK("http://www.worldcat.org/oclc/664662","WorldCat Record")</f>
        <v>WorldCat Record</v>
      </c>
      <c r="AX3553" s="3" t="s">
        <v>29816</v>
      </c>
      <c r="AY3553" s="3" t="s">
        <v>29817</v>
      </c>
      <c r="AZ3553" s="3" t="s">
        <v>29818</v>
      </c>
      <c r="BA3553" s="3" t="s">
        <v>29818</v>
      </c>
      <c r="BB3553" s="3" t="s">
        <v>29819</v>
      </c>
      <c r="BC3553" s="3" t="s">
        <v>82</v>
      </c>
      <c r="BD3553" s="3" t="s">
        <v>70</v>
      </c>
      <c r="BF3553" s="3" t="s">
        <v>29819</v>
      </c>
      <c r="BG3553" s="3" t="s">
        <v>29820</v>
      </c>
    </row>
    <row r="3554" spans="1:59" ht="60" x14ac:dyDescent="0.25">
      <c r="A3554" s="2" t="s">
        <v>59</v>
      </c>
      <c r="B3554" s="2" t="s">
        <v>60</v>
      </c>
      <c r="C3554" s="2" t="s">
        <v>29821</v>
      </c>
      <c r="D3554" s="2" t="s">
        <v>29822</v>
      </c>
      <c r="E3554" s="2" t="s">
        <v>29823</v>
      </c>
      <c r="F3554" s="3" t="s">
        <v>571</v>
      </c>
      <c r="G3554" s="3" t="s">
        <v>62</v>
      </c>
      <c r="I3554" s="3" t="s">
        <v>63</v>
      </c>
      <c r="J3554" s="3" t="s">
        <v>63</v>
      </c>
      <c r="K3554" s="3" t="s">
        <v>64</v>
      </c>
      <c r="L3554" s="2" t="s">
        <v>29792</v>
      </c>
      <c r="M3554" s="2" t="s">
        <v>29824</v>
      </c>
      <c r="N3554" s="3" t="s">
        <v>531</v>
      </c>
      <c r="P3554" s="3" t="s">
        <v>90</v>
      </c>
      <c r="R3554" s="3" t="s">
        <v>67</v>
      </c>
      <c r="S3554" s="4">
        <v>3</v>
      </c>
      <c r="T3554" s="4">
        <v>6</v>
      </c>
      <c r="U3554" s="5" t="s">
        <v>29815</v>
      </c>
      <c r="V3554" s="5" t="s">
        <v>29815</v>
      </c>
      <c r="W3554" s="5" t="s">
        <v>69</v>
      </c>
      <c r="X3554" s="5" t="s">
        <v>69</v>
      </c>
      <c r="Y3554" s="4">
        <v>86</v>
      </c>
      <c r="Z3554" s="4">
        <v>6</v>
      </c>
      <c r="AA3554" s="4">
        <v>6</v>
      </c>
      <c r="AB3554" s="4">
        <v>1</v>
      </c>
      <c r="AC3554" s="4">
        <v>1</v>
      </c>
      <c r="AD3554" s="4">
        <v>46</v>
      </c>
      <c r="AE3554" s="4">
        <v>46</v>
      </c>
      <c r="AF3554" s="4">
        <v>0</v>
      </c>
      <c r="AG3554" s="4">
        <v>0</v>
      </c>
      <c r="AH3554" s="4">
        <v>45</v>
      </c>
      <c r="AI3554" s="4">
        <v>45</v>
      </c>
      <c r="AJ3554" s="4">
        <v>3</v>
      </c>
      <c r="AK3554" s="4">
        <v>3</v>
      </c>
      <c r="AL3554" s="4">
        <v>33</v>
      </c>
      <c r="AM3554" s="4">
        <v>33</v>
      </c>
      <c r="AN3554" s="4">
        <v>0</v>
      </c>
      <c r="AO3554" s="4">
        <v>0</v>
      </c>
      <c r="AP3554" s="4">
        <v>3</v>
      </c>
      <c r="AQ3554" s="4">
        <v>3</v>
      </c>
      <c r="AR3554" s="3" t="s">
        <v>63</v>
      </c>
      <c r="AS3554" s="3" t="s">
        <v>63</v>
      </c>
      <c r="AT3554" s="3" t="s">
        <v>62</v>
      </c>
      <c r="AU3554" s="6" t="str">
        <f>HYPERLINK("http://catalog.hathitrust.org/Record/002736650","HathiTrust Record")</f>
        <v>HathiTrust Record</v>
      </c>
      <c r="AV3554" s="6" t="str">
        <f>HYPERLINK("http://mcgill.on.worldcat.org/oclc/27441566","Catalog Record")</f>
        <v>Catalog Record</v>
      </c>
      <c r="AW3554" s="6" t="str">
        <f>HYPERLINK("http://www.worldcat.org/oclc/27441566","WorldCat Record")</f>
        <v>WorldCat Record</v>
      </c>
      <c r="AX3554" s="3" t="s">
        <v>29825</v>
      </c>
      <c r="AY3554" s="3" t="s">
        <v>29826</v>
      </c>
      <c r="AZ3554" s="3" t="s">
        <v>29827</v>
      </c>
      <c r="BA3554" s="3" t="s">
        <v>29827</v>
      </c>
      <c r="BB3554" s="3" t="s">
        <v>29828</v>
      </c>
      <c r="BC3554" s="3" t="s">
        <v>82</v>
      </c>
      <c r="BD3554" s="3" t="s">
        <v>70</v>
      </c>
      <c r="BE3554" s="3" t="s">
        <v>29829</v>
      </c>
      <c r="BF3554" s="3" t="s">
        <v>29828</v>
      </c>
      <c r="BG3554" s="3" t="s">
        <v>29830</v>
      </c>
    </row>
    <row r="3555" spans="1:59" ht="60" x14ac:dyDescent="0.25">
      <c r="A3555" s="2" t="s">
        <v>59</v>
      </c>
      <c r="B3555" s="2" t="s">
        <v>60</v>
      </c>
      <c r="C3555" s="2" t="s">
        <v>29821</v>
      </c>
      <c r="D3555" s="2" t="s">
        <v>29822</v>
      </c>
      <c r="E3555" s="2" t="s">
        <v>29823</v>
      </c>
      <c r="F3555" s="3" t="s">
        <v>582</v>
      </c>
      <c r="G3555" s="3" t="s">
        <v>62</v>
      </c>
      <c r="I3555" s="3" t="s">
        <v>63</v>
      </c>
      <c r="J3555" s="3" t="s">
        <v>63</v>
      </c>
      <c r="K3555" s="3" t="s">
        <v>64</v>
      </c>
      <c r="L3555" s="2" t="s">
        <v>29792</v>
      </c>
      <c r="M3555" s="2" t="s">
        <v>29824</v>
      </c>
      <c r="N3555" s="3" t="s">
        <v>531</v>
      </c>
      <c r="P3555" s="3" t="s">
        <v>90</v>
      </c>
      <c r="R3555" s="3" t="s">
        <v>67</v>
      </c>
      <c r="S3555" s="4">
        <v>3</v>
      </c>
      <c r="T3555" s="4">
        <v>6</v>
      </c>
      <c r="U3555" s="5" t="s">
        <v>29831</v>
      </c>
      <c r="V3555" s="5" t="s">
        <v>29815</v>
      </c>
      <c r="W3555" s="5" t="s">
        <v>69</v>
      </c>
      <c r="X3555" s="5" t="s">
        <v>69</v>
      </c>
      <c r="Y3555" s="4">
        <v>86</v>
      </c>
      <c r="Z3555" s="4">
        <v>6</v>
      </c>
      <c r="AA3555" s="4">
        <v>6</v>
      </c>
      <c r="AB3555" s="4">
        <v>1</v>
      </c>
      <c r="AC3555" s="4">
        <v>1</v>
      </c>
      <c r="AD3555" s="4">
        <v>46</v>
      </c>
      <c r="AE3555" s="4">
        <v>46</v>
      </c>
      <c r="AF3555" s="4">
        <v>0</v>
      </c>
      <c r="AG3555" s="4">
        <v>0</v>
      </c>
      <c r="AH3555" s="4">
        <v>45</v>
      </c>
      <c r="AI3555" s="4">
        <v>45</v>
      </c>
      <c r="AJ3555" s="4">
        <v>3</v>
      </c>
      <c r="AK3555" s="4">
        <v>3</v>
      </c>
      <c r="AL3555" s="4">
        <v>33</v>
      </c>
      <c r="AM3555" s="4">
        <v>33</v>
      </c>
      <c r="AN3555" s="4">
        <v>0</v>
      </c>
      <c r="AO3555" s="4">
        <v>0</v>
      </c>
      <c r="AP3555" s="4">
        <v>3</v>
      </c>
      <c r="AQ3555" s="4">
        <v>3</v>
      </c>
      <c r="AR3555" s="3" t="s">
        <v>63</v>
      </c>
      <c r="AS3555" s="3" t="s">
        <v>63</v>
      </c>
      <c r="AT3555" s="3" t="s">
        <v>62</v>
      </c>
      <c r="AU3555" s="6" t="str">
        <f>HYPERLINK("http://catalog.hathitrust.org/Record/002736650","HathiTrust Record")</f>
        <v>HathiTrust Record</v>
      </c>
      <c r="AV3555" s="6" t="str">
        <f>HYPERLINK("http://mcgill.on.worldcat.org/oclc/27441566","Catalog Record")</f>
        <v>Catalog Record</v>
      </c>
      <c r="AW3555" s="6" t="str">
        <f>HYPERLINK("http://www.worldcat.org/oclc/27441566","WorldCat Record")</f>
        <v>WorldCat Record</v>
      </c>
      <c r="AX3555" s="3" t="s">
        <v>29825</v>
      </c>
      <c r="AY3555" s="3" t="s">
        <v>29826</v>
      </c>
      <c r="AZ3555" s="3" t="s">
        <v>29827</v>
      </c>
      <c r="BA3555" s="3" t="s">
        <v>29827</v>
      </c>
      <c r="BB3555" s="3" t="s">
        <v>29832</v>
      </c>
      <c r="BC3555" s="3" t="s">
        <v>82</v>
      </c>
      <c r="BD3555" s="3" t="s">
        <v>70</v>
      </c>
      <c r="BE3555" s="3" t="s">
        <v>29829</v>
      </c>
      <c r="BF3555" s="3" t="s">
        <v>29832</v>
      </c>
      <c r="BG3555" s="3" t="s">
        <v>29833</v>
      </c>
    </row>
    <row r="3556" spans="1:59" ht="60" x14ac:dyDescent="0.25">
      <c r="A3556" s="2" t="s">
        <v>59</v>
      </c>
      <c r="B3556" s="2" t="s">
        <v>60</v>
      </c>
      <c r="C3556" s="2" t="s">
        <v>29834</v>
      </c>
      <c r="D3556" s="2" t="s">
        <v>29835</v>
      </c>
      <c r="E3556" s="2" t="s">
        <v>29836</v>
      </c>
      <c r="G3556" s="3" t="s">
        <v>63</v>
      </c>
      <c r="I3556" s="3" t="s">
        <v>63</v>
      </c>
      <c r="J3556" s="3" t="s">
        <v>63</v>
      </c>
      <c r="K3556" s="3" t="s">
        <v>64</v>
      </c>
      <c r="L3556" s="2" t="s">
        <v>29792</v>
      </c>
      <c r="M3556" s="2" t="s">
        <v>29837</v>
      </c>
      <c r="N3556" s="3" t="s">
        <v>374</v>
      </c>
      <c r="O3556" s="2" t="s">
        <v>590</v>
      </c>
      <c r="P3556" s="3" t="s">
        <v>66</v>
      </c>
      <c r="R3556" s="3" t="s">
        <v>67</v>
      </c>
      <c r="S3556" s="4">
        <v>33</v>
      </c>
      <c r="T3556" s="4">
        <v>33</v>
      </c>
      <c r="U3556" s="5" t="s">
        <v>9858</v>
      </c>
      <c r="V3556" s="5" t="s">
        <v>9858</v>
      </c>
      <c r="W3556" s="5" t="s">
        <v>69</v>
      </c>
      <c r="X3556" s="5" t="s">
        <v>69</v>
      </c>
      <c r="Y3556" s="4">
        <v>777</v>
      </c>
      <c r="Z3556" s="4">
        <v>30</v>
      </c>
      <c r="AA3556" s="4">
        <v>35</v>
      </c>
      <c r="AB3556" s="4">
        <v>2</v>
      </c>
      <c r="AC3556" s="4">
        <v>4</v>
      </c>
      <c r="AD3556" s="4">
        <v>116</v>
      </c>
      <c r="AE3556" s="4">
        <v>119</v>
      </c>
      <c r="AF3556" s="4">
        <v>1</v>
      </c>
      <c r="AG3556" s="4">
        <v>2</v>
      </c>
      <c r="AH3556" s="4">
        <v>101</v>
      </c>
      <c r="AI3556" s="4">
        <v>101</v>
      </c>
      <c r="AJ3556" s="4">
        <v>14</v>
      </c>
      <c r="AK3556" s="4">
        <v>16</v>
      </c>
      <c r="AL3556" s="4">
        <v>57</v>
      </c>
      <c r="AM3556" s="4">
        <v>57</v>
      </c>
      <c r="AN3556" s="4">
        <v>0</v>
      </c>
      <c r="AO3556" s="4">
        <v>1</v>
      </c>
      <c r="AP3556" s="4">
        <v>18</v>
      </c>
      <c r="AQ3556" s="4">
        <v>20</v>
      </c>
      <c r="AR3556" s="3" t="s">
        <v>63</v>
      </c>
      <c r="AS3556" s="3" t="s">
        <v>63</v>
      </c>
      <c r="AT3556" s="3" t="s">
        <v>63</v>
      </c>
      <c r="AV3556" s="6" t="str">
        <f>HYPERLINK("http://mcgill.on.worldcat.org/oclc/30154601","Catalog Record")</f>
        <v>Catalog Record</v>
      </c>
      <c r="AW3556" s="6" t="str">
        <f>HYPERLINK("http://www.worldcat.org/oclc/30154601","WorldCat Record")</f>
        <v>WorldCat Record</v>
      </c>
      <c r="AX3556" s="3" t="s">
        <v>29838</v>
      </c>
      <c r="AY3556" s="3" t="s">
        <v>29839</v>
      </c>
      <c r="AZ3556" s="3" t="s">
        <v>29840</v>
      </c>
      <c r="BA3556" s="3" t="s">
        <v>29840</v>
      </c>
      <c r="BB3556" s="3" t="s">
        <v>29841</v>
      </c>
      <c r="BC3556" s="3" t="s">
        <v>82</v>
      </c>
      <c r="BD3556" s="3" t="s">
        <v>70</v>
      </c>
      <c r="BE3556" s="3" t="s">
        <v>29842</v>
      </c>
      <c r="BF3556" s="3" t="s">
        <v>29841</v>
      </c>
      <c r="BG3556" s="3" t="s">
        <v>29843</v>
      </c>
    </row>
    <row r="3557" spans="1:59" ht="60" x14ac:dyDescent="0.25">
      <c r="A3557" s="2" t="s">
        <v>59</v>
      </c>
      <c r="B3557" s="2" t="s">
        <v>60</v>
      </c>
      <c r="C3557" s="2" t="s">
        <v>29844</v>
      </c>
      <c r="D3557" s="2" t="s">
        <v>29845</v>
      </c>
      <c r="E3557" s="2" t="s">
        <v>29846</v>
      </c>
      <c r="G3557" s="3" t="s">
        <v>63</v>
      </c>
      <c r="I3557" s="3" t="s">
        <v>63</v>
      </c>
      <c r="J3557" s="3" t="s">
        <v>63</v>
      </c>
      <c r="K3557" s="3" t="s">
        <v>64</v>
      </c>
      <c r="L3557" s="2" t="s">
        <v>29792</v>
      </c>
      <c r="M3557" s="2" t="s">
        <v>29847</v>
      </c>
      <c r="N3557" s="3" t="s">
        <v>374</v>
      </c>
      <c r="P3557" s="3" t="s">
        <v>90</v>
      </c>
      <c r="R3557" s="3" t="s">
        <v>67</v>
      </c>
      <c r="S3557" s="4">
        <v>2</v>
      </c>
      <c r="T3557" s="4">
        <v>2</v>
      </c>
      <c r="U3557" s="5" t="s">
        <v>24991</v>
      </c>
      <c r="V3557" s="5" t="s">
        <v>24991</v>
      </c>
      <c r="W3557" s="5" t="s">
        <v>69</v>
      </c>
      <c r="X3557" s="5" t="s">
        <v>69</v>
      </c>
      <c r="Y3557" s="4">
        <v>123</v>
      </c>
      <c r="Z3557" s="4">
        <v>8</v>
      </c>
      <c r="AA3557" s="4">
        <v>10</v>
      </c>
      <c r="AB3557" s="4">
        <v>1</v>
      </c>
      <c r="AC3557" s="4">
        <v>1</v>
      </c>
      <c r="AD3557" s="4">
        <v>65</v>
      </c>
      <c r="AE3557" s="4">
        <v>68</v>
      </c>
      <c r="AF3557" s="4">
        <v>0</v>
      </c>
      <c r="AG3557" s="4">
        <v>0</v>
      </c>
      <c r="AH3557" s="4">
        <v>57</v>
      </c>
      <c r="AI3557" s="4">
        <v>60</v>
      </c>
      <c r="AJ3557" s="4">
        <v>6</v>
      </c>
      <c r="AK3557" s="4">
        <v>7</v>
      </c>
      <c r="AL3557" s="4">
        <v>44</v>
      </c>
      <c r="AM3557" s="4">
        <v>45</v>
      </c>
      <c r="AN3557" s="4">
        <v>0</v>
      </c>
      <c r="AO3557" s="4">
        <v>0</v>
      </c>
      <c r="AP3557" s="4">
        <v>6</v>
      </c>
      <c r="AQ3557" s="4">
        <v>7</v>
      </c>
      <c r="AR3557" s="3" t="s">
        <v>63</v>
      </c>
      <c r="AS3557" s="3" t="s">
        <v>63</v>
      </c>
      <c r="AT3557" s="3" t="s">
        <v>62</v>
      </c>
      <c r="AU3557" s="6" t="str">
        <f>HYPERLINK("http://catalog.hathitrust.org/Record/003267287","HathiTrust Record")</f>
        <v>HathiTrust Record</v>
      </c>
      <c r="AV3557" s="6" t="str">
        <f>HYPERLINK("http://mcgill.on.worldcat.org/oclc/33361543","Catalog Record")</f>
        <v>Catalog Record</v>
      </c>
      <c r="AW3557" s="6" t="str">
        <f>HYPERLINK("http://www.worldcat.org/oclc/33361543","WorldCat Record")</f>
        <v>WorldCat Record</v>
      </c>
      <c r="AX3557" s="3" t="s">
        <v>29848</v>
      </c>
      <c r="AY3557" s="3" t="s">
        <v>29849</v>
      </c>
      <c r="AZ3557" s="3" t="s">
        <v>29850</v>
      </c>
      <c r="BA3557" s="3" t="s">
        <v>29850</v>
      </c>
      <c r="BB3557" s="3" t="s">
        <v>29851</v>
      </c>
      <c r="BC3557" s="3" t="s">
        <v>82</v>
      </c>
      <c r="BD3557" s="3" t="s">
        <v>70</v>
      </c>
      <c r="BE3557" s="3" t="s">
        <v>29852</v>
      </c>
      <c r="BF3557" s="3" t="s">
        <v>29851</v>
      </c>
      <c r="BG3557" s="3" t="s">
        <v>29853</v>
      </c>
    </row>
    <row r="3558" spans="1:59" ht="60" x14ac:dyDescent="0.25">
      <c r="A3558" s="2" t="s">
        <v>59</v>
      </c>
      <c r="B3558" s="2" t="s">
        <v>60</v>
      </c>
      <c r="C3558" s="2" t="s">
        <v>29854</v>
      </c>
      <c r="D3558" s="2" t="s">
        <v>29855</v>
      </c>
      <c r="E3558" s="2" t="s">
        <v>29856</v>
      </c>
      <c r="G3558" s="3" t="s">
        <v>63</v>
      </c>
      <c r="I3558" s="3" t="s">
        <v>63</v>
      </c>
      <c r="J3558" s="3" t="s">
        <v>63</v>
      </c>
      <c r="K3558" s="3" t="s">
        <v>64</v>
      </c>
      <c r="L3558" s="2" t="s">
        <v>29792</v>
      </c>
      <c r="M3558" s="2" t="s">
        <v>29857</v>
      </c>
      <c r="N3558" s="3" t="s">
        <v>427</v>
      </c>
      <c r="P3558" s="3" t="s">
        <v>66</v>
      </c>
      <c r="R3558" s="3" t="s">
        <v>67</v>
      </c>
      <c r="S3558" s="4">
        <v>6</v>
      </c>
      <c r="T3558" s="4">
        <v>6</v>
      </c>
      <c r="U3558" s="5" t="s">
        <v>29858</v>
      </c>
      <c r="V3558" s="5" t="s">
        <v>29858</v>
      </c>
      <c r="W3558" s="5" t="s">
        <v>69</v>
      </c>
      <c r="X3558" s="5" t="s">
        <v>69</v>
      </c>
      <c r="Y3558" s="4">
        <v>56</v>
      </c>
      <c r="Z3558" s="4">
        <v>2</v>
      </c>
      <c r="AA3558" s="4">
        <v>39</v>
      </c>
      <c r="AB3558" s="4">
        <v>2</v>
      </c>
      <c r="AC3558" s="4">
        <v>4</v>
      </c>
      <c r="AD3558" s="4">
        <v>8</v>
      </c>
      <c r="AE3558" s="4">
        <v>123</v>
      </c>
      <c r="AF3558" s="4">
        <v>0</v>
      </c>
      <c r="AG3558" s="4">
        <v>2</v>
      </c>
      <c r="AH3558" s="4">
        <v>8</v>
      </c>
      <c r="AI3558" s="4">
        <v>105</v>
      </c>
      <c r="AJ3558" s="4">
        <v>0</v>
      </c>
      <c r="AK3558" s="4">
        <v>19</v>
      </c>
      <c r="AL3558" s="4">
        <v>6</v>
      </c>
      <c r="AM3558" s="4">
        <v>57</v>
      </c>
      <c r="AN3558" s="4">
        <v>0</v>
      </c>
      <c r="AO3558" s="4">
        <v>0</v>
      </c>
      <c r="AP3558" s="4">
        <v>0</v>
      </c>
      <c r="AQ3558" s="4">
        <v>23</v>
      </c>
      <c r="AR3558" s="3" t="s">
        <v>63</v>
      </c>
      <c r="AS3558" s="3" t="s">
        <v>63</v>
      </c>
      <c r="AT3558" s="3" t="s">
        <v>62</v>
      </c>
      <c r="AU3558" s="6" t="str">
        <f>HYPERLINK("http://catalog.hathitrust.org/Record/008561394","HathiTrust Record")</f>
        <v>HathiTrust Record</v>
      </c>
      <c r="AV3558" s="6" t="str">
        <f>HYPERLINK("http://mcgill.on.worldcat.org/oclc/17581455","Catalog Record")</f>
        <v>Catalog Record</v>
      </c>
      <c r="AW3558" s="6" t="str">
        <f>HYPERLINK("http://www.worldcat.org/oclc/17581455","WorldCat Record")</f>
        <v>WorldCat Record</v>
      </c>
      <c r="AX3558" s="3" t="s">
        <v>29859</v>
      </c>
      <c r="AY3558" s="3" t="s">
        <v>29860</v>
      </c>
      <c r="AZ3558" s="3" t="s">
        <v>29861</v>
      </c>
      <c r="BA3558" s="3" t="s">
        <v>29861</v>
      </c>
      <c r="BB3558" s="3" t="s">
        <v>29862</v>
      </c>
      <c r="BC3558" s="3" t="s">
        <v>82</v>
      </c>
      <c r="BD3558" s="3" t="s">
        <v>70</v>
      </c>
      <c r="BE3558" s="3" t="s">
        <v>29863</v>
      </c>
      <c r="BF3558" s="3" t="s">
        <v>29862</v>
      </c>
      <c r="BG3558" s="3" t="s">
        <v>29864</v>
      </c>
    </row>
    <row r="3559" spans="1:59" ht="60" x14ac:dyDescent="0.25">
      <c r="A3559" s="2" t="s">
        <v>59</v>
      </c>
      <c r="B3559" s="2" t="s">
        <v>60</v>
      </c>
      <c r="C3559" s="2" t="s">
        <v>29865</v>
      </c>
      <c r="D3559" s="2" t="s">
        <v>29866</v>
      </c>
      <c r="E3559" s="2" t="s">
        <v>29867</v>
      </c>
      <c r="G3559" s="3" t="s">
        <v>63</v>
      </c>
      <c r="I3559" s="3" t="s">
        <v>63</v>
      </c>
      <c r="J3559" s="3" t="s">
        <v>63</v>
      </c>
      <c r="K3559" s="3" t="s">
        <v>64</v>
      </c>
      <c r="L3559" s="2" t="s">
        <v>29868</v>
      </c>
      <c r="M3559" s="2" t="s">
        <v>29869</v>
      </c>
      <c r="N3559" s="3" t="s">
        <v>313</v>
      </c>
      <c r="P3559" s="3" t="s">
        <v>66</v>
      </c>
      <c r="R3559" s="3" t="s">
        <v>67</v>
      </c>
      <c r="S3559" s="4">
        <v>2</v>
      </c>
      <c r="T3559" s="4">
        <v>2</v>
      </c>
      <c r="U3559" s="5" t="s">
        <v>29870</v>
      </c>
      <c r="V3559" s="5" t="s">
        <v>29870</v>
      </c>
      <c r="W3559" s="5" t="s">
        <v>69</v>
      </c>
      <c r="X3559" s="5" t="s">
        <v>69</v>
      </c>
      <c r="Y3559" s="4">
        <v>197</v>
      </c>
      <c r="Z3559" s="4">
        <v>17</v>
      </c>
      <c r="AA3559" s="4">
        <v>95</v>
      </c>
      <c r="AB3559" s="4">
        <v>1</v>
      </c>
      <c r="AC3559" s="4">
        <v>17</v>
      </c>
      <c r="AD3559" s="4">
        <v>78</v>
      </c>
      <c r="AE3559" s="4">
        <v>134</v>
      </c>
      <c r="AF3559" s="4">
        <v>0</v>
      </c>
      <c r="AG3559" s="4">
        <v>8</v>
      </c>
      <c r="AH3559" s="4">
        <v>71</v>
      </c>
      <c r="AI3559" s="4">
        <v>98</v>
      </c>
      <c r="AJ3559" s="4">
        <v>11</v>
      </c>
      <c r="AK3559" s="4">
        <v>22</v>
      </c>
      <c r="AL3559" s="4">
        <v>47</v>
      </c>
      <c r="AM3559" s="4">
        <v>55</v>
      </c>
      <c r="AN3559" s="4">
        <v>0</v>
      </c>
      <c r="AO3559" s="4">
        <v>0</v>
      </c>
      <c r="AP3559" s="4">
        <v>12</v>
      </c>
      <c r="AQ3559" s="4">
        <v>43</v>
      </c>
      <c r="AR3559" s="3" t="s">
        <v>63</v>
      </c>
      <c r="AS3559" s="3" t="s">
        <v>63</v>
      </c>
      <c r="AT3559" s="3" t="s">
        <v>63</v>
      </c>
      <c r="AV3559" s="6" t="str">
        <f>HYPERLINK("http://mcgill.on.worldcat.org/oclc/455870812","Catalog Record")</f>
        <v>Catalog Record</v>
      </c>
      <c r="AW3559" s="6" t="str">
        <f>HYPERLINK("http://www.worldcat.org/oclc/455870812","WorldCat Record")</f>
        <v>WorldCat Record</v>
      </c>
      <c r="AX3559" s="3" t="s">
        <v>29871</v>
      </c>
      <c r="AY3559" s="3" t="s">
        <v>29872</v>
      </c>
      <c r="AZ3559" s="3" t="s">
        <v>29873</v>
      </c>
      <c r="BA3559" s="3" t="s">
        <v>29873</v>
      </c>
      <c r="BB3559" s="3" t="s">
        <v>29874</v>
      </c>
      <c r="BC3559" s="3" t="s">
        <v>82</v>
      </c>
      <c r="BD3559" s="3" t="s">
        <v>70</v>
      </c>
      <c r="BE3559" s="3" t="s">
        <v>29875</v>
      </c>
      <c r="BF3559" s="3" t="s">
        <v>29874</v>
      </c>
      <c r="BG3559" s="3" t="s">
        <v>29876</v>
      </c>
    </row>
    <row r="3560" spans="1:59" ht="75" x14ac:dyDescent="0.25">
      <c r="A3560" s="2" t="s">
        <v>59</v>
      </c>
      <c r="B3560" s="2" t="s">
        <v>60</v>
      </c>
      <c r="C3560" s="2" t="s">
        <v>29877</v>
      </c>
      <c r="D3560" s="2" t="s">
        <v>29878</v>
      </c>
      <c r="E3560" s="2" t="s">
        <v>29879</v>
      </c>
      <c r="G3560" s="3" t="s">
        <v>63</v>
      </c>
      <c r="I3560" s="3" t="s">
        <v>63</v>
      </c>
      <c r="J3560" s="3" t="s">
        <v>63</v>
      </c>
      <c r="K3560" s="3" t="s">
        <v>64</v>
      </c>
      <c r="L3560" s="2" t="s">
        <v>29792</v>
      </c>
      <c r="M3560" s="2" t="s">
        <v>29880</v>
      </c>
      <c r="N3560" s="3" t="s">
        <v>531</v>
      </c>
      <c r="O3560" s="2" t="s">
        <v>590</v>
      </c>
      <c r="P3560" s="3" t="s">
        <v>66</v>
      </c>
      <c r="R3560" s="3" t="s">
        <v>67</v>
      </c>
      <c r="S3560" s="4">
        <v>35</v>
      </c>
      <c r="T3560" s="4">
        <v>35</v>
      </c>
      <c r="U3560" s="5" t="s">
        <v>24124</v>
      </c>
      <c r="V3560" s="5" t="s">
        <v>24124</v>
      </c>
      <c r="W3560" s="5" t="s">
        <v>69</v>
      </c>
      <c r="X3560" s="5" t="s">
        <v>69</v>
      </c>
      <c r="Y3560" s="4">
        <v>531</v>
      </c>
      <c r="Z3560" s="4">
        <v>19</v>
      </c>
      <c r="AA3560" s="4">
        <v>25</v>
      </c>
      <c r="AB3560" s="4">
        <v>1</v>
      </c>
      <c r="AC3560" s="4">
        <v>2</v>
      </c>
      <c r="AD3560" s="4">
        <v>102</v>
      </c>
      <c r="AE3560" s="4">
        <v>108</v>
      </c>
      <c r="AF3560" s="4">
        <v>0</v>
      </c>
      <c r="AG3560" s="4">
        <v>0</v>
      </c>
      <c r="AH3560" s="4">
        <v>94</v>
      </c>
      <c r="AI3560" s="4">
        <v>97</v>
      </c>
      <c r="AJ3560" s="4">
        <v>10</v>
      </c>
      <c r="AK3560" s="4">
        <v>11</v>
      </c>
      <c r="AL3560" s="4">
        <v>56</v>
      </c>
      <c r="AM3560" s="4">
        <v>57</v>
      </c>
      <c r="AN3560" s="4">
        <v>0</v>
      </c>
      <c r="AO3560" s="4">
        <v>0</v>
      </c>
      <c r="AP3560" s="4">
        <v>11</v>
      </c>
      <c r="AQ3560" s="4">
        <v>14</v>
      </c>
      <c r="AR3560" s="3" t="s">
        <v>63</v>
      </c>
      <c r="AS3560" s="3" t="s">
        <v>63</v>
      </c>
      <c r="AT3560" s="3" t="s">
        <v>62</v>
      </c>
      <c r="AU3560" s="6" t="str">
        <f>HYPERLINK("http://catalog.hathitrust.org/Record/002560966","HathiTrust Record")</f>
        <v>HathiTrust Record</v>
      </c>
      <c r="AV3560" s="6" t="str">
        <f>HYPERLINK("http://mcgill.on.worldcat.org/oclc/25026373","Catalog Record")</f>
        <v>Catalog Record</v>
      </c>
      <c r="AW3560" s="6" t="str">
        <f>HYPERLINK("http://www.worldcat.org/oclc/25026373","WorldCat Record")</f>
        <v>WorldCat Record</v>
      </c>
      <c r="AX3560" s="3" t="s">
        <v>29881</v>
      </c>
      <c r="AY3560" s="3" t="s">
        <v>29882</v>
      </c>
      <c r="AZ3560" s="3" t="s">
        <v>29883</v>
      </c>
      <c r="BA3560" s="3" t="s">
        <v>29883</v>
      </c>
      <c r="BB3560" s="3" t="s">
        <v>29884</v>
      </c>
      <c r="BC3560" s="3" t="s">
        <v>82</v>
      </c>
      <c r="BD3560" s="3" t="s">
        <v>70</v>
      </c>
      <c r="BE3560" s="3" t="s">
        <v>29885</v>
      </c>
      <c r="BF3560" s="3" t="s">
        <v>29884</v>
      </c>
      <c r="BG3560" s="3" t="s">
        <v>29886</v>
      </c>
    </row>
    <row r="3561" spans="1:59" ht="60" x14ac:dyDescent="0.25">
      <c r="A3561" s="2" t="s">
        <v>59</v>
      </c>
      <c r="B3561" s="2" t="s">
        <v>60</v>
      </c>
      <c r="C3561" s="2" t="s">
        <v>29887</v>
      </c>
      <c r="D3561" s="2" t="s">
        <v>29888</v>
      </c>
      <c r="E3561" s="2" t="s">
        <v>29889</v>
      </c>
      <c r="G3561" s="3" t="s">
        <v>63</v>
      </c>
      <c r="I3561" s="3" t="s">
        <v>63</v>
      </c>
      <c r="J3561" s="3" t="s">
        <v>63</v>
      </c>
      <c r="K3561" s="3" t="s">
        <v>64</v>
      </c>
      <c r="L3561" s="2" t="s">
        <v>29792</v>
      </c>
      <c r="M3561" s="2" t="s">
        <v>29890</v>
      </c>
      <c r="N3561" s="3" t="s">
        <v>2103</v>
      </c>
      <c r="P3561" s="3" t="s">
        <v>66</v>
      </c>
      <c r="Q3561" s="2" t="s">
        <v>26521</v>
      </c>
      <c r="R3561" s="3" t="s">
        <v>67</v>
      </c>
      <c r="S3561" s="4">
        <v>13</v>
      </c>
      <c r="T3561" s="4">
        <v>13</v>
      </c>
      <c r="U3561" s="5" t="s">
        <v>7236</v>
      </c>
      <c r="V3561" s="5" t="s">
        <v>7236</v>
      </c>
      <c r="W3561" s="5" t="s">
        <v>69</v>
      </c>
      <c r="X3561" s="5" t="s">
        <v>69</v>
      </c>
      <c r="Y3561" s="4">
        <v>257</v>
      </c>
      <c r="Z3561" s="4">
        <v>14</v>
      </c>
      <c r="AA3561" s="4">
        <v>15</v>
      </c>
      <c r="AB3561" s="4">
        <v>1</v>
      </c>
      <c r="AC3561" s="4">
        <v>2</v>
      </c>
      <c r="AD3561" s="4">
        <v>99</v>
      </c>
      <c r="AE3561" s="4">
        <v>100</v>
      </c>
      <c r="AF3561" s="4">
        <v>0</v>
      </c>
      <c r="AG3561" s="4">
        <v>1</v>
      </c>
      <c r="AH3561" s="4">
        <v>93</v>
      </c>
      <c r="AI3561" s="4">
        <v>94</v>
      </c>
      <c r="AJ3561" s="4">
        <v>9</v>
      </c>
      <c r="AK3561" s="4">
        <v>10</v>
      </c>
      <c r="AL3561" s="4">
        <v>55</v>
      </c>
      <c r="AM3561" s="4">
        <v>55</v>
      </c>
      <c r="AN3561" s="4">
        <v>0</v>
      </c>
      <c r="AO3561" s="4">
        <v>0</v>
      </c>
      <c r="AP3561" s="4">
        <v>9</v>
      </c>
      <c r="AQ3561" s="4">
        <v>10</v>
      </c>
      <c r="AR3561" s="3" t="s">
        <v>63</v>
      </c>
      <c r="AS3561" s="3" t="s">
        <v>63</v>
      </c>
      <c r="AT3561" s="3" t="s">
        <v>62</v>
      </c>
      <c r="AU3561" s="6" t="str">
        <f>HYPERLINK("http://catalog.hathitrust.org/Record/004324386","HathiTrust Record")</f>
        <v>HathiTrust Record</v>
      </c>
      <c r="AV3561" s="6" t="str">
        <f>HYPERLINK("http://mcgill.on.worldcat.org/oclc/50424388","Catalog Record")</f>
        <v>Catalog Record</v>
      </c>
      <c r="AW3561" s="6" t="str">
        <f>HYPERLINK("http://www.worldcat.org/oclc/50424388","WorldCat Record")</f>
        <v>WorldCat Record</v>
      </c>
      <c r="AX3561" s="3" t="s">
        <v>29891</v>
      </c>
      <c r="AY3561" s="3" t="s">
        <v>29892</v>
      </c>
      <c r="AZ3561" s="3" t="s">
        <v>29893</v>
      </c>
      <c r="BA3561" s="3" t="s">
        <v>29893</v>
      </c>
      <c r="BB3561" s="3" t="s">
        <v>29894</v>
      </c>
      <c r="BC3561" s="3" t="s">
        <v>82</v>
      </c>
      <c r="BD3561" s="3" t="s">
        <v>70</v>
      </c>
      <c r="BE3561" s="3" t="s">
        <v>29895</v>
      </c>
      <c r="BF3561" s="3" t="s">
        <v>29894</v>
      </c>
      <c r="BG3561" s="3" t="s">
        <v>29896</v>
      </c>
    </row>
    <row r="3562" spans="1:59" ht="60" x14ac:dyDescent="0.25">
      <c r="A3562" s="2" t="s">
        <v>59</v>
      </c>
      <c r="B3562" s="2" t="s">
        <v>60</v>
      </c>
      <c r="C3562" s="2" t="s">
        <v>29897</v>
      </c>
      <c r="D3562" s="2" t="s">
        <v>29898</v>
      </c>
      <c r="E3562" s="2" t="s">
        <v>29899</v>
      </c>
      <c r="G3562" s="3" t="s">
        <v>63</v>
      </c>
      <c r="I3562" s="3" t="s">
        <v>63</v>
      </c>
      <c r="J3562" s="3" t="s">
        <v>63</v>
      </c>
      <c r="K3562" s="3" t="s">
        <v>64</v>
      </c>
      <c r="L3562" s="2" t="s">
        <v>29900</v>
      </c>
      <c r="M3562" s="2" t="s">
        <v>29901</v>
      </c>
      <c r="N3562" s="3" t="s">
        <v>143</v>
      </c>
      <c r="P3562" s="3" t="s">
        <v>66</v>
      </c>
      <c r="Q3562" s="2" t="s">
        <v>29902</v>
      </c>
      <c r="R3562" s="3" t="s">
        <v>67</v>
      </c>
      <c r="S3562" s="4">
        <v>0</v>
      </c>
      <c r="T3562" s="4">
        <v>0</v>
      </c>
      <c r="W3562" s="5" t="s">
        <v>69</v>
      </c>
      <c r="X3562" s="5" t="s">
        <v>69</v>
      </c>
      <c r="Y3562" s="4">
        <v>76</v>
      </c>
      <c r="Z3562" s="4">
        <v>9</v>
      </c>
      <c r="AA3562" s="4">
        <v>13</v>
      </c>
      <c r="AB3562" s="4">
        <v>1</v>
      </c>
      <c r="AC3562" s="4">
        <v>3</v>
      </c>
      <c r="AD3562" s="4">
        <v>39</v>
      </c>
      <c r="AE3562" s="4">
        <v>47</v>
      </c>
      <c r="AF3562" s="4">
        <v>0</v>
      </c>
      <c r="AG3562" s="4">
        <v>0</v>
      </c>
      <c r="AH3562" s="4">
        <v>37</v>
      </c>
      <c r="AI3562" s="4">
        <v>45</v>
      </c>
      <c r="AJ3562" s="4">
        <v>6</v>
      </c>
      <c r="AK3562" s="4">
        <v>7</v>
      </c>
      <c r="AL3562" s="4">
        <v>26</v>
      </c>
      <c r="AM3562" s="4">
        <v>32</v>
      </c>
      <c r="AN3562" s="4">
        <v>0</v>
      </c>
      <c r="AO3562" s="4">
        <v>0</v>
      </c>
      <c r="AP3562" s="4">
        <v>6</v>
      </c>
      <c r="AQ3562" s="4">
        <v>7</v>
      </c>
      <c r="AR3562" s="3" t="s">
        <v>63</v>
      </c>
      <c r="AS3562" s="3" t="s">
        <v>63</v>
      </c>
      <c r="AT3562" s="3" t="s">
        <v>63</v>
      </c>
      <c r="AV3562" s="6" t="str">
        <f>HYPERLINK("http://mcgill.on.worldcat.org/oclc/856976052","Catalog Record")</f>
        <v>Catalog Record</v>
      </c>
      <c r="AW3562" s="6" t="str">
        <f>HYPERLINK("http://www.worldcat.org/oclc/856976052","WorldCat Record")</f>
        <v>WorldCat Record</v>
      </c>
      <c r="AX3562" s="3" t="s">
        <v>29903</v>
      </c>
      <c r="AY3562" s="3" t="s">
        <v>29904</v>
      </c>
      <c r="AZ3562" s="3" t="s">
        <v>29905</v>
      </c>
      <c r="BA3562" s="3" t="s">
        <v>29905</v>
      </c>
      <c r="BB3562" s="3" t="s">
        <v>29906</v>
      </c>
      <c r="BC3562" s="3" t="s">
        <v>82</v>
      </c>
      <c r="BD3562" s="3" t="s">
        <v>70</v>
      </c>
      <c r="BE3562" s="3" t="s">
        <v>29907</v>
      </c>
      <c r="BF3562" s="3" t="s">
        <v>29906</v>
      </c>
      <c r="BG3562" s="3" t="s">
        <v>29908</v>
      </c>
    </row>
    <row r="3563" spans="1:59" ht="60" x14ac:dyDescent="0.25">
      <c r="A3563" s="2" t="s">
        <v>59</v>
      </c>
      <c r="B3563" s="2" t="s">
        <v>60</v>
      </c>
      <c r="C3563" s="2" t="s">
        <v>29909</v>
      </c>
      <c r="D3563" s="2" t="s">
        <v>29910</v>
      </c>
      <c r="E3563" s="2" t="s">
        <v>29911</v>
      </c>
      <c r="G3563" s="3" t="s">
        <v>63</v>
      </c>
      <c r="I3563" s="3" t="s">
        <v>63</v>
      </c>
      <c r="J3563" s="3" t="s">
        <v>63</v>
      </c>
      <c r="K3563" s="3" t="s">
        <v>64</v>
      </c>
      <c r="L3563" s="2" t="s">
        <v>29912</v>
      </c>
      <c r="M3563" s="2" t="s">
        <v>3706</v>
      </c>
      <c r="N3563" s="3" t="s">
        <v>629</v>
      </c>
      <c r="P3563" s="3" t="s">
        <v>66</v>
      </c>
      <c r="Q3563" s="2" t="s">
        <v>29913</v>
      </c>
      <c r="R3563" s="3" t="s">
        <v>67</v>
      </c>
      <c r="S3563" s="4">
        <v>1</v>
      </c>
      <c r="T3563" s="4">
        <v>1</v>
      </c>
      <c r="U3563" s="5" t="s">
        <v>29914</v>
      </c>
      <c r="V3563" s="5" t="s">
        <v>29914</v>
      </c>
      <c r="W3563" s="5" t="s">
        <v>69</v>
      </c>
      <c r="X3563" s="5" t="s">
        <v>69</v>
      </c>
      <c r="Y3563" s="4">
        <v>89</v>
      </c>
      <c r="Z3563" s="4">
        <v>8</v>
      </c>
      <c r="AA3563" s="4">
        <v>88</v>
      </c>
      <c r="AB3563" s="4">
        <v>1</v>
      </c>
      <c r="AC3563" s="4">
        <v>17</v>
      </c>
      <c r="AD3563" s="4">
        <v>48</v>
      </c>
      <c r="AE3563" s="4">
        <v>118</v>
      </c>
      <c r="AF3563" s="4">
        <v>0</v>
      </c>
      <c r="AG3563" s="4">
        <v>8</v>
      </c>
      <c r="AH3563" s="4">
        <v>46</v>
      </c>
      <c r="AI3563" s="4">
        <v>83</v>
      </c>
      <c r="AJ3563" s="4">
        <v>6</v>
      </c>
      <c r="AK3563" s="4">
        <v>22</v>
      </c>
      <c r="AL3563" s="4">
        <v>29</v>
      </c>
      <c r="AM3563" s="4">
        <v>44</v>
      </c>
      <c r="AN3563" s="4">
        <v>0</v>
      </c>
      <c r="AO3563" s="4">
        <v>0</v>
      </c>
      <c r="AP3563" s="4">
        <v>6</v>
      </c>
      <c r="AQ3563" s="4">
        <v>43</v>
      </c>
      <c r="AR3563" s="3" t="s">
        <v>63</v>
      </c>
      <c r="AS3563" s="3" t="s">
        <v>63</v>
      </c>
      <c r="AT3563" s="3" t="s">
        <v>63</v>
      </c>
      <c r="AV3563" s="6" t="str">
        <f>HYPERLINK("http://mcgill.on.worldcat.org/oclc/696321907","Catalog Record")</f>
        <v>Catalog Record</v>
      </c>
      <c r="AW3563" s="6" t="str">
        <f>HYPERLINK("http://www.worldcat.org/oclc/696321907","WorldCat Record")</f>
        <v>WorldCat Record</v>
      </c>
      <c r="AX3563" s="3" t="s">
        <v>29915</v>
      </c>
      <c r="AY3563" s="3" t="s">
        <v>29916</v>
      </c>
      <c r="AZ3563" s="3" t="s">
        <v>29917</v>
      </c>
      <c r="BA3563" s="3" t="s">
        <v>29917</v>
      </c>
      <c r="BB3563" s="3" t="s">
        <v>29918</v>
      </c>
      <c r="BC3563" s="3" t="s">
        <v>82</v>
      </c>
      <c r="BD3563" s="3" t="s">
        <v>70</v>
      </c>
      <c r="BE3563" s="3" t="s">
        <v>29919</v>
      </c>
      <c r="BF3563" s="3" t="s">
        <v>29918</v>
      </c>
      <c r="BG3563" s="3" t="s">
        <v>29920</v>
      </c>
    </row>
    <row r="3564" spans="1:59" ht="60" x14ac:dyDescent="0.25">
      <c r="A3564" s="2" t="s">
        <v>59</v>
      </c>
      <c r="B3564" s="2" t="s">
        <v>60</v>
      </c>
      <c r="C3564" s="2" t="s">
        <v>29921</v>
      </c>
      <c r="D3564" s="2" t="s">
        <v>29922</v>
      </c>
      <c r="E3564" s="2" t="s">
        <v>29923</v>
      </c>
      <c r="G3564" s="3" t="s">
        <v>63</v>
      </c>
      <c r="I3564" s="3" t="s">
        <v>63</v>
      </c>
      <c r="J3564" s="3" t="s">
        <v>63</v>
      </c>
      <c r="K3564" s="3" t="s">
        <v>64</v>
      </c>
      <c r="M3564" s="2" t="s">
        <v>4501</v>
      </c>
      <c r="N3564" s="3" t="s">
        <v>76</v>
      </c>
      <c r="P3564" s="3" t="s">
        <v>90</v>
      </c>
      <c r="Q3564" s="2" t="s">
        <v>4502</v>
      </c>
      <c r="R3564" s="3" t="s">
        <v>67</v>
      </c>
      <c r="S3564" s="4">
        <v>1</v>
      </c>
      <c r="T3564" s="4">
        <v>1</v>
      </c>
      <c r="U3564" s="5" t="s">
        <v>29924</v>
      </c>
      <c r="V3564" s="5" t="s">
        <v>29924</v>
      </c>
      <c r="W3564" s="5" t="s">
        <v>69</v>
      </c>
      <c r="X3564" s="5" t="s">
        <v>69</v>
      </c>
      <c r="Y3564" s="4">
        <v>53</v>
      </c>
      <c r="Z3564" s="4">
        <v>2</v>
      </c>
      <c r="AA3564" s="4">
        <v>2</v>
      </c>
      <c r="AB3564" s="4">
        <v>1</v>
      </c>
      <c r="AC3564" s="4">
        <v>1</v>
      </c>
      <c r="AD3564" s="4">
        <v>37</v>
      </c>
      <c r="AE3564" s="4">
        <v>37</v>
      </c>
      <c r="AF3564" s="4">
        <v>0</v>
      </c>
      <c r="AG3564" s="4">
        <v>0</v>
      </c>
      <c r="AH3564" s="4">
        <v>36</v>
      </c>
      <c r="AI3564" s="4">
        <v>36</v>
      </c>
      <c r="AJ3564" s="4">
        <v>1</v>
      </c>
      <c r="AK3564" s="4">
        <v>1</v>
      </c>
      <c r="AL3564" s="4">
        <v>27</v>
      </c>
      <c r="AM3564" s="4">
        <v>27</v>
      </c>
      <c r="AN3564" s="4">
        <v>0</v>
      </c>
      <c r="AO3564" s="4">
        <v>0</v>
      </c>
      <c r="AP3564" s="4">
        <v>1</v>
      </c>
      <c r="AQ3564" s="4">
        <v>1</v>
      </c>
      <c r="AR3564" s="3" t="s">
        <v>63</v>
      </c>
      <c r="AS3564" s="3" t="s">
        <v>63</v>
      </c>
      <c r="AT3564" s="3" t="s">
        <v>63</v>
      </c>
      <c r="AV3564" s="6" t="str">
        <f>HYPERLINK("http://mcgill.on.worldcat.org/oclc/823520393","Catalog Record")</f>
        <v>Catalog Record</v>
      </c>
      <c r="AW3564" s="6" t="str">
        <f>HYPERLINK("http://www.worldcat.org/oclc/823520393","WorldCat Record")</f>
        <v>WorldCat Record</v>
      </c>
      <c r="AX3564" s="3" t="s">
        <v>29925</v>
      </c>
      <c r="AY3564" s="3" t="s">
        <v>29926</v>
      </c>
      <c r="AZ3564" s="3" t="s">
        <v>29927</v>
      </c>
      <c r="BA3564" s="3" t="s">
        <v>29927</v>
      </c>
      <c r="BB3564" s="3" t="s">
        <v>29928</v>
      </c>
      <c r="BC3564" s="3" t="s">
        <v>82</v>
      </c>
      <c r="BD3564" s="3" t="s">
        <v>70</v>
      </c>
      <c r="BE3564" s="3" t="s">
        <v>29929</v>
      </c>
      <c r="BF3564" s="3" t="s">
        <v>29928</v>
      </c>
      <c r="BG3564" s="3" t="s">
        <v>29930</v>
      </c>
    </row>
    <row r="3565" spans="1:59" ht="75" x14ac:dyDescent="0.25">
      <c r="A3565" s="2" t="s">
        <v>59</v>
      </c>
      <c r="B3565" s="2" t="s">
        <v>60</v>
      </c>
      <c r="C3565" s="2" t="s">
        <v>29931</v>
      </c>
      <c r="D3565" s="2" t="s">
        <v>29932</v>
      </c>
      <c r="E3565" s="2" t="s">
        <v>29933</v>
      </c>
      <c r="G3565" s="3" t="s">
        <v>63</v>
      </c>
      <c r="I3565" s="3" t="s">
        <v>63</v>
      </c>
      <c r="J3565" s="3" t="s">
        <v>63</v>
      </c>
      <c r="K3565" s="3" t="s">
        <v>64</v>
      </c>
      <c r="L3565" s="2" t="s">
        <v>29934</v>
      </c>
      <c r="M3565" s="2" t="s">
        <v>29935</v>
      </c>
      <c r="N3565" s="3" t="s">
        <v>629</v>
      </c>
      <c r="P3565" s="3" t="s">
        <v>66</v>
      </c>
      <c r="R3565" s="3" t="s">
        <v>67</v>
      </c>
      <c r="S3565" s="4">
        <v>3</v>
      </c>
      <c r="T3565" s="4">
        <v>3</v>
      </c>
      <c r="U3565" s="5" t="s">
        <v>29936</v>
      </c>
      <c r="V3565" s="5" t="s">
        <v>29936</v>
      </c>
      <c r="W3565" s="5" t="s">
        <v>69</v>
      </c>
      <c r="X3565" s="5" t="s">
        <v>69</v>
      </c>
      <c r="Y3565" s="4">
        <v>463</v>
      </c>
      <c r="Z3565" s="4">
        <v>24</v>
      </c>
      <c r="AA3565" s="4">
        <v>92</v>
      </c>
      <c r="AB3565" s="4">
        <v>3</v>
      </c>
      <c r="AC3565" s="4">
        <v>17</v>
      </c>
      <c r="AD3565" s="4">
        <v>93</v>
      </c>
      <c r="AE3565" s="4">
        <v>140</v>
      </c>
      <c r="AF3565" s="4">
        <v>0</v>
      </c>
      <c r="AG3565" s="4">
        <v>8</v>
      </c>
      <c r="AH3565" s="4">
        <v>86</v>
      </c>
      <c r="AI3565" s="4">
        <v>104</v>
      </c>
      <c r="AJ3565" s="4">
        <v>12</v>
      </c>
      <c r="AK3565" s="4">
        <v>24</v>
      </c>
      <c r="AL3565" s="4">
        <v>55</v>
      </c>
      <c r="AM3565" s="4">
        <v>59</v>
      </c>
      <c r="AN3565" s="4">
        <v>0</v>
      </c>
      <c r="AO3565" s="4">
        <v>0</v>
      </c>
      <c r="AP3565" s="4">
        <v>12</v>
      </c>
      <c r="AQ3565" s="4">
        <v>44</v>
      </c>
      <c r="AR3565" s="3" t="s">
        <v>63</v>
      </c>
      <c r="AS3565" s="3" t="s">
        <v>63</v>
      </c>
      <c r="AT3565" s="3" t="s">
        <v>63</v>
      </c>
      <c r="AV3565" s="6" t="str">
        <f>HYPERLINK("http://mcgill.on.worldcat.org/oclc/601349173","Catalog Record")</f>
        <v>Catalog Record</v>
      </c>
      <c r="AW3565" s="6" t="str">
        <f>HYPERLINK("http://www.worldcat.org/oclc/601349173","WorldCat Record")</f>
        <v>WorldCat Record</v>
      </c>
      <c r="AX3565" s="3" t="s">
        <v>29937</v>
      </c>
      <c r="AY3565" s="3" t="s">
        <v>29938</v>
      </c>
      <c r="AZ3565" s="3" t="s">
        <v>29939</v>
      </c>
      <c r="BA3565" s="3" t="s">
        <v>29939</v>
      </c>
      <c r="BB3565" s="3" t="s">
        <v>29940</v>
      </c>
      <c r="BC3565" s="3" t="s">
        <v>82</v>
      </c>
      <c r="BD3565" s="3" t="s">
        <v>70</v>
      </c>
      <c r="BE3565" s="3" t="s">
        <v>29941</v>
      </c>
      <c r="BF3565" s="3" t="s">
        <v>29940</v>
      </c>
      <c r="BG3565" s="3" t="s">
        <v>29942</v>
      </c>
    </row>
    <row r="3566" spans="1:59" ht="60" x14ac:dyDescent="0.25">
      <c r="A3566" s="2" t="s">
        <v>59</v>
      </c>
      <c r="B3566" s="2" t="s">
        <v>60</v>
      </c>
      <c r="C3566" s="2" t="s">
        <v>29943</v>
      </c>
      <c r="D3566" s="2" t="s">
        <v>29944</v>
      </c>
      <c r="E3566" s="2" t="s">
        <v>29945</v>
      </c>
      <c r="G3566" s="3" t="s">
        <v>63</v>
      </c>
      <c r="I3566" s="3" t="s">
        <v>63</v>
      </c>
      <c r="J3566" s="3" t="s">
        <v>63</v>
      </c>
      <c r="K3566" s="3" t="s">
        <v>64</v>
      </c>
      <c r="L3566" s="2" t="s">
        <v>29946</v>
      </c>
      <c r="M3566" s="2" t="s">
        <v>29947</v>
      </c>
      <c r="N3566" s="3" t="s">
        <v>1343</v>
      </c>
      <c r="P3566" s="3" t="s">
        <v>66</v>
      </c>
      <c r="R3566" s="3" t="s">
        <v>67</v>
      </c>
      <c r="S3566" s="4">
        <v>8</v>
      </c>
      <c r="T3566" s="4">
        <v>8</v>
      </c>
      <c r="U3566" s="5" t="s">
        <v>29098</v>
      </c>
      <c r="V3566" s="5" t="s">
        <v>29098</v>
      </c>
      <c r="W3566" s="5" t="s">
        <v>69</v>
      </c>
      <c r="X3566" s="5" t="s">
        <v>69</v>
      </c>
      <c r="Y3566" s="4">
        <v>253</v>
      </c>
      <c r="Z3566" s="4">
        <v>26</v>
      </c>
      <c r="AA3566" s="4">
        <v>127</v>
      </c>
      <c r="AB3566" s="4">
        <v>2</v>
      </c>
      <c r="AC3566" s="4">
        <v>19</v>
      </c>
      <c r="AD3566" s="4">
        <v>110</v>
      </c>
      <c r="AE3566" s="4">
        <v>156</v>
      </c>
      <c r="AF3566" s="4">
        <v>1</v>
      </c>
      <c r="AG3566" s="4">
        <v>8</v>
      </c>
      <c r="AH3566" s="4">
        <v>95</v>
      </c>
      <c r="AI3566" s="4">
        <v>107</v>
      </c>
      <c r="AJ3566" s="4">
        <v>18</v>
      </c>
      <c r="AK3566" s="4">
        <v>28</v>
      </c>
      <c r="AL3566" s="4">
        <v>50</v>
      </c>
      <c r="AM3566" s="4">
        <v>57</v>
      </c>
      <c r="AN3566" s="4">
        <v>0</v>
      </c>
      <c r="AO3566" s="4">
        <v>0</v>
      </c>
      <c r="AP3566" s="4">
        <v>22</v>
      </c>
      <c r="AQ3566" s="4">
        <v>56</v>
      </c>
      <c r="AR3566" s="3" t="s">
        <v>62</v>
      </c>
      <c r="AS3566" s="3" t="s">
        <v>63</v>
      </c>
      <c r="AT3566" s="3" t="s">
        <v>62</v>
      </c>
      <c r="AU3566" s="6" t="str">
        <f>HYPERLINK("http://catalog.hathitrust.org/Record/004140381","HathiTrust Record")</f>
        <v>HathiTrust Record</v>
      </c>
      <c r="AV3566" s="6" t="str">
        <f>HYPERLINK("http://mcgill.on.worldcat.org/oclc/43317563","Catalog Record")</f>
        <v>Catalog Record</v>
      </c>
      <c r="AW3566" s="6" t="str">
        <f>HYPERLINK("http://www.worldcat.org/oclc/43317563","WorldCat Record")</f>
        <v>WorldCat Record</v>
      </c>
      <c r="AX3566" s="3" t="s">
        <v>29948</v>
      </c>
      <c r="AY3566" s="3" t="s">
        <v>29949</v>
      </c>
      <c r="AZ3566" s="3" t="s">
        <v>29950</v>
      </c>
      <c r="BA3566" s="3" t="s">
        <v>29950</v>
      </c>
      <c r="BB3566" s="3" t="s">
        <v>29951</v>
      </c>
      <c r="BC3566" s="3" t="s">
        <v>82</v>
      </c>
      <c r="BD3566" s="3" t="s">
        <v>70</v>
      </c>
      <c r="BE3566" s="3" t="s">
        <v>29952</v>
      </c>
      <c r="BF3566" s="3" t="s">
        <v>29951</v>
      </c>
      <c r="BG3566" s="3" t="s">
        <v>29953</v>
      </c>
    </row>
    <row r="3567" spans="1:59" ht="60" x14ac:dyDescent="0.25">
      <c r="A3567" s="2" t="s">
        <v>59</v>
      </c>
      <c r="B3567" s="2" t="s">
        <v>60</v>
      </c>
      <c r="C3567" s="2" t="s">
        <v>29954</v>
      </c>
      <c r="D3567" s="2" t="s">
        <v>29955</v>
      </c>
      <c r="E3567" s="2" t="s">
        <v>29956</v>
      </c>
      <c r="G3567" s="3" t="s">
        <v>63</v>
      </c>
      <c r="I3567" s="3" t="s">
        <v>63</v>
      </c>
      <c r="J3567" s="3" t="s">
        <v>63</v>
      </c>
      <c r="K3567" s="3" t="s">
        <v>64</v>
      </c>
      <c r="L3567" s="2" t="s">
        <v>29957</v>
      </c>
      <c r="M3567" s="2" t="s">
        <v>29958</v>
      </c>
      <c r="N3567" s="3" t="s">
        <v>143</v>
      </c>
      <c r="P3567" s="3" t="s">
        <v>90</v>
      </c>
      <c r="R3567" s="3" t="s">
        <v>67</v>
      </c>
      <c r="S3567" s="4">
        <v>0</v>
      </c>
      <c r="T3567" s="4">
        <v>0</v>
      </c>
      <c r="W3567" s="5" t="s">
        <v>69</v>
      </c>
      <c r="X3567" s="5" t="s">
        <v>69</v>
      </c>
      <c r="Y3567" s="4">
        <v>33</v>
      </c>
      <c r="Z3567" s="4">
        <v>5</v>
      </c>
      <c r="AA3567" s="4">
        <v>5</v>
      </c>
      <c r="AB3567" s="4">
        <v>1</v>
      </c>
      <c r="AC3567" s="4">
        <v>1</v>
      </c>
      <c r="AD3567" s="4">
        <v>21</v>
      </c>
      <c r="AE3567" s="4">
        <v>24</v>
      </c>
      <c r="AF3567" s="4">
        <v>0</v>
      </c>
      <c r="AG3567" s="4">
        <v>0</v>
      </c>
      <c r="AH3567" s="4">
        <v>20</v>
      </c>
      <c r="AI3567" s="4">
        <v>23</v>
      </c>
      <c r="AJ3567" s="4">
        <v>3</v>
      </c>
      <c r="AK3567" s="4">
        <v>3</v>
      </c>
      <c r="AL3567" s="4">
        <v>17</v>
      </c>
      <c r="AM3567" s="4">
        <v>19</v>
      </c>
      <c r="AN3567" s="4">
        <v>0</v>
      </c>
      <c r="AO3567" s="4">
        <v>0</v>
      </c>
      <c r="AP3567" s="4">
        <v>3</v>
      </c>
      <c r="AQ3567" s="4">
        <v>3</v>
      </c>
      <c r="AR3567" s="3" t="s">
        <v>63</v>
      </c>
      <c r="AS3567" s="3" t="s">
        <v>63</v>
      </c>
      <c r="AT3567" s="3" t="s">
        <v>63</v>
      </c>
      <c r="AV3567" s="6" t="str">
        <f>HYPERLINK("http://mcgill.on.worldcat.org/oclc/879321183","Catalog Record")</f>
        <v>Catalog Record</v>
      </c>
      <c r="AW3567" s="6" t="str">
        <f>HYPERLINK("http://www.worldcat.org/oclc/879321183","WorldCat Record")</f>
        <v>WorldCat Record</v>
      </c>
      <c r="AX3567" s="3" t="s">
        <v>29959</v>
      </c>
      <c r="AY3567" s="3" t="s">
        <v>29960</v>
      </c>
      <c r="AZ3567" s="3" t="s">
        <v>29961</v>
      </c>
      <c r="BA3567" s="3" t="s">
        <v>29961</v>
      </c>
      <c r="BB3567" s="3" t="s">
        <v>29962</v>
      </c>
      <c r="BC3567" s="3" t="s">
        <v>82</v>
      </c>
      <c r="BD3567" s="3" t="s">
        <v>70</v>
      </c>
      <c r="BE3567" s="3" t="s">
        <v>29963</v>
      </c>
      <c r="BF3567" s="3" t="s">
        <v>29962</v>
      </c>
      <c r="BG3567" s="3" t="s">
        <v>29964</v>
      </c>
    </row>
    <row r="3568" spans="1:59" ht="60" x14ac:dyDescent="0.25">
      <c r="A3568" s="2" t="s">
        <v>59</v>
      </c>
      <c r="B3568" s="2" t="s">
        <v>60</v>
      </c>
      <c r="C3568" s="2" t="s">
        <v>29965</v>
      </c>
      <c r="D3568" s="2" t="s">
        <v>29966</v>
      </c>
      <c r="E3568" s="2" t="s">
        <v>29967</v>
      </c>
      <c r="G3568" s="3" t="s">
        <v>63</v>
      </c>
      <c r="I3568" s="3" t="s">
        <v>63</v>
      </c>
      <c r="J3568" s="3" t="s">
        <v>63</v>
      </c>
      <c r="K3568" s="3" t="s">
        <v>64</v>
      </c>
      <c r="M3568" s="2" t="s">
        <v>29968</v>
      </c>
      <c r="N3568" s="3" t="s">
        <v>1557</v>
      </c>
      <c r="P3568" s="3" t="s">
        <v>90</v>
      </c>
      <c r="R3568" s="3" t="s">
        <v>67</v>
      </c>
      <c r="S3568" s="4">
        <v>0</v>
      </c>
      <c r="T3568" s="4">
        <v>0</v>
      </c>
      <c r="W3568" s="5" t="s">
        <v>69</v>
      </c>
      <c r="X3568" s="5" t="s">
        <v>69</v>
      </c>
      <c r="Y3568" s="4">
        <v>24</v>
      </c>
      <c r="Z3568" s="4">
        <v>1</v>
      </c>
      <c r="AA3568" s="4">
        <v>2</v>
      </c>
      <c r="AB3568" s="4">
        <v>1</v>
      </c>
      <c r="AC3568" s="4">
        <v>1</v>
      </c>
      <c r="AD3568" s="4">
        <v>14</v>
      </c>
      <c r="AE3568" s="4">
        <v>24</v>
      </c>
      <c r="AF3568" s="4">
        <v>0</v>
      </c>
      <c r="AG3568" s="4">
        <v>0</v>
      </c>
      <c r="AH3568" s="4">
        <v>14</v>
      </c>
      <c r="AI3568" s="4">
        <v>22</v>
      </c>
      <c r="AJ3568" s="4">
        <v>0</v>
      </c>
      <c r="AK3568" s="4">
        <v>1</v>
      </c>
      <c r="AL3568" s="4">
        <v>11</v>
      </c>
      <c r="AM3568" s="4">
        <v>19</v>
      </c>
      <c r="AN3568" s="4">
        <v>0</v>
      </c>
      <c r="AO3568" s="4">
        <v>0</v>
      </c>
      <c r="AP3568" s="4">
        <v>0</v>
      </c>
      <c r="AQ3568" s="4">
        <v>1</v>
      </c>
      <c r="AR3568" s="3" t="s">
        <v>63</v>
      </c>
      <c r="AS3568" s="3" t="s">
        <v>63</v>
      </c>
      <c r="AT3568" s="3" t="s">
        <v>63</v>
      </c>
      <c r="AV3568" s="6" t="str">
        <f>HYPERLINK("http://mcgill.on.worldcat.org/oclc/980317317","Catalog Record")</f>
        <v>Catalog Record</v>
      </c>
      <c r="AW3568" s="6" t="str">
        <f>HYPERLINK("http://www.worldcat.org/oclc/980317317","WorldCat Record")</f>
        <v>WorldCat Record</v>
      </c>
      <c r="AX3568" s="3" t="s">
        <v>29969</v>
      </c>
      <c r="AY3568" s="3" t="s">
        <v>29970</v>
      </c>
      <c r="AZ3568" s="3" t="s">
        <v>29971</v>
      </c>
      <c r="BA3568" s="3" t="s">
        <v>29971</v>
      </c>
      <c r="BB3568" s="3" t="s">
        <v>29972</v>
      </c>
      <c r="BC3568" s="3" t="s">
        <v>82</v>
      </c>
      <c r="BD3568" s="3" t="s">
        <v>70</v>
      </c>
      <c r="BE3568" s="3" t="s">
        <v>29973</v>
      </c>
      <c r="BF3568" s="3" t="s">
        <v>29972</v>
      </c>
      <c r="BG3568" s="3" t="s">
        <v>29974</v>
      </c>
    </row>
    <row r="3569" spans="1:59" ht="60" x14ac:dyDescent="0.25">
      <c r="A3569" s="2" t="s">
        <v>59</v>
      </c>
      <c r="B3569" s="2" t="s">
        <v>60</v>
      </c>
      <c r="C3569" s="2" t="s">
        <v>29975</v>
      </c>
      <c r="D3569" s="2" t="s">
        <v>29976</v>
      </c>
      <c r="E3569" s="2" t="s">
        <v>29977</v>
      </c>
      <c r="G3569" s="3" t="s">
        <v>63</v>
      </c>
      <c r="I3569" s="3" t="s">
        <v>63</v>
      </c>
      <c r="J3569" s="3" t="s">
        <v>63</v>
      </c>
      <c r="K3569" s="3" t="s">
        <v>64</v>
      </c>
      <c r="L3569" s="2" t="s">
        <v>29978</v>
      </c>
      <c r="M3569" s="2" t="s">
        <v>29979</v>
      </c>
      <c r="N3569" s="3" t="s">
        <v>1557</v>
      </c>
      <c r="P3569" s="3" t="s">
        <v>66</v>
      </c>
      <c r="Q3569" s="2" t="s">
        <v>29980</v>
      </c>
      <c r="R3569" s="3" t="s">
        <v>67</v>
      </c>
      <c r="S3569" s="4">
        <v>1</v>
      </c>
      <c r="T3569" s="4">
        <v>1</v>
      </c>
      <c r="U3569" s="5" t="s">
        <v>14315</v>
      </c>
      <c r="V3569" s="5" t="s">
        <v>14315</v>
      </c>
      <c r="W3569" s="5" t="s">
        <v>69</v>
      </c>
      <c r="X3569" s="5" t="s">
        <v>69</v>
      </c>
      <c r="Y3569" s="4">
        <v>98</v>
      </c>
      <c r="Z3569" s="4">
        <v>8</v>
      </c>
      <c r="AA3569" s="4">
        <v>73</v>
      </c>
      <c r="AB3569" s="4">
        <v>1</v>
      </c>
      <c r="AC3569" s="4">
        <v>14</v>
      </c>
      <c r="AD3569" s="4">
        <v>51</v>
      </c>
      <c r="AE3569" s="4">
        <v>102</v>
      </c>
      <c r="AF3569" s="4">
        <v>0</v>
      </c>
      <c r="AG3569" s="4">
        <v>8</v>
      </c>
      <c r="AH3569" s="4">
        <v>45</v>
      </c>
      <c r="AI3569" s="4">
        <v>70</v>
      </c>
      <c r="AJ3569" s="4">
        <v>7</v>
      </c>
      <c r="AK3569" s="4">
        <v>17</v>
      </c>
      <c r="AL3569" s="4">
        <v>36</v>
      </c>
      <c r="AM3569" s="4">
        <v>44</v>
      </c>
      <c r="AN3569" s="4">
        <v>0</v>
      </c>
      <c r="AO3569" s="4">
        <v>0</v>
      </c>
      <c r="AP3569" s="4">
        <v>7</v>
      </c>
      <c r="AQ3569" s="4">
        <v>36</v>
      </c>
      <c r="AR3569" s="3" t="s">
        <v>63</v>
      </c>
      <c r="AS3569" s="3" t="s">
        <v>63</v>
      </c>
      <c r="AT3569" s="3" t="s">
        <v>63</v>
      </c>
      <c r="AV3569" s="6" t="str">
        <f>HYPERLINK("http://mcgill.on.worldcat.org/oclc/962889695","Catalog Record")</f>
        <v>Catalog Record</v>
      </c>
      <c r="AW3569" s="6" t="str">
        <f>HYPERLINK("http://www.worldcat.org/oclc/962889695","WorldCat Record")</f>
        <v>WorldCat Record</v>
      </c>
      <c r="AX3569" s="3" t="s">
        <v>29981</v>
      </c>
      <c r="AY3569" s="3" t="s">
        <v>29982</v>
      </c>
      <c r="AZ3569" s="3" t="s">
        <v>29983</v>
      </c>
      <c r="BA3569" s="3" t="s">
        <v>29983</v>
      </c>
      <c r="BB3569" s="3" t="s">
        <v>29984</v>
      </c>
      <c r="BC3569" s="3" t="s">
        <v>82</v>
      </c>
      <c r="BD3569" s="3" t="s">
        <v>70</v>
      </c>
      <c r="BE3569" s="3" t="s">
        <v>29985</v>
      </c>
      <c r="BF3569" s="3" t="s">
        <v>29984</v>
      </c>
      <c r="BG3569" s="3" t="s">
        <v>29986</v>
      </c>
    </row>
    <row r="3570" spans="1:59" ht="60" x14ac:dyDescent="0.25">
      <c r="A3570" s="2" t="s">
        <v>59</v>
      </c>
      <c r="B3570" s="2" t="s">
        <v>60</v>
      </c>
      <c r="C3570" s="2" t="s">
        <v>29987</v>
      </c>
      <c r="D3570" s="2" t="s">
        <v>29988</v>
      </c>
      <c r="E3570" s="2" t="s">
        <v>29989</v>
      </c>
      <c r="G3570" s="3" t="s">
        <v>63</v>
      </c>
      <c r="I3570" s="3" t="s">
        <v>63</v>
      </c>
      <c r="J3570" s="3" t="s">
        <v>63</v>
      </c>
      <c r="K3570" s="3" t="s">
        <v>64</v>
      </c>
      <c r="L3570" s="2" t="s">
        <v>29990</v>
      </c>
      <c r="M3570" s="2" t="s">
        <v>29991</v>
      </c>
      <c r="N3570" s="3" t="s">
        <v>274</v>
      </c>
      <c r="P3570" s="3" t="s">
        <v>66</v>
      </c>
      <c r="Q3570" s="2" t="s">
        <v>29992</v>
      </c>
      <c r="R3570" s="3" t="s">
        <v>67</v>
      </c>
      <c r="S3570" s="4">
        <v>7</v>
      </c>
      <c r="T3570" s="4">
        <v>7</v>
      </c>
      <c r="U3570" s="5" t="s">
        <v>404</v>
      </c>
      <c r="V3570" s="5" t="s">
        <v>404</v>
      </c>
      <c r="W3570" s="5" t="s">
        <v>69</v>
      </c>
      <c r="X3570" s="5" t="s">
        <v>69</v>
      </c>
      <c r="Y3570" s="4">
        <v>252</v>
      </c>
      <c r="Z3570" s="4">
        <v>17</v>
      </c>
      <c r="AA3570" s="4">
        <v>17</v>
      </c>
      <c r="AB3570" s="4">
        <v>1</v>
      </c>
      <c r="AC3570" s="4">
        <v>1</v>
      </c>
      <c r="AD3570" s="4">
        <v>103</v>
      </c>
      <c r="AE3570" s="4">
        <v>103</v>
      </c>
      <c r="AF3570" s="4">
        <v>0</v>
      </c>
      <c r="AG3570" s="4">
        <v>0</v>
      </c>
      <c r="AH3570" s="4">
        <v>93</v>
      </c>
      <c r="AI3570" s="4">
        <v>93</v>
      </c>
      <c r="AJ3570" s="4">
        <v>14</v>
      </c>
      <c r="AK3570" s="4">
        <v>14</v>
      </c>
      <c r="AL3570" s="4">
        <v>52</v>
      </c>
      <c r="AM3570" s="4">
        <v>52</v>
      </c>
      <c r="AN3570" s="4">
        <v>0</v>
      </c>
      <c r="AO3570" s="4">
        <v>0</v>
      </c>
      <c r="AP3570" s="4">
        <v>15</v>
      </c>
      <c r="AQ3570" s="4">
        <v>15</v>
      </c>
      <c r="AR3570" s="3" t="s">
        <v>63</v>
      </c>
      <c r="AS3570" s="3" t="s">
        <v>63</v>
      </c>
      <c r="AT3570" s="3" t="s">
        <v>63</v>
      </c>
      <c r="AV3570" s="6" t="str">
        <f>HYPERLINK("http://mcgill.on.worldcat.org/oclc/39190006","Catalog Record")</f>
        <v>Catalog Record</v>
      </c>
      <c r="AW3570" s="6" t="str">
        <f>HYPERLINK("http://www.worldcat.org/oclc/39190006","WorldCat Record")</f>
        <v>WorldCat Record</v>
      </c>
      <c r="AX3570" s="3" t="s">
        <v>29993</v>
      </c>
      <c r="AY3570" s="3" t="s">
        <v>29994</v>
      </c>
      <c r="AZ3570" s="3" t="s">
        <v>29995</v>
      </c>
      <c r="BA3570" s="3" t="s">
        <v>29995</v>
      </c>
      <c r="BB3570" s="3" t="s">
        <v>29996</v>
      </c>
      <c r="BC3570" s="3" t="s">
        <v>82</v>
      </c>
      <c r="BD3570" s="3" t="s">
        <v>70</v>
      </c>
      <c r="BE3570" s="3" t="s">
        <v>29997</v>
      </c>
      <c r="BF3570" s="3" t="s">
        <v>29996</v>
      </c>
      <c r="BG3570" s="3" t="s">
        <v>29998</v>
      </c>
    </row>
    <row r="3571" spans="1:59" ht="60" x14ac:dyDescent="0.25">
      <c r="A3571" s="2" t="s">
        <v>59</v>
      </c>
      <c r="B3571" s="2" t="s">
        <v>60</v>
      </c>
      <c r="C3571" s="2" t="s">
        <v>30015</v>
      </c>
      <c r="D3571" s="2" t="s">
        <v>30016</v>
      </c>
      <c r="E3571" s="2" t="s">
        <v>30017</v>
      </c>
      <c r="G3571" s="3" t="s">
        <v>63</v>
      </c>
      <c r="I3571" s="3" t="s">
        <v>63</v>
      </c>
      <c r="J3571" s="3" t="s">
        <v>63</v>
      </c>
      <c r="K3571" s="3" t="s">
        <v>64</v>
      </c>
      <c r="L3571" s="2" t="s">
        <v>30018</v>
      </c>
      <c r="M3571" s="2" t="s">
        <v>30019</v>
      </c>
      <c r="N3571" s="3" t="s">
        <v>130</v>
      </c>
      <c r="P3571" s="3" t="s">
        <v>90</v>
      </c>
      <c r="Q3571" s="2" t="s">
        <v>30020</v>
      </c>
      <c r="R3571" s="3" t="s">
        <v>67</v>
      </c>
      <c r="S3571" s="4">
        <v>1</v>
      </c>
      <c r="T3571" s="4">
        <v>1</v>
      </c>
      <c r="U3571" s="5" t="s">
        <v>15128</v>
      </c>
      <c r="V3571" s="5" t="s">
        <v>15128</v>
      </c>
      <c r="W3571" s="5" t="s">
        <v>69</v>
      </c>
      <c r="X3571" s="5" t="s">
        <v>69</v>
      </c>
      <c r="Y3571" s="4">
        <v>41</v>
      </c>
      <c r="Z3571" s="4">
        <v>4</v>
      </c>
      <c r="AA3571" s="4">
        <v>4</v>
      </c>
      <c r="AB3571" s="4">
        <v>1</v>
      </c>
      <c r="AC3571" s="4">
        <v>1</v>
      </c>
      <c r="AD3571" s="4">
        <v>14</v>
      </c>
      <c r="AE3571" s="4">
        <v>14</v>
      </c>
      <c r="AF3571" s="4">
        <v>0</v>
      </c>
      <c r="AG3571" s="4">
        <v>0</v>
      </c>
      <c r="AH3571" s="4">
        <v>14</v>
      </c>
      <c r="AI3571" s="4">
        <v>14</v>
      </c>
      <c r="AJ3571" s="4">
        <v>0</v>
      </c>
      <c r="AK3571" s="4">
        <v>0</v>
      </c>
      <c r="AL3571" s="4">
        <v>11</v>
      </c>
      <c r="AM3571" s="4">
        <v>11</v>
      </c>
      <c r="AN3571" s="4">
        <v>0</v>
      </c>
      <c r="AO3571" s="4">
        <v>0</v>
      </c>
      <c r="AP3571" s="4">
        <v>0</v>
      </c>
      <c r="AQ3571" s="4">
        <v>0</v>
      </c>
      <c r="AR3571" s="3" t="s">
        <v>63</v>
      </c>
      <c r="AS3571" s="3" t="s">
        <v>63</v>
      </c>
      <c r="AT3571" s="3" t="s">
        <v>63</v>
      </c>
      <c r="AV3571" s="6" t="str">
        <f>HYPERLINK("http://mcgill.on.worldcat.org/oclc/870689871","Catalog Record")</f>
        <v>Catalog Record</v>
      </c>
      <c r="AW3571" s="6" t="str">
        <f>HYPERLINK("http://www.worldcat.org/oclc/870689871","WorldCat Record")</f>
        <v>WorldCat Record</v>
      </c>
      <c r="AX3571" s="3" t="s">
        <v>30021</v>
      </c>
      <c r="AY3571" s="3" t="s">
        <v>30022</v>
      </c>
      <c r="AZ3571" s="3" t="s">
        <v>30023</v>
      </c>
      <c r="BA3571" s="3" t="s">
        <v>30023</v>
      </c>
      <c r="BB3571" s="3" t="s">
        <v>30024</v>
      </c>
      <c r="BC3571" s="3" t="s">
        <v>82</v>
      </c>
      <c r="BD3571" s="3" t="s">
        <v>70</v>
      </c>
      <c r="BE3571" s="3" t="s">
        <v>30025</v>
      </c>
      <c r="BF3571" s="3" t="s">
        <v>30024</v>
      </c>
      <c r="BG3571" s="3" t="s">
        <v>30026</v>
      </c>
    </row>
    <row r="3572" spans="1:59" ht="60" x14ac:dyDescent="0.25">
      <c r="A3572" s="2" t="s">
        <v>59</v>
      </c>
      <c r="B3572" s="2" t="s">
        <v>60</v>
      </c>
      <c r="C3572" s="2" t="s">
        <v>30027</v>
      </c>
      <c r="D3572" s="2" t="s">
        <v>30028</v>
      </c>
      <c r="E3572" s="2" t="s">
        <v>30029</v>
      </c>
      <c r="G3572" s="3" t="s">
        <v>63</v>
      </c>
      <c r="I3572" s="3" t="s">
        <v>63</v>
      </c>
      <c r="J3572" s="3" t="s">
        <v>63</v>
      </c>
      <c r="K3572" s="3" t="s">
        <v>64</v>
      </c>
      <c r="L3572" s="2" t="s">
        <v>30030</v>
      </c>
      <c r="M3572" s="2" t="s">
        <v>9716</v>
      </c>
      <c r="N3572" s="3" t="s">
        <v>143</v>
      </c>
      <c r="P3572" s="3" t="s">
        <v>90</v>
      </c>
      <c r="Q3572" s="2" t="s">
        <v>30031</v>
      </c>
      <c r="R3572" s="3" t="s">
        <v>67</v>
      </c>
      <c r="S3572" s="4">
        <v>1</v>
      </c>
      <c r="T3572" s="4">
        <v>1</v>
      </c>
      <c r="U3572" s="5" t="s">
        <v>30032</v>
      </c>
      <c r="V3572" s="5" t="s">
        <v>30032</v>
      </c>
      <c r="W3572" s="5" t="s">
        <v>69</v>
      </c>
      <c r="X3572" s="5" t="s">
        <v>69</v>
      </c>
      <c r="Y3572" s="4">
        <v>61</v>
      </c>
      <c r="Z3572" s="4">
        <v>8</v>
      </c>
      <c r="AA3572" s="4">
        <v>8</v>
      </c>
      <c r="AB3572" s="4">
        <v>1</v>
      </c>
      <c r="AC3572" s="4">
        <v>1</v>
      </c>
      <c r="AD3572" s="4">
        <v>30</v>
      </c>
      <c r="AE3572" s="4">
        <v>30</v>
      </c>
      <c r="AF3572" s="4">
        <v>0</v>
      </c>
      <c r="AG3572" s="4">
        <v>0</v>
      </c>
      <c r="AH3572" s="4">
        <v>29</v>
      </c>
      <c r="AI3572" s="4">
        <v>29</v>
      </c>
      <c r="AJ3572" s="4">
        <v>3</v>
      </c>
      <c r="AK3572" s="4">
        <v>3</v>
      </c>
      <c r="AL3572" s="4">
        <v>24</v>
      </c>
      <c r="AM3572" s="4">
        <v>24</v>
      </c>
      <c r="AN3572" s="4">
        <v>0</v>
      </c>
      <c r="AO3572" s="4">
        <v>0</v>
      </c>
      <c r="AP3572" s="4">
        <v>3</v>
      </c>
      <c r="AQ3572" s="4">
        <v>3</v>
      </c>
      <c r="AR3572" s="3" t="s">
        <v>63</v>
      </c>
      <c r="AS3572" s="3" t="s">
        <v>63</v>
      </c>
      <c r="AT3572" s="3" t="s">
        <v>63</v>
      </c>
      <c r="AV3572" s="6" t="str">
        <f>HYPERLINK("http://mcgill.on.worldcat.org/oclc/873559331","Catalog Record")</f>
        <v>Catalog Record</v>
      </c>
      <c r="AW3572" s="6" t="str">
        <f>HYPERLINK("http://www.worldcat.org/oclc/873559331","WorldCat Record")</f>
        <v>WorldCat Record</v>
      </c>
      <c r="AX3572" s="3" t="s">
        <v>30033</v>
      </c>
      <c r="AY3572" s="3" t="s">
        <v>30034</v>
      </c>
      <c r="AZ3572" s="3" t="s">
        <v>30035</v>
      </c>
      <c r="BA3572" s="3" t="s">
        <v>30035</v>
      </c>
      <c r="BB3572" s="3" t="s">
        <v>30036</v>
      </c>
      <c r="BC3572" s="3" t="s">
        <v>82</v>
      </c>
      <c r="BD3572" s="3" t="s">
        <v>70</v>
      </c>
      <c r="BE3572" s="3" t="s">
        <v>30037</v>
      </c>
      <c r="BF3572" s="3" t="s">
        <v>30036</v>
      </c>
      <c r="BG3572" s="3" t="s">
        <v>30038</v>
      </c>
    </row>
    <row r="3573" spans="1:59" ht="75" x14ac:dyDescent="0.25">
      <c r="A3573" s="2" t="s">
        <v>59</v>
      </c>
      <c r="B3573" s="2" t="s">
        <v>60</v>
      </c>
      <c r="C3573" s="2" t="s">
        <v>30039</v>
      </c>
      <c r="D3573" s="2" t="s">
        <v>30040</v>
      </c>
      <c r="E3573" s="2" t="s">
        <v>30041</v>
      </c>
      <c r="G3573" s="3" t="s">
        <v>63</v>
      </c>
      <c r="I3573" s="3" t="s">
        <v>63</v>
      </c>
      <c r="J3573" s="3" t="s">
        <v>63</v>
      </c>
      <c r="K3573" s="3" t="s">
        <v>64</v>
      </c>
      <c r="L3573" s="2" t="s">
        <v>30030</v>
      </c>
      <c r="M3573" s="2" t="s">
        <v>9631</v>
      </c>
      <c r="N3573" s="3" t="s">
        <v>106</v>
      </c>
      <c r="P3573" s="3" t="s">
        <v>90</v>
      </c>
      <c r="Q3573" s="2" t="s">
        <v>30042</v>
      </c>
      <c r="R3573" s="3" t="s">
        <v>67</v>
      </c>
      <c r="S3573" s="4">
        <v>1</v>
      </c>
      <c r="T3573" s="4">
        <v>1</v>
      </c>
      <c r="U3573" s="5" t="s">
        <v>21373</v>
      </c>
      <c r="V3573" s="5" t="s">
        <v>21373</v>
      </c>
      <c r="W3573" s="5" t="s">
        <v>69</v>
      </c>
      <c r="X3573" s="5" t="s">
        <v>69</v>
      </c>
      <c r="Y3573" s="4">
        <v>79</v>
      </c>
      <c r="Z3573" s="4">
        <v>6</v>
      </c>
      <c r="AA3573" s="4">
        <v>6</v>
      </c>
      <c r="AB3573" s="4">
        <v>1</v>
      </c>
      <c r="AC3573" s="4">
        <v>1</v>
      </c>
      <c r="AD3573" s="4">
        <v>38</v>
      </c>
      <c r="AE3573" s="4">
        <v>38</v>
      </c>
      <c r="AF3573" s="4">
        <v>0</v>
      </c>
      <c r="AG3573" s="4">
        <v>0</v>
      </c>
      <c r="AH3573" s="4">
        <v>37</v>
      </c>
      <c r="AI3573" s="4">
        <v>37</v>
      </c>
      <c r="AJ3573" s="4">
        <v>2</v>
      </c>
      <c r="AK3573" s="4">
        <v>2</v>
      </c>
      <c r="AL3573" s="4">
        <v>28</v>
      </c>
      <c r="AM3573" s="4">
        <v>28</v>
      </c>
      <c r="AN3573" s="4">
        <v>0</v>
      </c>
      <c r="AO3573" s="4">
        <v>0</v>
      </c>
      <c r="AP3573" s="4">
        <v>2</v>
      </c>
      <c r="AQ3573" s="4">
        <v>2</v>
      </c>
      <c r="AR3573" s="3" t="s">
        <v>63</v>
      </c>
      <c r="AS3573" s="3" t="s">
        <v>63</v>
      </c>
      <c r="AT3573" s="3" t="s">
        <v>63</v>
      </c>
      <c r="AV3573" s="6" t="str">
        <f>HYPERLINK("http://mcgill.on.worldcat.org/oclc/960465308","Catalog Record")</f>
        <v>Catalog Record</v>
      </c>
      <c r="AW3573" s="6" t="str">
        <f>HYPERLINK("http://www.worldcat.org/oclc/960465308","WorldCat Record")</f>
        <v>WorldCat Record</v>
      </c>
      <c r="AX3573" s="3" t="s">
        <v>30043</v>
      </c>
      <c r="AY3573" s="3" t="s">
        <v>30044</v>
      </c>
      <c r="AZ3573" s="3" t="s">
        <v>30045</v>
      </c>
      <c r="BA3573" s="3" t="s">
        <v>30045</v>
      </c>
      <c r="BB3573" s="3" t="s">
        <v>30046</v>
      </c>
      <c r="BC3573" s="3" t="s">
        <v>82</v>
      </c>
      <c r="BD3573" s="3" t="s">
        <v>70</v>
      </c>
      <c r="BE3573" s="3" t="s">
        <v>30047</v>
      </c>
      <c r="BF3573" s="3" t="s">
        <v>30046</v>
      </c>
      <c r="BG3573" s="3" t="s">
        <v>30048</v>
      </c>
    </row>
    <row r="3574" spans="1:59" ht="75" x14ac:dyDescent="0.25">
      <c r="A3574" s="2" t="s">
        <v>59</v>
      </c>
      <c r="B3574" s="2" t="s">
        <v>60</v>
      </c>
      <c r="C3574" s="2" t="s">
        <v>30049</v>
      </c>
      <c r="D3574" s="2" t="s">
        <v>30050</v>
      </c>
      <c r="E3574" s="2" t="s">
        <v>30051</v>
      </c>
      <c r="G3574" s="3" t="s">
        <v>63</v>
      </c>
      <c r="I3574" s="3" t="s">
        <v>63</v>
      </c>
      <c r="J3574" s="3" t="s">
        <v>63</v>
      </c>
      <c r="K3574" s="3" t="s">
        <v>64</v>
      </c>
      <c r="L3574" s="2" t="s">
        <v>30030</v>
      </c>
      <c r="M3574" s="2" t="s">
        <v>9716</v>
      </c>
      <c r="N3574" s="3" t="s">
        <v>143</v>
      </c>
      <c r="P3574" s="3" t="s">
        <v>90</v>
      </c>
      <c r="Q3574" s="2" t="s">
        <v>30031</v>
      </c>
      <c r="R3574" s="3" t="s">
        <v>67</v>
      </c>
      <c r="S3574" s="4">
        <v>1</v>
      </c>
      <c r="T3574" s="4">
        <v>1</v>
      </c>
      <c r="U3574" s="5" t="s">
        <v>15137</v>
      </c>
      <c r="V3574" s="5" t="s">
        <v>15137</v>
      </c>
      <c r="W3574" s="5" t="s">
        <v>69</v>
      </c>
      <c r="X3574" s="5" t="s">
        <v>69</v>
      </c>
      <c r="Y3574" s="4">
        <v>47</v>
      </c>
      <c r="Z3574" s="4">
        <v>8</v>
      </c>
      <c r="AA3574" s="4">
        <v>8</v>
      </c>
      <c r="AB3574" s="4">
        <v>1</v>
      </c>
      <c r="AC3574" s="4">
        <v>1</v>
      </c>
      <c r="AD3574" s="4">
        <v>21</v>
      </c>
      <c r="AE3574" s="4">
        <v>21</v>
      </c>
      <c r="AF3574" s="4">
        <v>0</v>
      </c>
      <c r="AG3574" s="4">
        <v>0</v>
      </c>
      <c r="AH3574" s="4">
        <v>21</v>
      </c>
      <c r="AI3574" s="4">
        <v>21</v>
      </c>
      <c r="AJ3574" s="4">
        <v>3</v>
      </c>
      <c r="AK3574" s="4">
        <v>3</v>
      </c>
      <c r="AL3574" s="4">
        <v>15</v>
      </c>
      <c r="AM3574" s="4">
        <v>15</v>
      </c>
      <c r="AN3574" s="4">
        <v>0</v>
      </c>
      <c r="AO3574" s="4">
        <v>0</v>
      </c>
      <c r="AP3574" s="4">
        <v>3</v>
      </c>
      <c r="AQ3574" s="4">
        <v>3</v>
      </c>
      <c r="AR3574" s="3" t="s">
        <v>63</v>
      </c>
      <c r="AS3574" s="3" t="s">
        <v>63</v>
      </c>
      <c r="AT3574" s="3" t="s">
        <v>63</v>
      </c>
      <c r="AV3574" s="6" t="str">
        <f>HYPERLINK("http://mcgill.on.worldcat.org/oclc/879571263","Catalog Record")</f>
        <v>Catalog Record</v>
      </c>
      <c r="AW3574" s="6" t="str">
        <f>HYPERLINK("http://www.worldcat.org/oclc/879571263","WorldCat Record")</f>
        <v>WorldCat Record</v>
      </c>
      <c r="AX3574" s="3" t="s">
        <v>30052</v>
      </c>
      <c r="AY3574" s="3" t="s">
        <v>30053</v>
      </c>
      <c r="AZ3574" s="3" t="s">
        <v>30054</v>
      </c>
      <c r="BA3574" s="3" t="s">
        <v>30054</v>
      </c>
      <c r="BB3574" s="3" t="s">
        <v>30055</v>
      </c>
      <c r="BC3574" s="3" t="s">
        <v>82</v>
      </c>
      <c r="BD3574" s="3" t="s">
        <v>70</v>
      </c>
      <c r="BE3574" s="3" t="s">
        <v>30056</v>
      </c>
      <c r="BF3574" s="3" t="s">
        <v>30055</v>
      </c>
      <c r="BG3574" s="3" t="s">
        <v>30057</v>
      </c>
    </row>
    <row r="3575" spans="1:59" ht="60" x14ac:dyDescent="0.25">
      <c r="A3575" s="2" t="s">
        <v>59</v>
      </c>
      <c r="B3575" s="2" t="s">
        <v>60</v>
      </c>
      <c r="C3575" s="2" t="s">
        <v>30058</v>
      </c>
      <c r="D3575" s="2" t="s">
        <v>30059</v>
      </c>
      <c r="E3575" s="2" t="s">
        <v>30060</v>
      </c>
      <c r="G3575" s="3" t="s">
        <v>63</v>
      </c>
      <c r="I3575" s="3" t="s">
        <v>63</v>
      </c>
      <c r="J3575" s="3" t="s">
        <v>63</v>
      </c>
      <c r="K3575" s="3" t="s">
        <v>64</v>
      </c>
      <c r="L3575" s="2" t="s">
        <v>30018</v>
      </c>
      <c r="M3575" s="2" t="s">
        <v>30061</v>
      </c>
      <c r="N3575" s="3" t="s">
        <v>76</v>
      </c>
      <c r="P3575" s="3" t="s">
        <v>90</v>
      </c>
      <c r="Q3575" s="2" t="s">
        <v>30062</v>
      </c>
      <c r="R3575" s="3" t="s">
        <v>67</v>
      </c>
      <c r="S3575" s="4">
        <v>3</v>
      </c>
      <c r="T3575" s="4">
        <v>3</v>
      </c>
      <c r="U3575" s="5" t="s">
        <v>24495</v>
      </c>
      <c r="V3575" s="5" t="s">
        <v>24495</v>
      </c>
      <c r="W3575" s="5" t="s">
        <v>69</v>
      </c>
      <c r="X3575" s="5" t="s">
        <v>69</v>
      </c>
      <c r="Y3575" s="4">
        <v>14</v>
      </c>
      <c r="Z3575" s="4">
        <v>2</v>
      </c>
      <c r="AA3575" s="4">
        <v>2</v>
      </c>
      <c r="AB3575" s="4">
        <v>1</v>
      </c>
      <c r="AC3575" s="4">
        <v>1</v>
      </c>
      <c r="AD3575" s="4">
        <v>8</v>
      </c>
      <c r="AE3575" s="4">
        <v>23</v>
      </c>
      <c r="AF3575" s="4">
        <v>0</v>
      </c>
      <c r="AG3575" s="4">
        <v>0</v>
      </c>
      <c r="AH3575" s="4">
        <v>8</v>
      </c>
      <c r="AI3575" s="4">
        <v>22</v>
      </c>
      <c r="AJ3575" s="4">
        <v>1</v>
      </c>
      <c r="AK3575" s="4">
        <v>1</v>
      </c>
      <c r="AL3575" s="4">
        <v>6</v>
      </c>
      <c r="AM3575" s="4">
        <v>16</v>
      </c>
      <c r="AN3575" s="4">
        <v>0</v>
      </c>
      <c r="AO3575" s="4">
        <v>0</v>
      </c>
      <c r="AP3575" s="4">
        <v>1</v>
      </c>
      <c r="AQ3575" s="4">
        <v>1</v>
      </c>
      <c r="AR3575" s="3" t="s">
        <v>63</v>
      </c>
      <c r="AS3575" s="3" t="s">
        <v>63</v>
      </c>
      <c r="AT3575" s="3" t="s">
        <v>63</v>
      </c>
      <c r="AV3575" s="6" t="str">
        <f>HYPERLINK("http://mcgill.on.worldcat.org/oclc/812629699","Catalog Record")</f>
        <v>Catalog Record</v>
      </c>
      <c r="AW3575" s="6" t="str">
        <f>HYPERLINK("http://www.worldcat.org/oclc/812629699","WorldCat Record")</f>
        <v>WorldCat Record</v>
      </c>
      <c r="AX3575" s="3" t="s">
        <v>30063</v>
      </c>
      <c r="AY3575" s="3" t="s">
        <v>30064</v>
      </c>
      <c r="AZ3575" s="3" t="s">
        <v>30065</v>
      </c>
      <c r="BA3575" s="3" t="s">
        <v>30065</v>
      </c>
      <c r="BB3575" s="3" t="s">
        <v>30066</v>
      </c>
      <c r="BC3575" s="3" t="s">
        <v>82</v>
      </c>
      <c r="BD3575" s="3" t="s">
        <v>70</v>
      </c>
      <c r="BE3575" s="3" t="s">
        <v>30067</v>
      </c>
      <c r="BF3575" s="3" t="s">
        <v>30066</v>
      </c>
      <c r="BG3575" s="3" t="s">
        <v>30068</v>
      </c>
    </row>
    <row r="3576" spans="1:59" ht="60" x14ac:dyDescent="0.25">
      <c r="A3576" s="2" t="s">
        <v>59</v>
      </c>
      <c r="B3576" s="2" t="s">
        <v>60</v>
      </c>
      <c r="C3576" s="2" t="s">
        <v>30069</v>
      </c>
      <c r="D3576" s="2" t="s">
        <v>30070</v>
      </c>
      <c r="E3576" s="2" t="s">
        <v>30071</v>
      </c>
      <c r="G3576" s="3" t="s">
        <v>63</v>
      </c>
      <c r="I3576" s="3" t="s">
        <v>63</v>
      </c>
      <c r="J3576" s="3" t="s">
        <v>63</v>
      </c>
      <c r="K3576" s="3" t="s">
        <v>64</v>
      </c>
      <c r="L3576" s="2" t="s">
        <v>30030</v>
      </c>
      <c r="M3576" s="2" t="s">
        <v>9557</v>
      </c>
      <c r="N3576" s="3" t="s">
        <v>1557</v>
      </c>
      <c r="P3576" s="3" t="s">
        <v>90</v>
      </c>
      <c r="Q3576" s="2" t="s">
        <v>30042</v>
      </c>
      <c r="R3576" s="3" t="s">
        <v>67</v>
      </c>
      <c r="S3576" s="4">
        <v>2</v>
      </c>
      <c r="T3576" s="4">
        <v>2</v>
      </c>
      <c r="U3576" s="5" t="s">
        <v>30072</v>
      </c>
      <c r="V3576" s="5" t="s">
        <v>30072</v>
      </c>
      <c r="W3576" s="5" t="s">
        <v>69</v>
      </c>
      <c r="X3576" s="5" t="s">
        <v>69</v>
      </c>
      <c r="Y3576" s="4">
        <v>57</v>
      </c>
      <c r="Z3576" s="4">
        <v>2</v>
      </c>
      <c r="AA3576" s="4">
        <v>2</v>
      </c>
      <c r="AB3576" s="4">
        <v>1</v>
      </c>
      <c r="AC3576" s="4">
        <v>1</v>
      </c>
      <c r="AD3576" s="4">
        <v>37</v>
      </c>
      <c r="AE3576" s="4">
        <v>37</v>
      </c>
      <c r="AF3576" s="4">
        <v>0</v>
      </c>
      <c r="AG3576" s="4">
        <v>0</v>
      </c>
      <c r="AH3576" s="4">
        <v>36</v>
      </c>
      <c r="AI3576" s="4">
        <v>36</v>
      </c>
      <c r="AJ3576" s="4">
        <v>1</v>
      </c>
      <c r="AK3576" s="4">
        <v>1</v>
      </c>
      <c r="AL3576" s="4">
        <v>31</v>
      </c>
      <c r="AM3576" s="4">
        <v>31</v>
      </c>
      <c r="AN3576" s="4">
        <v>0</v>
      </c>
      <c r="AO3576" s="4">
        <v>0</v>
      </c>
      <c r="AP3576" s="4">
        <v>1</v>
      </c>
      <c r="AQ3576" s="4">
        <v>1</v>
      </c>
      <c r="AR3576" s="3" t="s">
        <v>63</v>
      </c>
      <c r="AS3576" s="3" t="s">
        <v>63</v>
      </c>
      <c r="AT3576" s="3" t="s">
        <v>63</v>
      </c>
      <c r="AV3576" s="6" t="str">
        <f>HYPERLINK("http://mcgill.on.worldcat.org/oclc/1007107082","Catalog Record")</f>
        <v>Catalog Record</v>
      </c>
      <c r="AW3576" s="6" t="str">
        <f>HYPERLINK("http://www.worldcat.org/oclc/1007107082","WorldCat Record")</f>
        <v>WorldCat Record</v>
      </c>
      <c r="AX3576" s="3" t="s">
        <v>30073</v>
      </c>
      <c r="AY3576" s="3" t="s">
        <v>30074</v>
      </c>
      <c r="AZ3576" s="3" t="s">
        <v>30075</v>
      </c>
      <c r="BA3576" s="3" t="s">
        <v>30075</v>
      </c>
      <c r="BB3576" s="3" t="s">
        <v>30076</v>
      </c>
      <c r="BC3576" s="3" t="s">
        <v>82</v>
      </c>
      <c r="BD3576" s="3" t="s">
        <v>70</v>
      </c>
      <c r="BE3576" s="3" t="s">
        <v>30077</v>
      </c>
      <c r="BF3576" s="3" t="s">
        <v>30076</v>
      </c>
      <c r="BG3576" s="3" t="s">
        <v>30078</v>
      </c>
    </row>
    <row r="3577" spans="1:59" ht="60" x14ac:dyDescent="0.25">
      <c r="A3577" s="2" t="s">
        <v>59</v>
      </c>
      <c r="B3577" s="2" t="s">
        <v>60</v>
      </c>
      <c r="C3577" s="2" t="s">
        <v>30079</v>
      </c>
      <c r="D3577" s="2" t="s">
        <v>30080</v>
      </c>
      <c r="E3577" s="2" t="s">
        <v>30081</v>
      </c>
      <c r="G3577" s="3" t="s">
        <v>63</v>
      </c>
      <c r="I3577" s="3" t="s">
        <v>63</v>
      </c>
      <c r="J3577" s="3" t="s">
        <v>63</v>
      </c>
      <c r="K3577" s="3" t="s">
        <v>64</v>
      </c>
      <c r="L3577" s="2" t="s">
        <v>30030</v>
      </c>
      <c r="M3577" s="2" t="s">
        <v>8737</v>
      </c>
      <c r="N3577" s="3" t="s">
        <v>2765</v>
      </c>
      <c r="P3577" s="3" t="s">
        <v>90</v>
      </c>
      <c r="Q3577" s="2" t="s">
        <v>30082</v>
      </c>
      <c r="R3577" s="3" t="s">
        <v>67</v>
      </c>
      <c r="S3577" s="4">
        <v>1</v>
      </c>
      <c r="T3577" s="4">
        <v>1</v>
      </c>
      <c r="U3577" s="5" t="s">
        <v>21373</v>
      </c>
      <c r="V3577" s="5" t="s">
        <v>21373</v>
      </c>
      <c r="W3577" s="5" t="s">
        <v>69</v>
      </c>
      <c r="X3577" s="5" t="s">
        <v>69</v>
      </c>
      <c r="Y3577" s="4">
        <v>74</v>
      </c>
      <c r="Z3577" s="4">
        <v>7</v>
      </c>
      <c r="AA3577" s="4">
        <v>7</v>
      </c>
      <c r="AB3577" s="4">
        <v>1</v>
      </c>
      <c r="AC3577" s="4">
        <v>1</v>
      </c>
      <c r="AD3577" s="4">
        <v>32</v>
      </c>
      <c r="AE3577" s="4">
        <v>32</v>
      </c>
      <c r="AF3577" s="4">
        <v>0</v>
      </c>
      <c r="AG3577" s="4">
        <v>0</v>
      </c>
      <c r="AH3577" s="4">
        <v>32</v>
      </c>
      <c r="AI3577" s="4">
        <v>32</v>
      </c>
      <c r="AJ3577" s="4">
        <v>4</v>
      </c>
      <c r="AK3577" s="4">
        <v>4</v>
      </c>
      <c r="AL3577" s="4">
        <v>24</v>
      </c>
      <c r="AM3577" s="4">
        <v>24</v>
      </c>
      <c r="AN3577" s="4">
        <v>0</v>
      </c>
      <c r="AO3577" s="4">
        <v>0</v>
      </c>
      <c r="AP3577" s="4">
        <v>4</v>
      </c>
      <c r="AQ3577" s="4">
        <v>4</v>
      </c>
      <c r="AR3577" s="3" t="s">
        <v>63</v>
      </c>
      <c r="AS3577" s="3" t="s">
        <v>63</v>
      </c>
      <c r="AT3577" s="3" t="s">
        <v>63</v>
      </c>
      <c r="AV3577" s="6" t="str">
        <f>HYPERLINK("http://mcgill.on.worldcat.org/oclc/927772710","Catalog Record")</f>
        <v>Catalog Record</v>
      </c>
      <c r="AW3577" s="6" t="str">
        <f>HYPERLINK("http://www.worldcat.org/oclc/927772710","WorldCat Record")</f>
        <v>WorldCat Record</v>
      </c>
      <c r="AX3577" s="3" t="s">
        <v>30083</v>
      </c>
      <c r="AY3577" s="3" t="s">
        <v>30084</v>
      </c>
      <c r="AZ3577" s="3" t="s">
        <v>30085</v>
      </c>
      <c r="BA3577" s="3" t="s">
        <v>30085</v>
      </c>
      <c r="BB3577" s="3" t="s">
        <v>30086</v>
      </c>
      <c r="BC3577" s="3" t="s">
        <v>82</v>
      </c>
      <c r="BD3577" s="3" t="s">
        <v>70</v>
      </c>
      <c r="BE3577" s="3" t="s">
        <v>30087</v>
      </c>
      <c r="BF3577" s="3" t="s">
        <v>30086</v>
      </c>
      <c r="BG3577" s="3" t="s">
        <v>30088</v>
      </c>
    </row>
    <row r="3578" spans="1:59" ht="60" x14ac:dyDescent="0.25">
      <c r="A3578" s="2" t="s">
        <v>59</v>
      </c>
      <c r="B3578" s="2" t="s">
        <v>60</v>
      </c>
      <c r="C3578" s="2" t="s">
        <v>30089</v>
      </c>
      <c r="D3578" s="2" t="s">
        <v>30090</v>
      </c>
      <c r="E3578" s="2" t="s">
        <v>30091</v>
      </c>
      <c r="G3578" s="3" t="s">
        <v>63</v>
      </c>
      <c r="I3578" s="3" t="s">
        <v>63</v>
      </c>
      <c r="J3578" s="3" t="s">
        <v>63</v>
      </c>
      <c r="K3578" s="3" t="s">
        <v>64</v>
      </c>
      <c r="L3578" s="2" t="s">
        <v>30018</v>
      </c>
      <c r="M3578" s="2" t="s">
        <v>28908</v>
      </c>
      <c r="N3578" s="3" t="s">
        <v>313</v>
      </c>
      <c r="P3578" s="3" t="s">
        <v>90</v>
      </c>
      <c r="R3578" s="3" t="s">
        <v>67</v>
      </c>
      <c r="S3578" s="4">
        <v>2</v>
      </c>
      <c r="T3578" s="4">
        <v>2</v>
      </c>
      <c r="U3578" s="5" t="s">
        <v>30092</v>
      </c>
      <c r="V3578" s="5" t="s">
        <v>30092</v>
      </c>
      <c r="W3578" s="5" t="s">
        <v>69</v>
      </c>
      <c r="X3578" s="5" t="s">
        <v>69</v>
      </c>
      <c r="Y3578" s="4">
        <v>52</v>
      </c>
      <c r="Z3578" s="4">
        <v>4</v>
      </c>
      <c r="AA3578" s="4">
        <v>4</v>
      </c>
      <c r="AB3578" s="4">
        <v>1</v>
      </c>
      <c r="AC3578" s="4">
        <v>1</v>
      </c>
      <c r="AD3578" s="4">
        <v>19</v>
      </c>
      <c r="AE3578" s="4">
        <v>19</v>
      </c>
      <c r="AF3578" s="4">
        <v>0</v>
      </c>
      <c r="AG3578" s="4">
        <v>0</v>
      </c>
      <c r="AH3578" s="4">
        <v>18</v>
      </c>
      <c r="AI3578" s="4">
        <v>18</v>
      </c>
      <c r="AJ3578" s="4">
        <v>0</v>
      </c>
      <c r="AK3578" s="4">
        <v>0</v>
      </c>
      <c r="AL3578" s="4">
        <v>13</v>
      </c>
      <c r="AM3578" s="4">
        <v>13</v>
      </c>
      <c r="AN3578" s="4">
        <v>0</v>
      </c>
      <c r="AO3578" s="4">
        <v>0</v>
      </c>
      <c r="AP3578" s="4">
        <v>0</v>
      </c>
      <c r="AQ3578" s="4">
        <v>0</v>
      </c>
      <c r="AR3578" s="3" t="s">
        <v>63</v>
      </c>
      <c r="AS3578" s="3" t="s">
        <v>63</v>
      </c>
      <c r="AT3578" s="3" t="s">
        <v>63</v>
      </c>
      <c r="AV3578" s="6" t="str">
        <f>HYPERLINK("http://mcgill.on.worldcat.org/oclc/700252201","Catalog Record")</f>
        <v>Catalog Record</v>
      </c>
      <c r="AW3578" s="6" t="str">
        <f>HYPERLINK("http://www.worldcat.org/oclc/700252201","WorldCat Record")</f>
        <v>WorldCat Record</v>
      </c>
      <c r="AX3578" s="3" t="s">
        <v>30093</v>
      </c>
      <c r="AY3578" s="3" t="s">
        <v>30094</v>
      </c>
      <c r="AZ3578" s="3" t="s">
        <v>30095</v>
      </c>
      <c r="BA3578" s="3" t="s">
        <v>30095</v>
      </c>
      <c r="BB3578" s="3" t="s">
        <v>30096</v>
      </c>
      <c r="BC3578" s="3" t="s">
        <v>82</v>
      </c>
      <c r="BD3578" s="3" t="s">
        <v>70</v>
      </c>
      <c r="BE3578" s="3" t="s">
        <v>30097</v>
      </c>
      <c r="BF3578" s="3" t="s">
        <v>30096</v>
      </c>
      <c r="BG3578" s="3" t="s">
        <v>30098</v>
      </c>
    </row>
    <row r="3579" spans="1:59" ht="60" x14ac:dyDescent="0.25">
      <c r="A3579" s="2" t="s">
        <v>59</v>
      </c>
      <c r="B3579" s="2" t="s">
        <v>60</v>
      </c>
      <c r="C3579" s="2" t="s">
        <v>30099</v>
      </c>
      <c r="D3579" s="2" t="s">
        <v>30100</v>
      </c>
      <c r="E3579" s="2" t="s">
        <v>30101</v>
      </c>
      <c r="G3579" s="3" t="s">
        <v>63</v>
      </c>
      <c r="I3579" s="3" t="s">
        <v>63</v>
      </c>
      <c r="J3579" s="3" t="s">
        <v>63</v>
      </c>
      <c r="K3579" s="3" t="s">
        <v>64</v>
      </c>
      <c r="L3579" s="2" t="s">
        <v>30102</v>
      </c>
      <c r="M3579" s="2" t="s">
        <v>30103</v>
      </c>
      <c r="N3579" s="3" t="s">
        <v>2765</v>
      </c>
      <c r="P3579" s="3" t="s">
        <v>90</v>
      </c>
      <c r="Q3579" s="2" t="s">
        <v>30104</v>
      </c>
      <c r="R3579" s="3" t="s">
        <v>67</v>
      </c>
      <c r="S3579" s="4">
        <v>1</v>
      </c>
      <c r="T3579" s="4">
        <v>1</v>
      </c>
      <c r="U3579" s="5" t="s">
        <v>21373</v>
      </c>
      <c r="V3579" s="5" t="s">
        <v>21373</v>
      </c>
      <c r="W3579" s="5" t="s">
        <v>69</v>
      </c>
      <c r="X3579" s="5" t="s">
        <v>69</v>
      </c>
      <c r="Y3579" s="4">
        <v>28</v>
      </c>
      <c r="Z3579" s="4">
        <v>1</v>
      </c>
      <c r="AA3579" s="4">
        <v>1</v>
      </c>
      <c r="AB3579" s="4">
        <v>1</v>
      </c>
      <c r="AC3579" s="4">
        <v>1</v>
      </c>
      <c r="AD3579" s="4">
        <v>20</v>
      </c>
      <c r="AE3579" s="4">
        <v>20</v>
      </c>
      <c r="AF3579" s="4">
        <v>0</v>
      </c>
      <c r="AG3579" s="4">
        <v>0</v>
      </c>
      <c r="AH3579" s="4">
        <v>19</v>
      </c>
      <c r="AI3579" s="4">
        <v>19</v>
      </c>
      <c r="AJ3579" s="4">
        <v>0</v>
      </c>
      <c r="AK3579" s="4">
        <v>0</v>
      </c>
      <c r="AL3579" s="4">
        <v>15</v>
      </c>
      <c r="AM3579" s="4">
        <v>15</v>
      </c>
      <c r="AN3579" s="4">
        <v>0</v>
      </c>
      <c r="AO3579" s="4">
        <v>0</v>
      </c>
      <c r="AP3579" s="4">
        <v>0</v>
      </c>
      <c r="AQ3579" s="4">
        <v>0</v>
      </c>
      <c r="AR3579" s="3" t="s">
        <v>63</v>
      </c>
      <c r="AS3579" s="3" t="s">
        <v>63</v>
      </c>
      <c r="AT3579" s="3" t="s">
        <v>63</v>
      </c>
      <c r="AV3579" s="6" t="str">
        <f>HYPERLINK("http://mcgill.on.worldcat.org/oclc/913535484","Catalog Record")</f>
        <v>Catalog Record</v>
      </c>
      <c r="AW3579" s="6" t="str">
        <f>HYPERLINK("http://www.worldcat.org/oclc/913535484","WorldCat Record")</f>
        <v>WorldCat Record</v>
      </c>
      <c r="AX3579" s="3" t="s">
        <v>30105</v>
      </c>
      <c r="AY3579" s="3" t="s">
        <v>30106</v>
      </c>
      <c r="AZ3579" s="3" t="s">
        <v>30107</v>
      </c>
      <c r="BA3579" s="3" t="s">
        <v>30107</v>
      </c>
      <c r="BB3579" s="3" t="s">
        <v>30108</v>
      </c>
      <c r="BC3579" s="3" t="s">
        <v>82</v>
      </c>
      <c r="BD3579" s="3" t="s">
        <v>70</v>
      </c>
      <c r="BE3579" s="3" t="s">
        <v>30109</v>
      </c>
      <c r="BF3579" s="3" t="s">
        <v>30108</v>
      </c>
      <c r="BG3579" s="3" t="s">
        <v>30110</v>
      </c>
    </row>
    <row r="3580" spans="1:59" ht="60" x14ac:dyDescent="0.25">
      <c r="A3580" s="2" t="s">
        <v>59</v>
      </c>
      <c r="B3580" s="2" t="s">
        <v>60</v>
      </c>
      <c r="C3580" s="2" t="s">
        <v>30111</v>
      </c>
      <c r="D3580" s="2" t="s">
        <v>30112</v>
      </c>
      <c r="E3580" s="2" t="s">
        <v>30113</v>
      </c>
      <c r="G3580" s="3" t="s">
        <v>63</v>
      </c>
      <c r="I3580" s="3" t="s">
        <v>63</v>
      </c>
      <c r="J3580" s="3" t="s">
        <v>63</v>
      </c>
      <c r="K3580" s="3" t="s">
        <v>64</v>
      </c>
      <c r="L3580" s="2" t="s">
        <v>30114</v>
      </c>
      <c r="M3580" s="2" t="s">
        <v>30115</v>
      </c>
      <c r="N3580" s="3" t="s">
        <v>2765</v>
      </c>
      <c r="P3580" s="3" t="s">
        <v>90</v>
      </c>
      <c r="Q3580" s="2" t="s">
        <v>30116</v>
      </c>
      <c r="R3580" s="3" t="s">
        <v>67</v>
      </c>
      <c r="S3580" s="4">
        <v>1</v>
      </c>
      <c r="T3580" s="4">
        <v>1</v>
      </c>
      <c r="U3580" s="5" t="s">
        <v>21373</v>
      </c>
      <c r="V3580" s="5" t="s">
        <v>21373</v>
      </c>
      <c r="W3580" s="5" t="s">
        <v>69</v>
      </c>
      <c r="X3580" s="5" t="s">
        <v>69</v>
      </c>
      <c r="Y3580" s="4">
        <v>43</v>
      </c>
      <c r="Z3580" s="4">
        <v>5</v>
      </c>
      <c r="AA3580" s="4">
        <v>5</v>
      </c>
      <c r="AB3580" s="4">
        <v>1</v>
      </c>
      <c r="AC3580" s="4">
        <v>1</v>
      </c>
      <c r="AD3580" s="4">
        <v>28</v>
      </c>
      <c r="AE3580" s="4">
        <v>28</v>
      </c>
      <c r="AF3580" s="4">
        <v>0</v>
      </c>
      <c r="AG3580" s="4">
        <v>0</v>
      </c>
      <c r="AH3580" s="4">
        <v>27</v>
      </c>
      <c r="AI3580" s="4">
        <v>27</v>
      </c>
      <c r="AJ3580" s="4">
        <v>2</v>
      </c>
      <c r="AK3580" s="4">
        <v>2</v>
      </c>
      <c r="AL3580" s="4">
        <v>21</v>
      </c>
      <c r="AM3580" s="4">
        <v>21</v>
      </c>
      <c r="AN3580" s="4">
        <v>0</v>
      </c>
      <c r="AO3580" s="4">
        <v>0</v>
      </c>
      <c r="AP3580" s="4">
        <v>2</v>
      </c>
      <c r="AQ3580" s="4">
        <v>2</v>
      </c>
      <c r="AR3580" s="3" t="s">
        <v>63</v>
      </c>
      <c r="AS3580" s="3" t="s">
        <v>63</v>
      </c>
      <c r="AT3580" s="3" t="s">
        <v>63</v>
      </c>
      <c r="AV3580" s="6" t="str">
        <f>HYPERLINK("http://mcgill.on.worldcat.org/oclc/908204912","Catalog Record")</f>
        <v>Catalog Record</v>
      </c>
      <c r="AW3580" s="6" t="str">
        <f>HYPERLINK("http://www.worldcat.org/oclc/908204912","WorldCat Record")</f>
        <v>WorldCat Record</v>
      </c>
      <c r="AX3580" s="3" t="s">
        <v>30117</v>
      </c>
      <c r="AY3580" s="3" t="s">
        <v>30118</v>
      </c>
      <c r="AZ3580" s="3" t="s">
        <v>30119</v>
      </c>
      <c r="BA3580" s="3" t="s">
        <v>30119</v>
      </c>
      <c r="BB3580" s="3" t="s">
        <v>30120</v>
      </c>
      <c r="BC3580" s="3" t="s">
        <v>82</v>
      </c>
      <c r="BD3580" s="3" t="s">
        <v>70</v>
      </c>
      <c r="BE3580" s="3" t="s">
        <v>30121</v>
      </c>
      <c r="BF3580" s="3" t="s">
        <v>30120</v>
      </c>
      <c r="BG3580" s="3" t="s">
        <v>30122</v>
      </c>
    </row>
    <row r="3581" spans="1:59" ht="60" x14ac:dyDescent="0.25">
      <c r="A3581" s="2" t="s">
        <v>59</v>
      </c>
      <c r="B3581" s="2" t="s">
        <v>60</v>
      </c>
      <c r="C3581" s="2" t="s">
        <v>30123</v>
      </c>
      <c r="D3581" s="2" t="s">
        <v>30124</v>
      </c>
      <c r="E3581" s="2" t="s">
        <v>30125</v>
      </c>
      <c r="G3581" s="3" t="s">
        <v>63</v>
      </c>
      <c r="I3581" s="3" t="s">
        <v>63</v>
      </c>
      <c r="J3581" s="3" t="s">
        <v>63</v>
      </c>
      <c r="K3581" s="3" t="s">
        <v>64</v>
      </c>
      <c r="L3581" s="2" t="s">
        <v>6702</v>
      </c>
      <c r="M3581" s="2" t="s">
        <v>30126</v>
      </c>
      <c r="N3581" s="3" t="s">
        <v>326</v>
      </c>
      <c r="P3581" s="3" t="s">
        <v>90</v>
      </c>
      <c r="R3581" s="3" t="s">
        <v>67</v>
      </c>
      <c r="S3581" s="4">
        <v>4</v>
      </c>
      <c r="T3581" s="4">
        <v>4</v>
      </c>
      <c r="U3581" s="5" t="s">
        <v>30127</v>
      </c>
      <c r="V3581" s="5" t="s">
        <v>30127</v>
      </c>
      <c r="W3581" s="5" t="s">
        <v>69</v>
      </c>
      <c r="X3581" s="5" t="s">
        <v>69</v>
      </c>
      <c r="Y3581" s="4">
        <v>58</v>
      </c>
      <c r="Z3581" s="4">
        <v>6</v>
      </c>
      <c r="AA3581" s="4">
        <v>6</v>
      </c>
      <c r="AB3581" s="4">
        <v>2</v>
      </c>
      <c r="AC3581" s="4">
        <v>2</v>
      </c>
      <c r="AD3581" s="4">
        <v>31</v>
      </c>
      <c r="AE3581" s="4">
        <v>31</v>
      </c>
      <c r="AF3581" s="4">
        <v>0</v>
      </c>
      <c r="AG3581" s="4">
        <v>0</v>
      </c>
      <c r="AH3581" s="4">
        <v>31</v>
      </c>
      <c r="AI3581" s="4">
        <v>31</v>
      </c>
      <c r="AJ3581" s="4">
        <v>3</v>
      </c>
      <c r="AK3581" s="4">
        <v>3</v>
      </c>
      <c r="AL3581" s="4">
        <v>23</v>
      </c>
      <c r="AM3581" s="4">
        <v>23</v>
      </c>
      <c r="AN3581" s="4">
        <v>0</v>
      </c>
      <c r="AO3581" s="4">
        <v>0</v>
      </c>
      <c r="AP3581" s="4">
        <v>3</v>
      </c>
      <c r="AQ3581" s="4">
        <v>3</v>
      </c>
      <c r="AR3581" s="3" t="s">
        <v>63</v>
      </c>
      <c r="AS3581" s="3" t="s">
        <v>63</v>
      </c>
      <c r="AT3581" s="3" t="s">
        <v>63</v>
      </c>
      <c r="AV3581" s="6" t="str">
        <f>HYPERLINK("http://mcgill.on.worldcat.org/oclc/320461313","Catalog Record")</f>
        <v>Catalog Record</v>
      </c>
      <c r="AW3581" s="6" t="str">
        <f>HYPERLINK("http://www.worldcat.org/oclc/320461313","WorldCat Record")</f>
        <v>WorldCat Record</v>
      </c>
      <c r="AX3581" s="3" t="s">
        <v>30128</v>
      </c>
      <c r="AY3581" s="3" t="s">
        <v>30129</v>
      </c>
      <c r="AZ3581" s="3" t="s">
        <v>30130</v>
      </c>
      <c r="BA3581" s="3" t="s">
        <v>30130</v>
      </c>
      <c r="BB3581" s="3" t="s">
        <v>30131</v>
      </c>
      <c r="BC3581" s="3" t="s">
        <v>82</v>
      </c>
      <c r="BD3581" s="3" t="s">
        <v>70</v>
      </c>
      <c r="BE3581" s="3" t="s">
        <v>30132</v>
      </c>
      <c r="BF3581" s="3" t="s">
        <v>30131</v>
      </c>
      <c r="BG3581" s="3" t="s">
        <v>30133</v>
      </c>
    </row>
    <row r="3582" spans="1:59" ht="60" x14ac:dyDescent="0.25">
      <c r="A3582" s="2" t="s">
        <v>59</v>
      </c>
      <c r="B3582" s="2" t="s">
        <v>60</v>
      </c>
      <c r="C3582" s="2" t="s">
        <v>30134</v>
      </c>
      <c r="D3582" s="2" t="s">
        <v>30135</v>
      </c>
      <c r="E3582" s="2" t="s">
        <v>30136</v>
      </c>
      <c r="G3582" s="3" t="s">
        <v>63</v>
      </c>
      <c r="I3582" s="3" t="s">
        <v>63</v>
      </c>
      <c r="J3582" s="3" t="s">
        <v>63</v>
      </c>
      <c r="K3582" s="3" t="s">
        <v>64</v>
      </c>
      <c r="L3582" s="2" t="s">
        <v>6702</v>
      </c>
      <c r="M3582" s="2" t="s">
        <v>30137</v>
      </c>
      <c r="N3582" s="3" t="s">
        <v>143</v>
      </c>
      <c r="P3582" s="3" t="s">
        <v>90</v>
      </c>
      <c r="Q3582" s="2" t="s">
        <v>30138</v>
      </c>
      <c r="R3582" s="3" t="s">
        <v>67</v>
      </c>
      <c r="S3582" s="4">
        <v>1</v>
      </c>
      <c r="T3582" s="4">
        <v>1</v>
      </c>
      <c r="U3582" s="5" t="s">
        <v>30032</v>
      </c>
      <c r="V3582" s="5" t="s">
        <v>30032</v>
      </c>
      <c r="W3582" s="5" t="s">
        <v>69</v>
      </c>
      <c r="X3582" s="5" t="s">
        <v>69</v>
      </c>
      <c r="Y3582" s="4">
        <v>55</v>
      </c>
      <c r="Z3582" s="4">
        <v>6</v>
      </c>
      <c r="AA3582" s="4">
        <v>7</v>
      </c>
      <c r="AB3582" s="4">
        <v>1</v>
      </c>
      <c r="AC3582" s="4">
        <v>1</v>
      </c>
      <c r="AD3582" s="4">
        <v>34</v>
      </c>
      <c r="AE3582" s="4">
        <v>35</v>
      </c>
      <c r="AF3582" s="4">
        <v>0</v>
      </c>
      <c r="AG3582" s="4">
        <v>0</v>
      </c>
      <c r="AH3582" s="4">
        <v>34</v>
      </c>
      <c r="AI3582" s="4">
        <v>35</v>
      </c>
      <c r="AJ3582" s="4">
        <v>2</v>
      </c>
      <c r="AK3582" s="4">
        <v>2</v>
      </c>
      <c r="AL3582" s="4">
        <v>23</v>
      </c>
      <c r="AM3582" s="4">
        <v>24</v>
      </c>
      <c r="AN3582" s="4">
        <v>0</v>
      </c>
      <c r="AO3582" s="4">
        <v>0</v>
      </c>
      <c r="AP3582" s="4">
        <v>2</v>
      </c>
      <c r="AQ3582" s="4">
        <v>2</v>
      </c>
      <c r="AR3582" s="3" t="s">
        <v>63</v>
      </c>
      <c r="AS3582" s="3" t="s">
        <v>63</v>
      </c>
      <c r="AT3582" s="3" t="s">
        <v>63</v>
      </c>
      <c r="AV3582" s="6" t="str">
        <f>HYPERLINK("http://mcgill.on.worldcat.org/oclc/870310025","Catalog Record")</f>
        <v>Catalog Record</v>
      </c>
      <c r="AW3582" s="6" t="str">
        <f>HYPERLINK("http://www.worldcat.org/oclc/870310025","WorldCat Record")</f>
        <v>WorldCat Record</v>
      </c>
      <c r="AX3582" s="3" t="s">
        <v>30139</v>
      </c>
      <c r="AY3582" s="3" t="s">
        <v>30140</v>
      </c>
      <c r="AZ3582" s="3" t="s">
        <v>30141</v>
      </c>
      <c r="BA3582" s="3" t="s">
        <v>30141</v>
      </c>
      <c r="BB3582" s="3" t="s">
        <v>30142</v>
      </c>
      <c r="BC3582" s="3" t="s">
        <v>82</v>
      </c>
      <c r="BD3582" s="3" t="s">
        <v>70</v>
      </c>
      <c r="BE3582" s="3" t="s">
        <v>30143</v>
      </c>
      <c r="BF3582" s="3" t="s">
        <v>30142</v>
      </c>
      <c r="BG3582" s="3" t="s">
        <v>30144</v>
      </c>
    </row>
    <row r="3583" spans="1:59" ht="60" x14ac:dyDescent="0.25">
      <c r="A3583" s="2" t="s">
        <v>59</v>
      </c>
      <c r="B3583" s="2" t="s">
        <v>60</v>
      </c>
      <c r="C3583" s="2" t="s">
        <v>30145</v>
      </c>
      <c r="D3583" s="2" t="s">
        <v>30146</v>
      </c>
      <c r="E3583" s="2" t="s">
        <v>30147</v>
      </c>
      <c r="G3583" s="3" t="s">
        <v>63</v>
      </c>
      <c r="I3583" s="3" t="s">
        <v>63</v>
      </c>
      <c r="J3583" s="3" t="s">
        <v>63</v>
      </c>
      <c r="K3583" s="3" t="s">
        <v>64</v>
      </c>
      <c r="L3583" s="2" t="s">
        <v>30148</v>
      </c>
      <c r="M3583" s="2" t="s">
        <v>4552</v>
      </c>
      <c r="N3583" s="3" t="s">
        <v>313</v>
      </c>
      <c r="P3583" s="3" t="s">
        <v>90</v>
      </c>
      <c r="Q3583" s="2" t="s">
        <v>30149</v>
      </c>
      <c r="R3583" s="3" t="s">
        <v>67</v>
      </c>
      <c r="S3583" s="4">
        <v>4</v>
      </c>
      <c r="T3583" s="4">
        <v>4</v>
      </c>
      <c r="U3583" s="5" t="s">
        <v>30127</v>
      </c>
      <c r="V3583" s="5" t="s">
        <v>30127</v>
      </c>
      <c r="W3583" s="5" t="s">
        <v>69</v>
      </c>
      <c r="X3583" s="5" t="s">
        <v>69</v>
      </c>
      <c r="Y3583" s="4">
        <v>35</v>
      </c>
      <c r="Z3583" s="4">
        <v>4</v>
      </c>
      <c r="AA3583" s="4">
        <v>4</v>
      </c>
      <c r="AB3583" s="4">
        <v>1</v>
      </c>
      <c r="AC3583" s="4">
        <v>1</v>
      </c>
      <c r="AD3583" s="4">
        <v>21</v>
      </c>
      <c r="AE3583" s="4">
        <v>21</v>
      </c>
      <c r="AF3583" s="4">
        <v>0</v>
      </c>
      <c r="AG3583" s="4">
        <v>0</v>
      </c>
      <c r="AH3583" s="4">
        <v>20</v>
      </c>
      <c r="AI3583" s="4">
        <v>20</v>
      </c>
      <c r="AJ3583" s="4">
        <v>2</v>
      </c>
      <c r="AK3583" s="4">
        <v>2</v>
      </c>
      <c r="AL3583" s="4">
        <v>17</v>
      </c>
      <c r="AM3583" s="4">
        <v>17</v>
      </c>
      <c r="AN3583" s="4">
        <v>0</v>
      </c>
      <c r="AO3583" s="4">
        <v>0</v>
      </c>
      <c r="AP3583" s="4">
        <v>2</v>
      </c>
      <c r="AQ3583" s="4">
        <v>2</v>
      </c>
      <c r="AR3583" s="3" t="s">
        <v>63</v>
      </c>
      <c r="AS3583" s="3" t="s">
        <v>63</v>
      </c>
      <c r="AT3583" s="3" t="s">
        <v>63</v>
      </c>
      <c r="AV3583" s="6" t="str">
        <f>HYPERLINK("http://mcgill.on.worldcat.org/oclc/639949154","Catalog Record")</f>
        <v>Catalog Record</v>
      </c>
      <c r="AW3583" s="6" t="str">
        <f>HYPERLINK("http://www.worldcat.org/oclc/639949154","WorldCat Record")</f>
        <v>WorldCat Record</v>
      </c>
      <c r="AX3583" s="3" t="s">
        <v>30150</v>
      </c>
      <c r="AY3583" s="3" t="s">
        <v>30151</v>
      </c>
      <c r="AZ3583" s="3" t="s">
        <v>30152</v>
      </c>
      <c r="BA3583" s="3" t="s">
        <v>30152</v>
      </c>
      <c r="BB3583" s="3" t="s">
        <v>30153</v>
      </c>
      <c r="BC3583" s="3" t="s">
        <v>82</v>
      </c>
      <c r="BD3583" s="3" t="s">
        <v>70</v>
      </c>
      <c r="BE3583" s="3" t="s">
        <v>30154</v>
      </c>
      <c r="BF3583" s="3" t="s">
        <v>30153</v>
      </c>
      <c r="BG3583" s="3" t="s">
        <v>30155</v>
      </c>
    </row>
    <row r="3584" spans="1:59" ht="60" x14ac:dyDescent="0.25">
      <c r="A3584" s="2" t="s">
        <v>59</v>
      </c>
      <c r="B3584" s="2" t="s">
        <v>60</v>
      </c>
      <c r="C3584" s="2" t="s">
        <v>30156</v>
      </c>
      <c r="D3584" s="2" t="s">
        <v>30157</v>
      </c>
      <c r="E3584" s="2" t="s">
        <v>30158</v>
      </c>
      <c r="G3584" s="3" t="s">
        <v>63</v>
      </c>
      <c r="I3584" s="3" t="s">
        <v>63</v>
      </c>
      <c r="J3584" s="3" t="s">
        <v>63</v>
      </c>
      <c r="K3584" s="3" t="s">
        <v>64</v>
      </c>
      <c r="L3584" s="2" t="s">
        <v>30148</v>
      </c>
      <c r="M3584" s="2" t="s">
        <v>30159</v>
      </c>
      <c r="N3584" s="3" t="s">
        <v>313</v>
      </c>
      <c r="P3584" s="3" t="s">
        <v>90</v>
      </c>
      <c r="R3584" s="3" t="s">
        <v>67</v>
      </c>
      <c r="S3584" s="4">
        <v>6</v>
      </c>
      <c r="T3584" s="4">
        <v>6</v>
      </c>
      <c r="U3584" s="5" t="s">
        <v>22669</v>
      </c>
      <c r="V3584" s="5" t="s">
        <v>22669</v>
      </c>
      <c r="W3584" s="5" t="s">
        <v>69</v>
      </c>
      <c r="X3584" s="5" t="s">
        <v>69</v>
      </c>
      <c r="Y3584" s="4">
        <v>10</v>
      </c>
      <c r="Z3584" s="4">
        <v>3</v>
      </c>
      <c r="AA3584" s="4">
        <v>7</v>
      </c>
      <c r="AB3584" s="4">
        <v>1</v>
      </c>
      <c r="AC3584" s="4">
        <v>2</v>
      </c>
      <c r="AD3584" s="4">
        <v>3</v>
      </c>
      <c r="AE3584" s="4">
        <v>53</v>
      </c>
      <c r="AF3584" s="4">
        <v>0</v>
      </c>
      <c r="AG3584" s="4">
        <v>0</v>
      </c>
      <c r="AH3584" s="4">
        <v>3</v>
      </c>
      <c r="AI3584" s="4">
        <v>51</v>
      </c>
      <c r="AJ3584" s="4">
        <v>1</v>
      </c>
      <c r="AK3584" s="4">
        <v>3</v>
      </c>
      <c r="AL3584" s="4">
        <v>1</v>
      </c>
      <c r="AM3584" s="4">
        <v>41</v>
      </c>
      <c r="AN3584" s="4">
        <v>0</v>
      </c>
      <c r="AO3584" s="4">
        <v>0</v>
      </c>
      <c r="AP3584" s="4">
        <v>1</v>
      </c>
      <c r="AQ3584" s="4">
        <v>3</v>
      </c>
      <c r="AR3584" s="3" t="s">
        <v>63</v>
      </c>
      <c r="AS3584" s="3" t="s">
        <v>63</v>
      </c>
      <c r="AT3584" s="3" t="s">
        <v>63</v>
      </c>
      <c r="AV3584" s="6" t="str">
        <f>HYPERLINK("http://mcgill.on.worldcat.org/oclc/659524559","Catalog Record")</f>
        <v>Catalog Record</v>
      </c>
      <c r="AW3584" s="6" t="str">
        <f>HYPERLINK("http://www.worldcat.org/oclc/659524559","WorldCat Record")</f>
        <v>WorldCat Record</v>
      </c>
      <c r="AX3584" s="3" t="s">
        <v>30160</v>
      </c>
      <c r="AY3584" s="3" t="s">
        <v>30161</v>
      </c>
      <c r="AZ3584" s="3" t="s">
        <v>30162</v>
      </c>
      <c r="BA3584" s="3" t="s">
        <v>30162</v>
      </c>
      <c r="BB3584" s="3" t="s">
        <v>30163</v>
      </c>
      <c r="BC3584" s="3" t="s">
        <v>82</v>
      </c>
      <c r="BD3584" s="3" t="s">
        <v>70</v>
      </c>
      <c r="BE3584" s="3" t="s">
        <v>30164</v>
      </c>
      <c r="BF3584" s="3" t="s">
        <v>30163</v>
      </c>
      <c r="BG3584" s="3" t="s">
        <v>30165</v>
      </c>
    </row>
    <row r="3585" spans="1:59" ht="60" x14ac:dyDescent="0.25">
      <c r="A3585" s="2" t="s">
        <v>59</v>
      </c>
      <c r="B3585" s="2" t="s">
        <v>60</v>
      </c>
      <c r="C3585" s="2" t="s">
        <v>30166</v>
      </c>
      <c r="D3585" s="2" t="s">
        <v>30167</v>
      </c>
      <c r="E3585" s="2" t="s">
        <v>30168</v>
      </c>
      <c r="G3585" s="3" t="s">
        <v>63</v>
      </c>
      <c r="I3585" s="3" t="s">
        <v>63</v>
      </c>
      <c r="J3585" s="3" t="s">
        <v>63</v>
      </c>
      <c r="K3585" s="3" t="s">
        <v>64</v>
      </c>
      <c r="L3585" s="2" t="s">
        <v>30148</v>
      </c>
      <c r="M3585" s="2" t="s">
        <v>24494</v>
      </c>
      <c r="N3585" s="3" t="s">
        <v>629</v>
      </c>
      <c r="P3585" s="3" t="s">
        <v>90</v>
      </c>
      <c r="R3585" s="3" t="s">
        <v>67</v>
      </c>
      <c r="S3585" s="4">
        <v>2</v>
      </c>
      <c r="T3585" s="4">
        <v>2</v>
      </c>
      <c r="U3585" s="5" t="s">
        <v>30169</v>
      </c>
      <c r="V3585" s="5" t="s">
        <v>30169</v>
      </c>
      <c r="W3585" s="5" t="s">
        <v>69</v>
      </c>
      <c r="X3585" s="5" t="s">
        <v>69</v>
      </c>
      <c r="Y3585" s="4">
        <v>8</v>
      </c>
      <c r="Z3585" s="4">
        <v>1</v>
      </c>
      <c r="AA3585" s="4">
        <v>7</v>
      </c>
      <c r="AB3585" s="4">
        <v>1</v>
      </c>
      <c r="AC3585" s="4">
        <v>1</v>
      </c>
      <c r="AD3585" s="4">
        <v>3</v>
      </c>
      <c r="AE3585" s="4">
        <v>42</v>
      </c>
      <c r="AF3585" s="4">
        <v>0</v>
      </c>
      <c r="AG3585" s="4">
        <v>0</v>
      </c>
      <c r="AH3585" s="4">
        <v>3</v>
      </c>
      <c r="AI3585" s="4">
        <v>42</v>
      </c>
      <c r="AJ3585" s="4">
        <v>0</v>
      </c>
      <c r="AK3585" s="4">
        <v>4</v>
      </c>
      <c r="AL3585" s="4">
        <v>3</v>
      </c>
      <c r="AM3585" s="4">
        <v>32</v>
      </c>
      <c r="AN3585" s="4">
        <v>0</v>
      </c>
      <c r="AO3585" s="4">
        <v>0</v>
      </c>
      <c r="AP3585" s="4">
        <v>0</v>
      </c>
      <c r="AQ3585" s="4">
        <v>4</v>
      </c>
      <c r="AR3585" s="3" t="s">
        <v>63</v>
      </c>
      <c r="AS3585" s="3" t="s">
        <v>63</v>
      </c>
      <c r="AT3585" s="3" t="s">
        <v>63</v>
      </c>
      <c r="AV3585" s="6" t="str">
        <f>HYPERLINK("http://mcgill.on.worldcat.org/oclc/730288597","Catalog Record")</f>
        <v>Catalog Record</v>
      </c>
      <c r="AW3585" s="6" t="str">
        <f>HYPERLINK("http://www.worldcat.org/oclc/730288597","WorldCat Record")</f>
        <v>WorldCat Record</v>
      </c>
      <c r="AX3585" s="3" t="s">
        <v>30170</v>
      </c>
      <c r="AY3585" s="3" t="s">
        <v>30171</v>
      </c>
      <c r="AZ3585" s="3" t="s">
        <v>30172</v>
      </c>
      <c r="BA3585" s="3" t="s">
        <v>30172</v>
      </c>
      <c r="BB3585" s="3" t="s">
        <v>30173</v>
      </c>
      <c r="BC3585" s="3" t="s">
        <v>82</v>
      </c>
      <c r="BD3585" s="3" t="s">
        <v>70</v>
      </c>
      <c r="BE3585" s="3" t="s">
        <v>30174</v>
      </c>
      <c r="BF3585" s="3" t="s">
        <v>30173</v>
      </c>
      <c r="BG3585" s="3" t="s">
        <v>30175</v>
      </c>
    </row>
    <row r="3586" spans="1:59" ht="60" x14ac:dyDescent="0.25">
      <c r="A3586" s="2" t="s">
        <v>59</v>
      </c>
      <c r="B3586" s="2" t="s">
        <v>60</v>
      </c>
      <c r="C3586" s="2" t="s">
        <v>30176</v>
      </c>
      <c r="D3586" s="2" t="s">
        <v>30177</v>
      </c>
      <c r="E3586" s="2" t="s">
        <v>30178</v>
      </c>
      <c r="F3586" s="3" t="s">
        <v>30179</v>
      </c>
      <c r="G3586" s="3" t="s">
        <v>63</v>
      </c>
      <c r="I3586" s="3" t="s">
        <v>63</v>
      </c>
      <c r="J3586" s="3" t="s">
        <v>63</v>
      </c>
      <c r="K3586" s="3" t="s">
        <v>64</v>
      </c>
      <c r="L3586" s="2" t="s">
        <v>6702</v>
      </c>
      <c r="M3586" s="2" t="s">
        <v>30180</v>
      </c>
      <c r="N3586" s="3" t="s">
        <v>130</v>
      </c>
      <c r="P3586" s="3" t="s">
        <v>90</v>
      </c>
      <c r="Q3586" s="2" t="s">
        <v>30181</v>
      </c>
      <c r="R3586" s="3" t="s">
        <v>67</v>
      </c>
      <c r="S3586" s="4">
        <v>1</v>
      </c>
      <c r="T3586" s="4">
        <v>1</v>
      </c>
      <c r="U3586" s="5" t="s">
        <v>21334</v>
      </c>
      <c r="V3586" s="5" t="s">
        <v>21334</v>
      </c>
      <c r="W3586" s="5" t="s">
        <v>69</v>
      </c>
      <c r="X3586" s="5" t="s">
        <v>69</v>
      </c>
      <c r="Y3586" s="4">
        <v>61</v>
      </c>
      <c r="Z3586" s="4">
        <v>4</v>
      </c>
      <c r="AA3586" s="4">
        <v>4</v>
      </c>
      <c r="AB3586" s="4">
        <v>1</v>
      </c>
      <c r="AC3586" s="4">
        <v>1</v>
      </c>
      <c r="AD3586" s="4">
        <v>26</v>
      </c>
      <c r="AE3586" s="4">
        <v>26</v>
      </c>
      <c r="AF3586" s="4">
        <v>0</v>
      </c>
      <c r="AG3586" s="4">
        <v>0</v>
      </c>
      <c r="AH3586" s="4">
        <v>25</v>
      </c>
      <c r="AI3586" s="4">
        <v>25</v>
      </c>
      <c r="AJ3586" s="4">
        <v>1</v>
      </c>
      <c r="AK3586" s="4">
        <v>1</v>
      </c>
      <c r="AL3586" s="4">
        <v>19</v>
      </c>
      <c r="AM3586" s="4">
        <v>19</v>
      </c>
      <c r="AN3586" s="4">
        <v>0</v>
      </c>
      <c r="AO3586" s="4">
        <v>0</v>
      </c>
      <c r="AP3586" s="4">
        <v>1</v>
      </c>
      <c r="AQ3586" s="4">
        <v>1</v>
      </c>
      <c r="AR3586" s="3" t="s">
        <v>63</v>
      </c>
      <c r="AS3586" s="3" t="s">
        <v>63</v>
      </c>
      <c r="AT3586" s="3" t="s">
        <v>63</v>
      </c>
      <c r="AV3586" s="6" t="str">
        <f>HYPERLINK("http://mcgill.on.worldcat.org/oclc/867177645","Catalog Record")</f>
        <v>Catalog Record</v>
      </c>
      <c r="AW3586" s="6" t="str">
        <f>HYPERLINK("http://www.worldcat.org/oclc/867177645","WorldCat Record")</f>
        <v>WorldCat Record</v>
      </c>
      <c r="AX3586" s="3" t="s">
        <v>30182</v>
      </c>
      <c r="AY3586" s="3" t="s">
        <v>30183</v>
      </c>
      <c r="AZ3586" s="3" t="s">
        <v>30184</v>
      </c>
      <c r="BA3586" s="3" t="s">
        <v>30184</v>
      </c>
      <c r="BB3586" s="3" t="s">
        <v>30185</v>
      </c>
      <c r="BC3586" s="3" t="s">
        <v>82</v>
      </c>
      <c r="BD3586" s="3" t="s">
        <v>70</v>
      </c>
      <c r="BE3586" s="3" t="s">
        <v>30186</v>
      </c>
      <c r="BF3586" s="3" t="s">
        <v>30185</v>
      </c>
      <c r="BG3586" s="3" t="s">
        <v>30187</v>
      </c>
    </row>
    <row r="3587" spans="1:59" ht="75" x14ac:dyDescent="0.25">
      <c r="A3587" s="2" t="s">
        <v>59</v>
      </c>
      <c r="B3587" s="2" t="s">
        <v>60</v>
      </c>
      <c r="C3587" s="2" t="s">
        <v>30188</v>
      </c>
      <c r="D3587" s="2" t="s">
        <v>30189</v>
      </c>
      <c r="E3587" s="2" t="s">
        <v>30190</v>
      </c>
      <c r="G3587" s="3" t="s">
        <v>63</v>
      </c>
      <c r="I3587" s="3" t="s">
        <v>63</v>
      </c>
      <c r="J3587" s="3" t="s">
        <v>63</v>
      </c>
      <c r="K3587" s="3" t="s">
        <v>64</v>
      </c>
      <c r="L3587" s="2" t="s">
        <v>30191</v>
      </c>
      <c r="M3587" s="2" t="s">
        <v>29170</v>
      </c>
      <c r="N3587" s="3" t="s">
        <v>76</v>
      </c>
      <c r="P3587" s="3" t="s">
        <v>90</v>
      </c>
      <c r="R3587" s="3" t="s">
        <v>67</v>
      </c>
      <c r="S3587" s="4">
        <v>2</v>
      </c>
      <c r="T3587" s="4">
        <v>2</v>
      </c>
      <c r="U3587" s="5" t="s">
        <v>9168</v>
      </c>
      <c r="V3587" s="5" t="s">
        <v>9168</v>
      </c>
      <c r="W3587" s="5" t="s">
        <v>69</v>
      </c>
      <c r="X3587" s="5" t="s">
        <v>69</v>
      </c>
      <c r="Y3587" s="4">
        <v>40</v>
      </c>
      <c r="Z3587" s="4">
        <v>6</v>
      </c>
      <c r="AA3587" s="4">
        <v>6</v>
      </c>
      <c r="AB3587" s="4">
        <v>1</v>
      </c>
      <c r="AC3587" s="4">
        <v>1</v>
      </c>
      <c r="AD3587" s="4">
        <v>25</v>
      </c>
      <c r="AE3587" s="4">
        <v>25</v>
      </c>
      <c r="AF3587" s="4">
        <v>0</v>
      </c>
      <c r="AG3587" s="4">
        <v>0</v>
      </c>
      <c r="AH3587" s="4">
        <v>24</v>
      </c>
      <c r="AI3587" s="4">
        <v>24</v>
      </c>
      <c r="AJ3587" s="4">
        <v>2</v>
      </c>
      <c r="AK3587" s="4">
        <v>2</v>
      </c>
      <c r="AL3587" s="4">
        <v>19</v>
      </c>
      <c r="AM3587" s="4">
        <v>19</v>
      </c>
      <c r="AN3587" s="4">
        <v>0</v>
      </c>
      <c r="AO3587" s="4">
        <v>0</v>
      </c>
      <c r="AP3587" s="4">
        <v>2</v>
      </c>
      <c r="AQ3587" s="4">
        <v>2</v>
      </c>
      <c r="AR3587" s="3" t="s">
        <v>63</v>
      </c>
      <c r="AS3587" s="3" t="s">
        <v>63</v>
      </c>
      <c r="AT3587" s="3" t="s">
        <v>63</v>
      </c>
      <c r="AV3587" s="6" t="str">
        <f>HYPERLINK("http://mcgill.on.worldcat.org/oclc/794749339","Catalog Record")</f>
        <v>Catalog Record</v>
      </c>
      <c r="AW3587" s="6" t="str">
        <f>HYPERLINK("http://www.worldcat.org/oclc/794749339","WorldCat Record")</f>
        <v>WorldCat Record</v>
      </c>
      <c r="AX3587" s="3" t="s">
        <v>30192</v>
      </c>
      <c r="AY3587" s="3" t="s">
        <v>30193</v>
      </c>
      <c r="AZ3587" s="3" t="s">
        <v>30194</v>
      </c>
      <c r="BA3587" s="3" t="s">
        <v>30194</v>
      </c>
      <c r="BB3587" s="3" t="s">
        <v>30195</v>
      </c>
      <c r="BC3587" s="3" t="s">
        <v>82</v>
      </c>
      <c r="BD3587" s="3" t="s">
        <v>70</v>
      </c>
      <c r="BE3587" s="3" t="s">
        <v>30196</v>
      </c>
      <c r="BF3587" s="3" t="s">
        <v>30195</v>
      </c>
      <c r="BG3587" s="3" t="s">
        <v>30197</v>
      </c>
    </row>
    <row r="3588" spans="1:59" ht="75" x14ac:dyDescent="0.25">
      <c r="A3588" s="2" t="s">
        <v>59</v>
      </c>
      <c r="B3588" s="2" t="s">
        <v>60</v>
      </c>
      <c r="C3588" s="2" t="s">
        <v>30198</v>
      </c>
      <c r="D3588" s="2" t="s">
        <v>30199</v>
      </c>
      <c r="E3588" s="2" t="s">
        <v>30200</v>
      </c>
      <c r="G3588" s="3" t="s">
        <v>63</v>
      </c>
      <c r="I3588" s="3" t="s">
        <v>63</v>
      </c>
      <c r="J3588" s="3" t="s">
        <v>63</v>
      </c>
      <c r="K3588" s="3" t="s">
        <v>64</v>
      </c>
      <c r="L3588" s="2" t="s">
        <v>30201</v>
      </c>
      <c r="M3588" s="2" t="s">
        <v>30202</v>
      </c>
      <c r="N3588" s="3" t="s">
        <v>190</v>
      </c>
      <c r="P3588" s="3" t="s">
        <v>66</v>
      </c>
      <c r="Q3588" s="2" t="s">
        <v>30203</v>
      </c>
      <c r="R3588" s="3" t="s">
        <v>67</v>
      </c>
      <c r="S3588" s="4">
        <v>2</v>
      </c>
      <c r="T3588" s="4">
        <v>2</v>
      </c>
      <c r="U3588" s="5" t="s">
        <v>1593</v>
      </c>
      <c r="V3588" s="5" t="s">
        <v>1593</v>
      </c>
      <c r="W3588" s="5" t="s">
        <v>69</v>
      </c>
      <c r="X3588" s="5" t="s">
        <v>69</v>
      </c>
      <c r="Y3588" s="4">
        <v>147</v>
      </c>
      <c r="Z3588" s="4">
        <v>11</v>
      </c>
      <c r="AA3588" s="4">
        <v>13</v>
      </c>
      <c r="AB3588" s="4">
        <v>1</v>
      </c>
      <c r="AC3588" s="4">
        <v>3</v>
      </c>
      <c r="AD3588" s="4">
        <v>71</v>
      </c>
      <c r="AE3588" s="4">
        <v>72</v>
      </c>
      <c r="AF3588" s="4">
        <v>0</v>
      </c>
      <c r="AG3588" s="4">
        <v>1</v>
      </c>
      <c r="AH3588" s="4">
        <v>67</v>
      </c>
      <c r="AI3588" s="4">
        <v>68</v>
      </c>
      <c r="AJ3588" s="4">
        <v>8</v>
      </c>
      <c r="AK3588" s="4">
        <v>9</v>
      </c>
      <c r="AL3588" s="4">
        <v>40</v>
      </c>
      <c r="AM3588" s="4">
        <v>40</v>
      </c>
      <c r="AN3588" s="4">
        <v>0</v>
      </c>
      <c r="AO3588" s="4">
        <v>0</v>
      </c>
      <c r="AP3588" s="4">
        <v>8</v>
      </c>
      <c r="AQ3588" s="4">
        <v>9</v>
      </c>
      <c r="AR3588" s="3" t="s">
        <v>63</v>
      </c>
      <c r="AS3588" s="3" t="s">
        <v>63</v>
      </c>
      <c r="AT3588" s="3" t="s">
        <v>63</v>
      </c>
      <c r="AV3588" s="6" t="str">
        <f>HYPERLINK("http://mcgill.on.worldcat.org/oclc/60361046","Catalog Record")</f>
        <v>Catalog Record</v>
      </c>
      <c r="AW3588" s="6" t="str">
        <f>HYPERLINK("http://www.worldcat.org/oclc/60361046","WorldCat Record")</f>
        <v>WorldCat Record</v>
      </c>
      <c r="AX3588" s="3" t="s">
        <v>30204</v>
      </c>
      <c r="AY3588" s="3" t="s">
        <v>30205</v>
      </c>
      <c r="AZ3588" s="3" t="s">
        <v>30206</v>
      </c>
      <c r="BA3588" s="3" t="s">
        <v>30206</v>
      </c>
      <c r="BB3588" s="3" t="s">
        <v>30207</v>
      </c>
      <c r="BC3588" s="3" t="s">
        <v>82</v>
      </c>
      <c r="BD3588" s="3" t="s">
        <v>70</v>
      </c>
      <c r="BE3588" s="3" t="s">
        <v>30208</v>
      </c>
      <c r="BF3588" s="3" t="s">
        <v>30207</v>
      </c>
      <c r="BG3588" s="3" t="s">
        <v>30209</v>
      </c>
    </row>
    <row r="3589" spans="1:59" ht="75" x14ac:dyDescent="0.25">
      <c r="A3589" s="2" t="s">
        <v>59</v>
      </c>
      <c r="B3589" s="2" t="s">
        <v>60</v>
      </c>
      <c r="C3589" s="2" t="s">
        <v>30210</v>
      </c>
      <c r="D3589" s="2" t="s">
        <v>30211</v>
      </c>
      <c r="E3589" s="2" t="s">
        <v>30212</v>
      </c>
      <c r="G3589" s="3" t="s">
        <v>63</v>
      </c>
      <c r="I3589" s="3" t="s">
        <v>63</v>
      </c>
      <c r="J3589" s="3" t="s">
        <v>63</v>
      </c>
      <c r="K3589" s="3" t="s">
        <v>64</v>
      </c>
      <c r="L3589" s="2" t="s">
        <v>30213</v>
      </c>
      <c r="M3589" s="2" t="s">
        <v>30214</v>
      </c>
      <c r="N3589" s="3" t="s">
        <v>76</v>
      </c>
      <c r="P3589" s="3" t="s">
        <v>90</v>
      </c>
      <c r="R3589" s="3" t="s">
        <v>67</v>
      </c>
      <c r="S3589" s="4">
        <v>3</v>
      </c>
      <c r="T3589" s="4">
        <v>3</v>
      </c>
      <c r="U3589" s="5" t="s">
        <v>10635</v>
      </c>
      <c r="V3589" s="5" t="s">
        <v>10635</v>
      </c>
      <c r="W3589" s="5" t="s">
        <v>69</v>
      </c>
      <c r="X3589" s="5" t="s">
        <v>69</v>
      </c>
      <c r="Y3589" s="4">
        <v>10</v>
      </c>
      <c r="Z3589" s="4">
        <v>3</v>
      </c>
      <c r="AA3589" s="4">
        <v>3</v>
      </c>
      <c r="AB3589" s="4">
        <v>1</v>
      </c>
      <c r="AC3589" s="4">
        <v>1</v>
      </c>
      <c r="AD3589" s="4">
        <v>8</v>
      </c>
      <c r="AE3589" s="4">
        <v>9</v>
      </c>
      <c r="AF3589" s="4">
        <v>0</v>
      </c>
      <c r="AG3589" s="4">
        <v>0</v>
      </c>
      <c r="AH3589" s="4">
        <v>7</v>
      </c>
      <c r="AI3589" s="4">
        <v>8</v>
      </c>
      <c r="AJ3589" s="4">
        <v>1</v>
      </c>
      <c r="AK3589" s="4">
        <v>1</v>
      </c>
      <c r="AL3589" s="4">
        <v>8</v>
      </c>
      <c r="AM3589" s="4">
        <v>9</v>
      </c>
      <c r="AN3589" s="4">
        <v>0</v>
      </c>
      <c r="AO3589" s="4">
        <v>0</v>
      </c>
      <c r="AP3589" s="4">
        <v>1</v>
      </c>
      <c r="AQ3589" s="4">
        <v>1</v>
      </c>
      <c r="AR3589" s="3" t="s">
        <v>63</v>
      </c>
      <c r="AS3589" s="3" t="s">
        <v>63</v>
      </c>
      <c r="AT3589" s="3" t="s">
        <v>63</v>
      </c>
      <c r="AV3589" s="6" t="str">
        <f>HYPERLINK("http://mcgill.on.worldcat.org/oclc/794822632","Catalog Record")</f>
        <v>Catalog Record</v>
      </c>
      <c r="AW3589" s="6" t="str">
        <f>HYPERLINK("http://www.worldcat.org/oclc/794822632","WorldCat Record")</f>
        <v>WorldCat Record</v>
      </c>
      <c r="AX3589" s="3" t="s">
        <v>30215</v>
      </c>
      <c r="AY3589" s="3" t="s">
        <v>30216</v>
      </c>
      <c r="AZ3589" s="3" t="s">
        <v>30217</v>
      </c>
      <c r="BA3589" s="3" t="s">
        <v>30217</v>
      </c>
      <c r="BB3589" s="3" t="s">
        <v>30218</v>
      </c>
      <c r="BC3589" s="3" t="s">
        <v>82</v>
      </c>
      <c r="BD3589" s="3" t="s">
        <v>70</v>
      </c>
      <c r="BE3589" s="3" t="s">
        <v>30219</v>
      </c>
      <c r="BF3589" s="3" t="s">
        <v>30218</v>
      </c>
      <c r="BG3589" s="3" t="s">
        <v>30220</v>
      </c>
    </row>
    <row r="3590" spans="1:59" ht="60" x14ac:dyDescent="0.25">
      <c r="A3590" s="2" t="s">
        <v>59</v>
      </c>
      <c r="B3590" s="2" t="s">
        <v>60</v>
      </c>
      <c r="C3590" s="2" t="s">
        <v>30221</v>
      </c>
      <c r="D3590" s="2" t="s">
        <v>30222</v>
      </c>
      <c r="E3590" s="2" t="s">
        <v>30223</v>
      </c>
      <c r="G3590" s="3" t="s">
        <v>63</v>
      </c>
      <c r="I3590" s="3" t="s">
        <v>63</v>
      </c>
      <c r="J3590" s="3" t="s">
        <v>63</v>
      </c>
      <c r="K3590" s="3" t="s">
        <v>64</v>
      </c>
      <c r="L3590" s="2" t="s">
        <v>30224</v>
      </c>
      <c r="M3590" s="2" t="s">
        <v>30225</v>
      </c>
      <c r="N3590" s="3" t="s">
        <v>176</v>
      </c>
      <c r="P3590" s="3" t="s">
        <v>90</v>
      </c>
      <c r="R3590" s="3" t="s">
        <v>67</v>
      </c>
      <c r="S3590" s="4">
        <v>2</v>
      </c>
      <c r="T3590" s="4">
        <v>2</v>
      </c>
      <c r="U3590" s="5" t="s">
        <v>30226</v>
      </c>
      <c r="V3590" s="5" t="s">
        <v>30226</v>
      </c>
      <c r="W3590" s="5" t="s">
        <v>69</v>
      </c>
      <c r="X3590" s="5" t="s">
        <v>69</v>
      </c>
      <c r="Y3590" s="4">
        <v>48</v>
      </c>
      <c r="Z3590" s="4">
        <v>2</v>
      </c>
      <c r="AA3590" s="4">
        <v>2</v>
      </c>
      <c r="AB3590" s="4">
        <v>1</v>
      </c>
      <c r="AC3590" s="4">
        <v>1</v>
      </c>
      <c r="AD3590" s="4">
        <v>30</v>
      </c>
      <c r="AE3590" s="4">
        <v>30</v>
      </c>
      <c r="AF3590" s="4">
        <v>0</v>
      </c>
      <c r="AG3590" s="4">
        <v>0</v>
      </c>
      <c r="AH3590" s="4">
        <v>29</v>
      </c>
      <c r="AI3590" s="4">
        <v>29</v>
      </c>
      <c r="AJ3590" s="4">
        <v>1</v>
      </c>
      <c r="AK3590" s="4">
        <v>1</v>
      </c>
      <c r="AL3590" s="4">
        <v>24</v>
      </c>
      <c r="AM3590" s="4">
        <v>24</v>
      </c>
      <c r="AN3590" s="4">
        <v>0</v>
      </c>
      <c r="AO3590" s="4">
        <v>0</v>
      </c>
      <c r="AP3590" s="4">
        <v>1</v>
      </c>
      <c r="AQ3590" s="4">
        <v>1</v>
      </c>
      <c r="AR3590" s="3" t="s">
        <v>63</v>
      </c>
      <c r="AS3590" s="3" t="s">
        <v>63</v>
      </c>
      <c r="AT3590" s="3" t="s">
        <v>63</v>
      </c>
      <c r="AV3590" s="6" t="str">
        <f>HYPERLINK("http://mcgill.on.worldcat.org/oclc/39509694","Catalog Record")</f>
        <v>Catalog Record</v>
      </c>
      <c r="AW3590" s="6" t="str">
        <f>HYPERLINK("http://www.worldcat.org/oclc/39509694","WorldCat Record")</f>
        <v>WorldCat Record</v>
      </c>
      <c r="AX3590" s="3" t="s">
        <v>30227</v>
      </c>
      <c r="AY3590" s="3" t="s">
        <v>30228</v>
      </c>
      <c r="AZ3590" s="3" t="s">
        <v>30229</v>
      </c>
      <c r="BA3590" s="3" t="s">
        <v>30229</v>
      </c>
      <c r="BB3590" s="3" t="s">
        <v>30230</v>
      </c>
      <c r="BC3590" s="3" t="s">
        <v>82</v>
      </c>
      <c r="BD3590" s="3" t="s">
        <v>70</v>
      </c>
      <c r="BE3590" s="3" t="s">
        <v>30231</v>
      </c>
      <c r="BF3590" s="3" t="s">
        <v>30230</v>
      </c>
      <c r="BG3590" s="3" t="s">
        <v>30232</v>
      </c>
    </row>
    <row r="3591" spans="1:59" ht="75" x14ac:dyDescent="0.25">
      <c r="A3591" s="2" t="s">
        <v>59</v>
      </c>
      <c r="B3591" s="2" t="s">
        <v>60</v>
      </c>
      <c r="C3591" s="2" t="s">
        <v>30233</v>
      </c>
      <c r="D3591" s="2" t="s">
        <v>30234</v>
      </c>
      <c r="E3591" s="2" t="s">
        <v>30235</v>
      </c>
      <c r="G3591" s="3" t="s">
        <v>63</v>
      </c>
      <c r="I3591" s="3" t="s">
        <v>63</v>
      </c>
      <c r="J3591" s="3" t="s">
        <v>63</v>
      </c>
      <c r="K3591" s="3" t="s">
        <v>64</v>
      </c>
      <c r="M3591" s="2" t="s">
        <v>30236</v>
      </c>
      <c r="N3591" s="3" t="s">
        <v>176</v>
      </c>
      <c r="P3591" s="3" t="s">
        <v>90</v>
      </c>
      <c r="R3591" s="3" t="s">
        <v>67</v>
      </c>
      <c r="S3591" s="4">
        <v>1</v>
      </c>
      <c r="T3591" s="4">
        <v>1</v>
      </c>
      <c r="U3591" s="5" t="s">
        <v>30226</v>
      </c>
      <c r="V3591" s="5" t="s">
        <v>30226</v>
      </c>
      <c r="W3591" s="5" t="s">
        <v>69</v>
      </c>
      <c r="X3591" s="5" t="s">
        <v>69</v>
      </c>
      <c r="Y3591" s="4">
        <v>58</v>
      </c>
      <c r="Z3591" s="4">
        <v>4</v>
      </c>
      <c r="AA3591" s="4">
        <v>4</v>
      </c>
      <c r="AB3591" s="4">
        <v>1</v>
      </c>
      <c r="AC3591" s="4">
        <v>1</v>
      </c>
      <c r="AD3591" s="4">
        <v>38</v>
      </c>
      <c r="AE3591" s="4">
        <v>38</v>
      </c>
      <c r="AF3591" s="4">
        <v>0</v>
      </c>
      <c r="AG3591" s="4">
        <v>0</v>
      </c>
      <c r="AH3591" s="4">
        <v>37</v>
      </c>
      <c r="AI3591" s="4">
        <v>37</v>
      </c>
      <c r="AJ3591" s="4">
        <v>2</v>
      </c>
      <c r="AK3591" s="4">
        <v>2</v>
      </c>
      <c r="AL3591" s="4">
        <v>31</v>
      </c>
      <c r="AM3591" s="4">
        <v>31</v>
      </c>
      <c r="AN3591" s="4">
        <v>0</v>
      </c>
      <c r="AO3591" s="4">
        <v>0</v>
      </c>
      <c r="AP3591" s="4">
        <v>2</v>
      </c>
      <c r="AQ3591" s="4">
        <v>2</v>
      </c>
      <c r="AR3591" s="3" t="s">
        <v>63</v>
      </c>
      <c r="AS3591" s="3" t="s">
        <v>63</v>
      </c>
      <c r="AT3591" s="3" t="s">
        <v>63</v>
      </c>
      <c r="AV3591" s="6" t="str">
        <f>HYPERLINK("http://mcgill.on.worldcat.org/oclc/39793288","Catalog Record")</f>
        <v>Catalog Record</v>
      </c>
      <c r="AW3591" s="6" t="str">
        <f>HYPERLINK("http://www.worldcat.org/oclc/39793288","WorldCat Record")</f>
        <v>WorldCat Record</v>
      </c>
      <c r="AX3591" s="3" t="s">
        <v>30237</v>
      </c>
      <c r="AY3591" s="3" t="s">
        <v>30238</v>
      </c>
      <c r="AZ3591" s="3" t="s">
        <v>30239</v>
      </c>
      <c r="BA3591" s="3" t="s">
        <v>30239</v>
      </c>
      <c r="BB3591" s="3" t="s">
        <v>30240</v>
      </c>
      <c r="BC3591" s="3" t="s">
        <v>82</v>
      </c>
      <c r="BD3591" s="3" t="s">
        <v>70</v>
      </c>
      <c r="BE3591" s="3" t="s">
        <v>30241</v>
      </c>
      <c r="BF3591" s="3" t="s">
        <v>30240</v>
      </c>
      <c r="BG3591" s="3" t="s">
        <v>30242</v>
      </c>
    </row>
    <row r="3592" spans="1:59" ht="75" x14ac:dyDescent="0.25">
      <c r="A3592" s="2" t="s">
        <v>59</v>
      </c>
      <c r="B3592" s="2" t="s">
        <v>60</v>
      </c>
      <c r="C3592" s="2" t="s">
        <v>30243</v>
      </c>
      <c r="D3592" s="2" t="s">
        <v>30244</v>
      </c>
      <c r="E3592" s="2" t="s">
        <v>30245</v>
      </c>
      <c r="G3592" s="3" t="s">
        <v>63</v>
      </c>
      <c r="I3592" s="3" t="s">
        <v>63</v>
      </c>
      <c r="J3592" s="3" t="s">
        <v>63</v>
      </c>
      <c r="K3592" s="3" t="s">
        <v>64</v>
      </c>
      <c r="L3592" s="2" t="s">
        <v>30246</v>
      </c>
      <c r="M3592" s="2" t="s">
        <v>6355</v>
      </c>
      <c r="N3592" s="3" t="s">
        <v>2765</v>
      </c>
      <c r="P3592" s="3" t="s">
        <v>90</v>
      </c>
      <c r="Q3592" s="2" t="s">
        <v>29586</v>
      </c>
      <c r="R3592" s="3" t="s">
        <v>67</v>
      </c>
      <c r="S3592" s="4">
        <v>0</v>
      </c>
      <c r="T3592" s="4">
        <v>0</v>
      </c>
      <c r="W3592" s="5" t="s">
        <v>69</v>
      </c>
      <c r="X3592" s="5" t="s">
        <v>69</v>
      </c>
      <c r="Y3592" s="4">
        <v>32</v>
      </c>
      <c r="Z3592" s="4">
        <v>3</v>
      </c>
      <c r="AA3592" s="4">
        <v>3</v>
      </c>
      <c r="AB3592" s="4">
        <v>1</v>
      </c>
      <c r="AC3592" s="4">
        <v>1</v>
      </c>
      <c r="AD3592" s="4">
        <v>25</v>
      </c>
      <c r="AE3592" s="4">
        <v>25</v>
      </c>
      <c r="AF3592" s="4">
        <v>0</v>
      </c>
      <c r="AG3592" s="4">
        <v>0</v>
      </c>
      <c r="AH3592" s="4">
        <v>24</v>
      </c>
      <c r="AI3592" s="4">
        <v>24</v>
      </c>
      <c r="AJ3592" s="4">
        <v>1</v>
      </c>
      <c r="AK3592" s="4">
        <v>1</v>
      </c>
      <c r="AL3592" s="4">
        <v>19</v>
      </c>
      <c r="AM3592" s="4">
        <v>19</v>
      </c>
      <c r="AN3592" s="4">
        <v>0</v>
      </c>
      <c r="AO3592" s="4">
        <v>0</v>
      </c>
      <c r="AP3592" s="4">
        <v>1</v>
      </c>
      <c r="AQ3592" s="4">
        <v>1</v>
      </c>
      <c r="AR3592" s="3" t="s">
        <v>63</v>
      </c>
      <c r="AS3592" s="3" t="s">
        <v>63</v>
      </c>
      <c r="AT3592" s="3" t="s">
        <v>63</v>
      </c>
      <c r="AV3592" s="6" t="str">
        <f>HYPERLINK("http://mcgill.on.worldcat.org/oclc/904800407","Catalog Record")</f>
        <v>Catalog Record</v>
      </c>
      <c r="AW3592" s="6" t="str">
        <f>HYPERLINK("http://www.worldcat.org/oclc/904800407","WorldCat Record")</f>
        <v>WorldCat Record</v>
      </c>
      <c r="AX3592" s="3" t="s">
        <v>30247</v>
      </c>
      <c r="AY3592" s="3" t="s">
        <v>30248</v>
      </c>
      <c r="AZ3592" s="3" t="s">
        <v>30249</v>
      </c>
      <c r="BA3592" s="3" t="s">
        <v>30249</v>
      </c>
      <c r="BB3592" s="3" t="s">
        <v>30250</v>
      </c>
      <c r="BC3592" s="3" t="s">
        <v>82</v>
      </c>
      <c r="BD3592" s="3" t="s">
        <v>70</v>
      </c>
      <c r="BE3592" s="3" t="s">
        <v>30251</v>
      </c>
      <c r="BF3592" s="3" t="s">
        <v>30250</v>
      </c>
      <c r="BG3592" s="3" t="s">
        <v>30252</v>
      </c>
    </row>
    <row r="3593" spans="1:59" ht="75" x14ac:dyDescent="0.25">
      <c r="A3593" s="2" t="s">
        <v>59</v>
      </c>
      <c r="B3593" s="2" t="s">
        <v>60</v>
      </c>
      <c r="C3593" s="2" t="s">
        <v>30253</v>
      </c>
      <c r="D3593" s="2" t="s">
        <v>30254</v>
      </c>
      <c r="E3593" s="2" t="s">
        <v>30255</v>
      </c>
      <c r="G3593" s="3" t="s">
        <v>63</v>
      </c>
      <c r="I3593" s="3" t="s">
        <v>63</v>
      </c>
      <c r="J3593" s="3" t="s">
        <v>63</v>
      </c>
      <c r="K3593" s="3" t="s">
        <v>64</v>
      </c>
      <c r="L3593" s="2" t="s">
        <v>30256</v>
      </c>
      <c r="M3593" s="2" t="s">
        <v>30257</v>
      </c>
      <c r="N3593" s="3" t="s">
        <v>76</v>
      </c>
      <c r="P3593" s="3" t="s">
        <v>90</v>
      </c>
      <c r="Q3593" s="2" t="s">
        <v>29586</v>
      </c>
      <c r="R3593" s="3" t="s">
        <v>67</v>
      </c>
      <c r="S3593" s="4">
        <v>0</v>
      </c>
      <c r="T3593" s="4">
        <v>0</v>
      </c>
      <c r="W3593" s="5" t="s">
        <v>69</v>
      </c>
      <c r="X3593" s="5" t="s">
        <v>69</v>
      </c>
      <c r="Y3593" s="4">
        <v>40</v>
      </c>
      <c r="Z3593" s="4">
        <v>5</v>
      </c>
      <c r="AA3593" s="4">
        <v>8</v>
      </c>
      <c r="AB3593" s="4">
        <v>1</v>
      </c>
      <c r="AC3593" s="4">
        <v>1</v>
      </c>
      <c r="AD3593" s="4">
        <v>29</v>
      </c>
      <c r="AE3593" s="4">
        <v>37</v>
      </c>
      <c r="AF3593" s="4">
        <v>0</v>
      </c>
      <c r="AG3593" s="4">
        <v>0</v>
      </c>
      <c r="AH3593" s="4">
        <v>28</v>
      </c>
      <c r="AI3593" s="4">
        <v>36</v>
      </c>
      <c r="AJ3593" s="4">
        <v>2</v>
      </c>
      <c r="AK3593" s="4">
        <v>4</v>
      </c>
      <c r="AL3593" s="4">
        <v>25</v>
      </c>
      <c r="AM3593" s="4">
        <v>30</v>
      </c>
      <c r="AN3593" s="4">
        <v>0</v>
      </c>
      <c r="AO3593" s="4">
        <v>0</v>
      </c>
      <c r="AP3593" s="4">
        <v>2</v>
      </c>
      <c r="AQ3593" s="4">
        <v>4</v>
      </c>
      <c r="AR3593" s="3" t="s">
        <v>63</v>
      </c>
      <c r="AS3593" s="3" t="s">
        <v>63</v>
      </c>
      <c r="AT3593" s="3" t="s">
        <v>63</v>
      </c>
      <c r="AV3593" s="6" t="str">
        <f>HYPERLINK("http://mcgill.on.worldcat.org/oclc/793419725","Catalog Record")</f>
        <v>Catalog Record</v>
      </c>
      <c r="AW3593" s="6" t="str">
        <f>HYPERLINK("http://www.worldcat.org/oclc/793419725","WorldCat Record")</f>
        <v>WorldCat Record</v>
      </c>
      <c r="AX3593" s="3" t="s">
        <v>30258</v>
      </c>
      <c r="AY3593" s="3" t="s">
        <v>30259</v>
      </c>
      <c r="AZ3593" s="3" t="s">
        <v>30260</v>
      </c>
      <c r="BA3593" s="3" t="s">
        <v>30260</v>
      </c>
      <c r="BB3593" s="3" t="s">
        <v>30261</v>
      </c>
      <c r="BC3593" s="3" t="s">
        <v>82</v>
      </c>
      <c r="BD3593" s="3" t="s">
        <v>70</v>
      </c>
      <c r="BE3593" s="3" t="s">
        <v>30262</v>
      </c>
      <c r="BF3593" s="3" t="s">
        <v>30261</v>
      </c>
      <c r="BG3593" s="3" t="s">
        <v>30263</v>
      </c>
    </row>
    <row r="3594" spans="1:59" ht="75" x14ac:dyDescent="0.25">
      <c r="A3594" s="2" t="s">
        <v>59</v>
      </c>
      <c r="B3594" s="2" t="s">
        <v>60</v>
      </c>
      <c r="C3594" s="2" t="s">
        <v>30264</v>
      </c>
      <c r="D3594" s="2" t="s">
        <v>30265</v>
      </c>
      <c r="E3594" s="2" t="s">
        <v>30266</v>
      </c>
      <c r="G3594" s="3" t="s">
        <v>63</v>
      </c>
      <c r="I3594" s="3" t="s">
        <v>63</v>
      </c>
      <c r="J3594" s="3" t="s">
        <v>63</v>
      </c>
      <c r="K3594" s="3" t="s">
        <v>64</v>
      </c>
      <c r="L3594" s="2" t="s">
        <v>30267</v>
      </c>
      <c r="M3594" s="2" t="s">
        <v>30268</v>
      </c>
      <c r="N3594" s="3" t="s">
        <v>106</v>
      </c>
      <c r="P3594" s="3" t="s">
        <v>90</v>
      </c>
      <c r="Q3594" s="2" t="s">
        <v>30269</v>
      </c>
      <c r="R3594" s="3" t="s">
        <v>67</v>
      </c>
      <c r="S3594" s="4">
        <v>2</v>
      </c>
      <c r="T3594" s="4">
        <v>2</v>
      </c>
      <c r="U3594" s="5" t="s">
        <v>6011</v>
      </c>
      <c r="V3594" s="5" t="s">
        <v>6011</v>
      </c>
      <c r="W3594" s="5" t="s">
        <v>69</v>
      </c>
      <c r="X3594" s="5" t="s">
        <v>69</v>
      </c>
      <c r="Y3594" s="4">
        <v>21</v>
      </c>
      <c r="Z3594" s="4">
        <v>2</v>
      </c>
      <c r="AA3594" s="4">
        <v>2</v>
      </c>
      <c r="AB3594" s="4">
        <v>1</v>
      </c>
      <c r="AC3594" s="4">
        <v>1</v>
      </c>
      <c r="AD3594" s="4">
        <v>16</v>
      </c>
      <c r="AE3594" s="4">
        <v>21</v>
      </c>
      <c r="AF3594" s="4">
        <v>0</v>
      </c>
      <c r="AG3594" s="4">
        <v>0</v>
      </c>
      <c r="AH3594" s="4">
        <v>15</v>
      </c>
      <c r="AI3594" s="4">
        <v>20</v>
      </c>
      <c r="AJ3594" s="4">
        <v>0</v>
      </c>
      <c r="AK3594" s="4">
        <v>0</v>
      </c>
      <c r="AL3594" s="4">
        <v>14</v>
      </c>
      <c r="AM3594" s="4">
        <v>18</v>
      </c>
      <c r="AN3594" s="4">
        <v>0</v>
      </c>
      <c r="AO3594" s="4">
        <v>0</v>
      </c>
      <c r="AP3594" s="4">
        <v>0</v>
      </c>
      <c r="AQ3594" s="4">
        <v>0</v>
      </c>
      <c r="AR3594" s="3" t="s">
        <v>63</v>
      </c>
      <c r="AS3594" s="3" t="s">
        <v>63</v>
      </c>
      <c r="AT3594" s="3" t="s">
        <v>63</v>
      </c>
      <c r="AV3594" s="6" t="str">
        <f>HYPERLINK("http://mcgill.on.worldcat.org/oclc/972885012","Catalog Record")</f>
        <v>Catalog Record</v>
      </c>
      <c r="AW3594" s="6" t="str">
        <f>HYPERLINK("http://www.worldcat.org/oclc/972885012","WorldCat Record")</f>
        <v>WorldCat Record</v>
      </c>
      <c r="AX3594" s="3" t="s">
        <v>30270</v>
      </c>
      <c r="AY3594" s="3" t="s">
        <v>30271</v>
      </c>
      <c r="AZ3594" s="3" t="s">
        <v>30272</v>
      </c>
      <c r="BA3594" s="3" t="s">
        <v>30272</v>
      </c>
      <c r="BB3594" s="3" t="s">
        <v>30273</v>
      </c>
      <c r="BC3594" s="3" t="s">
        <v>82</v>
      </c>
      <c r="BD3594" s="3" t="s">
        <v>70</v>
      </c>
      <c r="BE3594" s="3" t="s">
        <v>30274</v>
      </c>
      <c r="BF3594" s="3" t="s">
        <v>30273</v>
      </c>
      <c r="BG3594" s="3" t="s">
        <v>30275</v>
      </c>
    </row>
    <row r="3595" spans="1:59" ht="60" x14ac:dyDescent="0.25">
      <c r="A3595" s="2" t="s">
        <v>59</v>
      </c>
      <c r="B3595" s="2" t="s">
        <v>60</v>
      </c>
      <c r="C3595" s="2" t="s">
        <v>30276</v>
      </c>
      <c r="D3595" s="2" t="s">
        <v>30277</v>
      </c>
      <c r="E3595" s="2" t="s">
        <v>30278</v>
      </c>
      <c r="G3595" s="3" t="s">
        <v>63</v>
      </c>
      <c r="I3595" s="3" t="s">
        <v>63</v>
      </c>
      <c r="J3595" s="3" t="s">
        <v>63</v>
      </c>
      <c r="K3595" s="3" t="s">
        <v>64</v>
      </c>
      <c r="L3595" s="2" t="s">
        <v>30279</v>
      </c>
      <c r="M3595" s="2" t="s">
        <v>30280</v>
      </c>
      <c r="N3595" s="3" t="s">
        <v>287</v>
      </c>
      <c r="P3595" s="3" t="s">
        <v>90</v>
      </c>
      <c r="Q3595" s="2" t="s">
        <v>29326</v>
      </c>
      <c r="R3595" s="3" t="s">
        <v>67</v>
      </c>
      <c r="S3595" s="4">
        <v>0</v>
      </c>
      <c r="T3595" s="4">
        <v>0</v>
      </c>
      <c r="W3595" s="5" t="s">
        <v>9728</v>
      </c>
      <c r="X3595" s="5" t="s">
        <v>9728</v>
      </c>
      <c r="Y3595" s="4">
        <v>18</v>
      </c>
      <c r="Z3595" s="4">
        <v>1</v>
      </c>
      <c r="AA3595" s="4">
        <v>1</v>
      </c>
      <c r="AB3595" s="4">
        <v>1</v>
      </c>
      <c r="AC3595" s="4">
        <v>1</v>
      </c>
      <c r="AD3595" s="4">
        <v>13</v>
      </c>
      <c r="AE3595" s="4">
        <v>13</v>
      </c>
      <c r="AF3595" s="4">
        <v>0</v>
      </c>
      <c r="AG3595" s="4">
        <v>0</v>
      </c>
      <c r="AH3595" s="4">
        <v>13</v>
      </c>
      <c r="AI3595" s="4">
        <v>13</v>
      </c>
      <c r="AJ3595" s="4">
        <v>0</v>
      </c>
      <c r="AK3595" s="4">
        <v>0</v>
      </c>
      <c r="AL3595" s="4">
        <v>11</v>
      </c>
      <c r="AM3595" s="4">
        <v>11</v>
      </c>
      <c r="AN3595" s="4">
        <v>0</v>
      </c>
      <c r="AO3595" s="4">
        <v>0</v>
      </c>
      <c r="AP3595" s="4">
        <v>0</v>
      </c>
      <c r="AQ3595" s="4">
        <v>0</v>
      </c>
      <c r="AR3595" s="3" t="s">
        <v>63</v>
      </c>
      <c r="AS3595" s="3" t="s">
        <v>63</v>
      </c>
      <c r="AT3595" s="3" t="s">
        <v>63</v>
      </c>
      <c r="AV3595" s="6" t="str">
        <f>HYPERLINK("http://mcgill.on.worldcat.org/oclc/1015965292","Catalog Record")</f>
        <v>Catalog Record</v>
      </c>
      <c r="AW3595" s="6" t="str">
        <f>HYPERLINK("http://www.worldcat.org/oclc/1015965292","WorldCat Record")</f>
        <v>WorldCat Record</v>
      </c>
      <c r="AX3595" s="3" t="s">
        <v>30281</v>
      </c>
      <c r="AY3595" s="3" t="s">
        <v>30282</v>
      </c>
      <c r="AZ3595" s="3" t="s">
        <v>30283</v>
      </c>
      <c r="BA3595" s="3" t="s">
        <v>30283</v>
      </c>
      <c r="BB3595" s="3" t="s">
        <v>30284</v>
      </c>
      <c r="BC3595" s="3" t="s">
        <v>82</v>
      </c>
      <c r="BD3595" s="3" t="s">
        <v>70</v>
      </c>
      <c r="BE3595" s="3" t="s">
        <v>30285</v>
      </c>
      <c r="BF3595" s="3" t="s">
        <v>30284</v>
      </c>
      <c r="BG3595" s="3" t="s">
        <v>30286</v>
      </c>
    </row>
    <row r="3596" spans="1:59" ht="75" x14ac:dyDescent="0.25">
      <c r="A3596" s="2" t="s">
        <v>59</v>
      </c>
      <c r="B3596" s="2" t="s">
        <v>60</v>
      </c>
      <c r="C3596" s="2" t="s">
        <v>30287</v>
      </c>
      <c r="D3596" s="2" t="s">
        <v>30288</v>
      </c>
      <c r="E3596" s="2" t="s">
        <v>30289</v>
      </c>
      <c r="G3596" s="3" t="s">
        <v>63</v>
      </c>
      <c r="I3596" s="3" t="s">
        <v>63</v>
      </c>
      <c r="J3596" s="3" t="s">
        <v>63</v>
      </c>
      <c r="K3596" s="3" t="s">
        <v>64</v>
      </c>
      <c r="L3596" s="2" t="s">
        <v>30290</v>
      </c>
      <c r="M3596" s="2" t="s">
        <v>22532</v>
      </c>
      <c r="N3596" s="3" t="s">
        <v>629</v>
      </c>
      <c r="P3596" s="3" t="s">
        <v>90</v>
      </c>
      <c r="R3596" s="3" t="s">
        <v>67</v>
      </c>
      <c r="S3596" s="4">
        <v>5</v>
      </c>
      <c r="T3596" s="4">
        <v>5</v>
      </c>
      <c r="U3596" s="5" t="s">
        <v>28965</v>
      </c>
      <c r="V3596" s="5" t="s">
        <v>28965</v>
      </c>
      <c r="W3596" s="5" t="s">
        <v>69</v>
      </c>
      <c r="X3596" s="5" t="s">
        <v>69</v>
      </c>
      <c r="Y3596" s="4">
        <v>15</v>
      </c>
      <c r="Z3596" s="4">
        <v>2</v>
      </c>
      <c r="AA3596" s="4">
        <v>2</v>
      </c>
      <c r="AB3596" s="4">
        <v>1</v>
      </c>
      <c r="AC3596" s="4">
        <v>1</v>
      </c>
      <c r="AD3596" s="4">
        <v>11</v>
      </c>
      <c r="AE3596" s="4">
        <v>11</v>
      </c>
      <c r="AF3596" s="4">
        <v>0</v>
      </c>
      <c r="AG3596" s="4">
        <v>0</v>
      </c>
      <c r="AH3596" s="4">
        <v>11</v>
      </c>
      <c r="AI3596" s="4">
        <v>11</v>
      </c>
      <c r="AJ3596" s="4">
        <v>1</v>
      </c>
      <c r="AK3596" s="4">
        <v>1</v>
      </c>
      <c r="AL3596" s="4">
        <v>6</v>
      </c>
      <c r="AM3596" s="4">
        <v>6</v>
      </c>
      <c r="AN3596" s="4">
        <v>0</v>
      </c>
      <c r="AO3596" s="4">
        <v>0</v>
      </c>
      <c r="AP3596" s="4">
        <v>1</v>
      </c>
      <c r="AQ3596" s="4">
        <v>1</v>
      </c>
      <c r="AR3596" s="3" t="s">
        <v>63</v>
      </c>
      <c r="AS3596" s="3" t="s">
        <v>63</v>
      </c>
      <c r="AT3596" s="3" t="s">
        <v>63</v>
      </c>
      <c r="AV3596" s="6" t="str">
        <f>HYPERLINK("http://mcgill.on.worldcat.org/oclc/739837308","Catalog Record")</f>
        <v>Catalog Record</v>
      </c>
      <c r="AW3596" s="6" t="str">
        <f>HYPERLINK("http://www.worldcat.org/oclc/739837308","WorldCat Record")</f>
        <v>WorldCat Record</v>
      </c>
      <c r="AX3596" s="3" t="s">
        <v>30291</v>
      </c>
      <c r="AY3596" s="3" t="s">
        <v>30292</v>
      </c>
      <c r="AZ3596" s="3" t="s">
        <v>30293</v>
      </c>
      <c r="BA3596" s="3" t="s">
        <v>30293</v>
      </c>
      <c r="BB3596" s="3" t="s">
        <v>30294</v>
      </c>
      <c r="BC3596" s="3" t="s">
        <v>82</v>
      </c>
      <c r="BD3596" s="3" t="s">
        <v>70</v>
      </c>
      <c r="BE3596" s="3" t="s">
        <v>30295</v>
      </c>
      <c r="BF3596" s="3" t="s">
        <v>30294</v>
      </c>
      <c r="BG3596" s="3" t="s">
        <v>30296</v>
      </c>
    </row>
    <row r="3597" spans="1:59" ht="60" x14ac:dyDescent="0.25">
      <c r="A3597" s="2" t="s">
        <v>59</v>
      </c>
      <c r="B3597" s="2" t="s">
        <v>60</v>
      </c>
      <c r="C3597" s="2" t="s">
        <v>30297</v>
      </c>
      <c r="D3597" s="2" t="s">
        <v>30298</v>
      </c>
      <c r="E3597" s="2" t="s">
        <v>30299</v>
      </c>
      <c r="G3597" s="3" t="s">
        <v>63</v>
      </c>
      <c r="I3597" s="3" t="s">
        <v>63</v>
      </c>
      <c r="J3597" s="3" t="s">
        <v>62</v>
      </c>
      <c r="K3597" s="3" t="s">
        <v>64</v>
      </c>
      <c r="L3597" s="2" t="s">
        <v>30300</v>
      </c>
      <c r="M3597" s="2" t="s">
        <v>30301</v>
      </c>
      <c r="N3597" s="3" t="s">
        <v>706</v>
      </c>
      <c r="P3597" s="3" t="s">
        <v>90</v>
      </c>
      <c r="R3597" s="3" t="s">
        <v>67</v>
      </c>
      <c r="S3597" s="4">
        <v>37</v>
      </c>
      <c r="T3597" s="4">
        <v>37</v>
      </c>
      <c r="U3597" s="5" t="s">
        <v>9858</v>
      </c>
      <c r="V3597" s="5" t="s">
        <v>9858</v>
      </c>
      <c r="W3597" s="5" t="s">
        <v>69</v>
      </c>
      <c r="X3597" s="5" t="s">
        <v>69</v>
      </c>
      <c r="Y3597" s="4">
        <v>158</v>
      </c>
      <c r="Z3597" s="4">
        <v>14</v>
      </c>
      <c r="AA3597" s="4">
        <v>15</v>
      </c>
      <c r="AB3597" s="4">
        <v>1</v>
      </c>
      <c r="AC3597" s="4">
        <v>1</v>
      </c>
      <c r="AD3597" s="4">
        <v>75</v>
      </c>
      <c r="AE3597" s="4">
        <v>80</v>
      </c>
      <c r="AF3597" s="4">
        <v>0</v>
      </c>
      <c r="AG3597" s="4">
        <v>0</v>
      </c>
      <c r="AH3597" s="4">
        <v>69</v>
      </c>
      <c r="AI3597" s="4">
        <v>74</v>
      </c>
      <c r="AJ3597" s="4">
        <v>9</v>
      </c>
      <c r="AK3597" s="4">
        <v>9</v>
      </c>
      <c r="AL3597" s="4">
        <v>46</v>
      </c>
      <c r="AM3597" s="4">
        <v>48</v>
      </c>
      <c r="AN3597" s="4">
        <v>0</v>
      </c>
      <c r="AO3597" s="4">
        <v>0</v>
      </c>
      <c r="AP3597" s="4">
        <v>9</v>
      </c>
      <c r="AQ3597" s="4">
        <v>9</v>
      </c>
      <c r="AR3597" s="3" t="s">
        <v>63</v>
      </c>
      <c r="AS3597" s="3" t="s">
        <v>63</v>
      </c>
      <c r="AT3597" s="3" t="s">
        <v>62</v>
      </c>
      <c r="AU3597" s="6" t="str">
        <f>HYPERLINK("http://catalog.hathitrust.org/Record/000855713","HathiTrust Record")</f>
        <v>HathiTrust Record</v>
      </c>
      <c r="AV3597" s="6" t="str">
        <f>HYPERLINK("http://mcgill.on.worldcat.org/oclc/13360924","Catalog Record")</f>
        <v>Catalog Record</v>
      </c>
      <c r="AW3597" s="6" t="str">
        <f>HYPERLINK("http://www.worldcat.org/oclc/13360924","WorldCat Record")</f>
        <v>WorldCat Record</v>
      </c>
      <c r="AX3597" s="3" t="s">
        <v>30302</v>
      </c>
      <c r="AY3597" s="3" t="s">
        <v>30303</v>
      </c>
      <c r="AZ3597" s="3" t="s">
        <v>30304</v>
      </c>
      <c r="BA3597" s="3" t="s">
        <v>30304</v>
      </c>
      <c r="BB3597" s="3" t="s">
        <v>30305</v>
      </c>
      <c r="BC3597" s="3" t="s">
        <v>82</v>
      </c>
      <c r="BD3597" s="3" t="s">
        <v>70</v>
      </c>
      <c r="BE3597" s="3" t="s">
        <v>30306</v>
      </c>
      <c r="BF3597" s="3" t="s">
        <v>30305</v>
      </c>
      <c r="BG3597" s="3" t="s">
        <v>30307</v>
      </c>
    </row>
    <row r="3598" spans="1:59" ht="60" x14ac:dyDescent="0.25">
      <c r="A3598" s="2" t="s">
        <v>59</v>
      </c>
      <c r="B3598" s="2" t="s">
        <v>60</v>
      </c>
      <c r="C3598" s="2" t="s">
        <v>30308</v>
      </c>
      <c r="D3598" s="2" t="s">
        <v>30309</v>
      </c>
      <c r="E3598" s="2" t="s">
        <v>30310</v>
      </c>
      <c r="G3598" s="3" t="s">
        <v>63</v>
      </c>
      <c r="I3598" s="3" t="s">
        <v>63</v>
      </c>
      <c r="J3598" s="3" t="s">
        <v>63</v>
      </c>
      <c r="K3598" s="3" t="s">
        <v>64</v>
      </c>
      <c r="L3598" s="2" t="s">
        <v>30300</v>
      </c>
      <c r="M3598" s="2" t="s">
        <v>27180</v>
      </c>
      <c r="N3598" s="3" t="s">
        <v>849</v>
      </c>
      <c r="P3598" s="3" t="s">
        <v>66</v>
      </c>
      <c r="R3598" s="3" t="s">
        <v>67</v>
      </c>
      <c r="S3598" s="4">
        <v>12</v>
      </c>
      <c r="T3598" s="4">
        <v>12</v>
      </c>
      <c r="U3598" s="5" t="s">
        <v>30311</v>
      </c>
      <c r="V3598" s="5" t="s">
        <v>30311</v>
      </c>
      <c r="W3598" s="5" t="s">
        <v>69</v>
      </c>
      <c r="X3598" s="5" t="s">
        <v>69</v>
      </c>
      <c r="Y3598" s="4">
        <v>243</v>
      </c>
      <c r="Z3598" s="4">
        <v>20</v>
      </c>
      <c r="AA3598" s="4">
        <v>20</v>
      </c>
      <c r="AB3598" s="4">
        <v>2</v>
      </c>
      <c r="AC3598" s="4">
        <v>2</v>
      </c>
      <c r="AD3598" s="4">
        <v>97</v>
      </c>
      <c r="AE3598" s="4">
        <v>97</v>
      </c>
      <c r="AF3598" s="4">
        <v>1</v>
      </c>
      <c r="AG3598" s="4">
        <v>1</v>
      </c>
      <c r="AH3598" s="4">
        <v>89</v>
      </c>
      <c r="AI3598" s="4">
        <v>89</v>
      </c>
      <c r="AJ3598" s="4">
        <v>15</v>
      </c>
      <c r="AK3598" s="4">
        <v>15</v>
      </c>
      <c r="AL3598" s="4">
        <v>50</v>
      </c>
      <c r="AM3598" s="4">
        <v>50</v>
      </c>
      <c r="AN3598" s="4">
        <v>0</v>
      </c>
      <c r="AO3598" s="4">
        <v>0</v>
      </c>
      <c r="AP3598" s="4">
        <v>15</v>
      </c>
      <c r="AQ3598" s="4">
        <v>15</v>
      </c>
      <c r="AR3598" s="3" t="s">
        <v>63</v>
      </c>
      <c r="AS3598" s="3" t="s">
        <v>63</v>
      </c>
      <c r="AT3598" s="3" t="s">
        <v>62</v>
      </c>
      <c r="AU3598" s="6" t="str">
        <f>HYPERLINK("http://catalog.hathitrust.org/Record/000754949","HathiTrust Record")</f>
        <v>HathiTrust Record</v>
      </c>
      <c r="AV3598" s="6" t="str">
        <f>HYPERLINK("http://mcgill.on.worldcat.org/oclc/5195249","Catalog Record")</f>
        <v>Catalog Record</v>
      </c>
      <c r="AW3598" s="6" t="str">
        <f>HYPERLINK("http://www.worldcat.org/oclc/5195249","WorldCat Record")</f>
        <v>WorldCat Record</v>
      </c>
      <c r="AX3598" s="3" t="s">
        <v>30312</v>
      </c>
      <c r="AY3598" s="3" t="s">
        <v>30313</v>
      </c>
      <c r="AZ3598" s="3" t="s">
        <v>30314</v>
      </c>
      <c r="BA3598" s="3" t="s">
        <v>30314</v>
      </c>
      <c r="BB3598" s="3" t="s">
        <v>30315</v>
      </c>
      <c r="BC3598" s="3" t="s">
        <v>82</v>
      </c>
      <c r="BD3598" s="3" t="s">
        <v>70</v>
      </c>
      <c r="BE3598" s="3" t="s">
        <v>30316</v>
      </c>
      <c r="BF3598" s="3" t="s">
        <v>30315</v>
      </c>
      <c r="BG3598" s="3" t="s">
        <v>30317</v>
      </c>
    </row>
    <row r="3599" spans="1:59" ht="60" x14ac:dyDescent="0.25">
      <c r="A3599" s="2" t="s">
        <v>59</v>
      </c>
      <c r="B3599" s="2" t="s">
        <v>60</v>
      </c>
      <c r="C3599" s="2" t="s">
        <v>30318</v>
      </c>
      <c r="D3599" s="2" t="s">
        <v>30319</v>
      </c>
      <c r="E3599" s="2" t="s">
        <v>30320</v>
      </c>
      <c r="G3599" s="3" t="s">
        <v>63</v>
      </c>
      <c r="I3599" s="3" t="s">
        <v>63</v>
      </c>
      <c r="J3599" s="3" t="s">
        <v>63</v>
      </c>
      <c r="K3599" s="3" t="s">
        <v>64</v>
      </c>
      <c r="L3599" s="2" t="s">
        <v>30300</v>
      </c>
      <c r="M3599" s="2" t="s">
        <v>30321</v>
      </c>
      <c r="N3599" s="3" t="s">
        <v>130</v>
      </c>
      <c r="P3599" s="3" t="s">
        <v>66</v>
      </c>
      <c r="R3599" s="3" t="s">
        <v>67</v>
      </c>
      <c r="S3599" s="4">
        <v>1</v>
      </c>
      <c r="T3599" s="4">
        <v>1</v>
      </c>
      <c r="U3599" s="5" t="s">
        <v>30322</v>
      </c>
      <c r="V3599" s="5" t="s">
        <v>30322</v>
      </c>
      <c r="W3599" s="5" t="s">
        <v>69</v>
      </c>
      <c r="X3599" s="5" t="s">
        <v>69</v>
      </c>
      <c r="Y3599" s="4">
        <v>295</v>
      </c>
      <c r="Z3599" s="4">
        <v>11</v>
      </c>
      <c r="AA3599" s="4">
        <v>24</v>
      </c>
      <c r="AB3599" s="4">
        <v>2</v>
      </c>
      <c r="AC3599" s="4">
        <v>5</v>
      </c>
      <c r="AD3599" s="4">
        <v>37</v>
      </c>
      <c r="AE3599" s="4">
        <v>77</v>
      </c>
      <c r="AF3599" s="4">
        <v>0</v>
      </c>
      <c r="AG3599" s="4">
        <v>0</v>
      </c>
      <c r="AH3599" s="4">
        <v>36</v>
      </c>
      <c r="AI3599" s="4">
        <v>73</v>
      </c>
      <c r="AJ3599" s="4">
        <v>3</v>
      </c>
      <c r="AK3599" s="4">
        <v>11</v>
      </c>
      <c r="AL3599" s="4">
        <v>20</v>
      </c>
      <c r="AM3599" s="4">
        <v>46</v>
      </c>
      <c r="AN3599" s="4">
        <v>0</v>
      </c>
      <c r="AO3599" s="4">
        <v>0</v>
      </c>
      <c r="AP3599" s="4">
        <v>3</v>
      </c>
      <c r="AQ3599" s="4">
        <v>11</v>
      </c>
      <c r="AR3599" s="3" t="s">
        <v>63</v>
      </c>
      <c r="AS3599" s="3" t="s">
        <v>63</v>
      </c>
      <c r="AT3599" s="3" t="s">
        <v>63</v>
      </c>
      <c r="AV3599" s="6" t="str">
        <f>HYPERLINK("http://mcgill.on.worldcat.org/oclc/852223474","Catalog Record")</f>
        <v>Catalog Record</v>
      </c>
      <c r="AW3599" s="6" t="str">
        <f>HYPERLINK("http://www.worldcat.org/oclc/852223474","WorldCat Record")</f>
        <v>WorldCat Record</v>
      </c>
      <c r="AX3599" s="3" t="s">
        <v>30323</v>
      </c>
      <c r="AY3599" s="3" t="s">
        <v>30324</v>
      </c>
      <c r="AZ3599" s="3" t="s">
        <v>30325</v>
      </c>
      <c r="BA3599" s="3" t="s">
        <v>30325</v>
      </c>
      <c r="BB3599" s="3" t="s">
        <v>30326</v>
      </c>
      <c r="BC3599" s="3" t="s">
        <v>82</v>
      </c>
      <c r="BD3599" s="3" t="s">
        <v>70</v>
      </c>
      <c r="BE3599" s="3" t="s">
        <v>30327</v>
      </c>
      <c r="BF3599" s="3" t="s">
        <v>30326</v>
      </c>
      <c r="BG3599" s="3" t="s">
        <v>30328</v>
      </c>
    </row>
    <row r="3600" spans="1:59" ht="60" x14ac:dyDescent="0.25">
      <c r="A3600" s="2" t="s">
        <v>59</v>
      </c>
      <c r="B3600" s="2" t="s">
        <v>60</v>
      </c>
      <c r="C3600" s="2" t="s">
        <v>30329</v>
      </c>
      <c r="D3600" s="2" t="s">
        <v>30330</v>
      </c>
      <c r="E3600" s="2" t="s">
        <v>30331</v>
      </c>
      <c r="G3600" s="3" t="s">
        <v>63</v>
      </c>
      <c r="I3600" s="3" t="s">
        <v>63</v>
      </c>
      <c r="J3600" s="3" t="s">
        <v>63</v>
      </c>
      <c r="K3600" s="3" t="s">
        <v>64</v>
      </c>
      <c r="L3600" s="2" t="s">
        <v>30300</v>
      </c>
      <c r="M3600" s="2" t="s">
        <v>30332</v>
      </c>
      <c r="N3600" s="3" t="s">
        <v>247</v>
      </c>
      <c r="P3600" s="3" t="s">
        <v>90</v>
      </c>
      <c r="R3600" s="3" t="s">
        <v>67</v>
      </c>
      <c r="S3600" s="4">
        <v>20</v>
      </c>
      <c r="T3600" s="4">
        <v>20</v>
      </c>
      <c r="U3600" s="5" t="s">
        <v>16663</v>
      </c>
      <c r="V3600" s="5" t="s">
        <v>16663</v>
      </c>
      <c r="W3600" s="5" t="s">
        <v>69</v>
      </c>
      <c r="X3600" s="5" t="s">
        <v>69</v>
      </c>
      <c r="Y3600" s="4">
        <v>134</v>
      </c>
      <c r="Z3600" s="4">
        <v>11</v>
      </c>
      <c r="AA3600" s="4">
        <v>14</v>
      </c>
      <c r="AB3600" s="4">
        <v>1</v>
      </c>
      <c r="AC3600" s="4">
        <v>2</v>
      </c>
      <c r="AD3600" s="4">
        <v>73</v>
      </c>
      <c r="AE3600" s="4">
        <v>76</v>
      </c>
      <c r="AF3600" s="4">
        <v>0</v>
      </c>
      <c r="AG3600" s="4">
        <v>0</v>
      </c>
      <c r="AH3600" s="4">
        <v>68</v>
      </c>
      <c r="AI3600" s="4">
        <v>71</v>
      </c>
      <c r="AJ3600" s="4">
        <v>8</v>
      </c>
      <c r="AK3600" s="4">
        <v>8</v>
      </c>
      <c r="AL3600" s="4">
        <v>46</v>
      </c>
      <c r="AM3600" s="4">
        <v>46</v>
      </c>
      <c r="AN3600" s="4">
        <v>0</v>
      </c>
      <c r="AO3600" s="4">
        <v>0</v>
      </c>
      <c r="AP3600" s="4">
        <v>8</v>
      </c>
      <c r="AQ3600" s="4">
        <v>8</v>
      </c>
      <c r="AR3600" s="3" t="s">
        <v>63</v>
      </c>
      <c r="AS3600" s="3" t="s">
        <v>63</v>
      </c>
      <c r="AT3600" s="3" t="s">
        <v>62</v>
      </c>
      <c r="AU3600" s="6" t="str">
        <f>HYPERLINK("http://catalog.hathitrust.org/Record/000234030","HathiTrust Record")</f>
        <v>HathiTrust Record</v>
      </c>
      <c r="AV3600" s="6" t="str">
        <f>HYPERLINK("http://mcgill.on.worldcat.org/oclc/8728440","Catalog Record")</f>
        <v>Catalog Record</v>
      </c>
      <c r="AW3600" s="6" t="str">
        <f>HYPERLINK("http://www.worldcat.org/oclc/8728440","WorldCat Record")</f>
        <v>WorldCat Record</v>
      </c>
      <c r="AX3600" s="3" t="s">
        <v>30333</v>
      </c>
      <c r="AY3600" s="3" t="s">
        <v>30334</v>
      </c>
      <c r="AZ3600" s="3" t="s">
        <v>30335</v>
      </c>
      <c r="BA3600" s="3" t="s">
        <v>30335</v>
      </c>
      <c r="BB3600" s="3" t="s">
        <v>30336</v>
      </c>
      <c r="BC3600" s="3" t="s">
        <v>82</v>
      </c>
      <c r="BD3600" s="3" t="s">
        <v>70</v>
      </c>
      <c r="BE3600" s="3" t="s">
        <v>30337</v>
      </c>
      <c r="BF3600" s="3" t="s">
        <v>30336</v>
      </c>
      <c r="BG3600" s="3" t="s">
        <v>30338</v>
      </c>
    </row>
    <row r="3601" spans="1:59" ht="60" x14ac:dyDescent="0.25">
      <c r="A3601" s="2" t="s">
        <v>59</v>
      </c>
      <c r="B3601" s="2" t="s">
        <v>60</v>
      </c>
      <c r="C3601" s="2" t="s">
        <v>30339</v>
      </c>
      <c r="D3601" s="2" t="s">
        <v>30340</v>
      </c>
      <c r="E3601" s="2" t="s">
        <v>30341</v>
      </c>
      <c r="G3601" s="3" t="s">
        <v>63</v>
      </c>
      <c r="I3601" s="3" t="s">
        <v>63</v>
      </c>
      <c r="J3601" s="3" t="s">
        <v>62</v>
      </c>
      <c r="K3601" s="3" t="s">
        <v>64</v>
      </c>
      <c r="L3601" s="2" t="s">
        <v>30300</v>
      </c>
      <c r="M3601" s="2" t="s">
        <v>30342</v>
      </c>
      <c r="N3601" s="3" t="s">
        <v>1916</v>
      </c>
      <c r="O3601" s="2" t="s">
        <v>590</v>
      </c>
      <c r="P3601" s="3" t="s">
        <v>66</v>
      </c>
      <c r="R3601" s="3" t="s">
        <v>67</v>
      </c>
      <c r="S3601" s="4">
        <v>10</v>
      </c>
      <c r="T3601" s="4">
        <v>10</v>
      </c>
      <c r="U3601" s="5" t="s">
        <v>30343</v>
      </c>
      <c r="V3601" s="5" t="s">
        <v>30343</v>
      </c>
      <c r="W3601" s="5" t="s">
        <v>69</v>
      </c>
      <c r="X3601" s="5" t="s">
        <v>69</v>
      </c>
      <c r="Y3601" s="4">
        <v>310</v>
      </c>
      <c r="Z3601" s="4">
        <v>16</v>
      </c>
      <c r="AA3601" s="4">
        <v>23</v>
      </c>
      <c r="AB3601" s="4">
        <v>1</v>
      </c>
      <c r="AC3601" s="4">
        <v>3</v>
      </c>
      <c r="AD3601" s="4">
        <v>89</v>
      </c>
      <c r="AE3601" s="4">
        <v>98</v>
      </c>
      <c r="AF3601" s="4">
        <v>0</v>
      </c>
      <c r="AG3601" s="4">
        <v>0</v>
      </c>
      <c r="AH3601" s="4">
        <v>83</v>
      </c>
      <c r="AI3601" s="4">
        <v>92</v>
      </c>
      <c r="AJ3601" s="4">
        <v>11</v>
      </c>
      <c r="AK3601" s="4">
        <v>14</v>
      </c>
      <c r="AL3601" s="4">
        <v>48</v>
      </c>
      <c r="AM3601" s="4">
        <v>49</v>
      </c>
      <c r="AN3601" s="4">
        <v>0</v>
      </c>
      <c r="AO3601" s="4">
        <v>0</v>
      </c>
      <c r="AP3601" s="4">
        <v>13</v>
      </c>
      <c r="AQ3601" s="4">
        <v>16</v>
      </c>
      <c r="AR3601" s="3" t="s">
        <v>63</v>
      </c>
      <c r="AS3601" s="3" t="s">
        <v>63</v>
      </c>
      <c r="AT3601" s="3" t="s">
        <v>62</v>
      </c>
      <c r="AU3601" s="6" t="str">
        <f>HYPERLINK("http://catalog.hathitrust.org/Record/000658083","HathiTrust Record")</f>
        <v>HathiTrust Record</v>
      </c>
      <c r="AV3601" s="6" t="str">
        <f>HYPERLINK("http://mcgill.on.worldcat.org/oclc/12163164","Catalog Record")</f>
        <v>Catalog Record</v>
      </c>
      <c r="AW3601" s="6" t="str">
        <f>HYPERLINK("http://www.worldcat.org/oclc/12163164","WorldCat Record")</f>
        <v>WorldCat Record</v>
      </c>
      <c r="AX3601" s="3" t="s">
        <v>30344</v>
      </c>
      <c r="AY3601" s="3" t="s">
        <v>30345</v>
      </c>
      <c r="AZ3601" s="3" t="s">
        <v>30346</v>
      </c>
      <c r="BA3601" s="3" t="s">
        <v>30346</v>
      </c>
      <c r="BB3601" s="3" t="s">
        <v>30347</v>
      </c>
      <c r="BC3601" s="3" t="s">
        <v>82</v>
      </c>
      <c r="BD3601" s="3" t="s">
        <v>70</v>
      </c>
      <c r="BE3601" s="3" t="s">
        <v>30348</v>
      </c>
      <c r="BF3601" s="3" t="s">
        <v>30347</v>
      </c>
      <c r="BG3601" s="3" t="s">
        <v>30349</v>
      </c>
    </row>
    <row r="3602" spans="1:59" ht="60" x14ac:dyDescent="0.25">
      <c r="A3602" s="2" t="s">
        <v>59</v>
      </c>
      <c r="B3602" s="2" t="s">
        <v>60</v>
      </c>
      <c r="C3602" s="2" t="s">
        <v>30350</v>
      </c>
      <c r="D3602" s="2" t="s">
        <v>30351</v>
      </c>
      <c r="E3602" s="2" t="s">
        <v>30352</v>
      </c>
      <c r="G3602" s="3" t="s">
        <v>63</v>
      </c>
      <c r="I3602" s="3" t="s">
        <v>63</v>
      </c>
      <c r="J3602" s="3" t="s">
        <v>62</v>
      </c>
      <c r="K3602" s="3" t="s">
        <v>64</v>
      </c>
      <c r="L3602" s="2" t="s">
        <v>30300</v>
      </c>
      <c r="M3602" s="2" t="s">
        <v>11599</v>
      </c>
      <c r="N3602" s="3" t="s">
        <v>629</v>
      </c>
      <c r="P3602" s="3" t="s">
        <v>66</v>
      </c>
      <c r="R3602" s="3" t="s">
        <v>67</v>
      </c>
      <c r="S3602" s="4">
        <v>3</v>
      </c>
      <c r="T3602" s="4">
        <v>3</v>
      </c>
      <c r="U3602" s="5" t="s">
        <v>25455</v>
      </c>
      <c r="V3602" s="5" t="s">
        <v>25455</v>
      </c>
      <c r="W3602" s="5" t="s">
        <v>69</v>
      </c>
      <c r="X3602" s="5" t="s">
        <v>69</v>
      </c>
      <c r="Y3602" s="4">
        <v>54</v>
      </c>
      <c r="Z3602" s="4">
        <v>5</v>
      </c>
      <c r="AA3602" s="4">
        <v>23</v>
      </c>
      <c r="AB3602" s="4">
        <v>1</v>
      </c>
      <c r="AC3602" s="4">
        <v>3</v>
      </c>
      <c r="AD3602" s="4">
        <v>19</v>
      </c>
      <c r="AE3602" s="4">
        <v>98</v>
      </c>
      <c r="AF3602" s="4">
        <v>0</v>
      </c>
      <c r="AG3602" s="4">
        <v>0</v>
      </c>
      <c r="AH3602" s="4">
        <v>17</v>
      </c>
      <c r="AI3602" s="4">
        <v>92</v>
      </c>
      <c r="AJ3602" s="4">
        <v>4</v>
      </c>
      <c r="AK3602" s="4">
        <v>14</v>
      </c>
      <c r="AL3602" s="4">
        <v>12</v>
      </c>
      <c r="AM3602" s="4">
        <v>49</v>
      </c>
      <c r="AN3602" s="4">
        <v>0</v>
      </c>
      <c r="AO3602" s="4">
        <v>0</v>
      </c>
      <c r="AP3602" s="4">
        <v>4</v>
      </c>
      <c r="AQ3602" s="4">
        <v>16</v>
      </c>
      <c r="AR3602" s="3" t="s">
        <v>63</v>
      </c>
      <c r="AS3602" s="3" t="s">
        <v>63</v>
      </c>
      <c r="AT3602" s="3" t="s">
        <v>63</v>
      </c>
      <c r="AV3602" s="6" t="str">
        <f>HYPERLINK("http://mcgill.on.worldcat.org/oclc/751806588","Catalog Record")</f>
        <v>Catalog Record</v>
      </c>
      <c r="AW3602" s="6" t="str">
        <f>HYPERLINK("http://www.worldcat.org/oclc/751806588","WorldCat Record")</f>
        <v>WorldCat Record</v>
      </c>
      <c r="AX3602" s="3" t="s">
        <v>30344</v>
      </c>
      <c r="AY3602" s="3" t="s">
        <v>30353</v>
      </c>
      <c r="AZ3602" s="3" t="s">
        <v>30354</v>
      </c>
      <c r="BA3602" s="3" t="s">
        <v>30354</v>
      </c>
      <c r="BB3602" s="3" t="s">
        <v>30355</v>
      </c>
      <c r="BC3602" s="3" t="s">
        <v>82</v>
      </c>
      <c r="BD3602" s="3" t="s">
        <v>70</v>
      </c>
      <c r="BE3602" s="3" t="s">
        <v>30356</v>
      </c>
      <c r="BF3602" s="3" t="s">
        <v>30355</v>
      </c>
      <c r="BG3602" s="3" t="s">
        <v>30357</v>
      </c>
    </row>
    <row r="3603" spans="1:59" ht="60" x14ac:dyDescent="0.25">
      <c r="A3603" s="2" t="s">
        <v>59</v>
      </c>
      <c r="B3603" s="2" t="s">
        <v>60</v>
      </c>
      <c r="C3603" s="2" t="s">
        <v>30358</v>
      </c>
      <c r="D3603" s="2" t="s">
        <v>30359</v>
      </c>
      <c r="E3603" s="2" t="s">
        <v>30360</v>
      </c>
      <c r="G3603" s="3" t="s">
        <v>63</v>
      </c>
      <c r="I3603" s="3" t="s">
        <v>63</v>
      </c>
      <c r="J3603" s="3" t="s">
        <v>63</v>
      </c>
      <c r="K3603" s="3" t="s">
        <v>64</v>
      </c>
      <c r="L3603" s="2" t="s">
        <v>30300</v>
      </c>
      <c r="M3603" s="2" t="s">
        <v>30361</v>
      </c>
      <c r="N3603" s="3" t="s">
        <v>1226</v>
      </c>
      <c r="P3603" s="3" t="s">
        <v>90</v>
      </c>
      <c r="R3603" s="3" t="s">
        <v>67</v>
      </c>
      <c r="S3603" s="4">
        <v>2</v>
      </c>
      <c r="T3603" s="4">
        <v>2</v>
      </c>
      <c r="U3603" s="5" t="s">
        <v>30362</v>
      </c>
      <c r="V3603" s="5" t="s">
        <v>30362</v>
      </c>
      <c r="W3603" s="5" t="s">
        <v>69</v>
      </c>
      <c r="X3603" s="5" t="s">
        <v>69</v>
      </c>
      <c r="Y3603" s="4">
        <v>21</v>
      </c>
      <c r="Z3603" s="4">
        <v>2</v>
      </c>
      <c r="AA3603" s="4">
        <v>2</v>
      </c>
      <c r="AB3603" s="4">
        <v>1</v>
      </c>
      <c r="AC3603" s="4">
        <v>1</v>
      </c>
      <c r="AD3603" s="4">
        <v>13</v>
      </c>
      <c r="AE3603" s="4">
        <v>13</v>
      </c>
      <c r="AF3603" s="4">
        <v>0</v>
      </c>
      <c r="AG3603" s="4">
        <v>0</v>
      </c>
      <c r="AH3603" s="4">
        <v>13</v>
      </c>
      <c r="AI3603" s="4">
        <v>13</v>
      </c>
      <c r="AJ3603" s="4">
        <v>1</v>
      </c>
      <c r="AK3603" s="4">
        <v>1</v>
      </c>
      <c r="AL3603" s="4">
        <v>11</v>
      </c>
      <c r="AM3603" s="4">
        <v>11</v>
      </c>
      <c r="AN3603" s="4">
        <v>0</v>
      </c>
      <c r="AO3603" s="4">
        <v>0</v>
      </c>
      <c r="AP3603" s="4">
        <v>1</v>
      </c>
      <c r="AQ3603" s="4">
        <v>1</v>
      </c>
      <c r="AR3603" s="3" t="s">
        <v>63</v>
      </c>
      <c r="AS3603" s="3" t="s">
        <v>63</v>
      </c>
      <c r="AT3603" s="3" t="s">
        <v>63</v>
      </c>
      <c r="AV3603" s="6" t="str">
        <f>HYPERLINK("http://mcgill.on.worldcat.org/oclc/53238682","Catalog Record")</f>
        <v>Catalog Record</v>
      </c>
      <c r="AW3603" s="6" t="str">
        <f>HYPERLINK("http://www.worldcat.org/oclc/53238682","WorldCat Record")</f>
        <v>WorldCat Record</v>
      </c>
      <c r="AX3603" s="3" t="s">
        <v>30363</v>
      </c>
      <c r="AY3603" s="3" t="s">
        <v>30364</v>
      </c>
      <c r="AZ3603" s="3" t="s">
        <v>30365</v>
      </c>
      <c r="BA3603" s="3" t="s">
        <v>30365</v>
      </c>
      <c r="BB3603" s="3" t="s">
        <v>30366</v>
      </c>
      <c r="BC3603" s="3" t="s">
        <v>82</v>
      </c>
      <c r="BD3603" s="3" t="s">
        <v>70</v>
      </c>
      <c r="BE3603" s="3" t="s">
        <v>30367</v>
      </c>
      <c r="BF3603" s="3" t="s">
        <v>30366</v>
      </c>
      <c r="BG3603" s="3" t="s">
        <v>30368</v>
      </c>
    </row>
    <row r="3604" spans="1:59" ht="60" x14ac:dyDescent="0.25">
      <c r="A3604" s="2" t="s">
        <v>59</v>
      </c>
      <c r="B3604" s="2" t="s">
        <v>60</v>
      </c>
      <c r="C3604" s="2" t="s">
        <v>30369</v>
      </c>
      <c r="D3604" s="2" t="s">
        <v>30370</v>
      </c>
      <c r="E3604" s="2" t="s">
        <v>30371</v>
      </c>
      <c r="G3604" s="3" t="s">
        <v>63</v>
      </c>
      <c r="I3604" s="3" t="s">
        <v>63</v>
      </c>
      <c r="J3604" s="3" t="s">
        <v>63</v>
      </c>
      <c r="K3604" s="3" t="s">
        <v>64</v>
      </c>
      <c r="L3604" s="2" t="s">
        <v>30372</v>
      </c>
      <c r="M3604" s="2" t="s">
        <v>30373</v>
      </c>
      <c r="N3604" s="3" t="s">
        <v>362</v>
      </c>
      <c r="P3604" s="3" t="s">
        <v>90</v>
      </c>
      <c r="R3604" s="3" t="s">
        <v>67</v>
      </c>
      <c r="S3604" s="4">
        <v>4</v>
      </c>
      <c r="T3604" s="4">
        <v>4</v>
      </c>
      <c r="U3604" s="5" t="s">
        <v>13807</v>
      </c>
      <c r="V3604" s="5" t="s">
        <v>13807</v>
      </c>
      <c r="W3604" s="5" t="s">
        <v>69</v>
      </c>
      <c r="X3604" s="5" t="s">
        <v>69</v>
      </c>
      <c r="Y3604" s="4">
        <v>78</v>
      </c>
      <c r="Z3604" s="4">
        <v>5</v>
      </c>
      <c r="AA3604" s="4">
        <v>5</v>
      </c>
      <c r="AB3604" s="4">
        <v>2</v>
      </c>
      <c r="AC3604" s="4">
        <v>2</v>
      </c>
      <c r="AD3604" s="4">
        <v>42</v>
      </c>
      <c r="AE3604" s="4">
        <v>42</v>
      </c>
      <c r="AF3604" s="4">
        <v>0</v>
      </c>
      <c r="AG3604" s="4">
        <v>0</v>
      </c>
      <c r="AH3604" s="4">
        <v>41</v>
      </c>
      <c r="AI3604" s="4">
        <v>41</v>
      </c>
      <c r="AJ3604" s="4">
        <v>2</v>
      </c>
      <c r="AK3604" s="4">
        <v>2</v>
      </c>
      <c r="AL3604" s="4">
        <v>33</v>
      </c>
      <c r="AM3604" s="4">
        <v>33</v>
      </c>
      <c r="AN3604" s="4">
        <v>0</v>
      </c>
      <c r="AO3604" s="4">
        <v>0</v>
      </c>
      <c r="AP3604" s="4">
        <v>2</v>
      </c>
      <c r="AQ3604" s="4">
        <v>2</v>
      </c>
      <c r="AR3604" s="3" t="s">
        <v>63</v>
      </c>
      <c r="AS3604" s="3" t="s">
        <v>63</v>
      </c>
      <c r="AT3604" s="3" t="s">
        <v>63</v>
      </c>
      <c r="AV3604" s="6" t="str">
        <f>HYPERLINK("http://mcgill.on.worldcat.org/oclc/47986193","Catalog Record")</f>
        <v>Catalog Record</v>
      </c>
      <c r="AW3604" s="6" t="str">
        <f>HYPERLINK("http://www.worldcat.org/oclc/47986193","WorldCat Record")</f>
        <v>WorldCat Record</v>
      </c>
      <c r="AX3604" s="3" t="s">
        <v>30374</v>
      </c>
      <c r="AY3604" s="3" t="s">
        <v>30375</v>
      </c>
      <c r="AZ3604" s="3" t="s">
        <v>30376</v>
      </c>
      <c r="BA3604" s="3" t="s">
        <v>30376</v>
      </c>
      <c r="BB3604" s="3" t="s">
        <v>30377</v>
      </c>
      <c r="BC3604" s="3" t="s">
        <v>82</v>
      </c>
      <c r="BD3604" s="3" t="s">
        <v>70</v>
      </c>
      <c r="BE3604" s="3" t="s">
        <v>30378</v>
      </c>
      <c r="BF3604" s="3" t="s">
        <v>30377</v>
      </c>
      <c r="BG3604" s="3" t="s">
        <v>30379</v>
      </c>
    </row>
    <row r="3605" spans="1:59" ht="60" x14ac:dyDescent="0.25">
      <c r="A3605" s="2" t="s">
        <v>59</v>
      </c>
      <c r="B3605" s="2" t="s">
        <v>60</v>
      </c>
      <c r="C3605" s="2" t="s">
        <v>30380</v>
      </c>
      <c r="D3605" s="2" t="s">
        <v>30381</v>
      </c>
      <c r="E3605" s="2" t="s">
        <v>30382</v>
      </c>
      <c r="G3605" s="3" t="s">
        <v>63</v>
      </c>
      <c r="I3605" s="3" t="s">
        <v>63</v>
      </c>
      <c r="J3605" s="3" t="s">
        <v>63</v>
      </c>
      <c r="K3605" s="3" t="s">
        <v>64</v>
      </c>
      <c r="L3605" s="2" t="s">
        <v>30383</v>
      </c>
      <c r="M3605" s="2" t="s">
        <v>29619</v>
      </c>
      <c r="N3605" s="3" t="s">
        <v>130</v>
      </c>
      <c r="P3605" s="3" t="s">
        <v>90</v>
      </c>
      <c r="R3605" s="3" t="s">
        <v>67</v>
      </c>
      <c r="S3605" s="4">
        <v>1</v>
      </c>
      <c r="T3605" s="4">
        <v>1</v>
      </c>
      <c r="U3605" s="5" t="s">
        <v>29098</v>
      </c>
      <c r="V3605" s="5" t="s">
        <v>29098</v>
      </c>
      <c r="W3605" s="5" t="s">
        <v>69</v>
      </c>
      <c r="X3605" s="5" t="s">
        <v>69</v>
      </c>
      <c r="Y3605" s="4">
        <v>51</v>
      </c>
      <c r="Z3605" s="4">
        <v>6</v>
      </c>
      <c r="AA3605" s="4">
        <v>6</v>
      </c>
      <c r="AB3605" s="4">
        <v>1</v>
      </c>
      <c r="AC3605" s="4">
        <v>1</v>
      </c>
      <c r="AD3605" s="4">
        <v>38</v>
      </c>
      <c r="AE3605" s="4">
        <v>38</v>
      </c>
      <c r="AF3605" s="4">
        <v>0</v>
      </c>
      <c r="AG3605" s="4">
        <v>0</v>
      </c>
      <c r="AH3605" s="4">
        <v>36</v>
      </c>
      <c r="AI3605" s="4">
        <v>36</v>
      </c>
      <c r="AJ3605" s="4">
        <v>4</v>
      </c>
      <c r="AK3605" s="4">
        <v>4</v>
      </c>
      <c r="AL3605" s="4">
        <v>25</v>
      </c>
      <c r="AM3605" s="4">
        <v>25</v>
      </c>
      <c r="AN3605" s="4">
        <v>0</v>
      </c>
      <c r="AO3605" s="4">
        <v>0</v>
      </c>
      <c r="AP3605" s="4">
        <v>4</v>
      </c>
      <c r="AQ3605" s="4">
        <v>4</v>
      </c>
      <c r="AR3605" s="3" t="s">
        <v>63</v>
      </c>
      <c r="AS3605" s="3" t="s">
        <v>63</v>
      </c>
      <c r="AT3605" s="3" t="s">
        <v>63</v>
      </c>
      <c r="AV3605" s="6" t="str">
        <f>HYPERLINK("http://mcgill.on.worldcat.org/oclc/861181906","Catalog Record")</f>
        <v>Catalog Record</v>
      </c>
      <c r="AW3605" s="6" t="str">
        <f>HYPERLINK("http://www.worldcat.org/oclc/861181906","WorldCat Record")</f>
        <v>WorldCat Record</v>
      </c>
      <c r="AX3605" s="3" t="s">
        <v>30384</v>
      </c>
      <c r="AY3605" s="3" t="s">
        <v>30385</v>
      </c>
      <c r="AZ3605" s="3" t="s">
        <v>30386</v>
      </c>
      <c r="BA3605" s="3" t="s">
        <v>30386</v>
      </c>
      <c r="BB3605" s="3" t="s">
        <v>30387</v>
      </c>
      <c r="BC3605" s="3" t="s">
        <v>82</v>
      </c>
      <c r="BD3605" s="3" t="s">
        <v>70</v>
      </c>
      <c r="BE3605" s="3" t="s">
        <v>30388</v>
      </c>
      <c r="BF3605" s="3" t="s">
        <v>30387</v>
      </c>
      <c r="BG3605" s="3" t="s">
        <v>30389</v>
      </c>
    </row>
    <row r="3606" spans="1:59" ht="60" x14ac:dyDescent="0.25">
      <c r="A3606" s="2" t="s">
        <v>59</v>
      </c>
      <c r="B3606" s="2" t="s">
        <v>60</v>
      </c>
      <c r="C3606" s="2" t="s">
        <v>30390</v>
      </c>
      <c r="D3606" s="2" t="s">
        <v>30391</v>
      </c>
      <c r="E3606" s="2" t="s">
        <v>30392</v>
      </c>
      <c r="G3606" s="3" t="s">
        <v>63</v>
      </c>
      <c r="I3606" s="3" t="s">
        <v>63</v>
      </c>
      <c r="J3606" s="3" t="s">
        <v>63</v>
      </c>
      <c r="K3606" s="3" t="s">
        <v>64</v>
      </c>
      <c r="L3606" s="2" t="s">
        <v>30393</v>
      </c>
      <c r="M3606" s="2" t="s">
        <v>30394</v>
      </c>
      <c r="N3606" s="3" t="s">
        <v>161</v>
      </c>
      <c r="P3606" s="3" t="s">
        <v>90</v>
      </c>
      <c r="R3606" s="3" t="s">
        <v>67</v>
      </c>
      <c r="S3606" s="4">
        <v>6</v>
      </c>
      <c r="T3606" s="4">
        <v>6</v>
      </c>
      <c r="U3606" s="5" t="s">
        <v>13807</v>
      </c>
      <c r="V3606" s="5" t="s">
        <v>13807</v>
      </c>
      <c r="W3606" s="5" t="s">
        <v>69</v>
      </c>
      <c r="X3606" s="5" t="s">
        <v>69</v>
      </c>
      <c r="Y3606" s="4">
        <v>28</v>
      </c>
      <c r="Z3606" s="4">
        <v>4</v>
      </c>
      <c r="AA3606" s="4">
        <v>4</v>
      </c>
      <c r="AB3606" s="4">
        <v>1</v>
      </c>
      <c r="AC3606" s="4">
        <v>1</v>
      </c>
      <c r="AD3606" s="4">
        <v>19</v>
      </c>
      <c r="AE3606" s="4">
        <v>19</v>
      </c>
      <c r="AF3606" s="4">
        <v>0</v>
      </c>
      <c r="AG3606" s="4">
        <v>0</v>
      </c>
      <c r="AH3606" s="4">
        <v>19</v>
      </c>
      <c r="AI3606" s="4">
        <v>19</v>
      </c>
      <c r="AJ3606" s="4">
        <v>2</v>
      </c>
      <c r="AK3606" s="4">
        <v>2</v>
      </c>
      <c r="AL3606" s="4">
        <v>13</v>
      </c>
      <c r="AM3606" s="4">
        <v>13</v>
      </c>
      <c r="AN3606" s="4">
        <v>0</v>
      </c>
      <c r="AO3606" s="4">
        <v>0</v>
      </c>
      <c r="AP3606" s="4">
        <v>2</v>
      </c>
      <c r="AQ3606" s="4">
        <v>2</v>
      </c>
      <c r="AR3606" s="3" t="s">
        <v>63</v>
      </c>
      <c r="AS3606" s="3" t="s">
        <v>63</v>
      </c>
      <c r="AT3606" s="3" t="s">
        <v>62</v>
      </c>
      <c r="AU3606" s="6" t="str">
        <f>HYPERLINK("http://catalog.hathitrust.org/Record/002168606","HathiTrust Record")</f>
        <v>HathiTrust Record</v>
      </c>
      <c r="AV3606" s="6" t="str">
        <f>HYPERLINK("http://mcgill.on.worldcat.org/oclc/20542593","Catalog Record")</f>
        <v>Catalog Record</v>
      </c>
      <c r="AW3606" s="6" t="str">
        <f>HYPERLINK("http://www.worldcat.org/oclc/20542593","WorldCat Record")</f>
        <v>WorldCat Record</v>
      </c>
      <c r="AX3606" s="3" t="s">
        <v>30395</v>
      </c>
      <c r="AY3606" s="3" t="s">
        <v>30396</v>
      </c>
      <c r="AZ3606" s="3" t="s">
        <v>30397</v>
      </c>
      <c r="BA3606" s="3" t="s">
        <v>30397</v>
      </c>
      <c r="BB3606" s="3" t="s">
        <v>30398</v>
      </c>
      <c r="BC3606" s="3" t="s">
        <v>82</v>
      </c>
      <c r="BD3606" s="3" t="s">
        <v>70</v>
      </c>
      <c r="BE3606" s="3" t="s">
        <v>30399</v>
      </c>
      <c r="BF3606" s="3" t="s">
        <v>30398</v>
      </c>
      <c r="BG3606" s="3" t="s">
        <v>30400</v>
      </c>
    </row>
    <row r="3607" spans="1:59" ht="60" x14ac:dyDescent="0.25">
      <c r="A3607" s="2" t="s">
        <v>59</v>
      </c>
      <c r="B3607" s="2" t="s">
        <v>60</v>
      </c>
      <c r="C3607" s="2" t="s">
        <v>30401</v>
      </c>
      <c r="D3607" s="2" t="s">
        <v>30402</v>
      </c>
      <c r="E3607" s="2" t="s">
        <v>30403</v>
      </c>
      <c r="G3607" s="3" t="s">
        <v>63</v>
      </c>
      <c r="I3607" s="3" t="s">
        <v>63</v>
      </c>
      <c r="J3607" s="3" t="s">
        <v>63</v>
      </c>
      <c r="K3607" s="3" t="s">
        <v>64</v>
      </c>
      <c r="L3607" s="2" t="s">
        <v>30404</v>
      </c>
      <c r="M3607" s="2" t="s">
        <v>30405</v>
      </c>
      <c r="N3607" s="3" t="s">
        <v>106</v>
      </c>
      <c r="P3607" s="3" t="s">
        <v>90</v>
      </c>
      <c r="R3607" s="3" t="s">
        <v>67</v>
      </c>
      <c r="S3607" s="4">
        <v>1</v>
      </c>
      <c r="T3607" s="4">
        <v>1</v>
      </c>
      <c r="U3607" s="5" t="s">
        <v>21373</v>
      </c>
      <c r="V3607" s="5" t="s">
        <v>21373</v>
      </c>
      <c r="W3607" s="5" t="s">
        <v>69</v>
      </c>
      <c r="X3607" s="5" t="s">
        <v>69</v>
      </c>
      <c r="Y3607" s="4">
        <v>25</v>
      </c>
      <c r="Z3607" s="4">
        <v>2</v>
      </c>
      <c r="AA3607" s="4">
        <v>2</v>
      </c>
      <c r="AB3607" s="4">
        <v>1</v>
      </c>
      <c r="AC3607" s="4">
        <v>1</v>
      </c>
      <c r="AD3607" s="4">
        <v>21</v>
      </c>
      <c r="AE3607" s="4">
        <v>21</v>
      </c>
      <c r="AF3607" s="4">
        <v>0</v>
      </c>
      <c r="AG3607" s="4">
        <v>0</v>
      </c>
      <c r="AH3607" s="4">
        <v>21</v>
      </c>
      <c r="AI3607" s="4">
        <v>21</v>
      </c>
      <c r="AJ3607" s="4">
        <v>1</v>
      </c>
      <c r="AK3607" s="4">
        <v>1</v>
      </c>
      <c r="AL3607" s="4">
        <v>16</v>
      </c>
      <c r="AM3607" s="4">
        <v>16</v>
      </c>
      <c r="AN3607" s="4">
        <v>0</v>
      </c>
      <c r="AO3607" s="4">
        <v>0</v>
      </c>
      <c r="AP3607" s="4">
        <v>1</v>
      </c>
      <c r="AQ3607" s="4">
        <v>1</v>
      </c>
      <c r="AR3607" s="3" t="s">
        <v>63</v>
      </c>
      <c r="AS3607" s="3" t="s">
        <v>63</v>
      </c>
      <c r="AT3607" s="3" t="s">
        <v>63</v>
      </c>
      <c r="AV3607" s="6" t="str">
        <f>HYPERLINK("http://mcgill.on.worldcat.org/oclc/950001663","Catalog Record")</f>
        <v>Catalog Record</v>
      </c>
      <c r="AW3607" s="6" t="str">
        <f>HYPERLINK("http://www.worldcat.org/oclc/950001663","WorldCat Record")</f>
        <v>WorldCat Record</v>
      </c>
      <c r="AX3607" s="3" t="s">
        <v>30406</v>
      </c>
      <c r="AY3607" s="3" t="s">
        <v>30407</v>
      </c>
      <c r="AZ3607" s="3" t="s">
        <v>30408</v>
      </c>
      <c r="BA3607" s="3" t="s">
        <v>30408</v>
      </c>
      <c r="BB3607" s="3" t="s">
        <v>30409</v>
      </c>
      <c r="BC3607" s="3" t="s">
        <v>82</v>
      </c>
      <c r="BD3607" s="3" t="s">
        <v>70</v>
      </c>
      <c r="BE3607" s="3" t="s">
        <v>30410</v>
      </c>
      <c r="BF3607" s="3" t="s">
        <v>30409</v>
      </c>
      <c r="BG3607" s="3" t="s">
        <v>30411</v>
      </c>
    </row>
    <row r="3608" spans="1:59" ht="60" x14ac:dyDescent="0.25">
      <c r="A3608" s="2" t="s">
        <v>59</v>
      </c>
      <c r="B3608" s="2" t="s">
        <v>60</v>
      </c>
      <c r="C3608" s="2" t="s">
        <v>30412</v>
      </c>
      <c r="D3608" s="2" t="s">
        <v>30413</v>
      </c>
      <c r="E3608" s="2" t="s">
        <v>30414</v>
      </c>
      <c r="G3608" s="3" t="s">
        <v>63</v>
      </c>
      <c r="I3608" s="3" t="s">
        <v>63</v>
      </c>
      <c r="J3608" s="3" t="s">
        <v>63</v>
      </c>
      <c r="K3608" s="3" t="s">
        <v>64</v>
      </c>
      <c r="L3608" s="2" t="s">
        <v>30415</v>
      </c>
      <c r="M3608" s="2" t="s">
        <v>30416</v>
      </c>
      <c r="N3608" s="3" t="s">
        <v>2765</v>
      </c>
      <c r="P3608" s="3" t="s">
        <v>66</v>
      </c>
      <c r="R3608" s="3" t="s">
        <v>67</v>
      </c>
      <c r="S3608" s="4">
        <v>3</v>
      </c>
      <c r="T3608" s="4">
        <v>3</v>
      </c>
      <c r="U3608" s="5" t="s">
        <v>4911</v>
      </c>
      <c r="V3608" s="5" t="s">
        <v>4911</v>
      </c>
      <c r="W3608" s="5" t="s">
        <v>69</v>
      </c>
      <c r="X3608" s="5" t="s">
        <v>69</v>
      </c>
      <c r="Y3608" s="4">
        <v>235</v>
      </c>
      <c r="Z3608" s="4">
        <v>20</v>
      </c>
      <c r="AA3608" s="4">
        <v>24</v>
      </c>
      <c r="AB3608" s="4">
        <v>3</v>
      </c>
      <c r="AC3608" s="4">
        <v>6</v>
      </c>
      <c r="AD3608" s="4">
        <v>60</v>
      </c>
      <c r="AE3608" s="4">
        <v>61</v>
      </c>
      <c r="AF3608" s="4">
        <v>0</v>
      </c>
      <c r="AG3608" s="4">
        <v>0</v>
      </c>
      <c r="AH3608" s="4">
        <v>56</v>
      </c>
      <c r="AI3608" s="4">
        <v>57</v>
      </c>
      <c r="AJ3608" s="4">
        <v>9</v>
      </c>
      <c r="AK3608" s="4">
        <v>9</v>
      </c>
      <c r="AL3608" s="4">
        <v>34</v>
      </c>
      <c r="AM3608" s="4">
        <v>34</v>
      </c>
      <c r="AN3608" s="4">
        <v>0</v>
      </c>
      <c r="AO3608" s="4">
        <v>0</v>
      </c>
      <c r="AP3608" s="4">
        <v>9</v>
      </c>
      <c r="AQ3608" s="4">
        <v>9</v>
      </c>
      <c r="AR3608" s="3" t="s">
        <v>63</v>
      </c>
      <c r="AS3608" s="3" t="s">
        <v>63</v>
      </c>
      <c r="AT3608" s="3" t="s">
        <v>63</v>
      </c>
      <c r="AV3608" s="6" t="str">
        <f>HYPERLINK("http://mcgill.on.worldcat.org/oclc/870426374","Catalog Record")</f>
        <v>Catalog Record</v>
      </c>
      <c r="AW3608" s="6" t="str">
        <f>HYPERLINK("http://www.worldcat.org/oclc/870426374","WorldCat Record")</f>
        <v>WorldCat Record</v>
      </c>
      <c r="AX3608" s="3" t="s">
        <v>30417</v>
      </c>
      <c r="AY3608" s="3" t="s">
        <v>30418</v>
      </c>
      <c r="AZ3608" s="3" t="s">
        <v>30419</v>
      </c>
      <c r="BA3608" s="3" t="s">
        <v>30419</v>
      </c>
      <c r="BB3608" s="3" t="s">
        <v>30420</v>
      </c>
      <c r="BC3608" s="3" t="s">
        <v>82</v>
      </c>
      <c r="BD3608" s="3" t="s">
        <v>70</v>
      </c>
      <c r="BE3608" s="3" t="s">
        <v>30421</v>
      </c>
      <c r="BF3608" s="3" t="s">
        <v>30420</v>
      </c>
      <c r="BG3608" s="3" t="s">
        <v>30422</v>
      </c>
    </row>
    <row r="3609" spans="1:59" ht="75" x14ac:dyDescent="0.25">
      <c r="A3609" s="2" t="s">
        <v>59</v>
      </c>
      <c r="B3609" s="2" t="s">
        <v>60</v>
      </c>
      <c r="C3609" s="2" t="s">
        <v>30423</v>
      </c>
      <c r="D3609" s="2" t="s">
        <v>30424</v>
      </c>
      <c r="E3609" s="2" t="s">
        <v>30425</v>
      </c>
      <c r="G3609" s="3" t="s">
        <v>63</v>
      </c>
      <c r="I3609" s="3" t="s">
        <v>63</v>
      </c>
      <c r="J3609" s="3" t="s">
        <v>63</v>
      </c>
      <c r="K3609" s="3" t="s">
        <v>64</v>
      </c>
      <c r="L3609" s="2" t="s">
        <v>30426</v>
      </c>
      <c r="M3609" s="2" t="s">
        <v>18633</v>
      </c>
      <c r="N3609" s="3" t="s">
        <v>313</v>
      </c>
      <c r="P3609" s="3" t="s">
        <v>90</v>
      </c>
      <c r="Q3609" s="2" t="s">
        <v>30427</v>
      </c>
      <c r="R3609" s="3" t="s">
        <v>67</v>
      </c>
      <c r="S3609" s="4">
        <v>1</v>
      </c>
      <c r="T3609" s="4">
        <v>1</v>
      </c>
      <c r="U3609" s="5" t="s">
        <v>30428</v>
      </c>
      <c r="V3609" s="5" t="s">
        <v>30428</v>
      </c>
      <c r="W3609" s="5" t="s">
        <v>69</v>
      </c>
      <c r="X3609" s="5" t="s">
        <v>69</v>
      </c>
      <c r="Y3609" s="4">
        <v>66</v>
      </c>
      <c r="Z3609" s="4">
        <v>9</v>
      </c>
      <c r="AA3609" s="4">
        <v>9</v>
      </c>
      <c r="AB3609" s="4">
        <v>2</v>
      </c>
      <c r="AC3609" s="4">
        <v>2</v>
      </c>
      <c r="AD3609" s="4">
        <v>26</v>
      </c>
      <c r="AE3609" s="4">
        <v>26</v>
      </c>
      <c r="AF3609" s="4">
        <v>0</v>
      </c>
      <c r="AG3609" s="4">
        <v>0</v>
      </c>
      <c r="AH3609" s="4">
        <v>25</v>
      </c>
      <c r="AI3609" s="4">
        <v>25</v>
      </c>
      <c r="AJ3609" s="4">
        <v>4</v>
      </c>
      <c r="AK3609" s="4">
        <v>4</v>
      </c>
      <c r="AL3609" s="4">
        <v>17</v>
      </c>
      <c r="AM3609" s="4">
        <v>17</v>
      </c>
      <c r="AN3609" s="4">
        <v>0</v>
      </c>
      <c r="AO3609" s="4">
        <v>0</v>
      </c>
      <c r="AP3609" s="4">
        <v>4</v>
      </c>
      <c r="AQ3609" s="4">
        <v>4</v>
      </c>
      <c r="AR3609" s="3" t="s">
        <v>63</v>
      </c>
      <c r="AS3609" s="3" t="s">
        <v>63</v>
      </c>
      <c r="AT3609" s="3" t="s">
        <v>63</v>
      </c>
      <c r="AV3609" s="6" t="str">
        <f>HYPERLINK("http://mcgill.on.worldcat.org/oclc/613658636","Catalog Record")</f>
        <v>Catalog Record</v>
      </c>
      <c r="AW3609" s="6" t="str">
        <f>HYPERLINK("http://www.worldcat.org/oclc/613658636","WorldCat Record")</f>
        <v>WorldCat Record</v>
      </c>
      <c r="AX3609" s="3" t="s">
        <v>30429</v>
      </c>
      <c r="AY3609" s="3" t="s">
        <v>30430</v>
      </c>
      <c r="AZ3609" s="3" t="s">
        <v>30431</v>
      </c>
      <c r="BA3609" s="3" t="s">
        <v>30431</v>
      </c>
      <c r="BB3609" s="3" t="s">
        <v>30432</v>
      </c>
      <c r="BC3609" s="3" t="s">
        <v>82</v>
      </c>
      <c r="BD3609" s="3" t="s">
        <v>70</v>
      </c>
      <c r="BE3609" s="3" t="s">
        <v>30433</v>
      </c>
      <c r="BF3609" s="3" t="s">
        <v>30432</v>
      </c>
      <c r="BG3609" s="3" t="s">
        <v>30434</v>
      </c>
    </row>
    <row r="3610" spans="1:59" ht="60" x14ac:dyDescent="0.25">
      <c r="A3610" s="2" t="s">
        <v>59</v>
      </c>
      <c r="B3610" s="2" t="s">
        <v>60</v>
      </c>
      <c r="C3610" s="2" t="s">
        <v>30435</v>
      </c>
      <c r="D3610" s="2" t="s">
        <v>30436</v>
      </c>
      <c r="E3610" s="2" t="s">
        <v>30437</v>
      </c>
      <c r="G3610" s="3" t="s">
        <v>63</v>
      </c>
      <c r="I3610" s="3" t="s">
        <v>63</v>
      </c>
      <c r="J3610" s="3" t="s">
        <v>63</v>
      </c>
      <c r="K3610" s="3" t="s">
        <v>64</v>
      </c>
      <c r="L3610" s="2" t="s">
        <v>30438</v>
      </c>
      <c r="M3610" s="2" t="s">
        <v>30439</v>
      </c>
      <c r="N3610" s="3" t="s">
        <v>313</v>
      </c>
      <c r="P3610" s="3" t="s">
        <v>90</v>
      </c>
      <c r="R3610" s="3" t="s">
        <v>67</v>
      </c>
      <c r="S3610" s="4">
        <v>1</v>
      </c>
      <c r="T3610" s="4">
        <v>1</v>
      </c>
      <c r="U3610" s="5" t="s">
        <v>30440</v>
      </c>
      <c r="V3610" s="5" t="s">
        <v>30440</v>
      </c>
      <c r="W3610" s="5" t="s">
        <v>69</v>
      </c>
      <c r="X3610" s="5" t="s">
        <v>69</v>
      </c>
      <c r="Y3610" s="4">
        <v>50</v>
      </c>
      <c r="Z3610" s="4">
        <v>2</v>
      </c>
      <c r="AA3610" s="4">
        <v>3</v>
      </c>
      <c r="AB3610" s="4">
        <v>2</v>
      </c>
      <c r="AC3610" s="4">
        <v>2</v>
      </c>
      <c r="AD3610" s="4">
        <v>19</v>
      </c>
      <c r="AE3610" s="4">
        <v>20</v>
      </c>
      <c r="AF3610" s="4">
        <v>0</v>
      </c>
      <c r="AG3610" s="4">
        <v>0</v>
      </c>
      <c r="AH3610" s="4">
        <v>18</v>
      </c>
      <c r="AI3610" s="4">
        <v>19</v>
      </c>
      <c r="AJ3610" s="4">
        <v>0</v>
      </c>
      <c r="AK3610" s="4">
        <v>1</v>
      </c>
      <c r="AL3610" s="4">
        <v>14</v>
      </c>
      <c r="AM3610" s="4">
        <v>14</v>
      </c>
      <c r="AN3610" s="4">
        <v>0</v>
      </c>
      <c r="AO3610" s="4">
        <v>0</v>
      </c>
      <c r="AP3610" s="4">
        <v>0</v>
      </c>
      <c r="AQ3610" s="4">
        <v>1</v>
      </c>
      <c r="AR3610" s="3" t="s">
        <v>63</v>
      </c>
      <c r="AS3610" s="3" t="s">
        <v>63</v>
      </c>
      <c r="AT3610" s="3" t="s">
        <v>63</v>
      </c>
      <c r="AV3610" s="6" t="str">
        <f>HYPERLINK("http://mcgill.on.worldcat.org/oclc/699807258","Catalog Record")</f>
        <v>Catalog Record</v>
      </c>
      <c r="AW3610" s="6" t="str">
        <f>HYPERLINK("http://www.worldcat.org/oclc/699807258","WorldCat Record")</f>
        <v>WorldCat Record</v>
      </c>
      <c r="AX3610" s="3" t="s">
        <v>30441</v>
      </c>
      <c r="AY3610" s="3" t="s">
        <v>30442</v>
      </c>
      <c r="AZ3610" s="3" t="s">
        <v>30443</v>
      </c>
      <c r="BA3610" s="3" t="s">
        <v>30443</v>
      </c>
      <c r="BB3610" s="3" t="s">
        <v>30444</v>
      </c>
      <c r="BC3610" s="3" t="s">
        <v>82</v>
      </c>
      <c r="BD3610" s="3" t="s">
        <v>70</v>
      </c>
      <c r="BE3610" s="3" t="s">
        <v>30445</v>
      </c>
      <c r="BF3610" s="3" t="s">
        <v>30444</v>
      </c>
      <c r="BG3610" s="3" t="s">
        <v>30446</v>
      </c>
    </row>
    <row r="3611" spans="1:59" ht="60" x14ac:dyDescent="0.25">
      <c r="A3611" s="2" t="s">
        <v>59</v>
      </c>
      <c r="B3611" s="2" t="s">
        <v>60</v>
      </c>
      <c r="C3611" s="2" t="s">
        <v>30447</v>
      </c>
      <c r="D3611" s="2" t="s">
        <v>30448</v>
      </c>
      <c r="E3611" s="2" t="s">
        <v>30449</v>
      </c>
      <c r="G3611" s="3" t="s">
        <v>63</v>
      </c>
      <c r="I3611" s="3" t="s">
        <v>63</v>
      </c>
      <c r="J3611" s="3" t="s">
        <v>63</v>
      </c>
      <c r="K3611" s="3" t="s">
        <v>64</v>
      </c>
      <c r="L3611" s="2" t="s">
        <v>30450</v>
      </c>
      <c r="M3611" s="2" t="s">
        <v>30451</v>
      </c>
      <c r="N3611" s="3" t="s">
        <v>106</v>
      </c>
      <c r="P3611" s="3" t="s">
        <v>90</v>
      </c>
      <c r="Q3611" s="2" t="s">
        <v>30452</v>
      </c>
      <c r="R3611" s="3" t="s">
        <v>67</v>
      </c>
      <c r="S3611" s="4">
        <v>3</v>
      </c>
      <c r="T3611" s="4">
        <v>3</v>
      </c>
      <c r="U3611" s="5" t="s">
        <v>3569</v>
      </c>
      <c r="V3611" s="5" t="s">
        <v>3569</v>
      </c>
      <c r="W3611" s="5" t="s">
        <v>69</v>
      </c>
      <c r="X3611" s="5" t="s">
        <v>69</v>
      </c>
      <c r="Y3611" s="4">
        <v>31</v>
      </c>
      <c r="Z3611" s="4">
        <v>1</v>
      </c>
      <c r="AA3611" s="4">
        <v>1</v>
      </c>
      <c r="AB3611" s="4">
        <v>1</v>
      </c>
      <c r="AC3611" s="4">
        <v>1</v>
      </c>
      <c r="AD3611" s="4">
        <v>22</v>
      </c>
      <c r="AE3611" s="4">
        <v>22</v>
      </c>
      <c r="AF3611" s="4">
        <v>0</v>
      </c>
      <c r="AG3611" s="4">
        <v>0</v>
      </c>
      <c r="AH3611" s="4">
        <v>22</v>
      </c>
      <c r="AI3611" s="4">
        <v>22</v>
      </c>
      <c r="AJ3611" s="4">
        <v>0</v>
      </c>
      <c r="AK3611" s="4">
        <v>0</v>
      </c>
      <c r="AL3611" s="4">
        <v>16</v>
      </c>
      <c r="AM3611" s="4">
        <v>16</v>
      </c>
      <c r="AN3611" s="4">
        <v>0</v>
      </c>
      <c r="AO3611" s="4">
        <v>0</v>
      </c>
      <c r="AP3611" s="4">
        <v>0</v>
      </c>
      <c r="AQ3611" s="4">
        <v>0</v>
      </c>
      <c r="AR3611" s="3" t="s">
        <v>63</v>
      </c>
      <c r="AS3611" s="3" t="s">
        <v>63</v>
      </c>
      <c r="AT3611" s="3" t="s">
        <v>63</v>
      </c>
      <c r="AV3611" s="6" t="str">
        <f>HYPERLINK("http://mcgill.on.worldcat.org/oclc/957527556","Catalog Record")</f>
        <v>Catalog Record</v>
      </c>
      <c r="AW3611" s="6" t="str">
        <f>HYPERLINK("http://www.worldcat.org/oclc/957527556","WorldCat Record")</f>
        <v>WorldCat Record</v>
      </c>
      <c r="AX3611" s="3" t="s">
        <v>30453</v>
      </c>
      <c r="AY3611" s="3" t="s">
        <v>30454</v>
      </c>
      <c r="AZ3611" s="3" t="s">
        <v>30455</v>
      </c>
      <c r="BA3611" s="3" t="s">
        <v>30455</v>
      </c>
      <c r="BB3611" s="3" t="s">
        <v>30456</v>
      </c>
      <c r="BC3611" s="3" t="s">
        <v>82</v>
      </c>
      <c r="BD3611" s="3" t="s">
        <v>70</v>
      </c>
      <c r="BE3611" s="3" t="s">
        <v>30457</v>
      </c>
      <c r="BF3611" s="3" t="s">
        <v>30456</v>
      </c>
      <c r="BG3611" s="3" t="s">
        <v>30458</v>
      </c>
    </row>
    <row r="3612" spans="1:59" ht="60" x14ac:dyDescent="0.25">
      <c r="A3612" s="2" t="s">
        <v>59</v>
      </c>
      <c r="B3612" s="2" t="s">
        <v>60</v>
      </c>
      <c r="C3612" s="2" t="s">
        <v>30459</v>
      </c>
      <c r="D3612" s="2" t="s">
        <v>30460</v>
      </c>
      <c r="E3612" s="2" t="s">
        <v>30461</v>
      </c>
      <c r="G3612" s="3" t="s">
        <v>63</v>
      </c>
      <c r="I3612" s="3" t="s">
        <v>63</v>
      </c>
      <c r="J3612" s="3" t="s">
        <v>63</v>
      </c>
      <c r="K3612" s="3" t="s">
        <v>64</v>
      </c>
      <c r="L3612" s="2" t="s">
        <v>13435</v>
      </c>
      <c r="M3612" s="2" t="s">
        <v>30462</v>
      </c>
      <c r="N3612" s="3" t="s">
        <v>274</v>
      </c>
      <c r="P3612" s="3" t="s">
        <v>90</v>
      </c>
      <c r="R3612" s="3" t="s">
        <v>67</v>
      </c>
      <c r="S3612" s="4">
        <v>4</v>
      </c>
      <c r="T3612" s="4">
        <v>4</v>
      </c>
      <c r="U3612" s="5" t="s">
        <v>30463</v>
      </c>
      <c r="V3612" s="5" t="s">
        <v>30463</v>
      </c>
      <c r="W3612" s="5" t="s">
        <v>69</v>
      </c>
      <c r="X3612" s="5" t="s">
        <v>69</v>
      </c>
      <c r="Y3612" s="4">
        <v>78</v>
      </c>
      <c r="Z3612" s="4">
        <v>7</v>
      </c>
      <c r="AA3612" s="4">
        <v>7</v>
      </c>
      <c r="AB3612" s="4">
        <v>1</v>
      </c>
      <c r="AC3612" s="4">
        <v>1</v>
      </c>
      <c r="AD3612" s="4">
        <v>50</v>
      </c>
      <c r="AE3612" s="4">
        <v>55</v>
      </c>
      <c r="AF3612" s="4">
        <v>0</v>
      </c>
      <c r="AG3612" s="4">
        <v>0</v>
      </c>
      <c r="AH3612" s="4">
        <v>48</v>
      </c>
      <c r="AI3612" s="4">
        <v>53</v>
      </c>
      <c r="AJ3612" s="4">
        <v>4</v>
      </c>
      <c r="AK3612" s="4">
        <v>4</v>
      </c>
      <c r="AL3612" s="4">
        <v>35</v>
      </c>
      <c r="AM3612" s="4">
        <v>37</v>
      </c>
      <c r="AN3612" s="4">
        <v>0</v>
      </c>
      <c r="AO3612" s="4">
        <v>0</v>
      </c>
      <c r="AP3612" s="4">
        <v>4</v>
      </c>
      <c r="AQ3612" s="4">
        <v>4</v>
      </c>
      <c r="AR3612" s="3" t="s">
        <v>63</v>
      </c>
      <c r="AS3612" s="3" t="s">
        <v>63</v>
      </c>
      <c r="AT3612" s="3" t="s">
        <v>62</v>
      </c>
      <c r="AU3612" s="6" t="str">
        <f>HYPERLINK("http://catalog.hathitrust.org/Record/004100981","HathiTrust Record")</f>
        <v>HathiTrust Record</v>
      </c>
      <c r="AV3612" s="6" t="str">
        <f>HYPERLINK("http://mcgill.on.worldcat.org/oclc/44318514","Catalog Record")</f>
        <v>Catalog Record</v>
      </c>
      <c r="AW3612" s="6" t="str">
        <f>HYPERLINK("http://www.worldcat.org/oclc/44318514","WorldCat Record")</f>
        <v>WorldCat Record</v>
      </c>
      <c r="AX3612" s="3" t="s">
        <v>30464</v>
      </c>
      <c r="AY3612" s="3" t="s">
        <v>30465</v>
      </c>
      <c r="AZ3612" s="3" t="s">
        <v>30466</v>
      </c>
      <c r="BA3612" s="3" t="s">
        <v>30466</v>
      </c>
      <c r="BB3612" s="3" t="s">
        <v>30467</v>
      </c>
      <c r="BC3612" s="3" t="s">
        <v>82</v>
      </c>
      <c r="BD3612" s="3" t="s">
        <v>70</v>
      </c>
      <c r="BE3612" s="3" t="s">
        <v>30468</v>
      </c>
      <c r="BF3612" s="3" t="s">
        <v>30467</v>
      </c>
      <c r="BG3612" s="3" t="s">
        <v>30469</v>
      </c>
    </row>
    <row r="3613" spans="1:59" ht="75" x14ac:dyDescent="0.25">
      <c r="A3613" s="2" t="s">
        <v>59</v>
      </c>
      <c r="B3613" s="2" t="s">
        <v>60</v>
      </c>
      <c r="C3613" s="2" t="s">
        <v>30470</v>
      </c>
      <c r="D3613" s="2" t="s">
        <v>30471</v>
      </c>
      <c r="E3613" s="2" t="s">
        <v>30472</v>
      </c>
      <c r="G3613" s="3" t="s">
        <v>63</v>
      </c>
      <c r="I3613" s="3" t="s">
        <v>63</v>
      </c>
      <c r="J3613" s="3" t="s">
        <v>63</v>
      </c>
      <c r="K3613" s="3" t="s">
        <v>64</v>
      </c>
      <c r="L3613" s="2" t="s">
        <v>13435</v>
      </c>
      <c r="M3613" s="2" t="s">
        <v>30473</v>
      </c>
      <c r="N3613" s="3" t="s">
        <v>1113</v>
      </c>
      <c r="P3613" s="3" t="s">
        <v>90</v>
      </c>
      <c r="R3613" s="3" t="s">
        <v>67</v>
      </c>
      <c r="S3613" s="4">
        <v>7</v>
      </c>
      <c r="T3613" s="4">
        <v>7</v>
      </c>
      <c r="U3613" s="5" t="s">
        <v>30474</v>
      </c>
      <c r="V3613" s="5" t="s">
        <v>30474</v>
      </c>
      <c r="W3613" s="5" t="s">
        <v>69</v>
      </c>
      <c r="X3613" s="5" t="s">
        <v>69</v>
      </c>
      <c r="Y3613" s="4">
        <v>69</v>
      </c>
      <c r="Z3613" s="4">
        <v>5</v>
      </c>
      <c r="AA3613" s="4">
        <v>8</v>
      </c>
      <c r="AB3613" s="4">
        <v>1</v>
      </c>
      <c r="AC3613" s="4">
        <v>1</v>
      </c>
      <c r="AD3613" s="4">
        <v>44</v>
      </c>
      <c r="AE3613" s="4">
        <v>55</v>
      </c>
      <c r="AF3613" s="4">
        <v>0</v>
      </c>
      <c r="AG3613" s="4">
        <v>0</v>
      </c>
      <c r="AH3613" s="4">
        <v>42</v>
      </c>
      <c r="AI3613" s="4">
        <v>53</v>
      </c>
      <c r="AJ3613" s="4">
        <v>3</v>
      </c>
      <c r="AK3613" s="4">
        <v>4</v>
      </c>
      <c r="AL3613" s="4">
        <v>28</v>
      </c>
      <c r="AM3613" s="4">
        <v>37</v>
      </c>
      <c r="AN3613" s="4">
        <v>0</v>
      </c>
      <c r="AO3613" s="4">
        <v>0</v>
      </c>
      <c r="AP3613" s="4">
        <v>3</v>
      </c>
      <c r="AQ3613" s="4">
        <v>4</v>
      </c>
      <c r="AR3613" s="3" t="s">
        <v>63</v>
      </c>
      <c r="AS3613" s="3" t="s">
        <v>63</v>
      </c>
      <c r="AT3613" s="3" t="s">
        <v>63</v>
      </c>
      <c r="AV3613" s="6" t="str">
        <f>HYPERLINK("http://mcgill.on.worldcat.org/oclc/39291186","Catalog Record")</f>
        <v>Catalog Record</v>
      </c>
      <c r="AW3613" s="6" t="str">
        <f>HYPERLINK("http://www.worldcat.org/oclc/39291186","WorldCat Record")</f>
        <v>WorldCat Record</v>
      </c>
      <c r="AX3613" s="3" t="s">
        <v>30475</v>
      </c>
      <c r="AY3613" s="3" t="s">
        <v>30476</v>
      </c>
      <c r="AZ3613" s="3" t="s">
        <v>30477</v>
      </c>
      <c r="BA3613" s="3" t="s">
        <v>30477</v>
      </c>
      <c r="BB3613" s="3" t="s">
        <v>30478</v>
      </c>
      <c r="BC3613" s="3" t="s">
        <v>82</v>
      </c>
      <c r="BD3613" s="3" t="s">
        <v>70</v>
      </c>
      <c r="BE3613" s="3" t="s">
        <v>30479</v>
      </c>
      <c r="BF3613" s="3" t="s">
        <v>30478</v>
      </c>
      <c r="BG3613" s="3" t="s">
        <v>30480</v>
      </c>
    </row>
    <row r="3614" spans="1:59" ht="60" x14ac:dyDescent="0.25">
      <c r="A3614" s="2" t="s">
        <v>59</v>
      </c>
      <c r="B3614" s="2" t="s">
        <v>60</v>
      </c>
      <c r="C3614" s="2" t="s">
        <v>30481</v>
      </c>
      <c r="D3614" s="2" t="s">
        <v>30482</v>
      </c>
      <c r="E3614" s="2" t="s">
        <v>30483</v>
      </c>
      <c r="G3614" s="3" t="s">
        <v>63</v>
      </c>
      <c r="I3614" s="3" t="s">
        <v>63</v>
      </c>
      <c r="J3614" s="3" t="s">
        <v>62</v>
      </c>
      <c r="K3614" s="3" t="s">
        <v>64</v>
      </c>
      <c r="L3614" s="2" t="s">
        <v>13435</v>
      </c>
      <c r="M3614" s="2" t="s">
        <v>30484</v>
      </c>
      <c r="N3614" s="3" t="s">
        <v>1023</v>
      </c>
      <c r="P3614" s="3" t="s">
        <v>90</v>
      </c>
      <c r="R3614" s="3" t="s">
        <v>67</v>
      </c>
      <c r="S3614" s="4">
        <v>1</v>
      </c>
      <c r="T3614" s="4">
        <v>1</v>
      </c>
      <c r="U3614" s="5" t="s">
        <v>15404</v>
      </c>
      <c r="V3614" s="5" t="s">
        <v>15404</v>
      </c>
      <c r="W3614" s="5" t="s">
        <v>69</v>
      </c>
      <c r="X3614" s="5" t="s">
        <v>69</v>
      </c>
      <c r="Y3614" s="4">
        <v>64</v>
      </c>
      <c r="Z3614" s="4">
        <v>5</v>
      </c>
      <c r="AA3614" s="4">
        <v>11</v>
      </c>
      <c r="AB3614" s="4">
        <v>1</v>
      </c>
      <c r="AC3614" s="4">
        <v>2</v>
      </c>
      <c r="AD3614" s="4">
        <v>29</v>
      </c>
      <c r="AE3614" s="4">
        <v>58</v>
      </c>
      <c r="AF3614" s="4">
        <v>0</v>
      </c>
      <c r="AG3614" s="4">
        <v>0</v>
      </c>
      <c r="AH3614" s="4">
        <v>28</v>
      </c>
      <c r="AI3614" s="4">
        <v>56</v>
      </c>
      <c r="AJ3614" s="4">
        <v>3</v>
      </c>
      <c r="AK3614" s="4">
        <v>5</v>
      </c>
      <c r="AL3614" s="4">
        <v>17</v>
      </c>
      <c r="AM3614" s="4">
        <v>36</v>
      </c>
      <c r="AN3614" s="4">
        <v>0</v>
      </c>
      <c r="AO3614" s="4">
        <v>5</v>
      </c>
      <c r="AP3614" s="4">
        <v>3</v>
      </c>
      <c r="AQ3614" s="4">
        <v>5</v>
      </c>
      <c r="AR3614" s="3" t="s">
        <v>63</v>
      </c>
      <c r="AS3614" s="3" t="s">
        <v>63</v>
      </c>
      <c r="AT3614" s="3" t="s">
        <v>63</v>
      </c>
      <c r="AV3614" s="6" t="str">
        <f>HYPERLINK("http://mcgill.on.worldcat.org/oclc/32019931","Catalog Record")</f>
        <v>Catalog Record</v>
      </c>
      <c r="AW3614" s="6" t="str">
        <f>HYPERLINK("http://www.worldcat.org/oclc/32019931","WorldCat Record")</f>
        <v>WorldCat Record</v>
      </c>
      <c r="AX3614" s="3" t="s">
        <v>30485</v>
      </c>
      <c r="AY3614" s="3" t="s">
        <v>30486</v>
      </c>
      <c r="AZ3614" s="3" t="s">
        <v>30487</v>
      </c>
      <c r="BA3614" s="3" t="s">
        <v>30487</v>
      </c>
      <c r="BB3614" s="3" t="s">
        <v>30488</v>
      </c>
      <c r="BC3614" s="3" t="s">
        <v>82</v>
      </c>
      <c r="BD3614" s="3" t="s">
        <v>70</v>
      </c>
      <c r="BE3614" s="3" t="s">
        <v>30489</v>
      </c>
      <c r="BF3614" s="3" t="s">
        <v>30488</v>
      </c>
      <c r="BG3614" s="3" t="s">
        <v>30490</v>
      </c>
    </row>
    <row r="3615" spans="1:59" ht="60" x14ac:dyDescent="0.25">
      <c r="A3615" s="2" t="s">
        <v>59</v>
      </c>
      <c r="B3615" s="2" t="s">
        <v>60</v>
      </c>
      <c r="C3615" s="2" t="s">
        <v>30491</v>
      </c>
      <c r="D3615" s="2" t="s">
        <v>30492</v>
      </c>
      <c r="E3615" s="2" t="s">
        <v>30493</v>
      </c>
      <c r="G3615" s="3" t="s">
        <v>63</v>
      </c>
      <c r="I3615" s="3" t="s">
        <v>63</v>
      </c>
      <c r="J3615" s="3" t="s">
        <v>63</v>
      </c>
      <c r="K3615" s="3" t="s">
        <v>64</v>
      </c>
      <c r="L3615" s="2" t="s">
        <v>13435</v>
      </c>
      <c r="M3615" s="2" t="s">
        <v>30494</v>
      </c>
      <c r="N3615" s="3" t="s">
        <v>693</v>
      </c>
      <c r="P3615" s="3" t="s">
        <v>66</v>
      </c>
      <c r="R3615" s="3" t="s">
        <v>67</v>
      </c>
      <c r="S3615" s="4">
        <v>6</v>
      </c>
      <c r="T3615" s="4">
        <v>6</v>
      </c>
      <c r="U3615" s="5" t="s">
        <v>30495</v>
      </c>
      <c r="V3615" s="5" t="s">
        <v>30495</v>
      </c>
      <c r="W3615" s="5" t="s">
        <v>69</v>
      </c>
      <c r="X3615" s="5" t="s">
        <v>69</v>
      </c>
      <c r="Y3615" s="4">
        <v>173</v>
      </c>
      <c r="Z3615" s="4">
        <v>14</v>
      </c>
      <c r="AA3615" s="4">
        <v>15</v>
      </c>
      <c r="AB3615" s="4">
        <v>2</v>
      </c>
      <c r="AC3615" s="4">
        <v>2</v>
      </c>
      <c r="AD3615" s="4">
        <v>79</v>
      </c>
      <c r="AE3615" s="4">
        <v>80</v>
      </c>
      <c r="AF3615" s="4">
        <v>0</v>
      </c>
      <c r="AG3615" s="4">
        <v>0</v>
      </c>
      <c r="AH3615" s="4">
        <v>73</v>
      </c>
      <c r="AI3615" s="4">
        <v>74</v>
      </c>
      <c r="AJ3615" s="4">
        <v>8</v>
      </c>
      <c r="AK3615" s="4">
        <v>9</v>
      </c>
      <c r="AL3615" s="4">
        <v>48</v>
      </c>
      <c r="AM3615" s="4">
        <v>48</v>
      </c>
      <c r="AN3615" s="4">
        <v>0</v>
      </c>
      <c r="AO3615" s="4">
        <v>0</v>
      </c>
      <c r="AP3615" s="4">
        <v>8</v>
      </c>
      <c r="AQ3615" s="4">
        <v>9</v>
      </c>
      <c r="AR3615" s="3" t="s">
        <v>63</v>
      </c>
      <c r="AS3615" s="3" t="s">
        <v>63</v>
      </c>
      <c r="AT3615" s="3" t="s">
        <v>63</v>
      </c>
      <c r="AV3615" s="6" t="str">
        <f>HYPERLINK("http://mcgill.on.worldcat.org/oclc/55665285","Catalog Record")</f>
        <v>Catalog Record</v>
      </c>
      <c r="AW3615" s="6" t="str">
        <f>HYPERLINK("http://www.worldcat.org/oclc/55665285","WorldCat Record")</f>
        <v>WorldCat Record</v>
      </c>
      <c r="AX3615" s="3" t="s">
        <v>30496</v>
      </c>
      <c r="AY3615" s="3" t="s">
        <v>30497</v>
      </c>
      <c r="AZ3615" s="3" t="s">
        <v>30498</v>
      </c>
      <c r="BA3615" s="3" t="s">
        <v>30498</v>
      </c>
      <c r="BB3615" s="3" t="s">
        <v>30499</v>
      </c>
      <c r="BC3615" s="3" t="s">
        <v>82</v>
      </c>
      <c r="BD3615" s="3" t="s">
        <v>70</v>
      </c>
      <c r="BE3615" s="3" t="s">
        <v>30500</v>
      </c>
      <c r="BF3615" s="3" t="s">
        <v>30499</v>
      </c>
      <c r="BG3615" s="3" t="s">
        <v>30501</v>
      </c>
    </row>
    <row r="3616" spans="1:59" ht="75" x14ac:dyDescent="0.25">
      <c r="A3616" s="2" t="s">
        <v>59</v>
      </c>
      <c r="B3616" s="2" t="s">
        <v>60</v>
      </c>
      <c r="C3616" s="2" t="s">
        <v>30502</v>
      </c>
      <c r="D3616" s="2" t="s">
        <v>30503</v>
      </c>
      <c r="E3616" s="2" t="s">
        <v>30504</v>
      </c>
      <c r="G3616" s="3" t="s">
        <v>63</v>
      </c>
      <c r="I3616" s="3" t="s">
        <v>62</v>
      </c>
      <c r="J3616" s="3" t="s">
        <v>62</v>
      </c>
      <c r="K3616" s="3" t="s">
        <v>64</v>
      </c>
      <c r="L3616" s="2" t="s">
        <v>30505</v>
      </c>
      <c r="M3616" s="2" t="s">
        <v>30506</v>
      </c>
      <c r="N3616" s="3" t="s">
        <v>668</v>
      </c>
      <c r="P3616" s="3" t="s">
        <v>90</v>
      </c>
      <c r="R3616" s="3" t="s">
        <v>67</v>
      </c>
      <c r="S3616" s="4">
        <v>19</v>
      </c>
      <c r="T3616" s="4">
        <v>54</v>
      </c>
      <c r="U3616" s="5" t="s">
        <v>30507</v>
      </c>
      <c r="V3616" s="5" t="s">
        <v>13764</v>
      </c>
      <c r="W3616" s="5" t="s">
        <v>69</v>
      </c>
      <c r="X3616" s="5" t="s">
        <v>69</v>
      </c>
      <c r="Y3616" s="4">
        <v>44</v>
      </c>
      <c r="Z3616" s="4">
        <v>2</v>
      </c>
      <c r="AA3616" s="4">
        <v>8</v>
      </c>
      <c r="AB3616" s="4">
        <v>1</v>
      </c>
      <c r="AC3616" s="4">
        <v>2</v>
      </c>
      <c r="AD3616" s="4">
        <v>19</v>
      </c>
      <c r="AE3616" s="4">
        <v>55</v>
      </c>
      <c r="AF3616" s="4">
        <v>0</v>
      </c>
      <c r="AG3616" s="4">
        <v>0</v>
      </c>
      <c r="AH3616" s="4">
        <v>18</v>
      </c>
      <c r="AI3616" s="4">
        <v>53</v>
      </c>
      <c r="AJ3616" s="4">
        <v>0</v>
      </c>
      <c r="AK3616" s="4">
        <v>3</v>
      </c>
      <c r="AL3616" s="4">
        <v>16</v>
      </c>
      <c r="AM3616" s="4">
        <v>41</v>
      </c>
      <c r="AN3616" s="4">
        <v>0</v>
      </c>
      <c r="AO3616" s="4">
        <v>0</v>
      </c>
      <c r="AP3616" s="4">
        <v>0</v>
      </c>
      <c r="AQ3616" s="4">
        <v>3</v>
      </c>
      <c r="AR3616" s="3" t="s">
        <v>63</v>
      </c>
      <c r="AS3616" s="3" t="s">
        <v>63</v>
      </c>
      <c r="AT3616" s="3" t="s">
        <v>63</v>
      </c>
      <c r="AV3616" s="6" t="str">
        <f>HYPERLINK("http://mcgill.on.worldcat.org/oclc/24679113","Catalog Record")</f>
        <v>Catalog Record</v>
      </c>
      <c r="AW3616" s="6" t="str">
        <f>HYPERLINK("http://www.worldcat.org/oclc/24679113","WorldCat Record")</f>
        <v>WorldCat Record</v>
      </c>
      <c r="AX3616" s="3" t="s">
        <v>30508</v>
      </c>
      <c r="AY3616" s="3" t="s">
        <v>30509</v>
      </c>
      <c r="AZ3616" s="3" t="s">
        <v>30510</v>
      </c>
      <c r="BA3616" s="3" t="s">
        <v>30510</v>
      </c>
      <c r="BB3616" s="3" t="s">
        <v>30511</v>
      </c>
      <c r="BC3616" s="3" t="s">
        <v>82</v>
      </c>
      <c r="BD3616" s="3" t="s">
        <v>70</v>
      </c>
      <c r="BF3616" s="3" t="s">
        <v>30511</v>
      </c>
      <c r="BG3616" s="3" t="s">
        <v>30512</v>
      </c>
    </row>
    <row r="3617" spans="1:59" ht="75" x14ac:dyDescent="0.25">
      <c r="A3617" s="2" t="s">
        <v>59</v>
      </c>
      <c r="B3617" s="2" t="s">
        <v>60</v>
      </c>
      <c r="C3617" s="2" t="s">
        <v>30502</v>
      </c>
      <c r="D3617" s="2" t="s">
        <v>30503</v>
      </c>
      <c r="E3617" s="2" t="s">
        <v>30504</v>
      </c>
      <c r="G3617" s="3" t="s">
        <v>63</v>
      </c>
      <c r="I3617" s="3" t="s">
        <v>62</v>
      </c>
      <c r="J3617" s="3" t="s">
        <v>62</v>
      </c>
      <c r="K3617" s="3" t="s">
        <v>64</v>
      </c>
      <c r="L3617" s="2" t="s">
        <v>30505</v>
      </c>
      <c r="M3617" s="2" t="s">
        <v>30506</v>
      </c>
      <c r="N3617" s="3" t="s">
        <v>668</v>
      </c>
      <c r="P3617" s="3" t="s">
        <v>90</v>
      </c>
      <c r="R3617" s="3" t="s">
        <v>67</v>
      </c>
      <c r="S3617" s="4">
        <v>35</v>
      </c>
      <c r="T3617" s="4">
        <v>54</v>
      </c>
      <c r="U3617" s="5" t="s">
        <v>13764</v>
      </c>
      <c r="V3617" s="5" t="s">
        <v>13764</v>
      </c>
      <c r="W3617" s="5" t="s">
        <v>69</v>
      </c>
      <c r="X3617" s="5" t="s">
        <v>69</v>
      </c>
      <c r="Y3617" s="4">
        <v>44</v>
      </c>
      <c r="Z3617" s="4">
        <v>2</v>
      </c>
      <c r="AA3617" s="4">
        <v>8</v>
      </c>
      <c r="AB3617" s="4">
        <v>1</v>
      </c>
      <c r="AC3617" s="4">
        <v>2</v>
      </c>
      <c r="AD3617" s="4">
        <v>19</v>
      </c>
      <c r="AE3617" s="4">
        <v>55</v>
      </c>
      <c r="AF3617" s="4">
        <v>0</v>
      </c>
      <c r="AG3617" s="4">
        <v>0</v>
      </c>
      <c r="AH3617" s="4">
        <v>18</v>
      </c>
      <c r="AI3617" s="4">
        <v>53</v>
      </c>
      <c r="AJ3617" s="4">
        <v>0</v>
      </c>
      <c r="AK3617" s="4">
        <v>3</v>
      </c>
      <c r="AL3617" s="4">
        <v>16</v>
      </c>
      <c r="AM3617" s="4">
        <v>41</v>
      </c>
      <c r="AN3617" s="4">
        <v>0</v>
      </c>
      <c r="AO3617" s="4">
        <v>0</v>
      </c>
      <c r="AP3617" s="4">
        <v>0</v>
      </c>
      <c r="AQ3617" s="4">
        <v>3</v>
      </c>
      <c r="AR3617" s="3" t="s">
        <v>63</v>
      </c>
      <c r="AS3617" s="3" t="s">
        <v>63</v>
      </c>
      <c r="AT3617" s="3" t="s">
        <v>63</v>
      </c>
      <c r="AV3617" s="6" t="str">
        <f>HYPERLINK("http://mcgill.on.worldcat.org/oclc/24679113","Catalog Record")</f>
        <v>Catalog Record</v>
      </c>
      <c r="AW3617" s="6" t="str">
        <f>HYPERLINK("http://www.worldcat.org/oclc/24679113","WorldCat Record")</f>
        <v>WorldCat Record</v>
      </c>
      <c r="AX3617" s="3" t="s">
        <v>30508</v>
      </c>
      <c r="AY3617" s="3" t="s">
        <v>30509</v>
      </c>
      <c r="AZ3617" s="3" t="s">
        <v>30510</v>
      </c>
      <c r="BA3617" s="3" t="s">
        <v>30510</v>
      </c>
      <c r="BB3617" s="3" t="s">
        <v>30513</v>
      </c>
      <c r="BC3617" s="3" t="s">
        <v>82</v>
      </c>
      <c r="BD3617" s="3" t="s">
        <v>70</v>
      </c>
      <c r="BF3617" s="3" t="s">
        <v>30513</v>
      </c>
      <c r="BG3617" s="3" t="s">
        <v>30514</v>
      </c>
    </row>
    <row r="3618" spans="1:59" ht="75" x14ac:dyDescent="0.25">
      <c r="A3618" s="2" t="s">
        <v>59</v>
      </c>
      <c r="B3618" s="2" t="s">
        <v>60</v>
      </c>
      <c r="C3618" s="2" t="s">
        <v>30515</v>
      </c>
      <c r="D3618" s="2" t="s">
        <v>30516</v>
      </c>
      <c r="E3618" s="2" t="s">
        <v>30517</v>
      </c>
      <c r="G3618" s="3" t="s">
        <v>63</v>
      </c>
      <c r="I3618" s="3" t="s">
        <v>63</v>
      </c>
      <c r="J3618" s="3" t="s">
        <v>63</v>
      </c>
      <c r="K3618" s="3" t="s">
        <v>64</v>
      </c>
      <c r="L3618" s="2" t="s">
        <v>30505</v>
      </c>
      <c r="M3618" s="2" t="s">
        <v>24949</v>
      </c>
      <c r="N3618" s="3" t="s">
        <v>1343</v>
      </c>
      <c r="P3618" s="3" t="s">
        <v>90</v>
      </c>
      <c r="R3618" s="3" t="s">
        <v>67</v>
      </c>
      <c r="S3618" s="4">
        <v>8</v>
      </c>
      <c r="T3618" s="4">
        <v>8</v>
      </c>
      <c r="U3618" s="5" t="s">
        <v>9684</v>
      </c>
      <c r="V3618" s="5" t="s">
        <v>9684</v>
      </c>
      <c r="W3618" s="5" t="s">
        <v>69</v>
      </c>
      <c r="X3618" s="5" t="s">
        <v>69</v>
      </c>
      <c r="Y3618" s="4">
        <v>84</v>
      </c>
      <c r="Z3618" s="4">
        <v>5</v>
      </c>
      <c r="AA3618" s="4">
        <v>22</v>
      </c>
      <c r="AB3618" s="4">
        <v>1</v>
      </c>
      <c r="AC3618" s="4">
        <v>3</v>
      </c>
      <c r="AD3618" s="4">
        <v>49</v>
      </c>
      <c r="AE3618" s="4">
        <v>81</v>
      </c>
      <c r="AF3618" s="4">
        <v>0</v>
      </c>
      <c r="AG3618" s="4">
        <v>2</v>
      </c>
      <c r="AH3618" s="4">
        <v>48</v>
      </c>
      <c r="AI3618" s="4">
        <v>73</v>
      </c>
      <c r="AJ3618" s="4">
        <v>3</v>
      </c>
      <c r="AK3618" s="4">
        <v>13</v>
      </c>
      <c r="AL3618" s="4">
        <v>37</v>
      </c>
      <c r="AM3618" s="4">
        <v>50</v>
      </c>
      <c r="AN3618" s="4">
        <v>0</v>
      </c>
      <c r="AO3618" s="4">
        <v>0</v>
      </c>
      <c r="AP3618" s="4">
        <v>3</v>
      </c>
      <c r="AQ3618" s="4">
        <v>13</v>
      </c>
      <c r="AR3618" s="3" t="s">
        <v>63</v>
      </c>
      <c r="AS3618" s="3" t="s">
        <v>63</v>
      </c>
      <c r="AT3618" s="3" t="s">
        <v>62</v>
      </c>
      <c r="AU3618" s="6" t="str">
        <f>HYPERLINK("http://catalog.hathitrust.org/Record/004100911","HathiTrust Record")</f>
        <v>HathiTrust Record</v>
      </c>
      <c r="AV3618" s="6" t="str">
        <f>HYPERLINK("http://mcgill.on.worldcat.org/oclc/44072138","Catalog Record")</f>
        <v>Catalog Record</v>
      </c>
      <c r="AW3618" s="6" t="str">
        <f>HYPERLINK("http://www.worldcat.org/oclc/44072138","WorldCat Record")</f>
        <v>WorldCat Record</v>
      </c>
      <c r="AX3618" s="3" t="s">
        <v>30518</v>
      </c>
      <c r="AY3618" s="3" t="s">
        <v>30519</v>
      </c>
      <c r="AZ3618" s="3" t="s">
        <v>30520</v>
      </c>
      <c r="BA3618" s="3" t="s">
        <v>30520</v>
      </c>
      <c r="BB3618" s="3" t="s">
        <v>30521</v>
      </c>
      <c r="BC3618" s="3" t="s">
        <v>82</v>
      </c>
      <c r="BD3618" s="3" t="s">
        <v>70</v>
      </c>
      <c r="BE3618" s="3" t="s">
        <v>30522</v>
      </c>
      <c r="BF3618" s="3" t="s">
        <v>30521</v>
      </c>
      <c r="BG3618" s="3" t="s">
        <v>30523</v>
      </c>
    </row>
    <row r="3619" spans="1:59" ht="60" x14ac:dyDescent="0.25">
      <c r="A3619" s="2" t="s">
        <v>59</v>
      </c>
      <c r="B3619" s="2" t="s">
        <v>60</v>
      </c>
      <c r="C3619" s="2" t="s">
        <v>30524</v>
      </c>
      <c r="D3619" s="2" t="s">
        <v>30525</v>
      </c>
      <c r="E3619" s="2" t="s">
        <v>30526</v>
      </c>
      <c r="G3619" s="3" t="s">
        <v>63</v>
      </c>
      <c r="I3619" s="3" t="s">
        <v>63</v>
      </c>
      <c r="J3619" s="3" t="s">
        <v>62</v>
      </c>
      <c r="K3619" s="3" t="s">
        <v>64</v>
      </c>
      <c r="L3619" s="2" t="s">
        <v>30505</v>
      </c>
      <c r="M3619" s="2" t="s">
        <v>30527</v>
      </c>
      <c r="N3619" s="3" t="s">
        <v>2043</v>
      </c>
      <c r="P3619" s="3" t="s">
        <v>66</v>
      </c>
      <c r="Q3619" s="2" t="s">
        <v>30528</v>
      </c>
      <c r="R3619" s="3" t="s">
        <v>67</v>
      </c>
      <c r="S3619" s="4">
        <v>25</v>
      </c>
      <c r="T3619" s="4">
        <v>25</v>
      </c>
      <c r="U3619" s="5" t="s">
        <v>30529</v>
      </c>
      <c r="V3619" s="5" t="s">
        <v>30529</v>
      </c>
      <c r="W3619" s="5" t="s">
        <v>69</v>
      </c>
      <c r="X3619" s="5" t="s">
        <v>69</v>
      </c>
      <c r="Y3619" s="4">
        <v>282</v>
      </c>
      <c r="Z3619" s="4">
        <v>25</v>
      </c>
      <c r="AA3619" s="4">
        <v>29</v>
      </c>
      <c r="AB3619" s="4">
        <v>1</v>
      </c>
      <c r="AC3619" s="4">
        <v>1</v>
      </c>
      <c r="AD3619" s="4">
        <v>86</v>
      </c>
      <c r="AE3619" s="4">
        <v>121</v>
      </c>
      <c r="AF3619" s="4">
        <v>0</v>
      </c>
      <c r="AG3619" s="4">
        <v>0</v>
      </c>
      <c r="AH3619" s="4">
        <v>78</v>
      </c>
      <c r="AI3619" s="4">
        <v>110</v>
      </c>
      <c r="AJ3619" s="4">
        <v>16</v>
      </c>
      <c r="AK3619" s="4">
        <v>17</v>
      </c>
      <c r="AL3619" s="4">
        <v>43</v>
      </c>
      <c r="AM3619" s="4">
        <v>59</v>
      </c>
      <c r="AN3619" s="4">
        <v>0</v>
      </c>
      <c r="AO3619" s="4">
        <v>0</v>
      </c>
      <c r="AP3619" s="4">
        <v>18</v>
      </c>
      <c r="AQ3619" s="4">
        <v>20</v>
      </c>
      <c r="AR3619" s="3" t="s">
        <v>63</v>
      </c>
      <c r="AS3619" s="3" t="s">
        <v>63</v>
      </c>
      <c r="AT3619" s="3" t="s">
        <v>62</v>
      </c>
      <c r="AU3619" s="6" t="str">
        <f>HYPERLINK("http://catalog.hathitrust.org/Record/000760622","HathiTrust Record")</f>
        <v>HathiTrust Record</v>
      </c>
      <c r="AV3619" s="6" t="str">
        <f>HYPERLINK("http://mcgill.on.worldcat.org/oclc/8482790","Catalog Record")</f>
        <v>Catalog Record</v>
      </c>
      <c r="AW3619" s="6" t="str">
        <f>HYPERLINK("http://www.worldcat.org/oclc/8482790","WorldCat Record")</f>
        <v>WorldCat Record</v>
      </c>
      <c r="AX3619" s="3" t="s">
        <v>30530</v>
      </c>
      <c r="AY3619" s="3" t="s">
        <v>30531</v>
      </c>
      <c r="AZ3619" s="3" t="s">
        <v>30532</v>
      </c>
      <c r="BA3619" s="3" t="s">
        <v>30532</v>
      </c>
      <c r="BB3619" s="3" t="s">
        <v>30533</v>
      </c>
      <c r="BC3619" s="3" t="s">
        <v>82</v>
      </c>
      <c r="BD3619" s="3" t="s">
        <v>70</v>
      </c>
      <c r="BE3619" s="3" t="s">
        <v>30534</v>
      </c>
      <c r="BF3619" s="3" t="s">
        <v>30533</v>
      </c>
      <c r="BG3619" s="3" t="s">
        <v>30535</v>
      </c>
    </row>
    <row r="3620" spans="1:59" ht="75" x14ac:dyDescent="0.25">
      <c r="A3620" s="2" t="s">
        <v>59</v>
      </c>
      <c r="B3620" s="2" t="s">
        <v>60</v>
      </c>
      <c r="C3620" s="2" t="s">
        <v>30536</v>
      </c>
      <c r="D3620" s="2" t="s">
        <v>30537</v>
      </c>
      <c r="E3620" s="2" t="s">
        <v>30538</v>
      </c>
      <c r="G3620" s="3" t="s">
        <v>63</v>
      </c>
      <c r="I3620" s="3" t="s">
        <v>63</v>
      </c>
      <c r="J3620" s="3" t="s">
        <v>62</v>
      </c>
      <c r="K3620" s="3" t="s">
        <v>64</v>
      </c>
      <c r="L3620" s="2" t="s">
        <v>30505</v>
      </c>
      <c r="M3620" s="2" t="s">
        <v>4873</v>
      </c>
      <c r="N3620" s="3" t="s">
        <v>1023</v>
      </c>
      <c r="P3620" s="3" t="s">
        <v>66</v>
      </c>
      <c r="Q3620" s="2" t="s">
        <v>8874</v>
      </c>
      <c r="R3620" s="3" t="s">
        <v>67</v>
      </c>
      <c r="S3620" s="4">
        <v>9</v>
      </c>
      <c r="T3620" s="4">
        <v>9</v>
      </c>
      <c r="U3620" s="5" t="s">
        <v>30539</v>
      </c>
      <c r="V3620" s="5" t="s">
        <v>30539</v>
      </c>
      <c r="W3620" s="5" t="s">
        <v>69</v>
      </c>
      <c r="X3620" s="5" t="s">
        <v>69</v>
      </c>
      <c r="Y3620" s="4">
        <v>141</v>
      </c>
      <c r="Z3620" s="4">
        <v>4</v>
      </c>
      <c r="AA3620" s="4">
        <v>29</v>
      </c>
      <c r="AB3620" s="4">
        <v>1</v>
      </c>
      <c r="AC3620" s="4">
        <v>1</v>
      </c>
      <c r="AD3620" s="4">
        <v>31</v>
      </c>
      <c r="AE3620" s="4">
        <v>121</v>
      </c>
      <c r="AF3620" s="4">
        <v>0</v>
      </c>
      <c r="AG3620" s="4">
        <v>0</v>
      </c>
      <c r="AH3620" s="4">
        <v>28</v>
      </c>
      <c r="AI3620" s="4">
        <v>110</v>
      </c>
      <c r="AJ3620" s="4">
        <v>2</v>
      </c>
      <c r="AK3620" s="4">
        <v>17</v>
      </c>
      <c r="AL3620" s="4">
        <v>21</v>
      </c>
      <c r="AM3620" s="4">
        <v>59</v>
      </c>
      <c r="AN3620" s="4">
        <v>0</v>
      </c>
      <c r="AO3620" s="4">
        <v>0</v>
      </c>
      <c r="AP3620" s="4">
        <v>3</v>
      </c>
      <c r="AQ3620" s="4">
        <v>20</v>
      </c>
      <c r="AR3620" s="3" t="s">
        <v>63</v>
      </c>
      <c r="AS3620" s="3" t="s">
        <v>63</v>
      </c>
      <c r="AT3620" s="3" t="s">
        <v>63</v>
      </c>
      <c r="AV3620" s="6" t="str">
        <f>HYPERLINK("http://mcgill.on.worldcat.org/oclc/30544124","Catalog Record")</f>
        <v>Catalog Record</v>
      </c>
      <c r="AW3620" s="6" t="str">
        <f>HYPERLINK("http://www.worldcat.org/oclc/30544124","WorldCat Record")</f>
        <v>WorldCat Record</v>
      </c>
      <c r="AX3620" s="3" t="s">
        <v>30530</v>
      </c>
      <c r="AY3620" s="3" t="s">
        <v>30540</v>
      </c>
      <c r="AZ3620" s="3" t="s">
        <v>30541</v>
      </c>
      <c r="BA3620" s="3" t="s">
        <v>30541</v>
      </c>
      <c r="BB3620" s="3" t="s">
        <v>30542</v>
      </c>
      <c r="BC3620" s="3" t="s">
        <v>82</v>
      </c>
      <c r="BD3620" s="3" t="s">
        <v>4677</v>
      </c>
      <c r="BE3620" s="3" t="s">
        <v>30543</v>
      </c>
      <c r="BF3620" s="3" t="s">
        <v>30542</v>
      </c>
      <c r="BG3620" s="3" t="s">
        <v>30544</v>
      </c>
    </row>
    <row r="3621" spans="1:59" ht="75" x14ac:dyDescent="0.25">
      <c r="A3621" s="2" t="s">
        <v>59</v>
      </c>
      <c r="B3621" s="2" t="s">
        <v>60</v>
      </c>
      <c r="C3621" s="2" t="s">
        <v>30545</v>
      </c>
      <c r="D3621" s="2" t="s">
        <v>30546</v>
      </c>
      <c r="E3621" s="2" t="s">
        <v>30547</v>
      </c>
      <c r="G3621" s="3" t="s">
        <v>63</v>
      </c>
      <c r="I3621" s="3" t="s">
        <v>63</v>
      </c>
      <c r="J3621" s="3" t="s">
        <v>62</v>
      </c>
      <c r="K3621" s="3" t="s">
        <v>64</v>
      </c>
      <c r="L3621" s="2" t="s">
        <v>30505</v>
      </c>
      <c r="M3621" s="2" t="s">
        <v>30548</v>
      </c>
      <c r="N3621" s="3" t="s">
        <v>1113</v>
      </c>
      <c r="P3621" s="3" t="s">
        <v>66</v>
      </c>
      <c r="R3621" s="3" t="s">
        <v>67</v>
      </c>
      <c r="S3621" s="4">
        <v>25</v>
      </c>
      <c r="T3621" s="4">
        <v>25</v>
      </c>
      <c r="U3621" s="5" t="s">
        <v>30549</v>
      </c>
      <c r="V3621" s="5" t="s">
        <v>30549</v>
      </c>
      <c r="W3621" s="5" t="s">
        <v>69</v>
      </c>
      <c r="X3621" s="5" t="s">
        <v>69</v>
      </c>
      <c r="Y3621" s="4">
        <v>91</v>
      </c>
      <c r="Z3621" s="4">
        <v>10</v>
      </c>
      <c r="AA3621" s="4">
        <v>29</v>
      </c>
      <c r="AB3621" s="4">
        <v>1</v>
      </c>
      <c r="AC3621" s="4">
        <v>1</v>
      </c>
      <c r="AD3621" s="4">
        <v>39</v>
      </c>
      <c r="AE3621" s="4">
        <v>121</v>
      </c>
      <c r="AF3621" s="4">
        <v>0</v>
      </c>
      <c r="AG3621" s="4">
        <v>0</v>
      </c>
      <c r="AH3621" s="4">
        <v>37</v>
      </c>
      <c r="AI3621" s="4">
        <v>110</v>
      </c>
      <c r="AJ3621" s="4">
        <v>6</v>
      </c>
      <c r="AK3621" s="4">
        <v>17</v>
      </c>
      <c r="AL3621" s="4">
        <v>27</v>
      </c>
      <c r="AM3621" s="4">
        <v>59</v>
      </c>
      <c r="AN3621" s="4">
        <v>0</v>
      </c>
      <c r="AO3621" s="4">
        <v>0</v>
      </c>
      <c r="AP3621" s="4">
        <v>6</v>
      </c>
      <c r="AQ3621" s="4">
        <v>20</v>
      </c>
      <c r="AR3621" s="3" t="s">
        <v>63</v>
      </c>
      <c r="AS3621" s="3" t="s">
        <v>63</v>
      </c>
      <c r="AT3621" s="3" t="s">
        <v>63</v>
      </c>
      <c r="AV3621" s="6" t="str">
        <f>HYPERLINK("http://mcgill.on.worldcat.org/oclc/38438577","Catalog Record")</f>
        <v>Catalog Record</v>
      </c>
      <c r="AW3621" s="6" t="str">
        <f>HYPERLINK("http://www.worldcat.org/oclc/38438577","WorldCat Record")</f>
        <v>WorldCat Record</v>
      </c>
      <c r="AX3621" s="3" t="s">
        <v>30530</v>
      </c>
      <c r="AY3621" s="3" t="s">
        <v>30550</v>
      </c>
      <c r="AZ3621" s="3" t="s">
        <v>30551</v>
      </c>
      <c r="BA3621" s="3" t="s">
        <v>30551</v>
      </c>
      <c r="BB3621" s="3" t="s">
        <v>30552</v>
      </c>
      <c r="BC3621" s="3" t="s">
        <v>82</v>
      </c>
      <c r="BD3621" s="3" t="s">
        <v>70</v>
      </c>
      <c r="BE3621" s="3" t="s">
        <v>30553</v>
      </c>
      <c r="BF3621" s="3" t="s">
        <v>30552</v>
      </c>
      <c r="BG3621" s="3" t="s">
        <v>30554</v>
      </c>
    </row>
    <row r="3622" spans="1:59" ht="60" x14ac:dyDescent="0.25">
      <c r="A3622" s="2" t="s">
        <v>59</v>
      </c>
      <c r="B3622" s="2" t="s">
        <v>60</v>
      </c>
      <c r="C3622" s="2" t="s">
        <v>30555</v>
      </c>
      <c r="D3622" s="2" t="s">
        <v>30556</v>
      </c>
      <c r="E3622" s="2" t="s">
        <v>30557</v>
      </c>
      <c r="G3622" s="3" t="s">
        <v>63</v>
      </c>
      <c r="I3622" s="3" t="s">
        <v>63</v>
      </c>
      <c r="J3622" s="3" t="s">
        <v>63</v>
      </c>
      <c r="K3622" s="3" t="s">
        <v>64</v>
      </c>
      <c r="L3622" s="2" t="s">
        <v>30505</v>
      </c>
      <c r="M3622" s="2" t="s">
        <v>30558</v>
      </c>
      <c r="N3622" s="3" t="s">
        <v>468</v>
      </c>
      <c r="P3622" s="3" t="s">
        <v>548</v>
      </c>
      <c r="Q3622" s="2" t="s">
        <v>30559</v>
      </c>
      <c r="R3622" s="3" t="s">
        <v>67</v>
      </c>
      <c r="S3622" s="4">
        <v>12</v>
      </c>
      <c r="T3622" s="4">
        <v>12</v>
      </c>
      <c r="U3622" s="5" t="s">
        <v>9684</v>
      </c>
      <c r="V3622" s="5" t="s">
        <v>9684</v>
      </c>
      <c r="W3622" s="5" t="s">
        <v>69</v>
      </c>
      <c r="X3622" s="5" t="s">
        <v>69</v>
      </c>
      <c r="Y3622" s="4">
        <v>17</v>
      </c>
      <c r="Z3622" s="4">
        <v>2</v>
      </c>
      <c r="AA3622" s="4">
        <v>6</v>
      </c>
      <c r="AB3622" s="4">
        <v>1</v>
      </c>
      <c r="AC3622" s="4">
        <v>5</v>
      </c>
      <c r="AD3622" s="4">
        <v>6</v>
      </c>
      <c r="AE3622" s="4">
        <v>9</v>
      </c>
      <c r="AF3622" s="4">
        <v>0</v>
      </c>
      <c r="AG3622" s="4">
        <v>3</v>
      </c>
      <c r="AH3622" s="4">
        <v>5</v>
      </c>
      <c r="AI3622" s="4">
        <v>5</v>
      </c>
      <c r="AJ3622" s="4">
        <v>0</v>
      </c>
      <c r="AK3622" s="4">
        <v>3</v>
      </c>
      <c r="AL3622" s="4">
        <v>4</v>
      </c>
      <c r="AM3622" s="4">
        <v>4</v>
      </c>
      <c r="AN3622" s="4">
        <v>0</v>
      </c>
      <c r="AO3622" s="4">
        <v>0</v>
      </c>
      <c r="AP3622" s="4">
        <v>1</v>
      </c>
      <c r="AQ3622" s="4">
        <v>3</v>
      </c>
      <c r="AR3622" s="3" t="s">
        <v>63</v>
      </c>
      <c r="AS3622" s="3" t="s">
        <v>63</v>
      </c>
      <c r="AT3622" s="3" t="s">
        <v>63</v>
      </c>
      <c r="AV3622" s="6" t="str">
        <f>HYPERLINK("http://mcgill.on.worldcat.org/oclc/2427574","Catalog Record")</f>
        <v>Catalog Record</v>
      </c>
      <c r="AW3622" s="6" t="str">
        <f>HYPERLINK("http://www.worldcat.org/oclc/2427574","WorldCat Record")</f>
        <v>WorldCat Record</v>
      </c>
      <c r="AX3622" s="3" t="s">
        <v>30560</v>
      </c>
      <c r="AY3622" s="3" t="s">
        <v>30561</v>
      </c>
      <c r="AZ3622" s="3" t="s">
        <v>30562</v>
      </c>
      <c r="BA3622" s="3" t="s">
        <v>30562</v>
      </c>
      <c r="BB3622" s="3" t="s">
        <v>30563</v>
      </c>
      <c r="BC3622" s="3" t="s">
        <v>82</v>
      </c>
      <c r="BD3622" s="3" t="s">
        <v>70</v>
      </c>
      <c r="BE3622" s="3" t="s">
        <v>30564</v>
      </c>
      <c r="BF3622" s="3" t="s">
        <v>30563</v>
      </c>
      <c r="BG3622" s="3" t="s">
        <v>30565</v>
      </c>
    </row>
    <row r="3623" spans="1:59" ht="75" x14ac:dyDescent="0.25">
      <c r="A3623" s="2" t="s">
        <v>59</v>
      </c>
      <c r="B3623" s="2" t="s">
        <v>60</v>
      </c>
      <c r="C3623" s="2" t="s">
        <v>30566</v>
      </c>
      <c r="D3623" s="2" t="s">
        <v>30567</v>
      </c>
      <c r="E3623" s="2" t="s">
        <v>30568</v>
      </c>
      <c r="G3623" s="3" t="s">
        <v>63</v>
      </c>
      <c r="I3623" s="3" t="s">
        <v>63</v>
      </c>
      <c r="J3623" s="3" t="s">
        <v>63</v>
      </c>
      <c r="K3623" s="3" t="s">
        <v>64</v>
      </c>
      <c r="M3623" s="2" t="s">
        <v>20681</v>
      </c>
      <c r="N3623" s="3" t="s">
        <v>1113</v>
      </c>
      <c r="P3623" s="3" t="s">
        <v>66</v>
      </c>
      <c r="Q3623" s="2" t="s">
        <v>30569</v>
      </c>
      <c r="R3623" s="3" t="s">
        <v>67</v>
      </c>
      <c r="S3623" s="4">
        <v>14</v>
      </c>
      <c r="T3623" s="4">
        <v>14</v>
      </c>
      <c r="U3623" s="5" t="s">
        <v>13764</v>
      </c>
      <c r="V3623" s="5" t="s">
        <v>13764</v>
      </c>
      <c r="W3623" s="5" t="s">
        <v>69</v>
      </c>
      <c r="X3623" s="5" t="s">
        <v>69</v>
      </c>
      <c r="Y3623" s="4">
        <v>145</v>
      </c>
      <c r="Z3623" s="4">
        <v>12</v>
      </c>
      <c r="AA3623" s="4">
        <v>12</v>
      </c>
      <c r="AB3623" s="4">
        <v>1</v>
      </c>
      <c r="AC3623" s="4">
        <v>1</v>
      </c>
      <c r="AD3623" s="4">
        <v>66</v>
      </c>
      <c r="AE3623" s="4">
        <v>66</v>
      </c>
      <c r="AF3623" s="4">
        <v>0</v>
      </c>
      <c r="AG3623" s="4">
        <v>0</v>
      </c>
      <c r="AH3623" s="4">
        <v>62</v>
      </c>
      <c r="AI3623" s="4">
        <v>62</v>
      </c>
      <c r="AJ3623" s="4">
        <v>10</v>
      </c>
      <c r="AK3623" s="4">
        <v>10</v>
      </c>
      <c r="AL3623" s="4">
        <v>33</v>
      </c>
      <c r="AM3623" s="4">
        <v>33</v>
      </c>
      <c r="AN3623" s="4">
        <v>0</v>
      </c>
      <c r="AO3623" s="4">
        <v>0</v>
      </c>
      <c r="AP3623" s="4">
        <v>10</v>
      </c>
      <c r="AQ3623" s="4">
        <v>10</v>
      </c>
      <c r="AR3623" s="3" t="s">
        <v>63</v>
      </c>
      <c r="AS3623" s="3" t="s">
        <v>63</v>
      </c>
      <c r="AT3623" s="3" t="s">
        <v>63</v>
      </c>
      <c r="AV3623" s="6" t="str">
        <f>HYPERLINK("http://mcgill.on.worldcat.org/oclc/35243539","Catalog Record")</f>
        <v>Catalog Record</v>
      </c>
      <c r="AW3623" s="6" t="str">
        <f>HYPERLINK("http://www.worldcat.org/oclc/35243539","WorldCat Record")</f>
        <v>WorldCat Record</v>
      </c>
      <c r="AX3623" s="3" t="s">
        <v>30570</v>
      </c>
      <c r="AY3623" s="3" t="s">
        <v>30571</v>
      </c>
      <c r="AZ3623" s="3" t="s">
        <v>30572</v>
      </c>
      <c r="BA3623" s="3" t="s">
        <v>30572</v>
      </c>
      <c r="BB3623" s="3" t="s">
        <v>30573</v>
      </c>
      <c r="BC3623" s="3" t="s">
        <v>82</v>
      </c>
      <c r="BD3623" s="3" t="s">
        <v>70</v>
      </c>
      <c r="BE3623" s="3" t="s">
        <v>30574</v>
      </c>
      <c r="BF3623" s="3" t="s">
        <v>30573</v>
      </c>
      <c r="BG3623" s="3" t="s">
        <v>30575</v>
      </c>
    </row>
    <row r="3624" spans="1:59" ht="60" x14ac:dyDescent="0.25">
      <c r="A3624" s="2" t="s">
        <v>59</v>
      </c>
      <c r="B3624" s="2" t="s">
        <v>60</v>
      </c>
      <c r="C3624" s="2" t="s">
        <v>30576</v>
      </c>
      <c r="D3624" s="2" t="s">
        <v>30577</v>
      </c>
      <c r="E3624" s="2" t="s">
        <v>30578</v>
      </c>
      <c r="F3624" s="3" t="s">
        <v>582</v>
      </c>
      <c r="G3624" s="3" t="s">
        <v>62</v>
      </c>
      <c r="I3624" s="3" t="s">
        <v>63</v>
      </c>
      <c r="J3624" s="3" t="s">
        <v>63</v>
      </c>
      <c r="K3624" s="3" t="s">
        <v>64</v>
      </c>
      <c r="L3624" s="2" t="s">
        <v>30579</v>
      </c>
      <c r="M3624" s="2" t="s">
        <v>30580</v>
      </c>
      <c r="N3624" s="3" t="s">
        <v>106</v>
      </c>
      <c r="P3624" s="3" t="s">
        <v>90</v>
      </c>
      <c r="Q3624" s="2" t="s">
        <v>30581</v>
      </c>
      <c r="R3624" s="3" t="s">
        <v>67</v>
      </c>
      <c r="S3624" s="4">
        <v>1</v>
      </c>
      <c r="T3624" s="4">
        <v>2</v>
      </c>
      <c r="U3624" s="5" t="s">
        <v>22637</v>
      </c>
      <c r="V3624" s="5" t="s">
        <v>22637</v>
      </c>
      <c r="W3624" s="5" t="s">
        <v>69</v>
      </c>
      <c r="X3624" s="5" t="s">
        <v>69</v>
      </c>
      <c r="Y3624" s="4">
        <v>21</v>
      </c>
      <c r="Z3624" s="4">
        <v>2</v>
      </c>
      <c r="AA3624" s="4">
        <v>2</v>
      </c>
      <c r="AB3624" s="4">
        <v>1</v>
      </c>
      <c r="AC3624" s="4">
        <v>1</v>
      </c>
      <c r="AD3624" s="4">
        <v>18</v>
      </c>
      <c r="AE3624" s="4">
        <v>18</v>
      </c>
      <c r="AF3624" s="4">
        <v>0</v>
      </c>
      <c r="AG3624" s="4">
        <v>0</v>
      </c>
      <c r="AH3624" s="4">
        <v>18</v>
      </c>
      <c r="AI3624" s="4">
        <v>18</v>
      </c>
      <c r="AJ3624" s="4">
        <v>1</v>
      </c>
      <c r="AK3624" s="4">
        <v>1</v>
      </c>
      <c r="AL3624" s="4">
        <v>14</v>
      </c>
      <c r="AM3624" s="4">
        <v>14</v>
      </c>
      <c r="AN3624" s="4">
        <v>0</v>
      </c>
      <c r="AO3624" s="4">
        <v>0</v>
      </c>
      <c r="AP3624" s="4">
        <v>1</v>
      </c>
      <c r="AQ3624" s="4">
        <v>1</v>
      </c>
      <c r="AR3624" s="3" t="s">
        <v>63</v>
      </c>
      <c r="AS3624" s="3" t="s">
        <v>63</v>
      </c>
      <c r="AT3624" s="3" t="s">
        <v>63</v>
      </c>
      <c r="AV3624" s="6" t="str">
        <f>HYPERLINK("http://mcgill.on.worldcat.org/oclc/956380681","Catalog Record")</f>
        <v>Catalog Record</v>
      </c>
      <c r="AW3624" s="6" t="str">
        <f>HYPERLINK("http://www.worldcat.org/oclc/956380681","WorldCat Record")</f>
        <v>WorldCat Record</v>
      </c>
      <c r="AX3624" s="3" t="s">
        <v>30582</v>
      </c>
      <c r="AY3624" s="3" t="s">
        <v>30583</v>
      </c>
      <c r="AZ3624" s="3" t="s">
        <v>30584</v>
      </c>
      <c r="BA3624" s="3" t="s">
        <v>30584</v>
      </c>
      <c r="BB3624" s="3" t="s">
        <v>30585</v>
      </c>
      <c r="BC3624" s="3" t="s">
        <v>82</v>
      </c>
      <c r="BD3624" s="3" t="s">
        <v>70</v>
      </c>
      <c r="BE3624" s="3" t="s">
        <v>30586</v>
      </c>
      <c r="BF3624" s="3" t="s">
        <v>30585</v>
      </c>
      <c r="BG3624" s="3" t="s">
        <v>30587</v>
      </c>
    </row>
    <row r="3625" spans="1:59" ht="60" x14ac:dyDescent="0.25">
      <c r="A3625" s="2" t="s">
        <v>59</v>
      </c>
      <c r="B3625" s="2" t="s">
        <v>60</v>
      </c>
      <c r="C3625" s="2" t="s">
        <v>30576</v>
      </c>
      <c r="D3625" s="2" t="s">
        <v>30577</v>
      </c>
      <c r="E3625" s="2" t="s">
        <v>30578</v>
      </c>
      <c r="F3625" s="3" t="s">
        <v>571</v>
      </c>
      <c r="G3625" s="3" t="s">
        <v>62</v>
      </c>
      <c r="I3625" s="3" t="s">
        <v>63</v>
      </c>
      <c r="J3625" s="3" t="s">
        <v>63</v>
      </c>
      <c r="K3625" s="3" t="s">
        <v>64</v>
      </c>
      <c r="L3625" s="2" t="s">
        <v>30579</v>
      </c>
      <c r="M3625" s="2" t="s">
        <v>30580</v>
      </c>
      <c r="N3625" s="3" t="s">
        <v>106</v>
      </c>
      <c r="P3625" s="3" t="s">
        <v>90</v>
      </c>
      <c r="Q3625" s="2" t="s">
        <v>30581</v>
      </c>
      <c r="R3625" s="3" t="s">
        <v>67</v>
      </c>
      <c r="S3625" s="4">
        <v>1</v>
      </c>
      <c r="T3625" s="4">
        <v>2</v>
      </c>
      <c r="U3625" s="5" t="s">
        <v>22637</v>
      </c>
      <c r="V3625" s="5" t="s">
        <v>22637</v>
      </c>
      <c r="W3625" s="5" t="s">
        <v>69</v>
      </c>
      <c r="X3625" s="5" t="s">
        <v>69</v>
      </c>
      <c r="Y3625" s="4">
        <v>21</v>
      </c>
      <c r="Z3625" s="4">
        <v>2</v>
      </c>
      <c r="AA3625" s="4">
        <v>2</v>
      </c>
      <c r="AB3625" s="4">
        <v>1</v>
      </c>
      <c r="AC3625" s="4">
        <v>1</v>
      </c>
      <c r="AD3625" s="4">
        <v>18</v>
      </c>
      <c r="AE3625" s="4">
        <v>18</v>
      </c>
      <c r="AF3625" s="4">
        <v>0</v>
      </c>
      <c r="AG3625" s="4">
        <v>0</v>
      </c>
      <c r="AH3625" s="4">
        <v>18</v>
      </c>
      <c r="AI3625" s="4">
        <v>18</v>
      </c>
      <c r="AJ3625" s="4">
        <v>1</v>
      </c>
      <c r="AK3625" s="4">
        <v>1</v>
      </c>
      <c r="AL3625" s="4">
        <v>14</v>
      </c>
      <c r="AM3625" s="4">
        <v>14</v>
      </c>
      <c r="AN3625" s="4">
        <v>0</v>
      </c>
      <c r="AO3625" s="4">
        <v>0</v>
      </c>
      <c r="AP3625" s="4">
        <v>1</v>
      </c>
      <c r="AQ3625" s="4">
        <v>1</v>
      </c>
      <c r="AR3625" s="3" t="s">
        <v>63</v>
      </c>
      <c r="AS3625" s="3" t="s">
        <v>63</v>
      </c>
      <c r="AT3625" s="3" t="s">
        <v>63</v>
      </c>
      <c r="AV3625" s="6" t="str">
        <f>HYPERLINK("http://mcgill.on.worldcat.org/oclc/956380681","Catalog Record")</f>
        <v>Catalog Record</v>
      </c>
      <c r="AW3625" s="6" t="str">
        <f>HYPERLINK("http://www.worldcat.org/oclc/956380681","WorldCat Record")</f>
        <v>WorldCat Record</v>
      </c>
      <c r="AX3625" s="3" t="s">
        <v>30582</v>
      </c>
      <c r="AY3625" s="3" t="s">
        <v>30583</v>
      </c>
      <c r="AZ3625" s="3" t="s">
        <v>30584</v>
      </c>
      <c r="BA3625" s="3" t="s">
        <v>30584</v>
      </c>
      <c r="BB3625" s="3" t="s">
        <v>30588</v>
      </c>
      <c r="BC3625" s="3" t="s">
        <v>82</v>
      </c>
      <c r="BD3625" s="3" t="s">
        <v>70</v>
      </c>
      <c r="BE3625" s="3" t="s">
        <v>30586</v>
      </c>
      <c r="BF3625" s="3" t="s">
        <v>30588</v>
      </c>
      <c r="BG3625" s="3" t="s">
        <v>30589</v>
      </c>
    </row>
    <row r="3626" spans="1:59" ht="75" x14ac:dyDescent="0.25">
      <c r="A3626" s="2" t="s">
        <v>59</v>
      </c>
      <c r="B3626" s="2" t="s">
        <v>60</v>
      </c>
      <c r="C3626" s="2" t="s">
        <v>30590</v>
      </c>
      <c r="D3626" s="2" t="s">
        <v>30591</v>
      </c>
      <c r="E3626" s="2" t="s">
        <v>30592</v>
      </c>
      <c r="G3626" s="3" t="s">
        <v>63</v>
      </c>
      <c r="I3626" s="3" t="s">
        <v>63</v>
      </c>
      <c r="J3626" s="3" t="s">
        <v>63</v>
      </c>
      <c r="K3626" s="3" t="s">
        <v>64</v>
      </c>
      <c r="L3626" s="2" t="s">
        <v>30593</v>
      </c>
      <c r="M3626" s="2" t="s">
        <v>9631</v>
      </c>
      <c r="N3626" s="3" t="s">
        <v>106</v>
      </c>
      <c r="P3626" s="3" t="s">
        <v>90</v>
      </c>
      <c r="Q3626" s="2" t="s">
        <v>30594</v>
      </c>
      <c r="R3626" s="3" t="s">
        <v>67</v>
      </c>
      <c r="S3626" s="4">
        <v>1</v>
      </c>
      <c r="T3626" s="4">
        <v>1</v>
      </c>
      <c r="U3626" s="5" t="s">
        <v>2795</v>
      </c>
      <c r="V3626" s="5" t="s">
        <v>2795</v>
      </c>
      <c r="W3626" s="5" t="s">
        <v>69</v>
      </c>
      <c r="X3626" s="5" t="s">
        <v>69</v>
      </c>
      <c r="Y3626" s="4">
        <v>25</v>
      </c>
      <c r="Z3626" s="4">
        <v>1</v>
      </c>
      <c r="AA3626" s="4">
        <v>1</v>
      </c>
      <c r="AB3626" s="4">
        <v>1</v>
      </c>
      <c r="AC3626" s="4">
        <v>1</v>
      </c>
      <c r="AD3626" s="4">
        <v>21</v>
      </c>
      <c r="AE3626" s="4">
        <v>21</v>
      </c>
      <c r="AF3626" s="4">
        <v>0</v>
      </c>
      <c r="AG3626" s="4">
        <v>0</v>
      </c>
      <c r="AH3626" s="4">
        <v>20</v>
      </c>
      <c r="AI3626" s="4">
        <v>20</v>
      </c>
      <c r="AJ3626" s="4">
        <v>0</v>
      </c>
      <c r="AK3626" s="4">
        <v>0</v>
      </c>
      <c r="AL3626" s="4">
        <v>17</v>
      </c>
      <c r="AM3626" s="4">
        <v>17</v>
      </c>
      <c r="AN3626" s="4">
        <v>0</v>
      </c>
      <c r="AO3626" s="4">
        <v>0</v>
      </c>
      <c r="AP3626" s="4">
        <v>0</v>
      </c>
      <c r="AQ3626" s="4">
        <v>0</v>
      </c>
      <c r="AR3626" s="3" t="s">
        <v>63</v>
      </c>
      <c r="AS3626" s="3" t="s">
        <v>63</v>
      </c>
      <c r="AT3626" s="3" t="s">
        <v>63</v>
      </c>
      <c r="AV3626" s="6" t="str">
        <f>HYPERLINK("http://mcgill.on.worldcat.org/oclc/971206405","Catalog Record")</f>
        <v>Catalog Record</v>
      </c>
      <c r="AW3626" s="6" t="str">
        <f>HYPERLINK("http://www.worldcat.org/oclc/971206405","WorldCat Record")</f>
        <v>WorldCat Record</v>
      </c>
      <c r="AX3626" s="3" t="s">
        <v>30595</v>
      </c>
      <c r="AY3626" s="3" t="s">
        <v>30596</v>
      </c>
      <c r="AZ3626" s="3" t="s">
        <v>30597</v>
      </c>
      <c r="BA3626" s="3" t="s">
        <v>30597</v>
      </c>
      <c r="BB3626" s="3" t="s">
        <v>30598</v>
      </c>
      <c r="BC3626" s="3" t="s">
        <v>82</v>
      </c>
      <c r="BD3626" s="3" t="s">
        <v>70</v>
      </c>
      <c r="BE3626" s="3" t="s">
        <v>30599</v>
      </c>
      <c r="BF3626" s="3" t="s">
        <v>30598</v>
      </c>
      <c r="BG3626" s="3" t="s">
        <v>30600</v>
      </c>
    </row>
    <row r="3627" spans="1:59" ht="75" x14ac:dyDescent="0.25">
      <c r="A3627" s="2" t="s">
        <v>59</v>
      </c>
      <c r="B3627" s="2" t="s">
        <v>60</v>
      </c>
      <c r="C3627" s="2" t="s">
        <v>30601</v>
      </c>
      <c r="D3627" s="2" t="s">
        <v>30602</v>
      </c>
      <c r="E3627" s="2" t="s">
        <v>30603</v>
      </c>
      <c r="G3627" s="3" t="s">
        <v>63</v>
      </c>
      <c r="I3627" s="3" t="s">
        <v>63</v>
      </c>
      <c r="J3627" s="3" t="s">
        <v>63</v>
      </c>
      <c r="K3627" s="3" t="s">
        <v>64</v>
      </c>
      <c r="L3627" s="2" t="s">
        <v>30604</v>
      </c>
      <c r="M3627" s="2" t="s">
        <v>4552</v>
      </c>
      <c r="N3627" s="3" t="s">
        <v>313</v>
      </c>
      <c r="P3627" s="3" t="s">
        <v>90</v>
      </c>
      <c r="Q3627" s="2" t="s">
        <v>30605</v>
      </c>
      <c r="R3627" s="3" t="s">
        <v>67</v>
      </c>
      <c r="S3627" s="4">
        <v>1</v>
      </c>
      <c r="T3627" s="4">
        <v>1</v>
      </c>
      <c r="U3627" s="5" t="s">
        <v>30606</v>
      </c>
      <c r="V3627" s="5" t="s">
        <v>30606</v>
      </c>
      <c r="W3627" s="5" t="s">
        <v>69</v>
      </c>
      <c r="X3627" s="5" t="s">
        <v>69</v>
      </c>
      <c r="Y3627" s="4">
        <v>36</v>
      </c>
      <c r="Z3627" s="4">
        <v>7</v>
      </c>
      <c r="AA3627" s="4">
        <v>7</v>
      </c>
      <c r="AB3627" s="4">
        <v>1</v>
      </c>
      <c r="AC3627" s="4">
        <v>1</v>
      </c>
      <c r="AD3627" s="4">
        <v>24</v>
      </c>
      <c r="AE3627" s="4">
        <v>24</v>
      </c>
      <c r="AF3627" s="4">
        <v>0</v>
      </c>
      <c r="AG3627" s="4">
        <v>0</v>
      </c>
      <c r="AH3627" s="4">
        <v>23</v>
      </c>
      <c r="AI3627" s="4">
        <v>23</v>
      </c>
      <c r="AJ3627" s="4">
        <v>4</v>
      </c>
      <c r="AK3627" s="4">
        <v>4</v>
      </c>
      <c r="AL3627" s="4">
        <v>16</v>
      </c>
      <c r="AM3627" s="4">
        <v>16</v>
      </c>
      <c r="AN3627" s="4">
        <v>0</v>
      </c>
      <c r="AO3627" s="4">
        <v>0</v>
      </c>
      <c r="AP3627" s="4">
        <v>4</v>
      </c>
      <c r="AQ3627" s="4">
        <v>4</v>
      </c>
      <c r="AR3627" s="3" t="s">
        <v>63</v>
      </c>
      <c r="AS3627" s="3" t="s">
        <v>63</v>
      </c>
      <c r="AT3627" s="3" t="s">
        <v>63</v>
      </c>
      <c r="AV3627" s="6" t="str">
        <f>HYPERLINK("http://mcgill.on.worldcat.org/oclc/665067682","Catalog Record")</f>
        <v>Catalog Record</v>
      </c>
      <c r="AW3627" s="6" t="str">
        <f>HYPERLINK("http://www.worldcat.org/oclc/665067682","WorldCat Record")</f>
        <v>WorldCat Record</v>
      </c>
      <c r="AX3627" s="3" t="s">
        <v>30607</v>
      </c>
      <c r="AY3627" s="3" t="s">
        <v>30608</v>
      </c>
      <c r="AZ3627" s="3" t="s">
        <v>30609</v>
      </c>
      <c r="BA3627" s="3" t="s">
        <v>30609</v>
      </c>
      <c r="BB3627" s="3" t="s">
        <v>30610</v>
      </c>
      <c r="BC3627" s="3" t="s">
        <v>82</v>
      </c>
      <c r="BD3627" s="3" t="s">
        <v>70</v>
      </c>
      <c r="BE3627" s="3" t="s">
        <v>30611</v>
      </c>
      <c r="BF3627" s="3" t="s">
        <v>30610</v>
      </c>
      <c r="BG3627" s="3" t="s">
        <v>30612</v>
      </c>
    </row>
    <row r="3628" spans="1:59" ht="75" x14ac:dyDescent="0.25">
      <c r="A3628" s="2" t="s">
        <v>59</v>
      </c>
      <c r="B3628" s="2" t="s">
        <v>60</v>
      </c>
      <c r="C3628" s="2" t="s">
        <v>30613</v>
      </c>
      <c r="D3628" s="2" t="s">
        <v>30614</v>
      </c>
      <c r="E3628" s="2" t="s">
        <v>30615</v>
      </c>
      <c r="G3628" s="3" t="s">
        <v>63</v>
      </c>
      <c r="I3628" s="3" t="s">
        <v>63</v>
      </c>
      <c r="J3628" s="3" t="s">
        <v>63</v>
      </c>
      <c r="K3628" s="3" t="s">
        <v>64</v>
      </c>
      <c r="L3628" s="2" t="s">
        <v>30593</v>
      </c>
      <c r="M3628" s="2" t="s">
        <v>9631</v>
      </c>
      <c r="N3628" s="3" t="s">
        <v>106</v>
      </c>
      <c r="P3628" s="3" t="s">
        <v>90</v>
      </c>
      <c r="Q3628" s="2" t="s">
        <v>30616</v>
      </c>
      <c r="R3628" s="3" t="s">
        <v>67</v>
      </c>
      <c r="S3628" s="4">
        <v>1</v>
      </c>
      <c r="T3628" s="4">
        <v>1</v>
      </c>
      <c r="U3628" s="5" t="s">
        <v>21373</v>
      </c>
      <c r="V3628" s="5" t="s">
        <v>21373</v>
      </c>
      <c r="W3628" s="5" t="s">
        <v>69</v>
      </c>
      <c r="X3628" s="5" t="s">
        <v>69</v>
      </c>
      <c r="Y3628" s="4">
        <v>48</v>
      </c>
      <c r="Z3628" s="4">
        <v>4</v>
      </c>
      <c r="AA3628" s="4">
        <v>4</v>
      </c>
      <c r="AB3628" s="4">
        <v>1</v>
      </c>
      <c r="AC3628" s="4">
        <v>1</v>
      </c>
      <c r="AD3628" s="4">
        <v>25</v>
      </c>
      <c r="AE3628" s="4">
        <v>25</v>
      </c>
      <c r="AF3628" s="4">
        <v>0</v>
      </c>
      <c r="AG3628" s="4">
        <v>0</v>
      </c>
      <c r="AH3628" s="4">
        <v>25</v>
      </c>
      <c r="AI3628" s="4">
        <v>25</v>
      </c>
      <c r="AJ3628" s="4">
        <v>1</v>
      </c>
      <c r="AK3628" s="4">
        <v>1</v>
      </c>
      <c r="AL3628" s="4">
        <v>18</v>
      </c>
      <c r="AM3628" s="4">
        <v>18</v>
      </c>
      <c r="AN3628" s="4">
        <v>0</v>
      </c>
      <c r="AO3628" s="4">
        <v>0</v>
      </c>
      <c r="AP3628" s="4">
        <v>1</v>
      </c>
      <c r="AQ3628" s="4">
        <v>1</v>
      </c>
      <c r="AR3628" s="3" t="s">
        <v>63</v>
      </c>
      <c r="AS3628" s="3" t="s">
        <v>63</v>
      </c>
      <c r="AT3628" s="3" t="s">
        <v>63</v>
      </c>
      <c r="AV3628" s="6" t="str">
        <f>HYPERLINK("http://mcgill.on.worldcat.org/oclc/953576796","Catalog Record")</f>
        <v>Catalog Record</v>
      </c>
      <c r="AW3628" s="6" t="str">
        <f>HYPERLINK("http://www.worldcat.org/oclc/953576796","WorldCat Record")</f>
        <v>WorldCat Record</v>
      </c>
      <c r="AX3628" s="3" t="s">
        <v>30617</v>
      </c>
      <c r="AY3628" s="3" t="s">
        <v>30618</v>
      </c>
      <c r="AZ3628" s="3" t="s">
        <v>30619</v>
      </c>
      <c r="BA3628" s="3" t="s">
        <v>30619</v>
      </c>
      <c r="BB3628" s="3" t="s">
        <v>30620</v>
      </c>
      <c r="BC3628" s="3" t="s">
        <v>82</v>
      </c>
      <c r="BD3628" s="3" t="s">
        <v>70</v>
      </c>
      <c r="BE3628" s="3" t="s">
        <v>30621</v>
      </c>
      <c r="BF3628" s="3" t="s">
        <v>30620</v>
      </c>
      <c r="BG3628" s="3" t="s">
        <v>30622</v>
      </c>
    </row>
    <row r="3629" spans="1:59" ht="75" x14ac:dyDescent="0.25">
      <c r="A3629" s="2" t="s">
        <v>59</v>
      </c>
      <c r="B3629" s="2" t="s">
        <v>60</v>
      </c>
      <c r="C3629" s="2" t="s">
        <v>30623</v>
      </c>
      <c r="D3629" s="2" t="s">
        <v>30624</v>
      </c>
      <c r="E3629" s="2" t="s">
        <v>30625</v>
      </c>
      <c r="G3629" s="3" t="s">
        <v>63</v>
      </c>
      <c r="I3629" s="3" t="s">
        <v>63</v>
      </c>
      <c r="J3629" s="3" t="s">
        <v>63</v>
      </c>
      <c r="K3629" s="3" t="s">
        <v>64</v>
      </c>
      <c r="L3629" s="2" t="s">
        <v>30593</v>
      </c>
      <c r="M3629" s="2" t="s">
        <v>20033</v>
      </c>
      <c r="N3629" s="3" t="s">
        <v>130</v>
      </c>
      <c r="P3629" s="3" t="s">
        <v>90</v>
      </c>
      <c r="Q3629" s="2" t="s">
        <v>29586</v>
      </c>
      <c r="R3629" s="3" t="s">
        <v>67</v>
      </c>
      <c r="S3629" s="4">
        <v>1</v>
      </c>
      <c r="T3629" s="4">
        <v>1</v>
      </c>
      <c r="U3629" s="5" t="s">
        <v>29098</v>
      </c>
      <c r="V3629" s="5" t="s">
        <v>29098</v>
      </c>
      <c r="W3629" s="5" t="s">
        <v>69</v>
      </c>
      <c r="X3629" s="5" t="s">
        <v>69</v>
      </c>
      <c r="Y3629" s="4">
        <v>46</v>
      </c>
      <c r="Z3629" s="4">
        <v>4</v>
      </c>
      <c r="AA3629" s="4">
        <v>4</v>
      </c>
      <c r="AB3629" s="4">
        <v>1</v>
      </c>
      <c r="AC3629" s="4">
        <v>1</v>
      </c>
      <c r="AD3629" s="4">
        <v>35</v>
      </c>
      <c r="AE3629" s="4">
        <v>35</v>
      </c>
      <c r="AF3629" s="4">
        <v>0</v>
      </c>
      <c r="AG3629" s="4">
        <v>0</v>
      </c>
      <c r="AH3629" s="4">
        <v>34</v>
      </c>
      <c r="AI3629" s="4">
        <v>34</v>
      </c>
      <c r="AJ3629" s="4">
        <v>2</v>
      </c>
      <c r="AK3629" s="4">
        <v>2</v>
      </c>
      <c r="AL3629" s="4">
        <v>27</v>
      </c>
      <c r="AM3629" s="4">
        <v>27</v>
      </c>
      <c r="AN3629" s="4">
        <v>0</v>
      </c>
      <c r="AO3629" s="4">
        <v>0</v>
      </c>
      <c r="AP3629" s="4">
        <v>2</v>
      </c>
      <c r="AQ3629" s="4">
        <v>2</v>
      </c>
      <c r="AR3629" s="3" t="s">
        <v>63</v>
      </c>
      <c r="AS3629" s="3" t="s">
        <v>63</v>
      </c>
      <c r="AT3629" s="3" t="s">
        <v>63</v>
      </c>
      <c r="AV3629" s="6" t="str">
        <f>HYPERLINK("http://mcgill.on.worldcat.org/oclc/879984424","Catalog Record")</f>
        <v>Catalog Record</v>
      </c>
      <c r="AW3629" s="6" t="str">
        <f>HYPERLINK("http://www.worldcat.org/oclc/879984424","WorldCat Record")</f>
        <v>WorldCat Record</v>
      </c>
      <c r="AX3629" s="3" t="s">
        <v>30626</v>
      </c>
      <c r="AY3629" s="3" t="s">
        <v>30627</v>
      </c>
      <c r="AZ3629" s="3" t="s">
        <v>30628</v>
      </c>
      <c r="BA3629" s="3" t="s">
        <v>30628</v>
      </c>
      <c r="BB3629" s="3" t="s">
        <v>30629</v>
      </c>
      <c r="BC3629" s="3" t="s">
        <v>82</v>
      </c>
      <c r="BD3629" s="3" t="s">
        <v>70</v>
      </c>
      <c r="BE3629" s="3" t="s">
        <v>30630</v>
      </c>
      <c r="BF3629" s="3" t="s">
        <v>30629</v>
      </c>
      <c r="BG3629" s="3" t="s">
        <v>30631</v>
      </c>
    </row>
    <row r="3630" spans="1:59" ht="75" x14ac:dyDescent="0.25">
      <c r="A3630" s="2" t="s">
        <v>59</v>
      </c>
      <c r="B3630" s="2" t="s">
        <v>60</v>
      </c>
      <c r="C3630" s="2" t="s">
        <v>30632</v>
      </c>
      <c r="D3630" s="2" t="s">
        <v>30633</v>
      </c>
      <c r="E3630" s="2" t="s">
        <v>30634</v>
      </c>
      <c r="G3630" s="3" t="s">
        <v>63</v>
      </c>
      <c r="I3630" s="3" t="s">
        <v>63</v>
      </c>
      <c r="J3630" s="3" t="s">
        <v>63</v>
      </c>
      <c r="K3630" s="3" t="s">
        <v>64</v>
      </c>
      <c r="L3630" s="2" t="s">
        <v>30635</v>
      </c>
      <c r="M3630" s="2" t="s">
        <v>8346</v>
      </c>
      <c r="N3630" s="3" t="s">
        <v>3640</v>
      </c>
      <c r="P3630" s="3" t="s">
        <v>66</v>
      </c>
      <c r="R3630" s="3" t="s">
        <v>67</v>
      </c>
      <c r="S3630" s="4">
        <v>5</v>
      </c>
      <c r="T3630" s="4">
        <v>5</v>
      </c>
      <c r="U3630" s="5" t="s">
        <v>30636</v>
      </c>
      <c r="V3630" s="5" t="s">
        <v>30636</v>
      </c>
      <c r="W3630" s="5" t="s">
        <v>69</v>
      </c>
      <c r="X3630" s="5" t="s">
        <v>69</v>
      </c>
      <c r="Y3630" s="4">
        <v>269</v>
      </c>
      <c r="Z3630" s="4">
        <v>18</v>
      </c>
      <c r="AA3630" s="4">
        <v>18</v>
      </c>
      <c r="AB3630" s="4">
        <v>1</v>
      </c>
      <c r="AC3630" s="4">
        <v>1</v>
      </c>
      <c r="AD3630" s="4">
        <v>97</v>
      </c>
      <c r="AE3630" s="4">
        <v>97</v>
      </c>
      <c r="AF3630" s="4">
        <v>0</v>
      </c>
      <c r="AG3630" s="4">
        <v>0</v>
      </c>
      <c r="AH3630" s="4">
        <v>90</v>
      </c>
      <c r="AI3630" s="4">
        <v>90</v>
      </c>
      <c r="AJ3630" s="4">
        <v>15</v>
      </c>
      <c r="AK3630" s="4">
        <v>15</v>
      </c>
      <c r="AL3630" s="4">
        <v>53</v>
      </c>
      <c r="AM3630" s="4">
        <v>53</v>
      </c>
      <c r="AN3630" s="4">
        <v>0</v>
      </c>
      <c r="AO3630" s="4">
        <v>0</v>
      </c>
      <c r="AP3630" s="4">
        <v>15</v>
      </c>
      <c r="AQ3630" s="4">
        <v>15</v>
      </c>
      <c r="AR3630" s="3" t="s">
        <v>63</v>
      </c>
      <c r="AS3630" s="3" t="s">
        <v>63</v>
      </c>
      <c r="AT3630" s="3" t="s">
        <v>62</v>
      </c>
      <c r="AU3630" s="6" t="str">
        <f>HYPERLINK("http://catalog.hathitrust.org/Record/000243293","HathiTrust Record")</f>
        <v>HathiTrust Record</v>
      </c>
      <c r="AV3630" s="6" t="str">
        <f>HYPERLINK("http://mcgill.on.worldcat.org/oclc/9828391","Catalog Record")</f>
        <v>Catalog Record</v>
      </c>
      <c r="AW3630" s="6" t="str">
        <f>HYPERLINK("http://www.worldcat.org/oclc/9828391","WorldCat Record")</f>
        <v>WorldCat Record</v>
      </c>
      <c r="AX3630" s="3" t="s">
        <v>30637</v>
      </c>
      <c r="AY3630" s="3" t="s">
        <v>30638</v>
      </c>
      <c r="AZ3630" s="3" t="s">
        <v>30639</v>
      </c>
      <c r="BA3630" s="3" t="s">
        <v>30639</v>
      </c>
      <c r="BB3630" s="3" t="s">
        <v>30640</v>
      </c>
      <c r="BC3630" s="3" t="s">
        <v>82</v>
      </c>
      <c r="BD3630" s="3" t="s">
        <v>538</v>
      </c>
      <c r="BE3630" s="3" t="s">
        <v>30641</v>
      </c>
      <c r="BF3630" s="3" t="s">
        <v>30640</v>
      </c>
      <c r="BG3630" s="3" t="s">
        <v>30642</v>
      </c>
    </row>
    <row r="3631" spans="1:59" ht="75" x14ac:dyDescent="0.25">
      <c r="A3631" s="2" t="s">
        <v>59</v>
      </c>
      <c r="B3631" s="2" t="s">
        <v>60</v>
      </c>
      <c r="C3631" s="2" t="s">
        <v>30643</v>
      </c>
      <c r="D3631" s="2" t="s">
        <v>30644</v>
      </c>
      <c r="E3631" s="2" t="s">
        <v>30645</v>
      </c>
      <c r="G3631" s="3" t="s">
        <v>63</v>
      </c>
      <c r="I3631" s="3" t="s">
        <v>63</v>
      </c>
      <c r="J3631" s="3" t="s">
        <v>63</v>
      </c>
      <c r="K3631" s="3" t="s">
        <v>64</v>
      </c>
      <c r="L3631" s="2" t="s">
        <v>30646</v>
      </c>
      <c r="M3631" s="2" t="s">
        <v>30647</v>
      </c>
      <c r="N3631" s="3" t="s">
        <v>2765</v>
      </c>
      <c r="P3631" s="3" t="s">
        <v>90</v>
      </c>
      <c r="Q3631" s="2" t="s">
        <v>30648</v>
      </c>
      <c r="R3631" s="3" t="s">
        <v>67</v>
      </c>
      <c r="S3631" s="4">
        <v>1</v>
      </c>
      <c r="T3631" s="4">
        <v>1</v>
      </c>
      <c r="U3631" s="5" t="s">
        <v>21373</v>
      </c>
      <c r="V3631" s="5" t="s">
        <v>21373</v>
      </c>
      <c r="W3631" s="5" t="s">
        <v>69</v>
      </c>
      <c r="X3631" s="5" t="s">
        <v>69</v>
      </c>
      <c r="Y3631" s="4">
        <v>52</v>
      </c>
      <c r="Z3631" s="4">
        <v>7</v>
      </c>
      <c r="AA3631" s="4">
        <v>7</v>
      </c>
      <c r="AB3631" s="4">
        <v>1</v>
      </c>
      <c r="AC3631" s="4">
        <v>1</v>
      </c>
      <c r="AD3631" s="4">
        <v>26</v>
      </c>
      <c r="AE3631" s="4">
        <v>27</v>
      </c>
      <c r="AF3631" s="4">
        <v>0</v>
      </c>
      <c r="AG3631" s="4">
        <v>0</v>
      </c>
      <c r="AH3631" s="4">
        <v>25</v>
      </c>
      <c r="AI3631" s="4">
        <v>26</v>
      </c>
      <c r="AJ3631" s="4">
        <v>3</v>
      </c>
      <c r="AK3631" s="4">
        <v>3</v>
      </c>
      <c r="AL3631" s="4">
        <v>18</v>
      </c>
      <c r="AM3631" s="4">
        <v>19</v>
      </c>
      <c r="AN3631" s="4">
        <v>0</v>
      </c>
      <c r="AO3631" s="4">
        <v>0</v>
      </c>
      <c r="AP3631" s="4">
        <v>3</v>
      </c>
      <c r="AQ3631" s="4">
        <v>3</v>
      </c>
      <c r="AR3631" s="3" t="s">
        <v>63</v>
      </c>
      <c r="AS3631" s="3" t="s">
        <v>63</v>
      </c>
      <c r="AT3631" s="3" t="s">
        <v>63</v>
      </c>
      <c r="AV3631" s="6" t="str">
        <f>HYPERLINK("http://mcgill.on.worldcat.org/oclc/922337469","Catalog Record")</f>
        <v>Catalog Record</v>
      </c>
      <c r="AW3631" s="6" t="str">
        <f>HYPERLINK("http://www.worldcat.org/oclc/922337469","WorldCat Record")</f>
        <v>WorldCat Record</v>
      </c>
      <c r="AX3631" s="3" t="s">
        <v>30649</v>
      </c>
      <c r="AY3631" s="3" t="s">
        <v>30650</v>
      </c>
      <c r="AZ3631" s="3" t="s">
        <v>30651</v>
      </c>
      <c r="BA3631" s="3" t="s">
        <v>30651</v>
      </c>
      <c r="BB3631" s="3" t="s">
        <v>30652</v>
      </c>
      <c r="BC3631" s="3" t="s">
        <v>82</v>
      </c>
      <c r="BD3631" s="3" t="s">
        <v>70</v>
      </c>
      <c r="BE3631" s="3" t="s">
        <v>30653</v>
      </c>
      <c r="BF3631" s="3" t="s">
        <v>30652</v>
      </c>
      <c r="BG3631" s="3" t="s">
        <v>30654</v>
      </c>
    </row>
    <row r="3632" spans="1:59" ht="75" x14ac:dyDescent="0.25">
      <c r="A3632" s="2" t="s">
        <v>59</v>
      </c>
      <c r="B3632" s="2" t="s">
        <v>60</v>
      </c>
      <c r="C3632" s="2" t="s">
        <v>30655</v>
      </c>
      <c r="D3632" s="2" t="s">
        <v>30656</v>
      </c>
      <c r="E3632" s="2" t="s">
        <v>30657</v>
      </c>
      <c r="G3632" s="3" t="s">
        <v>63</v>
      </c>
      <c r="I3632" s="3" t="s">
        <v>63</v>
      </c>
      <c r="J3632" s="3" t="s">
        <v>63</v>
      </c>
      <c r="K3632" s="3" t="s">
        <v>64</v>
      </c>
      <c r="L3632" s="2" t="s">
        <v>30658</v>
      </c>
      <c r="M3632" s="2" t="s">
        <v>30659</v>
      </c>
      <c r="N3632" s="3" t="s">
        <v>76</v>
      </c>
      <c r="P3632" s="3" t="s">
        <v>90</v>
      </c>
      <c r="R3632" s="3" t="s">
        <v>67</v>
      </c>
      <c r="S3632" s="4">
        <v>2</v>
      </c>
      <c r="T3632" s="4">
        <v>2</v>
      </c>
      <c r="U3632" s="5" t="s">
        <v>16212</v>
      </c>
      <c r="V3632" s="5" t="s">
        <v>16212</v>
      </c>
      <c r="W3632" s="5" t="s">
        <v>69</v>
      </c>
      <c r="X3632" s="5" t="s">
        <v>69</v>
      </c>
      <c r="Y3632" s="4">
        <v>10</v>
      </c>
      <c r="Z3632" s="4">
        <v>1</v>
      </c>
      <c r="AA3632" s="4">
        <v>1</v>
      </c>
      <c r="AB3632" s="4">
        <v>1</v>
      </c>
      <c r="AC3632" s="4">
        <v>1</v>
      </c>
      <c r="AD3632" s="4">
        <v>8</v>
      </c>
      <c r="AE3632" s="4">
        <v>8</v>
      </c>
      <c r="AF3632" s="4">
        <v>0</v>
      </c>
      <c r="AG3632" s="4">
        <v>0</v>
      </c>
      <c r="AH3632" s="4">
        <v>8</v>
      </c>
      <c r="AI3632" s="4">
        <v>8</v>
      </c>
      <c r="AJ3632" s="4">
        <v>0</v>
      </c>
      <c r="AK3632" s="4">
        <v>0</v>
      </c>
      <c r="AL3632" s="4">
        <v>5</v>
      </c>
      <c r="AM3632" s="4">
        <v>5</v>
      </c>
      <c r="AN3632" s="4">
        <v>0</v>
      </c>
      <c r="AO3632" s="4">
        <v>0</v>
      </c>
      <c r="AP3632" s="4">
        <v>0</v>
      </c>
      <c r="AQ3632" s="4">
        <v>0</v>
      </c>
      <c r="AR3632" s="3" t="s">
        <v>63</v>
      </c>
      <c r="AS3632" s="3" t="s">
        <v>63</v>
      </c>
      <c r="AT3632" s="3" t="s">
        <v>63</v>
      </c>
      <c r="AV3632" s="6" t="str">
        <f>HYPERLINK("http://mcgill.on.worldcat.org/oclc/823894271","Catalog Record")</f>
        <v>Catalog Record</v>
      </c>
      <c r="AW3632" s="6" t="str">
        <f>HYPERLINK("http://www.worldcat.org/oclc/823894271","WorldCat Record")</f>
        <v>WorldCat Record</v>
      </c>
      <c r="AX3632" s="3" t="s">
        <v>30660</v>
      </c>
      <c r="AY3632" s="3" t="s">
        <v>30661</v>
      </c>
      <c r="AZ3632" s="3" t="s">
        <v>30662</v>
      </c>
      <c r="BA3632" s="3" t="s">
        <v>30662</v>
      </c>
      <c r="BB3632" s="3" t="s">
        <v>30663</v>
      </c>
      <c r="BC3632" s="3" t="s">
        <v>82</v>
      </c>
      <c r="BD3632" s="3" t="s">
        <v>70</v>
      </c>
      <c r="BE3632" s="3" t="s">
        <v>30664</v>
      </c>
      <c r="BF3632" s="3" t="s">
        <v>30663</v>
      </c>
      <c r="BG3632" s="3" t="s">
        <v>30665</v>
      </c>
    </row>
    <row r="3633" spans="1:59" ht="75" x14ac:dyDescent="0.25">
      <c r="A3633" s="2" t="s">
        <v>59</v>
      </c>
      <c r="B3633" s="2" t="s">
        <v>60</v>
      </c>
      <c r="C3633" s="2" t="s">
        <v>30666</v>
      </c>
      <c r="D3633" s="2" t="s">
        <v>30667</v>
      </c>
      <c r="E3633" s="2" t="s">
        <v>30668</v>
      </c>
      <c r="G3633" s="3" t="s">
        <v>63</v>
      </c>
      <c r="I3633" s="3" t="s">
        <v>63</v>
      </c>
      <c r="J3633" s="3" t="s">
        <v>63</v>
      </c>
      <c r="K3633" s="3" t="s">
        <v>64</v>
      </c>
      <c r="L3633" s="2" t="s">
        <v>30669</v>
      </c>
      <c r="M3633" s="2" t="s">
        <v>30670</v>
      </c>
      <c r="N3633" s="3" t="s">
        <v>1226</v>
      </c>
      <c r="O3633" s="2" t="s">
        <v>590</v>
      </c>
      <c r="P3633" s="3" t="s">
        <v>66</v>
      </c>
      <c r="R3633" s="3" t="s">
        <v>67</v>
      </c>
      <c r="S3633" s="4">
        <v>1</v>
      </c>
      <c r="T3633" s="4">
        <v>1</v>
      </c>
      <c r="U3633" s="5" t="s">
        <v>2626</v>
      </c>
      <c r="V3633" s="5" t="s">
        <v>2626</v>
      </c>
      <c r="W3633" s="5" t="s">
        <v>69</v>
      </c>
      <c r="X3633" s="5" t="s">
        <v>69</v>
      </c>
      <c r="Y3633" s="4">
        <v>108</v>
      </c>
      <c r="Z3633" s="4">
        <v>6</v>
      </c>
      <c r="AA3633" s="4">
        <v>6</v>
      </c>
      <c r="AB3633" s="4">
        <v>1</v>
      </c>
      <c r="AC3633" s="4">
        <v>1</v>
      </c>
      <c r="AD3633" s="4">
        <v>59</v>
      </c>
      <c r="AE3633" s="4">
        <v>59</v>
      </c>
      <c r="AF3633" s="4">
        <v>0</v>
      </c>
      <c r="AG3633" s="4">
        <v>0</v>
      </c>
      <c r="AH3633" s="4">
        <v>57</v>
      </c>
      <c r="AI3633" s="4">
        <v>57</v>
      </c>
      <c r="AJ3633" s="4">
        <v>3</v>
      </c>
      <c r="AK3633" s="4">
        <v>3</v>
      </c>
      <c r="AL3633" s="4">
        <v>35</v>
      </c>
      <c r="AM3633" s="4">
        <v>35</v>
      </c>
      <c r="AN3633" s="4">
        <v>0</v>
      </c>
      <c r="AO3633" s="4">
        <v>0</v>
      </c>
      <c r="AP3633" s="4">
        <v>3</v>
      </c>
      <c r="AQ3633" s="4">
        <v>3</v>
      </c>
      <c r="AR3633" s="3" t="s">
        <v>63</v>
      </c>
      <c r="AS3633" s="3" t="s">
        <v>63</v>
      </c>
      <c r="AT3633" s="3" t="s">
        <v>62</v>
      </c>
      <c r="AU3633" s="6" t="str">
        <f>HYPERLINK("http://catalog.hathitrust.org/Record/004358441","HathiTrust Record")</f>
        <v>HathiTrust Record</v>
      </c>
      <c r="AV3633" s="6" t="str">
        <f>HYPERLINK("http://mcgill.on.worldcat.org/oclc/54022686","Catalog Record")</f>
        <v>Catalog Record</v>
      </c>
      <c r="AW3633" s="6" t="str">
        <f>HYPERLINK("http://www.worldcat.org/oclc/54022686","WorldCat Record")</f>
        <v>WorldCat Record</v>
      </c>
      <c r="AX3633" s="3" t="s">
        <v>30671</v>
      </c>
      <c r="AY3633" s="3" t="s">
        <v>30672</v>
      </c>
      <c r="AZ3633" s="3" t="s">
        <v>30673</v>
      </c>
      <c r="BA3633" s="3" t="s">
        <v>30673</v>
      </c>
      <c r="BB3633" s="3" t="s">
        <v>30674</v>
      </c>
      <c r="BC3633" s="3" t="s">
        <v>82</v>
      </c>
      <c r="BD3633" s="3" t="s">
        <v>70</v>
      </c>
      <c r="BE3633" s="3" t="s">
        <v>30675</v>
      </c>
      <c r="BF3633" s="3" t="s">
        <v>30674</v>
      </c>
      <c r="BG3633" s="3" t="s">
        <v>30676</v>
      </c>
    </row>
    <row r="3634" spans="1:59" ht="75" x14ac:dyDescent="0.25">
      <c r="A3634" s="2" t="s">
        <v>59</v>
      </c>
      <c r="B3634" s="2" t="s">
        <v>60</v>
      </c>
      <c r="C3634" s="2" t="s">
        <v>30677</v>
      </c>
      <c r="D3634" s="2" t="s">
        <v>30678</v>
      </c>
      <c r="E3634" s="2" t="s">
        <v>30679</v>
      </c>
      <c r="G3634" s="3" t="s">
        <v>63</v>
      </c>
      <c r="I3634" s="3" t="s">
        <v>63</v>
      </c>
      <c r="J3634" s="3" t="s">
        <v>63</v>
      </c>
      <c r="K3634" s="3" t="s">
        <v>64</v>
      </c>
      <c r="L3634" s="2" t="s">
        <v>30680</v>
      </c>
      <c r="M3634" s="2" t="s">
        <v>30681</v>
      </c>
      <c r="N3634" s="3" t="s">
        <v>313</v>
      </c>
      <c r="P3634" s="3" t="s">
        <v>90</v>
      </c>
      <c r="Q3634" s="2" t="s">
        <v>29607</v>
      </c>
      <c r="R3634" s="3" t="s">
        <v>67</v>
      </c>
      <c r="S3634" s="4">
        <v>5</v>
      </c>
      <c r="T3634" s="4">
        <v>5</v>
      </c>
      <c r="U3634" s="5" t="s">
        <v>16212</v>
      </c>
      <c r="V3634" s="5" t="s">
        <v>16212</v>
      </c>
      <c r="W3634" s="5" t="s">
        <v>69</v>
      </c>
      <c r="X3634" s="5" t="s">
        <v>69</v>
      </c>
      <c r="Y3634" s="4">
        <v>31</v>
      </c>
      <c r="Z3634" s="4">
        <v>3</v>
      </c>
      <c r="AA3634" s="4">
        <v>6</v>
      </c>
      <c r="AB3634" s="4">
        <v>1</v>
      </c>
      <c r="AC3634" s="4">
        <v>1</v>
      </c>
      <c r="AD3634" s="4">
        <v>23</v>
      </c>
      <c r="AE3634" s="4">
        <v>27</v>
      </c>
      <c r="AF3634" s="4">
        <v>0</v>
      </c>
      <c r="AG3634" s="4">
        <v>0</v>
      </c>
      <c r="AH3634" s="4">
        <v>22</v>
      </c>
      <c r="AI3634" s="4">
        <v>26</v>
      </c>
      <c r="AJ3634" s="4">
        <v>1</v>
      </c>
      <c r="AK3634" s="4">
        <v>3</v>
      </c>
      <c r="AL3634" s="4">
        <v>19</v>
      </c>
      <c r="AM3634" s="4">
        <v>21</v>
      </c>
      <c r="AN3634" s="4">
        <v>0</v>
      </c>
      <c r="AO3634" s="4">
        <v>0</v>
      </c>
      <c r="AP3634" s="4">
        <v>1</v>
      </c>
      <c r="AQ3634" s="4">
        <v>3</v>
      </c>
      <c r="AR3634" s="3" t="s">
        <v>63</v>
      </c>
      <c r="AS3634" s="3" t="s">
        <v>63</v>
      </c>
      <c r="AT3634" s="3" t="s">
        <v>63</v>
      </c>
      <c r="AV3634" s="6" t="str">
        <f>HYPERLINK("http://mcgill.on.worldcat.org/oclc/672013826","Catalog Record")</f>
        <v>Catalog Record</v>
      </c>
      <c r="AW3634" s="6" t="str">
        <f>HYPERLINK("http://www.worldcat.org/oclc/672013826","WorldCat Record")</f>
        <v>WorldCat Record</v>
      </c>
      <c r="AX3634" s="3" t="s">
        <v>30682</v>
      </c>
      <c r="AY3634" s="3" t="s">
        <v>30683</v>
      </c>
      <c r="AZ3634" s="3" t="s">
        <v>30684</v>
      </c>
      <c r="BA3634" s="3" t="s">
        <v>30684</v>
      </c>
      <c r="BB3634" s="3" t="s">
        <v>30685</v>
      </c>
      <c r="BC3634" s="3" t="s">
        <v>82</v>
      </c>
      <c r="BD3634" s="3" t="s">
        <v>70</v>
      </c>
      <c r="BE3634" s="3" t="s">
        <v>30686</v>
      </c>
      <c r="BF3634" s="3" t="s">
        <v>30685</v>
      </c>
      <c r="BG3634" s="3" t="s">
        <v>30687</v>
      </c>
    </row>
    <row r="3635" spans="1:59" ht="75" x14ac:dyDescent="0.25">
      <c r="A3635" s="2" t="s">
        <v>59</v>
      </c>
      <c r="B3635" s="2" t="s">
        <v>60</v>
      </c>
      <c r="C3635" s="2" t="s">
        <v>30688</v>
      </c>
      <c r="D3635" s="2" t="s">
        <v>30689</v>
      </c>
      <c r="E3635" s="2" t="s">
        <v>30690</v>
      </c>
      <c r="G3635" s="3" t="s">
        <v>63</v>
      </c>
      <c r="I3635" s="3" t="s">
        <v>63</v>
      </c>
      <c r="J3635" s="3" t="s">
        <v>63</v>
      </c>
      <c r="K3635" s="3" t="s">
        <v>64</v>
      </c>
      <c r="L3635" s="2" t="s">
        <v>30691</v>
      </c>
      <c r="M3635" s="2" t="s">
        <v>29606</v>
      </c>
      <c r="N3635" s="3" t="s">
        <v>629</v>
      </c>
      <c r="P3635" s="3" t="s">
        <v>90</v>
      </c>
      <c r="Q3635" s="2" t="s">
        <v>29607</v>
      </c>
      <c r="R3635" s="3" t="s">
        <v>67</v>
      </c>
      <c r="S3635" s="4">
        <v>0</v>
      </c>
      <c r="T3635" s="4">
        <v>0</v>
      </c>
      <c r="W3635" s="5" t="s">
        <v>69</v>
      </c>
      <c r="X3635" s="5" t="s">
        <v>69</v>
      </c>
      <c r="Y3635" s="4">
        <v>37</v>
      </c>
      <c r="Z3635" s="4">
        <v>4</v>
      </c>
      <c r="AA3635" s="4">
        <v>4</v>
      </c>
      <c r="AB3635" s="4">
        <v>1</v>
      </c>
      <c r="AC3635" s="4">
        <v>1</v>
      </c>
      <c r="AD3635" s="4">
        <v>30</v>
      </c>
      <c r="AE3635" s="4">
        <v>30</v>
      </c>
      <c r="AF3635" s="4">
        <v>0</v>
      </c>
      <c r="AG3635" s="4">
        <v>0</v>
      </c>
      <c r="AH3635" s="4">
        <v>29</v>
      </c>
      <c r="AI3635" s="4">
        <v>29</v>
      </c>
      <c r="AJ3635" s="4">
        <v>2</v>
      </c>
      <c r="AK3635" s="4">
        <v>2</v>
      </c>
      <c r="AL3635" s="4">
        <v>22</v>
      </c>
      <c r="AM3635" s="4">
        <v>22</v>
      </c>
      <c r="AN3635" s="4">
        <v>0</v>
      </c>
      <c r="AO3635" s="4">
        <v>0</v>
      </c>
      <c r="AP3635" s="4">
        <v>2</v>
      </c>
      <c r="AQ3635" s="4">
        <v>2</v>
      </c>
      <c r="AR3635" s="3" t="s">
        <v>63</v>
      </c>
      <c r="AS3635" s="3" t="s">
        <v>63</v>
      </c>
      <c r="AT3635" s="3" t="s">
        <v>63</v>
      </c>
      <c r="AV3635" s="6" t="str">
        <f>HYPERLINK("http://mcgill.on.worldcat.org/oclc/769145705","Catalog Record")</f>
        <v>Catalog Record</v>
      </c>
      <c r="AW3635" s="6" t="str">
        <f>HYPERLINK("http://www.worldcat.org/oclc/769145705","WorldCat Record")</f>
        <v>WorldCat Record</v>
      </c>
      <c r="AX3635" s="3" t="s">
        <v>30692</v>
      </c>
      <c r="AY3635" s="3" t="s">
        <v>30693</v>
      </c>
      <c r="AZ3635" s="3" t="s">
        <v>30694</v>
      </c>
      <c r="BA3635" s="3" t="s">
        <v>30694</v>
      </c>
      <c r="BB3635" s="3" t="s">
        <v>30695</v>
      </c>
      <c r="BC3635" s="3" t="s">
        <v>82</v>
      </c>
      <c r="BD3635" s="3" t="s">
        <v>70</v>
      </c>
      <c r="BE3635" s="3" t="s">
        <v>30696</v>
      </c>
      <c r="BF3635" s="3" t="s">
        <v>30695</v>
      </c>
      <c r="BG3635" s="3" t="s">
        <v>30697</v>
      </c>
    </row>
    <row r="3636" spans="1:59" ht="60" x14ac:dyDescent="0.25">
      <c r="A3636" s="2" t="s">
        <v>59</v>
      </c>
      <c r="B3636" s="2" t="s">
        <v>60</v>
      </c>
      <c r="C3636" s="2" t="s">
        <v>30698</v>
      </c>
      <c r="D3636" s="2" t="s">
        <v>30699</v>
      </c>
      <c r="E3636" s="2" t="s">
        <v>30700</v>
      </c>
      <c r="G3636" s="3" t="s">
        <v>63</v>
      </c>
      <c r="I3636" s="3" t="s">
        <v>63</v>
      </c>
      <c r="J3636" s="3" t="s">
        <v>63</v>
      </c>
      <c r="K3636" s="3" t="s">
        <v>64</v>
      </c>
      <c r="L3636" s="2" t="s">
        <v>30701</v>
      </c>
      <c r="M3636" s="2" t="s">
        <v>30702</v>
      </c>
      <c r="N3636" s="3" t="s">
        <v>313</v>
      </c>
      <c r="P3636" s="3" t="s">
        <v>90</v>
      </c>
      <c r="R3636" s="3" t="s">
        <v>67</v>
      </c>
      <c r="S3636" s="4">
        <v>3</v>
      </c>
      <c r="T3636" s="4">
        <v>3</v>
      </c>
      <c r="U3636" s="5" t="s">
        <v>30703</v>
      </c>
      <c r="V3636" s="5" t="s">
        <v>30703</v>
      </c>
      <c r="W3636" s="5" t="s">
        <v>69</v>
      </c>
      <c r="X3636" s="5" t="s">
        <v>69</v>
      </c>
      <c r="Y3636" s="4">
        <v>22</v>
      </c>
      <c r="Z3636" s="4">
        <v>2</v>
      </c>
      <c r="AA3636" s="4">
        <v>3</v>
      </c>
      <c r="AB3636" s="4">
        <v>1</v>
      </c>
      <c r="AC3636" s="4">
        <v>1</v>
      </c>
      <c r="AD3636" s="4">
        <v>17</v>
      </c>
      <c r="AE3636" s="4">
        <v>31</v>
      </c>
      <c r="AF3636" s="4">
        <v>0</v>
      </c>
      <c r="AG3636" s="4">
        <v>0</v>
      </c>
      <c r="AH3636" s="4">
        <v>17</v>
      </c>
      <c r="AI3636" s="4">
        <v>30</v>
      </c>
      <c r="AJ3636" s="4">
        <v>1</v>
      </c>
      <c r="AK3636" s="4">
        <v>2</v>
      </c>
      <c r="AL3636" s="4">
        <v>12</v>
      </c>
      <c r="AM3636" s="4">
        <v>23</v>
      </c>
      <c r="AN3636" s="4">
        <v>0</v>
      </c>
      <c r="AO3636" s="4">
        <v>0</v>
      </c>
      <c r="AP3636" s="4">
        <v>1</v>
      </c>
      <c r="AQ3636" s="4">
        <v>2</v>
      </c>
      <c r="AR3636" s="3" t="s">
        <v>63</v>
      </c>
      <c r="AS3636" s="3" t="s">
        <v>63</v>
      </c>
      <c r="AT3636" s="3" t="s">
        <v>63</v>
      </c>
      <c r="AV3636" s="6" t="str">
        <f>HYPERLINK("http://mcgill.on.worldcat.org/oclc/656165410","Catalog Record")</f>
        <v>Catalog Record</v>
      </c>
      <c r="AW3636" s="6" t="str">
        <f>HYPERLINK("http://www.worldcat.org/oclc/656165410","WorldCat Record")</f>
        <v>WorldCat Record</v>
      </c>
      <c r="AX3636" s="3" t="s">
        <v>30704</v>
      </c>
      <c r="AY3636" s="3" t="s">
        <v>30705</v>
      </c>
      <c r="AZ3636" s="3" t="s">
        <v>30706</v>
      </c>
      <c r="BA3636" s="3" t="s">
        <v>30706</v>
      </c>
      <c r="BB3636" s="3" t="s">
        <v>30707</v>
      </c>
      <c r="BC3636" s="3" t="s">
        <v>82</v>
      </c>
      <c r="BD3636" s="3" t="s">
        <v>70</v>
      </c>
      <c r="BE3636" s="3" t="s">
        <v>30708</v>
      </c>
      <c r="BF3636" s="3" t="s">
        <v>30707</v>
      </c>
      <c r="BG3636" s="3" t="s">
        <v>30709</v>
      </c>
    </row>
    <row r="3637" spans="1:59" ht="60" x14ac:dyDescent="0.25">
      <c r="A3637" s="2" t="s">
        <v>59</v>
      </c>
      <c r="B3637" s="2" t="s">
        <v>60</v>
      </c>
      <c r="C3637" s="2" t="s">
        <v>30710</v>
      </c>
      <c r="D3637" s="2" t="s">
        <v>30711</v>
      </c>
      <c r="E3637" s="2" t="s">
        <v>30712</v>
      </c>
      <c r="G3637" s="3" t="s">
        <v>63</v>
      </c>
      <c r="I3637" s="3" t="s">
        <v>63</v>
      </c>
      <c r="J3637" s="3" t="s">
        <v>63</v>
      </c>
      <c r="K3637" s="3" t="s">
        <v>64</v>
      </c>
      <c r="L3637" s="2" t="s">
        <v>30701</v>
      </c>
      <c r="M3637" s="2" t="s">
        <v>30061</v>
      </c>
      <c r="N3637" s="3" t="s">
        <v>76</v>
      </c>
      <c r="P3637" s="3" t="s">
        <v>90</v>
      </c>
      <c r="R3637" s="3" t="s">
        <v>67</v>
      </c>
      <c r="S3637" s="4">
        <v>1</v>
      </c>
      <c r="T3637" s="4">
        <v>1</v>
      </c>
      <c r="U3637" s="5" t="s">
        <v>15042</v>
      </c>
      <c r="V3637" s="5" t="s">
        <v>15042</v>
      </c>
      <c r="W3637" s="5" t="s">
        <v>69</v>
      </c>
      <c r="X3637" s="5" t="s">
        <v>69</v>
      </c>
      <c r="Y3637" s="4">
        <v>32</v>
      </c>
      <c r="Z3637" s="4">
        <v>1</v>
      </c>
      <c r="AA3637" s="4">
        <v>1</v>
      </c>
      <c r="AB3637" s="4">
        <v>1</v>
      </c>
      <c r="AC3637" s="4">
        <v>1</v>
      </c>
      <c r="AD3637" s="4">
        <v>19</v>
      </c>
      <c r="AE3637" s="4">
        <v>19</v>
      </c>
      <c r="AF3637" s="4">
        <v>0</v>
      </c>
      <c r="AG3637" s="4">
        <v>0</v>
      </c>
      <c r="AH3637" s="4">
        <v>18</v>
      </c>
      <c r="AI3637" s="4">
        <v>18</v>
      </c>
      <c r="AJ3637" s="4">
        <v>0</v>
      </c>
      <c r="AK3637" s="4">
        <v>0</v>
      </c>
      <c r="AL3637" s="4">
        <v>16</v>
      </c>
      <c r="AM3637" s="4">
        <v>16</v>
      </c>
      <c r="AN3637" s="4">
        <v>0</v>
      </c>
      <c r="AO3637" s="4">
        <v>0</v>
      </c>
      <c r="AP3637" s="4">
        <v>0</v>
      </c>
      <c r="AQ3637" s="4">
        <v>0</v>
      </c>
      <c r="AR3637" s="3" t="s">
        <v>63</v>
      </c>
      <c r="AS3637" s="3" t="s">
        <v>63</v>
      </c>
      <c r="AT3637" s="3" t="s">
        <v>63</v>
      </c>
      <c r="AV3637" s="6" t="str">
        <f>HYPERLINK("http://mcgill.on.worldcat.org/oclc/794226819","Catalog Record")</f>
        <v>Catalog Record</v>
      </c>
      <c r="AW3637" s="6" t="str">
        <f>HYPERLINK("http://www.worldcat.org/oclc/794226819","WorldCat Record")</f>
        <v>WorldCat Record</v>
      </c>
      <c r="AX3637" s="3" t="s">
        <v>30713</v>
      </c>
      <c r="AY3637" s="3" t="s">
        <v>30714</v>
      </c>
      <c r="AZ3637" s="3" t="s">
        <v>30715</v>
      </c>
      <c r="BA3637" s="3" t="s">
        <v>30715</v>
      </c>
      <c r="BB3637" s="3" t="s">
        <v>30716</v>
      </c>
      <c r="BC3637" s="3" t="s">
        <v>82</v>
      </c>
      <c r="BD3637" s="3" t="s">
        <v>70</v>
      </c>
      <c r="BE3637" s="3" t="s">
        <v>30717</v>
      </c>
      <c r="BF3637" s="3" t="s">
        <v>30716</v>
      </c>
      <c r="BG3637" s="3" t="s">
        <v>30718</v>
      </c>
    </row>
    <row r="3638" spans="1:59" ht="60" x14ac:dyDescent="0.25">
      <c r="A3638" s="2" t="s">
        <v>59</v>
      </c>
      <c r="B3638" s="2" t="s">
        <v>60</v>
      </c>
      <c r="C3638" s="2" t="s">
        <v>30719</v>
      </c>
      <c r="D3638" s="2" t="s">
        <v>30720</v>
      </c>
      <c r="E3638" s="2" t="s">
        <v>30721</v>
      </c>
      <c r="G3638" s="3" t="s">
        <v>63</v>
      </c>
      <c r="I3638" s="3" t="s">
        <v>63</v>
      </c>
      <c r="J3638" s="3" t="s">
        <v>63</v>
      </c>
      <c r="K3638" s="3" t="s">
        <v>64</v>
      </c>
      <c r="L3638" s="2" t="s">
        <v>6190</v>
      </c>
      <c r="M3638" s="2" t="s">
        <v>30722</v>
      </c>
      <c r="N3638" s="3" t="s">
        <v>374</v>
      </c>
      <c r="P3638" s="3" t="s">
        <v>66</v>
      </c>
      <c r="R3638" s="3" t="s">
        <v>67</v>
      </c>
      <c r="S3638" s="4">
        <v>5</v>
      </c>
      <c r="T3638" s="4">
        <v>5</v>
      </c>
      <c r="U3638" s="5" t="s">
        <v>11915</v>
      </c>
      <c r="V3638" s="5" t="s">
        <v>11915</v>
      </c>
      <c r="W3638" s="5" t="s">
        <v>69</v>
      </c>
      <c r="X3638" s="5" t="s">
        <v>69</v>
      </c>
      <c r="Y3638" s="4">
        <v>273</v>
      </c>
      <c r="Z3638" s="4">
        <v>14</v>
      </c>
      <c r="AA3638" s="4">
        <v>14</v>
      </c>
      <c r="AB3638" s="4">
        <v>2</v>
      </c>
      <c r="AC3638" s="4">
        <v>2</v>
      </c>
      <c r="AD3638" s="4">
        <v>79</v>
      </c>
      <c r="AE3638" s="4">
        <v>79</v>
      </c>
      <c r="AF3638" s="4">
        <v>1</v>
      </c>
      <c r="AG3638" s="4">
        <v>1</v>
      </c>
      <c r="AH3638" s="4">
        <v>74</v>
      </c>
      <c r="AI3638" s="4">
        <v>74</v>
      </c>
      <c r="AJ3638" s="4">
        <v>9</v>
      </c>
      <c r="AK3638" s="4">
        <v>9</v>
      </c>
      <c r="AL3638" s="4">
        <v>47</v>
      </c>
      <c r="AM3638" s="4">
        <v>47</v>
      </c>
      <c r="AN3638" s="4">
        <v>0</v>
      </c>
      <c r="AO3638" s="4">
        <v>0</v>
      </c>
      <c r="AP3638" s="4">
        <v>9</v>
      </c>
      <c r="AQ3638" s="4">
        <v>9</v>
      </c>
      <c r="AR3638" s="3" t="s">
        <v>63</v>
      </c>
      <c r="AS3638" s="3" t="s">
        <v>63</v>
      </c>
      <c r="AT3638" s="3" t="s">
        <v>62</v>
      </c>
      <c r="AU3638" s="6" t="str">
        <f>HYPERLINK("http://catalog.hathitrust.org/Record/003124406","HathiTrust Record")</f>
        <v>HathiTrust Record</v>
      </c>
      <c r="AV3638" s="6" t="str">
        <f>HYPERLINK("http://mcgill.on.worldcat.org/oclc/34279875","Catalog Record")</f>
        <v>Catalog Record</v>
      </c>
      <c r="AW3638" s="6" t="str">
        <f>HYPERLINK("http://www.worldcat.org/oclc/34279875","WorldCat Record")</f>
        <v>WorldCat Record</v>
      </c>
      <c r="AX3638" s="3" t="s">
        <v>30723</v>
      </c>
      <c r="AY3638" s="3" t="s">
        <v>30724</v>
      </c>
      <c r="AZ3638" s="3" t="s">
        <v>30725</v>
      </c>
      <c r="BA3638" s="3" t="s">
        <v>30725</v>
      </c>
      <c r="BB3638" s="3" t="s">
        <v>30726</v>
      </c>
      <c r="BC3638" s="3" t="s">
        <v>82</v>
      </c>
      <c r="BD3638" s="3" t="s">
        <v>70</v>
      </c>
      <c r="BE3638" s="3" t="s">
        <v>30727</v>
      </c>
      <c r="BF3638" s="3" t="s">
        <v>30726</v>
      </c>
      <c r="BG3638" s="3" t="s">
        <v>30728</v>
      </c>
    </row>
    <row r="3639" spans="1:59" ht="60" x14ac:dyDescent="0.25">
      <c r="A3639" s="2" t="s">
        <v>59</v>
      </c>
      <c r="B3639" s="2" t="s">
        <v>60</v>
      </c>
      <c r="C3639" s="2" t="s">
        <v>30729</v>
      </c>
      <c r="D3639" s="2" t="s">
        <v>30730</v>
      </c>
      <c r="E3639" s="2" t="s">
        <v>30731</v>
      </c>
      <c r="G3639" s="3" t="s">
        <v>63</v>
      </c>
      <c r="I3639" s="3" t="s">
        <v>63</v>
      </c>
      <c r="J3639" s="3" t="s">
        <v>63</v>
      </c>
      <c r="K3639" s="3" t="s">
        <v>64</v>
      </c>
      <c r="M3639" s="2" t="s">
        <v>30732</v>
      </c>
      <c r="N3639" s="3" t="s">
        <v>76</v>
      </c>
      <c r="P3639" s="3" t="s">
        <v>66</v>
      </c>
      <c r="Q3639" s="2" t="s">
        <v>30733</v>
      </c>
      <c r="R3639" s="3" t="s">
        <v>67</v>
      </c>
      <c r="S3639" s="4">
        <v>0</v>
      </c>
      <c r="T3639" s="4">
        <v>0</v>
      </c>
      <c r="W3639" s="5" t="s">
        <v>69</v>
      </c>
      <c r="X3639" s="5" t="s">
        <v>69</v>
      </c>
      <c r="Y3639" s="4">
        <v>57</v>
      </c>
      <c r="Z3639" s="4">
        <v>6</v>
      </c>
      <c r="AA3639" s="4">
        <v>27</v>
      </c>
      <c r="AB3639" s="4">
        <v>1</v>
      </c>
      <c r="AC3639" s="4">
        <v>7</v>
      </c>
      <c r="AD3639" s="4">
        <v>28</v>
      </c>
      <c r="AE3639" s="4">
        <v>38</v>
      </c>
      <c r="AF3639" s="4">
        <v>0</v>
      </c>
      <c r="AG3639" s="4">
        <v>1</v>
      </c>
      <c r="AH3639" s="4">
        <v>26</v>
      </c>
      <c r="AI3639" s="4">
        <v>30</v>
      </c>
      <c r="AJ3639" s="4">
        <v>4</v>
      </c>
      <c r="AK3639" s="4">
        <v>6</v>
      </c>
      <c r="AL3639" s="4">
        <v>20</v>
      </c>
      <c r="AM3639" s="4">
        <v>22</v>
      </c>
      <c r="AN3639" s="4">
        <v>0</v>
      </c>
      <c r="AO3639" s="4">
        <v>0</v>
      </c>
      <c r="AP3639" s="4">
        <v>4</v>
      </c>
      <c r="AQ3639" s="4">
        <v>10</v>
      </c>
      <c r="AR3639" s="3" t="s">
        <v>63</v>
      </c>
      <c r="AS3639" s="3" t="s">
        <v>63</v>
      </c>
      <c r="AT3639" s="3" t="s">
        <v>63</v>
      </c>
      <c r="AV3639" s="6" t="str">
        <f>HYPERLINK("http://mcgill.on.worldcat.org/oclc/785786649","Catalog Record")</f>
        <v>Catalog Record</v>
      </c>
      <c r="AW3639" s="6" t="str">
        <f>HYPERLINK("http://www.worldcat.org/oclc/785786649","WorldCat Record")</f>
        <v>WorldCat Record</v>
      </c>
      <c r="AX3639" s="3" t="s">
        <v>30734</v>
      </c>
      <c r="AY3639" s="3" t="s">
        <v>30735</v>
      </c>
      <c r="AZ3639" s="3" t="s">
        <v>30736</v>
      </c>
      <c r="BA3639" s="3" t="s">
        <v>30736</v>
      </c>
      <c r="BB3639" s="3" t="s">
        <v>30737</v>
      </c>
      <c r="BC3639" s="3" t="s">
        <v>82</v>
      </c>
      <c r="BD3639" s="3" t="s">
        <v>70</v>
      </c>
      <c r="BE3639" s="3" t="s">
        <v>30738</v>
      </c>
      <c r="BF3639" s="3" t="s">
        <v>30737</v>
      </c>
      <c r="BG3639" s="3" t="s">
        <v>30739</v>
      </c>
    </row>
    <row r="3640" spans="1:59" ht="60" x14ac:dyDescent="0.25">
      <c r="A3640" s="2" t="s">
        <v>59</v>
      </c>
      <c r="B3640" s="2" t="s">
        <v>60</v>
      </c>
      <c r="C3640" s="2" t="s">
        <v>30740</v>
      </c>
      <c r="D3640" s="2" t="s">
        <v>30741</v>
      </c>
      <c r="E3640" s="2" t="s">
        <v>30742</v>
      </c>
      <c r="G3640" s="3" t="s">
        <v>63</v>
      </c>
      <c r="I3640" s="3" t="s">
        <v>63</v>
      </c>
      <c r="J3640" s="3" t="s">
        <v>63</v>
      </c>
      <c r="K3640" s="3" t="s">
        <v>64</v>
      </c>
      <c r="L3640" s="2" t="s">
        <v>30743</v>
      </c>
      <c r="M3640" s="2" t="s">
        <v>5236</v>
      </c>
      <c r="N3640" s="3" t="s">
        <v>106</v>
      </c>
      <c r="P3640" s="3" t="s">
        <v>90</v>
      </c>
      <c r="Q3640" s="2" t="s">
        <v>28975</v>
      </c>
      <c r="R3640" s="3" t="s">
        <v>67</v>
      </c>
      <c r="S3640" s="4">
        <v>2</v>
      </c>
      <c r="T3640" s="4">
        <v>2</v>
      </c>
      <c r="U3640" s="5" t="s">
        <v>2795</v>
      </c>
      <c r="V3640" s="5" t="s">
        <v>2795</v>
      </c>
      <c r="W3640" s="5" t="s">
        <v>69</v>
      </c>
      <c r="X3640" s="5" t="s">
        <v>69</v>
      </c>
      <c r="Y3640" s="4">
        <v>35</v>
      </c>
      <c r="Z3640" s="4">
        <v>1</v>
      </c>
      <c r="AA3640" s="4">
        <v>1</v>
      </c>
      <c r="AB3640" s="4">
        <v>1</v>
      </c>
      <c r="AC3640" s="4">
        <v>1</v>
      </c>
      <c r="AD3640" s="4">
        <v>29</v>
      </c>
      <c r="AE3640" s="4">
        <v>29</v>
      </c>
      <c r="AF3640" s="4">
        <v>0</v>
      </c>
      <c r="AG3640" s="4">
        <v>0</v>
      </c>
      <c r="AH3640" s="4">
        <v>28</v>
      </c>
      <c r="AI3640" s="4">
        <v>28</v>
      </c>
      <c r="AJ3640" s="4">
        <v>0</v>
      </c>
      <c r="AK3640" s="4">
        <v>0</v>
      </c>
      <c r="AL3640" s="4">
        <v>24</v>
      </c>
      <c r="AM3640" s="4">
        <v>24</v>
      </c>
      <c r="AN3640" s="4">
        <v>0</v>
      </c>
      <c r="AO3640" s="4">
        <v>0</v>
      </c>
      <c r="AP3640" s="4">
        <v>0</v>
      </c>
      <c r="AQ3640" s="4">
        <v>0</v>
      </c>
      <c r="AR3640" s="3" t="s">
        <v>63</v>
      </c>
      <c r="AS3640" s="3" t="s">
        <v>63</v>
      </c>
      <c r="AT3640" s="3" t="s">
        <v>63</v>
      </c>
      <c r="AV3640" s="6" t="str">
        <f>HYPERLINK("http://mcgill.on.worldcat.org/oclc/951432740","Catalog Record")</f>
        <v>Catalog Record</v>
      </c>
      <c r="AW3640" s="6" t="str">
        <f>HYPERLINK("http://www.worldcat.org/oclc/951432740","WorldCat Record")</f>
        <v>WorldCat Record</v>
      </c>
      <c r="AX3640" s="3" t="s">
        <v>30744</v>
      </c>
      <c r="AY3640" s="3" t="s">
        <v>30745</v>
      </c>
      <c r="AZ3640" s="3" t="s">
        <v>30746</v>
      </c>
      <c r="BA3640" s="3" t="s">
        <v>30746</v>
      </c>
      <c r="BB3640" s="3" t="s">
        <v>30747</v>
      </c>
      <c r="BC3640" s="3" t="s">
        <v>82</v>
      </c>
      <c r="BD3640" s="3" t="s">
        <v>70</v>
      </c>
      <c r="BE3640" s="3" t="s">
        <v>30748</v>
      </c>
      <c r="BF3640" s="3" t="s">
        <v>30747</v>
      </c>
      <c r="BG3640" s="3" t="s">
        <v>30749</v>
      </c>
    </row>
    <row r="3641" spans="1:59" ht="60" x14ac:dyDescent="0.25">
      <c r="A3641" s="2" t="s">
        <v>59</v>
      </c>
      <c r="B3641" s="2" t="s">
        <v>60</v>
      </c>
      <c r="C3641" s="2" t="s">
        <v>30750</v>
      </c>
      <c r="D3641" s="2" t="s">
        <v>30751</v>
      </c>
      <c r="E3641" s="2" t="s">
        <v>30752</v>
      </c>
      <c r="G3641" s="3" t="s">
        <v>63</v>
      </c>
      <c r="I3641" s="3" t="s">
        <v>63</v>
      </c>
      <c r="J3641" s="3" t="s">
        <v>63</v>
      </c>
      <c r="K3641" s="3" t="s">
        <v>64</v>
      </c>
      <c r="L3641" s="2" t="s">
        <v>30753</v>
      </c>
      <c r="M3641" s="2" t="s">
        <v>30754</v>
      </c>
      <c r="N3641" s="3" t="s">
        <v>706</v>
      </c>
      <c r="P3641" s="3" t="s">
        <v>90</v>
      </c>
      <c r="R3641" s="3" t="s">
        <v>67</v>
      </c>
      <c r="S3641" s="4">
        <v>13</v>
      </c>
      <c r="T3641" s="4">
        <v>13</v>
      </c>
      <c r="U3641" s="5" t="s">
        <v>29697</v>
      </c>
      <c r="V3641" s="5" t="s">
        <v>29697</v>
      </c>
      <c r="W3641" s="5" t="s">
        <v>69</v>
      </c>
      <c r="X3641" s="5" t="s">
        <v>69</v>
      </c>
      <c r="Y3641" s="4">
        <v>132</v>
      </c>
      <c r="Z3641" s="4">
        <v>13</v>
      </c>
      <c r="AA3641" s="4">
        <v>13</v>
      </c>
      <c r="AB3641" s="4">
        <v>1</v>
      </c>
      <c r="AC3641" s="4">
        <v>1</v>
      </c>
      <c r="AD3641" s="4">
        <v>70</v>
      </c>
      <c r="AE3641" s="4">
        <v>70</v>
      </c>
      <c r="AF3641" s="4">
        <v>0</v>
      </c>
      <c r="AG3641" s="4">
        <v>0</v>
      </c>
      <c r="AH3641" s="4">
        <v>65</v>
      </c>
      <c r="AI3641" s="4">
        <v>65</v>
      </c>
      <c r="AJ3641" s="4">
        <v>9</v>
      </c>
      <c r="AK3641" s="4">
        <v>9</v>
      </c>
      <c r="AL3641" s="4">
        <v>44</v>
      </c>
      <c r="AM3641" s="4">
        <v>44</v>
      </c>
      <c r="AN3641" s="4">
        <v>0</v>
      </c>
      <c r="AO3641" s="4">
        <v>0</v>
      </c>
      <c r="AP3641" s="4">
        <v>9</v>
      </c>
      <c r="AQ3641" s="4">
        <v>9</v>
      </c>
      <c r="AR3641" s="3" t="s">
        <v>63</v>
      </c>
      <c r="AS3641" s="3" t="s">
        <v>63</v>
      </c>
      <c r="AT3641" s="3" t="s">
        <v>62</v>
      </c>
      <c r="AU3641" s="6" t="str">
        <f>HYPERLINK("http://catalog.hathitrust.org/Record/000554856","HathiTrust Record")</f>
        <v>HathiTrust Record</v>
      </c>
      <c r="AV3641" s="6" t="str">
        <f>HYPERLINK("http://mcgill.on.worldcat.org/oclc/12314522","Catalog Record")</f>
        <v>Catalog Record</v>
      </c>
      <c r="AW3641" s="6" t="str">
        <f>HYPERLINK("http://www.worldcat.org/oclc/12314522","WorldCat Record")</f>
        <v>WorldCat Record</v>
      </c>
      <c r="AX3641" s="3" t="s">
        <v>30755</v>
      </c>
      <c r="AY3641" s="3" t="s">
        <v>30756</v>
      </c>
      <c r="AZ3641" s="3" t="s">
        <v>30757</v>
      </c>
      <c r="BA3641" s="3" t="s">
        <v>30757</v>
      </c>
      <c r="BB3641" s="3" t="s">
        <v>30758</v>
      </c>
      <c r="BC3641" s="3" t="s">
        <v>82</v>
      </c>
      <c r="BD3641" s="3" t="s">
        <v>70</v>
      </c>
      <c r="BE3641" s="3" t="s">
        <v>30759</v>
      </c>
      <c r="BF3641" s="3" t="s">
        <v>30758</v>
      </c>
      <c r="BG3641" s="3" t="s">
        <v>30760</v>
      </c>
    </row>
    <row r="3642" spans="1:59" ht="60" x14ac:dyDescent="0.25">
      <c r="A3642" s="2" t="s">
        <v>59</v>
      </c>
      <c r="B3642" s="2" t="s">
        <v>60</v>
      </c>
      <c r="C3642" s="2" t="s">
        <v>30761</v>
      </c>
      <c r="D3642" s="2" t="s">
        <v>30762</v>
      </c>
      <c r="E3642" s="2" t="s">
        <v>30763</v>
      </c>
      <c r="G3642" s="3" t="s">
        <v>63</v>
      </c>
      <c r="I3642" s="3" t="s">
        <v>63</v>
      </c>
      <c r="J3642" s="3" t="s">
        <v>63</v>
      </c>
      <c r="K3642" s="3" t="s">
        <v>64</v>
      </c>
      <c r="L3642" s="2" t="s">
        <v>30753</v>
      </c>
      <c r="M3642" s="2" t="s">
        <v>30764</v>
      </c>
      <c r="N3642" s="3" t="s">
        <v>1343</v>
      </c>
      <c r="P3642" s="3" t="s">
        <v>90</v>
      </c>
      <c r="R3642" s="3" t="s">
        <v>67</v>
      </c>
      <c r="S3642" s="4">
        <v>9</v>
      </c>
      <c r="T3642" s="4">
        <v>9</v>
      </c>
      <c r="U3642" s="5" t="s">
        <v>29697</v>
      </c>
      <c r="V3642" s="5" t="s">
        <v>29697</v>
      </c>
      <c r="W3642" s="5" t="s">
        <v>69</v>
      </c>
      <c r="X3642" s="5" t="s">
        <v>69</v>
      </c>
      <c r="Y3642" s="4">
        <v>55</v>
      </c>
      <c r="Z3642" s="4">
        <v>3</v>
      </c>
      <c r="AA3642" s="4">
        <v>5</v>
      </c>
      <c r="AB3642" s="4">
        <v>1</v>
      </c>
      <c r="AC3642" s="4">
        <v>1</v>
      </c>
      <c r="AD3642" s="4">
        <v>35</v>
      </c>
      <c r="AE3642" s="4">
        <v>36</v>
      </c>
      <c r="AF3642" s="4">
        <v>0</v>
      </c>
      <c r="AG3642" s="4">
        <v>0</v>
      </c>
      <c r="AH3642" s="4">
        <v>33</v>
      </c>
      <c r="AI3642" s="4">
        <v>34</v>
      </c>
      <c r="AJ3642" s="4">
        <v>1</v>
      </c>
      <c r="AK3642" s="4">
        <v>2</v>
      </c>
      <c r="AL3642" s="4">
        <v>29</v>
      </c>
      <c r="AM3642" s="4">
        <v>29</v>
      </c>
      <c r="AN3642" s="4">
        <v>0</v>
      </c>
      <c r="AO3642" s="4">
        <v>0</v>
      </c>
      <c r="AP3642" s="4">
        <v>1</v>
      </c>
      <c r="AQ3642" s="4">
        <v>2</v>
      </c>
      <c r="AR3642" s="3" t="s">
        <v>63</v>
      </c>
      <c r="AS3642" s="3" t="s">
        <v>63</v>
      </c>
      <c r="AT3642" s="3" t="s">
        <v>63</v>
      </c>
      <c r="AV3642" s="6" t="str">
        <f>HYPERLINK("http://mcgill.on.worldcat.org/oclc/45907652","Catalog Record")</f>
        <v>Catalog Record</v>
      </c>
      <c r="AW3642" s="6" t="str">
        <f>HYPERLINK("http://www.worldcat.org/oclc/45907652","WorldCat Record")</f>
        <v>WorldCat Record</v>
      </c>
      <c r="AX3642" s="3" t="s">
        <v>30765</v>
      </c>
      <c r="AY3642" s="3" t="s">
        <v>30766</v>
      </c>
      <c r="AZ3642" s="3" t="s">
        <v>30767</v>
      </c>
      <c r="BA3642" s="3" t="s">
        <v>30767</v>
      </c>
      <c r="BB3642" s="3" t="s">
        <v>30768</v>
      </c>
      <c r="BC3642" s="3" t="s">
        <v>82</v>
      </c>
      <c r="BD3642" s="3" t="s">
        <v>70</v>
      </c>
      <c r="BE3642" s="3" t="s">
        <v>30769</v>
      </c>
      <c r="BF3642" s="3" t="s">
        <v>30768</v>
      </c>
      <c r="BG3642" s="3" t="s">
        <v>30770</v>
      </c>
    </row>
    <row r="3643" spans="1:59" ht="60" x14ac:dyDescent="0.25">
      <c r="A3643" s="2" t="s">
        <v>59</v>
      </c>
      <c r="B3643" s="2" t="s">
        <v>60</v>
      </c>
      <c r="C3643" s="2" t="s">
        <v>30771</v>
      </c>
      <c r="D3643" s="2" t="s">
        <v>30772</v>
      </c>
      <c r="E3643" s="2" t="s">
        <v>30773</v>
      </c>
      <c r="G3643" s="3" t="s">
        <v>63</v>
      </c>
      <c r="I3643" s="3" t="s">
        <v>63</v>
      </c>
      <c r="J3643" s="3" t="s">
        <v>63</v>
      </c>
      <c r="K3643" s="3" t="s">
        <v>64</v>
      </c>
      <c r="L3643" s="2" t="s">
        <v>30753</v>
      </c>
      <c r="M3643" s="2" t="s">
        <v>30774</v>
      </c>
      <c r="N3643" s="3" t="s">
        <v>2459</v>
      </c>
      <c r="P3643" s="3" t="s">
        <v>90</v>
      </c>
      <c r="R3643" s="3" t="s">
        <v>67</v>
      </c>
      <c r="S3643" s="4">
        <v>3</v>
      </c>
      <c r="T3643" s="4">
        <v>3</v>
      </c>
      <c r="U3643" s="5" t="s">
        <v>30775</v>
      </c>
      <c r="V3643" s="5" t="s">
        <v>30775</v>
      </c>
      <c r="W3643" s="5" t="s">
        <v>69</v>
      </c>
      <c r="X3643" s="5" t="s">
        <v>69</v>
      </c>
      <c r="Y3643" s="4">
        <v>32</v>
      </c>
      <c r="Z3643" s="4">
        <v>5</v>
      </c>
      <c r="AA3643" s="4">
        <v>5</v>
      </c>
      <c r="AB3643" s="4">
        <v>2</v>
      </c>
      <c r="AC3643" s="4">
        <v>2</v>
      </c>
      <c r="AD3643" s="4">
        <v>16</v>
      </c>
      <c r="AE3643" s="4">
        <v>16</v>
      </c>
      <c r="AF3643" s="4">
        <v>0</v>
      </c>
      <c r="AG3643" s="4">
        <v>0</v>
      </c>
      <c r="AH3643" s="4">
        <v>15</v>
      </c>
      <c r="AI3643" s="4">
        <v>15</v>
      </c>
      <c r="AJ3643" s="4">
        <v>1</v>
      </c>
      <c r="AK3643" s="4">
        <v>1</v>
      </c>
      <c r="AL3643" s="4">
        <v>12</v>
      </c>
      <c r="AM3643" s="4">
        <v>12</v>
      </c>
      <c r="AN3643" s="4">
        <v>0</v>
      </c>
      <c r="AO3643" s="4">
        <v>0</v>
      </c>
      <c r="AP3643" s="4">
        <v>1</v>
      </c>
      <c r="AQ3643" s="4">
        <v>1</v>
      </c>
      <c r="AR3643" s="3" t="s">
        <v>63</v>
      </c>
      <c r="AS3643" s="3" t="s">
        <v>63</v>
      </c>
      <c r="AT3643" s="3" t="s">
        <v>63</v>
      </c>
      <c r="AV3643" s="6" t="str">
        <f>HYPERLINK("http://mcgill.on.worldcat.org/oclc/226299057","Catalog Record")</f>
        <v>Catalog Record</v>
      </c>
      <c r="AW3643" s="6" t="str">
        <f>HYPERLINK("http://www.worldcat.org/oclc/226299057","WorldCat Record")</f>
        <v>WorldCat Record</v>
      </c>
      <c r="AX3643" s="3" t="s">
        <v>30776</v>
      </c>
      <c r="AY3643" s="3" t="s">
        <v>30777</v>
      </c>
      <c r="AZ3643" s="3" t="s">
        <v>30778</v>
      </c>
      <c r="BA3643" s="3" t="s">
        <v>30778</v>
      </c>
      <c r="BB3643" s="3" t="s">
        <v>30779</v>
      </c>
      <c r="BC3643" s="3" t="s">
        <v>82</v>
      </c>
      <c r="BD3643" s="3" t="s">
        <v>70</v>
      </c>
      <c r="BE3643" s="3" t="s">
        <v>30780</v>
      </c>
      <c r="BF3643" s="3" t="s">
        <v>30779</v>
      </c>
      <c r="BG3643" s="3" t="s">
        <v>30781</v>
      </c>
    </row>
    <row r="3644" spans="1:59" ht="60" x14ac:dyDescent="0.25">
      <c r="A3644" s="2" t="s">
        <v>59</v>
      </c>
      <c r="B3644" s="2" t="s">
        <v>60</v>
      </c>
      <c r="C3644" s="2" t="s">
        <v>30782</v>
      </c>
      <c r="D3644" s="2" t="s">
        <v>30783</v>
      </c>
      <c r="E3644" s="2" t="s">
        <v>30784</v>
      </c>
      <c r="G3644" s="3" t="s">
        <v>63</v>
      </c>
      <c r="I3644" s="3" t="s">
        <v>63</v>
      </c>
      <c r="J3644" s="3" t="s">
        <v>63</v>
      </c>
      <c r="K3644" s="3" t="s">
        <v>64</v>
      </c>
      <c r="L3644" s="2" t="s">
        <v>30785</v>
      </c>
      <c r="M3644" s="2" t="s">
        <v>30786</v>
      </c>
      <c r="N3644" s="3" t="s">
        <v>106</v>
      </c>
      <c r="P3644" s="3" t="s">
        <v>90</v>
      </c>
      <c r="Q3644" s="2" t="s">
        <v>30787</v>
      </c>
      <c r="R3644" s="3" t="s">
        <v>67</v>
      </c>
      <c r="S3644" s="4">
        <v>3</v>
      </c>
      <c r="T3644" s="4">
        <v>3</v>
      </c>
      <c r="U3644" s="5" t="s">
        <v>6011</v>
      </c>
      <c r="V3644" s="5" t="s">
        <v>6011</v>
      </c>
      <c r="W3644" s="5" t="s">
        <v>69</v>
      </c>
      <c r="X3644" s="5" t="s">
        <v>69</v>
      </c>
      <c r="Y3644" s="4">
        <v>29</v>
      </c>
      <c r="Z3644" s="4">
        <v>2</v>
      </c>
      <c r="AA3644" s="4">
        <v>2</v>
      </c>
      <c r="AB3644" s="4">
        <v>1</v>
      </c>
      <c r="AC3644" s="4">
        <v>1</v>
      </c>
      <c r="AD3644" s="4">
        <v>21</v>
      </c>
      <c r="AE3644" s="4">
        <v>21</v>
      </c>
      <c r="AF3644" s="4">
        <v>0</v>
      </c>
      <c r="AG3644" s="4">
        <v>0</v>
      </c>
      <c r="AH3644" s="4">
        <v>20</v>
      </c>
      <c r="AI3644" s="4">
        <v>20</v>
      </c>
      <c r="AJ3644" s="4">
        <v>0</v>
      </c>
      <c r="AK3644" s="4">
        <v>0</v>
      </c>
      <c r="AL3644" s="4">
        <v>16</v>
      </c>
      <c r="AM3644" s="4">
        <v>16</v>
      </c>
      <c r="AN3644" s="4">
        <v>0</v>
      </c>
      <c r="AO3644" s="4">
        <v>0</v>
      </c>
      <c r="AP3644" s="4">
        <v>0</v>
      </c>
      <c r="AQ3644" s="4">
        <v>0</v>
      </c>
      <c r="AR3644" s="3" t="s">
        <v>63</v>
      </c>
      <c r="AS3644" s="3" t="s">
        <v>63</v>
      </c>
      <c r="AT3644" s="3" t="s">
        <v>63</v>
      </c>
      <c r="AV3644" s="6" t="str">
        <f>HYPERLINK("http://mcgill.on.worldcat.org/oclc/960643419","Catalog Record")</f>
        <v>Catalog Record</v>
      </c>
      <c r="AW3644" s="6" t="str">
        <f>HYPERLINK("http://www.worldcat.org/oclc/960643419","WorldCat Record")</f>
        <v>WorldCat Record</v>
      </c>
      <c r="AX3644" s="3" t="s">
        <v>30788</v>
      </c>
      <c r="AY3644" s="3" t="s">
        <v>30789</v>
      </c>
      <c r="AZ3644" s="3" t="s">
        <v>30790</v>
      </c>
      <c r="BA3644" s="3" t="s">
        <v>30790</v>
      </c>
      <c r="BB3644" s="3" t="s">
        <v>30791</v>
      </c>
      <c r="BC3644" s="3" t="s">
        <v>82</v>
      </c>
      <c r="BD3644" s="3" t="s">
        <v>70</v>
      </c>
      <c r="BE3644" s="3" t="s">
        <v>30792</v>
      </c>
      <c r="BF3644" s="3" t="s">
        <v>30791</v>
      </c>
      <c r="BG3644" s="3" t="s">
        <v>30793</v>
      </c>
    </row>
    <row r="3645" spans="1:59" ht="75" x14ac:dyDescent="0.25">
      <c r="A3645" s="2" t="s">
        <v>59</v>
      </c>
      <c r="B3645" s="2" t="s">
        <v>60</v>
      </c>
      <c r="C3645" s="2" t="s">
        <v>30794</v>
      </c>
      <c r="D3645" s="2" t="s">
        <v>30795</v>
      </c>
      <c r="E3645" s="2" t="s">
        <v>30796</v>
      </c>
      <c r="G3645" s="3" t="s">
        <v>63</v>
      </c>
      <c r="H3645" s="3" t="s">
        <v>215</v>
      </c>
      <c r="I3645" s="3" t="s">
        <v>63</v>
      </c>
      <c r="J3645" s="3" t="s">
        <v>63</v>
      </c>
      <c r="K3645" s="3" t="s">
        <v>64</v>
      </c>
      <c r="L3645" s="2" t="s">
        <v>30797</v>
      </c>
      <c r="M3645" s="2" t="s">
        <v>30798</v>
      </c>
      <c r="N3645" s="3" t="s">
        <v>1752</v>
      </c>
      <c r="P3645" s="3" t="s">
        <v>90</v>
      </c>
      <c r="Q3645" s="2" t="s">
        <v>30799</v>
      </c>
      <c r="R3645" s="3" t="s">
        <v>67</v>
      </c>
      <c r="S3645" s="4">
        <v>1</v>
      </c>
      <c r="T3645" s="4">
        <v>1</v>
      </c>
      <c r="W3645" s="5" t="s">
        <v>14022</v>
      </c>
      <c r="X3645" s="5" t="s">
        <v>14022</v>
      </c>
      <c r="Y3645" s="4">
        <v>24</v>
      </c>
      <c r="Z3645" s="4">
        <v>3</v>
      </c>
      <c r="AA3645" s="4">
        <v>3</v>
      </c>
      <c r="AB3645" s="4">
        <v>1</v>
      </c>
      <c r="AC3645" s="4">
        <v>1</v>
      </c>
      <c r="AD3645" s="4">
        <v>14</v>
      </c>
      <c r="AE3645" s="4">
        <v>14</v>
      </c>
      <c r="AF3645" s="4">
        <v>0</v>
      </c>
      <c r="AG3645" s="4">
        <v>0</v>
      </c>
      <c r="AH3645" s="4">
        <v>13</v>
      </c>
      <c r="AI3645" s="4">
        <v>13</v>
      </c>
      <c r="AJ3645" s="4">
        <v>1</v>
      </c>
      <c r="AK3645" s="4">
        <v>1</v>
      </c>
      <c r="AL3645" s="4">
        <v>11</v>
      </c>
      <c r="AM3645" s="4">
        <v>11</v>
      </c>
      <c r="AN3645" s="4">
        <v>0</v>
      </c>
      <c r="AO3645" s="4">
        <v>0</v>
      </c>
      <c r="AP3645" s="4">
        <v>1</v>
      </c>
      <c r="AQ3645" s="4">
        <v>1</v>
      </c>
      <c r="AR3645" s="3" t="s">
        <v>63</v>
      </c>
      <c r="AS3645" s="3" t="s">
        <v>63</v>
      </c>
      <c r="AT3645" s="3" t="s">
        <v>63</v>
      </c>
      <c r="AV3645" s="6" t="str">
        <f>HYPERLINK("http://mcgill.on.worldcat.org/oclc/1089760706","Catalog Record")</f>
        <v>Catalog Record</v>
      </c>
      <c r="AW3645" s="6" t="str">
        <f>HYPERLINK("http://www.worldcat.org/oclc/1089760706","WorldCat Record")</f>
        <v>WorldCat Record</v>
      </c>
      <c r="AX3645" s="3" t="s">
        <v>30800</v>
      </c>
      <c r="AY3645" s="3" t="s">
        <v>30801</v>
      </c>
      <c r="AZ3645" s="3" t="s">
        <v>30802</v>
      </c>
      <c r="BA3645" s="3" t="s">
        <v>30802</v>
      </c>
      <c r="BB3645" s="3" t="s">
        <v>30803</v>
      </c>
      <c r="BC3645" s="3" t="s">
        <v>82</v>
      </c>
      <c r="BD3645" s="3" t="s">
        <v>538</v>
      </c>
      <c r="BE3645" s="3" t="s">
        <v>30804</v>
      </c>
      <c r="BF3645" s="3" t="s">
        <v>30803</v>
      </c>
      <c r="BG3645" s="3" t="s">
        <v>30805</v>
      </c>
    </row>
    <row r="3646" spans="1:59" ht="60" x14ac:dyDescent="0.25">
      <c r="A3646" s="2" t="s">
        <v>59</v>
      </c>
      <c r="B3646" s="2" t="s">
        <v>60</v>
      </c>
      <c r="C3646" s="2" t="s">
        <v>30817</v>
      </c>
      <c r="D3646" s="2" t="s">
        <v>30818</v>
      </c>
      <c r="E3646" s="2" t="s">
        <v>30819</v>
      </c>
      <c r="G3646" s="3" t="s">
        <v>63</v>
      </c>
      <c r="I3646" s="3" t="s">
        <v>63</v>
      </c>
      <c r="J3646" s="3" t="s">
        <v>63</v>
      </c>
      <c r="K3646" s="3" t="s">
        <v>64</v>
      </c>
      <c r="L3646" s="2" t="s">
        <v>30820</v>
      </c>
      <c r="M3646" s="2" t="s">
        <v>30821</v>
      </c>
      <c r="N3646" s="3" t="s">
        <v>693</v>
      </c>
      <c r="P3646" s="3" t="s">
        <v>90</v>
      </c>
      <c r="R3646" s="3" t="s">
        <v>67</v>
      </c>
      <c r="S3646" s="4">
        <v>7</v>
      </c>
      <c r="T3646" s="4">
        <v>7</v>
      </c>
      <c r="U3646" s="5" t="s">
        <v>28965</v>
      </c>
      <c r="V3646" s="5" t="s">
        <v>28965</v>
      </c>
      <c r="W3646" s="5" t="s">
        <v>69</v>
      </c>
      <c r="X3646" s="5" t="s">
        <v>69</v>
      </c>
      <c r="Y3646" s="4">
        <v>67</v>
      </c>
      <c r="Z3646" s="4">
        <v>4</v>
      </c>
      <c r="AA3646" s="4">
        <v>11</v>
      </c>
      <c r="AB3646" s="4">
        <v>1</v>
      </c>
      <c r="AC3646" s="4">
        <v>1</v>
      </c>
      <c r="AD3646" s="4">
        <v>44</v>
      </c>
      <c r="AE3646" s="4">
        <v>55</v>
      </c>
      <c r="AF3646" s="4">
        <v>0</v>
      </c>
      <c r="AG3646" s="4">
        <v>0</v>
      </c>
      <c r="AH3646" s="4">
        <v>43</v>
      </c>
      <c r="AI3646" s="4">
        <v>53</v>
      </c>
      <c r="AJ3646" s="4">
        <v>2</v>
      </c>
      <c r="AK3646" s="4">
        <v>6</v>
      </c>
      <c r="AL3646" s="4">
        <v>32</v>
      </c>
      <c r="AM3646" s="4">
        <v>38</v>
      </c>
      <c r="AN3646" s="4">
        <v>0</v>
      </c>
      <c r="AO3646" s="4">
        <v>0</v>
      </c>
      <c r="AP3646" s="4">
        <v>2</v>
      </c>
      <c r="AQ3646" s="4">
        <v>6</v>
      </c>
      <c r="AR3646" s="3" t="s">
        <v>63</v>
      </c>
      <c r="AS3646" s="3" t="s">
        <v>63</v>
      </c>
      <c r="AT3646" s="3" t="s">
        <v>63</v>
      </c>
      <c r="AV3646" s="6" t="str">
        <f>HYPERLINK("http://mcgill.on.worldcat.org/oclc/55999812","Catalog Record")</f>
        <v>Catalog Record</v>
      </c>
      <c r="AW3646" s="6" t="str">
        <f>HYPERLINK("http://www.worldcat.org/oclc/55999812","WorldCat Record")</f>
        <v>WorldCat Record</v>
      </c>
      <c r="AX3646" s="3" t="s">
        <v>30822</v>
      </c>
      <c r="AY3646" s="3" t="s">
        <v>30823</v>
      </c>
      <c r="AZ3646" s="3" t="s">
        <v>30824</v>
      </c>
      <c r="BA3646" s="3" t="s">
        <v>30824</v>
      </c>
      <c r="BB3646" s="3" t="s">
        <v>30825</v>
      </c>
      <c r="BC3646" s="3" t="s">
        <v>82</v>
      </c>
      <c r="BD3646" s="3" t="s">
        <v>70</v>
      </c>
      <c r="BE3646" s="3" t="s">
        <v>30826</v>
      </c>
      <c r="BF3646" s="3" t="s">
        <v>30825</v>
      </c>
      <c r="BG3646" s="3" t="s">
        <v>30827</v>
      </c>
    </row>
    <row r="3647" spans="1:59" ht="60" x14ac:dyDescent="0.25">
      <c r="A3647" s="2" t="s">
        <v>59</v>
      </c>
      <c r="B3647" s="2" t="s">
        <v>60</v>
      </c>
      <c r="C3647" s="2" t="s">
        <v>30828</v>
      </c>
      <c r="D3647" s="2" t="s">
        <v>30829</v>
      </c>
      <c r="E3647" s="2" t="s">
        <v>30830</v>
      </c>
      <c r="G3647" s="3" t="s">
        <v>63</v>
      </c>
      <c r="I3647" s="3" t="s">
        <v>63</v>
      </c>
      <c r="J3647" s="3" t="s">
        <v>63</v>
      </c>
      <c r="K3647" s="3" t="s">
        <v>64</v>
      </c>
      <c r="L3647" s="2" t="s">
        <v>30809</v>
      </c>
      <c r="M3647" s="2" t="s">
        <v>30831</v>
      </c>
      <c r="N3647" s="3" t="s">
        <v>130</v>
      </c>
      <c r="P3647" s="3" t="s">
        <v>90</v>
      </c>
      <c r="R3647" s="3" t="s">
        <v>67</v>
      </c>
      <c r="S3647" s="4">
        <v>1</v>
      </c>
      <c r="T3647" s="4">
        <v>1</v>
      </c>
      <c r="U3647" s="5" t="s">
        <v>29098</v>
      </c>
      <c r="V3647" s="5" t="s">
        <v>29098</v>
      </c>
      <c r="W3647" s="5" t="s">
        <v>69</v>
      </c>
      <c r="X3647" s="5" t="s">
        <v>69</v>
      </c>
      <c r="Y3647" s="4">
        <v>41</v>
      </c>
      <c r="Z3647" s="4">
        <v>4</v>
      </c>
      <c r="AA3647" s="4">
        <v>4</v>
      </c>
      <c r="AB3647" s="4">
        <v>1</v>
      </c>
      <c r="AC3647" s="4">
        <v>1</v>
      </c>
      <c r="AD3647" s="4">
        <v>16</v>
      </c>
      <c r="AE3647" s="4">
        <v>16</v>
      </c>
      <c r="AF3647" s="4">
        <v>0</v>
      </c>
      <c r="AG3647" s="4">
        <v>0</v>
      </c>
      <c r="AH3647" s="4">
        <v>15</v>
      </c>
      <c r="AI3647" s="4">
        <v>15</v>
      </c>
      <c r="AJ3647" s="4">
        <v>0</v>
      </c>
      <c r="AK3647" s="4">
        <v>0</v>
      </c>
      <c r="AL3647" s="4">
        <v>14</v>
      </c>
      <c r="AM3647" s="4">
        <v>14</v>
      </c>
      <c r="AN3647" s="4">
        <v>0</v>
      </c>
      <c r="AO3647" s="4">
        <v>0</v>
      </c>
      <c r="AP3647" s="4">
        <v>0</v>
      </c>
      <c r="AQ3647" s="4">
        <v>0</v>
      </c>
      <c r="AR3647" s="3" t="s">
        <v>63</v>
      </c>
      <c r="AS3647" s="3" t="s">
        <v>63</v>
      </c>
      <c r="AT3647" s="3" t="s">
        <v>63</v>
      </c>
      <c r="AV3647" s="6" t="str">
        <f>HYPERLINK("http://mcgill.on.worldcat.org/oclc/852786245","Catalog Record")</f>
        <v>Catalog Record</v>
      </c>
      <c r="AW3647" s="6" t="str">
        <f>HYPERLINK("http://www.worldcat.org/oclc/852786245","WorldCat Record")</f>
        <v>WorldCat Record</v>
      </c>
      <c r="AX3647" s="3" t="s">
        <v>30832</v>
      </c>
      <c r="AY3647" s="3" t="s">
        <v>30833</v>
      </c>
      <c r="AZ3647" s="3" t="s">
        <v>30834</v>
      </c>
      <c r="BA3647" s="3" t="s">
        <v>30834</v>
      </c>
      <c r="BB3647" s="3" t="s">
        <v>30835</v>
      </c>
      <c r="BC3647" s="3" t="s">
        <v>82</v>
      </c>
      <c r="BD3647" s="3" t="s">
        <v>70</v>
      </c>
      <c r="BE3647" s="3" t="s">
        <v>30836</v>
      </c>
      <c r="BF3647" s="3" t="s">
        <v>30835</v>
      </c>
      <c r="BG3647" s="3" t="s">
        <v>30837</v>
      </c>
    </row>
    <row r="3648" spans="1:59" ht="60" x14ac:dyDescent="0.25">
      <c r="A3648" s="2" t="s">
        <v>59</v>
      </c>
      <c r="B3648" s="2" t="s">
        <v>60</v>
      </c>
      <c r="C3648" s="2" t="s">
        <v>30838</v>
      </c>
      <c r="D3648" s="2" t="s">
        <v>30839</v>
      </c>
      <c r="E3648" s="2" t="s">
        <v>30808</v>
      </c>
      <c r="G3648" s="3" t="s">
        <v>63</v>
      </c>
      <c r="I3648" s="3" t="s">
        <v>62</v>
      </c>
      <c r="J3648" s="3" t="s">
        <v>63</v>
      </c>
      <c r="K3648" s="3" t="s">
        <v>64</v>
      </c>
      <c r="L3648" s="2" t="s">
        <v>30809</v>
      </c>
      <c r="M3648" s="2" t="s">
        <v>9716</v>
      </c>
      <c r="N3648" s="3" t="s">
        <v>143</v>
      </c>
      <c r="P3648" s="3" t="s">
        <v>90</v>
      </c>
      <c r="Q3648" s="2" t="s">
        <v>30810</v>
      </c>
      <c r="R3648" s="3" t="s">
        <v>67</v>
      </c>
      <c r="S3648" s="4">
        <v>1</v>
      </c>
      <c r="T3648" s="4">
        <v>1</v>
      </c>
      <c r="U3648" s="5" t="s">
        <v>29098</v>
      </c>
      <c r="V3648" s="5" t="s">
        <v>29098</v>
      </c>
      <c r="W3648" s="5" t="s">
        <v>69</v>
      </c>
      <c r="X3648" s="5" t="s">
        <v>69</v>
      </c>
      <c r="Y3648" s="4">
        <v>18</v>
      </c>
      <c r="Z3648" s="4">
        <v>2</v>
      </c>
      <c r="AA3648" s="4">
        <v>2</v>
      </c>
      <c r="AB3648" s="4">
        <v>1</v>
      </c>
      <c r="AC3648" s="4">
        <v>1</v>
      </c>
      <c r="AD3648" s="4">
        <v>9</v>
      </c>
      <c r="AE3648" s="4">
        <v>9</v>
      </c>
      <c r="AF3648" s="4">
        <v>0</v>
      </c>
      <c r="AG3648" s="4">
        <v>0</v>
      </c>
      <c r="AH3648" s="4">
        <v>8</v>
      </c>
      <c r="AI3648" s="4">
        <v>8</v>
      </c>
      <c r="AJ3648" s="4">
        <v>1</v>
      </c>
      <c r="AK3648" s="4">
        <v>1</v>
      </c>
      <c r="AL3648" s="4">
        <v>4</v>
      </c>
      <c r="AM3648" s="4">
        <v>4</v>
      </c>
      <c r="AN3648" s="4">
        <v>0</v>
      </c>
      <c r="AO3648" s="4">
        <v>0</v>
      </c>
      <c r="AP3648" s="4">
        <v>1</v>
      </c>
      <c r="AQ3648" s="4">
        <v>1</v>
      </c>
      <c r="AR3648" s="3" t="s">
        <v>63</v>
      </c>
      <c r="AS3648" s="3" t="s">
        <v>63</v>
      </c>
      <c r="AT3648" s="3" t="s">
        <v>63</v>
      </c>
      <c r="AV3648" s="6" t="str">
        <f>HYPERLINK("http://mcgill.on.worldcat.org/oclc/895018218","Catalog Record")</f>
        <v>Catalog Record</v>
      </c>
      <c r="AW3648" s="6" t="str">
        <f>HYPERLINK("http://www.worldcat.org/oclc/895018218","WorldCat Record")</f>
        <v>WorldCat Record</v>
      </c>
      <c r="AX3648" s="3" t="s">
        <v>30811</v>
      </c>
      <c r="AY3648" s="3" t="s">
        <v>30812</v>
      </c>
      <c r="AZ3648" s="3" t="s">
        <v>30813</v>
      </c>
      <c r="BA3648" s="3" t="s">
        <v>30813</v>
      </c>
      <c r="BB3648" s="3" t="s">
        <v>30840</v>
      </c>
      <c r="BC3648" s="3" t="s">
        <v>82</v>
      </c>
      <c r="BD3648" s="3" t="s">
        <v>70</v>
      </c>
      <c r="BE3648" s="3" t="s">
        <v>30815</v>
      </c>
      <c r="BF3648" s="3" t="s">
        <v>30840</v>
      </c>
      <c r="BG3648" s="3" t="s">
        <v>30841</v>
      </c>
    </row>
    <row r="3649" spans="1:59" ht="60" x14ac:dyDescent="0.25">
      <c r="A3649" s="2" t="s">
        <v>59</v>
      </c>
      <c r="B3649" s="2" t="s">
        <v>60</v>
      </c>
      <c r="C3649" s="2" t="s">
        <v>30806</v>
      </c>
      <c r="D3649" s="2" t="s">
        <v>30807</v>
      </c>
      <c r="E3649" s="2" t="s">
        <v>30808</v>
      </c>
      <c r="G3649" s="3" t="s">
        <v>63</v>
      </c>
      <c r="I3649" s="3" t="s">
        <v>62</v>
      </c>
      <c r="J3649" s="3" t="s">
        <v>63</v>
      </c>
      <c r="K3649" s="3" t="s">
        <v>64</v>
      </c>
      <c r="L3649" s="2" t="s">
        <v>30809</v>
      </c>
      <c r="M3649" s="2" t="s">
        <v>9716</v>
      </c>
      <c r="N3649" s="3" t="s">
        <v>143</v>
      </c>
      <c r="P3649" s="3" t="s">
        <v>90</v>
      </c>
      <c r="Q3649" s="2" t="s">
        <v>30810</v>
      </c>
      <c r="R3649" s="3" t="s">
        <v>67</v>
      </c>
      <c r="S3649" s="4">
        <v>0</v>
      </c>
      <c r="T3649" s="4">
        <v>1</v>
      </c>
      <c r="V3649" s="5" t="s">
        <v>29098</v>
      </c>
      <c r="W3649" s="5" t="s">
        <v>69</v>
      </c>
      <c r="X3649" s="5" t="s">
        <v>69</v>
      </c>
      <c r="Y3649" s="4">
        <v>18</v>
      </c>
      <c r="Z3649" s="4">
        <v>2</v>
      </c>
      <c r="AA3649" s="4">
        <v>2</v>
      </c>
      <c r="AB3649" s="4">
        <v>1</v>
      </c>
      <c r="AC3649" s="4">
        <v>1</v>
      </c>
      <c r="AD3649" s="4">
        <v>9</v>
      </c>
      <c r="AE3649" s="4">
        <v>9</v>
      </c>
      <c r="AF3649" s="4">
        <v>0</v>
      </c>
      <c r="AG3649" s="4">
        <v>0</v>
      </c>
      <c r="AH3649" s="4">
        <v>8</v>
      </c>
      <c r="AI3649" s="4">
        <v>8</v>
      </c>
      <c r="AJ3649" s="4">
        <v>1</v>
      </c>
      <c r="AK3649" s="4">
        <v>1</v>
      </c>
      <c r="AL3649" s="4">
        <v>4</v>
      </c>
      <c r="AM3649" s="4">
        <v>4</v>
      </c>
      <c r="AN3649" s="4">
        <v>0</v>
      </c>
      <c r="AO3649" s="4">
        <v>0</v>
      </c>
      <c r="AP3649" s="4">
        <v>1</v>
      </c>
      <c r="AQ3649" s="4">
        <v>1</v>
      </c>
      <c r="AR3649" s="3" t="s">
        <v>63</v>
      </c>
      <c r="AS3649" s="3" t="s">
        <v>63</v>
      </c>
      <c r="AT3649" s="3" t="s">
        <v>63</v>
      </c>
      <c r="AV3649" s="6" t="str">
        <f>HYPERLINK("http://mcgill.on.worldcat.org/oclc/895018218","Catalog Record")</f>
        <v>Catalog Record</v>
      </c>
      <c r="AW3649" s="6" t="str">
        <f>HYPERLINK("http://www.worldcat.org/oclc/895018218","WorldCat Record")</f>
        <v>WorldCat Record</v>
      </c>
      <c r="AX3649" s="3" t="s">
        <v>30811</v>
      </c>
      <c r="AY3649" s="3" t="s">
        <v>30812</v>
      </c>
      <c r="AZ3649" s="3" t="s">
        <v>30813</v>
      </c>
      <c r="BA3649" s="3" t="s">
        <v>30813</v>
      </c>
      <c r="BB3649" s="3" t="s">
        <v>30814</v>
      </c>
      <c r="BC3649" s="3" t="s">
        <v>82</v>
      </c>
      <c r="BD3649" s="3" t="s">
        <v>70</v>
      </c>
      <c r="BE3649" s="3" t="s">
        <v>30815</v>
      </c>
      <c r="BF3649" s="3" t="s">
        <v>30814</v>
      </c>
      <c r="BG3649" s="3" t="s">
        <v>30816</v>
      </c>
    </row>
    <row r="3650" spans="1:59" ht="60" x14ac:dyDescent="0.25">
      <c r="A3650" s="2" t="s">
        <v>59</v>
      </c>
      <c r="B3650" s="2" t="s">
        <v>60</v>
      </c>
      <c r="C3650" s="2" t="s">
        <v>30842</v>
      </c>
      <c r="D3650" s="2" t="s">
        <v>30843</v>
      </c>
      <c r="E3650" s="2" t="s">
        <v>30844</v>
      </c>
      <c r="G3650" s="3" t="s">
        <v>63</v>
      </c>
      <c r="I3650" s="3" t="s">
        <v>63</v>
      </c>
      <c r="J3650" s="3" t="s">
        <v>63</v>
      </c>
      <c r="K3650" s="3" t="s">
        <v>64</v>
      </c>
      <c r="L3650" s="2" t="s">
        <v>30845</v>
      </c>
      <c r="M3650" s="2" t="s">
        <v>28908</v>
      </c>
      <c r="N3650" s="3" t="s">
        <v>313</v>
      </c>
      <c r="P3650" s="3" t="s">
        <v>90</v>
      </c>
      <c r="Q3650" s="2" t="s">
        <v>30181</v>
      </c>
      <c r="R3650" s="3" t="s">
        <v>67</v>
      </c>
      <c r="S3650" s="4">
        <v>2</v>
      </c>
      <c r="T3650" s="4">
        <v>2</v>
      </c>
      <c r="U3650" s="5" t="s">
        <v>9168</v>
      </c>
      <c r="V3650" s="5" t="s">
        <v>9168</v>
      </c>
      <c r="W3650" s="5" t="s">
        <v>69</v>
      </c>
      <c r="X3650" s="5" t="s">
        <v>69</v>
      </c>
      <c r="Y3650" s="4">
        <v>48</v>
      </c>
      <c r="Z3650" s="4">
        <v>5</v>
      </c>
      <c r="AA3650" s="4">
        <v>5</v>
      </c>
      <c r="AB3650" s="4">
        <v>1</v>
      </c>
      <c r="AC3650" s="4">
        <v>1</v>
      </c>
      <c r="AD3650" s="4">
        <v>15</v>
      </c>
      <c r="AE3650" s="4">
        <v>15</v>
      </c>
      <c r="AF3650" s="4">
        <v>0</v>
      </c>
      <c r="AG3650" s="4">
        <v>0</v>
      </c>
      <c r="AH3650" s="4">
        <v>15</v>
      </c>
      <c r="AI3650" s="4">
        <v>15</v>
      </c>
      <c r="AJ3650" s="4">
        <v>1</v>
      </c>
      <c r="AK3650" s="4">
        <v>1</v>
      </c>
      <c r="AL3650" s="4">
        <v>11</v>
      </c>
      <c r="AM3650" s="4">
        <v>11</v>
      </c>
      <c r="AN3650" s="4">
        <v>0</v>
      </c>
      <c r="AO3650" s="4">
        <v>0</v>
      </c>
      <c r="AP3650" s="4">
        <v>1</v>
      </c>
      <c r="AQ3650" s="4">
        <v>1</v>
      </c>
      <c r="AR3650" s="3" t="s">
        <v>63</v>
      </c>
      <c r="AS3650" s="3" t="s">
        <v>63</v>
      </c>
      <c r="AT3650" s="3" t="s">
        <v>63</v>
      </c>
      <c r="AV3650" s="6" t="str">
        <f>HYPERLINK("http://mcgill.on.worldcat.org/oclc/642350122","Catalog Record")</f>
        <v>Catalog Record</v>
      </c>
      <c r="AW3650" s="6" t="str">
        <f>HYPERLINK("http://www.worldcat.org/oclc/642350122","WorldCat Record")</f>
        <v>WorldCat Record</v>
      </c>
      <c r="AX3650" s="3" t="s">
        <v>30846</v>
      </c>
      <c r="AY3650" s="3" t="s">
        <v>30847</v>
      </c>
      <c r="AZ3650" s="3" t="s">
        <v>30848</v>
      </c>
      <c r="BA3650" s="3" t="s">
        <v>30848</v>
      </c>
      <c r="BB3650" s="3" t="s">
        <v>30849</v>
      </c>
      <c r="BC3650" s="3" t="s">
        <v>82</v>
      </c>
      <c r="BD3650" s="3" t="s">
        <v>70</v>
      </c>
      <c r="BE3650" s="3" t="s">
        <v>30850</v>
      </c>
      <c r="BF3650" s="3" t="s">
        <v>30849</v>
      </c>
      <c r="BG3650" s="3" t="s">
        <v>30851</v>
      </c>
    </row>
    <row r="3651" spans="1:59" ht="60" x14ac:dyDescent="0.25">
      <c r="A3651" s="2" t="s">
        <v>59</v>
      </c>
      <c r="B3651" s="2" t="s">
        <v>60</v>
      </c>
      <c r="C3651" s="2" t="s">
        <v>30852</v>
      </c>
      <c r="D3651" s="2" t="s">
        <v>30853</v>
      </c>
      <c r="E3651" s="2" t="s">
        <v>30854</v>
      </c>
      <c r="G3651" s="3" t="s">
        <v>63</v>
      </c>
      <c r="I3651" s="3" t="s">
        <v>63</v>
      </c>
      <c r="J3651" s="3" t="s">
        <v>63</v>
      </c>
      <c r="K3651" s="3" t="s">
        <v>64</v>
      </c>
      <c r="L3651" s="2" t="s">
        <v>30855</v>
      </c>
      <c r="M3651" s="2" t="s">
        <v>30856</v>
      </c>
      <c r="N3651" s="3" t="s">
        <v>313</v>
      </c>
      <c r="P3651" s="3" t="s">
        <v>90</v>
      </c>
      <c r="R3651" s="3" t="s">
        <v>67</v>
      </c>
      <c r="S3651" s="4">
        <v>1</v>
      </c>
      <c r="T3651" s="4">
        <v>1</v>
      </c>
      <c r="U3651" s="5" t="s">
        <v>30857</v>
      </c>
      <c r="V3651" s="5" t="s">
        <v>30857</v>
      </c>
      <c r="W3651" s="5" t="s">
        <v>69</v>
      </c>
      <c r="X3651" s="5" t="s">
        <v>69</v>
      </c>
      <c r="Y3651" s="4">
        <v>68</v>
      </c>
      <c r="Z3651" s="4">
        <v>7</v>
      </c>
      <c r="AA3651" s="4">
        <v>8</v>
      </c>
      <c r="AB3651" s="4">
        <v>2</v>
      </c>
      <c r="AC3651" s="4">
        <v>2</v>
      </c>
      <c r="AD3651" s="4">
        <v>33</v>
      </c>
      <c r="AE3651" s="4">
        <v>40</v>
      </c>
      <c r="AF3651" s="4">
        <v>0</v>
      </c>
      <c r="AG3651" s="4">
        <v>0</v>
      </c>
      <c r="AH3651" s="4">
        <v>32</v>
      </c>
      <c r="AI3651" s="4">
        <v>39</v>
      </c>
      <c r="AJ3651" s="4">
        <v>2</v>
      </c>
      <c r="AK3651" s="4">
        <v>3</v>
      </c>
      <c r="AL3651" s="4">
        <v>23</v>
      </c>
      <c r="AM3651" s="4">
        <v>29</v>
      </c>
      <c r="AN3651" s="4">
        <v>0</v>
      </c>
      <c r="AO3651" s="4">
        <v>0</v>
      </c>
      <c r="AP3651" s="4">
        <v>2</v>
      </c>
      <c r="AQ3651" s="4">
        <v>3</v>
      </c>
      <c r="AR3651" s="3" t="s">
        <v>63</v>
      </c>
      <c r="AS3651" s="3" t="s">
        <v>63</v>
      </c>
      <c r="AT3651" s="3" t="s">
        <v>63</v>
      </c>
      <c r="AV3651" s="6" t="str">
        <f>HYPERLINK("http://mcgill.on.worldcat.org/oclc/644567160","Catalog Record")</f>
        <v>Catalog Record</v>
      </c>
      <c r="AW3651" s="6" t="str">
        <f>HYPERLINK("http://www.worldcat.org/oclc/644567160","WorldCat Record")</f>
        <v>WorldCat Record</v>
      </c>
      <c r="AX3651" s="3" t="s">
        <v>30858</v>
      </c>
      <c r="AY3651" s="3" t="s">
        <v>30859</v>
      </c>
      <c r="AZ3651" s="3" t="s">
        <v>30860</v>
      </c>
      <c r="BA3651" s="3" t="s">
        <v>30860</v>
      </c>
      <c r="BB3651" s="3" t="s">
        <v>30861</v>
      </c>
      <c r="BC3651" s="3" t="s">
        <v>82</v>
      </c>
      <c r="BD3651" s="3" t="s">
        <v>70</v>
      </c>
      <c r="BE3651" s="3" t="s">
        <v>30862</v>
      </c>
      <c r="BF3651" s="3" t="s">
        <v>30861</v>
      </c>
      <c r="BG3651" s="3" t="s">
        <v>30863</v>
      </c>
    </row>
    <row r="3652" spans="1:59" ht="60" x14ac:dyDescent="0.25">
      <c r="A3652" s="2" t="s">
        <v>59</v>
      </c>
      <c r="B3652" s="2" t="s">
        <v>60</v>
      </c>
      <c r="C3652" s="2" t="s">
        <v>30864</v>
      </c>
      <c r="D3652" s="2" t="s">
        <v>30865</v>
      </c>
      <c r="E3652" s="2" t="s">
        <v>30866</v>
      </c>
      <c r="G3652" s="3" t="s">
        <v>63</v>
      </c>
      <c r="I3652" s="3" t="s">
        <v>63</v>
      </c>
      <c r="J3652" s="3" t="s">
        <v>62</v>
      </c>
      <c r="K3652" s="3" t="s">
        <v>64</v>
      </c>
      <c r="L3652" s="2" t="s">
        <v>30867</v>
      </c>
      <c r="M3652" s="2" t="s">
        <v>30868</v>
      </c>
      <c r="N3652" s="3" t="s">
        <v>2765</v>
      </c>
      <c r="P3652" s="3" t="s">
        <v>66</v>
      </c>
      <c r="R3652" s="3" t="s">
        <v>67</v>
      </c>
      <c r="S3652" s="4">
        <v>0</v>
      </c>
      <c r="T3652" s="4">
        <v>0</v>
      </c>
      <c r="W3652" s="5" t="s">
        <v>69</v>
      </c>
      <c r="X3652" s="5" t="s">
        <v>69</v>
      </c>
      <c r="Y3652" s="4">
        <v>28</v>
      </c>
      <c r="Z3652" s="4">
        <v>1</v>
      </c>
      <c r="AA3652" s="4">
        <v>26</v>
      </c>
      <c r="AB3652" s="4">
        <v>1</v>
      </c>
      <c r="AC3652" s="4">
        <v>2</v>
      </c>
      <c r="AD3652" s="4">
        <v>13</v>
      </c>
      <c r="AE3652" s="4">
        <v>110</v>
      </c>
      <c r="AF3652" s="4">
        <v>0</v>
      </c>
      <c r="AG3652" s="4">
        <v>0</v>
      </c>
      <c r="AH3652" s="4">
        <v>13</v>
      </c>
      <c r="AI3652" s="4">
        <v>98</v>
      </c>
      <c r="AJ3652" s="4">
        <v>0</v>
      </c>
      <c r="AK3652" s="4">
        <v>17</v>
      </c>
      <c r="AL3652" s="4">
        <v>7</v>
      </c>
      <c r="AM3652" s="4">
        <v>55</v>
      </c>
      <c r="AN3652" s="4">
        <v>0</v>
      </c>
      <c r="AO3652" s="4">
        <v>0</v>
      </c>
      <c r="AP3652" s="4">
        <v>0</v>
      </c>
      <c r="AQ3652" s="4">
        <v>19</v>
      </c>
      <c r="AR3652" s="3" t="s">
        <v>63</v>
      </c>
      <c r="AS3652" s="3" t="s">
        <v>63</v>
      </c>
      <c r="AT3652" s="3" t="s">
        <v>63</v>
      </c>
      <c r="AV3652" s="6" t="str">
        <f>HYPERLINK("http://mcgill.on.worldcat.org/oclc/883367193","Catalog Record")</f>
        <v>Catalog Record</v>
      </c>
      <c r="AW3652" s="6" t="str">
        <f>HYPERLINK("http://www.worldcat.org/oclc/883367193","WorldCat Record")</f>
        <v>WorldCat Record</v>
      </c>
      <c r="AX3652" s="3" t="s">
        <v>30869</v>
      </c>
      <c r="AY3652" s="3" t="s">
        <v>30870</v>
      </c>
      <c r="AZ3652" s="3" t="s">
        <v>30871</v>
      </c>
      <c r="BA3652" s="3" t="s">
        <v>30871</v>
      </c>
      <c r="BB3652" s="3" t="s">
        <v>30872</v>
      </c>
      <c r="BC3652" s="3" t="s">
        <v>82</v>
      </c>
      <c r="BD3652" s="3" t="s">
        <v>70</v>
      </c>
      <c r="BE3652" s="3" t="s">
        <v>30873</v>
      </c>
      <c r="BF3652" s="3" t="s">
        <v>30872</v>
      </c>
      <c r="BG3652" s="3" t="s">
        <v>30874</v>
      </c>
    </row>
    <row r="3653" spans="1:59" ht="60" x14ac:dyDescent="0.25">
      <c r="A3653" s="2" t="s">
        <v>59</v>
      </c>
      <c r="B3653" s="2" t="s">
        <v>60</v>
      </c>
      <c r="C3653" s="2" t="s">
        <v>30875</v>
      </c>
      <c r="D3653" s="2" t="s">
        <v>30876</v>
      </c>
      <c r="E3653" s="2" t="s">
        <v>30877</v>
      </c>
      <c r="G3653" s="3" t="s">
        <v>63</v>
      </c>
      <c r="I3653" s="3" t="s">
        <v>63</v>
      </c>
      <c r="J3653" s="3" t="s">
        <v>63</v>
      </c>
      <c r="K3653" s="3" t="s">
        <v>64</v>
      </c>
      <c r="L3653" s="2" t="s">
        <v>30878</v>
      </c>
      <c r="M3653" s="2" t="s">
        <v>30879</v>
      </c>
      <c r="N3653" s="3" t="s">
        <v>1226</v>
      </c>
      <c r="P3653" s="3" t="s">
        <v>66</v>
      </c>
      <c r="R3653" s="3" t="s">
        <v>67</v>
      </c>
      <c r="S3653" s="4">
        <v>3</v>
      </c>
      <c r="T3653" s="4">
        <v>3</v>
      </c>
      <c r="U3653" s="5" t="s">
        <v>11535</v>
      </c>
      <c r="V3653" s="5" t="s">
        <v>11535</v>
      </c>
      <c r="W3653" s="5" t="s">
        <v>69</v>
      </c>
      <c r="X3653" s="5" t="s">
        <v>69</v>
      </c>
      <c r="Y3653" s="4">
        <v>167</v>
      </c>
      <c r="Z3653" s="4">
        <v>9</v>
      </c>
      <c r="AA3653" s="4">
        <v>9</v>
      </c>
      <c r="AB3653" s="4">
        <v>1</v>
      </c>
      <c r="AC3653" s="4">
        <v>1</v>
      </c>
      <c r="AD3653" s="4">
        <v>89</v>
      </c>
      <c r="AE3653" s="4">
        <v>89</v>
      </c>
      <c r="AF3653" s="4">
        <v>0</v>
      </c>
      <c r="AG3653" s="4">
        <v>0</v>
      </c>
      <c r="AH3653" s="4">
        <v>83</v>
      </c>
      <c r="AI3653" s="4">
        <v>83</v>
      </c>
      <c r="AJ3653" s="4">
        <v>7</v>
      </c>
      <c r="AK3653" s="4">
        <v>7</v>
      </c>
      <c r="AL3653" s="4">
        <v>50</v>
      </c>
      <c r="AM3653" s="4">
        <v>50</v>
      </c>
      <c r="AN3653" s="4">
        <v>0</v>
      </c>
      <c r="AO3653" s="4">
        <v>0</v>
      </c>
      <c r="AP3653" s="4">
        <v>8</v>
      </c>
      <c r="AQ3653" s="4">
        <v>8</v>
      </c>
      <c r="AR3653" s="3" t="s">
        <v>63</v>
      </c>
      <c r="AS3653" s="3" t="s">
        <v>63</v>
      </c>
      <c r="AT3653" s="3" t="s">
        <v>62</v>
      </c>
      <c r="AU3653" s="6" t="str">
        <f>HYPERLINK("http://catalog.hathitrust.org/Record/004321714","HathiTrust Record")</f>
        <v>HathiTrust Record</v>
      </c>
      <c r="AV3653" s="6" t="str">
        <f>HYPERLINK("http://mcgill.on.worldcat.org/oclc/52108894","Catalog Record")</f>
        <v>Catalog Record</v>
      </c>
      <c r="AW3653" s="6" t="str">
        <f>HYPERLINK("http://www.worldcat.org/oclc/52108894","WorldCat Record")</f>
        <v>WorldCat Record</v>
      </c>
      <c r="AX3653" s="3" t="s">
        <v>30880</v>
      </c>
      <c r="AY3653" s="3" t="s">
        <v>30881</v>
      </c>
      <c r="AZ3653" s="3" t="s">
        <v>30882</v>
      </c>
      <c r="BA3653" s="3" t="s">
        <v>30882</v>
      </c>
      <c r="BB3653" s="3" t="s">
        <v>30883</v>
      </c>
      <c r="BC3653" s="3" t="s">
        <v>82</v>
      </c>
      <c r="BD3653" s="3" t="s">
        <v>70</v>
      </c>
      <c r="BE3653" s="3" t="s">
        <v>30884</v>
      </c>
      <c r="BF3653" s="3" t="s">
        <v>30883</v>
      </c>
      <c r="BG3653" s="3" t="s">
        <v>30885</v>
      </c>
    </row>
    <row r="3654" spans="1:59" ht="60" x14ac:dyDescent="0.25">
      <c r="A3654" s="2" t="s">
        <v>59</v>
      </c>
      <c r="B3654" s="2" t="s">
        <v>60</v>
      </c>
      <c r="C3654" s="2" t="s">
        <v>30886</v>
      </c>
      <c r="D3654" s="2" t="s">
        <v>30887</v>
      </c>
      <c r="E3654" s="2" t="s">
        <v>30888</v>
      </c>
      <c r="G3654" s="3" t="s">
        <v>63</v>
      </c>
      <c r="I3654" s="3" t="s">
        <v>63</v>
      </c>
      <c r="J3654" s="3" t="s">
        <v>63</v>
      </c>
      <c r="K3654" s="3" t="s">
        <v>64</v>
      </c>
      <c r="L3654" s="2" t="s">
        <v>30889</v>
      </c>
      <c r="M3654" s="2" t="s">
        <v>30280</v>
      </c>
      <c r="N3654" s="3" t="s">
        <v>287</v>
      </c>
      <c r="P3654" s="3" t="s">
        <v>90</v>
      </c>
      <c r="Q3654" s="2" t="s">
        <v>29586</v>
      </c>
      <c r="R3654" s="3" t="s">
        <v>67</v>
      </c>
      <c r="S3654" s="4">
        <v>1</v>
      </c>
      <c r="T3654" s="4">
        <v>1</v>
      </c>
      <c r="U3654" s="5" t="s">
        <v>2795</v>
      </c>
      <c r="V3654" s="5" t="s">
        <v>2795</v>
      </c>
      <c r="W3654" s="5" t="s">
        <v>9728</v>
      </c>
      <c r="X3654" s="5" t="s">
        <v>9728</v>
      </c>
      <c r="Y3654" s="4">
        <v>40</v>
      </c>
      <c r="Z3654" s="4">
        <v>3</v>
      </c>
      <c r="AA3654" s="4">
        <v>3</v>
      </c>
      <c r="AB3654" s="4">
        <v>1</v>
      </c>
      <c r="AC3654" s="4">
        <v>1</v>
      </c>
      <c r="AD3654" s="4">
        <v>33</v>
      </c>
      <c r="AE3654" s="4">
        <v>33</v>
      </c>
      <c r="AF3654" s="4">
        <v>0</v>
      </c>
      <c r="AG3654" s="4">
        <v>0</v>
      </c>
      <c r="AH3654" s="4">
        <v>32</v>
      </c>
      <c r="AI3654" s="4">
        <v>32</v>
      </c>
      <c r="AJ3654" s="4">
        <v>2</v>
      </c>
      <c r="AK3654" s="4">
        <v>2</v>
      </c>
      <c r="AL3654" s="4">
        <v>25</v>
      </c>
      <c r="AM3654" s="4">
        <v>25</v>
      </c>
      <c r="AN3654" s="4">
        <v>0</v>
      </c>
      <c r="AO3654" s="4">
        <v>0</v>
      </c>
      <c r="AP3654" s="4">
        <v>2</v>
      </c>
      <c r="AQ3654" s="4">
        <v>2</v>
      </c>
      <c r="AR3654" s="3" t="s">
        <v>63</v>
      </c>
      <c r="AS3654" s="3" t="s">
        <v>63</v>
      </c>
      <c r="AT3654" s="3" t="s">
        <v>63</v>
      </c>
      <c r="AV3654" s="6" t="str">
        <f>HYPERLINK("http://mcgill.on.worldcat.org/oclc/1039633699","Catalog Record")</f>
        <v>Catalog Record</v>
      </c>
      <c r="AW3654" s="6" t="str">
        <f>HYPERLINK("http://www.worldcat.org/oclc/1039633699","WorldCat Record")</f>
        <v>WorldCat Record</v>
      </c>
      <c r="AX3654" s="3" t="s">
        <v>30890</v>
      </c>
      <c r="AY3654" s="3" t="s">
        <v>30891</v>
      </c>
      <c r="AZ3654" s="3" t="s">
        <v>30892</v>
      </c>
      <c r="BA3654" s="3" t="s">
        <v>30892</v>
      </c>
      <c r="BB3654" s="3" t="s">
        <v>30893</v>
      </c>
      <c r="BC3654" s="3" t="s">
        <v>82</v>
      </c>
      <c r="BD3654" s="3" t="s">
        <v>70</v>
      </c>
      <c r="BE3654" s="3" t="s">
        <v>30894</v>
      </c>
      <c r="BF3654" s="3" t="s">
        <v>30893</v>
      </c>
      <c r="BG3654" s="3" t="s">
        <v>30895</v>
      </c>
    </row>
    <row r="3655" spans="1:59" ht="60" x14ac:dyDescent="0.25">
      <c r="A3655" s="2" t="s">
        <v>59</v>
      </c>
      <c r="B3655" s="2" t="s">
        <v>60</v>
      </c>
      <c r="C3655" s="2" t="s">
        <v>30896</v>
      </c>
      <c r="D3655" s="2" t="s">
        <v>30897</v>
      </c>
      <c r="E3655" s="2" t="s">
        <v>30898</v>
      </c>
      <c r="G3655" s="3" t="s">
        <v>63</v>
      </c>
      <c r="I3655" s="3" t="s">
        <v>63</v>
      </c>
      <c r="J3655" s="3" t="s">
        <v>63</v>
      </c>
      <c r="K3655" s="3" t="s">
        <v>64</v>
      </c>
      <c r="L3655" s="2" t="s">
        <v>30889</v>
      </c>
      <c r="M3655" s="2" t="s">
        <v>5187</v>
      </c>
      <c r="N3655" s="3" t="s">
        <v>143</v>
      </c>
      <c r="P3655" s="3" t="s">
        <v>90</v>
      </c>
      <c r="R3655" s="3" t="s">
        <v>67</v>
      </c>
      <c r="S3655" s="4">
        <v>2</v>
      </c>
      <c r="T3655" s="4">
        <v>2</v>
      </c>
      <c r="U3655" s="5" t="s">
        <v>15404</v>
      </c>
      <c r="V3655" s="5" t="s">
        <v>15404</v>
      </c>
      <c r="W3655" s="5" t="s">
        <v>69</v>
      </c>
      <c r="X3655" s="5" t="s">
        <v>69</v>
      </c>
      <c r="Y3655" s="4">
        <v>49</v>
      </c>
      <c r="Z3655" s="4">
        <v>2</v>
      </c>
      <c r="AA3655" s="4">
        <v>2</v>
      </c>
      <c r="AB3655" s="4">
        <v>1</v>
      </c>
      <c r="AC3655" s="4">
        <v>1</v>
      </c>
      <c r="AD3655" s="4">
        <v>26</v>
      </c>
      <c r="AE3655" s="4">
        <v>27</v>
      </c>
      <c r="AF3655" s="4">
        <v>0</v>
      </c>
      <c r="AG3655" s="4">
        <v>0</v>
      </c>
      <c r="AH3655" s="4">
        <v>25</v>
      </c>
      <c r="AI3655" s="4">
        <v>26</v>
      </c>
      <c r="AJ3655" s="4">
        <v>0</v>
      </c>
      <c r="AK3655" s="4">
        <v>0</v>
      </c>
      <c r="AL3655" s="4">
        <v>22</v>
      </c>
      <c r="AM3655" s="4">
        <v>22</v>
      </c>
      <c r="AN3655" s="4">
        <v>0</v>
      </c>
      <c r="AO3655" s="4">
        <v>0</v>
      </c>
      <c r="AP3655" s="4">
        <v>0</v>
      </c>
      <c r="AQ3655" s="4">
        <v>0</v>
      </c>
      <c r="AR3655" s="3" t="s">
        <v>63</v>
      </c>
      <c r="AS3655" s="3" t="s">
        <v>63</v>
      </c>
      <c r="AT3655" s="3" t="s">
        <v>63</v>
      </c>
      <c r="AV3655" s="6" t="str">
        <f>HYPERLINK("http://mcgill.on.worldcat.org/oclc/894917024","Catalog Record")</f>
        <v>Catalog Record</v>
      </c>
      <c r="AW3655" s="6" t="str">
        <f>HYPERLINK("http://www.worldcat.org/oclc/894917024","WorldCat Record")</f>
        <v>WorldCat Record</v>
      </c>
      <c r="AX3655" s="3" t="s">
        <v>30899</v>
      </c>
      <c r="AY3655" s="3" t="s">
        <v>30900</v>
      </c>
      <c r="AZ3655" s="3" t="s">
        <v>30901</v>
      </c>
      <c r="BA3655" s="3" t="s">
        <v>30901</v>
      </c>
      <c r="BB3655" s="3" t="s">
        <v>30902</v>
      </c>
      <c r="BC3655" s="3" t="s">
        <v>82</v>
      </c>
      <c r="BD3655" s="3" t="s">
        <v>70</v>
      </c>
      <c r="BE3655" s="3" t="s">
        <v>30903</v>
      </c>
      <c r="BF3655" s="3" t="s">
        <v>30902</v>
      </c>
      <c r="BG3655" s="3" t="s">
        <v>30904</v>
      </c>
    </row>
    <row r="3656" spans="1:59" ht="60" x14ac:dyDescent="0.25">
      <c r="A3656" s="2" t="s">
        <v>59</v>
      </c>
      <c r="B3656" s="2" t="s">
        <v>60</v>
      </c>
      <c r="C3656" s="2" t="s">
        <v>30905</v>
      </c>
      <c r="D3656" s="2" t="s">
        <v>30906</v>
      </c>
      <c r="E3656" s="2" t="s">
        <v>30907</v>
      </c>
      <c r="G3656" s="3" t="s">
        <v>63</v>
      </c>
      <c r="I3656" s="3" t="s">
        <v>63</v>
      </c>
      <c r="J3656" s="3" t="s">
        <v>63</v>
      </c>
      <c r="K3656" s="3" t="s">
        <v>64</v>
      </c>
      <c r="L3656" s="2" t="s">
        <v>30908</v>
      </c>
      <c r="M3656" s="2" t="s">
        <v>18633</v>
      </c>
      <c r="N3656" s="3" t="s">
        <v>313</v>
      </c>
      <c r="P3656" s="3" t="s">
        <v>90</v>
      </c>
      <c r="R3656" s="3" t="s">
        <v>67</v>
      </c>
      <c r="S3656" s="4">
        <v>4</v>
      </c>
      <c r="T3656" s="4">
        <v>4</v>
      </c>
      <c r="U3656" s="5" t="s">
        <v>30909</v>
      </c>
      <c r="V3656" s="5" t="s">
        <v>30909</v>
      </c>
      <c r="W3656" s="5" t="s">
        <v>69</v>
      </c>
      <c r="X3656" s="5" t="s">
        <v>69</v>
      </c>
      <c r="Y3656" s="4">
        <v>34</v>
      </c>
      <c r="Z3656" s="4">
        <v>6</v>
      </c>
      <c r="AA3656" s="4">
        <v>6</v>
      </c>
      <c r="AB3656" s="4">
        <v>2</v>
      </c>
      <c r="AC3656" s="4">
        <v>2</v>
      </c>
      <c r="AD3656" s="4">
        <v>17</v>
      </c>
      <c r="AE3656" s="4">
        <v>17</v>
      </c>
      <c r="AF3656" s="4">
        <v>0</v>
      </c>
      <c r="AG3656" s="4">
        <v>0</v>
      </c>
      <c r="AH3656" s="4">
        <v>16</v>
      </c>
      <c r="AI3656" s="4">
        <v>16</v>
      </c>
      <c r="AJ3656" s="4">
        <v>2</v>
      </c>
      <c r="AK3656" s="4">
        <v>2</v>
      </c>
      <c r="AL3656" s="4">
        <v>12</v>
      </c>
      <c r="AM3656" s="4">
        <v>12</v>
      </c>
      <c r="AN3656" s="4">
        <v>0</v>
      </c>
      <c r="AO3656" s="4">
        <v>0</v>
      </c>
      <c r="AP3656" s="4">
        <v>2</v>
      </c>
      <c r="AQ3656" s="4">
        <v>2</v>
      </c>
      <c r="AR3656" s="3" t="s">
        <v>63</v>
      </c>
      <c r="AS3656" s="3" t="s">
        <v>63</v>
      </c>
      <c r="AT3656" s="3" t="s">
        <v>63</v>
      </c>
      <c r="AV3656" s="6" t="str">
        <f>HYPERLINK("http://mcgill.on.worldcat.org/oclc/615651404","Catalog Record")</f>
        <v>Catalog Record</v>
      </c>
      <c r="AW3656" s="6" t="str">
        <f>HYPERLINK("http://www.worldcat.org/oclc/615651404","WorldCat Record")</f>
        <v>WorldCat Record</v>
      </c>
      <c r="AX3656" s="3" t="s">
        <v>30910</v>
      </c>
      <c r="AY3656" s="3" t="s">
        <v>30911</v>
      </c>
      <c r="AZ3656" s="3" t="s">
        <v>30912</v>
      </c>
      <c r="BA3656" s="3" t="s">
        <v>30912</v>
      </c>
      <c r="BB3656" s="3" t="s">
        <v>30913</v>
      </c>
      <c r="BC3656" s="3" t="s">
        <v>82</v>
      </c>
      <c r="BD3656" s="3" t="s">
        <v>70</v>
      </c>
      <c r="BE3656" s="3" t="s">
        <v>30914</v>
      </c>
      <c r="BF3656" s="3" t="s">
        <v>30913</v>
      </c>
      <c r="BG3656" s="3" t="s">
        <v>30915</v>
      </c>
    </row>
    <row r="3657" spans="1:59" ht="60" x14ac:dyDescent="0.25">
      <c r="A3657" s="2" t="s">
        <v>59</v>
      </c>
      <c r="B3657" s="2" t="s">
        <v>60</v>
      </c>
      <c r="C3657" s="2" t="s">
        <v>30916</v>
      </c>
      <c r="D3657" s="2" t="s">
        <v>30917</v>
      </c>
      <c r="E3657" s="2" t="s">
        <v>30918</v>
      </c>
      <c r="G3657" s="3" t="s">
        <v>63</v>
      </c>
      <c r="I3657" s="3" t="s">
        <v>63</v>
      </c>
      <c r="J3657" s="3" t="s">
        <v>63</v>
      </c>
      <c r="K3657" s="3" t="s">
        <v>64</v>
      </c>
      <c r="L3657" s="2" t="s">
        <v>30919</v>
      </c>
      <c r="M3657" s="2" t="s">
        <v>30920</v>
      </c>
      <c r="N3657" s="3" t="s">
        <v>2459</v>
      </c>
      <c r="P3657" s="3" t="s">
        <v>90</v>
      </c>
      <c r="R3657" s="3" t="s">
        <v>67</v>
      </c>
      <c r="S3657" s="4">
        <v>3</v>
      </c>
      <c r="T3657" s="4">
        <v>3</v>
      </c>
      <c r="U3657" s="5" t="s">
        <v>9180</v>
      </c>
      <c r="V3657" s="5" t="s">
        <v>9180</v>
      </c>
      <c r="W3657" s="5" t="s">
        <v>69</v>
      </c>
      <c r="X3657" s="5" t="s">
        <v>69</v>
      </c>
      <c r="Y3657" s="4">
        <v>30</v>
      </c>
      <c r="Z3657" s="4">
        <v>4</v>
      </c>
      <c r="AA3657" s="4">
        <v>4</v>
      </c>
      <c r="AB3657" s="4">
        <v>2</v>
      </c>
      <c r="AC3657" s="4">
        <v>2</v>
      </c>
      <c r="AD3657" s="4">
        <v>15</v>
      </c>
      <c r="AE3657" s="4">
        <v>15</v>
      </c>
      <c r="AF3657" s="4">
        <v>0</v>
      </c>
      <c r="AG3657" s="4">
        <v>0</v>
      </c>
      <c r="AH3657" s="4">
        <v>14</v>
      </c>
      <c r="AI3657" s="4">
        <v>14</v>
      </c>
      <c r="AJ3657" s="4">
        <v>2</v>
      </c>
      <c r="AK3657" s="4">
        <v>2</v>
      </c>
      <c r="AL3657" s="4">
        <v>10</v>
      </c>
      <c r="AM3657" s="4">
        <v>10</v>
      </c>
      <c r="AN3657" s="4">
        <v>0</v>
      </c>
      <c r="AO3657" s="4">
        <v>0</v>
      </c>
      <c r="AP3657" s="4">
        <v>2</v>
      </c>
      <c r="AQ3657" s="4">
        <v>2</v>
      </c>
      <c r="AR3657" s="3" t="s">
        <v>63</v>
      </c>
      <c r="AS3657" s="3" t="s">
        <v>63</v>
      </c>
      <c r="AT3657" s="3" t="s">
        <v>63</v>
      </c>
      <c r="AV3657" s="6" t="str">
        <f>HYPERLINK("http://mcgill.on.worldcat.org/oclc/233540969","Catalog Record")</f>
        <v>Catalog Record</v>
      </c>
      <c r="AW3657" s="6" t="str">
        <f>HYPERLINK("http://www.worldcat.org/oclc/233540969","WorldCat Record")</f>
        <v>WorldCat Record</v>
      </c>
      <c r="AX3657" s="3" t="s">
        <v>30921</v>
      </c>
      <c r="AY3657" s="3" t="s">
        <v>30922</v>
      </c>
      <c r="AZ3657" s="3" t="s">
        <v>30923</v>
      </c>
      <c r="BA3657" s="3" t="s">
        <v>30923</v>
      </c>
      <c r="BB3657" s="3" t="s">
        <v>30924</v>
      </c>
      <c r="BC3657" s="3" t="s">
        <v>82</v>
      </c>
      <c r="BD3657" s="3" t="s">
        <v>70</v>
      </c>
      <c r="BE3657" s="3" t="s">
        <v>30925</v>
      </c>
      <c r="BF3657" s="3" t="s">
        <v>30924</v>
      </c>
      <c r="BG3657" s="3" t="s">
        <v>30926</v>
      </c>
    </row>
    <row r="3658" spans="1:59" ht="75" x14ac:dyDescent="0.25">
      <c r="A3658" s="2" t="s">
        <v>59</v>
      </c>
      <c r="B3658" s="2" t="s">
        <v>60</v>
      </c>
      <c r="C3658" s="2" t="s">
        <v>30939</v>
      </c>
      <c r="D3658" s="2" t="s">
        <v>30940</v>
      </c>
      <c r="E3658" s="2" t="s">
        <v>30941</v>
      </c>
      <c r="G3658" s="3" t="s">
        <v>63</v>
      </c>
      <c r="I3658" s="3" t="s">
        <v>63</v>
      </c>
      <c r="J3658" s="3" t="s">
        <v>63</v>
      </c>
      <c r="K3658" s="3" t="s">
        <v>64</v>
      </c>
      <c r="L3658" s="2" t="s">
        <v>30942</v>
      </c>
      <c r="M3658" s="2" t="s">
        <v>30943</v>
      </c>
      <c r="N3658" s="3" t="s">
        <v>176</v>
      </c>
      <c r="P3658" s="3" t="s">
        <v>66</v>
      </c>
      <c r="R3658" s="3" t="s">
        <v>67</v>
      </c>
      <c r="S3658" s="4">
        <v>7</v>
      </c>
      <c r="T3658" s="4">
        <v>7</v>
      </c>
      <c r="U3658" s="5" t="s">
        <v>7189</v>
      </c>
      <c r="V3658" s="5" t="s">
        <v>7189</v>
      </c>
      <c r="W3658" s="5" t="s">
        <v>69</v>
      </c>
      <c r="X3658" s="5" t="s">
        <v>69</v>
      </c>
      <c r="Y3658" s="4">
        <v>157</v>
      </c>
      <c r="Z3658" s="4">
        <v>9</v>
      </c>
      <c r="AA3658" s="4">
        <v>9</v>
      </c>
      <c r="AB3658" s="4">
        <v>1</v>
      </c>
      <c r="AC3658" s="4">
        <v>1</v>
      </c>
      <c r="AD3658" s="4">
        <v>76</v>
      </c>
      <c r="AE3658" s="4">
        <v>76</v>
      </c>
      <c r="AF3658" s="4">
        <v>0</v>
      </c>
      <c r="AG3658" s="4">
        <v>0</v>
      </c>
      <c r="AH3658" s="4">
        <v>74</v>
      </c>
      <c r="AI3658" s="4">
        <v>74</v>
      </c>
      <c r="AJ3658" s="4">
        <v>6</v>
      </c>
      <c r="AK3658" s="4">
        <v>6</v>
      </c>
      <c r="AL3658" s="4">
        <v>42</v>
      </c>
      <c r="AM3658" s="4">
        <v>42</v>
      </c>
      <c r="AN3658" s="4">
        <v>0</v>
      </c>
      <c r="AO3658" s="4">
        <v>0</v>
      </c>
      <c r="AP3658" s="4">
        <v>7</v>
      </c>
      <c r="AQ3658" s="4">
        <v>7</v>
      </c>
      <c r="AR3658" s="3" t="s">
        <v>63</v>
      </c>
      <c r="AS3658" s="3" t="s">
        <v>63</v>
      </c>
      <c r="AT3658" s="3" t="s">
        <v>62</v>
      </c>
      <c r="AU3658" s="6" t="str">
        <f>HYPERLINK("http://catalog.hathitrust.org/Record/004953116","HathiTrust Record")</f>
        <v>HathiTrust Record</v>
      </c>
      <c r="AV3658" s="6" t="str">
        <f>HYPERLINK("http://mcgill.on.worldcat.org/oclc/40419682","Catalog Record")</f>
        <v>Catalog Record</v>
      </c>
      <c r="AW3658" s="6" t="str">
        <f>HYPERLINK("http://www.worldcat.org/oclc/40419682","WorldCat Record")</f>
        <v>WorldCat Record</v>
      </c>
      <c r="AX3658" s="3" t="s">
        <v>30944</v>
      </c>
      <c r="AY3658" s="3" t="s">
        <v>30945</v>
      </c>
      <c r="AZ3658" s="3" t="s">
        <v>30946</v>
      </c>
      <c r="BA3658" s="3" t="s">
        <v>30946</v>
      </c>
      <c r="BB3658" s="3" t="s">
        <v>30947</v>
      </c>
      <c r="BC3658" s="3" t="s">
        <v>82</v>
      </c>
      <c r="BD3658" s="3" t="s">
        <v>70</v>
      </c>
      <c r="BE3658" s="3" t="s">
        <v>30948</v>
      </c>
      <c r="BF3658" s="3" t="s">
        <v>30947</v>
      </c>
      <c r="BG3658" s="3" t="s">
        <v>30949</v>
      </c>
    </row>
    <row r="3659" spans="1:59" ht="75" x14ac:dyDescent="0.25">
      <c r="A3659" s="2" t="s">
        <v>59</v>
      </c>
      <c r="B3659" s="2" t="s">
        <v>60</v>
      </c>
      <c r="C3659" s="2" t="s">
        <v>30950</v>
      </c>
      <c r="D3659" s="2" t="s">
        <v>30951</v>
      </c>
      <c r="E3659" s="2" t="s">
        <v>30952</v>
      </c>
      <c r="G3659" s="3" t="s">
        <v>63</v>
      </c>
      <c r="I3659" s="3" t="s">
        <v>63</v>
      </c>
      <c r="J3659" s="3" t="s">
        <v>63</v>
      </c>
      <c r="K3659" s="3" t="s">
        <v>64</v>
      </c>
      <c r="L3659" s="2" t="s">
        <v>30953</v>
      </c>
      <c r="M3659" s="2" t="s">
        <v>30954</v>
      </c>
      <c r="N3659" s="3" t="s">
        <v>176</v>
      </c>
      <c r="P3659" s="3" t="s">
        <v>90</v>
      </c>
      <c r="R3659" s="3" t="s">
        <v>67</v>
      </c>
      <c r="S3659" s="4">
        <v>1</v>
      </c>
      <c r="T3659" s="4">
        <v>1</v>
      </c>
      <c r="U3659" s="5" t="s">
        <v>23733</v>
      </c>
      <c r="V3659" s="5" t="s">
        <v>23733</v>
      </c>
      <c r="W3659" s="5" t="s">
        <v>69</v>
      </c>
      <c r="X3659" s="5" t="s">
        <v>69</v>
      </c>
      <c r="Y3659" s="4">
        <v>80</v>
      </c>
      <c r="Z3659" s="4">
        <v>6</v>
      </c>
      <c r="AA3659" s="4">
        <v>6</v>
      </c>
      <c r="AB3659" s="4">
        <v>1</v>
      </c>
      <c r="AC3659" s="4">
        <v>1</v>
      </c>
      <c r="AD3659" s="4">
        <v>46</v>
      </c>
      <c r="AE3659" s="4">
        <v>47</v>
      </c>
      <c r="AF3659" s="4">
        <v>0</v>
      </c>
      <c r="AG3659" s="4">
        <v>0</v>
      </c>
      <c r="AH3659" s="4">
        <v>45</v>
      </c>
      <c r="AI3659" s="4">
        <v>46</v>
      </c>
      <c r="AJ3659" s="4">
        <v>3</v>
      </c>
      <c r="AK3659" s="4">
        <v>3</v>
      </c>
      <c r="AL3659" s="4">
        <v>34</v>
      </c>
      <c r="AM3659" s="4">
        <v>34</v>
      </c>
      <c r="AN3659" s="4">
        <v>0</v>
      </c>
      <c r="AO3659" s="4">
        <v>0</v>
      </c>
      <c r="AP3659" s="4">
        <v>3</v>
      </c>
      <c r="AQ3659" s="4">
        <v>3</v>
      </c>
      <c r="AR3659" s="3" t="s">
        <v>63</v>
      </c>
      <c r="AS3659" s="3" t="s">
        <v>63</v>
      </c>
      <c r="AT3659" s="3" t="s">
        <v>63</v>
      </c>
      <c r="AV3659" s="6" t="str">
        <f>HYPERLINK("http://mcgill.on.worldcat.org/oclc/40838585","Catalog Record")</f>
        <v>Catalog Record</v>
      </c>
      <c r="AW3659" s="6" t="str">
        <f>HYPERLINK("http://www.worldcat.org/oclc/40838585","WorldCat Record")</f>
        <v>WorldCat Record</v>
      </c>
      <c r="AX3659" s="3" t="s">
        <v>30955</v>
      </c>
      <c r="AY3659" s="3" t="s">
        <v>30956</v>
      </c>
      <c r="AZ3659" s="3" t="s">
        <v>30957</v>
      </c>
      <c r="BA3659" s="3" t="s">
        <v>30957</v>
      </c>
      <c r="BB3659" s="3" t="s">
        <v>30958</v>
      </c>
      <c r="BC3659" s="3" t="s">
        <v>82</v>
      </c>
      <c r="BD3659" s="3" t="s">
        <v>70</v>
      </c>
      <c r="BE3659" s="3" t="s">
        <v>30959</v>
      </c>
      <c r="BF3659" s="3" t="s">
        <v>30958</v>
      </c>
      <c r="BG3659" s="3" t="s">
        <v>30960</v>
      </c>
    </row>
    <row r="3660" spans="1:59" ht="75" x14ac:dyDescent="0.25">
      <c r="A3660" s="2" t="s">
        <v>59</v>
      </c>
      <c r="B3660" s="2" t="s">
        <v>60</v>
      </c>
      <c r="C3660" s="2" t="s">
        <v>30961</v>
      </c>
      <c r="D3660" s="2" t="s">
        <v>30962</v>
      </c>
      <c r="E3660" s="2" t="s">
        <v>30963</v>
      </c>
      <c r="G3660" s="3" t="s">
        <v>63</v>
      </c>
      <c r="I3660" s="3" t="s">
        <v>63</v>
      </c>
      <c r="J3660" s="3" t="s">
        <v>63</v>
      </c>
      <c r="K3660" s="3" t="s">
        <v>64</v>
      </c>
      <c r="L3660" s="2" t="s">
        <v>30964</v>
      </c>
      <c r="M3660" s="2" t="s">
        <v>30965</v>
      </c>
      <c r="N3660" s="3" t="s">
        <v>76</v>
      </c>
      <c r="P3660" s="3" t="s">
        <v>66</v>
      </c>
      <c r="Q3660" s="2" t="s">
        <v>30966</v>
      </c>
      <c r="R3660" s="3" t="s">
        <v>67</v>
      </c>
      <c r="S3660" s="4">
        <v>0</v>
      </c>
      <c r="T3660" s="4">
        <v>0</v>
      </c>
      <c r="W3660" s="5" t="s">
        <v>69</v>
      </c>
      <c r="X3660" s="5" t="s">
        <v>69</v>
      </c>
      <c r="Y3660" s="4">
        <v>128</v>
      </c>
      <c r="Z3660" s="4">
        <v>8</v>
      </c>
      <c r="AA3660" s="4">
        <v>10</v>
      </c>
      <c r="AB3660" s="4">
        <v>1</v>
      </c>
      <c r="AC3660" s="4">
        <v>3</v>
      </c>
      <c r="AD3660" s="4">
        <v>57</v>
      </c>
      <c r="AE3660" s="4">
        <v>57</v>
      </c>
      <c r="AF3660" s="4">
        <v>0</v>
      </c>
      <c r="AG3660" s="4">
        <v>0</v>
      </c>
      <c r="AH3660" s="4">
        <v>54</v>
      </c>
      <c r="AI3660" s="4">
        <v>54</v>
      </c>
      <c r="AJ3660" s="4">
        <v>4</v>
      </c>
      <c r="AK3660" s="4">
        <v>4</v>
      </c>
      <c r="AL3660" s="4">
        <v>39</v>
      </c>
      <c r="AM3660" s="4">
        <v>39</v>
      </c>
      <c r="AN3660" s="4">
        <v>0</v>
      </c>
      <c r="AO3660" s="4">
        <v>0</v>
      </c>
      <c r="AP3660" s="4">
        <v>4</v>
      </c>
      <c r="AQ3660" s="4">
        <v>4</v>
      </c>
      <c r="AR3660" s="3" t="s">
        <v>63</v>
      </c>
      <c r="AS3660" s="3" t="s">
        <v>63</v>
      </c>
      <c r="AT3660" s="3" t="s">
        <v>63</v>
      </c>
      <c r="AV3660" s="6" t="str">
        <f>HYPERLINK("http://mcgill.on.worldcat.org/oclc/756581613","Catalog Record")</f>
        <v>Catalog Record</v>
      </c>
      <c r="AW3660" s="6" t="str">
        <f>HYPERLINK("http://www.worldcat.org/oclc/756581613","WorldCat Record")</f>
        <v>WorldCat Record</v>
      </c>
      <c r="AX3660" s="3" t="s">
        <v>30967</v>
      </c>
      <c r="AY3660" s="3" t="s">
        <v>30968</v>
      </c>
      <c r="AZ3660" s="3" t="s">
        <v>30969</v>
      </c>
      <c r="BA3660" s="3" t="s">
        <v>30969</v>
      </c>
      <c r="BB3660" s="3" t="s">
        <v>30970</v>
      </c>
      <c r="BC3660" s="3" t="s">
        <v>82</v>
      </c>
      <c r="BD3660" s="3" t="s">
        <v>70</v>
      </c>
      <c r="BE3660" s="3" t="s">
        <v>30971</v>
      </c>
      <c r="BF3660" s="3" t="s">
        <v>30970</v>
      </c>
      <c r="BG3660" s="3" t="s">
        <v>30972</v>
      </c>
    </row>
    <row r="3661" spans="1:59" ht="75" x14ac:dyDescent="0.25">
      <c r="A3661" s="2" t="s">
        <v>59</v>
      </c>
      <c r="B3661" s="2" t="s">
        <v>60</v>
      </c>
      <c r="C3661" s="2" t="s">
        <v>30973</v>
      </c>
      <c r="D3661" s="2" t="s">
        <v>30974</v>
      </c>
      <c r="E3661" s="2" t="s">
        <v>30975</v>
      </c>
      <c r="G3661" s="3" t="s">
        <v>63</v>
      </c>
      <c r="I3661" s="3" t="s">
        <v>63</v>
      </c>
      <c r="J3661" s="3" t="s">
        <v>63</v>
      </c>
      <c r="K3661" s="3" t="s">
        <v>64</v>
      </c>
      <c r="L3661" s="2" t="s">
        <v>30976</v>
      </c>
      <c r="M3661" s="2" t="s">
        <v>30977</v>
      </c>
      <c r="N3661" s="3" t="s">
        <v>629</v>
      </c>
      <c r="P3661" s="3" t="s">
        <v>90</v>
      </c>
      <c r="Q3661" s="2" t="s">
        <v>30787</v>
      </c>
      <c r="R3661" s="3" t="s">
        <v>67</v>
      </c>
      <c r="S3661" s="4">
        <v>3</v>
      </c>
      <c r="T3661" s="4">
        <v>3</v>
      </c>
      <c r="U3661" s="5" t="s">
        <v>30978</v>
      </c>
      <c r="V3661" s="5" t="s">
        <v>30978</v>
      </c>
      <c r="W3661" s="5" t="s">
        <v>69</v>
      </c>
      <c r="X3661" s="5" t="s">
        <v>69</v>
      </c>
      <c r="Y3661" s="4">
        <v>37</v>
      </c>
      <c r="Z3661" s="4">
        <v>2</v>
      </c>
      <c r="AA3661" s="4">
        <v>2</v>
      </c>
      <c r="AB3661" s="4">
        <v>1</v>
      </c>
      <c r="AC3661" s="4">
        <v>1</v>
      </c>
      <c r="AD3661" s="4">
        <v>13</v>
      </c>
      <c r="AE3661" s="4">
        <v>13</v>
      </c>
      <c r="AF3661" s="4">
        <v>0</v>
      </c>
      <c r="AG3661" s="4">
        <v>0</v>
      </c>
      <c r="AH3661" s="4">
        <v>13</v>
      </c>
      <c r="AI3661" s="4">
        <v>13</v>
      </c>
      <c r="AJ3661" s="4">
        <v>0</v>
      </c>
      <c r="AK3661" s="4">
        <v>0</v>
      </c>
      <c r="AL3661" s="4">
        <v>10</v>
      </c>
      <c r="AM3661" s="4">
        <v>10</v>
      </c>
      <c r="AN3661" s="4">
        <v>0</v>
      </c>
      <c r="AO3661" s="4">
        <v>0</v>
      </c>
      <c r="AP3661" s="4">
        <v>0</v>
      </c>
      <c r="AQ3661" s="4">
        <v>0</v>
      </c>
      <c r="AR3661" s="3" t="s">
        <v>63</v>
      </c>
      <c r="AS3661" s="3" t="s">
        <v>63</v>
      </c>
      <c r="AT3661" s="3" t="s">
        <v>63</v>
      </c>
      <c r="AV3661" s="6" t="str">
        <f>HYPERLINK("http://mcgill.on.worldcat.org/oclc/774053616","Catalog Record")</f>
        <v>Catalog Record</v>
      </c>
      <c r="AW3661" s="6" t="str">
        <f>HYPERLINK("http://www.worldcat.org/oclc/774053616","WorldCat Record")</f>
        <v>WorldCat Record</v>
      </c>
      <c r="AX3661" s="3" t="s">
        <v>30979</v>
      </c>
      <c r="AY3661" s="3" t="s">
        <v>30980</v>
      </c>
      <c r="AZ3661" s="3" t="s">
        <v>30981</v>
      </c>
      <c r="BA3661" s="3" t="s">
        <v>30981</v>
      </c>
      <c r="BB3661" s="3" t="s">
        <v>30982</v>
      </c>
      <c r="BC3661" s="3" t="s">
        <v>82</v>
      </c>
      <c r="BD3661" s="3" t="s">
        <v>70</v>
      </c>
      <c r="BE3661" s="3" t="s">
        <v>30983</v>
      </c>
      <c r="BF3661" s="3" t="s">
        <v>30982</v>
      </c>
      <c r="BG3661" s="3" t="s">
        <v>30984</v>
      </c>
    </row>
    <row r="3662" spans="1:59" ht="75" x14ac:dyDescent="0.25">
      <c r="A3662" s="2" t="s">
        <v>59</v>
      </c>
      <c r="B3662" s="2" t="s">
        <v>60</v>
      </c>
      <c r="C3662" s="2" t="s">
        <v>30985</v>
      </c>
      <c r="D3662" s="2" t="s">
        <v>30986</v>
      </c>
      <c r="E3662" s="2" t="s">
        <v>30987</v>
      </c>
      <c r="G3662" s="3" t="s">
        <v>63</v>
      </c>
      <c r="I3662" s="3" t="s">
        <v>63</v>
      </c>
      <c r="J3662" s="3" t="s">
        <v>63</v>
      </c>
      <c r="K3662" s="3" t="s">
        <v>64</v>
      </c>
      <c r="L3662" s="2" t="s">
        <v>30988</v>
      </c>
      <c r="M3662" s="2" t="s">
        <v>30989</v>
      </c>
      <c r="N3662" s="3" t="s">
        <v>2765</v>
      </c>
      <c r="P3662" s="3" t="s">
        <v>90</v>
      </c>
      <c r="Q3662" s="2" t="s">
        <v>10744</v>
      </c>
      <c r="R3662" s="3" t="s">
        <v>67</v>
      </c>
      <c r="S3662" s="4">
        <v>2</v>
      </c>
      <c r="T3662" s="4">
        <v>2</v>
      </c>
      <c r="U3662" s="5" t="s">
        <v>10909</v>
      </c>
      <c r="V3662" s="5" t="s">
        <v>10909</v>
      </c>
      <c r="W3662" s="5" t="s">
        <v>69</v>
      </c>
      <c r="X3662" s="5" t="s">
        <v>69</v>
      </c>
      <c r="Y3662" s="4">
        <v>44</v>
      </c>
      <c r="Z3662" s="4">
        <v>3</v>
      </c>
      <c r="AA3662" s="4">
        <v>3</v>
      </c>
      <c r="AB3662" s="4">
        <v>1</v>
      </c>
      <c r="AC3662" s="4">
        <v>1</v>
      </c>
      <c r="AD3662" s="4">
        <v>20</v>
      </c>
      <c r="AE3662" s="4">
        <v>20</v>
      </c>
      <c r="AF3662" s="4">
        <v>0</v>
      </c>
      <c r="AG3662" s="4">
        <v>0</v>
      </c>
      <c r="AH3662" s="4">
        <v>20</v>
      </c>
      <c r="AI3662" s="4">
        <v>20</v>
      </c>
      <c r="AJ3662" s="4">
        <v>1</v>
      </c>
      <c r="AK3662" s="4">
        <v>1</v>
      </c>
      <c r="AL3662" s="4">
        <v>15</v>
      </c>
      <c r="AM3662" s="4">
        <v>15</v>
      </c>
      <c r="AN3662" s="4">
        <v>0</v>
      </c>
      <c r="AO3662" s="4">
        <v>0</v>
      </c>
      <c r="AP3662" s="4">
        <v>1</v>
      </c>
      <c r="AQ3662" s="4">
        <v>1</v>
      </c>
      <c r="AR3662" s="3" t="s">
        <v>63</v>
      </c>
      <c r="AS3662" s="3" t="s">
        <v>63</v>
      </c>
      <c r="AT3662" s="3" t="s">
        <v>63</v>
      </c>
      <c r="AV3662" s="6" t="str">
        <f>HYPERLINK("http://mcgill.on.worldcat.org/oclc/946941300","Catalog Record")</f>
        <v>Catalog Record</v>
      </c>
      <c r="AW3662" s="6" t="str">
        <f>HYPERLINK("http://www.worldcat.org/oclc/946941300","WorldCat Record")</f>
        <v>WorldCat Record</v>
      </c>
      <c r="AX3662" s="3" t="s">
        <v>30990</v>
      </c>
      <c r="AY3662" s="3" t="s">
        <v>30991</v>
      </c>
      <c r="AZ3662" s="3" t="s">
        <v>30992</v>
      </c>
      <c r="BA3662" s="3" t="s">
        <v>30992</v>
      </c>
      <c r="BB3662" s="3" t="s">
        <v>30993</v>
      </c>
      <c r="BC3662" s="3" t="s">
        <v>82</v>
      </c>
      <c r="BD3662" s="3" t="s">
        <v>70</v>
      </c>
      <c r="BE3662" s="3" t="s">
        <v>30994</v>
      </c>
      <c r="BF3662" s="3" t="s">
        <v>30993</v>
      </c>
      <c r="BG3662" s="3" t="s">
        <v>30995</v>
      </c>
    </row>
    <row r="3663" spans="1:59" ht="60" x14ac:dyDescent="0.25">
      <c r="A3663" s="2" t="s">
        <v>59</v>
      </c>
      <c r="B3663" s="2" t="s">
        <v>60</v>
      </c>
      <c r="C3663" s="2" t="s">
        <v>30996</v>
      </c>
      <c r="D3663" s="2" t="s">
        <v>30997</v>
      </c>
      <c r="E3663" s="2" t="s">
        <v>30998</v>
      </c>
      <c r="G3663" s="3" t="s">
        <v>63</v>
      </c>
      <c r="I3663" s="3" t="s">
        <v>63</v>
      </c>
      <c r="J3663" s="3" t="s">
        <v>63</v>
      </c>
      <c r="K3663" s="3" t="s">
        <v>64</v>
      </c>
      <c r="L3663" s="2" t="s">
        <v>30999</v>
      </c>
      <c r="M3663" s="2" t="s">
        <v>31000</v>
      </c>
      <c r="N3663" s="3" t="s">
        <v>190</v>
      </c>
      <c r="P3663" s="3" t="s">
        <v>90</v>
      </c>
      <c r="Q3663" s="2" t="s">
        <v>29326</v>
      </c>
      <c r="R3663" s="3" t="s">
        <v>67</v>
      </c>
      <c r="S3663" s="4">
        <v>4</v>
      </c>
      <c r="T3663" s="4">
        <v>4</v>
      </c>
      <c r="U3663" s="5" t="s">
        <v>23733</v>
      </c>
      <c r="V3663" s="5" t="s">
        <v>23733</v>
      </c>
      <c r="W3663" s="5" t="s">
        <v>69</v>
      </c>
      <c r="X3663" s="5" t="s">
        <v>69</v>
      </c>
      <c r="Y3663" s="4">
        <v>59</v>
      </c>
      <c r="Z3663" s="4">
        <v>4</v>
      </c>
      <c r="AA3663" s="4">
        <v>4</v>
      </c>
      <c r="AB3663" s="4">
        <v>1</v>
      </c>
      <c r="AC3663" s="4">
        <v>1</v>
      </c>
      <c r="AD3663" s="4">
        <v>35</v>
      </c>
      <c r="AE3663" s="4">
        <v>35</v>
      </c>
      <c r="AF3663" s="4">
        <v>0</v>
      </c>
      <c r="AG3663" s="4">
        <v>0</v>
      </c>
      <c r="AH3663" s="4">
        <v>34</v>
      </c>
      <c r="AI3663" s="4">
        <v>34</v>
      </c>
      <c r="AJ3663" s="4">
        <v>2</v>
      </c>
      <c r="AK3663" s="4">
        <v>2</v>
      </c>
      <c r="AL3663" s="4">
        <v>27</v>
      </c>
      <c r="AM3663" s="4">
        <v>27</v>
      </c>
      <c r="AN3663" s="4">
        <v>0</v>
      </c>
      <c r="AO3663" s="4">
        <v>0</v>
      </c>
      <c r="AP3663" s="4">
        <v>2</v>
      </c>
      <c r="AQ3663" s="4">
        <v>2</v>
      </c>
      <c r="AR3663" s="3" t="s">
        <v>63</v>
      </c>
      <c r="AS3663" s="3" t="s">
        <v>63</v>
      </c>
      <c r="AT3663" s="3" t="s">
        <v>62</v>
      </c>
      <c r="AU3663" s="6" t="str">
        <f>HYPERLINK("http://catalog.hathitrust.org/Record/005032903","HathiTrust Record")</f>
        <v>HathiTrust Record</v>
      </c>
      <c r="AV3663" s="6" t="str">
        <f>HYPERLINK("http://mcgill.on.worldcat.org/oclc/60540344","Catalog Record")</f>
        <v>Catalog Record</v>
      </c>
      <c r="AW3663" s="6" t="str">
        <f>HYPERLINK("http://www.worldcat.org/oclc/60540344","WorldCat Record")</f>
        <v>WorldCat Record</v>
      </c>
      <c r="AX3663" s="3" t="s">
        <v>31001</v>
      </c>
      <c r="AY3663" s="3" t="s">
        <v>31002</v>
      </c>
      <c r="AZ3663" s="3" t="s">
        <v>31003</v>
      </c>
      <c r="BA3663" s="3" t="s">
        <v>31003</v>
      </c>
      <c r="BB3663" s="3" t="s">
        <v>31004</v>
      </c>
      <c r="BC3663" s="3" t="s">
        <v>82</v>
      </c>
      <c r="BD3663" s="3" t="s">
        <v>70</v>
      </c>
      <c r="BE3663" s="3" t="s">
        <v>31005</v>
      </c>
      <c r="BF3663" s="3" t="s">
        <v>31004</v>
      </c>
      <c r="BG3663" s="3" t="s">
        <v>31006</v>
      </c>
    </row>
    <row r="3664" spans="1:59" ht="60" x14ac:dyDescent="0.25">
      <c r="A3664" s="2" t="s">
        <v>59</v>
      </c>
      <c r="B3664" s="2" t="s">
        <v>60</v>
      </c>
      <c r="C3664" s="2" t="s">
        <v>31007</v>
      </c>
      <c r="D3664" s="2" t="s">
        <v>31008</v>
      </c>
      <c r="E3664" s="2" t="s">
        <v>31009</v>
      </c>
      <c r="G3664" s="3" t="s">
        <v>63</v>
      </c>
      <c r="I3664" s="3" t="s">
        <v>63</v>
      </c>
      <c r="J3664" s="3" t="s">
        <v>63</v>
      </c>
      <c r="K3664" s="3" t="s">
        <v>64</v>
      </c>
      <c r="L3664" s="2" t="s">
        <v>31010</v>
      </c>
      <c r="M3664" s="2" t="s">
        <v>30257</v>
      </c>
      <c r="N3664" s="3" t="s">
        <v>76</v>
      </c>
      <c r="P3664" s="3" t="s">
        <v>90</v>
      </c>
      <c r="Q3664" s="2" t="s">
        <v>29586</v>
      </c>
      <c r="R3664" s="3" t="s">
        <v>67</v>
      </c>
      <c r="S3664" s="4">
        <v>2</v>
      </c>
      <c r="T3664" s="4">
        <v>2</v>
      </c>
      <c r="U3664" s="5" t="s">
        <v>29098</v>
      </c>
      <c r="V3664" s="5" t="s">
        <v>29098</v>
      </c>
      <c r="W3664" s="5" t="s">
        <v>69</v>
      </c>
      <c r="X3664" s="5" t="s">
        <v>69</v>
      </c>
      <c r="Y3664" s="4">
        <v>24</v>
      </c>
      <c r="Z3664" s="4">
        <v>3</v>
      </c>
      <c r="AA3664" s="4">
        <v>3</v>
      </c>
      <c r="AB3664" s="4">
        <v>1</v>
      </c>
      <c r="AC3664" s="4">
        <v>1</v>
      </c>
      <c r="AD3664" s="4">
        <v>17</v>
      </c>
      <c r="AE3664" s="4">
        <v>17</v>
      </c>
      <c r="AF3664" s="4">
        <v>0</v>
      </c>
      <c r="AG3664" s="4">
        <v>0</v>
      </c>
      <c r="AH3664" s="4">
        <v>16</v>
      </c>
      <c r="AI3664" s="4">
        <v>16</v>
      </c>
      <c r="AJ3664" s="4">
        <v>1</v>
      </c>
      <c r="AK3664" s="4">
        <v>1</v>
      </c>
      <c r="AL3664" s="4">
        <v>13</v>
      </c>
      <c r="AM3664" s="4">
        <v>13</v>
      </c>
      <c r="AN3664" s="4">
        <v>0</v>
      </c>
      <c r="AO3664" s="4">
        <v>0</v>
      </c>
      <c r="AP3664" s="4">
        <v>1</v>
      </c>
      <c r="AQ3664" s="4">
        <v>1</v>
      </c>
      <c r="AR3664" s="3" t="s">
        <v>63</v>
      </c>
      <c r="AS3664" s="3" t="s">
        <v>63</v>
      </c>
      <c r="AT3664" s="3" t="s">
        <v>63</v>
      </c>
      <c r="AV3664" s="6" t="str">
        <f>HYPERLINK("http://mcgill.on.worldcat.org/oclc/767858030","Catalog Record")</f>
        <v>Catalog Record</v>
      </c>
      <c r="AW3664" s="6" t="str">
        <f>HYPERLINK("http://www.worldcat.org/oclc/767858030","WorldCat Record")</f>
        <v>WorldCat Record</v>
      </c>
      <c r="AX3664" s="3" t="s">
        <v>31011</v>
      </c>
      <c r="AY3664" s="3" t="s">
        <v>31012</v>
      </c>
      <c r="AZ3664" s="3" t="s">
        <v>31013</v>
      </c>
      <c r="BA3664" s="3" t="s">
        <v>31013</v>
      </c>
      <c r="BB3664" s="3" t="s">
        <v>31014</v>
      </c>
      <c r="BC3664" s="3" t="s">
        <v>82</v>
      </c>
      <c r="BD3664" s="3" t="s">
        <v>70</v>
      </c>
      <c r="BE3664" s="3" t="s">
        <v>31015</v>
      </c>
      <c r="BF3664" s="3" t="s">
        <v>31014</v>
      </c>
      <c r="BG3664" s="3" t="s">
        <v>31016</v>
      </c>
    </row>
    <row r="3665" spans="1:59" ht="60" x14ac:dyDescent="0.25">
      <c r="A3665" s="2" t="s">
        <v>59</v>
      </c>
      <c r="B3665" s="2" t="s">
        <v>60</v>
      </c>
      <c r="C3665" s="2" t="s">
        <v>31017</v>
      </c>
      <c r="D3665" s="2" t="s">
        <v>31018</v>
      </c>
      <c r="E3665" s="2" t="s">
        <v>31019</v>
      </c>
      <c r="G3665" s="3" t="s">
        <v>63</v>
      </c>
      <c r="I3665" s="3" t="s">
        <v>63</v>
      </c>
      <c r="J3665" s="3" t="s">
        <v>63</v>
      </c>
      <c r="K3665" s="3" t="s">
        <v>64</v>
      </c>
      <c r="L3665" s="2" t="s">
        <v>31010</v>
      </c>
      <c r="M3665" s="2" t="s">
        <v>30920</v>
      </c>
      <c r="N3665" s="3" t="s">
        <v>2459</v>
      </c>
      <c r="P3665" s="3" t="s">
        <v>90</v>
      </c>
      <c r="R3665" s="3" t="s">
        <v>67</v>
      </c>
      <c r="S3665" s="4">
        <v>3</v>
      </c>
      <c r="T3665" s="4">
        <v>3</v>
      </c>
      <c r="U3665" s="5" t="s">
        <v>26515</v>
      </c>
      <c r="V3665" s="5" t="s">
        <v>26515</v>
      </c>
      <c r="W3665" s="5" t="s">
        <v>69</v>
      </c>
      <c r="X3665" s="5" t="s">
        <v>69</v>
      </c>
      <c r="Y3665" s="4">
        <v>39</v>
      </c>
      <c r="Z3665" s="4">
        <v>5</v>
      </c>
      <c r="AA3665" s="4">
        <v>5</v>
      </c>
      <c r="AB3665" s="4">
        <v>2</v>
      </c>
      <c r="AC3665" s="4">
        <v>2</v>
      </c>
      <c r="AD3665" s="4">
        <v>25</v>
      </c>
      <c r="AE3665" s="4">
        <v>25</v>
      </c>
      <c r="AF3665" s="4">
        <v>0</v>
      </c>
      <c r="AG3665" s="4">
        <v>0</v>
      </c>
      <c r="AH3665" s="4">
        <v>24</v>
      </c>
      <c r="AI3665" s="4">
        <v>24</v>
      </c>
      <c r="AJ3665" s="4">
        <v>1</v>
      </c>
      <c r="AK3665" s="4">
        <v>1</v>
      </c>
      <c r="AL3665" s="4">
        <v>22</v>
      </c>
      <c r="AM3665" s="4">
        <v>22</v>
      </c>
      <c r="AN3665" s="4">
        <v>0</v>
      </c>
      <c r="AO3665" s="4">
        <v>0</v>
      </c>
      <c r="AP3665" s="4">
        <v>1</v>
      </c>
      <c r="AQ3665" s="4">
        <v>1</v>
      </c>
      <c r="AR3665" s="3" t="s">
        <v>63</v>
      </c>
      <c r="AS3665" s="3" t="s">
        <v>63</v>
      </c>
      <c r="AT3665" s="3" t="s">
        <v>63</v>
      </c>
      <c r="AV3665" s="6" t="str">
        <f>HYPERLINK("http://mcgill.on.worldcat.org/oclc/294760931","Catalog Record")</f>
        <v>Catalog Record</v>
      </c>
      <c r="AW3665" s="6" t="str">
        <f>HYPERLINK("http://www.worldcat.org/oclc/294760931","WorldCat Record")</f>
        <v>WorldCat Record</v>
      </c>
      <c r="AX3665" s="3" t="s">
        <v>31020</v>
      </c>
      <c r="AY3665" s="3" t="s">
        <v>31021</v>
      </c>
      <c r="AZ3665" s="3" t="s">
        <v>31022</v>
      </c>
      <c r="BA3665" s="3" t="s">
        <v>31022</v>
      </c>
      <c r="BB3665" s="3" t="s">
        <v>31023</v>
      </c>
      <c r="BC3665" s="3" t="s">
        <v>82</v>
      </c>
      <c r="BD3665" s="3" t="s">
        <v>70</v>
      </c>
      <c r="BE3665" s="3" t="s">
        <v>31024</v>
      </c>
      <c r="BF3665" s="3" t="s">
        <v>31023</v>
      </c>
      <c r="BG3665" s="3" t="s">
        <v>31025</v>
      </c>
    </row>
    <row r="3666" spans="1:59" ht="60" x14ac:dyDescent="0.25">
      <c r="A3666" s="2" t="s">
        <v>59</v>
      </c>
      <c r="B3666" s="2" t="s">
        <v>60</v>
      </c>
      <c r="C3666" s="2" t="s">
        <v>31026</v>
      </c>
      <c r="D3666" s="2" t="s">
        <v>31027</v>
      </c>
      <c r="E3666" s="2" t="s">
        <v>31028</v>
      </c>
      <c r="G3666" s="3" t="s">
        <v>63</v>
      </c>
      <c r="I3666" s="3" t="s">
        <v>63</v>
      </c>
      <c r="J3666" s="3" t="s">
        <v>63</v>
      </c>
      <c r="K3666" s="3" t="s">
        <v>64</v>
      </c>
      <c r="L3666" s="2" t="s">
        <v>31029</v>
      </c>
      <c r="M3666" s="2" t="s">
        <v>7647</v>
      </c>
      <c r="N3666" s="3" t="s">
        <v>313</v>
      </c>
      <c r="P3666" s="3" t="s">
        <v>90</v>
      </c>
      <c r="R3666" s="3" t="s">
        <v>67</v>
      </c>
      <c r="S3666" s="4">
        <v>2</v>
      </c>
      <c r="T3666" s="4">
        <v>2</v>
      </c>
      <c r="U3666" s="5" t="s">
        <v>30857</v>
      </c>
      <c r="V3666" s="5" t="s">
        <v>30857</v>
      </c>
      <c r="W3666" s="5" t="s">
        <v>69</v>
      </c>
      <c r="X3666" s="5" t="s">
        <v>69</v>
      </c>
      <c r="Y3666" s="4">
        <v>39</v>
      </c>
      <c r="Z3666" s="4">
        <v>4</v>
      </c>
      <c r="AA3666" s="4">
        <v>4</v>
      </c>
      <c r="AB3666" s="4">
        <v>1</v>
      </c>
      <c r="AC3666" s="4">
        <v>1</v>
      </c>
      <c r="AD3666" s="4">
        <v>26</v>
      </c>
      <c r="AE3666" s="4">
        <v>26</v>
      </c>
      <c r="AF3666" s="4">
        <v>0</v>
      </c>
      <c r="AG3666" s="4">
        <v>0</v>
      </c>
      <c r="AH3666" s="4">
        <v>25</v>
      </c>
      <c r="AI3666" s="4">
        <v>25</v>
      </c>
      <c r="AJ3666" s="4">
        <v>2</v>
      </c>
      <c r="AK3666" s="4">
        <v>2</v>
      </c>
      <c r="AL3666" s="4">
        <v>20</v>
      </c>
      <c r="AM3666" s="4">
        <v>20</v>
      </c>
      <c r="AN3666" s="4">
        <v>0</v>
      </c>
      <c r="AO3666" s="4">
        <v>0</v>
      </c>
      <c r="AP3666" s="4">
        <v>2</v>
      </c>
      <c r="AQ3666" s="4">
        <v>2</v>
      </c>
      <c r="AR3666" s="3" t="s">
        <v>63</v>
      </c>
      <c r="AS3666" s="3" t="s">
        <v>63</v>
      </c>
      <c r="AT3666" s="3" t="s">
        <v>63</v>
      </c>
      <c r="AV3666" s="6" t="str">
        <f>HYPERLINK("http://mcgill.on.worldcat.org/oclc/501151367","Catalog Record")</f>
        <v>Catalog Record</v>
      </c>
      <c r="AW3666" s="6" t="str">
        <f>HYPERLINK("http://www.worldcat.org/oclc/501151367","WorldCat Record")</f>
        <v>WorldCat Record</v>
      </c>
      <c r="AX3666" s="3" t="s">
        <v>31030</v>
      </c>
      <c r="AY3666" s="3" t="s">
        <v>31031</v>
      </c>
      <c r="AZ3666" s="3" t="s">
        <v>31032</v>
      </c>
      <c r="BA3666" s="3" t="s">
        <v>31032</v>
      </c>
      <c r="BB3666" s="3" t="s">
        <v>31033</v>
      </c>
      <c r="BC3666" s="3" t="s">
        <v>82</v>
      </c>
      <c r="BD3666" s="3" t="s">
        <v>70</v>
      </c>
      <c r="BE3666" s="3" t="s">
        <v>31034</v>
      </c>
      <c r="BF3666" s="3" t="s">
        <v>31033</v>
      </c>
      <c r="BG3666" s="3" t="s">
        <v>31035</v>
      </c>
    </row>
    <row r="3667" spans="1:59" ht="60" x14ac:dyDescent="0.25">
      <c r="A3667" s="2" t="s">
        <v>59</v>
      </c>
      <c r="B3667" s="2" t="s">
        <v>60</v>
      </c>
      <c r="C3667" s="2" t="s">
        <v>31036</v>
      </c>
      <c r="D3667" s="2" t="s">
        <v>31037</v>
      </c>
      <c r="E3667" s="2" t="s">
        <v>31038</v>
      </c>
      <c r="G3667" s="3" t="s">
        <v>63</v>
      </c>
      <c r="I3667" s="3" t="s">
        <v>63</v>
      </c>
      <c r="J3667" s="3" t="s">
        <v>63</v>
      </c>
      <c r="K3667" s="3" t="s">
        <v>64</v>
      </c>
      <c r="L3667" s="2" t="s">
        <v>31039</v>
      </c>
      <c r="M3667" s="2" t="s">
        <v>31040</v>
      </c>
      <c r="N3667" s="3" t="s">
        <v>2765</v>
      </c>
      <c r="P3667" s="3" t="s">
        <v>90</v>
      </c>
      <c r="Q3667" s="2" t="s">
        <v>30181</v>
      </c>
      <c r="R3667" s="3" t="s">
        <v>67</v>
      </c>
      <c r="S3667" s="4">
        <v>1</v>
      </c>
      <c r="T3667" s="4">
        <v>1</v>
      </c>
      <c r="U3667" s="5" t="s">
        <v>10909</v>
      </c>
      <c r="V3667" s="5" t="s">
        <v>10909</v>
      </c>
      <c r="W3667" s="5" t="s">
        <v>69</v>
      </c>
      <c r="X3667" s="5" t="s">
        <v>69</v>
      </c>
      <c r="Y3667" s="4">
        <v>38</v>
      </c>
      <c r="Z3667" s="4">
        <v>4</v>
      </c>
      <c r="AA3667" s="4">
        <v>4</v>
      </c>
      <c r="AB3667" s="4">
        <v>1</v>
      </c>
      <c r="AC3667" s="4">
        <v>1</v>
      </c>
      <c r="AD3667" s="4">
        <v>29</v>
      </c>
      <c r="AE3667" s="4">
        <v>29</v>
      </c>
      <c r="AF3667" s="4">
        <v>0</v>
      </c>
      <c r="AG3667" s="4">
        <v>0</v>
      </c>
      <c r="AH3667" s="4">
        <v>28</v>
      </c>
      <c r="AI3667" s="4">
        <v>28</v>
      </c>
      <c r="AJ3667" s="4">
        <v>2</v>
      </c>
      <c r="AK3667" s="4">
        <v>2</v>
      </c>
      <c r="AL3667" s="4">
        <v>23</v>
      </c>
      <c r="AM3667" s="4">
        <v>23</v>
      </c>
      <c r="AN3667" s="4">
        <v>0</v>
      </c>
      <c r="AO3667" s="4">
        <v>0</v>
      </c>
      <c r="AP3667" s="4">
        <v>2</v>
      </c>
      <c r="AQ3667" s="4">
        <v>2</v>
      </c>
      <c r="AR3667" s="3" t="s">
        <v>63</v>
      </c>
      <c r="AS3667" s="3" t="s">
        <v>63</v>
      </c>
      <c r="AT3667" s="3" t="s">
        <v>63</v>
      </c>
      <c r="AV3667" s="6" t="str">
        <f>HYPERLINK("http://mcgill.on.worldcat.org/oclc/908198054","Catalog Record")</f>
        <v>Catalog Record</v>
      </c>
      <c r="AW3667" s="6" t="str">
        <f>HYPERLINK("http://www.worldcat.org/oclc/908198054","WorldCat Record")</f>
        <v>WorldCat Record</v>
      </c>
      <c r="AX3667" s="3" t="s">
        <v>31041</v>
      </c>
      <c r="AY3667" s="3" t="s">
        <v>31042</v>
      </c>
      <c r="AZ3667" s="3" t="s">
        <v>31043</v>
      </c>
      <c r="BA3667" s="3" t="s">
        <v>31043</v>
      </c>
      <c r="BB3667" s="3" t="s">
        <v>31044</v>
      </c>
      <c r="BC3667" s="3" t="s">
        <v>82</v>
      </c>
      <c r="BD3667" s="3" t="s">
        <v>70</v>
      </c>
      <c r="BE3667" s="3" t="s">
        <v>31045</v>
      </c>
      <c r="BF3667" s="3" t="s">
        <v>31044</v>
      </c>
      <c r="BG3667" s="3" t="s">
        <v>31046</v>
      </c>
    </row>
    <row r="3668" spans="1:59" ht="60" x14ac:dyDescent="0.25">
      <c r="A3668" s="2" t="s">
        <v>59</v>
      </c>
      <c r="B3668" s="2" t="s">
        <v>60</v>
      </c>
      <c r="C3668" s="2" t="s">
        <v>31047</v>
      </c>
      <c r="D3668" s="2" t="s">
        <v>31048</v>
      </c>
      <c r="E3668" s="2" t="s">
        <v>31049</v>
      </c>
      <c r="G3668" s="3" t="s">
        <v>63</v>
      </c>
      <c r="I3668" s="3" t="s">
        <v>63</v>
      </c>
      <c r="J3668" s="3" t="s">
        <v>63</v>
      </c>
      <c r="K3668" s="3" t="s">
        <v>64</v>
      </c>
      <c r="L3668" s="2" t="s">
        <v>31050</v>
      </c>
      <c r="M3668" s="2" t="s">
        <v>4552</v>
      </c>
      <c r="N3668" s="3" t="s">
        <v>313</v>
      </c>
      <c r="P3668" s="3" t="s">
        <v>90</v>
      </c>
      <c r="Q3668" s="2" t="s">
        <v>29586</v>
      </c>
      <c r="R3668" s="3" t="s">
        <v>67</v>
      </c>
      <c r="S3668" s="4">
        <v>1</v>
      </c>
      <c r="T3668" s="4">
        <v>1</v>
      </c>
      <c r="U3668" s="5" t="s">
        <v>31051</v>
      </c>
      <c r="V3668" s="5" t="s">
        <v>31051</v>
      </c>
      <c r="W3668" s="5" t="s">
        <v>69</v>
      </c>
      <c r="X3668" s="5" t="s">
        <v>69</v>
      </c>
      <c r="Y3668" s="4">
        <v>42</v>
      </c>
      <c r="Z3668" s="4">
        <v>6</v>
      </c>
      <c r="AA3668" s="4">
        <v>6</v>
      </c>
      <c r="AB3668" s="4">
        <v>1</v>
      </c>
      <c r="AC3668" s="4">
        <v>1</v>
      </c>
      <c r="AD3668" s="4">
        <v>32</v>
      </c>
      <c r="AE3668" s="4">
        <v>41</v>
      </c>
      <c r="AF3668" s="4">
        <v>0</v>
      </c>
      <c r="AG3668" s="4">
        <v>0</v>
      </c>
      <c r="AH3668" s="4">
        <v>31</v>
      </c>
      <c r="AI3668" s="4">
        <v>40</v>
      </c>
      <c r="AJ3668" s="4">
        <v>3</v>
      </c>
      <c r="AK3668" s="4">
        <v>3</v>
      </c>
      <c r="AL3668" s="4">
        <v>24</v>
      </c>
      <c r="AM3668" s="4">
        <v>31</v>
      </c>
      <c r="AN3668" s="4">
        <v>0</v>
      </c>
      <c r="AO3668" s="4">
        <v>0</v>
      </c>
      <c r="AP3668" s="4">
        <v>3</v>
      </c>
      <c r="AQ3668" s="4">
        <v>3</v>
      </c>
      <c r="AR3668" s="3" t="s">
        <v>63</v>
      </c>
      <c r="AS3668" s="3" t="s">
        <v>63</v>
      </c>
      <c r="AT3668" s="3" t="s">
        <v>63</v>
      </c>
      <c r="AV3668" s="6" t="str">
        <f>HYPERLINK("http://mcgill.on.worldcat.org/oclc/662410414","Catalog Record")</f>
        <v>Catalog Record</v>
      </c>
      <c r="AW3668" s="6" t="str">
        <f>HYPERLINK("http://www.worldcat.org/oclc/662410414","WorldCat Record")</f>
        <v>WorldCat Record</v>
      </c>
      <c r="AX3668" s="3" t="s">
        <v>31052</v>
      </c>
      <c r="AY3668" s="3" t="s">
        <v>31053</v>
      </c>
      <c r="AZ3668" s="3" t="s">
        <v>31054</v>
      </c>
      <c r="BA3668" s="3" t="s">
        <v>31054</v>
      </c>
      <c r="BB3668" s="3" t="s">
        <v>31055</v>
      </c>
      <c r="BC3668" s="3" t="s">
        <v>82</v>
      </c>
      <c r="BD3668" s="3" t="s">
        <v>70</v>
      </c>
      <c r="BE3668" s="3" t="s">
        <v>31056</v>
      </c>
      <c r="BF3668" s="3" t="s">
        <v>31055</v>
      </c>
      <c r="BG3668" s="3" t="s">
        <v>31057</v>
      </c>
    </row>
    <row r="3669" spans="1:59" ht="90" x14ac:dyDescent="0.25">
      <c r="A3669" s="2" t="s">
        <v>59</v>
      </c>
      <c r="B3669" s="2" t="s">
        <v>60</v>
      </c>
      <c r="C3669" s="2" t="s">
        <v>30927</v>
      </c>
      <c r="D3669" s="2" t="s">
        <v>30928</v>
      </c>
      <c r="E3669" s="2" t="s">
        <v>30929</v>
      </c>
      <c r="G3669" s="3" t="s">
        <v>63</v>
      </c>
      <c r="I3669" s="3" t="s">
        <v>63</v>
      </c>
      <c r="J3669" s="3" t="s">
        <v>63</v>
      </c>
      <c r="K3669" s="3" t="s">
        <v>64</v>
      </c>
      <c r="L3669" s="2" t="s">
        <v>30930</v>
      </c>
      <c r="M3669" s="2" t="s">
        <v>30931</v>
      </c>
      <c r="N3669" s="3" t="s">
        <v>130</v>
      </c>
      <c r="P3669" s="3" t="s">
        <v>90</v>
      </c>
      <c r="R3669" s="3" t="s">
        <v>67</v>
      </c>
      <c r="S3669" s="4">
        <v>2</v>
      </c>
      <c r="T3669" s="4">
        <v>2</v>
      </c>
      <c r="U3669" s="5" t="s">
        <v>30932</v>
      </c>
      <c r="V3669" s="5" t="s">
        <v>30932</v>
      </c>
      <c r="W3669" s="5" t="s">
        <v>69</v>
      </c>
      <c r="X3669" s="5" t="s">
        <v>69</v>
      </c>
      <c r="Y3669" s="4">
        <v>7</v>
      </c>
      <c r="Z3669" s="4">
        <v>3</v>
      </c>
      <c r="AA3669" s="4">
        <v>3</v>
      </c>
      <c r="AB3669" s="4">
        <v>1</v>
      </c>
      <c r="AC3669" s="4">
        <v>1</v>
      </c>
      <c r="AD3669" s="4">
        <v>4</v>
      </c>
      <c r="AE3669" s="4">
        <v>4</v>
      </c>
      <c r="AF3669" s="4">
        <v>0</v>
      </c>
      <c r="AG3669" s="4">
        <v>0</v>
      </c>
      <c r="AH3669" s="4">
        <v>4</v>
      </c>
      <c r="AI3669" s="4">
        <v>4</v>
      </c>
      <c r="AJ3669" s="4">
        <v>1</v>
      </c>
      <c r="AK3669" s="4">
        <v>1</v>
      </c>
      <c r="AL3669" s="4">
        <v>3</v>
      </c>
      <c r="AM3669" s="4">
        <v>3</v>
      </c>
      <c r="AN3669" s="4">
        <v>0</v>
      </c>
      <c r="AO3669" s="4">
        <v>0</v>
      </c>
      <c r="AP3669" s="4">
        <v>1</v>
      </c>
      <c r="AQ3669" s="4">
        <v>1</v>
      </c>
      <c r="AR3669" s="3" t="s">
        <v>63</v>
      </c>
      <c r="AS3669" s="3" t="s">
        <v>63</v>
      </c>
      <c r="AT3669" s="3" t="s">
        <v>63</v>
      </c>
      <c r="AV3669" s="6" t="str">
        <f>HYPERLINK("http://mcgill.on.worldcat.org/oclc/857741378","Catalog Record")</f>
        <v>Catalog Record</v>
      </c>
      <c r="AW3669" s="6" t="str">
        <f>HYPERLINK("http://www.worldcat.org/oclc/857741378","WorldCat Record")</f>
        <v>WorldCat Record</v>
      </c>
      <c r="AX3669" s="3" t="s">
        <v>30933</v>
      </c>
      <c r="AY3669" s="3" t="s">
        <v>30934</v>
      </c>
      <c r="AZ3669" s="3" t="s">
        <v>30935</v>
      </c>
      <c r="BA3669" s="3" t="s">
        <v>30935</v>
      </c>
      <c r="BB3669" s="3" t="s">
        <v>30936</v>
      </c>
      <c r="BC3669" s="3" t="s">
        <v>82</v>
      </c>
      <c r="BD3669" s="3" t="s">
        <v>70</v>
      </c>
      <c r="BE3669" s="3" t="s">
        <v>30937</v>
      </c>
      <c r="BF3669" s="3" t="s">
        <v>30936</v>
      </c>
      <c r="BG3669" s="3" t="s">
        <v>30938</v>
      </c>
    </row>
    <row r="3670" spans="1:59" ht="75" x14ac:dyDescent="0.25">
      <c r="A3670" s="2" t="s">
        <v>59</v>
      </c>
      <c r="B3670" s="2" t="s">
        <v>60</v>
      </c>
      <c r="C3670" s="2" t="s">
        <v>31058</v>
      </c>
      <c r="D3670" s="2" t="s">
        <v>31059</v>
      </c>
      <c r="E3670" s="2" t="s">
        <v>31060</v>
      </c>
      <c r="G3670" s="3" t="s">
        <v>63</v>
      </c>
      <c r="I3670" s="3" t="s">
        <v>63</v>
      </c>
      <c r="J3670" s="3" t="s">
        <v>63</v>
      </c>
      <c r="K3670" s="3" t="s">
        <v>64</v>
      </c>
      <c r="L3670" s="2" t="s">
        <v>31061</v>
      </c>
      <c r="M3670" s="2" t="s">
        <v>31062</v>
      </c>
      <c r="N3670" s="3" t="s">
        <v>629</v>
      </c>
      <c r="P3670" s="3" t="s">
        <v>90</v>
      </c>
      <c r="Q3670" s="2" t="s">
        <v>31063</v>
      </c>
      <c r="R3670" s="3" t="s">
        <v>67</v>
      </c>
      <c r="S3670" s="4">
        <v>1</v>
      </c>
      <c r="T3670" s="4">
        <v>1</v>
      </c>
      <c r="U3670" s="5" t="s">
        <v>31064</v>
      </c>
      <c r="V3670" s="5" t="s">
        <v>31064</v>
      </c>
      <c r="W3670" s="5" t="s">
        <v>69</v>
      </c>
      <c r="X3670" s="5" t="s">
        <v>69</v>
      </c>
      <c r="Y3670" s="4">
        <v>26</v>
      </c>
      <c r="Z3670" s="4">
        <v>4</v>
      </c>
      <c r="AA3670" s="4">
        <v>4</v>
      </c>
      <c r="AB3670" s="4">
        <v>1</v>
      </c>
      <c r="AC3670" s="4">
        <v>1</v>
      </c>
      <c r="AD3670" s="4">
        <v>15</v>
      </c>
      <c r="AE3670" s="4">
        <v>32</v>
      </c>
      <c r="AF3670" s="4">
        <v>0</v>
      </c>
      <c r="AG3670" s="4">
        <v>0</v>
      </c>
      <c r="AH3670" s="4">
        <v>14</v>
      </c>
      <c r="AI3670" s="4">
        <v>31</v>
      </c>
      <c r="AJ3670" s="4">
        <v>2</v>
      </c>
      <c r="AK3670" s="4">
        <v>2</v>
      </c>
      <c r="AL3670" s="4">
        <v>11</v>
      </c>
      <c r="AM3670" s="4">
        <v>24</v>
      </c>
      <c r="AN3670" s="4">
        <v>0</v>
      </c>
      <c r="AO3670" s="4">
        <v>0</v>
      </c>
      <c r="AP3670" s="4">
        <v>2</v>
      </c>
      <c r="AQ3670" s="4">
        <v>2</v>
      </c>
      <c r="AR3670" s="3" t="s">
        <v>63</v>
      </c>
      <c r="AS3670" s="3" t="s">
        <v>63</v>
      </c>
      <c r="AT3670" s="3" t="s">
        <v>63</v>
      </c>
      <c r="AV3670" s="6" t="str">
        <f>HYPERLINK("http://mcgill.on.worldcat.org/oclc/730929040","Catalog Record")</f>
        <v>Catalog Record</v>
      </c>
      <c r="AW3670" s="6" t="str">
        <f>HYPERLINK("http://www.worldcat.org/oclc/730929040","WorldCat Record")</f>
        <v>WorldCat Record</v>
      </c>
      <c r="AX3670" s="3" t="s">
        <v>31065</v>
      </c>
      <c r="AY3670" s="3" t="s">
        <v>31066</v>
      </c>
      <c r="AZ3670" s="3" t="s">
        <v>31067</v>
      </c>
      <c r="BA3670" s="3" t="s">
        <v>31067</v>
      </c>
      <c r="BB3670" s="3" t="s">
        <v>31068</v>
      </c>
      <c r="BC3670" s="3" t="s">
        <v>82</v>
      </c>
      <c r="BD3670" s="3" t="s">
        <v>70</v>
      </c>
      <c r="BE3670" s="3" t="s">
        <v>31069</v>
      </c>
      <c r="BF3670" s="3" t="s">
        <v>31068</v>
      </c>
      <c r="BG3670" s="3" t="s">
        <v>31070</v>
      </c>
    </row>
    <row r="3671" spans="1:59" ht="60" x14ac:dyDescent="0.25">
      <c r="A3671" s="2" t="s">
        <v>59</v>
      </c>
      <c r="B3671" s="2" t="s">
        <v>60</v>
      </c>
      <c r="C3671" s="2" t="s">
        <v>31071</v>
      </c>
      <c r="D3671" s="2" t="s">
        <v>31072</v>
      </c>
      <c r="E3671" s="2" t="s">
        <v>31073</v>
      </c>
      <c r="G3671" s="3" t="s">
        <v>63</v>
      </c>
      <c r="I3671" s="3" t="s">
        <v>63</v>
      </c>
      <c r="J3671" s="3" t="s">
        <v>63</v>
      </c>
      <c r="K3671" s="3" t="s">
        <v>64</v>
      </c>
      <c r="L3671" s="2" t="s">
        <v>31074</v>
      </c>
      <c r="M3671" s="2" t="s">
        <v>31075</v>
      </c>
      <c r="N3671" s="3" t="s">
        <v>176</v>
      </c>
      <c r="P3671" s="3" t="s">
        <v>90</v>
      </c>
      <c r="R3671" s="3" t="s">
        <v>67</v>
      </c>
      <c r="S3671" s="4">
        <v>2</v>
      </c>
      <c r="T3671" s="4">
        <v>2</v>
      </c>
      <c r="U3671" s="5" t="s">
        <v>12050</v>
      </c>
      <c r="V3671" s="5" t="s">
        <v>12050</v>
      </c>
      <c r="W3671" s="5" t="s">
        <v>69</v>
      </c>
      <c r="X3671" s="5" t="s">
        <v>69</v>
      </c>
      <c r="Y3671" s="4">
        <v>40</v>
      </c>
      <c r="Z3671" s="4">
        <v>4</v>
      </c>
      <c r="AA3671" s="4">
        <v>5</v>
      </c>
      <c r="AB3671" s="4">
        <v>1</v>
      </c>
      <c r="AC3671" s="4">
        <v>1</v>
      </c>
      <c r="AD3671" s="4">
        <v>31</v>
      </c>
      <c r="AE3671" s="4">
        <v>35</v>
      </c>
      <c r="AF3671" s="4">
        <v>0</v>
      </c>
      <c r="AG3671" s="4">
        <v>0</v>
      </c>
      <c r="AH3671" s="4">
        <v>30</v>
      </c>
      <c r="AI3671" s="4">
        <v>34</v>
      </c>
      <c r="AJ3671" s="4">
        <v>2</v>
      </c>
      <c r="AK3671" s="4">
        <v>2</v>
      </c>
      <c r="AL3671" s="4">
        <v>27</v>
      </c>
      <c r="AM3671" s="4">
        <v>29</v>
      </c>
      <c r="AN3671" s="4">
        <v>0</v>
      </c>
      <c r="AO3671" s="4">
        <v>2</v>
      </c>
      <c r="AP3671" s="4">
        <v>2</v>
      </c>
      <c r="AQ3671" s="4">
        <v>2</v>
      </c>
      <c r="AR3671" s="3" t="s">
        <v>63</v>
      </c>
      <c r="AS3671" s="3" t="s">
        <v>63</v>
      </c>
      <c r="AT3671" s="3" t="s">
        <v>62</v>
      </c>
      <c r="AU3671" s="6" t="str">
        <f>HYPERLINK("http://catalog.hathitrust.org/Record/003541193","HathiTrust Record")</f>
        <v>HathiTrust Record</v>
      </c>
      <c r="AV3671" s="6" t="str">
        <f>HYPERLINK("http://mcgill.on.worldcat.org/oclc/41629946","Catalog Record")</f>
        <v>Catalog Record</v>
      </c>
      <c r="AW3671" s="6" t="str">
        <f>HYPERLINK("http://www.worldcat.org/oclc/41629946","WorldCat Record")</f>
        <v>WorldCat Record</v>
      </c>
      <c r="AX3671" s="3" t="s">
        <v>31076</v>
      </c>
      <c r="AY3671" s="3" t="s">
        <v>31077</v>
      </c>
      <c r="AZ3671" s="3" t="s">
        <v>31078</v>
      </c>
      <c r="BA3671" s="3" t="s">
        <v>31078</v>
      </c>
      <c r="BB3671" s="3" t="s">
        <v>31079</v>
      </c>
      <c r="BC3671" s="3" t="s">
        <v>82</v>
      </c>
      <c r="BD3671" s="3" t="s">
        <v>70</v>
      </c>
      <c r="BE3671" s="3" t="s">
        <v>31080</v>
      </c>
      <c r="BF3671" s="3" t="s">
        <v>31079</v>
      </c>
      <c r="BG3671" s="3" t="s">
        <v>31081</v>
      </c>
    </row>
    <row r="3672" spans="1:59" ht="60" x14ac:dyDescent="0.25">
      <c r="A3672" s="2" t="s">
        <v>59</v>
      </c>
      <c r="B3672" s="2" t="s">
        <v>60</v>
      </c>
      <c r="C3672" s="2" t="s">
        <v>31082</v>
      </c>
      <c r="D3672" s="2" t="s">
        <v>31083</v>
      </c>
      <c r="E3672" s="2" t="s">
        <v>31084</v>
      </c>
      <c r="G3672" s="3" t="s">
        <v>63</v>
      </c>
      <c r="I3672" s="3" t="s">
        <v>62</v>
      </c>
      <c r="J3672" s="3" t="s">
        <v>63</v>
      </c>
      <c r="K3672" s="3" t="s">
        <v>64</v>
      </c>
      <c r="L3672" s="2" t="s">
        <v>31085</v>
      </c>
      <c r="M3672" s="2" t="s">
        <v>31086</v>
      </c>
      <c r="N3672" s="3" t="s">
        <v>2951</v>
      </c>
      <c r="O3672" s="2" t="s">
        <v>590</v>
      </c>
      <c r="P3672" s="3" t="s">
        <v>66</v>
      </c>
      <c r="R3672" s="3" t="s">
        <v>67</v>
      </c>
      <c r="S3672" s="4">
        <v>12</v>
      </c>
      <c r="T3672" s="4">
        <v>13</v>
      </c>
      <c r="U3672" s="5" t="s">
        <v>4069</v>
      </c>
      <c r="V3672" s="5" t="s">
        <v>4069</v>
      </c>
      <c r="W3672" s="5" t="s">
        <v>69</v>
      </c>
      <c r="X3672" s="5" t="s">
        <v>69</v>
      </c>
      <c r="Y3672" s="4">
        <v>550</v>
      </c>
      <c r="Z3672" s="4">
        <v>30</v>
      </c>
      <c r="AA3672" s="4">
        <v>32</v>
      </c>
      <c r="AB3672" s="4">
        <v>3</v>
      </c>
      <c r="AC3672" s="4">
        <v>5</v>
      </c>
      <c r="AD3672" s="4">
        <v>114</v>
      </c>
      <c r="AE3672" s="4">
        <v>115</v>
      </c>
      <c r="AF3672" s="4">
        <v>2</v>
      </c>
      <c r="AG3672" s="4">
        <v>3</v>
      </c>
      <c r="AH3672" s="4">
        <v>99</v>
      </c>
      <c r="AI3672" s="4">
        <v>99</v>
      </c>
      <c r="AJ3672" s="4">
        <v>20</v>
      </c>
      <c r="AK3672" s="4">
        <v>21</v>
      </c>
      <c r="AL3672" s="4">
        <v>51</v>
      </c>
      <c r="AM3672" s="4">
        <v>51</v>
      </c>
      <c r="AN3672" s="4">
        <v>0</v>
      </c>
      <c r="AO3672" s="4">
        <v>0</v>
      </c>
      <c r="AP3672" s="4">
        <v>22</v>
      </c>
      <c r="AQ3672" s="4">
        <v>22</v>
      </c>
      <c r="AR3672" s="3" t="s">
        <v>63</v>
      </c>
      <c r="AS3672" s="3" t="s">
        <v>63</v>
      </c>
      <c r="AT3672" s="3" t="s">
        <v>62</v>
      </c>
      <c r="AU3672" s="6" t="str">
        <f>HYPERLINK("http://catalog.hathitrust.org/Record/000738657","HathiTrust Record")</f>
        <v>HathiTrust Record</v>
      </c>
      <c r="AV3672" s="6" t="str">
        <f>HYPERLINK("http://mcgill.on.worldcat.org/oclc/5750051","Catalog Record")</f>
        <v>Catalog Record</v>
      </c>
      <c r="AW3672" s="6" t="str">
        <f>HYPERLINK("http://www.worldcat.org/oclc/5750051","WorldCat Record")</f>
        <v>WorldCat Record</v>
      </c>
      <c r="AX3672" s="3" t="s">
        <v>31087</v>
      </c>
      <c r="AY3672" s="3" t="s">
        <v>31088</v>
      </c>
      <c r="AZ3672" s="3" t="s">
        <v>31089</v>
      </c>
      <c r="BA3672" s="3" t="s">
        <v>31089</v>
      </c>
      <c r="BB3672" s="3" t="s">
        <v>31090</v>
      </c>
      <c r="BC3672" s="3" t="s">
        <v>82</v>
      </c>
      <c r="BD3672" s="3" t="s">
        <v>538</v>
      </c>
      <c r="BE3672" s="3" t="s">
        <v>31091</v>
      </c>
      <c r="BF3672" s="3" t="s">
        <v>31090</v>
      </c>
      <c r="BG3672" s="3" t="s">
        <v>31092</v>
      </c>
    </row>
    <row r="3673" spans="1:59" ht="75" x14ac:dyDescent="0.25">
      <c r="A3673" s="2" t="s">
        <v>59</v>
      </c>
      <c r="B3673" s="2" t="s">
        <v>60</v>
      </c>
      <c r="C3673" s="2" t="s">
        <v>31093</v>
      </c>
      <c r="D3673" s="2" t="s">
        <v>31094</v>
      </c>
      <c r="E3673" s="2" t="s">
        <v>31095</v>
      </c>
      <c r="F3673" s="3" t="s">
        <v>4181</v>
      </c>
      <c r="G3673" s="3" t="s">
        <v>62</v>
      </c>
      <c r="I3673" s="3" t="s">
        <v>63</v>
      </c>
      <c r="J3673" s="3" t="s">
        <v>63</v>
      </c>
      <c r="K3673" s="3" t="s">
        <v>64</v>
      </c>
      <c r="L3673" s="2" t="s">
        <v>31096</v>
      </c>
      <c r="M3673" s="2" t="s">
        <v>31097</v>
      </c>
      <c r="N3673" s="3" t="s">
        <v>668</v>
      </c>
      <c r="P3673" s="3" t="s">
        <v>90</v>
      </c>
      <c r="R3673" s="3" t="s">
        <v>67</v>
      </c>
      <c r="S3673" s="4">
        <v>0</v>
      </c>
      <c r="T3673" s="4">
        <v>1</v>
      </c>
      <c r="V3673" s="5" t="s">
        <v>12050</v>
      </c>
      <c r="W3673" s="5" t="s">
        <v>69</v>
      </c>
      <c r="X3673" s="5" t="s">
        <v>69</v>
      </c>
      <c r="Y3673" s="4">
        <v>29</v>
      </c>
      <c r="Z3673" s="4">
        <v>2</v>
      </c>
      <c r="AA3673" s="4">
        <v>2</v>
      </c>
      <c r="AB3673" s="4">
        <v>1</v>
      </c>
      <c r="AC3673" s="4">
        <v>1</v>
      </c>
      <c r="AD3673" s="4">
        <v>19</v>
      </c>
      <c r="AE3673" s="4">
        <v>19</v>
      </c>
      <c r="AF3673" s="4">
        <v>0</v>
      </c>
      <c r="AG3673" s="4">
        <v>0</v>
      </c>
      <c r="AH3673" s="4">
        <v>18</v>
      </c>
      <c r="AI3673" s="4">
        <v>18</v>
      </c>
      <c r="AJ3673" s="4">
        <v>0</v>
      </c>
      <c r="AK3673" s="4">
        <v>0</v>
      </c>
      <c r="AL3673" s="4">
        <v>14</v>
      </c>
      <c r="AM3673" s="4">
        <v>14</v>
      </c>
      <c r="AN3673" s="4">
        <v>0</v>
      </c>
      <c r="AO3673" s="4">
        <v>0</v>
      </c>
      <c r="AP3673" s="4">
        <v>0</v>
      </c>
      <c r="AQ3673" s="4">
        <v>0</v>
      </c>
      <c r="AR3673" s="3" t="s">
        <v>63</v>
      </c>
      <c r="AS3673" s="3" t="s">
        <v>63</v>
      </c>
      <c r="AT3673" s="3" t="s">
        <v>62</v>
      </c>
      <c r="AU3673" s="6" t="str">
        <f>HYPERLINK("http://catalog.hathitrust.org/Record/002962786","HathiTrust Record")</f>
        <v>HathiTrust Record</v>
      </c>
      <c r="AV3673" s="6" t="str">
        <f>HYPERLINK("http://mcgill.on.worldcat.org/oclc/24729453","Catalog Record")</f>
        <v>Catalog Record</v>
      </c>
      <c r="AW3673" s="6" t="str">
        <f>HYPERLINK("http://www.worldcat.org/oclc/24729453","WorldCat Record")</f>
        <v>WorldCat Record</v>
      </c>
      <c r="AX3673" s="3" t="s">
        <v>31098</v>
      </c>
      <c r="AY3673" s="3" t="s">
        <v>31099</v>
      </c>
      <c r="AZ3673" s="3" t="s">
        <v>31100</v>
      </c>
      <c r="BA3673" s="3" t="s">
        <v>31100</v>
      </c>
      <c r="BB3673" s="3" t="s">
        <v>31101</v>
      </c>
      <c r="BC3673" s="3" t="s">
        <v>82</v>
      </c>
      <c r="BD3673" s="3" t="s">
        <v>70</v>
      </c>
      <c r="BE3673" s="3" t="s">
        <v>31102</v>
      </c>
      <c r="BF3673" s="3" t="s">
        <v>31101</v>
      </c>
      <c r="BG3673" s="3" t="s">
        <v>31103</v>
      </c>
    </row>
    <row r="3674" spans="1:59" ht="75" x14ac:dyDescent="0.25">
      <c r="A3674" s="2" t="s">
        <v>59</v>
      </c>
      <c r="B3674" s="2" t="s">
        <v>60</v>
      </c>
      <c r="C3674" s="2" t="s">
        <v>31093</v>
      </c>
      <c r="D3674" s="2" t="s">
        <v>31094</v>
      </c>
      <c r="E3674" s="2" t="s">
        <v>31095</v>
      </c>
      <c r="F3674" s="3" t="s">
        <v>2601</v>
      </c>
      <c r="G3674" s="3" t="s">
        <v>62</v>
      </c>
      <c r="I3674" s="3" t="s">
        <v>63</v>
      </c>
      <c r="J3674" s="3" t="s">
        <v>63</v>
      </c>
      <c r="K3674" s="3" t="s">
        <v>64</v>
      </c>
      <c r="L3674" s="2" t="s">
        <v>31096</v>
      </c>
      <c r="M3674" s="2" t="s">
        <v>31097</v>
      </c>
      <c r="N3674" s="3" t="s">
        <v>668</v>
      </c>
      <c r="P3674" s="3" t="s">
        <v>90</v>
      </c>
      <c r="R3674" s="3" t="s">
        <v>67</v>
      </c>
      <c r="S3674" s="4">
        <v>1</v>
      </c>
      <c r="T3674" s="4">
        <v>1</v>
      </c>
      <c r="U3674" s="5" t="s">
        <v>12050</v>
      </c>
      <c r="V3674" s="5" t="s">
        <v>12050</v>
      </c>
      <c r="W3674" s="5" t="s">
        <v>69</v>
      </c>
      <c r="X3674" s="5" t="s">
        <v>69</v>
      </c>
      <c r="Y3674" s="4">
        <v>29</v>
      </c>
      <c r="Z3674" s="4">
        <v>2</v>
      </c>
      <c r="AA3674" s="4">
        <v>2</v>
      </c>
      <c r="AB3674" s="4">
        <v>1</v>
      </c>
      <c r="AC3674" s="4">
        <v>1</v>
      </c>
      <c r="AD3674" s="4">
        <v>19</v>
      </c>
      <c r="AE3674" s="4">
        <v>19</v>
      </c>
      <c r="AF3674" s="4">
        <v>0</v>
      </c>
      <c r="AG3674" s="4">
        <v>0</v>
      </c>
      <c r="AH3674" s="4">
        <v>18</v>
      </c>
      <c r="AI3674" s="4">
        <v>18</v>
      </c>
      <c r="AJ3674" s="4">
        <v>0</v>
      </c>
      <c r="AK3674" s="4">
        <v>0</v>
      </c>
      <c r="AL3674" s="4">
        <v>14</v>
      </c>
      <c r="AM3674" s="4">
        <v>14</v>
      </c>
      <c r="AN3674" s="4">
        <v>0</v>
      </c>
      <c r="AO3674" s="4">
        <v>0</v>
      </c>
      <c r="AP3674" s="4">
        <v>0</v>
      </c>
      <c r="AQ3674" s="4">
        <v>0</v>
      </c>
      <c r="AR3674" s="3" t="s">
        <v>63</v>
      </c>
      <c r="AS3674" s="3" t="s">
        <v>63</v>
      </c>
      <c r="AT3674" s="3" t="s">
        <v>62</v>
      </c>
      <c r="AU3674" s="6" t="str">
        <f>HYPERLINK("http://catalog.hathitrust.org/Record/002962786","HathiTrust Record")</f>
        <v>HathiTrust Record</v>
      </c>
      <c r="AV3674" s="6" t="str">
        <f>HYPERLINK("http://mcgill.on.worldcat.org/oclc/24729453","Catalog Record")</f>
        <v>Catalog Record</v>
      </c>
      <c r="AW3674" s="6" t="str">
        <f>HYPERLINK("http://www.worldcat.org/oclc/24729453","WorldCat Record")</f>
        <v>WorldCat Record</v>
      </c>
      <c r="AX3674" s="3" t="s">
        <v>31098</v>
      </c>
      <c r="AY3674" s="3" t="s">
        <v>31099</v>
      </c>
      <c r="AZ3674" s="3" t="s">
        <v>31100</v>
      </c>
      <c r="BA3674" s="3" t="s">
        <v>31100</v>
      </c>
      <c r="BB3674" s="3" t="s">
        <v>31104</v>
      </c>
      <c r="BC3674" s="3" t="s">
        <v>82</v>
      </c>
      <c r="BD3674" s="3" t="s">
        <v>70</v>
      </c>
      <c r="BE3674" s="3" t="s">
        <v>31102</v>
      </c>
      <c r="BF3674" s="3" t="s">
        <v>31104</v>
      </c>
      <c r="BG3674" s="3" t="s">
        <v>31105</v>
      </c>
    </row>
    <row r="3675" spans="1:59" ht="75" x14ac:dyDescent="0.25">
      <c r="A3675" s="2" t="s">
        <v>59</v>
      </c>
      <c r="B3675" s="2" t="s">
        <v>60</v>
      </c>
      <c r="C3675" s="2" t="s">
        <v>31106</v>
      </c>
      <c r="D3675" s="2" t="s">
        <v>31107</v>
      </c>
      <c r="E3675" s="2" t="s">
        <v>31108</v>
      </c>
      <c r="G3675" s="3" t="s">
        <v>63</v>
      </c>
      <c r="I3675" s="3" t="s">
        <v>63</v>
      </c>
      <c r="J3675" s="3" t="s">
        <v>63</v>
      </c>
      <c r="K3675" s="3" t="s">
        <v>64</v>
      </c>
      <c r="L3675" s="2" t="s">
        <v>31109</v>
      </c>
      <c r="M3675" s="2" t="s">
        <v>31110</v>
      </c>
      <c r="N3675" s="3" t="s">
        <v>629</v>
      </c>
      <c r="P3675" s="3" t="s">
        <v>90</v>
      </c>
      <c r="R3675" s="3" t="s">
        <v>67</v>
      </c>
      <c r="S3675" s="4">
        <v>1</v>
      </c>
      <c r="T3675" s="4">
        <v>1</v>
      </c>
      <c r="U3675" s="5" t="s">
        <v>31111</v>
      </c>
      <c r="V3675" s="5" t="s">
        <v>31111</v>
      </c>
      <c r="W3675" s="5" t="s">
        <v>69</v>
      </c>
      <c r="X3675" s="5" t="s">
        <v>69</v>
      </c>
      <c r="Y3675" s="4">
        <v>32</v>
      </c>
      <c r="Z3675" s="4">
        <v>5</v>
      </c>
      <c r="AA3675" s="4">
        <v>5</v>
      </c>
      <c r="AB3675" s="4">
        <v>1</v>
      </c>
      <c r="AC3675" s="4">
        <v>1</v>
      </c>
      <c r="AD3675" s="4">
        <v>26</v>
      </c>
      <c r="AE3675" s="4">
        <v>26</v>
      </c>
      <c r="AF3675" s="4">
        <v>0</v>
      </c>
      <c r="AG3675" s="4">
        <v>0</v>
      </c>
      <c r="AH3675" s="4">
        <v>25</v>
      </c>
      <c r="AI3675" s="4">
        <v>25</v>
      </c>
      <c r="AJ3675" s="4">
        <v>3</v>
      </c>
      <c r="AK3675" s="4">
        <v>3</v>
      </c>
      <c r="AL3675" s="4">
        <v>20</v>
      </c>
      <c r="AM3675" s="4">
        <v>20</v>
      </c>
      <c r="AN3675" s="4">
        <v>0</v>
      </c>
      <c r="AO3675" s="4">
        <v>0</v>
      </c>
      <c r="AP3675" s="4">
        <v>3</v>
      </c>
      <c r="AQ3675" s="4">
        <v>3</v>
      </c>
      <c r="AR3675" s="3" t="s">
        <v>63</v>
      </c>
      <c r="AS3675" s="3" t="s">
        <v>63</v>
      </c>
      <c r="AT3675" s="3" t="s">
        <v>63</v>
      </c>
      <c r="AV3675" s="6" t="str">
        <f>HYPERLINK("http://mcgill.on.worldcat.org/oclc/704889164","Catalog Record")</f>
        <v>Catalog Record</v>
      </c>
      <c r="AW3675" s="6" t="str">
        <f>HYPERLINK("http://www.worldcat.org/oclc/704889164","WorldCat Record")</f>
        <v>WorldCat Record</v>
      </c>
      <c r="AX3675" s="3" t="s">
        <v>31112</v>
      </c>
      <c r="AY3675" s="3" t="s">
        <v>31113</v>
      </c>
      <c r="AZ3675" s="3" t="s">
        <v>31114</v>
      </c>
      <c r="BA3675" s="3" t="s">
        <v>31114</v>
      </c>
      <c r="BB3675" s="3" t="s">
        <v>31115</v>
      </c>
      <c r="BC3675" s="3" t="s">
        <v>82</v>
      </c>
      <c r="BD3675" s="3" t="s">
        <v>70</v>
      </c>
      <c r="BE3675" s="3" t="s">
        <v>31116</v>
      </c>
      <c r="BF3675" s="3" t="s">
        <v>31115</v>
      </c>
      <c r="BG3675" s="3" t="s">
        <v>31117</v>
      </c>
    </row>
    <row r="3676" spans="1:59" ht="60" x14ac:dyDescent="0.25">
      <c r="A3676" s="2" t="s">
        <v>59</v>
      </c>
      <c r="B3676" s="2" t="s">
        <v>60</v>
      </c>
      <c r="C3676" s="2" t="s">
        <v>31118</v>
      </c>
      <c r="D3676" s="2" t="s">
        <v>31119</v>
      </c>
      <c r="E3676" s="2" t="s">
        <v>31120</v>
      </c>
      <c r="G3676" s="3" t="s">
        <v>63</v>
      </c>
      <c r="I3676" s="3" t="s">
        <v>63</v>
      </c>
      <c r="J3676" s="3" t="s">
        <v>63</v>
      </c>
      <c r="K3676" s="3" t="s">
        <v>64</v>
      </c>
      <c r="L3676" s="2" t="s">
        <v>31121</v>
      </c>
      <c r="M3676" s="2" t="s">
        <v>31122</v>
      </c>
      <c r="N3676" s="3" t="s">
        <v>2043</v>
      </c>
      <c r="P3676" s="3" t="s">
        <v>90</v>
      </c>
      <c r="R3676" s="3" t="s">
        <v>67</v>
      </c>
      <c r="S3676" s="4">
        <v>3</v>
      </c>
      <c r="T3676" s="4">
        <v>3</v>
      </c>
      <c r="U3676" s="5" t="s">
        <v>29280</v>
      </c>
      <c r="V3676" s="5" t="s">
        <v>29280</v>
      </c>
      <c r="W3676" s="5" t="s">
        <v>69</v>
      </c>
      <c r="X3676" s="5" t="s">
        <v>69</v>
      </c>
      <c r="Y3676" s="4">
        <v>7</v>
      </c>
      <c r="Z3676" s="4">
        <v>7</v>
      </c>
      <c r="AA3676" s="4">
        <v>7</v>
      </c>
      <c r="AB3676" s="4">
        <v>1</v>
      </c>
      <c r="AC3676" s="4">
        <v>1</v>
      </c>
      <c r="AD3676" s="4">
        <v>4</v>
      </c>
      <c r="AE3676" s="4">
        <v>7</v>
      </c>
      <c r="AF3676" s="4">
        <v>0</v>
      </c>
      <c r="AG3676" s="4">
        <v>0</v>
      </c>
      <c r="AH3676" s="4">
        <v>3</v>
      </c>
      <c r="AI3676" s="4">
        <v>5</v>
      </c>
      <c r="AJ3676" s="4">
        <v>4</v>
      </c>
      <c r="AK3676" s="4">
        <v>4</v>
      </c>
      <c r="AL3676" s="4">
        <v>1</v>
      </c>
      <c r="AM3676" s="4">
        <v>3</v>
      </c>
      <c r="AN3676" s="4">
        <v>0</v>
      </c>
      <c r="AO3676" s="4">
        <v>0</v>
      </c>
      <c r="AP3676" s="4">
        <v>4</v>
      </c>
      <c r="AQ3676" s="4">
        <v>4</v>
      </c>
      <c r="AR3676" s="3" t="s">
        <v>63</v>
      </c>
      <c r="AS3676" s="3" t="s">
        <v>63</v>
      </c>
      <c r="AT3676" s="3" t="s">
        <v>63</v>
      </c>
      <c r="AV3676" s="6" t="str">
        <f>HYPERLINK("http://mcgill.on.worldcat.org/oclc/184785023","Catalog Record")</f>
        <v>Catalog Record</v>
      </c>
      <c r="AW3676" s="6" t="str">
        <f>HYPERLINK("http://www.worldcat.org/oclc/184785023","WorldCat Record")</f>
        <v>WorldCat Record</v>
      </c>
      <c r="AX3676" s="3" t="s">
        <v>31123</v>
      </c>
      <c r="AY3676" s="3" t="s">
        <v>31124</v>
      </c>
      <c r="AZ3676" s="3" t="s">
        <v>31125</v>
      </c>
      <c r="BA3676" s="3" t="s">
        <v>31125</v>
      </c>
      <c r="BB3676" s="3" t="s">
        <v>31126</v>
      </c>
      <c r="BC3676" s="3" t="s">
        <v>82</v>
      </c>
      <c r="BD3676" s="3" t="s">
        <v>70</v>
      </c>
      <c r="BF3676" s="3" t="s">
        <v>31126</v>
      </c>
      <c r="BG3676" s="3" t="s">
        <v>31127</v>
      </c>
    </row>
    <row r="3677" spans="1:59" ht="60" x14ac:dyDescent="0.25">
      <c r="A3677" s="2" t="s">
        <v>59</v>
      </c>
      <c r="B3677" s="2" t="s">
        <v>60</v>
      </c>
      <c r="C3677" s="2" t="s">
        <v>31128</v>
      </c>
      <c r="D3677" s="2" t="s">
        <v>31129</v>
      </c>
      <c r="E3677" s="2" t="s">
        <v>31130</v>
      </c>
      <c r="G3677" s="3" t="s">
        <v>63</v>
      </c>
      <c r="I3677" s="3" t="s">
        <v>63</v>
      </c>
      <c r="J3677" s="3" t="s">
        <v>63</v>
      </c>
      <c r="K3677" s="3" t="s">
        <v>64</v>
      </c>
      <c r="L3677" s="2" t="s">
        <v>31121</v>
      </c>
      <c r="M3677" s="2" t="s">
        <v>31131</v>
      </c>
      <c r="N3677" s="3" t="s">
        <v>468</v>
      </c>
      <c r="P3677" s="3" t="s">
        <v>90</v>
      </c>
      <c r="R3677" s="3" t="s">
        <v>67</v>
      </c>
      <c r="S3677" s="4">
        <v>3</v>
      </c>
      <c r="T3677" s="4">
        <v>3</v>
      </c>
      <c r="U3677" s="5" t="s">
        <v>29280</v>
      </c>
      <c r="V3677" s="5" t="s">
        <v>29280</v>
      </c>
      <c r="W3677" s="5" t="s">
        <v>69</v>
      </c>
      <c r="X3677" s="5" t="s">
        <v>69</v>
      </c>
      <c r="Y3677" s="4">
        <v>100</v>
      </c>
      <c r="Z3677" s="4">
        <v>12</v>
      </c>
      <c r="AA3677" s="4">
        <v>12</v>
      </c>
      <c r="AB3677" s="4">
        <v>1</v>
      </c>
      <c r="AC3677" s="4">
        <v>1</v>
      </c>
      <c r="AD3677" s="4">
        <v>57</v>
      </c>
      <c r="AE3677" s="4">
        <v>57</v>
      </c>
      <c r="AF3677" s="4">
        <v>0</v>
      </c>
      <c r="AG3677" s="4">
        <v>0</v>
      </c>
      <c r="AH3677" s="4">
        <v>51</v>
      </c>
      <c r="AI3677" s="4">
        <v>51</v>
      </c>
      <c r="AJ3677" s="4">
        <v>10</v>
      </c>
      <c r="AK3677" s="4">
        <v>10</v>
      </c>
      <c r="AL3677" s="4">
        <v>37</v>
      </c>
      <c r="AM3677" s="4">
        <v>37</v>
      </c>
      <c r="AN3677" s="4">
        <v>0</v>
      </c>
      <c r="AO3677" s="4">
        <v>0</v>
      </c>
      <c r="AP3677" s="4">
        <v>10</v>
      </c>
      <c r="AQ3677" s="4">
        <v>10</v>
      </c>
      <c r="AR3677" s="3" t="s">
        <v>63</v>
      </c>
      <c r="AS3677" s="3" t="s">
        <v>63</v>
      </c>
      <c r="AT3677" s="3" t="s">
        <v>62</v>
      </c>
      <c r="AU3677" s="6" t="str">
        <f>HYPERLINK("http://catalog.hathitrust.org/Record/001727266","HathiTrust Record")</f>
        <v>HathiTrust Record</v>
      </c>
      <c r="AV3677" s="6" t="str">
        <f>HYPERLINK("http://mcgill.on.worldcat.org/oclc/2310622","Catalog Record")</f>
        <v>Catalog Record</v>
      </c>
      <c r="AW3677" s="6" t="str">
        <f>HYPERLINK("http://www.worldcat.org/oclc/2310622","WorldCat Record")</f>
        <v>WorldCat Record</v>
      </c>
      <c r="AX3677" s="3" t="s">
        <v>31132</v>
      </c>
      <c r="AY3677" s="3" t="s">
        <v>31133</v>
      </c>
      <c r="AZ3677" s="3" t="s">
        <v>31134</v>
      </c>
      <c r="BA3677" s="3" t="s">
        <v>31134</v>
      </c>
      <c r="BB3677" s="3" t="s">
        <v>31135</v>
      </c>
      <c r="BC3677" s="3" t="s">
        <v>82</v>
      </c>
      <c r="BD3677" s="3" t="s">
        <v>70</v>
      </c>
      <c r="BF3677" s="3" t="s">
        <v>31135</v>
      </c>
      <c r="BG3677" s="3" t="s">
        <v>31136</v>
      </c>
    </row>
    <row r="3678" spans="1:59" ht="75" x14ac:dyDescent="0.25">
      <c r="A3678" s="2" t="s">
        <v>59</v>
      </c>
      <c r="B3678" s="2" t="s">
        <v>60</v>
      </c>
      <c r="C3678" s="2" t="s">
        <v>31137</v>
      </c>
      <c r="D3678" s="2" t="s">
        <v>31138</v>
      </c>
      <c r="E3678" s="2" t="s">
        <v>31139</v>
      </c>
      <c r="G3678" s="3" t="s">
        <v>63</v>
      </c>
      <c r="I3678" s="3" t="s">
        <v>63</v>
      </c>
      <c r="J3678" s="3" t="s">
        <v>63</v>
      </c>
      <c r="K3678" s="3" t="s">
        <v>64</v>
      </c>
      <c r="L3678" s="2" t="s">
        <v>31140</v>
      </c>
      <c r="M3678" s="2" t="s">
        <v>30451</v>
      </c>
      <c r="N3678" s="3" t="s">
        <v>106</v>
      </c>
      <c r="P3678" s="3" t="s">
        <v>90</v>
      </c>
      <c r="Q3678" s="2" t="s">
        <v>6422</v>
      </c>
      <c r="R3678" s="3" t="s">
        <v>67</v>
      </c>
      <c r="S3678" s="4">
        <v>2</v>
      </c>
      <c r="T3678" s="4">
        <v>2</v>
      </c>
      <c r="U3678" s="5" t="s">
        <v>6011</v>
      </c>
      <c r="V3678" s="5" t="s">
        <v>6011</v>
      </c>
      <c r="W3678" s="5" t="s">
        <v>69</v>
      </c>
      <c r="X3678" s="5" t="s">
        <v>69</v>
      </c>
      <c r="Y3678" s="4">
        <v>6</v>
      </c>
      <c r="Z3678" s="4">
        <v>2</v>
      </c>
      <c r="AA3678" s="4">
        <v>3</v>
      </c>
      <c r="AB3678" s="4">
        <v>1</v>
      </c>
      <c r="AC3678" s="4">
        <v>1</v>
      </c>
      <c r="AD3678" s="4">
        <v>3</v>
      </c>
      <c r="AE3678" s="4">
        <v>19</v>
      </c>
      <c r="AF3678" s="4">
        <v>0</v>
      </c>
      <c r="AG3678" s="4">
        <v>0</v>
      </c>
      <c r="AH3678" s="4">
        <v>3</v>
      </c>
      <c r="AI3678" s="4">
        <v>19</v>
      </c>
      <c r="AJ3678" s="4">
        <v>0</v>
      </c>
      <c r="AK3678" s="4">
        <v>1</v>
      </c>
      <c r="AL3678" s="4">
        <v>2</v>
      </c>
      <c r="AM3678" s="4">
        <v>13</v>
      </c>
      <c r="AN3678" s="4">
        <v>0</v>
      </c>
      <c r="AO3678" s="4">
        <v>0</v>
      </c>
      <c r="AP3678" s="4">
        <v>0</v>
      </c>
      <c r="AQ3678" s="4">
        <v>1</v>
      </c>
      <c r="AR3678" s="3" t="s">
        <v>63</v>
      </c>
      <c r="AS3678" s="3" t="s">
        <v>63</v>
      </c>
      <c r="AT3678" s="3" t="s">
        <v>63</v>
      </c>
      <c r="AV3678" s="6" t="str">
        <f>HYPERLINK("http://mcgill.on.worldcat.org/oclc/958391105","Catalog Record")</f>
        <v>Catalog Record</v>
      </c>
      <c r="AW3678" s="6" t="str">
        <f>HYPERLINK("http://www.worldcat.org/oclc/958391105","WorldCat Record")</f>
        <v>WorldCat Record</v>
      </c>
      <c r="AX3678" s="3" t="s">
        <v>31141</v>
      </c>
      <c r="AY3678" s="3" t="s">
        <v>31142</v>
      </c>
      <c r="AZ3678" s="3" t="s">
        <v>31143</v>
      </c>
      <c r="BA3678" s="3" t="s">
        <v>31143</v>
      </c>
      <c r="BB3678" s="3" t="s">
        <v>31144</v>
      </c>
      <c r="BC3678" s="3" t="s">
        <v>82</v>
      </c>
      <c r="BD3678" s="3" t="s">
        <v>70</v>
      </c>
      <c r="BE3678" s="3" t="s">
        <v>31145</v>
      </c>
      <c r="BF3678" s="3" t="s">
        <v>31144</v>
      </c>
      <c r="BG3678" s="3" t="s">
        <v>31146</v>
      </c>
    </row>
    <row r="3679" spans="1:59" ht="60" x14ac:dyDescent="0.25">
      <c r="A3679" s="2" t="s">
        <v>59</v>
      </c>
      <c r="B3679" s="2" t="s">
        <v>60</v>
      </c>
      <c r="C3679" s="2" t="s">
        <v>31147</v>
      </c>
      <c r="D3679" s="2" t="s">
        <v>31148</v>
      </c>
      <c r="E3679" s="2" t="s">
        <v>31149</v>
      </c>
      <c r="G3679" s="3" t="s">
        <v>63</v>
      </c>
      <c r="I3679" s="3" t="s">
        <v>63</v>
      </c>
      <c r="J3679" s="3" t="s">
        <v>63</v>
      </c>
      <c r="K3679" s="3" t="s">
        <v>64</v>
      </c>
      <c r="L3679" s="2" t="s">
        <v>31150</v>
      </c>
      <c r="M3679" s="2" t="s">
        <v>31151</v>
      </c>
      <c r="N3679" s="3" t="s">
        <v>2951</v>
      </c>
      <c r="P3679" s="3" t="s">
        <v>66</v>
      </c>
      <c r="R3679" s="3" t="s">
        <v>67</v>
      </c>
      <c r="S3679" s="4">
        <v>1</v>
      </c>
      <c r="T3679" s="4">
        <v>1</v>
      </c>
      <c r="U3679" s="5" t="s">
        <v>24541</v>
      </c>
      <c r="V3679" s="5" t="s">
        <v>24541</v>
      </c>
      <c r="W3679" s="5" t="s">
        <v>69</v>
      </c>
      <c r="X3679" s="5" t="s">
        <v>69</v>
      </c>
      <c r="Y3679" s="4">
        <v>421</v>
      </c>
      <c r="Z3679" s="4">
        <v>22</v>
      </c>
      <c r="AA3679" s="4">
        <v>26</v>
      </c>
      <c r="AB3679" s="4">
        <v>2</v>
      </c>
      <c r="AC3679" s="4">
        <v>2</v>
      </c>
      <c r="AD3679" s="4">
        <v>97</v>
      </c>
      <c r="AE3679" s="4">
        <v>101</v>
      </c>
      <c r="AF3679" s="4">
        <v>1</v>
      </c>
      <c r="AG3679" s="4">
        <v>1</v>
      </c>
      <c r="AH3679" s="4">
        <v>84</v>
      </c>
      <c r="AI3679" s="4">
        <v>86</v>
      </c>
      <c r="AJ3679" s="4">
        <v>16</v>
      </c>
      <c r="AK3679" s="4">
        <v>16</v>
      </c>
      <c r="AL3679" s="4">
        <v>45</v>
      </c>
      <c r="AM3679" s="4">
        <v>46</v>
      </c>
      <c r="AN3679" s="4">
        <v>0</v>
      </c>
      <c r="AO3679" s="4">
        <v>0</v>
      </c>
      <c r="AP3679" s="4">
        <v>16</v>
      </c>
      <c r="AQ3679" s="4">
        <v>18</v>
      </c>
      <c r="AR3679" s="3" t="s">
        <v>63</v>
      </c>
      <c r="AS3679" s="3" t="s">
        <v>63</v>
      </c>
      <c r="AT3679" s="3" t="s">
        <v>62</v>
      </c>
      <c r="AU3679" s="6" t="str">
        <f>HYPERLINK("http://catalog.hathitrust.org/Record/000712702","HathiTrust Record")</f>
        <v>HathiTrust Record</v>
      </c>
      <c r="AV3679" s="6" t="str">
        <f>HYPERLINK("http://mcgill.on.worldcat.org/oclc/6015764","Catalog Record")</f>
        <v>Catalog Record</v>
      </c>
      <c r="AW3679" s="6" t="str">
        <f>HYPERLINK("http://www.worldcat.org/oclc/6015764","WorldCat Record")</f>
        <v>WorldCat Record</v>
      </c>
      <c r="AX3679" s="3" t="s">
        <v>31152</v>
      </c>
      <c r="AY3679" s="3" t="s">
        <v>31153</v>
      </c>
      <c r="AZ3679" s="3" t="s">
        <v>31154</v>
      </c>
      <c r="BA3679" s="3" t="s">
        <v>31154</v>
      </c>
      <c r="BB3679" s="3" t="s">
        <v>31155</v>
      </c>
      <c r="BC3679" s="3" t="s">
        <v>82</v>
      </c>
      <c r="BD3679" s="3" t="s">
        <v>70</v>
      </c>
      <c r="BE3679" s="3" t="s">
        <v>31156</v>
      </c>
      <c r="BF3679" s="3" t="s">
        <v>31155</v>
      </c>
      <c r="BG3679" s="3" t="s">
        <v>31157</v>
      </c>
    </row>
    <row r="3680" spans="1:59" ht="60" x14ac:dyDescent="0.25">
      <c r="A3680" s="2" t="s">
        <v>59</v>
      </c>
      <c r="B3680" s="2" t="s">
        <v>60</v>
      </c>
      <c r="C3680" s="2" t="s">
        <v>31158</v>
      </c>
      <c r="D3680" s="2" t="s">
        <v>31159</v>
      </c>
      <c r="E3680" s="2" t="s">
        <v>31160</v>
      </c>
      <c r="G3680" s="3" t="s">
        <v>63</v>
      </c>
      <c r="I3680" s="3" t="s">
        <v>63</v>
      </c>
      <c r="J3680" s="3" t="s">
        <v>63</v>
      </c>
      <c r="K3680" s="3" t="s">
        <v>64</v>
      </c>
      <c r="L3680" s="2" t="s">
        <v>31161</v>
      </c>
      <c r="M3680" s="2" t="s">
        <v>31162</v>
      </c>
      <c r="N3680" s="3" t="s">
        <v>143</v>
      </c>
      <c r="P3680" s="3" t="s">
        <v>90</v>
      </c>
      <c r="Q3680" s="2" t="s">
        <v>31163</v>
      </c>
      <c r="R3680" s="3" t="s">
        <v>67</v>
      </c>
      <c r="S3680" s="4">
        <v>2</v>
      </c>
      <c r="T3680" s="4">
        <v>2</v>
      </c>
      <c r="U3680" s="5" t="s">
        <v>15404</v>
      </c>
      <c r="V3680" s="5" t="s">
        <v>15404</v>
      </c>
      <c r="W3680" s="5" t="s">
        <v>69</v>
      </c>
      <c r="X3680" s="5" t="s">
        <v>69</v>
      </c>
      <c r="Y3680" s="4">
        <v>20</v>
      </c>
      <c r="Z3680" s="4">
        <v>4</v>
      </c>
      <c r="AA3680" s="4">
        <v>4</v>
      </c>
      <c r="AB3680" s="4">
        <v>1</v>
      </c>
      <c r="AC3680" s="4">
        <v>1</v>
      </c>
      <c r="AD3680" s="4">
        <v>15</v>
      </c>
      <c r="AE3680" s="4">
        <v>15</v>
      </c>
      <c r="AF3680" s="4">
        <v>0</v>
      </c>
      <c r="AG3680" s="4">
        <v>0</v>
      </c>
      <c r="AH3680" s="4">
        <v>15</v>
      </c>
      <c r="AI3680" s="4">
        <v>15</v>
      </c>
      <c r="AJ3680" s="4">
        <v>2</v>
      </c>
      <c r="AK3680" s="4">
        <v>2</v>
      </c>
      <c r="AL3680" s="4">
        <v>10</v>
      </c>
      <c r="AM3680" s="4">
        <v>10</v>
      </c>
      <c r="AN3680" s="4">
        <v>0</v>
      </c>
      <c r="AO3680" s="4">
        <v>0</v>
      </c>
      <c r="AP3680" s="4">
        <v>2</v>
      </c>
      <c r="AQ3680" s="4">
        <v>2</v>
      </c>
      <c r="AR3680" s="3" t="s">
        <v>63</v>
      </c>
      <c r="AS3680" s="3" t="s">
        <v>63</v>
      </c>
      <c r="AT3680" s="3" t="s">
        <v>63</v>
      </c>
      <c r="AV3680" s="6" t="str">
        <f>HYPERLINK("http://mcgill.on.worldcat.org/oclc/895289099","Catalog Record")</f>
        <v>Catalog Record</v>
      </c>
      <c r="AW3680" s="6" t="str">
        <f>HYPERLINK("http://www.worldcat.org/oclc/895289099","WorldCat Record")</f>
        <v>WorldCat Record</v>
      </c>
      <c r="AX3680" s="3" t="s">
        <v>31164</v>
      </c>
      <c r="AY3680" s="3" t="s">
        <v>31165</v>
      </c>
      <c r="AZ3680" s="3" t="s">
        <v>31166</v>
      </c>
      <c r="BA3680" s="3" t="s">
        <v>31166</v>
      </c>
      <c r="BB3680" s="3" t="s">
        <v>31167</v>
      </c>
      <c r="BC3680" s="3" t="s">
        <v>82</v>
      </c>
      <c r="BD3680" s="3" t="s">
        <v>70</v>
      </c>
      <c r="BE3680" s="3" t="s">
        <v>31168</v>
      </c>
      <c r="BF3680" s="3" t="s">
        <v>31167</v>
      </c>
      <c r="BG3680" s="3" t="s">
        <v>31169</v>
      </c>
    </row>
    <row r="3681" spans="1:59" ht="60" x14ac:dyDescent="0.25">
      <c r="A3681" s="2" t="s">
        <v>59</v>
      </c>
      <c r="B3681" s="2" t="s">
        <v>60</v>
      </c>
      <c r="C3681" s="2" t="s">
        <v>31170</v>
      </c>
      <c r="D3681" s="2" t="s">
        <v>31171</v>
      </c>
      <c r="E3681" s="2" t="s">
        <v>31172</v>
      </c>
      <c r="G3681" s="3" t="s">
        <v>63</v>
      </c>
      <c r="I3681" s="3" t="s">
        <v>63</v>
      </c>
      <c r="J3681" s="3" t="s">
        <v>63</v>
      </c>
      <c r="K3681" s="3" t="s">
        <v>64</v>
      </c>
      <c r="L3681" s="2" t="s">
        <v>31161</v>
      </c>
      <c r="M3681" s="2" t="s">
        <v>30137</v>
      </c>
      <c r="N3681" s="3" t="s">
        <v>143</v>
      </c>
      <c r="P3681" s="3" t="s">
        <v>90</v>
      </c>
      <c r="R3681" s="3" t="s">
        <v>67</v>
      </c>
      <c r="S3681" s="4">
        <v>2</v>
      </c>
      <c r="T3681" s="4">
        <v>2</v>
      </c>
      <c r="U3681" s="5" t="s">
        <v>15109</v>
      </c>
      <c r="V3681" s="5" t="s">
        <v>15109</v>
      </c>
      <c r="W3681" s="5" t="s">
        <v>69</v>
      </c>
      <c r="X3681" s="5" t="s">
        <v>69</v>
      </c>
      <c r="Y3681" s="4">
        <v>44</v>
      </c>
      <c r="Z3681" s="4">
        <v>5</v>
      </c>
      <c r="AA3681" s="4">
        <v>5</v>
      </c>
      <c r="AB3681" s="4">
        <v>1</v>
      </c>
      <c r="AC3681" s="4">
        <v>1</v>
      </c>
      <c r="AD3681" s="4">
        <v>35</v>
      </c>
      <c r="AE3681" s="4">
        <v>35</v>
      </c>
      <c r="AF3681" s="4">
        <v>0</v>
      </c>
      <c r="AG3681" s="4">
        <v>0</v>
      </c>
      <c r="AH3681" s="4">
        <v>34</v>
      </c>
      <c r="AI3681" s="4">
        <v>34</v>
      </c>
      <c r="AJ3681" s="4">
        <v>2</v>
      </c>
      <c r="AK3681" s="4">
        <v>2</v>
      </c>
      <c r="AL3681" s="4">
        <v>28</v>
      </c>
      <c r="AM3681" s="4">
        <v>28</v>
      </c>
      <c r="AN3681" s="4">
        <v>0</v>
      </c>
      <c r="AO3681" s="4">
        <v>0</v>
      </c>
      <c r="AP3681" s="4">
        <v>2</v>
      </c>
      <c r="AQ3681" s="4">
        <v>2</v>
      </c>
      <c r="AR3681" s="3" t="s">
        <v>63</v>
      </c>
      <c r="AS3681" s="3" t="s">
        <v>63</v>
      </c>
      <c r="AT3681" s="3" t="s">
        <v>63</v>
      </c>
      <c r="AV3681" s="6" t="str">
        <f>HYPERLINK("http://mcgill.on.worldcat.org/oclc/879579266","Catalog Record")</f>
        <v>Catalog Record</v>
      </c>
      <c r="AW3681" s="6" t="str">
        <f>HYPERLINK("http://www.worldcat.org/oclc/879579266","WorldCat Record")</f>
        <v>WorldCat Record</v>
      </c>
      <c r="AX3681" s="3" t="s">
        <v>31173</v>
      </c>
      <c r="AY3681" s="3" t="s">
        <v>31174</v>
      </c>
      <c r="AZ3681" s="3" t="s">
        <v>31175</v>
      </c>
      <c r="BA3681" s="3" t="s">
        <v>31175</v>
      </c>
      <c r="BB3681" s="3" t="s">
        <v>31176</v>
      </c>
      <c r="BC3681" s="3" t="s">
        <v>82</v>
      </c>
      <c r="BD3681" s="3" t="s">
        <v>70</v>
      </c>
      <c r="BE3681" s="3" t="s">
        <v>31177</v>
      </c>
      <c r="BF3681" s="3" t="s">
        <v>31176</v>
      </c>
      <c r="BG3681" s="3" t="s">
        <v>31178</v>
      </c>
    </row>
    <row r="3682" spans="1:59" ht="60" x14ac:dyDescent="0.25">
      <c r="A3682" s="2" t="s">
        <v>59</v>
      </c>
      <c r="B3682" s="2" t="s">
        <v>60</v>
      </c>
      <c r="C3682" s="2" t="s">
        <v>31179</v>
      </c>
      <c r="D3682" s="2" t="s">
        <v>31180</v>
      </c>
      <c r="E3682" s="2" t="s">
        <v>31181</v>
      </c>
      <c r="G3682" s="3" t="s">
        <v>63</v>
      </c>
      <c r="I3682" s="3" t="s">
        <v>63</v>
      </c>
      <c r="J3682" s="3" t="s">
        <v>63</v>
      </c>
      <c r="K3682" s="3" t="s">
        <v>64</v>
      </c>
      <c r="L3682" s="2" t="s">
        <v>31161</v>
      </c>
      <c r="M3682" s="2" t="s">
        <v>31182</v>
      </c>
      <c r="N3682" s="3" t="s">
        <v>106</v>
      </c>
      <c r="P3682" s="3" t="s">
        <v>90</v>
      </c>
      <c r="Q3682" s="2" t="s">
        <v>31183</v>
      </c>
      <c r="R3682" s="3" t="s">
        <v>67</v>
      </c>
      <c r="S3682" s="4">
        <v>1</v>
      </c>
      <c r="T3682" s="4">
        <v>1</v>
      </c>
      <c r="U3682" s="5" t="s">
        <v>21373</v>
      </c>
      <c r="V3682" s="5" t="s">
        <v>21373</v>
      </c>
      <c r="W3682" s="5" t="s">
        <v>69</v>
      </c>
      <c r="X3682" s="5" t="s">
        <v>69</v>
      </c>
      <c r="Y3682" s="4">
        <v>72</v>
      </c>
      <c r="Z3682" s="4">
        <v>6</v>
      </c>
      <c r="AA3682" s="4">
        <v>6</v>
      </c>
      <c r="AB3682" s="4">
        <v>1</v>
      </c>
      <c r="AC3682" s="4">
        <v>1</v>
      </c>
      <c r="AD3682" s="4">
        <v>40</v>
      </c>
      <c r="AE3682" s="4">
        <v>40</v>
      </c>
      <c r="AF3682" s="4">
        <v>0</v>
      </c>
      <c r="AG3682" s="4">
        <v>0</v>
      </c>
      <c r="AH3682" s="4">
        <v>39</v>
      </c>
      <c r="AI3682" s="4">
        <v>39</v>
      </c>
      <c r="AJ3682" s="4">
        <v>3</v>
      </c>
      <c r="AK3682" s="4">
        <v>3</v>
      </c>
      <c r="AL3682" s="4">
        <v>31</v>
      </c>
      <c r="AM3682" s="4">
        <v>31</v>
      </c>
      <c r="AN3682" s="4">
        <v>0</v>
      </c>
      <c r="AO3682" s="4">
        <v>0</v>
      </c>
      <c r="AP3682" s="4">
        <v>3</v>
      </c>
      <c r="AQ3682" s="4">
        <v>3</v>
      </c>
      <c r="AR3682" s="3" t="s">
        <v>63</v>
      </c>
      <c r="AS3682" s="3" t="s">
        <v>63</v>
      </c>
      <c r="AT3682" s="3" t="s">
        <v>63</v>
      </c>
      <c r="AV3682" s="6" t="str">
        <f>HYPERLINK("http://mcgill.on.worldcat.org/oclc/959234379","Catalog Record")</f>
        <v>Catalog Record</v>
      </c>
      <c r="AW3682" s="6" t="str">
        <f>HYPERLINK("http://www.worldcat.org/oclc/959234379","WorldCat Record")</f>
        <v>WorldCat Record</v>
      </c>
      <c r="AX3682" s="3" t="s">
        <v>31184</v>
      </c>
      <c r="AY3682" s="3" t="s">
        <v>31185</v>
      </c>
      <c r="AZ3682" s="3" t="s">
        <v>31186</v>
      </c>
      <c r="BA3682" s="3" t="s">
        <v>31186</v>
      </c>
      <c r="BB3682" s="3" t="s">
        <v>31187</v>
      </c>
      <c r="BC3682" s="3" t="s">
        <v>82</v>
      </c>
      <c r="BD3682" s="3" t="s">
        <v>70</v>
      </c>
      <c r="BE3682" s="3" t="s">
        <v>31188</v>
      </c>
      <c r="BF3682" s="3" t="s">
        <v>31187</v>
      </c>
      <c r="BG3682" s="3" t="s">
        <v>31189</v>
      </c>
    </row>
    <row r="3683" spans="1:59" ht="75" x14ac:dyDescent="0.25">
      <c r="A3683" s="2" t="s">
        <v>59</v>
      </c>
      <c r="B3683" s="2" t="s">
        <v>60</v>
      </c>
      <c r="C3683" s="2" t="s">
        <v>31190</v>
      </c>
      <c r="D3683" s="2" t="s">
        <v>31191</v>
      </c>
      <c r="E3683" s="2" t="s">
        <v>31192</v>
      </c>
      <c r="G3683" s="3" t="s">
        <v>63</v>
      </c>
      <c r="I3683" s="3" t="s">
        <v>63</v>
      </c>
      <c r="J3683" s="3" t="s">
        <v>63</v>
      </c>
      <c r="K3683" s="3" t="s">
        <v>64</v>
      </c>
      <c r="L3683" s="2" t="s">
        <v>31193</v>
      </c>
      <c r="M3683" s="2" t="s">
        <v>30257</v>
      </c>
      <c r="N3683" s="3" t="s">
        <v>76</v>
      </c>
      <c r="P3683" s="3" t="s">
        <v>90</v>
      </c>
      <c r="Q3683" s="2" t="s">
        <v>29586</v>
      </c>
      <c r="R3683" s="3" t="s">
        <v>67</v>
      </c>
      <c r="S3683" s="4">
        <v>1</v>
      </c>
      <c r="T3683" s="4">
        <v>1</v>
      </c>
      <c r="U3683" s="5" t="s">
        <v>15042</v>
      </c>
      <c r="V3683" s="5" t="s">
        <v>15042</v>
      </c>
      <c r="W3683" s="5" t="s">
        <v>69</v>
      </c>
      <c r="X3683" s="5" t="s">
        <v>69</v>
      </c>
      <c r="Y3683" s="4">
        <v>33</v>
      </c>
      <c r="Z3683" s="4">
        <v>4</v>
      </c>
      <c r="AA3683" s="4">
        <v>4</v>
      </c>
      <c r="AB3683" s="4">
        <v>1</v>
      </c>
      <c r="AC3683" s="4">
        <v>1</v>
      </c>
      <c r="AD3683" s="4">
        <v>24</v>
      </c>
      <c r="AE3683" s="4">
        <v>24</v>
      </c>
      <c r="AF3683" s="4">
        <v>0</v>
      </c>
      <c r="AG3683" s="4">
        <v>0</v>
      </c>
      <c r="AH3683" s="4">
        <v>23</v>
      </c>
      <c r="AI3683" s="4">
        <v>23</v>
      </c>
      <c r="AJ3683" s="4">
        <v>2</v>
      </c>
      <c r="AK3683" s="4">
        <v>2</v>
      </c>
      <c r="AL3683" s="4">
        <v>20</v>
      </c>
      <c r="AM3683" s="4">
        <v>20</v>
      </c>
      <c r="AN3683" s="4">
        <v>0</v>
      </c>
      <c r="AO3683" s="4">
        <v>0</v>
      </c>
      <c r="AP3683" s="4">
        <v>2</v>
      </c>
      <c r="AQ3683" s="4">
        <v>2</v>
      </c>
      <c r="AR3683" s="3" t="s">
        <v>63</v>
      </c>
      <c r="AS3683" s="3" t="s">
        <v>63</v>
      </c>
      <c r="AT3683" s="3" t="s">
        <v>63</v>
      </c>
      <c r="AV3683" s="6" t="str">
        <f>HYPERLINK("http://mcgill.on.worldcat.org/oclc/793419724","Catalog Record")</f>
        <v>Catalog Record</v>
      </c>
      <c r="AW3683" s="6" t="str">
        <f>HYPERLINK("http://www.worldcat.org/oclc/793419724","WorldCat Record")</f>
        <v>WorldCat Record</v>
      </c>
      <c r="AX3683" s="3" t="s">
        <v>31194</v>
      </c>
      <c r="AY3683" s="3" t="s">
        <v>31195</v>
      </c>
      <c r="AZ3683" s="3" t="s">
        <v>31196</v>
      </c>
      <c r="BA3683" s="3" t="s">
        <v>31196</v>
      </c>
      <c r="BB3683" s="3" t="s">
        <v>31197</v>
      </c>
      <c r="BC3683" s="3" t="s">
        <v>82</v>
      </c>
      <c r="BD3683" s="3" t="s">
        <v>70</v>
      </c>
      <c r="BE3683" s="3" t="s">
        <v>31198</v>
      </c>
      <c r="BF3683" s="3" t="s">
        <v>31197</v>
      </c>
      <c r="BG3683" s="3" t="s">
        <v>31199</v>
      </c>
    </row>
    <row r="3684" spans="1:59" ht="60" x14ac:dyDescent="0.25">
      <c r="A3684" s="2" t="s">
        <v>59</v>
      </c>
      <c r="B3684" s="2" t="s">
        <v>60</v>
      </c>
      <c r="C3684" s="2" t="s">
        <v>31200</v>
      </c>
      <c r="D3684" s="2" t="s">
        <v>31201</v>
      </c>
      <c r="E3684" s="2" t="s">
        <v>31202</v>
      </c>
      <c r="G3684" s="3" t="s">
        <v>63</v>
      </c>
      <c r="I3684" s="3" t="s">
        <v>63</v>
      </c>
      <c r="J3684" s="3" t="s">
        <v>63</v>
      </c>
      <c r="K3684" s="3" t="s">
        <v>64</v>
      </c>
      <c r="L3684" s="2" t="s">
        <v>31203</v>
      </c>
      <c r="M3684" s="2" t="s">
        <v>31204</v>
      </c>
      <c r="N3684" s="3" t="s">
        <v>287</v>
      </c>
      <c r="P3684" s="3" t="s">
        <v>548</v>
      </c>
      <c r="Q3684" s="2" t="s">
        <v>31205</v>
      </c>
      <c r="R3684" s="3" t="s">
        <v>67</v>
      </c>
      <c r="S3684" s="4">
        <v>0</v>
      </c>
      <c r="T3684" s="4">
        <v>0</v>
      </c>
      <c r="W3684" s="5" t="s">
        <v>1690</v>
      </c>
      <c r="X3684" s="5" t="s">
        <v>1690</v>
      </c>
      <c r="Y3684" s="4">
        <v>6</v>
      </c>
      <c r="Z3684" s="4">
        <v>1</v>
      </c>
      <c r="AA3684" s="4">
        <v>1</v>
      </c>
      <c r="AB3684" s="4">
        <v>1</v>
      </c>
      <c r="AC3684" s="4">
        <v>1</v>
      </c>
      <c r="AD3684" s="4">
        <v>2</v>
      </c>
      <c r="AE3684" s="4">
        <v>2</v>
      </c>
      <c r="AF3684" s="4">
        <v>0</v>
      </c>
      <c r="AG3684" s="4">
        <v>0</v>
      </c>
      <c r="AH3684" s="4">
        <v>2</v>
      </c>
      <c r="AI3684" s="4">
        <v>2</v>
      </c>
      <c r="AJ3684" s="4">
        <v>0</v>
      </c>
      <c r="AK3684" s="4">
        <v>0</v>
      </c>
      <c r="AL3684" s="4">
        <v>2</v>
      </c>
      <c r="AM3684" s="4">
        <v>2</v>
      </c>
      <c r="AN3684" s="4">
        <v>0</v>
      </c>
      <c r="AO3684" s="4">
        <v>0</v>
      </c>
      <c r="AP3684" s="4">
        <v>0</v>
      </c>
      <c r="AQ3684" s="4">
        <v>0</v>
      </c>
      <c r="AR3684" s="3" t="s">
        <v>63</v>
      </c>
      <c r="AS3684" s="3" t="s">
        <v>63</v>
      </c>
      <c r="AT3684" s="3" t="s">
        <v>63</v>
      </c>
      <c r="AV3684" s="6" t="str">
        <f>HYPERLINK("http://mcgill.on.worldcat.org/oclc/1100420554","Catalog Record")</f>
        <v>Catalog Record</v>
      </c>
      <c r="AW3684" s="6" t="str">
        <f>HYPERLINK("http://www.worldcat.org/oclc/1100420554","WorldCat Record")</f>
        <v>WorldCat Record</v>
      </c>
      <c r="AX3684" s="3" t="s">
        <v>31206</v>
      </c>
      <c r="AY3684" s="3" t="s">
        <v>31207</v>
      </c>
      <c r="AZ3684" s="3" t="s">
        <v>31208</v>
      </c>
      <c r="BA3684" s="3" t="s">
        <v>31208</v>
      </c>
      <c r="BB3684" s="3" t="s">
        <v>31209</v>
      </c>
      <c r="BC3684" s="3" t="s">
        <v>82</v>
      </c>
      <c r="BD3684" s="3" t="s">
        <v>70</v>
      </c>
      <c r="BE3684" s="3" t="s">
        <v>31210</v>
      </c>
      <c r="BF3684" s="3" t="s">
        <v>31209</v>
      </c>
      <c r="BG3684" s="3" t="s">
        <v>31211</v>
      </c>
    </row>
    <row r="3685" spans="1:59" ht="75" x14ac:dyDescent="0.25">
      <c r="A3685" s="2" t="s">
        <v>59</v>
      </c>
      <c r="B3685" s="2" t="s">
        <v>60</v>
      </c>
      <c r="C3685" s="2" t="s">
        <v>31212</v>
      </c>
      <c r="D3685" s="2" t="s">
        <v>31213</v>
      </c>
      <c r="E3685" s="2" t="s">
        <v>31214</v>
      </c>
      <c r="G3685" s="3" t="s">
        <v>63</v>
      </c>
      <c r="I3685" s="3" t="s">
        <v>63</v>
      </c>
      <c r="J3685" s="3" t="s">
        <v>63</v>
      </c>
      <c r="K3685" s="3" t="s">
        <v>64</v>
      </c>
      <c r="L3685" s="2" t="s">
        <v>31215</v>
      </c>
      <c r="M3685" s="2" t="s">
        <v>30257</v>
      </c>
      <c r="N3685" s="3" t="s">
        <v>76</v>
      </c>
      <c r="P3685" s="3" t="s">
        <v>90</v>
      </c>
      <c r="Q3685" s="2" t="s">
        <v>29326</v>
      </c>
      <c r="R3685" s="3" t="s">
        <v>67</v>
      </c>
      <c r="S3685" s="4">
        <v>0</v>
      </c>
      <c r="T3685" s="4">
        <v>0</v>
      </c>
      <c r="W3685" s="5" t="s">
        <v>69</v>
      </c>
      <c r="X3685" s="5" t="s">
        <v>69</v>
      </c>
      <c r="Y3685" s="4">
        <v>26</v>
      </c>
      <c r="Z3685" s="4">
        <v>3</v>
      </c>
      <c r="AA3685" s="4">
        <v>3</v>
      </c>
      <c r="AB3685" s="4">
        <v>1</v>
      </c>
      <c r="AC3685" s="4">
        <v>1</v>
      </c>
      <c r="AD3685" s="4">
        <v>21</v>
      </c>
      <c r="AE3685" s="4">
        <v>21</v>
      </c>
      <c r="AF3685" s="4">
        <v>0</v>
      </c>
      <c r="AG3685" s="4">
        <v>0</v>
      </c>
      <c r="AH3685" s="4">
        <v>20</v>
      </c>
      <c r="AI3685" s="4">
        <v>20</v>
      </c>
      <c r="AJ3685" s="4">
        <v>1</v>
      </c>
      <c r="AK3685" s="4">
        <v>1</v>
      </c>
      <c r="AL3685" s="4">
        <v>17</v>
      </c>
      <c r="AM3685" s="4">
        <v>17</v>
      </c>
      <c r="AN3685" s="4">
        <v>0</v>
      </c>
      <c r="AO3685" s="4">
        <v>0</v>
      </c>
      <c r="AP3685" s="4">
        <v>1</v>
      </c>
      <c r="AQ3685" s="4">
        <v>1</v>
      </c>
      <c r="AR3685" s="3" t="s">
        <v>63</v>
      </c>
      <c r="AS3685" s="3" t="s">
        <v>63</v>
      </c>
      <c r="AT3685" s="3" t="s">
        <v>63</v>
      </c>
      <c r="AV3685" s="6" t="str">
        <f>HYPERLINK("http://mcgill.on.worldcat.org/oclc/793419726","Catalog Record")</f>
        <v>Catalog Record</v>
      </c>
      <c r="AW3685" s="6" t="str">
        <f>HYPERLINK("http://www.worldcat.org/oclc/793419726","WorldCat Record")</f>
        <v>WorldCat Record</v>
      </c>
      <c r="AX3685" s="3" t="s">
        <v>31216</v>
      </c>
      <c r="AY3685" s="3" t="s">
        <v>31217</v>
      </c>
      <c r="AZ3685" s="3" t="s">
        <v>31218</v>
      </c>
      <c r="BA3685" s="3" t="s">
        <v>31218</v>
      </c>
      <c r="BB3685" s="3" t="s">
        <v>31219</v>
      </c>
      <c r="BC3685" s="3" t="s">
        <v>82</v>
      </c>
      <c r="BD3685" s="3" t="s">
        <v>70</v>
      </c>
      <c r="BE3685" s="3" t="s">
        <v>31220</v>
      </c>
      <c r="BF3685" s="3" t="s">
        <v>31219</v>
      </c>
      <c r="BG3685" s="3" t="s">
        <v>31221</v>
      </c>
    </row>
    <row r="3686" spans="1:59" ht="60" x14ac:dyDescent="0.25">
      <c r="A3686" s="2" t="s">
        <v>59</v>
      </c>
      <c r="B3686" s="2" t="s">
        <v>60</v>
      </c>
      <c r="C3686" s="2" t="s">
        <v>31222</v>
      </c>
      <c r="D3686" s="2" t="s">
        <v>31223</v>
      </c>
      <c r="E3686" s="2" t="s">
        <v>31224</v>
      </c>
      <c r="G3686" s="3" t="s">
        <v>63</v>
      </c>
      <c r="I3686" s="3" t="s">
        <v>63</v>
      </c>
      <c r="J3686" s="3" t="s">
        <v>63</v>
      </c>
      <c r="K3686" s="3" t="s">
        <v>64</v>
      </c>
      <c r="L3686" s="2" t="s">
        <v>31225</v>
      </c>
      <c r="M3686" s="2" t="s">
        <v>6355</v>
      </c>
      <c r="N3686" s="3" t="s">
        <v>2765</v>
      </c>
      <c r="P3686" s="3" t="s">
        <v>90</v>
      </c>
      <c r="Q3686" s="2" t="s">
        <v>29586</v>
      </c>
      <c r="R3686" s="3" t="s">
        <v>67</v>
      </c>
      <c r="S3686" s="4">
        <v>0</v>
      </c>
      <c r="T3686" s="4">
        <v>0</v>
      </c>
      <c r="W3686" s="5" t="s">
        <v>69</v>
      </c>
      <c r="X3686" s="5" t="s">
        <v>69</v>
      </c>
      <c r="Y3686" s="4">
        <v>24</v>
      </c>
      <c r="Z3686" s="4">
        <v>3</v>
      </c>
      <c r="AA3686" s="4">
        <v>3</v>
      </c>
      <c r="AB3686" s="4">
        <v>1</v>
      </c>
      <c r="AC3686" s="4">
        <v>1</v>
      </c>
      <c r="AD3686" s="4">
        <v>17</v>
      </c>
      <c r="AE3686" s="4">
        <v>17</v>
      </c>
      <c r="AF3686" s="4">
        <v>0</v>
      </c>
      <c r="AG3686" s="4">
        <v>0</v>
      </c>
      <c r="AH3686" s="4">
        <v>16</v>
      </c>
      <c r="AI3686" s="4">
        <v>16</v>
      </c>
      <c r="AJ3686" s="4">
        <v>1</v>
      </c>
      <c r="AK3686" s="4">
        <v>1</v>
      </c>
      <c r="AL3686" s="4">
        <v>13</v>
      </c>
      <c r="AM3686" s="4">
        <v>13</v>
      </c>
      <c r="AN3686" s="4">
        <v>0</v>
      </c>
      <c r="AO3686" s="4">
        <v>0</v>
      </c>
      <c r="AP3686" s="4">
        <v>1</v>
      </c>
      <c r="AQ3686" s="4">
        <v>1</v>
      </c>
      <c r="AR3686" s="3" t="s">
        <v>63</v>
      </c>
      <c r="AS3686" s="3" t="s">
        <v>63</v>
      </c>
      <c r="AT3686" s="3" t="s">
        <v>63</v>
      </c>
      <c r="AV3686" s="6" t="str">
        <f>HYPERLINK("http://mcgill.on.worldcat.org/oclc/921852531","Catalog Record")</f>
        <v>Catalog Record</v>
      </c>
      <c r="AW3686" s="6" t="str">
        <f>HYPERLINK("http://www.worldcat.org/oclc/921852531","WorldCat Record")</f>
        <v>WorldCat Record</v>
      </c>
      <c r="AX3686" s="3" t="s">
        <v>31226</v>
      </c>
      <c r="AY3686" s="3" t="s">
        <v>31227</v>
      </c>
      <c r="AZ3686" s="3" t="s">
        <v>31228</v>
      </c>
      <c r="BA3686" s="3" t="s">
        <v>31228</v>
      </c>
      <c r="BB3686" s="3" t="s">
        <v>31229</v>
      </c>
      <c r="BC3686" s="3" t="s">
        <v>82</v>
      </c>
      <c r="BD3686" s="3" t="s">
        <v>70</v>
      </c>
      <c r="BE3686" s="3" t="s">
        <v>31230</v>
      </c>
      <c r="BF3686" s="3" t="s">
        <v>31229</v>
      </c>
      <c r="BG3686" s="3" t="s">
        <v>31231</v>
      </c>
    </row>
    <row r="3687" spans="1:59" ht="60" x14ac:dyDescent="0.25">
      <c r="A3687" s="2" t="s">
        <v>59</v>
      </c>
      <c r="B3687" s="2" t="s">
        <v>60</v>
      </c>
      <c r="C3687" s="2" t="s">
        <v>31232</v>
      </c>
      <c r="D3687" s="2" t="s">
        <v>31233</v>
      </c>
      <c r="E3687" s="2" t="s">
        <v>31234</v>
      </c>
      <c r="G3687" s="3" t="s">
        <v>63</v>
      </c>
      <c r="I3687" s="3" t="s">
        <v>63</v>
      </c>
      <c r="J3687" s="3" t="s">
        <v>63</v>
      </c>
      <c r="K3687" s="3" t="s">
        <v>64</v>
      </c>
      <c r="L3687" s="2" t="s">
        <v>31225</v>
      </c>
      <c r="M3687" s="2" t="s">
        <v>20033</v>
      </c>
      <c r="N3687" s="3" t="s">
        <v>130</v>
      </c>
      <c r="P3687" s="3" t="s">
        <v>90</v>
      </c>
      <c r="Q3687" s="2" t="s">
        <v>28975</v>
      </c>
      <c r="R3687" s="3" t="s">
        <v>67</v>
      </c>
      <c r="S3687" s="4">
        <v>1</v>
      </c>
      <c r="T3687" s="4">
        <v>1</v>
      </c>
      <c r="U3687" s="5" t="s">
        <v>27622</v>
      </c>
      <c r="V3687" s="5" t="s">
        <v>27622</v>
      </c>
      <c r="W3687" s="5" t="s">
        <v>69</v>
      </c>
      <c r="X3687" s="5" t="s">
        <v>69</v>
      </c>
      <c r="Y3687" s="4">
        <v>27</v>
      </c>
      <c r="Z3687" s="4">
        <v>5</v>
      </c>
      <c r="AA3687" s="4">
        <v>7</v>
      </c>
      <c r="AB3687" s="4">
        <v>1</v>
      </c>
      <c r="AC3687" s="4">
        <v>1</v>
      </c>
      <c r="AD3687" s="4">
        <v>22</v>
      </c>
      <c r="AE3687" s="4">
        <v>26</v>
      </c>
      <c r="AF3687" s="4">
        <v>0</v>
      </c>
      <c r="AG3687" s="4">
        <v>0</v>
      </c>
      <c r="AH3687" s="4">
        <v>21</v>
      </c>
      <c r="AI3687" s="4">
        <v>25</v>
      </c>
      <c r="AJ3687" s="4">
        <v>2</v>
      </c>
      <c r="AK3687" s="4">
        <v>3</v>
      </c>
      <c r="AL3687" s="4">
        <v>16</v>
      </c>
      <c r="AM3687" s="4">
        <v>19</v>
      </c>
      <c r="AN3687" s="4">
        <v>0</v>
      </c>
      <c r="AO3687" s="4">
        <v>0</v>
      </c>
      <c r="AP3687" s="4">
        <v>2</v>
      </c>
      <c r="AQ3687" s="4">
        <v>3</v>
      </c>
      <c r="AR3687" s="3" t="s">
        <v>63</v>
      </c>
      <c r="AS3687" s="3" t="s">
        <v>63</v>
      </c>
      <c r="AT3687" s="3" t="s">
        <v>63</v>
      </c>
      <c r="AV3687" s="6" t="str">
        <f>HYPERLINK("http://mcgill.on.worldcat.org/oclc/847143465","Catalog Record")</f>
        <v>Catalog Record</v>
      </c>
      <c r="AW3687" s="6" t="str">
        <f>HYPERLINK("http://www.worldcat.org/oclc/847143465","WorldCat Record")</f>
        <v>WorldCat Record</v>
      </c>
      <c r="AX3687" s="3" t="s">
        <v>31235</v>
      </c>
      <c r="AY3687" s="3" t="s">
        <v>31236</v>
      </c>
      <c r="AZ3687" s="3" t="s">
        <v>31237</v>
      </c>
      <c r="BA3687" s="3" t="s">
        <v>31237</v>
      </c>
      <c r="BB3687" s="3" t="s">
        <v>31238</v>
      </c>
      <c r="BC3687" s="3" t="s">
        <v>82</v>
      </c>
      <c r="BD3687" s="3" t="s">
        <v>70</v>
      </c>
      <c r="BE3687" s="3" t="s">
        <v>31239</v>
      </c>
      <c r="BF3687" s="3" t="s">
        <v>31238</v>
      </c>
      <c r="BG3687" s="3" t="s">
        <v>31240</v>
      </c>
    </row>
    <row r="3688" spans="1:59" ht="60" x14ac:dyDescent="0.25">
      <c r="A3688" s="2" t="s">
        <v>59</v>
      </c>
      <c r="B3688" s="2" t="s">
        <v>60</v>
      </c>
      <c r="C3688" s="2" t="s">
        <v>31241</v>
      </c>
      <c r="D3688" s="2" t="s">
        <v>31242</v>
      </c>
      <c r="E3688" s="2" t="s">
        <v>31243</v>
      </c>
      <c r="G3688" s="3" t="s">
        <v>63</v>
      </c>
      <c r="I3688" s="3" t="s">
        <v>63</v>
      </c>
      <c r="J3688" s="3" t="s">
        <v>63</v>
      </c>
      <c r="K3688" s="3" t="s">
        <v>64</v>
      </c>
      <c r="L3688" s="2" t="s">
        <v>31244</v>
      </c>
      <c r="M3688" s="2" t="s">
        <v>31245</v>
      </c>
      <c r="N3688" s="3" t="s">
        <v>1023</v>
      </c>
      <c r="P3688" s="3" t="s">
        <v>66</v>
      </c>
      <c r="R3688" s="3" t="s">
        <v>67</v>
      </c>
      <c r="S3688" s="4">
        <v>3</v>
      </c>
      <c r="T3688" s="4">
        <v>3</v>
      </c>
      <c r="U3688" s="5" t="s">
        <v>17459</v>
      </c>
      <c r="V3688" s="5" t="s">
        <v>17459</v>
      </c>
      <c r="W3688" s="5" t="s">
        <v>69</v>
      </c>
      <c r="X3688" s="5" t="s">
        <v>69</v>
      </c>
      <c r="Y3688" s="4">
        <v>303</v>
      </c>
      <c r="Z3688" s="4">
        <v>17</v>
      </c>
      <c r="AA3688" s="4">
        <v>17</v>
      </c>
      <c r="AB3688" s="4">
        <v>1</v>
      </c>
      <c r="AC3688" s="4">
        <v>1</v>
      </c>
      <c r="AD3688" s="4">
        <v>93</v>
      </c>
      <c r="AE3688" s="4">
        <v>93</v>
      </c>
      <c r="AF3688" s="4">
        <v>0</v>
      </c>
      <c r="AG3688" s="4">
        <v>0</v>
      </c>
      <c r="AH3688" s="4">
        <v>86</v>
      </c>
      <c r="AI3688" s="4">
        <v>86</v>
      </c>
      <c r="AJ3688" s="4">
        <v>12</v>
      </c>
      <c r="AK3688" s="4">
        <v>12</v>
      </c>
      <c r="AL3688" s="4">
        <v>49</v>
      </c>
      <c r="AM3688" s="4">
        <v>49</v>
      </c>
      <c r="AN3688" s="4">
        <v>0</v>
      </c>
      <c r="AO3688" s="4">
        <v>0</v>
      </c>
      <c r="AP3688" s="4">
        <v>13</v>
      </c>
      <c r="AQ3688" s="4">
        <v>13</v>
      </c>
      <c r="AR3688" s="3" t="s">
        <v>63</v>
      </c>
      <c r="AS3688" s="3" t="s">
        <v>63</v>
      </c>
      <c r="AT3688" s="3" t="s">
        <v>62</v>
      </c>
      <c r="AU3688" s="6" t="str">
        <f>HYPERLINK("http://catalog.hathitrust.org/Record/002808303","HathiTrust Record")</f>
        <v>HathiTrust Record</v>
      </c>
      <c r="AV3688" s="6" t="str">
        <f>HYPERLINK("http://mcgill.on.worldcat.org/oclc/28710265","Catalog Record")</f>
        <v>Catalog Record</v>
      </c>
      <c r="AW3688" s="6" t="str">
        <f>HYPERLINK("http://www.worldcat.org/oclc/28710265","WorldCat Record")</f>
        <v>WorldCat Record</v>
      </c>
      <c r="AX3688" s="3" t="s">
        <v>31246</v>
      </c>
      <c r="AY3688" s="3" t="s">
        <v>31247</v>
      </c>
      <c r="AZ3688" s="3" t="s">
        <v>31248</v>
      </c>
      <c r="BA3688" s="3" t="s">
        <v>31248</v>
      </c>
      <c r="BB3688" s="3" t="s">
        <v>31249</v>
      </c>
      <c r="BC3688" s="3" t="s">
        <v>82</v>
      </c>
      <c r="BD3688" s="3" t="s">
        <v>70</v>
      </c>
      <c r="BE3688" s="3" t="s">
        <v>31250</v>
      </c>
      <c r="BF3688" s="3" t="s">
        <v>31249</v>
      </c>
      <c r="BG3688" s="3" t="s">
        <v>31251</v>
      </c>
    </row>
    <row r="3689" spans="1:59" ht="75" x14ac:dyDescent="0.25">
      <c r="A3689" s="2" t="s">
        <v>59</v>
      </c>
      <c r="B3689" s="2" t="s">
        <v>60</v>
      </c>
      <c r="C3689" s="2" t="s">
        <v>31252</v>
      </c>
      <c r="D3689" s="2" t="s">
        <v>31253</v>
      </c>
      <c r="E3689" s="2" t="s">
        <v>31254</v>
      </c>
      <c r="G3689" s="3" t="s">
        <v>63</v>
      </c>
      <c r="I3689" s="3" t="s">
        <v>63</v>
      </c>
      <c r="J3689" s="3" t="s">
        <v>63</v>
      </c>
      <c r="K3689" s="3" t="s">
        <v>64</v>
      </c>
      <c r="L3689" s="2" t="s">
        <v>31255</v>
      </c>
      <c r="M3689" s="2" t="s">
        <v>31256</v>
      </c>
      <c r="N3689" s="3" t="s">
        <v>362</v>
      </c>
      <c r="P3689" s="3" t="s">
        <v>66</v>
      </c>
      <c r="R3689" s="3" t="s">
        <v>67</v>
      </c>
      <c r="S3689" s="4">
        <v>14</v>
      </c>
      <c r="T3689" s="4">
        <v>14</v>
      </c>
      <c r="U3689" s="5" t="s">
        <v>24680</v>
      </c>
      <c r="V3689" s="5" t="s">
        <v>24680</v>
      </c>
      <c r="W3689" s="5" t="s">
        <v>69</v>
      </c>
      <c r="X3689" s="5" t="s">
        <v>69</v>
      </c>
      <c r="Y3689" s="4">
        <v>191</v>
      </c>
      <c r="Z3689" s="4">
        <v>12</v>
      </c>
      <c r="AA3689" s="4">
        <v>31</v>
      </c>
      <c r="AB3689" s="4">
        <v>1</v>
      </c>
      <c r="AC3689" s="4">
        <v>4</v>
      </c>
      <c r="AD3689" s="4">
        <v>43</v>
      </c>
      <c r="AE3689" s="4">
        <v>92</v>
      </c>
      <c r="AF3689" s="4">
        <v>0</v>
      </c>
      <c r="AG3689" s="4">
        <v>0</v>
      </c>
      <c r="AH3689" s="4">
        <v>39</v>
      </c>
      <c r="AI3689" s="4">
        <v>87</v>
      </c>
      <c r="AJ3689" s="4">
        <v>5</v>
      </c>
      <c r="AK3689" s="4">
        <v>8</v>
      </c>
      <c r="AL3689" s="4">
        <v>26</v>
      </c>
      <c r="AM3689" s="4">
        <v>50</v>
      </c>
      <c r="AN3689" s="4">
        <v>0</v>
      </c>
      <c r="AO3689" s="4">
        <v>0</v>
      </c>
      <c r="AP3689" s="4">
        <v>5</v>
      </c>
      <c r="AQ3689" s="4">
        <v>8</v>
      </c>
      <c r="AR3689" s="3" t="s">
        <v>63</v>
      </c>
      <c r="AS3689" s="3" t="s">
        <v>63</v>
      </c>
      <c r="AT3689" s="3" t="s">
        <v>62</v>
      </c>
      <c r="AU3689" s="6" t="str">
        <f>HYPERLINK("http://catalog.hathitrust.org/Record/007140798","HathiTrust Record")</f>
        <v>HathiTrust Record</v>
      </c>
      <c r="AV3689" s="6" t="str">
        <f>HYPERLINK("http://mcgill.on.worldcat.org/oclc/46908780","Catalog Record")</f>
        <v>Catalog Record</v>
      </c>
      <c r="AW3689" s="6" t="str">
        <f>HYPERLINK("http://www.worldcat.org/oclc/46908780","WorldCat Record")</f>
        <v>WorldCat Record</v>
      </c>
      <c r="AX3689" s="3" t="s">
        <v>31257</v>
      </c>
      <c r="AY3689" s="3" t="s">
        <v>31258</v>
      </c>
      <c r="AZ3689" s="3" t="s">
        <v>31259</v>
      </c>
      <c r="BA3689" s="3" t="s">
        <v>31259</v>
      </c>
      <c r="BB3689" s="3" t="s">
        <v>31260</v>
      </c>
      <c r="BC3689" s="3" t="s">
        <v>82</v>
      </c>
      <c r="BD3689" s="3" t="s">
        <v>70</v>
      </c>
      <c r="BE3689" s="3" t="s">
        <v>31261</v>
      </c>
      <c r="BF3689" s="3" t="s">
        <v>31260</v>
      </c>
      <c r="BG3689" s="3" t="s">
        <v>31262</v>
      </c>
    </row>
    <row r="3690" spans="1:59" ht="60" x14ac:dyDescent="0.25">
      <c r="A3690" s="2" t="s">
        <v>59</v>
      </c>
      <c r="B3690" s="2" t="s">
        <v>60</v>
      </c>
      <c r="C3690" s="2" t="s">
        <v>31263</v>
      </c>
      <c r="D3690" s="2" t="s">
        <v>31264</v>
      </c>
      <c r="E3690" s="2" t="s">
        <v>31265</v>
      </c>
      <c r="G3690" s="3" t="s">
        <v>63</v>
      </c>
      <c r="I3690" s="3" t="s">
        <v>63</v>
      </c>
      <c r="J3690" s="3" t="s">
        <v>63</v>
      </c>
      <c r="K3690" s="3" t="s">
        <v>64</v>
      </c>
      <c r="L3690" s="2" t="s">
        <v>31266</v>
      </c>
      <c r="M3690" s="2" t="s">
        <v>30394</v>
      </c>
      <c r="N3690" s="3" t="s">
        <v>161</v>
      </c>
      <c r="P3690" s="3" t="s">
        <v>90</v>
      </c>
      <c r="R3690" s="3" t="s">
        <v>67</v>
      </c>
      <c r="S3690" s="4">
        <v>4</v>
      </c>
      <c r="T3690" s="4">
        <v>4</v>
      </c>
      <c r="U3690" s="5" t="s">
        <v>31267</v>
      </c>
      <c r="V3690" s="5" t="s">
        <v>31267</v>
      </c>
      <c r="W3690" s="5" t="s">
        <v>69</v>
      </c>
      <c r="X3690" s="5" t="s">
        <v>69</v>
      </c>
      <c r="Y3690" s="4">
        <v>53</v>
      </c>
      <c r="Z3690" s="4">
        <v>5</v>
      </c>
      <c r="AA3690" s="4">
        <v>5</v>
      </c>
      <c r="AB3690" s="4">
        <v>1</v>
      </c>
      <c r="AC3690" s="4">
        <v>1</v>
      </c>
      <c r="AD3690" s="4">
        <v>36</v>
      </c>
      <c r="AE3690" s="4">
        <v>36</v>
      </c>
      <c r="AF3690" s="4">
        <v>0</v>
      </c>
      <c r="AG3690" s="4">
        <v>0</v>
      </c>
      <c r="AH3690" s="4">
        <v>35</v>
      </c>
      <c r="AI3690" s="4">
        <v>35</v>
      </c>
      <c r="AJ3690" s="4">
        <v>3</v>
      </c>
      <c r="AK3690" s="4">
        <v>3</v>
      </c>
      <c r="AL3690" s="4">
        <v>28</v>
      </c>
      <c r="AM3690" s="4">
        <v>28</v>
      </c>
      <c r="AN3690" s="4">
        <v>0</v>
      </c>
      <c r="AO3690" s="4">
        <v>0</v>
      </c>
      <c r="AP3690" s="4">
        <v>3</v>
      </c>
      <c r="AQ3690" s="4">
        <v>3</v>
      </c>
      <c r="AR3690" s="3" t="s">
        <v>63</v>
      </c>
      <c r="AS3690" s="3" t="s">
        <v>63</v>
      </c>
      <c r="AT3690" s="3" t="s">
        <v>62</v>
      </c>
      <c r="AU3690" s="6" t="str">
        <f>HYPERLINK("http://catalog.hathitrust.org/Record/002185350","HathiTrust Record")</f>
        <v>HathiTrust Record</v>
      </c>
      <c r="AV3690" s="6" t="str">
        <f>HYPERLINK("http://mcgill.on.worldcat.org/oclc/21471925","Catalog Record")</f>
        <v>Catalog Record</v>
      </c>
      <c r="AW3690" s="6" t="str">
        <f>HYPERLINK("http://www.worldcat.org/oclc/21471925","WorldCat Record")</f>
        <v>WorldCat Record</v>
      </c>
      <c r="AX3690" s="3" t="s">
        <v>31268</v>
      </c>
      <c r="AY3690" s="3" t="s">
        <v>31269</v>
      </c>
      <c r="AZ3690" s="3" t="s">
        <v>31270</v>
      </c>
      <c r="BA3690" s="3" t="s">
        <v>31270</v>
      </c>
      <c r="BB3690" s="3" t="s">
        <v>31271</v>
      </c>
      <c r="BC3690" s="3" t="s">
        <v>82</v>
      </c>
      <c r="BD3690" s="3" t="s">
        <v>70</v>
      </c>
      <c r="BE3690" s="3" t="s">
        <v>31272</v>
      </c>
      <c r="BF3690" s="3" t="s">
        <v>31271</v>
      </c>
      <c r="BG3690" s="3" t="s">
        <v>31273</v>
      </c>
    </row>
    <row r="3691" spans="1:59" ht="60" x14ac:dyDescent="0.25">
      <c r="A3691" s="2" t="s">
        <v>59</v>
      </c>
      <c r="B3691" s="2" t="s">
        <v>60</v>
      </c>
      <c r="C3691" s="2" t="s">
        <v>31274</v>
      </c>
      <c r="D3691" s="2" t="s">
        <v>31275</v>
      </c>
      <c r="E3691" s="2" t="s">
        <v>31276</v>
      </c>
      <c r="G3691" s="3" t="s">
        <v>63</v>
      </c>
      <c r="I3691" s="3" t="s">
        <v>63</v>
      </c>
      <c r="J3691" s="3" t="s">
        <v>63</v>
      </c>
      <c r="K3691" s="3" t="s">
        <v>64</v>
      </c>
      <c r="L3691" s="2" t="s">
        <v>31277</v>
      </c>
      <c r="M3691" s="2" t="s">
        <v>29530</v>
      </c>
      <c r="N3691" s="3" t="s">
        <v>2765</v>
      </c>
      <c r="P3691" s="3" t="s">
        <v>90</v>
      </c>
      <c r="Q3691" s="2" t="s">
        <v>31278</v>
      </c>
      <c r="R3691" s="3" t="s">
        <v>67</v>
      </c>
      <c r="S3691" s="4">
        <v>3</v>
      </c>
      <c r="T3691" s="4">
        <v>3</v>
      </c>
      <c r="U3691" s="5" t="s">
        <v>10909</v>
      </c>
      <c r="V3691" s="5" t="s">
        <v>10909</v>
      </c>
      <c r="W3691" s="5" t="s">
        <v>69</v>
      </c>
      <c r="X3691" s="5" t="s">
        <v>69</v>
      </c>
      <c r="Y3691" s="4">
        <v>32</v>
      </c>
      <c r="Z3691" s="4">
        <v>3</v>
      </c>
      <c r="AA3691" s="4">
        <v>3</v>
      </c>
      <c r="AB3691" s="4">
        <v>1</v>
      </c>
      <c r="AC3691" s="4">
        <v>1</v>
      </c>
      <c r="AD3691" s="4">
        <v>22</v>
      </c>
      <c r="AE3691" s="4">
        <v>22</v>
      </c>
      <c r="AF3691" s="4">
        <v>0</v>
      </c>
      <c r="AG3691" s="4">
        <v>0</v>
      </c>
      <c r="AH3691" s="4">
        <v>22</v>
      </c>
      <c r="AI3691" s="4">
        <v>22</v>
      </c>
      <c r="AJ3691" s="4">
        <v>0</v>
      </c>
      <c r="AK3691" s="4">
        <v>0</v>
      </c>
      <c r="AL3691" s="4">
        <v>17</v>
      </c>
      <c r="AM3691" s="4">
        <v>17</v>
      </c>
      <c r="AN3691" s="4">
        <v>0</v>
      </c>
      <c r="AO3691" s="4">
        <v>0</v>
      </c>
      <c r="AP3691" s="4">
        <v>0</v>
      </c>
      <c r="AQ3691" s="4">
        <v>0</v>
      </c>
      <c r="AR3691" s="3" t="s">
        <v>63</v>
      </c>
      <c r="AS3691" s="3" t="s">
        <v>63</v>
      </c>
      <c r="AT3691" s="3" t="s">
        <v>63</v>
      </c>
      <c r="AV3691" s="6" t="str">
        <f>HYPERLINK("http://mcgill.on.worldcat.org/oclc/921254101","Catalog Record")</f>
        <v>Catalog Record</v>
      </c>
      <c r="AW3691" s="6" t="str">
        <f>HYPERLINK("http://www.worldcat.org/oclc/921254101","WorldCat Record")</f>
        <v>WorldCat Record</v>
      </c>
      <c r="AX3691" s="3" t="s">
        <v>31279</v>
      </c>
      <c r="AY3691" s="3" t="s">
        <v>31280</v>
      </c>
      <c r="AZ3691" s="3" t="s">
        <v>31281</v>
      </c>
      <c r="BA3691" s="3" t="s">
        <v>31281</v>
      </c>
      <c r="BB3691" s="3" t="s">
        <v>31282</v>
      </c>
      <c r="BC3691" s="3" t="s">
        <v>82</v>
      </c>
      <c r="BD3691" s="3" t="s">
        <v>70</v>
      </c>
      <c r="BE3691" s="3" t="s">
        <v>31283</v>
      </c>
      <c r="BF3691" s="3" t="s">
        <v>31282</v>
      </c>
      <c r="BG3691" s="3" t="s">
        <v>31284</v>
      </c>
    </row>
    <row r="3692" spans="1:59" ht="60" x14ac:dyDescent="0.25">
      <c r="A3692" s="2" t="s">
        <v>59</v>
      </c>
      <c r="B3692" s="2" t="s">
        <v>60</v>
      </c>
      <c r="C3692" s="2" t="s">
        <v>31285</v>
      </c>
      <c r="D3692" s="2" t="s">
        <v>31286</v>
      </c>
      <c r="E3692" s="2" t="s">
        <v>31287</v>
      </c>
      <c r="G3692" s="3" t="s">
        <v>63</v>
      </c>
      <c r="I3692" s="3" t="s">
        <v>63</v>
      </c>
      <c r="J3692" s="3" t="s">
        <v>63</v>
      </c>
      <c r="K3692" s="3" t="s">
        <v>64</v>
      </c>
      <c r="L3692" s="2" t="s">
        <v>31288</v>
      </c>
      <c r="M3692" s="2" t="s">
        <v>31289</v>
      </c>
      <c r="N3692" s="3" t="s">
        <v>234</v>
      </c>
      <c r="P3692" s="3" t="s">
        <v>90</v>
      </c>
      <c r="R3692" s="3" t="s">
        <v>67</v>
      </c>
      <c r="S3692" s="4">
        <v>5</v>
      </c>
      <c r="T3692" s="4">
        <v>5</v>
      </c>
      <c r="U3692" s="5" t="s">
        <v>10909</v>
      </c>
      <c r="V3692" s="5" t="s">
        <v>10909</v>
      </c>
      <c r="W3692" s="5" t="s">
        <v>69</v>
      </c>
      <c r="X3692" s="5" t="s">
        <v>69</v>
      </c>
      <c r="Y3692" s="4">
        <v>44</v>
      </c>
      <c r="Z3692" s="4">
        <v>5</v>
      </c>
      <c r="AA3692" s="4">
        <v>5</v>
      </c>
      <c r="AB3692" s="4">
        <v>1</v>
      </c>
      <c r="AC3692" s="4">
        <v>1</v>
      </c>
      <c r="AD3692" s="4">
        <v>23</v>
      </c>
      <c r="AE3692" s="4">
        <v>23</v>
      </c>
      <c r="AF3692" s="4">
        <v>0</v>
      </c>
      <c r="AG3692" s="4">
        <v>0</v>
      </c>
      <c r="AH3692" s="4">
        <v>22</v>
      </c>
      <c r="AI3692" s="4">
        <v>22</v>
      </c>
      <c r="AJ3692" s="4">
        <v>3</v>
      </c>
      <c r="AK3692" s="4">
        <v>3</v>
      </c>
      <c r="AL3692" s="4">
        <v>16</v>
      </c>
      <c r="AM3692" s="4">
        <v>16</v>
      </c>
      <c r="AN3692" s="4">
        <v>0</v>
      </c>
      <c r="AO3692" s="4">
        <v>0</v>
      </c>
      <c r="AP3692" s="4">
        <v>3</v>
      </c>
      <c r="AQ3692" s="4">
        <v>3</v>
      </c>
      <c r="AR3692" s="3" t="s">
        <v>63</v>
      </c>
      <c r="AS3692" s="3" t="s">
        <v>63</v>
      </c>
      <c r="AT3692" s="3" t="s">
        <v>63</v>
      </c>
      <c r="AV3692" s="6" t="str">
        <f>HYPERLINK("http://mcgill.on.worldcat.org/oclc/75971247","Catalog Record")</f>
        <v>Catalog Record</v>
      </c>
      <c r="AW3692" s="6" t="str">
        <f>HYPERLINK("http://www.worldcat.org/oclc/75971247","WorldCat Record")</f>
        <v>WorldCat Record</v>
      </c>
      <c r="AX3692" s="3" t="s">
        <v>31290</v>
      </c>
      <c r="AY3692" s="3" t="s">
        <v>31291</v>
      </c>
      <c r="AZ3692" s="3" t="s">
        <v>31292</v>
      </c>
      <c r="BA3692" s="3" t="s">
        <v>31292</v>
      </c>
      <c r="BB3692" s="3" t="s">
        <v>31293</v>
      </c>
      <c r="BC3692" s="3" t="s">
        <v>82</v>
      </c>
      <c r="BD3692" s="3" t="s">
        <v>70</v>
      </c>
      <c r="BE3692" s="3" t="s">
        <v>31294</v>
      </c>
      <c r="BF3692" s="3" t="s">
        <v>31293</v>
      </c>
      <c r="BG3692" s="3" t="s">
        <v>31295</v>
      </c>
    </row>
    <row r="3693" spans="1:59" ht="60" x14ac:dyDescent="0.25">
      <c r="A3693" s="2" t="s">
        <v>59</v>
      </c>
      <c r="B3693" s="2" t="s">
        <v>60</v>
      </c>
      <c r="C3693" s="2" t="s">
        <v>31296</v>
      </c>
      <c r="D3693" s="2" t="s">
        <v>31297</v>
      </c>
      <c r="E3693" s="2" t="s">
        <v>31298</v>
      </c>
      <c r="G3693" s="3" t="s">
        <v>63</v>
      </c>
      <c r="I3693" s="3" t="s">
        <v>63</v>
      </c>
      <c r="J3693" s="3" t="s">
        <v>63</v>
      </c>
      <c r="K3693" s="3" t="s">
        <v>64</v>
      </c>
      <c r="L3693" s="2" t="s">
        <v>31299</v>
      </c>
      <c r="M3693" s="2" t="s">
        <v>28638</v>
      </c>
      <c r="N3693" s="3" t="s">
        <v>106</v>
      </c>
      <c r="P3693" s="3" t="s">
        <v>90</v>
      </c>
      <c r="Q3693" s="2" t="s">
        <v>31300</v>
      </c>
      <c r="R3693" s="3" t="s">
        <v>67</v>
      </c>
      <c r="S3693" s="4">
        <v>2</v>
      </c>
      <c r="T3693" s="4">
        <v>2</v>
      </c>
      <c r="U3693" s="5" t="s">
        <v>10909</v>
      </c>
      <c r="V3693" s="5" t="s">
        <v>10909</v>
      </c>
      <c r="W3693" s="5" t="s">
        <v>69</v>
      </c>
      <c r="X3693" s="5" t="s">
        <v>69</v>
      </c>
      <c r="Y3693" s="4">
        <v>77</v>
      </c>
      <c r="Z3693" s="4">
        <v>5</v>
      </c>
      <c r="AA3693" s="4">
        <v>5</v>
      </c>
      <c r="AB3693" s="4">
        <v>1</v>
      </c>
      <c r="AC3693" s="4">
        <v>1</v>
      </c>
      <c r="AD3693" s="4">
        <v>38</v>
      </c>
      <c r="AE3693" s="4">
        <v>38</v>
      </c>
      <c r="AF3693" s="4">
        <v>0</v>
      </c>
      <c r="AG3693" s="4">
        <v>0</v>
      </c>
      <c r="AH3693" s="4">
        <v>38</v>
      </c>
      <c r="AI3693" s="4">
        <v>38</v>
      </c>
      <c r="AJ3693" s="4">
        <v>3</v>
      </c>
      <c r="AK3693" s="4">
        <v>3</v>
      </c>
      <c r="AL3693" s="4">
        <v>29</v>
      </c>
      <c r="AM3693" s="4">
        <v>29</v>
      </c>
      <c r="AN3693" s="4">
        <v>0</v>
      </c>
      <c r="AO3693" s="4">
        <v>0</v>
      </c>
      <c r="AP3693" s="4">
        <v>3</v>
      </c>
      <c r="AQ3693" s="4">
        <v>3</v>
      </c>
      <c r="AR3693" s="3" t="s">
        <v>63</v>
      </c>
      <c r="AS3693" s="3" t="s">
        <v>63</v>
      </c>
      <c r="AT3693" s="3" t="s">
        <v>63</v>
      </c>
      <c r="AV3693" s="6" t="str">
        <f>HYPERLINK("http://mcgill.on.worldcat.org/oclc/960701954","Catalog Record")</f>
        <v>Catalog Record</v>
      </c>
      <c r="AW3693" s="6" t="str">
        <f>HYPERLINK("http://www.worldcat.org/oclc/960701954","WorldCat Record")</f>
        <v>WorldCat Record</v>
      </c>
      <c r="AX3693" s="3" t="s">
        <v>31301</v>
      </c>
      <c r="AY3693" s="3" t="s">
        <v>31302</v>
      </c>
      <c r="AZ3693" s="3" t="s">
        <v>31303</v>
      </c>
      <c r="BA3693" s="3" t="s">
        <v>31303</v>
      </c>
      <c r="BB3693" s="3" t="s">
        <v>31304</v>
      </c>
      <c r="BC3693" s="3" t="s">
        <v>82</v>
      </c>
      <c r="BD3693" s="3" t="s">
        <v>70</v>
      </c>
      <c r="BE3693" s="3" t="s">
        <v>31305</v>
      </c>
      <c r="BF3693" s="3" t="s">
        <v>31304</v>
      </c>
      <c r="BG3693" s="3" t="s">
        <v>31306</v>
      </c>
    </row>
    <row r="3694" spans="1:59" ht="60" x14ac:dyDescent="0.25">
      <c r="A3694" s="2" t="s">
        <v>59</v>
      </c>
      <c r="B3694" s="2" t="s">
        <v>60</v>
      </c>
      <c r="C3694" s="2" t="s">
        <v>31307</v>
      </c>
      <c r="D3694" s="2" t="s">
        <v>31308</v>
      </c>
      <c r="E3694" s="2" t="s">
        <v>31309</v>
      </c>
      <c r="G3694" s="3" t="s">
        <v>63</v>
      </c>
      <c r="I3694" s="3" t="s">
        <v>63</v>
      </c>
      <c r="J3694" s="3" t="s">
        <v>63</v>
      </c>
      <c r="K3694" s="3" t="s">
        <v>64</v>
      </c>
      <c r="L3694" s="2" t="s">
        <v>31288</v>
      </c>
      <c r="M3694" s="2" t="s">
        <v>24949</v>
      </c>
      <c r="N3694" s="3" t="s">
        <v>1343</v>
      </c>
      <c r="P3694" s="3" t="s">
        <v>90</v>
      </c>
      <c r="R3694" s="3" t="s">
        <v>67</v>
      </c>
      <c r="S3694" s="4">
        <v>4</v>
      </c>
      <c r="T3694" s="4">
        <v>4</v>
      </c>
      <c r="U3694" s="5" t="s">
        <v>29183</v>
      </c>
      <c r="V3694" s="5" t="s">
        <v>29183</v>
      </c>
      <c r="W3694" s="5" t="s">
        <v>69</v>
      </c>
      <c r="X3694" s="5" t="s">
        <v>69</v>
      </c>
      <c r="Y3694" s="4">
        <v>76</v>
      </c>
      <c r="Z3694" s="4">
        <v>7</v>
      </c>
      <c r="AA3694" s="4">
        <v>8</v>
      </c>
      <c r="AB3694" s="4">
        <v>1</v>
      </c>
      <c r="AC3694" s="4">
        <v>1</v>
      </c>
      <c r="AD3694" s="4">
        <v>51</v>
      </c>
      <c r="AE3694" s="4">
        <v>52</v>
      </c>
      <c r="AF3694" s="4">
        <v>0</v>
      </c>
      <c r="AG3694" s="4">
        <v>0</v>
      </c>
      <c r="AH3694" s="4">
        <v>49</v>
      </c>
      <c r="AI3694" s="4">
        <v>50</v>
      </c>
      <c r="AJ3694" s="4">
        <v>3</v>
      </c>
      <c r="AK3694" s="4">
        <v>3</v>
      </c>
      <c r="AL3694" s="4">
        <v>38</v>
      </c>
      <c r="AM3694" s="4">
        <v>39</v>
      </c>
      <c r="AN3694" s="4">
        <v>0</v>
      </c>
      <c r="AO3694" s="4">
        <v>0</v>
      </c>
      <c r="AP3694" s="4">
        <v>3</v>
      </c>
      <c r="AQ3694" s="4">
        <v>3</v>
      </c>
      <c r="AR3694" s="3" t="s">
        <v>63</v>
      </c>
      <c r="AS3694" s="3" t="s">
        <v>63</v>
      </c>
      <c r="AT3694" s="3" t="s">
        <v>63</v>
      </c>
      <c r="AV3694" s="6" t="str">
        <f>HYPERLINK("http://mcgill.on.worldcat.org/oclc/44105282","Catalog Record")</f>
        <v>Catalog Record</v>
      </c>
      <c r="AW3694" s="6" t="str">
        <f>HYPERLINK("http://www.worldcat.org/oclc/44105282","WorldCat Record")</f>
        <v>WorldCat Record</v>
      </c>
      <c r="AX3694" s="3" t="s">
        <v>31310</v>
      </c>
      <c r="AY3694" s="3" t="s">
        <v>31311</v>
      </c>
      <c r="AZ3694" s="3" t="s">
        <v>31312</v>
      </c>
      <c r="BA3694" s="3" t="s">
        <v>31312</v>
      </c>
      <c r="BB3694" s="3" t="s">
        <v>31313</v>
      </c>
      <c r="BC3694" s="3" t="s">
        <v>82</v>
      </c>
      <c r="BD3694" s="3" t="s">
        <v>70</v>
      </c>
      <c r="BE3694" s="3" t="s">
        <v>31314</v>
      </c>
      <c r="BF3694" s="3" t="s">
        <v>31313</v>
      </c>
      <c r="BG3694" s="3" t="s">
        <v>31315</v>
      </c>
    </row>
    <row r="3695" spans="1:59" ht="60" x14ac:dyDescent="0.25">
      <c r="A3695" s="2" t="s">
        <v>59</v>
      </c>
      <c r="B3695" s="2" t="s">
        <v>60</v>
      </c>
      <c r="C3695" s="2" t="s">
        <v>31316</v>
      </c>
      <c r="D3695" s="2" t="s">
        <v>31317</v>
      </c>
      <c r="E3695" s="2" t="s">
        <v>31318</v>
      </c>
      <c r="G3695" s="3" t="s">
        <v>63</v>
      </c>
      <c r="I3695" s="3" t="s">
        <v>63</v>
      </c>
      <c r="J3695" s="3" t="s">
        <v>63</v>
      </c>
      <c r="K3695" s="3" t="s">
        <v>64</v>
      </c>
      <c r="L3695" s="2" t="s">
        <v>31319</v>
      </c>
      <c r="M3695" s="2" t="s">
        <v>31320</v>
      </c>
      <c r="N3695" s="3" t="s">
        <v>1557</v>
      </c>
      <c r="P3695" s="3" t="s">
        <v>90</v>
      </c>
      <c r="R3695" s="3" t="s">
        <v>67</v>
      </c>
      <c r="S3695" s="4">
        <v>1</v>
      </c>
      <c r="T3695" s="4">
        <v>1</v>
      </c>
      <c r="U3695" s="5" t="s">
        <v>13807</v>
      </c>
      <c r="V3695" s="5" t="s">
        <v>13807</v>
      </c>
      <c r="W3695" s="5" t="s">
        <v>9728</v>
      </c>
      <c r="X3695" s="5" t="s">
        <v>9728</v>
      </c>
      <c r="Y3695" s="4">
        <v>18</v>
      </c>
      <c r="Z3695" s="4">
        <v>1</v>
      </c>
      <c r="AA3695" s="4">
        <v>1</v>
      </c>
      <c r="AB3695" s="4">
        <v>1</v>
      </c>
      <c r="AC3695" s="4">
        <v>1</v>
      </c>
      <c r="AD3695" s="4">
        <v>15</v>
      </c>
      <c r="AE3695" s="4">
        <v>15</v>
      </c>
      <c r="AF3695" s="4">
        <v>0</v>
      </c>
      <c r="AG3695" s="4">
        <v>0</v>
      </c>
      <c r="AH3695" s="4">
        <v>14</v>
      </c>
      <c r="AI3695" s="4">
        <v>14</v>
      </c>
      <c r="AJ3695" s="4">
        <v>0</v>
      </c>
      <c r="AK3695" s="4">
        <v>0</v>
      </c>
      <c r="AL3695" s="4">
        <v>12</v>
      </c>
      <c r="AM3695" s="4">
        <v>12</v>
      </c>
      <c r="AN3695" s="4">
        <v>0</v>
      </c>
      <c r="AO3695" s="4">
        <v>0</v>
      </c>
      <c r="AP3695" s="4">
        <v>0</v>
      </c>
      <c r="AQ3695" s="4">
        <v>0</v>
      </c>
      <c r="AR3695" s="3" t="s">
        <v>63</v>
      </c>
      <c r="AS3695" s="3" t="s">
        <v>63</v>
      </c>
      <c r="AT3695" s="3" t="s">
        <v>63</v>
      </c>
      <c r="AV3695" s="6" t="str">
        <f>HYPERLINK("http://mcgill.on.worldcat.org/oclc/1038023921","Catalog Record")</f>
        <v>Catalog Record</v>
      </c>
      <c r="AW3695" s="6" t="str">
        <f>HYPERLINK("http://www.worldcat.org/oclc/1038023921","WorldCat Record")</f>
        <v>WorldCat Record</v>
      </c>
      <c r="AX3695" s="3" t="s">
        <v>31321</v>
      </c>
      <c r="AY3695" s="3" t="s">
        <v>31322</v>
      </c>
      <c r="AZ3695" s="3" t="s">
        <v>31323</v>
      </c>
      <c r="BA3695" s="3" t="s">
        <v>31323</v>
      </c>
      <c r="BB3695" s="3" t="s">
        <v>31324</v>
      </c>
      <c r="BC3695" s="3" t="s">
        <v>82</v>
      </c>
      <c r="BD3695" s="3" t="s">
        <v>70</v>
      </c>
      <c r="BE3695" s="3" t="s">
        <v>31325</v>
      </c>
      <c r="BF3695" s="3" t="s">
        <v>31324</v>
      </c>
      <c r="BG3695" s="3" t="s">
        <v>31326</v>
      </c>
    </row>
    <row r="3696" spans="1:59" ht="60" x14ac:dyDescent="0.25">
      <c r="A3696" s="2" t="s">
        <v>59</v>
      </c>
      <c r="B3696" s="2" t="s">
        <v>60</v>
      </c>
      <c r="C3696" s="2" t="s">
        <v>31327</v>
      </c>
      <c r="D3696" s="2" t="s">
        <v>31328</v>
      </c>
      <c r="E3696" s="2" t="s">
        <v>31329</v>
      </c>
      <c r="G3696" s="3" t="s">
        <v>63</v>
      </c>
      <c r="I3696" s="3" t="s">
        <v>63</v>
      </c>
      <c r="J3696" s="3" t="s">
        <v>63</v>
      </c>
      <c r="K3696" s="3" t="s">
        <v>64</v>
      </c>
      <c r="L3696" s="2" t="s">
        <v>31319</v>
      </c>
      <c r="M3696" s="2" t="s">
        <v>31330</v>
      </c>
      <c r="N3696" s="3" t="s">
        <v>287</v>
      </c>
      <c r="P3696" s="3" t="s">
        <v>90</v>
      </c>
      <c r="R3696" s="3" t="s">
        <v>67</v>
      </c>
      <c r="S3696" s="4">
        <v>1</v>
      </c>
      <c r="T3696" s="4">
        <v>1</v>
      </c>
      <c r="U3696" s="5" t="s">
        <v>29697</v>
      </c>
      <c r="V3696" s="5" t="s">
        <v>29697</v>
      </c>
      <c r="W3696" s="5" t="s">
        <v>69</v>
      </c>
      <c r="X3696" s="5" t="s">
        <v>69</v>
      </c>
      <c r="Y3696" s="4">
        <v>14</v>
      </c>
      <c r="Z3696" s="4">
        <v>1</v>
      </c>
      <c r="AA3696" s="4">
        <v>1</v>
      </c>
      <c r="AB3696" s="4">
        <v>1</v>
      </c>
      <c r="AC3696" s="4">
        <v>1</v>
      </c>
      <c r="AD3696" s="4">
        <v>12</v>
      </c>
      <c r="AE3696" s="4">
        <v>12</v>
      </c>
      <c r="AF3696" s="4">
        <v>0</v>
      </c>
      <c r="AG3696" s="4">
        <v>0</v>
      </c>
      <c r="AH3696" s="4">
        <v>11</v>
      </c>
      <c r="AI3696" s="4">
        <v>11</v>
      </c>
      <c r="AJ3696" s="4">
        <v>0</v>
      </c>
      <c r="AK3696" s="4">
        <v>0</v>
      </c>
      <c r="AL3696" s="4">
        <v>10</v>
      </c>
      <c r="AM3696" s="4">
        <v>10</v>
      </c>
      <c r="AN3696" s="4">
        <v>0</v>
      </c>
      <c r="AO3696" s="4">
        <v>0</v>
      </c>
      <c r="AP3696" s="4">
        <v>0</v>
      </c>
      <c r="AQ3696" s="4">
        <v>0</v>
      </c>
      <c r="AR3696" s="3" t="s">
        <v>63</v>
      </c>
      <c r="AS3696" s="3" t="s">
        <v>63</v>
      </c>
      <c r="AT3696" s="3" t="s">
        <v>63</v>
      </c>
      <c r="AV3696" s="6" t="str">
        <f>HYPERLINK("http://mcgill.on.worldcat.org/oclc/1053889058","Catalog Record")</f>
        <v>Catalog Record</v>
      </c>
      <c r="AW3696" s="6" t="str">
        <f>HYPERLINK("http://www.worldcat.org/oclc/1053889058","WorldCat Record")</f>
        <v>WorldCat Record</v>
      </c>
      <c r="AX3696" s="3" t="s">
        <v>31331</v>
      </c>
      <c r="AY3696" s="3" t="s">
        <v>31332</v>
      </c>
      <c r="AZ3696" s="3" t="s">
        <v>31333</v>
      </c>
      <c r="BA3696" s="3" t="s">
        <v>31333</v>
      </c>
      <c r="BB3696" s="3" t="s">
        <v>31334</v>
      </c>
      <c r="BC3696" s="3" t="s">
        <v>82</v>
      </c>
      <c r="BD3696" s="3" t="s">
        <v>70</v>
      </c>
      <c r="BE3696" s="3" t="s">
        <v>31335</v>
      </c>
      <c r="BF3696" s="3" t="s">
        <v>31334</v>
      </c>
      <c r="BG3696" s="3" t="s">
        <v>31336</v>
      </c>
    </row>
    <row r="3697" spans="1:59" ht="75" x14ac:dyDescent="0.25">
      <c r="A3697" s="2" t="s">
        <v>59</v>
      </c>
      <c r="B3697" s="2" t="s">
        <v>60</v>
      </c>
      <c r="C3697" s="2" t="s">
        <v>31337</v>
      </c>
      <c r="D3697" s="2" t="s">
        <v>31338</v>
      </c>
      <c r="E3697" s="2" t="s">
        <v>31339</v>
      </c>
      <c r="G3697" s="3" t="s">
        <v>63</v>
      </c>
      <c r="I3697" s="3" t="s">
        <v>63</v>
      </c>
      <c r="J3697" s="3" t="s">
        <v>63</v>
      </c>
      <c r="K3697" s="3" t="s">
        <v>64</v>
      </c>
      <c r="L3697" s="2" t="s">
        <v>31340</v>
      </c>
      <c r="M3697" s="2" t="s">
        <v>31341</v>
      </c>
      <c r="N3697" s="3" t="s">
        <v>234</v>
      </c>
      <c r="O3697" s="2" t="s">
        <v>590</v>
      </c>
      <c r="P3697" s="3" t="s">
        <v>66</v>
      </c>
      <c r="Q3697" s="2" t="s">
        <v>31342</v>
      </c>
      <c r="R3697" s="3" t="s">
        <v>67</v>
      </c>
      <c r="S3697" s="4">
        <v>11</v>
      </c>
      <c r="T3697" s="4">
        <v>11</v>
      </c>
      <c r="U3697" s="5" t="s">
        <v>31343</v>
      </c>
      <c r="V3697" s="5" t="s">
        <v>31343</v>
      </c>
      <c r="W3697" s="5" t="s">
        <v>69</v>
      </c>
      <c r="X3697" s="5" t="s">
        <v>69</v>
      </c>
      <c r="Y3697" s="4">
        <v>515</v>
      </c>
      <c r="Z3697" s="4">
        <v>8</v>
      </c>
      <c r="AA3697" s="4">
        <v>28</v>
      </c>
      <c r="AB3697" s="4">
        <v>1</v>
      </c>
      <c r="AC3697" s="4">
        <v>3</v>
      </c>
      <c r="AD3697" s="4">
        <v>44</v>
      </c>
      <c r="AE3697" s="4">
        <v>53</v>
      </c>
      <c r="AF3697" s="4">
        <v>0</v>
      </c>
      <c r="AG3697" s="4">
        <v>0</v>
      </c>
      <c r="AH3697" s="4">
        <v>42</v>
      </c>
      <c r="AI3697" s="4">
        <v>47</v>
      </c>
      <c r="AJ3697" s="4">
        <v>3</v>
      </c>
      <c r="AK3697" s="4">
        <v>6</v>
      </c>
      <c r="AL3697" s="4">
        <v>29</v>
      </c>
      <c r="AM3697" s="4">
        <v>32</v>
      </c>
      <c r="AN3697" s="4">
        <v>0</v>
      </c>
      <c r="AO3697" s="4">
        <v>0</v>
      </c>
      <c r="AP3697" s="4">
        <v>3</v>
      </c>
      <c r="AQ3697" s="4">
        <v>7</v>
      </c>
      <c r="AR3697" s="3" t="s">
        <v>63</v>
      </c>
      <c r="AS3697" s="3" t="s">
        <v>63</v>
      </c>
      <c r="AT3697" s="3" t="s">
        <v>62</v>
      </c>
      <c r="AU3697" s="6" t="str">
        <f>HYPERLINK("http://catalog.hathitrust.org/Record/005279910","HathiTrust Record")</f>
        <v>HathiTrust Record</v>
      </c>
      <c r="AV3697" s="6" t="str">
        <f>HYPERLINK("http://mcgill.on.worldcat.org/oclc/70635763","Catalog Record")</f>
        <v>Catalog Record</v>
      </c>
      <c r="AW3697" s="6" t="str">
        <f>HYPERLINK("http://www.worldcat.org/oclc/70635763","WorldCat Record")</f>
        <v>WorldCat Record</v>
      </c>
      <c r="AX3697" s="3" t="s">
        <v>31344</v>
      </c>
      <c r="AY3697" s="3" t="s">
        <v>31345</v>
      </c>
      <c r="AZ3697" s="3" t="s">
        <v>31346</v>
      </c>
      <c r="BA3697" s="3" t="s">
        <v>31346</v>
      </c>
      <c r="BB3697" s="3" t="s">
        <v>31347</v>
      </c>
      <c r="BC3697" s="3" t="s">
        <v>82</v>
      </c>
      <c r="BD3697" s="3" t="s">
        <v>70</v>
      </c>
      <c r="BE3697" s="3" t="s">
        <v>31348</v>
      </c>
      <c r="BF3697" s="3" t="s">
        <v>31347</v>
      </c>
      <c r="BG3697" s="3" t="s">
        <v>31349</v>
      </c>
    </row>
    <row r="3698" spans="1:59" ht="60" x14ac:dyDescent="0.25">
      <c r="A3698" s="2" t="s">
        <v>59</v>
      </c>
      <c r="B3698" s="2" t="s">
        <v>60</v>
      </c>
      <c r="C3698" s="2" t="s">
        <v>31350</v>
      </c>
      <c r="D3698" s="2" t="s">
        <v>31351</v>
      </c>
      <c r="E3698" s="2" t="s">
        <v>31352</v>
      </c>
      <c r="G3698" s="3" t="s">
        <v>63</v>
      </c>
      <c r="I3698" s="3" t="s">
        <v>63</v>
      </c>
      <c r="J3698" s="3" t="s">
        <v>63</v>
      </c>
      <c r="K3698" s="3" t="s">
        <v>64</v>
      </c>
      <c r="L3698" s="2" t="s">
        <v>31353</v>
      </c>
      <c r="M3698" s="2" t="s">
        <v>31354</v>
      </c>
      <c r="N3698" s="3" t="s">
        <v>143</v>
      </c>
      <c r="P3698" s="3" t="s">
        <v>90</v>
      </c>
      <c r="Q3698" s="2" t="s">
        <v>31355</v>
      </c>
      <c r="R3698" s="3" t="s">
        <v>67</v>
      </c>
      <c r="S3698" s="4">
        <v>2</v>
      </c>
      <c r="T3698" s="4">
        <v>2</v>
      </c>
      <c r="U3698" s="5" t="s">
        <v>15404</v>
      </c>
      <c r="V3698" s="5" t="s">
        <v>15404</v>
      </c>
      <c r="W3698" s="5" t="s">
        <v>69</v>
      </c>
      <c r="X3698" s="5" t="s">
        <v>69</v>
      </c>
      <c r="Y3698" s="4">
        <v>40</v>
      </c>
      <c r="Z3698" s="4">
        <v>5</v>
      </c>
      <c r="AA3698" s="4">
        <v>5</v>
      </c>
      <c r="AB3698" s="4">
        <v>1</v>
      </c>
      <c r="AC3698" s="4">
        <v>1</v>
      </c>
      <c r="AD3698" s="4">
        <v>26</v>
      </c>
      <c r="AE3698" s="4">
        <v>26</v>
      </c>
      <c r="AF3698" s="4">
        <v>0</v>
      </c>
      <c r="AG3698" s="4">
        <v>0</v>
      </c>
      <c r="AH3698" s="4">
        <v>26</v>
      </c>
      <c r="AI3698" s="4">
        <v>26</v>
      </c>
      <c r="AJ3698" s="4">
        <v>3</v>
      </c>
      <c r="AK3698" s="4">
        <v>3</v>
      </c>
      <c r="AL3698" s="4">
        <v>19</v>
      </c>
      <c r="AM3698" s="4">
        <v>19</v>
      </c>
      <c r="AN3698" s="4">
        <v>0</v>
      </c>
      <c r="AO3698" s="4">
        <v>0</v>
      </c>
      <c r="AP3698" s="4">
        <v>3</v>
      </c>
      <c r="AQ3698" s="4">
        <v>3</v>
      </c>
      <c r="AR3698" s="3" t="s">
        <v>63</v>
      </c>
      <c r="AS3698" s="3" t="s">
        <v>63</v>
      </c>
      <c r="AT3698" s="3" t="s">
        <v>63</v>
      </c>
      <c r="AV3698" s="6" t="str">
        <f>HYPERLINK("http://mcgill.on.worldcat.org/oclc/892488932","Catalog Record")</f>
        <v>Catalog Record</v>
      </c>
      <c r="AW3698" s="6" t="str">
        <f>HYPERLINK("http://www.worldcat.org/oclc/892488932","WorldCat Record")</f>
        <v>WorldCat Record</v>
      </c>
      <c r="AX3698" s="3" t="s">
        <v>31356</v>
      </c>
      <c r="AY3698" s="3" t="s">
        <v>31357</v>
      </c>
      <c r="AZ3698" s="3" t="s">
        <v>31358</v>
      </c>
      <c r="BA3698" s="3" t="s">
        <v>31358</v>
      </c>
      <c r="BB3698" s="3" t="s">
        <v>31359</v>
      </c>
      <c r="BC3698" s="3" t="s">
        <v>82</v>
      </c>
      <c r="BD3698" s="3" t="s">
        <v>70</v>
      </c>
      <c r="BE3698" s="3" t="s">
        <v>31360</v>
      </c>
      <c r="BF3698" s="3" t="s">
        <v>31359</v>
      </c>
      <c r="BG3698" s="3" t="s">
        <v>31361</v>
      </c>
    </row>
    <row r="3699" spans="1:59" ht="60" x14ac:dyDescent="0.25">
      <c r="A3699" s="2" t="s">
        <v>59</v>
      </c>
      <c r="B3699" s="2" t="s">
        <v>60</v>
      </c>
      <c r="C3699" s="2" t="s">
        <v>31362</v>
      </c>
      <c r="D3699" s="2" t="s">
        <v>31363</v>
      </c>
      <c r="E3699" s="2" t="s">
        <v>31364</v>
      </c>
      <c r="G3699" s="3" t="s">
        <v>63</v>
      </c>
      <c r="I3699" s="3" t="s">
        <v>63</v>
      </c>
      <c r="J3699" s="3" t="s">
        <v>63</v>
      </c>
      <c r="K3699" s="3" t="s">
        <v>64</v>
      </c>
      <c r="L3699" s="2" t="s">
        <v>31365</v>
      </c>
      <c r="M3699" s="2" t="s">
        <v>10743</v>
      </c>
      <c r="N3699" s="3" t="s">
        <v>629</v>
      </c>
      <c r="P3699" s="3" t="s">
        <v>90</v>
      </c>
      <c r="R3699" s="3" t="s">
        <v>67</v>
      </c>
      <c r="S3699" s="4">
        <v>1</v>
      </c>
      <c r="T3699" s="4">
        <v>1</v>
      </c>
      <c r="U3699" s="5" t="s">
        <v>15042</v>
      </c>
      <c r="V3699" s="5" t="s">
        <v>15042</v>
      </c>
      <c r="W3699" s="5" t="s">
        <v>69</v>
      </c>
      <c r="X3699" s="5" t="s">
        <v>69</v>
      </c>
      <c r="Y3699" s="4">
        <v>58</v>
      </c>
      <c r="Z3699" s="4">
        <v>8</v>
      </c>
      <c r="AA3699" s="4">
        <v>8</v>
      </c>
      <c r="AB3699" s="4">
        <v>1</v>
      </c>
      <c r="AC3699" s="4">
        <v>1</v>
      </c>
      <c r="AD3699" s="4">
        <v>30</v>
      </c>
      <c r="AE3699" s="4">
        <v>38</v>
      </c>
      <c r="AF3699" s="4">
        <v>0</v>
      </c>
      <c r="AG3699" s="4">
        <v>0</v>
      </c>
      <c r="AH3699" s="4">
        <v>30</v>
      </c>
      <c r="AI3699" s="4">
        <v>37</v>
      </c>
      <c r="AJ3699" s="4">
        <v>4</v>
      </c>
      <c r="AK3699" s="4">
        <v>4</v>
      </c>
      <c r="AL3699" s="4">
        <v>21</v>
      </c>
      <c r="AM3699" s="4">
        <v>26</v>
      </c>
      <c r="AN3699" s="4">
        <v>0</v>
      </c>
      <c r="AO3699" s="4">
        <v>0</v>
      </c>
      <c r="AP3699" s="4">
        <v>4</v>
      </c>
      <c r="AQ3699" s="4">
        <v>4</v>
      </c>
      <c r="AR3699" s="3" t="s">
        <v>63</v>
      </c>
      <c r="AS3699" s="3" t="s">
        <v>63</v>
      </c>
      <c r="AT3699" s="3" t="s">
        <v>63</v>
      </c>
      <c r="AV3699" s="6" t="str">
        <f>HYPERLINK("http://mcgill.on.worldcat.org/oclc/775590639","Catalog Record")</f>
        <v>Catalog Record</v>
      </c>
      <c r="AW3699" s="6" t="str">
        <f>HYPERLINK("http://www.worldcat.org/oclc/775590639","WorldCat Record")</f>
        <v>WorldCat Record</v>
      </c>
      <c r="AX3699" s="3" t="s">
        <v>31366</v>
      </c>
      <c r="AY3699" s="3" t="s">
        <v>31367</v>
      </c>
      <c r="AZ3699" s="3" t="s">
        <v>31368</v>
      </c>
      <c r="BA3699" s="3" t="s">
        <v>31368</v>
      </c>
      <c r="BB3699" s="3" t="s">
        <v>31369</v>
      </c>
      <c r="BC3699" s="3" t="s">
        <v>82</v>
      </c>
      <c r="BD3699" s="3" t="s">
        <v>70</v>
      </c>
      <c r="BE3699" s="3" t="s">
        <v>31370</v>
      </c>
      <c r="BF3699" s="3" t="s">
        <v>31369</v>
      </c>
      <c r="BG3699" s="3" t="s">
        <v>31371</v>
      </c>
    </row>
    <row r="3700" spans="1:59" ht="60" x14ac:dyDescent="0.25">
      <c r="A3700" s="2" t="s">
        <v>59</v>
      </c>
      <c r="B3700" s="2" t="s">
        <v>60</v>
      </c>
      <c r="C3700" s="2" t="s">
        <v>31372</v>
      </c>
      <c r="D3700" s="2" t="s">
        <v>31373</v>
      </c>
      <c r="E3700" s="2" t="s">
        <v>31374</v>
      </c>
      <c r="G3700" s="3" t="s">
        <v>63</v>
      </c>
      <c r="I3700" s="3" t="s">
        <v>63</v>
      </c>
      <c r="J3700" s="3" t="s">
        <v>63</v>
      </c>
      <c r="K3700" s="3" t="s">
        <v>64</v>
      </c>
      <c r="L3700" s="2" t="s">
        <v>31353</v>
      </c>
      <c r="M3700" s="2" t="s">
        <v>9716</v>
      </c>
      <c r="N3700" s="3" t="s">
        <v>143</v>
      </c>
      <c r="P3700" s="3" t="s">
        <v>90</v>
      </c>
      <c r="Q3700" s="2" t="s">
        <v>31355</v>
      </c>
      <c r="R3700" s="3" t="s">
        <v>67</v>
      </c>
      <c r="S3700" s="4">
        <v>2</v>
      </c>
      <c r="T3700" s="4">
        <v>2</v>
      </c>
      <c r="U3700" s="5" t="s">
        <v>15404</v>
      </c>
      <c r="V3700" s="5" t="s">
        <v>15404</v>
      </c>
      <c r="W3700" s="5" t="s">
        <v>69</v>
      </c>
      <c r="X3700" s="5" t="s">
        <v>69</v>
      </c>
      <c r="Y3700" s="4">
        <v>47</v>
      </c>
      <c r="Z3700" s="4">
        <v>6</v>
      </c>
      <c r="AA3700" s="4">
        <v>6</v>
      </c>
      <c r="AB3700" s="4">
        <v>1</v>
      </c>
      <c r="AC3700" s="4">
        <v>1</v>
      </c>
      <c r="AD3700" s="4">
        <v>30</v>
      </c>
      <c r="AE3700" s="4">
        <v>30</v>
      </c>
      <c r="AF3700" s="4">
        <v>0</v>
      </c>
      <c r="AG3700" s="4">
        <v>0</v>
      </c>
      <c r="AH3700" s="4">
        <v>30</v>
      </c>
      <c r="AI3700" s="4">
        <v>30</v>
      </c>
      <c r="AJ3700" s="4">
        <v>4</v>
      </c>
      <c r="AK3700" s="4">
        <v>4</v>
      </c>
      <c r="AL3700" s="4">
        <v>20</v>
      </c>
      <c r="AM3700" s="4">
        <v>20</v>
      </c>
      <c r="AN3700" s="4">
        <v>0</v>
      </c>
      <c r="AO3700" s="4">
        <v>0</v>
      </c>
      <c r="AP3700" s="4">
        <v>4</v>
      </c>
      <c r="AQ3700" s="4">
        <v>4</v>
      </c>
      <c r="AR3700" s="3" t="s">
        <v>63</v>
      </c>
      <c r="AS3700" s="3" t="s">
        <v>63</v>
      </c>
      <c r="AT3700" s="3" t="s">
        <v>63</v>
      </c>
      <c r="AV3700" s="6" t="str">
        <f>HYPERLINK("http://mcgill.on.worldcat.org/oclc/879571264","Catalog Record")</f>
        <v>Catalog Record</v>
      </c>
      <c r="AW3700" s="6" t="str">
        <f>HYPERLINK("http://www.worldcat.org/oclc/879571264","WorldCat Record")</f>
        <v>WorldCat Record</v>
      </c>
      <c r="AX3700" s="3" t="s">
        <v>31375</v>
      </c>
      <c r="AY3700" s="3" t="s">
        <v>31376</v>
      </c>
      <c r="AZ3700" s="3" t="s">
        <v>31377</v>
      </c>
      <c r="BA3700" s="3" t="s">
        <v>31377</v>
      </c>
      <c r="BB3700" s="3" t="s">
        <v>31378</v>
      </c>
      <c r="BC3700" s="3" t="s">
        <v>82</v>
      </c>
      <c r="BD3700" s="3" t="s">
        <v>70</v>
      </c>
      <c r="BE3700" s="3" t="s">
        <v>31379</v>
      </c>
      <c r="BF3700" s="3" t="s">
        <v>31378</v>
      </c>
      <c r="BG3700" s="3" t="s">
        <v>31380</v>
      </c>
    </row>
    <row r="3701" spans="1:59" ht="60" x14ac:dyDescent="0.25">
      <c r="A3701" s="2" t="s">
        <v>59</v>
      </c>
      <c r="B3701" s="2" t="s">
        <v>60</v>
      </c>
      <c r="C3701" s="2" t="s">
        <v>31381</v>
      </c>
      <c r="D3701" s="2" t="s">
        <v>31382</v>
      </c>
      <c r="E3701" s="2" t="s">
        <v>31383</v>
      </c>
      <c r="G3701" s="3" t="s">
        <v>63</v>
      </c>
      <c r="I3701" s="3" t="s">
        <v>63</v>
      </c>
      <c r="J3701" s="3" t="s">
        <v>63</v>
      </c>
      <c r="K3701" s="3" t="s">
        <v>64</v>
      </c>
      <c r="L3701" s="2" t="s">
        <v>31365</v>
      </c>
      <c r="M3701" s="2" t="s">
        <v>28908</v>
      </c>
      <c r="N3701" s="3" t="s">
        <v>313</v>
      </c>
      <c r="P3701" s="3" t="s">
        <v>90</v>
      </c>
      <c r="R3701" s="3" t="s">
        <v>67</v>
      </c>
      <c r="S3701" s="4">
        <v>1</v>
      </c>
      <c r="T3701" s="4">
        <v>1</v>
      </c>
      <c r="U3701" s="5" t="s">
        <v>30857</v>
      </c>
      <c r="V3701" s="5" t="s">
        <v>30857</v>
      </c>
      <c r="W3701" s="5" t="s">
        <v>69</v>
      </c>
      <c r="X3701" s="5" t="s">
        <v>69</v>
      </c>
      <c r="Y3701" s="4">
        <v>14</v>
      </c>
      <c r="Z3701" s="4">
        <v>3</v>
      </c>
      <c r="AA3701" s="4">
        <v>4</v>
      </c>
      <c r="AB3701" s="4">
        <v>1</v>
      </c>
      <c r="AC3701" s="4">
        <v>1</v>
      </c>
      <c r="AD3701" s="4">
        <v>9</v>
      </c>
      <c r="AE3701" s="4">
        <v>17</v>
      </c>
      <c r="AF3701" s="4">
        <v>0</v>
      </c>
      <c r="AG3701" s="4">
        <v>0</v>
      </c>
      <c r="AH3701" s="4">
        <v>8</v>
      </c>
      <c r="AI3701" s="4">
        <v>16</v>
      </c>
      <c r="AJ3701" s="4">
        <v>1</v>
      </c>
      <c r="AK3701" s="4">
        <v>2</v>
      </c>
      <c r="AL3701" s="4">
        <v>7</v>
      </c>
      <c r="AM3701" s="4">
        <v>12</v>
      </c>
      <c r="AN3701" s="4">
        <v>0</v>
      </c>
      <c r="AO3701" s="4">
        <v>0</v>
      </c>
      <c r="AP3701" s="4">
        <v>1</v>
      </c>
      <c r="AQ3701" s="4">
        <v>2</v>
      </c>
      <c r="AR3701" s="3" t="s">
        <v>63</v>
      </c>
      <c r="AS3701" s="3" t="s">
        <v>63</v>
      </c>
      <c r="AT3701" s="3" t="s">
        <v>63</v>
      </c>
      <c r="AV3701" s="6" t="str">
        <f>HYPERLINK("http://mcgill.on.worldcat.org/oclc/676925540","Catalog Record")</f>
        <v>Catalog Record</v>
      </c>
      <c r="AW3701" s="6" t="str">
        <f>HYPERLINK("http://www.worldcat.org/oclc/676925540","WorldCat Record")</f>
        <v>WorldCat Record</v>
      </c>
      <c r="AX3701" s="3" t="s">
        <v>31384</v>
      </c>
      <c r="AY3701" s="3" t="s">
        <v>31385</v>
      </c>
      <c r="AZ3701" s="3" t="s">
        <v>31386</v>
      </c>
      <c r="BA3701" s="3" t="s">
        <v>31386</v>
      </c>
      <c r="BB3701" s="3" t="s">
        <v>31387</v>
      </c>
      <c r="BC3701" s="3" t="s">
        <v>82</v>
      </c>
      <c r="BD3701" s="3" t="s">
        <v>70</v>
      </c>
      <c r="BE3701" s="3" t="s">
        <v>31388</v>
      </c>
      <c r="BF3701" s="3" t="s">
        <v>31387</v>
      </c>
      <c r="BG3701" s="3" t="s">
        <v>31389</v>
      </c>
    </row>
    <row r="3702" spans="1:59" ht="60" x14ac:dyDescent="0.25">
      <c r="A3702" s="2" t="s">
        <v>59</v>
      </c>
      <c r="B3702" s="2" t="s">
        <v>60</v>
      </c>
      <c r="C3702" s="2" t="s">
        <v>31390</v>
      </c>
      <c r="D3702" s="2" t="s">
        <v>31391</v>
      </c>
      <c r="E3702" s="2" t="s">
        <v>31392</v>
      </c>
      <c r="G3702" s="3" t="s">
        <v>63</v>
      </c>
      <c r="I3702" s="3" t="s">
        <v>63</v>
      </c>
      <c r="J3702" s="3" t="s">
        <v>63</v>
      </c>
      <c r="K3702" s="3" t="s">
        <v>64</v>
      </c>
      <c r="L3702" s="2" t="s">
        <v>31365</v>
      </c>
      <c r="M3702" s="2" t="s">
        <v>28908</v>
      </c>
      <c r="N3702" s="3" t="s">
        <v>313</v>
      </c>
      <c r="P3702" s="3" t="s">
        <v>90</v>
      </c>
      <c r="Q3702" s="2" t="s">
        <v>30181</v>
      </c>
      <c r="R3702" s="3" t="s">
        <v>67</v>
      </c>
      <c r="S3702" s="4">
        <v>1</v>
      </c>
      <c r="T3702" s="4">
        <v>1</v>
      </c>
      <c r="U3702" s="5" t="s">
        <v>31051</v>
      </c>
      <c r="V3702" s="5" t="s">
        <v>31051</v>
      </c>
      <c r="W3702" s="5" t="s">
        <v>69</v>
      </c>
      <c r="X3702" s="5" t="s">
        <v>69</v>
      </c>
      <c r="Y3702" s="4">
        <v>47</v>
      </c>
      <c r="Z3702" s="4">
        <v>9</v>
      </c>
      <c r="AA3702" s="4">
        <v>10</v>
      </c>
      <c r="AB3702" s="4">
        <v>1</v>
      </c>
      <c r="AC3702" s="4">
        <v>1</v>
      </c>
      <c r="AD3702" s="4">
        <v>19</v>
      </c>
      <c r="AE3702" s="4">
        <v>26</v>
      </c>
      <c r="AF3702" s="4">
        <v>0</v>
      </c>
      <c r="AG3702" s="4">
        <v>0</v>
      </c>
      <c r="AH3702" s="4">
        <v>19</v>
      </c>
      <c r="AI3702" s="4">
        <v>26</v>
      </c>
      <c r="AJ3702" s="4">
        <v>4</v>
      </c>
      <c r="AK3702" s="4">
        <v>5</v>
      </c>
      <c r="AL3702" s="4">
        <v>12</v>
      </c>
      <c r="AM3702" s="4">
        <v>17</v>
      </c>
      <c r="AN3702" s="4">
        <v>0</v>
      </c>
      <c r="AO3702" s="4">
        <v>0</v>
      </c>
      <c r="AP3702" s="4">
        <v>4</v>
      </c>
      <c r="AQ3702" s="4">
        <v>5</v>
      </c>
      <c r="AR3702" s="3" t="s">
        <v>63</v>
      </c>
      <c r="AS3702" s="3" t="s">
        <v>63</v>
      </c>
      <c r="AT3702" s="3" t="s">
        <v>63</v>
      </c>
      <c r="AV3702" s="6" t="str">
        <f>HYPERLINK("http://mcgill.on.worldcat.org/oclc/649438207","Catalog Record")</f>
        <v>Catalog Record</v>
      </c>
      <c r="AW3702" s="6" t="str">
        <f>HYPERLINK("http://www.worldcat.org/oclc/649438207","WorldCat Record")</f>
        <v>WorldCat Record</v>
      </c>
      <c r="AX3702" s="3" t="s">
        <v>31393</v>
      </c>
      <c r="AY3702" s="3" t="s">
        <v>31394</v>
      </c>
      <c r="AZ3702" s="3" t="s">
        <v>31395</v>
      </c>
      <c r="BA3702" s="3" t="s">
        <v>31395</v>
      </c>
      <c r="BB3702" s="3" t="s">
        <v>31396</v>
      </c>
      <c r="BC3702" s="3" t="s">
        <v>82</v>
      </c>
      <c r="BD3702" s="3" t="s">
        <v>70</v>
      </c>
      <c r="BE3702" s="3" t="s">
        <v>31397</v>
      </c>
      <c r="BF3702" s="3" t="s">
        <v>31396</v>
      </c>
      <c r="BG3702" s="3" t="s">
        <v>31398</v>
      </c>
    </row>
    <row r="3703" spans="1:59" ht="60" x14ac:dyDescent="0.25">
      <c r="A3703" s="2" t="s">
        <v>59</v>
      </c>
      <c r="B3703" s="2" t="s">
        <v>60</v>
      </c>
      <c r="C3703" s="2" t="s">
        <v>31399</v>
      </c>
      <c r="D3703" s="2" t="s">
        <v>31400</v>
      </c>
      <c r="E3703" s="2" t="s">
        <v>31401</v>
      </c>
      <c r="G3703" s="3" t="s">
        <v>63</v>
      </c>
      <c r="I3703" s="3" t="s">
        <v>63</v>
      </c>
      <c r="J3703" s="3" t="s">
        <v>63</v>
      </c>
      <c r="K3703" s="3" t="s">
        <v>64</v>
      </c>
      <c r="L3703" s="2" t="s">
        <v>31402</v>
      </c>
      <c r="M3703" s="2" t="s">
        <v>4501</v>
      </c>
      <c r="N3703" s="3" t="s">
        <v>76</v>
      </c>
      <c r="P3703" s="3" t="s">
        <v>90</v>
      </c>
      <c r="R3703" s="3" t="s">
        <v>67</v>
      </c>
      <c r="S3703" s="4">
        <v>2</v>
      </c>
      <c r="T3703" s="4">
        <v>2</v>
      </c>
      <c r="U3703" s="5" t="s">
        <v>31403</v>
      </c>
      <c r="V3703" s="5" t="s">
        <v>31403</v>
      </c>
      <c r="W3703" s="5" t="s">
        <v>69</v>
      </c>
      <c r="X3703" s="5" t="s">
        <v>69</v>
      </c>
      <c r="Y3703" s="4">
        <v>34</v>
      </c>
      <c r="Z3703" s="4">
        <v>5</v>
      </c>
      <c r="AA3703" s="4">
        <v>5</v>
      </c>
      <c r="AB3703" s="4">
        <v>1</v>
      </c>
      <c r="AC3703" s="4">
        <v>1</v>
      </c>
      <c r="AD3703" s="4">
        <v>26</v>
      </c>
      <c r="AE3703" s="4">
        <v>28</v>
      </c>
      <c r="AF3703" s="4">
        <v>0</v>
      </c>
      <c r="AG3703" s="4">
        <v>0</v>
      </c>
      <c r="AH3703" s="4">
        <v>25</v>
      </c>
      <c r="AI3703" s="4">
        <v>27</v>
      </c>
      <c r="AJ3703" s="4">
        <v>2</v>
      </c>
      <c r="AK3703" s="4">
        <v>2</v>
      </c>
      <c r="AL3703" s="4">
        <v>20</v>
      </c>
      <c r="AM3703" s="4">
        <v>22</v>
      </c>
      <c r="AN3703" s="4">
        <v>0</v>
      </c>
      <c r="AO3703" s="4">
        <v>0</v>
      </c>
      <c r="AP3703" s="4">
        <v>2</v>
      </c>
      <c r="AQ3703" s="4">
        <v>2</v>
      </c>
      <c r="AR3703" s="3" t="s">
        <v>63</v>
      </c>
      <c r="AS3703" s="3" t="s">
        <v>63</v>
      </c>
      <c r="AT3703" s="3" t="s">
        <v>63</v>
      </c>
      <c r="AV3703" s="6" t="str">
        <f>HYPERLINK("http://mcgill.on.worldcat.org/oclc/791648407","Catalog Record")</f>
        <v>Catalog Record</v>
      </c>
      <c r="AW3703" s="6" t="str">
        <f>HYPERLINK("http://www.worldcat.org/oclc/791648407","WorldCat Record")</f>
        <v>WorldCat Record</v>
      </c>
      <c r="AX3703" s="3" t="s">
        <v>31404</v>
      </c>
      <c r="AY3703" s="3" t="s">
        <v>31405</v>
      </c>
      <c r="AZ3703" s="3" t="s">
        <v>31406</v>
      </c>
      <c r="BA3703" s="3" t="s">
        <v>31406</v>
      </c>
      <c r="BB3703" s="3" t="s">
        <v>31407</v>
      </c>
      <c r="BC3703" s="3" t="s">
        <v>82</v>
      </c>
      <c r="BD3703" s="3" t="s">
        <v>70</v>
      </c>
      <c r="BE3703" s="3" t="s">
        <v>31408</v>
      </c>
      <c r="BF3703" s="3" t="s">
        <v>31407</v>
      </c>
      <c r="BG3703" s="3" t="s">
        <v>31409</v>
      </c>
    </row>
    <row r="3704" spans="1:59" ht="75" x14ac:dyDescent="0.25">
      <c r="A3704" s="2" t="s">
        <v>59</v>
      </c>
      <c r="B3704" s="2" t="s">
        <v>60</v>
      </c>
      <c r="C3704" s="2" t="s">
        <v>31410</v>
      </c>
      <c r="D3704" s="2" t="s">
        <v>31411</v>
      </c>
      <c r="E3704" s="2" t="s">
        <v>31412</v>
      </c>
      <c r="G3704" s="3" t="s">
        <v>63</v>
      </c>
      <c r="H3704" s="3" t="s">
        <v>215</v>
      </c>
      <c r="I3704" s="3" t="s">
        <v>63</v>
      </c>
      <c r="J3704" s="3" t="s">
        <v>63</v>
      </c>
      <c r="K3704" s="3" t="s">
        <v>64</v>
      </c>
      <c r="L3704" s="2" t="s">
        <v>31413</v>
      </c>
      <c r="M3704" s="2" t="s">
        <v>31414</v>
      </c>
      <c r="N3704" s="3" t="s">
        <v>1752</v>
      </c>
      <c r="P3704" s="3" t="s">
        <v>90</v>
      </c>
      <c r="R3704" s="3" t="s">
        <v>67</v>
      </c>
      <c r="S3704" s="4">
        <v>0</v>
      </c>
      <c r="T3704" s="4">
        <v>0</v>
      </c>
      <c r="W3704" s="5" t="s">
        <v>14022</v>
      </c>
      <c r="X3704" s="5" t="s">
        <v>14022</v>
      </c>
      <c r="Y3704" s="4">
        <v>2</v>
      </c>
      <c r="Z3704" s="4">
        <v>1</v>
      </c>
      <c r="AA3704" s="4">
        <v>1</v>
      </c>
      <c r="AB3704" s="4">
        <v>1</v>
      </c>
      <c r="AC3704" s="4">
        <v>1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3" t="s">
        <v>63</v>
      </c>
      <c r="AS3704" s="3" t="s">
        <v>63</v>
      </c>
      <c r="AT3704" s="3" t="s">
        <v>63</v>
      </c>
      <c r="AV3704" s="6" t="str">
        <f>HYPERLINK("http://mcgill.on.worldcat.org/oclc/1114541748","Catalog Record")</f>
        <v>Catalog Record</v>
      </c>
      <c r="AW3704" s="6" t="str">
        <f>HYPERLINK("http://www.worldcat.org/oclc/1114541748","WorldCat Record")</f>
        <v>WorldCat Record</v>
      </c>
      <c r="AX3704" s="3" t="s">
        <v>31415</v>
      </c>
      <c r="AY3704" s="3" t="s">
        <v>31416</v>
      </c>
      <c r="AZ3704" s="3" t="s">
        <v>31417</v>
      </c>
      <c r="BA3704" s="3" t="s">
        <v>31417</v>
      </c>
      <c r="BB3704" s="3" t="s">
        <v>31418</v>
      </c>
      <c r="BC3704" s="3" t="s">
        <v>82</v>
      </c>
      <c r="BD3704" s="3" t="s">
        <v>70</v>
      </c>
      <c r="BE3704" s="3" t="s">
        <v>31419</v>
      </c>
      <c r="BF3704" s="3" t="s">
        <v>31418</v>
      </c>
      <c r="BG3704" s="3" t="s">
        <v>31420</v>
      </c>
    </row>
    <row r="3705" spans="1:59" ht="60" x14ac:dyDescent="0.25">
      <c r="A3705" s="2" t="s">
        <v>59</v>
      </c>
      <c r="B3705" s="2" t="s">
        <v>60</v>
      </c>
      <c r="C3705" s="2" t="s">
        <v>31421</v>
      </c>
      <c r="D3705" s="2" t="s">
        <v>31422</v>
      </c>
      <c r="E3705" s="2" t="s">
        <v>31423</v>
      </c>
      <c r="F3705" s="3" t="s">
        <v>13795</v>
      </c>
      <c r="G3705" s="3" t="s">
        <v>62</v>
      </c>
      <c r="I3705" s="3" t="s">
        <v>63</v>
      </c>
      <c r="J3705" s="3" t="s">
        <v>63</v>
      </c>
      <c r="K3705" s="3" t="s">
        <v>64</v>
      </c>
      <c r="L3705" s="2" t="s">
        <v>31424</v>
      </c>
      <c r="M3705" s="2" t="s">
        <v>31425</v>
      </c>
      <c r="N3705" s="3" t="s">
        <v>2535</v>
      </c>
      <c r="P3705" s="3" t="s">
        <v>90</v>
      </c>
      <c r="R3705" s="3" t="s">
        <v>67</v>
      </c>
      <c r="S3705" s="4">
        <v>2</v>
      </c>
      <c r="T3705" s="4">
        <v>14</v>
      </c>
      <c r="U3705" s="5" t="s">
        <v>31426</v>
      </c>
      <c r="V3705" s="5" t="s">
        <v>2795</v>
      </c>
      <c r="W3705" s="5" t="s">
        <v>69</v>
      </c>
      <c r="X3705" s="5" t="s">
        <v>69</v>
      </c>
      <c r="Y3705" s="4">
        <v>104</v>
      </c>
      <c r="Z3705" s="4">
        <v>6</v>
      </c>
      <c r="AA3705" s="4">
        <v>14</v>
      </c>
      <c r="AB3705" s="4">
        <v>1</v>
      </c>
      <c r="AC3705" s="4">
        <v>1</v>
      </c>
      <c r="AD3705" s="4">
        <v>54</v>
      </c>
      <c r="AE3705" s="4">
        <v>69</v>
      </c>
      <c r="AF3705" s="4">
        <v>0</v>
      </c>
      <c r="AG3705" s="4">
        <v>0</v>
      </c>
      <c r="AH3705" s="4">
        <v>49</v>
      </c>
      <c r="AI3705" s="4">
        <v>62</v>
      </c>
      <c r="AJ3705" s="4">
        <v>5</v>
      </c>
      <c r="AK3705" s="4">
        <v>12</v>
      </c>
      <c r="AL3705" s="4">
        <v>33</v>
      </c>
      <c r="AM3705" s="4">
        <v>40</v>
      </c>
      <c r="AN3705" s="4">
        <v>0</v>
      </c>
      <c r="AO3705" s="4">
        <v>0</v>
      </c>
      <c r="AP3705" s="4">
        <v>5</v>
      </c>
      <c r="AQ3705" s="4">
        <v>12</v>
      </c>
      <c r="AR3705" s="3" t="s">
        <v>63</v>
      </c>
      <c r="AS3705" s="3" t="s">
        <v>63</v>
      </c>
      <c r="AT3705" s="3" t="s">
        <v>62</v>
      </c>
      <c r="AU3705" s="6" t="str">
        <f>HYPERLINK("http://catalog.hathitrust.org/Record/000573695","HathiTrust Record")</f>
        <v>HathiTrust Record</v>
      </c>
      <c r="AV3705" s="6" t="str">
        <f>HYPERLINK("http://mcgill.on.worldcat.org/oclc/1850522","Catalog Record")</f>
        <v>Catalog Record</v>
      </c>
      <c r="AW3705" s="6" t="str">
        <f>HYPERLINK("http://www.worldcat.org/oclc/1850522","WorldCat Record")</f>
        <v>WorldCat Record</v>
      </c>
      <c r="AX3705" s="3" t="s">
        <v>31427</v>
      </c>
      <c r="AY3705" s="3" t="s">
        <v>31428</v>
      </c>
      <c r="AZ3705" s="3" t="s">
        <v>31429</v>
      </c>
      <c r="BA3705" s="3" t="s">
        <v>31429</v>
      </c>
      <c r="BB3705" s="3" t="s">
        <v>31430</v>
      </c>
      <c r="BC3705" s="3" t="s">
        <v>82</v>
      </c>
      <c r="BD3705" s="3" t="s">
        <v>70</v>
      </c>
      <c r="BF3705" s="3" t="s">
        <v>31430</v>
      </c>
      <c r="BG3705" s="3" t="s">
        <v>31431</v>
      </c>
    </row>
    <row r="3706" spans="1:59" ht="60" x14ac:dyDescent="0.25">
      <c r="A3706" s="2" t="s">
        <v>59</v>
      </c>
      <c r="B3706" s="2" t="s">
        <v>60</v>
      </c>
      <c r="C3706" s="2" t="s">
        <v>31421</v>
      </c>
      <c r="D3706" s="2" t="s">
        <v>31422</v>
      </c>
      <c r="E3706" s="2" t="s">
        <v>31423</v>
      </c>
      <c r="F3706" s="3" t="s">
        <v>3653</v>
      </c>
      <c r="G3706" s="3" t="s">
        <v>62</v>
      </c>
      <c r="I3706" s="3" t="s">
        <v>63</v>
      </c>
      <c r="J3706" s="3" t="s">
        <v>63</v>
      </c>
      <c r="K3706" s="3" t="s">
        <v>64</v>
      </c>
      <c r="L3706" s="2" t="s">
        <v>31424</v>
      </c>
      <c r="M3706" s="2" t="s">
        <v>31425</v>
      </c>
      <c r="N3706" s="3" t="s">
        <v>2535</v>
      </c>
      <c r="P3706" s="3" t="s">
        <v>90</v>
      </c>
      <c r="R3706" s="3" t="s">
        <v>67</v>
      </c>
      <c r="S3706" s="4">
        <v>2</v>
      </c>
      <c r="T3706" s="4">
        <v>14</v>
      </c>
      <c r="U3706" s="5" t="s">
        <v>16663</v>
      </c>
      <c r="V3706" s="5" t="s">
        <v>2795</v>
      </c>
      <c r="W3706" s="5" t="s">
        <v>69</v>
      </c>
      <c r="X3706" s="5" t="s">
        <v>69</v>
      </c>
      <c r="Y3706" s="4">
        <v>104</v>
      </c>
      <c r="Z3706" s="4">
        <v>6</v>
      </c>
      <c r="AA3706" s="4">
        <v>14</v>
      </c>
      <c r="AB3706" s="4">
        <v>1</v>
      </c>
      <c r="AC3706" s="4">
        <v>1</v>
      </c>
      <c r="AD3706" s="4">
        <v>54</v>
      </c>
      <c r="AE3706" s="4">
        <v>69</v>
      </c>
      <c r="AF3706" s="4">
        <v>0</v>
      </c>
      <c r="AG3706" s="4">
        <v>0</v>
      </c>
      <c r="AH3706" s="4">
        <v>49</v>
      </c>
      <c r="AI3706" s="4">
        <v>62</v>
      </c>
      <c r="AJ3706" s="4">
        <v>5</v>
      </c>
      <c r="AK3706" s="4">
        <v>12</v>
      </c>
      <c r="AL3706" s="4">
        <v>33</v>
      </c>
      <c r="AM3706" s="4">
        <v>40</v>
      </c>
      <c r="AN3706" s="4">
        <v>0</v>
      </c>
      <c r="AO3706" s="4">
        <v>0</v>
      </c>
      <c r="AP3706" s="4">
        <v>5</v>
      </c>
      <c r="AQ3706" s="4">
        <v>12</v>
      </c>
      <c r="AR3706" s="3" t="s">
        <v>63</v>
      </c>
      <c r="AS3706" s="3" t="s">
        <v>63</v>
      </c>
      <c r="AT3706" s="3" t="s">
        <v>62</v>
      </c>
      <c r="AU3706" s="6" t="str">
        <f>HYPERLINK("http://catalog.hathitrust.org/Record/000573695","HathiTrust Record")</f>
        <v>HathiTrust Record</v>
      </c>
      <c r="AV3706" s="6" t="str">
        <f>HYPERLINK("http://mcgill.on.worldcat.org/oclc/1850522","Catalog Record")</f>
        <v>Catalog Record</v>
      </c>
      <c r="AW3706" s="6" t="str">
        <f>HYPERLINK("http://www.worldcat.org/oclc/1850522","WorldCat Record")</f>
        <v>WorldCat Record</v>
      </c>
      <c r="AX3706" s="3" t="s">
        <v>31427</v>
      </c>
      <c r="AY3706" s="3" t="s">
        <v>31428</v>
      </c>
      <c r="AZ3706" s="3" t="s">
        <v>31429</v>
      </c>
      <c r="BA3706" s="3" t="s">
        <v>31429</v>
      </c>
      <c r="BB3706" s="3" t="s">
        <v>31432</v>
      </c>
      <c r="BC3706" s="3" t="s">
        <v>82</v>
      </c>
      <c r="BD3706" s="3" t="s">
        <v>70</v>
      </c>
      <c r="BF3706" s="3" t="s">
        <v>31432</v>
      </c>
      <c r="BG3706" s="3" t="s">
        <v>31433</v>
      </c>
    </row>
    <row r="3707" spans="1:59" ht="60" x14ac:dyDescent="0.25">
      <c r="A3707" s="2" t="s">
        <v>59</v>
      </c>
      <c r="B3707" s="2" t="s">
        <v>60</v>
      </c>
      <c r="C3707" s="2" t="s">
        <v>31421</v>
      </c>
      <c r="D3707" s="2" t="s">
        <v>31422</v>
      </c>
      <c r="E3707" s="2" t="s">
        <v>31423</v>
      </c>
      <c r="F3707" s="3" t="s">
        <v>3638</v>
      </c>
      <c r="G3707" s="3" t="s">
        <v>62</v>
      </c>
      <c r="I3707" s="3" t="s">
        <v>63</v>
      </c>
      <c r="J3707" s="3" t="s">
        <v>63</v>
      </c>
      <c r="K3707" s="3" t="s">
        <v>64</v>
      </c>
      <c r="L3707" s="2" t="s">
        <v>31424</v>
      </c>
      <c r="M3707" s="2" t="s">
        <v>31425</v>
      </c>
      <c r="N3707" s="3" t="s">
        <v>2535</v>
      </c>
      <c r="P3707" s="3" t="s">
        <v>90</v>
      </c>
      <c r="R3707" s="3" t="s">
        <v>67</v>
      </c>
      <c r="S3707" s="4">
        <v>5</v>
      </c>
      <c r="T3707" s="4">
        <v>14</v>
      </c>
      <c r="U3707" s="5" t="s">
        <v>29697</v>
      </c>
      <c r="V3707" s="5" t="s">
        <v>2795</v>
      </c>
      <c r="W3707" s="5" t="s">
        <v>69</v>
      </c>
      <c r="X3707" s="5" t="s">
        <v>69</v>
      </c>
      <c r="Y3707" s="4">
        <v>104</v>
      </c>
      <c r="Z3707" s="4">
        <v>6</v>
      </c>
      <c r="AA3707" s="4">
        <v>14</v>
      </c>
      <c r="AB3707" s="4">
        <v>1</v>
      </c>
      <c r="AC3707" s="4">
        <v>1</v>
      </c>
      <c r="AD3707" s="4">
        <v>54</v>
      </c>
      <c r="AE3707" s="4">
        <v>69</v>
      </c>
      <c r="AF3707" s="4">
        <v>0</v>
      </c>
      <c r="AG3707" s="4">
        <v>0</v>
      </c>
      <c r="AH3707" s="4">
        <v>49</v>
      </c>
      <c r="AI3707" s="4">
        <v>62</v>
      </c>
      <c r="AJ3707" s="4">
        <v>5</v>
      </c>
      <c r="AK3707" s="4">
        <v>12</v>
      </c>
      <c r="AL3707" s="4">
        <v>33</v>
      </c>
      <c r="AM3707" s="4">
        <v>40</v>
      </c>
      <c r="AN3707" s="4">
        <v>0</v>
      </c>
      <c r="AO3707" s="4">
        <v>0</v>
      </c>
      <c r="AP3707" s="4">
        <v>5</v>
      </c>
      <c r="AQ3707" s="4">
        <v>12</v>
      </c>
      <c r="AR3707" s="3" t="s">
        <v>63</v>
      </c>
      <c r="AS3707" s="3" t="s">
        <v>63</v>
      </c>
      <c r="AT3707" s="3" t="s">
        <v>62</v>
      </c>
      <c r="AU3707" s="6" t="str">
        <f>HYPERLINK("http://catalog.hathitrust.org/Record/000573695","HathiTrust Record")</f>
        <v>HathiTrust Record</v>
      </c>
      <c r="AV3707" s="6" t="str">
        <f>HYPERLINK("http://mcgill.on.worldcat.org/oclc/1850522","Catalog Record")</f>
        <v>Catalog Record</v>
      </c>
      <c r="AW3707" s="6" t="str">
        <f>HYPERLINK("http://www.worldcat.org/oclc/1850522","WorldCat Record")</f>
        <v>WorldCat Record</v>
      </c>
      <c r="AX3707" s="3" t="s">
        <v>31427</v>
      </c>
      <c r="AY3707" s="3" t="s">
        <v>31428</v>
      </c>
      <c r="AZ3707" s="3" t="s">
        <v>31429</v>
      </c>
      <c r="BA3707" s="3" t="s">
        <v>31429</v>
      </c>
      <c r="BB3707" s="3" t="s">
        <v>31434</v>
      </c>
      <c r="BC3707" s="3" t="s">
        <v>82</v>
      </c>
      <c r="BD3707" s="3" t="s">
        <v>538</v>
      </c>
      <c r="BF3707" s="3" t="s">
        <v>31434</v>
      </c>
      <c r="BG3707" s="3" t="s">
        <v>31435</v>
      </c>
    </row>
    <row r="3708" spans="1:59" ht="60" x14ac:dyDescent="0.25">
      <c r="A3708" s="2" t="s">
        <v>59</v>
      </c>
      <c r="B3708" s="2" t="s">
        <v>60</v>
      </c>
      <c r="C3708" s="2" t="s">
        <v>31421</v>
      </c>
      <c r="D3708" s="2" t="s">
        <v>31422</v>
      </c>
      <c r="E3708" s="2" t="s">
        <v>31423</v>
      </c>
      <c r="F3708" s="3" t="s">
        <v>3650</v>
      </c>
      <c r="G3708" s="3" t="s">
        <v>62</v>
      </c>
      <c r="I3708" s="3" t="s">
        <v>63</v>
      </c>
      <c r="J3708" s="3" t="s">
        <v>63</v>
      </c>
      <c r="K3708" s="3" t="s">
        <v>64</v>
      </c>
      <c r="L3708" s="2" t="s">
        <v>31424</v>
      </c>
      <c r="M3708" s="2" t="s">
        <v>31425</v>
      </c>
      <c r="N3708" s="3" t="s">
        <v>2535</v>
      </c>
      <c r="P3708" s="3" t="s">
        <v>90</v>
      </c>
      <c r="R3708" s="3" t="s">
        <v>67</v>
      </c>
      <c r="S3708" s="4">
        <v>4</v>
      </c>
      <c r="T3708" s="4">
        <v>14</v>
      </c>
      <c r="U3708" s="5" t="s">
        <v>2795</v>
      </c>
      <c r="V3708" s="5" t="s">
        <v>2795</v>
      </c>
      <c r="W3708" s="5" t="s">
        <v>69</v>
      </c>
      <c r="X3708" s="5" t="s">
        <v>69</v>
      </c>
      <c r="Y3708" s="4">
        <v>104</v>
      </c>
      <c r="Z3708" s="4">
        <v>6</v>
      </c>
      <c r="AA3708" s="4">
        <v>14</v>
      </c>
      <c r="AB3708" s="4">
        <v>1</v>
      </c>
      <c r="AC3708" s="4">
        <v>1</v>
      </c>
      <c r="AD3708" s="4">
        <v>54</v>
      </c>
      <c r="AE3708" s="4">
        <v>69</v>
      </c>
      <c r="AF3708" s="4">
        <v>0</v>
      </c>
      <c r="AG3708" s="4">
        <v>0</v>
      </c>
      <c r="AH3708" s="4">
        <v>49</v>
      </c>
      <c r="AI3708" s="4">
        <v>62</v>
      </c>
      <c r="AJ3708" s="4">
        <v>5</v>
      </c>
      <c r="AK3708" s="4">
        <v>12</v>
      </c>
      <c r="AL3708" s="4">
        <v>33</v>
      </c>
      <c r="AM3708" s="4">
        <v>40</v>
      </c>
      <c r="AN3708" s="4">
        <v>0</v>
      </c>
      <c r="AO3708" s="4">
        <v>0</v>
      </c>
      <c r="AP3708" s="4">
        <v>5</v>
      </c>
      <c r="AQ3708" s="4">
        <v>12</v>
      </c>
      <c r="AR3708" s="3" t="s">
        <v>63</v>
      </c>
      <c r="AS3708" s="3" t="s">
        <v>63</v>
      </c>
      <c r="AT3708" s="3" t="s">
        <v>62</v>
      </c>
      <c r="AU3708" s="6" t="str">
        <f>HYPERLINK("http://catalog.hathitrust.org/Record/000573695","HathiTrust Record")</f>
        <v>HathiTrust Record</v>
      </c>
      <c r="AV3708" s="6" t="str">
        <f>HYPERLINK("http://mcgill.on.worldcat.org/oclc/1850522","Catalog Record")</f>
        <v>Catalog Record</v>
      </c>
      <c r="AW3708" s="6" t="str">
        <f>HYPERLINK("http://www.worldcat.org/oclc/1850522","WorldCat Record")</f>
        <v>WorldCat Record</v>
      </c>
      <c r="AX3708" s="3" t="s">
        <v>31427</v>
      </c>
      <c r="AY3708" s="3" t="s">
        <v>31428</v>
      </c>
      <c r="AZ3708" s="3" t="s">
        <v>31429</v>
      </c>
      <c r="BA3708" s="3" t="s">
        <v>31429</v>
      </c>
      <c r="BB3708" s="3" t="s">
        <v>31436</v>
      </c>
      <c r="BC3708" s="3" t="s">
        <v>82</v>
      </c>
      <c r="BD3708" s="3" t="s">
        <v>70</v>
      </c>
      <c r="BF3708" s="3" t="s">
        <v>31436</v>
      </c>
      <c r="BG3708" s="3" t="s">
        <v>31437</v>
      </c>
    </row>
    <row r="3709" spans="1:59" ht="60" x14ac:dyDescent="0.25">
      <c r="A3709" s="2" t="s">
        <v>59</v>
      </c>
      <c r="B3709" s="2" t="s">
        <v>60</v>
      </c>
      <c r="C3709" s="2" t="s">
        <v>31421</v>
      </c>
      <c r="D3709" s="2" t="s">
        <v>31422</v>
      </c>
      <c r="E3709" s="2" t="s">
        <v>31423</v>
      </c>
      <c r="F3709" s="3" t="s">
        <v>13788</v>
      </c>
      <c r="G3709" s="3" t="s">
        <v>62</v>
      </c>
      <c r="I3709" s="3" t="s">
        <v>63</v>
      </c>
      <c r="J3709" s="3" t="s">
        <v>63</v>
      </c>
      <c r="K3709" s="3" t="s">
        <v>64</v>
      </c>
      <c r="L3709" s="2" t="s">
        <v>31424</v>
      </c>
      <c r="M3709" s="2" t="s">
        <v>31425</v>
      </c>
      <c r="N3709" s="3" t="s">
        <v>2535</v>
      </c>
      <c r="P3709" s="3" t="s">
        <v>90</v>
      </c>
      <c r="R3709" s="3" t="s">
        <v>67</v>
      </c>
      <c r="S3709" s="4">
        <v>0</v>
      </c>
      <c r="T3709" s="4">
        <v>14</v>
      </c>
      <c r="V3709" s="5" t="s">
        <v>2795</v>
      </c>
      <c r="W3709" s="5" t="s">
        <v>69</v>
      </c>
      <c r="X3709" s="5" t="s">
        <v>69</v>
      </c>
      <c r="Y3709" s="4">
        <v>104</v>
      </c>
      <c r="Z3709" s="4">
        <v>6</v>
      </c>
      <c r="AA3709" s="4">
        <v>14</v>
      </c>
      <c r="AB3709" s="4">
        <v>1</v>
      </c>
      <c r="AC3709" s="4">
        <v>1</v>
      </c>
      <c r="AD3709" s="4">
        <v>54</v>
      </c>
      <c r="AE3709" s="4">
        <v>69</v>
      </c>
      <c r="AF3709" s="4">
        <v>0</v>
      </c>
      <c r="AG3709" s="4">
        <v>0</v>
      </c>
      <c r="AH3709" s="4">
        <v>49</v>
      </c>
      <c r="AI3709" s="4">
        <v>62</v>
      </c>
      <c r="AJ3709" s="4">
        <v>5</v>
      </c>
      <c r="AK3709" s="4">
        <v>12</v>
      </c>
      <c r="AL3709" s="4">
        <v>33</v>
      </c>
      <c r="AM3709" s="4">
        <v>40</v>
      </c>
      <c r="AN3709" s="4">
        <v>0</v>
      </c>
      <c r="AO3709" s="4">
        <v>0</v>
      </c>
      <c r="AP3709" s="4">
        <v>5</v>
      </c>
      <c r="AQ3709" s="4">
        <v>12</v>
      </c>
      <c r="AR3709" s="3" t="s">
        <v>63</v>
      </c>
      <c r="AS3709" s="3" t="s">
        <v>63</v>
      </c>
      <c r="AT3709" s="3" t="s">
        <v>62</v>
      </c>
      <c r="AU3709" s="6" t="str">
        <f>HYPERLINK("http://catalog.hathitrust.org/Record/000573695","HathiTrust Record")</f>
        <v>HathiTrust Record</v>
      </c>
      <c r="AV3709" s="6" t="str">
        <f>HYPERLINK("http://mcgill.on.worldcat.org/oclc/1850522","Catalog Record")</f>
        <v>Catalog Record</v>
      </c>
      <c r="AW3709" s="6" t="str">
        <f>HYPERLINK("http://www.worldcat.org/oclc/1850522","WorldCat Record")</f>
        <v>WorldCat Record</v>
      </c>
      <c r="AX3709" s="3" t="s">
        <v>31427</v>
      </c>
      <c r="AY3709" s="3" t="s">
        <v>31428</v>
      </c>
      <c r="AZ3709" s="3" t="s">
        <v>31429</v>
      </c>
      <c r="BA3709" s="3" t="s">
        <v>31429</v>
      </c>
      <c r="BB3709" s="3" t="s">
        <v>31438</v>
      </c>
      <c r="BC3709" s="3" t="s">
        <v>82</v>
      </c>
      <c r="BD3709" s="3" t="s">
        <v>70</v>
      </c>
      <c r="BF3709" s="3" t="s">
        <v>31438</v>
      </c>
      <c r="BG3709" s="3" t="s">
        <v>31439</v>
      </c>
    </row>
    <row r="3710" spans="1:59" ht="60" x14ac:dyDescent="0.25">
      <c r="A3710" s="2" t="s">
        <v>59</v>
      </c>
      <c r="B3710" s="2" t="s">
        <v>60</v>
      </c>
      <c r="C3710" s="2" t="s">
        <v>31421</v>
      </c>
      <c r="D3710" s="2" t="s">
        <v>31422</v>
      </c>
      <c r="E3710" s="2" t="s">
        <v>31423</v>
      </c>
      <c r="F3710" s="3" t="s">
        <v>3647</v>
      </c>
      <c r="G3710" s="3" t="s">
        <v>62</v>
      </c>
      <c r="I3710" s="3" t="s">
        <v>63</v>
      </c>
      <c r="J3710" s="3" t="s">
        <v>63</v>
      </c>
      <c r="K3710" s="3" t="s">
        <v>64</v>
      </c>
      <c r="L3710" s="2" t="s">
        <v>31424</v>
      </c>
      <c r="M3710" s="2" t="s">
        <v>31425</v>
      </c>
      <c r="N3710" s="3" t="s">
        <v>2535</v>
      </c>
      <c r="P3710" s="3" t="s">
        <v>90</v>
      </c>
      <c r="R3710" s="3" t="s">
        <v>67</v>
      </c>
      <c r="S3710" s="4">
        <v>1</v>
      </c>
      <c r="T3710" s="4">
        <v>14</v>
      </c>
      <c r="U3710" s="5" t="s">
        <v>16663</v>
      </c>
      <c r="V3710" s="5" t="s">
        <v>2795</v>
      </c>
      <c r="W3710" s="5" t="s">
        <v>69</v>
      </c>
      <c r="X3710" s="5" t="s">
        <v>69</v>
      </c>
      <c r="Y3710" s="4">
        <v>104</v>
      </c>
      <c r="Z3710" s="4">
        <v>6</v>
      </c>
      <c r="AA3710" s="4">
        <v>14</v>
      </c>
      <c r="AB3710" s="4">
        <v>1</v>
      </c>
      <c r="AC3710" s="4">
        <v>1</v>
      </c>
      <c r="AD3710" s="4">
        <v>54</v>
      </c>
      <c r="AE3710" s="4">
        <v>69</v>
      </c>
      <c r="AF3710" s="4">
        <v>0</v>
      </c>
      <c r="AG3710" s="4">
        <v>0</v>
      </c>
      <c r="AH3710" s="4">
        <v>49</v>
      </c>
      <c r="AI3710" s="4">
        <v>62</v>
      </c>
      <c r="AJ3710" s="4">
        <v>5</v>
      </c>
      <c r="AK3710" s="4">
        <v>12</v>
      </c>
      <c r="AL3710" s="4">
        <v>33</v>
      </c>
      <c r="AM3710" s="4">
        <v>40</v>
      </c>
      <c r="AN3710" s="4">
        <v>0</v>
      </c>
      <c r="AO3710" s="4">
        <v>0</v>
      </c>
      <c r="AP3710" s="4">
        <v>5</v>
      </c>
      <c r="AQ3710" s="4">
        <v>12</v>
      </c>
      <c r="AR3710" s="3" t="s">
        <v>63</v>
      </c>
      <c r="AS3710" s="3" t="s">
        <v>63</v>
      </c>
      <c r="AT3710" s="3" t="s">
        <v>62</v>
      </c>
      <c r="AU3710" s="6" t="str">
        <f>HYPERLINK("http://catalog.hathitrust.org/Record/000573695","HathiTrust Record")</f>
        <v>HathiTrust Record</v>
      </c>
      <c r="AV3710" s="6" t="str">
        <f>HYPERLINK("http://mcgill.on.worldcat.org/oclc/1850522","Catalog Record")</f>
        <v>Catalog Record</v>
      </c>
      <c r="AW3710" s="6" t="str">
        <f>HYPERLINK("http://www.worldcat.org/oclc/1850522","WorldCat Record")</f>
        <v>WorldCat Record</v>
      </c>
      <c r="AX3710" s="3" t="s">
        <v>31427</v>
      </c>
      <c r="AY3710" s="3" t="s">
        <v>31428</v>
      </c>
      <c r="AZ3710" s="3" t="s">
        <v>31429</v>
      </c>
      <c r="BA3710" s="3" t="s">
        <v>31429</v>
      </c>
      <c r="BB3710" s="3" t="s">
        <v>31440</v>
      </c>
      <c r="BC3710" s="3" t="s">
        <v>82</v>
      </c>
      <c r="BD3710" s="3" t="s">
        <v>70</v>
      </c>
      <c r="BF3710" s="3" t="s">
        <v>31440</v>
      </c>
      <c r="BG3710" s="3" t="s">
        <v>31441</v>
      </c>
    </row>
    <row r="3711" spans="1:59" ht="60" x14ac:dyDescent="0.25">
      <c r="A3711" s="2" t="s">
        <v>59</v>
      </c>
      <c r="B3711" s="2" t="s">
        <v>60</v>
      </c>
      <c r="C3711" s="2" t="s">
        <v>31442</v>
      </c>
      <c r="D3711" s="2" t="s">
        <v>31443</v>
      </c>
      <c r="E3711" s="2" t="s">
        <v>31444</v>
      </c>
      <c r="G3711" s="3" t="s">
        <v>63</v>
      </c>
      <c r="I3711" s="3" t="s">
        <v>63</v>
      </c>
      <c r="J3711" s="3" t="s">
        <v>63</v>
      </c>
      <c r="K3711" s="3" t="s">
        <v>64</v>
      </c>
      <c r="L3711" s="2" t="s">
        <v>31445</v>
      </c>
      <c r="M3711" s="2" t="s">
        <v>31446</v>
      </c>
      <c r="N3711" s="3" t="s">
        <v>287</v>
      </c>
      <c r="P3711" s="3" t="s">
        <v>90</v>
      </c>
      <c r="Q3711" s="2" t="s">
        <v>30031</v>
      </c>
      <c r="R3711" s="3" t="s">
        <v>67</v>
      </c>
      <c r="S3711" s="4">
        <v>1</v>
      </c>
      <c r="T3711" s="4">
        <v>1</v>
      </c>
      <c r="U3711" s="5" t="s">
        <v>13807</v>
      </c>
      <c r="V3711" s="5" t="s">
        <v>13807</v>
      </c>
      <c r="W3711" s="5" t="s">
        <v>9728</v>
      </c>
      <c r="X3711" s="5" t="s">
        <v>9728</v>
      </c>
      <c r="Y3711" s="4">
        <v>41</v>
      </c>
      <c r="Z3711" s="4">
        <v>2</v>
      </c>
      <c r="AA3711" s="4">
        <v>2</v>
      </c>
      <c r="AB3711" s="4">
        <v>1</v>
      </c>
      <c r="AC3711" s="4">
        <v>1</v>
      </c>
      <c r="AD3711" s="4">
        <v>18</v>
      </c>
      <c r="AE3711" s="4">
        <v>18</v>
      </c>
      <c r="AF3711" s="4">
        <v>0</v>
      </c>
      <c r="AG3711" s="4">
        <v>0</v>
      </c>
      <c r="AH3711" s="4">
        <v>18</v>
      </c>
      <c r="AI3711" s="4">
        <v>18</v>
      </c>
      <c r="AJ3711" s="4">
        <v>0</v>
      </c>
      <c r="AK3711" s="4">
        <v>0</v>
      </c>
      <c r="AL3711" s="4">
        <v>14</v>
      </c>
      <c r="AM3711" s="4">
        <v>14</v>
      </c>
      <c r="AN3711" s="4">
        <v>0</v>
      </c>
      <c r="AO3711" s="4">
        <v>0</v>
      </c>
      <c r="AP3711" s="4">
        <v>0</v>
      </c>
      <c r="AQ3711" s="4">
        <v>0</v>
      </c>
      <c r="AR3711" s="3" t="s">
        <v>63</v>
      </c>
      <c r="AS3711" s="3" t="s">
        <v>63</v>
      </c>
      <c r="AT3711" s="3" t="s">
        <v>63</v>
      </c>
      <c r="AV3711" s="6" t="str">
        <f>HYPERLINK("http://mcgill.on.worldcat.org/oclc/1039599765","Catalog Record")</f>
        <v>Catalog Record</v>
      </c>
      <c r="AW3711" s="6" t="str">
        <f>HYPERLINK("http://www.worldcat.org/oclc/1039599765","WorldCat Record")</f>
        <v>WorldCat Record</v>
      </c>
      <c r="AX3711" s="3" t="s">
        <v>31447</v>
      </c>
      <c r="AY3711" s="3" t="s">
        <v>31448</v>
      </c>
      <c r="AZ3711" s="3" t="s">
        <v>31449</v>
      </c>
      <c r="BA3711" s="3" t="s">
        <v>31449</v>
      </c>
      <c r="BB3711" s="3" t="s">
        <v>31450</v>
      </c>
      <c r="BC3711" s="3" t="s">
        <v>82</v>
      </c>
      <c r="BD3711" s="3" t="s">
        <v>70</v>
      </c>
      <c r="BE3711" s="3" t="s">
        <v>31451</v>
      </c>
      <c r="BF3711" s="3" t="s">
        <v>31450</v>
      </c>
      <c r="BG3711" s="3" t="s">
        <v>31452</v>
      </c>
    </row>
    <row r="3712" spans="1:59" ht="75" x14ac:dyDescent="0.25">
      <c r="A3712" s="2" t="s">
        <v>59</v>
      </c>
      <c r="B3712" s="2" t="s">
        <v>60</v>
      </c>
      <c r="C3712" s="2" t="s">
        <v>31453</v>
      </c>
      <c r="D3712" s="2" t="s">
        <v>31454</v>
      </c>
      <c r="E3712" s="2" t="s">
        <v>31455</v>
      </c>
      <c r="G3712" s="3" t="s">
        <v>63</v>
      </c>
      <c r="I3712" s="3" t="s">
        <v>63</v>
      </c>
      <c r="J3712" s="3" t="s">
        <v>63</v>
      </c>
      <c r="K3712" s="3" t="s">
        <v>64</v>
      </c>
      <c r="L3712" s="2" t="s">
        <v>31456</v>
      </c>
      <c r="M3712" s="2" t="s">
        <v>10743</v>
      </c>
      <c r="N3712" s="3" t="s">
        <v>629</v>
      </c>
      <c r="P3712" s="3" t="s">
        <v>90</v>
      </c>
      <c r="R3712" s="3" t="s">
        <v>67</v>
      </c>
      <c r="S3712" s="4">
        <v>1</v>
      </c>
      <c r="T3712" s="4">
        <v>1</v>
      </c>
      <c r="U3712" s="5" t="s">
        <v>15042</v>
      </c>
      <c r="V3712" s="5" t="s">
        <v>15042</v>
      </c>
      <c r="W3712" s="5" t="s">
        <v>69</v>
      </c>
      <c r="X3712" s="5" t="s">
        <v>69</v>
      </c>
      <c r="Y3712" s="4">
        <v>55</v>
      </c>
      <c r="Z3712" s="4">
        <v>6</v>
      </c>
      <c r="AA3712" s="4">
        <v>7</v>
      </c>
      <c r="AB3712" s="4">
        <v>1</v>
      </c>
      <c r="AC3712" s="4">
        <v>2</v>
      </c>
      <c r="AD3712" s="4">
        <v>34</v>
      </c>
      <c r="AE3712" s="4">
        <v>34</v>
      </c>
      <c r="AF3712" s="4">
        <v>0</v>
      </c>
      <c r="AG3712" s="4">
        <v>0</v>
      </c>
      <c r="AH3712" s="4">
        <v>33</v>
      </c>
      <c r="AI3712" s="4">
        <v>33</v>
      </c>
      <c r="AJ3712" s="4">
        <v>3</v>
      </c>
      <c r="AK3712" s="4">
        <v>3</v>
      </c>
      <c r="AL3712" s="4">
        <v>25</v>
      </c>
      <c r="AM3712" s="4">
        <v>25</v>
      </c>
      <c r="AN3712" s="4">
        <v>0</v>
      </c>
      <c r="AO3712" s="4">
        <v>0</v>
      </c>
      <c r="AP3712" s="4">
        <v>3</v>
      </c>
      <c r="AQ3712" s="4">
        <v>3</v>
      </c>
      <c r="AR3712" s="3" t="s">
        <v>63</v>
      </c>
      <c r="AS3712" s="3" t="s">
        <v>63</v>
      </c>
      <c r="AT3712" s="3" t="s">
        <v>63</v>
      </c>
      <c r="AV3712" s="6" t="str">
        <f>HYPERLINK("http://mcgill.on.worldcat.org/oclc/759475819","Catalog Record")</f>
        <v>Catalog Record</v>
      </c>
      <c r="AW3712" s="6" t="str">
        <f>HYPERLINK("http://www.worldcat.org/oclc/759475819","WorldCat Record")</f>
        <v>WorldCat Record</v>
      </c>
      <c r="AX3712" s="3" t="s">
        <v>31457</v>
      </c>
      <c r="AY3712" s="3" t="s">
        <v>31458</v>
      </c>
      <c r="AZ3712" s="3" t="s">
        <v>31459</v>
      </c>
      <c r="BA3712" s="3" t="s">
        <v>31459</v>
      </c>
      <c r="BB3712" s="3" t="s">
        <v>31460</v>
      </c>
      <c r="BC3712" s="3" t="s">
        <v>82</v>
      </c>
      <c r="BD3712" s="3" t="s">
        <v>70</v>
      </c>
      <c r="BE3712" s="3" t="s">
        <v>31461</v>
      </c>
      <c r="BF3712" s="3" t="s">
        <v>31460</v>
      </c>
      <c r="BG3712" s="3" t="s">
        <v>31462</v>
      </c>
    </row>
    <row r="3713" spans="1:59" ht="60" x14ac:dyDescent="0.25">
      <c r="A3713" s="2" t="s">
        <v>59</v>
      </c>
      <c r="B3713" s="2" t="s">
        <v>60</v>
      </c>
      <c r="C3713" s="2" t="s">
        <v>31463</v>
      </c>
      <c r="D3713" s="2" t="s">
        <v>31464</v>
      </c>
      <c r="E3713" s="2" t="s">
        <v>31465</v>
      </c>
      <c r="G3713" s="3" t="s">
        <v>63</v>
      </c>
      <c r="I3713" s="3" t="s">
        <v>63</v>
      </c>
      <c r="J3713" s="3" t="s">
        <v>63</v>
      </c>
      <c r="K3713" s="3" t="s">
        <v>64</v>
      </c>
      <c r="L3713" s="2" t="s">
        <v>31466</v>
      </c>
      <c r="M3713" s="2" t="s">
        <v>31467</v>
      </c>
      <c r="N3713" s="3" t="s">
        <v>176</v>
      </c>
      <c r="P3713" s="3" t="s">
        <v>90</v>
      </c>
      <c r="Q3713" s="2" t="s">
        <v>31468</v>
      </c>
      <c r="R3713" s="3" t="s">
        <v>67</v>
      </c>
      <c r="S3713" s="4">
        <v>34</v>
      </c>
      <c r="T3713" s="4">
        <v>34</v>
      </c>
      <c r="U3713" s="5" t="s">
        <v>29487</v>
      </c>
      <c r="V3713" s="5" t="s">
        <v>29487</v>
      </c>
      <c r="W3713" s="5" t="s">
        <v>69</v>
      </c>
      <c r="X3713" s="5" t="s">
        <v>69</v>
      </c>
      <c r="Y3713" s="4">
        <v>14</v>
      </c>
      <c r="Z3713" s="4">
        <v>3</v>
      </c>
      <c r="AA3713" s="4">
        <v>8</v>
      </c>
      <c r="AB3713" s="4">
        <v>1</v>
      </c>
      <c r="AC3713" s="4">
        <v>1</v>
      </c>
      <c r="AD3713" s="4">
        <v>9</v>
      </c>
      <c r="AE3713" s="4">
        <v>23</v>
      </c>
      <c r="AF3713" s="4">
        <v>0</v>
      </c>
      <c r="AG3713" s="4">
        <v>0</v>
      </c>
      <c r="AH3713" s="4">
        <v>9</v>
      </c>
      <c r="AI3713" s="4">
        <v>22</v>
      </c>
      <c r="AJ3713" s="4">
        <v>1</v>
      </c>
      <c r="AK3713" s="4">
        <v>3</v>
      </c>
      <c r="AL3713" s="4">
        <v>6</v>
      </c>
      <c r="AM3713" s="4">
        <v>14</v>
      </c>
      <c r="AN3713" s="4">
        <v>0</v>
      </c>
      <c r="AO3713" s="4">
        <v>0</v>
      </c>
      <c r="AP3713" s="4">
        <v>1</v>
      </c>
      <c r="AQ3713" s="4">
        <v>3</v>
      </c>
      <c r="AR3713" s="3" t="s">
        <v>63</v>
      </c>
      <c r="AS3713" s="3" t="s">
        <v>63</v>
      </c>
      <c r="AT3713" s="3" t="s">
        <v>62</v>
      </c>
      <c r="AU3713" s="6" t="str">
        <f>HYPERLINK("http://catalog.hathitrust.org/Record/004037405","HathiTrust Record")</f>
        <v>HathiTrust Record</v>
      </c>
      <c r="AV3713" s="6" t="str">
        <f>HYPERLINK("http://mcgill.on.worldcat.org/oclc/41079918","Catalog Record")</f>
        <v>Catalog Record</v>
      </c>
      <c r="AW3713" s="6" t="str">
        <f>HYPERLINK("http://www.worldcat.org/oclc/41079918","WorldCat Record")</f>
        <v>WorldCat Record</v>
      </c>
      <c r="AX3713" s="3" t="s">
        <v>31469</v>
      </c>
      <c r="AY3713" s="3" t="s">
        <v>31470</v>
      </c>
      <c r="AZ3713" s="3" t="s">
        <v>31471</v>
      </c>
      <c r="BA3713" s="3" t="s">
        <v>31471</v>
      </c>
      <c r="BB3713" s="3" t="s">
        <v>31472</v>
      </c>
      <c r="BC3713" s="3" t="s">
        <v>82</v>
      </c>
      <c r="BD3713" s="3" t="s">
        <v>70</v>
      </c>
      <c r="BE3713" s="3" t="s">
        <v>31473</v>
      </c>
      <c r="BF3713" s="3" t="s">
        <v>31472</v>
      </c>
      <c r="BG3713" s="3" t="s">
        <v>31474</v>
      </c>
    </row>
    <row r="3714" spans="1:59" ht="60" x14ac:dyDescent="0.25">
      <c r="A3714" s="2" t="s">
        <v>59</v>
      </c>
      <c r="B3714" s="2" t="s">
        <v>60</v>
      </c>
      <c r="C3714" s="2" t="s">
        <v>31475</v>
      </c>
      <c r="D3714" s="2" t="s">
        <v>31476</v>
      </c>
      <c r="E3714" s="2" t="s">
        <v>31477</v>
      </c>
      <c r="G3714" s="3" t="s">
        <v>63</v>
      </c>
      <c r="I3714" s="3" t="s">
        <v>63</v>
      </c>
      <c r="J3714" s="3" t="s">
        <v>63</v>
      </c>
      <c r="K3714" s="3" t="s">
        <v>64</v>
      </c>
      <c r="L3714" s="2" t="s">
        <v>31478</v>
      </c>
      <c r="M3714" s="2" t="s">
        <v>31479</v>
      </c>
      <c r="N3714" s="3" t="s">
        <v>693</v>
      </c>
      <c r="P3714" s="3" t="s">
        <v>90</v>
      </c>
      <c r="R3714" s="3" t="s">
        <v>67</v>
      </c>
      <c r="S3714" s="4">
        <v>1</v>
      </c>
      <c r="T3714" s="4">
        <v>1</v>
      </c>
      <c r="U3714" s="5" t="s">
        <v>2795</v>
      </c>
      <c r="V3714" s="5" t="s">
        <v>2795</v>
      </c>
      <c r="W3714" s="5" t="s">
        <v>69</v>
      </c>
      <c r="X3714" s="5" t="s">
        <v>69</v>
      </c>
      <c r="Y3714" s="4">
        <v>47</v>
      </c>
      <c r="Z3714" s="4">
        <v>4</v>
      </c>
      <c r="AA3714" s="4">
        <v>4</v>
      </c>
      <c r="AB3714" s="4">
        <v>1</v>
      </c>
      <c r="AC3714" s="4">
        <v>1</v>
      </c>
      <c r="AD3714" s="4">
        <v>21</v>
      </c>
      <c r="AE3714" s="4">
        <v>22</v>
      </c>
      <c r="AF3714" s="4">
        <v>0</v>
      </c>
      <c r="AG3714" s="4">
        <v>0</v>
      </c>
      <c r="AH3714" s="4">
        <v>19</v>
      </c>
      <c r="AI3714" s="4">
        <v>20</v>
      </c>
      <c r="AJ3714" s="4">
        <v>2</v>
      </c>
      <c r="AK3714" s="4">
        <v>2</v>
      </c>
      <c r="AL3714" s="4">
        <v>17</v>
      </c>
      <c r="AM3714" s="4">
        <v>18</v>
      </c>
      <c r="AN3714" s="4">
        <v>0</v>
      </c>
      <c r="AO3714" s="4">
        <v>0</v>
      </c>
      <c r="AP3714" s="4">
        <v>2</v>
      </c>
      <c r="AQ3714" s="4">
        <v>2</v>
      </c>
      <c r="AR3714" s="3" t="s">
        <v>63</v>
      </c>
      <c r="AS3714" s="3" t="s">
        <v>63</v>
      </c>
      <c r="AT3714" s="3" t="s">
        <v>63</v>
      </c>
      <c r="AV3714" s="6" t="str">
        <f>HYPERLINK("http://mcgill.on.worldcat.org/oclc/57285413","Catalog Record")</f>
        <v>Catalog Record</v>
      </c>
      <c r="AW3714" s="6" t="str">
        <f>HYPERLINK("http://www.worldcat.org/oclc/57285413","WorldCat Record")</f>
        <v>WorldCat Record</v>
      </c>
      <c r="AX3714" s="3" t="s">
        <v>31480</v>
      </c>
      <c r="AY3714" s="3" t="s">
        <v>31481</v>
      </c>
      <c r="AZ3714" s="3" t="s">
        <v>31482</v>
      </c>
      <c r="BA3714" s="3" t="s">
        <v>31482</v>
      </c>
      <c r="BB3714" s="3" t="s">
        <v>31483</v>
      </c>
      <c r="BC3714" s="3" t="s">
        <v>82</v>
      </c>
      <c r="BD3714" s="3" t="s">
        <v>70</v>
      </c>
      <c r="BE3714" s="3" t="s">
        <v>31484</v>
      </c>
      <c r="BF3714" s="3" t="s">
        <v>31483</v>
      </c>
      <c r="BG3714" s="3" t="s">
        <v>31485</v>
      </c>
    </row>
    <row r="3715" spans="1:59" ht="60" x14ac:dyDescent="0.25">
      <c r="A3715" s="2" t="s">
        <v>59</v>
      </c>
      <c r="B3715" s="2" t="s">
        <v>60</v>
      </c>
      <c r="C3715" s="2" t="s">
        <v>31486</v>
      </c>
      <c r="D3715" s="2" t="s">
        <v>31487</v>
      </c>
      <c r="E3715" s="2" t="s">
        <v>31488</v>
      </c>
      <c r="G3715" s="3" t="s">
        <v>63</v>
      </c>
      <c r="I3715" s="3" t="s">
        <v>63</v>
      </c>
      <c r="J3715" s="3" t="s">
        <v>63</v>
      </c>
      <c r="K3715" s="3" t="s">
        <v>64</v>
      </c>
      <c r="L3715" s="2" t="s">
        <v>31489</v>
      </c>
      <c r="M3715" s="2" t="s">
        <v>9557</v>
      </c>
      <c r="N3715" s="3" t="s">
        <v>1557</v>
      </c>
      <c r="P3715" s="3" t="s">
        <v>90</v>
      </c>
      <c r="R3715" s="3" t="s">
        <v>67</v>
      </c>
      <c r="S3715" s="4">
        <v>1</v>
      </c>
      <c r="T3715" s="4">
        <v>1</v>
      </c>
      <c r="U3715" s="5" t="s">
        <v>13807</v>
      </c>
      <c r="V3715" s="5" t="s">
        <v>13807</v>
      </c>
      <c r="W3715" s="5" t="s">
        <v>69</v>
      </c>
      <c r="X3715" s="5" t="s">
        <v>69</v>
      </c>
      <c r="Y3715" s="4">
        <v>26</v>
      </c>
      <c r="Z3715" s="4">
        <v>2</v>
      </c>
      <c r="AA3715" s="4">
        <v>2</v>
      </c>
      <c r="AB3715" s="4">
        <v>1</v>
      </c>
      <c r="AC3715" s="4">
        <v>1</v>
      </c>
      <c r="AD3715" s="4">
        <v>6</v>
      </c>
      <c r="AE3715" s="4">
        <v>6</v>
      </c>
      <c r="AF3715" s="4">
        <v>0</v>
      </c>
      <c r="AG3715" s="4">
        <v>0</v>
      </c>
      <c r="AH3715" s="4">
        <v>5</v>
      </c>
      <c r="AI3715" s="4">
        <v>5</v>
      </c>
      <c r="AJ3715" s="4">
        <v>0</v>
      </c>
      <c r="AK3715" s="4">
        <v>0</v>
      </c>
      <c r="AL3715" s="4">
        <v>5</v>
      </c>
      <c r="AM3715" s="4">
        <v>5</v>
      </c>
      <c r="AN3715" s="4">
        <v>0</v>
      </c>
      <c r="AO3715" s="4">
        <v>0</v>
      </c>
      <c r="AP3715" s="4">
        <v>0</v>
      </c>
      <c r="AQ3715" s="4">
        <v>0</v>
      </c>
      <c r="AR3715" s="3" t="s">
        <v>63</v>
      </c>
      <c r="AS3715" s="3" t="s">
        <v>63</v>
      </c>
      <c r="AT3715" s="3" t="s">
        <v>63</v>
      </c>
      <c r="AV3715" s="6" t="str">
        <f>HYPERLINK("http://mcgill.on.worldcat.org/oclc/986524193","Catalog Record")</f>
        <v>Catalog Record</v>
      </c>
      <c r="AW3715" s="6" t="str">
        <f>HYPERLINK("http://www.worldcat.org/oclc/986524193","WorldCat Record")</f>
        <v>WorldCat Record</v>
      </c>
      <c r="AX3715" s="3" t="s">
        <v>31490</v>
      </c>
      <c r="AY3715" s="3" t="s">
        <v>31491</v>
      </c>
      <c r="AZ3715" s="3" t="s">
        <v>31492</v>
      </c>
      <c r="BA3715" s="3" t="s">
        <v>31492</v>
      </c>
      <c r="BB3715" s="3" t="s">
        <v>31493</v>
      </c>
      <c r="BC3715" s="3" t="s">
        <v>82</v>
      </c>
      <c r="BD3715" s="3" t="s">
        <v>70</v>
      </c>
      <c r="BE3715" s="3" t="s">
        <v>31494</v>
      </c>
      <c r="BF3715" s="3" t="s">
        <v>31493</v>
      </c>
      <c r="BG3715" s="3" t="s">
        <v>31495</v>
      </c>
    </row>
    <row r="3716" spans="1:59" ht="60" x14ac:dyDescent="0.25">
      <c r="A3716" s="2" t="s">
        <v>59</v>
      </c>
      <c r="B3716" s="2" t="s">
        <v>60</v>
      </c>
      <c r="C3716" s="2" t="s">
        <v>31496</v>
      </c>
      <c r="D3716" s="2" t="s">
        <v>31497</v>
      </c>
      <c r="E3716" s="2" t="s">
        <v>31498</v>
      </c>
      <c r="G3716" s="3" t="s">
        <v>63</v>
      </c>
      <c r="I3716" s="3" t="s">
        <v>63</v>
      </c>
      <c r="J3716" s="3" t="s">
        <v>63</v>
      </c>
      <c r="K3716" s="3" t="s">
        <v>64</v>
      </c>
      <c r="L3716" s="2" t="s">
        <v>31499</v>
      </c>
      <c r="M3716" s="2" t="s">
        <v>31500</v>
      </c>
      <c r="N3716" s="3" t="s">
        <v>143</v>
      </c>
      <c r="P3716" s="3" t="s">
        <v>90</v>
      </c>
      <c r="Q3716" s="2" t="s">
        <v>31501</v>
      </c>
      <c r="R3716" s="3" t="s">
        <v>67</v>
      </c>
      <c r="S3716" s="4">
        <v>1</v>
      </c>
      <c r="T3716" s="4">
        <v>1</v>
      </c>
      <c r="U3716" s="5" t="s">
        <v>31403</v>
      </c>
      <c r="V3716" s="5" t="s">
        <v>31403</v>
      </c>
      <c r="W3716" s="5" t="s">
        <v>69</v>
      </c>
      <c r="X3716" s="5" t="s">
        <v>69</v>
      </c>
      <c r="Y3716" s="4">
        <v>35</v>
      </c>
      <c r="Z3716" s="4">
        <v>2</v>
      </c>
      <c r="AA3716" s="4">
        <v>3</v>
      </c>
      <c r="AB3716" s="4">
        <v>1</v>
      </c>
      <c r="AC3716" s="4">
        <v>1</v>
      </c>
      <c r="AD3716" s="4">
        <v>25</v>
      </c>
      <c r="AE3716" s="4">
        <v>26</v>
      </c>
      <c r="AF3716" s="4">
        <v>0</v>
      </c>
      <c r="AG3716" s="4">
        <v>0</v>
      </c>
      <c r="AH3716" s="4">
        <v>24</v>
      </c>
      <c r="AI3716" s="4">
        <v>25</v>
      </c>
      <c r="AJ3716" s="4">
        <v>1</v>
      </c>
      <c r="AK3716" s="4">
        <v>1</v>
      </c>
      <c r="AL3716" s="4">
        <v>21</v>
      </c>
      <c r="AM3716" s="4">
        <v>21</v>
      </c>
      <c r="AN3716" s="4">
        <v>0</v>
      </c>
      <c r="AO3716" s="4">
        <v>0</v>
      </c>
      <c r="AP3716" s="4">
        <v>1</v>
      </c>
      <c r="AQ3716" s="4">
        <v>1</v>
      </c>
      <c r="AR3716" s="3" t="s">
        <v>63</v>
      </c>
      <c r="AS3716" s="3" t="s">
        <v>63</v>
      </c>
      <c r="AT3716" s="3" t="s">
        <v>63</v>
      </c>
      <c r="AV3716" s="6" t="str">
        <f>HYPERLINK("http://mcgill.on.worldcat.org/oclc/889406178","Catalog Record")</f>
        <v>Catalog Record</v>
      </c>
      <c r="AW3716" s="6" t="str">
        <f>HYPERLINK("http://www.worldcat.org/oclc/889406178","WorldCat Record")</f>
        <v>WorldCat Record</v>
      </c>
      <c r="AX3716" s="3" t="s">
        <v>31502</v>
      </c>
      <c r="AY3716" s="3" t="s">
        <v>31503</v>
      </c>
      <c r="AZ3716" s="3" t="s">
        <v>31504</v>
      </c>
      <c r="BA3716" s="3" t="s">
        <v>31504</v>
      </c>
      <c r="BB3716" s="3" t="s">
        <v>31505</v>
      </c>
      <c r="BC3716" s="3" t="s">
        <v>82</v>
      </c>
      <c r="BD3716" s="3" t="s">
        <v>70</v>
      </c>
      <c r="BE3716" s="3" t="s">
        <v>31506</v>
      </c>
      <c r="BF3716" s="3" t="s">
        <v>31505</v>
      </c>
      <c r="BG3716" s="3" t="s">
        <v>31507</v>
      </c>
    </row>
    <row r="3717" spans="1:59" ht="60" x14ac:dyDescent="0.25">
      <c r="A3717" s="2" t="s">
        <v>59</v>
      </c>
      <c r="B3717" s="2" t="s">
        <v>60</v>
      </c>
      <c r="C3717" s="2" t="s">
        <v>31508</v>
      </c>
      <c r="D3717" s="2" t="s">
        <v>31509</v>
      </c>
      <c r="E3717" s="2" t="s">
        <v>31510</v>
      </c>
      <c r="G3717" s="3" t="s">
        <v>63</v>
      </c>
      <c r="I3717" s="3" t="s">
        <v>63</v>
      </c>
      <c r="J3717" s="3" t="s">
        <v>63</v>
      </c>
      <c r="K3717" s="3" t="s">
        <v>64</v>
      </c>
      <c r="L3717" s="2" t="s">
        <v>31511</v>
      </c>
      <c r="M3717" s="2" t="s">
        <v>27123</v>
      </c>
      <c r="N3717" s="3" t="s">
        <v>313</v>
      </c>
      <c r="P3717" s="3" t="s">
        <v>90</v>
      </c>
      <c r="R3717" s="3" t="s">
        <v>67</v>
      </c>
      <c r="S3717" s="4">
        <v>3</v>
      </c>
      <c r="T3717" s="4">
        <v>3</v>
      </c>
      <c r="U3717" s="5" t="s">
        <v>31111</v>
      </c>
      <c r="V3717" s="5" t="s">
        <v>31111</v>
      </c>
      <c r="W3717" s="5" t="s">
        <v>69</v>
      </c>
      <c r="X3717" s="5" t="s">
        <v>69</v>
      </c>
      <c r="Y3717" s="4">
        <v>12</v>
      </c>
      <c r="Z3717" s="4">
        <v>2</v>
      </c>
      <c r="AA3717" s="4">
        <v>5</v>
      </c>
      <c r="AB3717" s="4">
        <v>1</v>
      </c>
      <c r="AC3717" s="4">
        <v>1</v>
      </c>
      <c r="AD3717" s="4">
        <v>8</v>
      </c>
      <c r="AE3717" s="4">
        <v>12</v>
      </c>
      <c r="AF3717" s="4">
        <v>0</v>
      </c>
      <c r="AG3717" s="4">
        <v>0</v>
      </c>
      <c r="AH3717" s="4">
        <v>8</v>
      </c>
      <c r="AI3717" s="4">
        <v>12</v>
      </c>
      <c r="AJ3717" s="4">
        <v>1</v>
      </c>
      <c r="AK3717" s="4">
        <v>1</v>
      </c>
      <c r="AL3717" s="4">
        <v>5</v>
      </c>
      <c r="AM3717" s="4">
        <v>8</v>
      </c>
      <c r="AN3717" s="4">
        <v>0</v>
      </c>
      <c r="AO3717" s="4">
        <v>0</v>
      </c>
      <c r="AP3717" s="4">
        <v>1</v>
      </c>
      <c r="AQ3717" s="4">
        <v>1</v>
      </c>
      <c r="AR3717" s="3" t="s">
        <v>63</v>
      </c>
      <c r="AS3717" s="3" t="s">
        <v>63</v>
      </c>
      <c r="AT3717" s="3" t="s">
        <v>63</v>
      </c>
      <c r="AV3717" s="6" t="str">
        <f>HYPERLINK("http://mcgill.on.worldcat.org/oclc/663108297","Catalog Record")</f>
        <v>Catalog Record</v>
      </c>
      <c r="AW3717" s="6" t="str">
        <f>HYPERLINK("http://www.worldcat.org/oclc/663108297","WorldCat Record")</f>
        <v>WorldCat Record</v>
      </c>
      <c r="AX3717" s="3" t="s">
        <v>31512</v>
      </c>
      <c r="AY3717" s="3" t="s">
        <v>31513</v>
      </c>
      <c r="AZ3717" s="3" t="s">
        <v>31514</v>
      </c>
      <c r="BA3717" s="3" t="s">
        <v>31514</v>
      </c>
      <c r="BB3717" s="3" t="s">
        <v>31515</v>
      </c>
      <c r="BC3717" s="3" t="s">
        <v>82</v>
      </c>
      <c r="BD3717" s="3" t="s">
        <v>70</v>
      </c>
      <c r="BE3717" s="3" t="s">
        <v>31516</v>
      </c>
      <c r="BF3717" s="3" t="s">
        <v>31515</v>
      </c>
      <c r="BG3717" s="3" t="s">
        <v>31517</v>
      </c>
    </row>
    <row r="3718" spans="1:59" ht="60" x14ac:dyDescent="0.25">
      <c r="A3718" s="2" t="s">
        <v>59</v>
      </c>
      <c r="B3718" s="2" t="s">
        <v>60</v>
      </c>
      <c r="C3718" s="2" t="s">
        <v>31518</v>
      </c>
      <c r="D3718" s="2" t="s">
        <v>31519</v>
      </c>
      <c r="E3718" s="2" t="s">
        <v>31520</v>
      </c>
      <c r="G3718" s="3" t="s">
        <v>63</v>
      </c>
      <c r="I3718" s="3" t="s">
        <v>63</v>
      </c>
      <c r="J3718" s="3" t="s">
        <v>63</v>
      </c>
      <c r="K3718" s="3" t="s">
        <v>64</v>
      </c>
      <c r="L3718" s="2" t="s">
        <v>31499</v>
      </c>
      <c r="M3718" s="2" t="s">
        <v>29520</v>
      </c>
      <c r="N3718" s="3" t="s">
        <v>1557</v>
      </c>
      <c r="P3718" s="3" t="s">
        <v>90</v>
      </c>
      <c r="R3718" s="3" t="s">
        <v>67</v>
      </c>
      <c r="S3718" s="4">
        <v>2</v>
      </c>
      <c r="T3718" s="4">
        <v>2</v>
      </c>
      <c r="U3718" s="5" t="s">
        <v>31521</v>
      </c>
      <c r="V3718" s="5" t="s">
        <v>31521</v>
      </c>
      <c r="W3718" s="5" t="s">
        <v>69</v>
      </c>
      <c r="X3718" s="5" t="s">
        <v>69</v>
      </c>
      <c r="Y3718" s="4">
        <v>47</v>
      </c>
      <c r="Z3718" s="4">
        <v>3</v>
      </c>
      <c r="AA3718" s="4">
        <v>3</v>
      </c>
      <c r="AB3718" s="4">
        <v>1</v>
      </c>
      <c r="AC3718" s="4">
        <v>1</v>
      </c>
      <c r="AD3718" s="4">
        <v>34</v>
      </c>
      <c r="AE3718" s="4">
        <v>34</v>
      </c>
      <c r="AF3718" s="4">
        <v>0</v>
      </c>
      <c r="AG3718" s="4">
        <v>0</v>
      </c>
      <c r="AH3718" s="4">
        <v>33</v>
      </c>
      <c r="AI3718" s="4">
        <v>33</v>
      </c>
      <c r="AJ3718" s="4">
        <v>1</v>
      </c>
      <c r="AK3718" s="4">
        <v>1</v>
      </c>
      <c r="AL3718" s="4">
        <v>28</v>
      </c>
      <c r="AM3718" s="4">
        <v>28</v>
      </c>
      <c r="AN3718" s="4">
        <v>0</v>
      </c>
      <c r="AO3718" s="4">
        <v>0</v>
      </c>
      <c r="AP3718" s="4">
        <v>1</v>
      </c>
      <c r="AQ3718" s="4">
        <v>1</v>
      </c>
      <c r="AR3718" s="3" t="s">
        <v>63</v>
      </c>
      <c r="AS3718" s="3" t="s">
        <v>63</v>
      </c>
      <c r="AT3718" s="3" t="s">
        <v>63</v>
      </c>
      <c r="AV3718" s="6" t="str">
        <f>HYPERLINK("http://mcgill.on.worldcat.org/oclc/972644263","Catalog Record")</f>
        <v>Catalog Record</v>
      </c>
      <c r="AW3718" s="6" t="str">
        <f>HYPERLINK("http://www.worldcat.org/oclc/972644263","WorldCat Record")</f>
        <v>WorldCat Record</v>
      </c>
      <c r="AX3718" s="3" t="s">
        <v>31522</v>
      </c>
      <c r="AY3718" s="3" t="s">
        <v>31523</v>
      </c>
      <c r="AZ3718" s="3" t="s">
        <v>31524</v>
      </c>
      <c r="BA3718" s="3" t="s">
        <v>31524</v>
      </c>
      <c r="BB3718" s="3" t="s">
        <v>31525</v>
      </c>
      <c r="BC3718" s="3" t="s">
        <v>82</v>
      </c>
      <c r="BD3718" s="3" t="s">
        <v>70</v>
      </c>
      <c r="BE3718" s="3" t="s">
        <v>31526</v>
      </c>
      <c r="BF3718" s="3" t="s">
        <v>31525</v>
      </c>
      <c r="BG3718" s="3" t="s">
        <v>31527</v>
      </c>
    </row>
    <row r="3719" spans="1:59" ht="60" x14ac:dyDescent="0.25">
      <c r="A3719" s="2" t="s">
        <v>59</v>
      </c>
      <c r="B3719" s="2" t="s">
        <v>60</v>
      </c>
      <c r="C3719" s="2" t="s">
        <v>31528</v>
      </c>
      <c r="D3719" s="2" t="s">
        <v>31529</v>
      </c>
      <c r="E3719" s="2" t="s">
        <v>31530</v>
      </c>
      <c r="G3719" s="3" t="s">
        <v>63</v>
      </c>
      <c r="I3719" s="3" t="s">
        <v>63</v>
      </c>
      <c r="J3719" s="3" t="s">
        <v>63</v>
      </c>
      <c r="K3719" s="3" t="s">
        <v>64</v>
      </c>
      <c r="L3719" s="2" t="s">
        <v>31499</v>
      </c>
      <c r="M3719" s="2" t="s">
        <v>28638</v>
      </c>
      <c r="N3719" s="3" t="s">
        <v>106</v>
      </c>
      <c r="P3719" s="3" t="s">
        <v>90</v>
      </c>
      <c r="Q3719" s="2" t="s">
        <v>30787</v>
      </c>
      <c r="R3719" s="3" t="s">
        <v>67</v>
      </c>
      <c r="S3719" s="4">
        <v>3</v>
      </c>
      <c r="T3719" s="4">
        <v>3</v>
      </c>
      <c r="U3719" s="5" t="s">
        <v>22637</v>
      </c>
      <c r="V3719" s="5" t="s">
        <v>22637</v>
      </c>
      <c r="W3719" s="5" t="s">
        <v>69</v>
      </c>
      <c r="X3719" s="5" t="s">
        <v>69</v>
      </c>
      <c r="Y3719" s="4">
        <v>44</v>
      </c>
      <c r="Z3719" s="4">
        <v>3</v>
      </c>
      <c r="AA3719" s="4">
        <v>3</v>
      </c>
      <c r="AB3719" s="4">
        <v>1</v>
      </c>
      <c r="AC3719" s="4">
        <v>1</v>
      </c>
      <c r="AD3719" s="4">
        <v>26</v>
      </c>
      <c r="AE3719" s="4">
        <v>26</v>
      </c>
      <c r="AF3719" s="4">
        <v>0</v>
      </c>
      <c r="AG3719" s="4">
        <v>0</v>
      </c>
      <c r="AH3719" s="4">
        <v>25</v>
      </c>
      <c r="AI3719" s="4">
        <v>25</v>
      </c>
      <c r="AJ3719" s="4">
        <v>0</v>
      </c>
      <c r="AK3719" s="4">
        <v>0</v>
      </c>
      <c r="AL3719" s="4">
        <v>22</v>
      </c>
      <c r="AM3719" s="4">
        <v>22</v>
      </c>
      <c r="AN3719" s="4">
        <v>0</v>
      </c>
      <c r="AO3719" s="4">
        <v>0</v>
      </c>
      <c r="AP3719" s="4">
        <v>0</v>
      </c>
      <c r="AQ3719" s="4">
        <v>0</v>
      </c>
      <c r="AR3719" s="3" t="s">
        <v>63</v>
      </c>
      <c r="AS3719" s="3" t="s">
        <v>63</v>
      </c>
      <c r="AT3719" s="3" t="s">
        <v>63</v>
      </c>
      <c r="AV3719" s="6" t="str">
        <f>HYPERLINK("http://mcgill.on.worldcat.org/oclc/958391106","Catalog Record")</f>
        <v>Catalog Record</v>
      </c>
      <c r="AW3719" s="6" t="str">
        <f>HYPERLINK("http://www.worldcat.org/oclc/958391106","WorldCat Record")</f>
        <v>WorldCat Record</v>
      </c>
      <c r="AX3719" s="3" t="s">
        <v>31531</v>
      </c>
      <c r="AY3719" s="3" t="s">
        <v>31532</v>
      </c>
      <c r="AZ3719" s="3" t="s">
        <v>31533</v>
      </c>
      <c r="BA3719" s="3" t="s">
        <v>31533</v>
      </c>
      <c r="BB3719" s="3" t="s">
        <v>31534</v>
      </c>
      <c r="BC3719" s="3" t="s">
        <v>82</v>
      </c>
      <c r="BD3719" s="3" t="s">
        <v>70</v>
      </c>
      <c r="BE3719" s="3" t="s">
        <v>31535</v>
      </c>
      <c r="BF3719" s="3" t="s">
        <v>31534</v>
      </c>
      <c r="BG3719" s="3" t="s">
        <v>31536</v>
      </c>
    </row>
    <row r="3720" spans="1:59" ht="60" x14ac:dyDescent="0.25">
      <c r="A3720" s="2" t="s">
        <v>59</v>
      </c>
      <c r="B3720" s="2" t="s">
        <v>60</v>
      </c>
      <c r="C3720" s="2" t="s">
        <v>31537</v>
      </c>
      <c r="D3720" s="2" t="s">
        <v>31538</v>
      </c>
      <c r="E3720" s="2" t="s">
        <v>31539</v>
      </c>
      <c r="G3720" s="3" t="s">
        <v>63</v>
      </c>
      <c r="I3720" s="3" t="s">
        <v>63</v>
      </c>
      <c r="J3720" s="3" t="s">
        <v>63</v>
      </c>
      <c r="K3720" s="3" t="s">
        <v>64</v>
      </c>
      <c r="L3720" s="2" t="s">
        <v>31511</v>
      </c>
      <c r="M3720" s="2" t="s">
        <v>31540</v>
      </c>
      <c r="N3720" s="3" t="s">
        <v>261</v>
      </c>
      <c r="P3720" s="3" t="s">
        <v>90</v>
      </c>
      <c r="R3720" s="3" t="s">
        <v>67</v>
      </c>
      <c r="S3720" s="4">
        <v>1</v>
      </c>
      <c r="T3720" s="4">
        <v>1</v>
      </c>
      <c r="U3720" s="5" t="s">
        <v>17074</v>
      </c>
      <c r="V3720" s="5" t="s">
        <v>17074</v>
      </c>
      <c r="W3720" s="5" t="s">
        <v>69</v>
      </c>
      <c r="X3720" s="5" t="s">
        <v>69</v>
      </c>
      <c r="Y3720" s="4">
        <v>7</v>
      </c>
      <c r="Z3720" s="4">
        <v>1</v>
      </c>
      <c r="AA3720" s="4">
        <v>1</v>
      </c>
      <c r="AB3720" s="4">
        <v>1</v>
      </c>
      <c r="AC3720" s="4">
        <v>1</v>
      </c>
      <c r="AD3720" s="4">
        <v>3</v>
      </c>
      <c r="AE3720" s="4">
        <v>3</v>
      </c>
      <c r="AF3720" s="4">
        <v>0</v>
      </c>
      <c r="AG3720" s="4">
        <v>0</v>
      </c>
      <c r="AH3720" s="4">
        <v>3</v>
      </c>
      <c r="AI3720" s="4">
        <v>3</v>
      </c>
      <c r="AJ3720" s="4">
        <v>0</v>
      </c>
      <c r="AK3720" s="4">
        <v>0</v>
      </c>
      <c r="AL3720" s="4">
        <v>3</v>
      </c>
      <c r="AM3720" s="4">
        <v>3</v>
      </c>
      <c r="AN3720" s="4">
        <v>0</v>
      </c>
      <c r="AO3720" s="4">
        <v>0</v>
      </c>
      <c r="AP3720" s="4">
        <v>0</v>
      </c>
      <c r="AQ3720" s="4">
        <v>0</v>
      </c>
      <c r="AR3720" s="3" t="s">
        <v>63</v>
      </c>
      <c r="AS3720" s="3" t="s">
        <v>63</v>
      </c>
      <c r="AT3720" s="3" t="s">
        <v>63</v>
      </c>
      <c r="AV3720" s="6" t="str">
        <f>HYPERLINK("http://mcgill.on.worldcat.org/oclc/85690039","Catalog Record")</f>
        <v>Catalog Record</v>
      </c>
      <c r="AW3720" s="6" t="str">
        <f>HYPERLINK("http://www.worldcat.org/oclc/85690039","WorldCat Record")</f>
        <v>WorldCat Record</v>
      </c>
      <c r="AX3720" s="3" t="s">
        <v>31541</v>
      </c>
      <c r="AY3720" s="3" t="s">
        <v>31542</v>
      </c>
      <c r="AZ3720" s="3" t="s">
        <v>31543</v>
      </c>
      <c r="BA3720" s="3" t="s">
        <v>31543</v>
      </c>
      <c r="BB3720" s="3" t="s">
        <v>31544</v>
      </c>
      <c r="BC3720" s="3" t="s">
        <v>82</v>
      </c>
      <c r="BD3720" s="3" t="s">
        <v>70</v>
      </c>
      <c r="BE3720" s="3" t="s">
        <v>31545</v>
      </c>
      <c r="BF3720" s="3" t="s">
        <v>31544</v>
      </c>
      <c r="BG3720" s="3" t="s">
        <v>31546</v>
      </c>
    </row>
    <row r="3721" spans="1:59" ht="60" x14ac:dyDescent="0.25">
      <c r="A3721" s="2" t="s">
        <v>59</v>
      </c>
      <c r="B3721" s="2" t="s">
        <v>60</v>
      </c>
      <c r="C3721" s="2" t="s">
        <v>31547</v>
      </c>
      <c r="D3721" s="2" t="s">
        <v>31548</v>
      </c>
      <c r="E3721" s="2" t="s">
        <v>31549</v>
      </c>
      <c r="G3721" s="3" t="s">
        <v>63</v>
      </c>
      <c r="I3721" s="3" t="s">
        <v>63</v>
      </c>
      <c r="J3721" s="3" t="s">
        <v>63</v>
      </c>
      <c r="K3721" s="3" t="s">
        <v>64</v>
      </c>
      <c r="L3721" s="2" t="s">
        <v>31511</v>
      </c>
      <c r="M3721" s="2" t="s">
        <v>31550</v>
      </c>
      <c r="N3721" s="3" t="s">
        <v>693</v>
      </c>
      <c r="P3721" s="3" t="s">
        <v>90</v>
      </c>
      <c r="Q3721" s="2" t="s">
        <v>31551</v>
      </c>
      <c r="R3721" s="3" t="s">
        <v>67</v>
      </c>
      <c r="S3721" s="4">
        <v>2</v>
      </c>
      <c r="T3721" s="4">
        <v>2</v>
      </c>
      <c r="U3721" s="5" t="s">
        <v>25441</v>
      </c>
      <c r="V3721" s="5" t="s">
        <v>25441</v>
      </c>
      <c r="W3721" s="5" t="s">
        <v>69</v>
      </c>
      <c r="X3721" s="5" t="s">
        <v>69</v>
      </c>
      <c r="Y3721" s="4">
        <v>22</v>
      </c>
      <c r="Z3721" s="4">
        <v>2</v>
      </c>
      <c r="AA3721" s="4">
        <v>2</v>
      </c>
      <c r="AB3721" s="4">
        <v>1</v>
      </c>
      <c r="AC3721" s="4">
        <v>1</v>
      </c>
      <c r="AD3721" s="4">
        <v>8</v>
      </c>
      <c r="AE3721" s="4">
        <v>8</v>
      </c>
      <c r="AF3721" s="4">
        <v>0</v>
      </c>
      <c r="AG3721" s="4">
        <v>0</v>
      </c>
      <c r="AH3721" s="4">
        <v>8</v>
      </c>
      <c r="AI3721" s="4">
        <v>8</v>
      </c>
      <c r="AJ3721" s="4">
        <v>1</v>
      </c>
      <c r="AK3721" s="4">
        <v>1</v>
      </c>
      <c r="AL3721" s="4">
        <v>5</v>
      </c>
      <c r="AM3721" s="4">
        <v>5</v>
      </c>
      <c r="AN3721" s="4">
        <v>0</v>
      </c>
      <c r="AO3721" s="4">
        <v>0</v>
      </c>
      <c r="AP3721" s="4">
        <v>1</v>
      </c>
      <c r="AQ3721" s="4">
        <v>1</v>
      </c>
      <c r="AR3721" s="3" t="s">
        <v>63</v>
      </c>
      <c r="AS3721" s="3" t="s">
        <v>63</v>
      </c>
      <c r="AT3721" s="3" t="s">
        <v>63</v>
      </c>
      <c r="AV3721" s="6" t="str">
        <f>HYPERLINK("http://mcgill.on.worldcat.org/oclc/57557097","Catalog Record")</f>
        <v>Catalog Record</v>
      </c>
      <c r="AW3721" s="6" t="str">
        <f>HYPERLINK("http://www.worldcat.org/oclc/57557097","WorldCat Record")</f>
        <v>WorldCat Record</v>
      </c>
      <c r="AX3721" s="3" t="s">
        <v>31552</v>
      </c>
      <c r="AY3721" s="3" t="s">
        <v>31553</v>
      </c>
      <c r="AZ3721" s="3" t="s">
        <v>31554</v>
      </c>
      <c r="BA3721" s="3" t="s">
        <v>31554</v>
      </c>
      <c r="BB3721" s="3" t="s">
        <v>31555</v>
      </c>
      <c r="BC3721" s="3" t="s">
        <v>82</v>
      </c>
      <c r="BD3721" s="3" t="s">
        <v>70</v>
      </c>
      <c r="BE3721" s="3" t="s">
        <v>31556</v>
      </c>
      <c r="BF3721" s="3" t="s">
        <v>31555</v>
      </c>
      <c r="BG3721" s="3" t="s">
        <v>31557</v>
      </c>
    </row>
    <row r="3722" spans="1:59" ht="60" x14ac:dyDescent="0.25">
      <c r="A3722" s="2" t="s">
        <v>59</v>
      </c>
      <c r="B3722" s="2" t="s">
        <v>60</v>
      </c>
      <c r="C3722" s="2" t="s">
        <v>31558</v>
      </c>
      <c r="D3722" s="2" t="s">
        <v>31559</v>
      </c>
      <c r="E3722" s="2" t="s">
        <v>31560</v>
      </c>
      <c r="G3722" s="3" t="s">
        <v>63</v>
      </c>
      <c r="I3722" s="3" t="s">
        <v>63</v>
      </c>
      <c r="J3722" s="3" t="s">
        <v>63</v>
      </c>
      <c r="K3722" s="3" t="s">
        <v>64</v>
      </c>
      <c r="L3722" s="2" t="s">
        <v>31511</v>
      </c>
      <c r="M3722" s="2" t="s">
        <v>31561</v>
      </c>
      <c r="N3722" s="3" t="s">
        <v>362</v>
      </c>
      <c r="P3722" s="3" t="s">
        <v>90</v>
      </c>
      <c r="R3722" s="3" t="s">
        <v>67</v>
      </c>
      <c r="S3722" s="4">
        <v>2</v>
      </c>
      <c r="T3722" s="4">
        <v>2</v>
      </c>
      <c r="U3722" s="5" t="s">
        <v>25441</v>
      </c>
      <c r="V3722" s="5" t="s">
        <v>25441</v>
      </c>
      <c r="W3722" s="5" t="s">
        <v>69</v>
      </c>
      <c r="X3722" s="5" t="s">
        <v>69</v>
      </c>
      <c r="Y3722" s="4">
        <v>44</v>
      </c>
      <c r="Z3722" s="4">
        <v>5</v>
      </c>
      <c r="AA3722" s="4">
        <v>5</v>
      </c>
      <c r="AB3722" s="4">
        <v>1</v>
      </c>
      <c r="AC3722" s="4">
        <v>1</v>
      </c>
      <c r="AD3722" s="4">
        <v>22</v>
      </c>
      <c r="AE3722" s="4">
        <v>22</v>
      </c>
      <c r="AF3722" s="4">
        <v>0</v>
      </c>
      <c r="AG3722" s="4">
        <v>0</v>
      </c>
      <c r="AH3722" s="4">
        <v>21</v>
      </c>
      <c r="AI3722" s="4">
        <v>21</v>
      </c>
      <c r="AJ3722" s="4">
        <v>2</v>
      </c>
      <c r="AK3722" s="4">
        <v>2</v>
      </c>
      <c r="AL3722" s="4">
        <v>18</v>
      </c>
      <c r="AM3722" s="4">
        <v>18</v>
      </c>
      <c r="AN3722" s="4">
        <v>0</v>
      </c>
      <c r="AO3722" s="4">
        <v>0</v>
      </c>
      <c r="AP3722" s="4">
        <v>2</v>
      </c>
      <c r="AQ3722" s="4">
        <v>2</v>
      </c>
      <c r="AR3722" s="3" t="s">
        <v>63</v>
      </c>
      <c r="AS3722" s="3" t="s">
        <v>63</v>
      </c>
      <c r="AT3722" s="3" t="s">
        <v>63</v>
      </c>
      <c r="AV3722" s="6" t="str">
        <f>HYPERLINK("http://mcgill.on.worldcat.org/oclc/49976993","Catalog Record")</f>
        <v>Catalog Record</v>
      </c>
      <c r="AW3722" s="6" t="str">
        <f>HYPERLINK("http://www.worldcat.org/oclc/49976993","WorldCat Record")</f>
        <v>WorldCat Record</v>
      </c>
      <c r="AX3722" s="3" t="s">
        <v>31562</v>
      </c>
      <c r="AY3722" s="3" t="s">
        <v>31563</v>
      </c>
      <c r="AZ3722" s="3" t="s">
        <v>31564</v>
      </c>
      <c r="BA3722" s="3" t="s">
        <v>31564</v>
      </c>
      <c r="BB3722" s="3" t="s">
        <v>31565</v>
      </c>
      <c r="BC3722" s="3" t="s">
        <v>82</v>
      </c>
      <c r="BD3722" s="3" t="s">
        <v>70</v>
      </c>
      <c r="BE3722" s="3" t="s">
        <v>31566</v>
      </c>
      <c r="BF3722" s="3" t="s">
        <v>31565</v>
      </c>
      <c r="BG3722" s="3" t="s">
        <v>31567</v>
      </c>
    </row>
    <row r="3723" spans="1:59" ht="60" x14ac:dyDescent="0.25">
      <c r="A3723" s="2" t="s">
        <v>59</v>
      </c>
      <c r="B3723" s="2" t="s">
        <v>60</v>
      </c>
      <c r="C3723" s="2" t="s">
        <v>31568</v>
      </c>
      <c r="D3723" s="2" t="s">
        <v>31569</v>
      </c>
      <c r="E3723" s="2" t="s">
        <v>31570</v>
      </c>
      <c r="G3723" s="3" t="s">
        <v>63</v>
      </c>
      <c r="I3723" s="3" t="s">
        <v>63</v>
      </c>
      <c r="J3723" s="3" t="s">
        <v>63</v>
      </c>
      <c r="K3723" s="3" t="s">
        <v>64</v>
      </c>
      <c r="L3723" s="2" t="s">
        <v>31511</v>
      </c>
      <c r="M3723" s="2" t="s">
        <v>31571</v>
      </c>
      <c r="N3723" s="3" t="s">
        <v>130</v>
      </c>
      <c r="P3723" s="3" t="s">
        <v>90</v>
      </c>
      <c r="R3723" s="3" t="s">
        <v>67</v>
      </c>
      <c r="S3723" s="4">
        <v>0</v>
      </c>
      <c r="T3723" s="4">
        <v>0</v>
      </c>
      <c r="W3723" s="5" t="s">
        <v>69</v>
      </c>
      <c r="X3723" s="5" t="s">
        <v>69</v>
      </c>
      <c r="Y3723" s="4">
        <v>11</v>
      </c>
      <c r="Z3723" s="4">
        <v>3</v>
      </c>
      <c r="AA3723" s="4">
        <v>3</v>
      </c>
      <c r="AB3723" s="4">
        <v>1</v>
      </c>
      <c r="AC3723" s="4">
        <v>1</v>
      </c>
      <c r="AD3723" s="4">
        <v>5</v>
      </c>
      <c r="AE3723" s="4">
        <v>8</v>
      </c>
      <c r="AF3723" s="4">
        <v>0</v>
      </c>
      <c r="AG3723" s="4">
        <v>0</v>
      </c>
      <c r="AH3723" s="4">
        <v>5</v>
      </c>
      <c r="AI3723" s="4">
        <v>8</v>
      </c>
      <c r="AJ3723" s="4">
        <v>0</v>
      </c>
      <c r="AK3723" s="4">
        <v>0</v>
      </c>
      <c r="AL3723" s="4">
        <v>4</v>
      </c>
      <c r="AM3723" s="4">
        <v>6</v>
      </c>
      <c r="AN3723" s="4">
        <v>0</v>
      </c>
      <c r="AO3723" s="4">
        <v>0</v>
      </c>
      <c r="AP3723" s="4">
        <v>0</v>
      </c>
      <c r="AQ3723" s="4">
        <v>0</v>
      </c>
      <c r="AR3723" s="3" t="s">
        <v>63</v>
      </c>
      <c r="AS3723" s="3" t="s">
        <v>63</v>
      </c>
      <c r="AT3723" s="3" t="s">
        <v>63</v>
      </c>
      <c r="AV3723" s="6" t="str">
        <f>HYPERLINK("http://mcgill.on.worldcat.org/oclc/844706568","Catalog Record")</f>
        <v>Catalog Record</v>
      </c>
      <c r="AW3723" s="6" t="str">
        <f>HYPERLINK("http://www.worldcat.org/oclc/844706568","WorldCat Record")</f>
        <v>WorldCat Record</v>
      </c>
      <c r="AX3723" s="3" t="s">
        <v>31572</v>
      </c>
      <c r="AY3723" s="3" t="s">
        <v>31573</v>
      </c>
      <c r="AZ3723" s="3" t="s">
        <v>31574</v>
      </c>
      <c r="BA3723" s="3" t="s">
        <v>31574</v>
      </c>
      <c r="BB3723" s="3" t="s">
        <v>31575</v>
      </c>
      <c r="BC3723" s="3" t="s">
        <v>82</v>
      </c>
      <c r="BD3723" s="3" t="s">
        <v>70</v>
      </c>
      <c r="BE3723" s="3" t="s">
        <v>31576</v>
      </c>
      <c r="BF3723" s="3" t="s">
        <v>31575</v>
      </c>
      <c r="BG3723" s="3" t="s">
        <v>31577</v>
      </c>
    </row>
    <row r="3724" spans="1:59" ht="60" x14ac:dyDescent="0.25">
      <c r="A3724" s="2" t="s">
        <v>59</v>
      </c>
      <c r="B3724" s="2" t="s">
        <v>60</v>
      </c>
      <c r="C3724" s="2" t="s">
        <v>31578</v>
      </c>
      <c r="D3724" s="2" t="s">
        <v>31579</v>
      </c>
      <c r="E3724" s="2" t="s">
        <v>31580</v>
      </c>
      <c r="G3724" s="3" t="s">
        <v>63</v>
      </c>
      <c r="I3724" s="3" t="s">
        <v>63</v>
      </c>
      <c r="J3724" s="3" t="s">
        <v>63</v>
      </c>
      <c r="K3724" s="3" t="s">
        <v>64</v>
      </c>
      <c r="L3724" s="2" t="s">
        <v>31499</v>
      </c>
      <c r="M3724" s="2" t="s">
        <v>31581</v>
      </c>
      <c r="N3724" s="3" t="s">
        <v>130</v>
      </c>
      <c r="P3724" s="3" t="s">
        <v>90</v>
      </c>
      <c r="R3724" s="3" t="s">
        <v>67</v>
      </c>
      <c r="S3724" s="4">
        <v>2</v>
      </c>
      <c r="T3724" s="4">
        <v>2</v>
      </c>
      <c r="U3724" s="5" t="s">
        <v>25441</v>
      </c>
      <c r="V3724" s="5" t="s">
        <v>25441</v>
      </c>
      <c r="W3724" s="5" t="s">
        <v>69</v>
      </c>
      <c r="X3724" s="5" t="s">
        <v>69</v>
      </c>
      <c r="Y3724" s="4">
        <v>33</v>
      </c>
      <c r="Z3724" s="4">
        <v>3</v>
      </c>
      <c r="AA3724" s="4">
        <v>3</v>
      </c>
      <c r="AB3724" s="4">
        <v>1</v>
      </c>
      <c r="AC3724" s="4">
        <v>1</v>
      </c>
      <c r="AD3724" s="4">
        <v>24</v>
      </c>
      <c r="AE3724" s="4">
        <v>29</v>
      </c>
      <c r="AF3724" s="4">
        <v>0</v>
      </c>
      <c r="AG3724" s="4">
        <v>0</v>
      </c>
      <c r="AH3724" s="4">
        <v>24</v>
      </c>
      <c r="AI3724" s="4">
        <v>28</v>
      </c>
      <c r="AJ3724" s="4">
        <v>1</v>
      </c>
      <c r="AK3724" s="4">
        <v>1</v>
      </c>
      <c r="AL3724" s="4">
        <v>16</v>
      </c>
      <c r="AM3724" s="4">
        <v>21</v>
      </c>
      <c r="AN3724" s="4">
        <v>0</v>
      </c>
      <c r="AO3724" s="4">
        <v>0</v>
      </c>
      <c r="AP3724" s="4">
        <v>1</v>
      </c>
      <c r="AQ3724" s="4">
        <v>1</v>
      </c>
      <c r="AR3724" s="3" t="s">
        <v>63</v>
      </c>
      <c r="AS3724" s="3" t="s">
        <v>63</v>
      </c>
      <c r="AT3724" s="3" t="s">
        <v>63</v>
      </c>
      <c r="AV3724" s="6" t="str">
        <f>HYPERLINK("http://mcgill.on.worldcat.org/oclc/861229560","Catalog Record")</f>
        <v>Catalog Record</v>
      </c>
      <c r="AW3724" s="6" t="str">
        <f>HYPERLINK("http://www.worldcat.org/oclc/861229560","WorldCat Record")</f>
        <v>WorldCat Record</v>
      </c>
      <c r="AX3724" s="3" t="s">
        <v>31582</v>
      </c>
      <c r="AY3724" s="3" t="s">
        <v>31583</v>
      </c>
      <c r="AZ3724" s="3" t="s">
        <v>31584</v>
      </c>
      <c r="BA3724" s="3" t="s">
        <v>31584</v>
      </c>
      <c r="BB3724" s="3" t="s">
        <v>31585</v>
      </c>
      <c r="BC3724" s="3" t="s">
        <v>82</v>
      </c>
      <c r="BD3724" s="3" t="s">
        <v>70</v>
      </c>
      <c r="BE3724" s="3" t="s">
        <v>31586</v>
      </c>
      <c r="BF3724" s="3" t="s">
        <v>31585</v>
      </c>
      <c r="BG3724" s="3" t="s">
        <v>31587</v>
      </c>
    </row>
    <row r="3725" spans="1:59" ht="60" x14ac:dyDescent="0.25">
      <c r="A3725" s="2" t="s">
        <v>59</v>
      </c>
      <c r="B3725" s="2" t="s">
        <v>60</v>
      </c>
      <c r="C3725" s="2" t="s">
        <v>31588</v>
      </c>
      <c r="D3725" s="2" t="s">
        <v>31589</v>
      </c>
      <c r="E3725" s="2" t="s">
        <v>31590</v>
      </c>
      <c r="G3725" s="3" t="s">
        <v>63</v>
      </c>
      <c r="I3725" s="3" t="s">
        <v>63</v>
      </c>
      <c r="J3725" s="3" t="s">
        <v>63</v>
      </c>
      <c r="K3725" s="3" t="s">
        <v>64</v>
      </c>
      <c r="L3725" s="2" t="s">
        <v>31499</v>
      </c>
      <c r="M3725" s="2" t="s">
        <v>31591</v>
      </c>
      <c r="N3725" s="3" t="s">
        <v>2765</v>
      </c>
      <c r="P3725" s="3" t="s">
        <v>90</v>
      </c>
      <c r="Q3725" s="2" t="s">
        <v>31592</v>
      </c>
      <c r="R3725" s="3" t="s">
        <v>67</v>
      </c>
      <c r="S3725" s="4">
        <v>2</v>
      </c>
      <c r="T3725" s="4">
        <v>2</v>
      </c>
      <c r="U3725" s="5" t="s">
        <v>31593</v>
      </c>
      <c r="V3725" s="5" t="s">
        <v>31593</v>
      </c>
      <c r="W3725" s="5" t="s">
        <v>69</v>
      </c>
      <c r="X3725" s="5" t="s">
        <v>69</v>
      </c>
      <c r="Y3725" s="4">
        <v>69</v>
      </c>
      <c r="Z3725" s="4">
        <v>6</v>
      </c>
      <c r="AA3725" s="4">
        <v>6</v>
      </c>
      <c r="AB3725" s="4">
        <v>1</v>
      </c>
      <c r="AC3725" s="4">
        <v>1</v>
      </c>
      <c r="AD3725" s="4">
        <v>29</v>
      </c>
      <c r="AE3725" s="4">
        <v>31</v>
      </c>
      <c r="AF3725" s="4">
        <v>0</v>
      </c>
      <c r="AG3725" s="4">
        <v>0</v>
      </c>
      <c r="AH3725" s="4">
        <v>28</v>
      </c>
      <c r="AI3725" s="4">
        <v>30</v>
      </c>
      <c r="AJ3725" s="4">
        <v>2</v>
      </c>
      <c r="AK3725" s="4">
        <v>2</v>
      </c>
      <c r="AL3725" s="4">
        <v>22</v>
      </c>
      <c r="AM3725" s="4">
        <v>24</v>
      </c>
      <c r="AN3725" s="4">
        <v>0</v>
      </c>
      <c r="AO3725" s="4">
        <v>0</v>
      </c>
      <c r="AP3725" s="4">
        <v>2</v>
      </c>
      <c r="AQ3725" s="4">
        <v>2</v>
      </c>
      <c r="AR3725" s="3" t="s">
        <v>63</v>
      </c>
      <c r="AS3725" s="3" t="s">
        <v>63</v>
      </c>
      <c r="AT3725" s="3" t="s">
        <v>63</v>
      </c>
      <c r="AV3725" s="6" t="str">
        <f>HYPERLINK("http://mcgill.on.worldcat.org/oclc/912057451","Catalog Record")</f>
        <v>Catalog Record</v>
      </c>
      <c r="AW3725" s="6" t="str">
        <f>HYPERLINK("http://www.worldcat.org/oclc/912057451","WorldCat Record")</f>
        <v>WorldCat Record</v>
      </c>
      <c r="AX3725" s="3" t="s">
        <v>31594</v>
      </c>
      <c r="AY3725" s="3" t="s">
        <v>31595</v>
      </c>
      <c r="AZ3725" s="3" t="s">
        <v>31596</v>
      </c>
      <c r="BA3725" s="3" t="s">
        <v>31596</v>
      </c>
      <c r="BB3725" s="3" t="s">
        <v>31597</v>
      </c>
      <c r="BC3725" s="3" t="s">
        <v>82</v>
      </c>
      <c r="BD3725" s="3" t="s">
        <v>70</v>
      </c>
      <c r="BE3725" s="3" t="s">
        <v>31598</v>
      </c>
      <c r="BF3725" s="3" t="s">
        <v>31597</v>
      </c>
      <c r="BG3725" s="3" t="s">
        <v>31599</v>
      </c>
    </row>
    <row r="3726" spans="1:59" ht="75" x14ac:dyDescent="0.25">
      <c r="A3726" s="2" t="s">
        <v>59</v>
      </c>
      <c r="B3726" s="2" t="s">
        <v>60</v>
      </c>
      <c r="C3726" s="2" t="s">
        <v>31600</v>
      </c>
      <c r="D3726" s="2" t="s">
        <v>31601</v>
      </c>
      <c r="E3726" s="2" t="s">
        <v>31602</v>
      </c>
      <c r="G3726" s="3" t="s">
        <v>63</v>
      </c>
      <c r="I3726" s="3" t="s">
        <v>63</v>
      </c>
      <c r="J3726" s="3" t="s">
        <v>63</v>
      </c>
      <c r="K3726" s="3" t="s">
        <v>64</v>
      </c>
      <c r="L3726" s="2" t="s">
        <v>31603</v>
      </c>
      <c r="M3726" s="2" t="s">
        <v>31604</v>
      </c>
      <c r="N3726" s="3" t="s">
        <v>106</v>
      </c>
      <c r="P3726" s="3" t="s">
        <v>90</v>
      </c>
      <c r="Q3726" s="2" t="s">
        <v>31605</v>
      </c>
      <c r="R3726" s="3" t="s">
        <v>67</v>
      </c>
      <c r="S3726" s="4">
        <v>2</v>
      </c>
      <c r="T3726" s="4">
        <v>2</v>
      </c>
      <c r="U3726" s="5" t="s">
        <v>22637</v>
      </c>
      <c r="V3726" s="5" t="s">
        <v>22637</v>
      </c>
      <c r="W3726" s="5" t="s">
        <v>69</v>
      </c>
      <c r="X3726" s="5" t="s">
        <v>69</v>
      </c>
      <c r="Y3726" s="4">
        <v>38</v>
      </c>
      <c r="Z3726" s="4">
        <v>4</v>
      </c>
      <c r="AA3726" s="4">
        <v>4</v>
      </c>
      <c r="AB3726" s="4">
        <v>1</v>
      </c>
      <c r="AC3726" s="4">
        <v>1</v>
      </c>
      <c r="AD3726" s="4">
        <v>15</v>
      </c>
      <c r="AE3726" s="4">
        <v>15</v>
      </c>
      <c r="AF3726" s="4">
        <v>0</v>
      </c>
      <c r="AG3726" s="4">
        <v>0</v>
      </c>
      <c r="AH3726" s="4">
        <v>15</v>
      </c>
      <c r="AI3726" s="4">
        <v>15</v>
      </c>
      <c r="AJ3726" s="4">
        <v>0</v>
      </c>
      <c r="AK3726" s="4">
        <v>0</v>
      </c>
      <c r="AL3726" s="4">
        <v>10</v>
      </c>
      <c r="AM3726" s="4">
        <v>10</v>
      </c>
      <c r="AN3726" s="4">
        <v>0</v>
      </c>
      <c r="AO3726" s="4">
        <v>0</v>
      </c>
      <c r="AP3726" s="4">
        <v>0</v>
      </c>
      <c r="AQ3726" s="4">
        <v>0</v>
      </c>
      <c r="AR3726" s="3" t="s">
        <v>63</v>
      </c>
      <c r="AS3726" s="3" t="s">
        <v>63</v>
      </c>
      <c r="AT3726" s="3" t="s">
        <v>63</v>
      </c>
      <c r="AV3726" s="6" t="str">
        <f>HYPERLINK("http://mcgill.on.worldcat.org/oclc/949409100","Catalog Record")</f>
        <v>Catalog Record</v>
      </c>
      <c r="AW3726" s="6" t="str">
        <f>HYPERLINK("http://www.worldcat.org/oclc/949409100","WorldCat Record")</f>
        <v>WorldCat Record</v>
      </c>
      <c r="AX3726" s="3" t="s">
        <v>31606</v>
      </c>
      <c r="AY3726" s="3" t="s">
        <v>31607</v>
      </c>
      <c r="AZ3726" s="3" t="s">
        <v>31608</v>
      </c>
      <c r="BA3726" s="3" t="s">
        <v>31608</v>
      </c>
      <c r="BB3726" s="3" t="s">
        <v>31609</v>
      </c>
      <c r="BC3726" s="3" t="s">
        <v>82</v>
      </c>
      <c r="BD3726" s="3" t="s">
        <v>70</v>
      </c>
      <c r="BE3726" s="3" t="s">
        <v>31610</v>
      </c>
      <c r="BF3726" s="3" t="s">
        <v>31609</v>
      </c>
      <c r="BG3726" s="3" t="s">
        <v>31611</v>
      </c>
    </row>
    <row r="3727" spans="1:59" ht="60" x14ac:dyDescent="0.25">
      <c r="A3727" s="2" t="s">
        <v>59</v>
      </c>
      <c r="B3727" s="2" t="s">
        <v>60</v>
      </c>
      <c r="C3727" s="2" t="s">
        <v>31612</v>
      </c>
      <c r="D3727" s="2" t="s">
        <v>31613</v>
      </c>
      <c r="E3727" s="2" t="s">
        <v>31614</v>
      </c>
      <c r="G3727" s="3" t="s">
        <v>63</v>
      </c>
      <c r="I3727" s="3" t="s">
        <v>63</v>
      </c>
      <c r="J3727" s="3" t="s">
        <v>63</v>
      </c>
      <c r="K3727" s="3" t="s">
        <v>64</v>
      </c>
      <c r="L3727" s="2" t="s">
        <v>31615</v>
      </c>
      <c r="M3727" s="2" t="s">
        <v>8737</v>
      </c>
      <c r="N3727" s="3" t="s">
        <v>2765</v>
      </c>
      <c r="P3727" s="3" t="s">
        <v>90</v>
      </c>
      <c r="Q3727" s="2" t="s">
        <v>30031</v>
      </c>
      <c r="R3727" s="3" t="s">
        <v>67</v>
      </c>
      <c r="S3727" s="4">
        <v>2</v>
      </c>
      <c r="T3727" s="4">
        <v>2</v>
      </c>
      <c r="U3727" s="5" t="s">
        <v>22637</v>
      </c>
      <c r="V3727" s="5" t="s">
        <v>22637</v>
      </c>
      <c r="W3727" s="5" t="s">
        <v>69</v>
      </c>
      <c r="X3727" s="5" t="s">
        <v>69</v>
      </c>
      <c r="Y3727" s="4">
        <v>38</v>
      </c>
      <c r="Z3727" s="4">
        <v>4</v>
      </c>
      <c r="AA3727" s="4">
        <v>4</v>
      </c>
      <c r="AB3727" s="4">
        <v>1</v>
      </c>
      <c r="AC3727" s="4">
        <v>1</v>
      </c>
      <c r="AD3727" s="4">
        <v>25</v>
      </c>
      <c r="AE3727" s="4">
        <v>25</v>
      </c>
      <c r="AF3727" s="4">
        <v>0</v>
      </c>
      <c r="AG3727" s="4">
        <v>0</v>
      </c>
      <c r="AH3727" s="4">
        <v>24</v>
      </c>
      <c r="AI3727" s="4">
        <v>24</v>
      </c>
      <c r="AJ3727" s="4">
        <v>0</v>
      </c>
      <c r="AK3727" s="4">
        <v>0</v>
      </c>
      <c r="AL3727" s="4">
        <v>20</v>
      </c>
      <c r="AM3727" s="4">
        <v>20</v>
      </c>
      <c r="AN3727" s="4">
        <v>0</v>
      </c>
      <c r="AO3727" s="4">
        <v>0</v>
      </c>
      <c r="AP3727" s="4">
        <v>0</v>
      </c>
      <c r="AQ3727" s="4">
        <v>0</v>
      </c>
      <c r="AR3727" s="3" t="s">
        <v>63</v>
      </c>
      <c r="AS3727" s="3" t="s">
        <v>63</v>
      </c>
      <c r="AT3727" s="3" t="s">
        <v>63</v>
      </c>
      <c r="AV3727" s="6" t="str">
        <f>HYPERLINK("http://mcgill.on.worldcat.org/oclc/934200249","Catalog Record")</f>
        <v>Catalog Record</v>
      </c>
      <c r="AW3727" s="6" t="str">
        <f>HYPERLINK("http://www.worldcat.org/oclc/934200249","WorldCat Record")</f>
        <v>WorldCat Record</v>
      </c>
      <c r="AX3727" s="3" t="s">
        <v>31616</v>
      </c>
      <c r="AY3727" s="3" t="s">
        <v>31617</v>
      </c>
      <c r="AZ3727" s="3" t="s">
        <v>31618</v>
      </c>
      <c r="BA3727" s="3" t="s">
        <v>31618</v>
      </c>
      <c r="BB3727" s="3" t="s">
        <v>31619</v>
      </c>
      <c r="BC3727" s="3" t="s">
        <v>82</v>
      </c>
      <c r="BD3727" s="3" t="s">
        <v>70</v>
      </c>
      <c r="BE3727" s="3" t="s">
        <v>31620</v>
      </c>
      <c r="BF3727" s="3" t="s">
        <v>31619</v>
      </c>
      <c r="BG3727" s="3" t="s">
        <v>31621</v>
      </c>
    </row>
    <row r="3728" spans="1:59" ht="60" x14ac:dyDescent="0.25">
      <c r="A3728" s="2" t="s">
        <v>59</v>
      </c>
      <c r="B3728" s="2" t="s">
        <v>60</v>
      </c>
      <c r="C3728" s="2" t="s">
        <v>31622</v>
      </c>
      <c r="D3728" s="2" t="s">
        <v>31623</v>
      </c>
      <c r="E3728" s="2" t="s">
        <v>31624</v>
      </c>
      <c r="G3728" s="3" t="s">
        <v>63</v>
      </c>
      <c r="I3728" s="3" t="s">
        <v>63</v>
      </c>
      <c r="J3728" s="3" t="s">
        <v>63</v>
      </c>
      <c r="K3728" s="3" t="s">
        <v>64</v>
      </c>
      <c r="L3728" s="2" t="s">
        <v>31625</v>
      </c>
      <c r="M3728" s="2" t="s">
        <v>9557</v>
      </c>
      <c r="N3728" s="3" t="s">
        <v>1557</v>
      </c>
      <c r="P3728" s="3" t="s">
        <v>90</v>
      </c>
      <c r="Q3728" s="2" t="s">
        <v>31626</v>
      </c>
      <c r="R3728" s="3" t="s">
        <v>67</v>
      </c>
      <c r="S3728" s="4">
        <v>1</v>
      </c>
      <c r="T3728" s="4">
        <v>1</v>
      </c>
      <c r="U3728" s="5" t="s">
        <v>13807</v>
      </c>
      <c r="V3728" s="5" t="s">
        <v>13807</v>
      </c>
      <c r="W3728" s="5" t="s">
        <v>9728</v>
      </c>
      <c r="X3728" s="5" t="s">
        <v>9728</v>
      </c>
      <c r="Y3728" s="4">
        <v>36</v>
      </c>
      <c r="Z3728" s="4">
        <v>2</v>
      </c>
      <c r="AA3728" s="4">
        <v>2</v>
      </c>
      <c r="AB3728" s="4">
        <v>1</v>
      </c>
      <c r="AC3728" s="4">
        <v>1</v>
      </c>
      <c r="AD3728" s="4">
        <v>29</v>
      </c>
      <c r="AE3728" s="4">
        <v>29</v>
      </c>
      <c r="AF3728" s="4">
        <v>0</v>
      </c>
      <c r="AG3728" s="4">
        <v>0</v>
      </c>
      <c r="AH3728" s="4">
        <v>28</v>
      </c>
      <c r="AI3728" s="4">
        <v>28</v>
      </c>
      <c r="AJ3728" s="4">
        <v>1</v>
      </c>
      <c r="AK3728" s="4">
        <v>1</v>
      </c>
      <c r="AL3728" s="4">
        <v>22</v>
      </c>
      <c r="AM3728" s="4">
        <v>22</v>
      </c>
      <c r="AN3728" s="4">
        <v>0</v>
      </c>
      <c r="AO3728" s="4">
        <v>0</v>
      </c>
      <c r="AP3728" s="4">
        <v>1</v>
      </c>
      <c r="AQ3728" s="4">
        <v>1</v>
      </c>
      <c r="AR3728" s="3" t="s">
        <v>63</v>
      </c>
      <c r="AS3728" s="3" t="s">
        <v>63</v>
      </c>
      <c r="AT3728" s="3" t="s">
        <v>63</v>
      </c>
      <c r="AV3728" s="6" t="str">
        <f>HYPERLINK("http://mcgill.on.worldcat.org/oclc/987332969","Catalog Record")</f>
        <v>Catalog Record</v>
      </c>
      <c r="AW3728" s="6" t="str">
        <f>HYPERLINK("http://www.worldcat.org/oclc/987332969","WorldCat Record")</f>
        <v>WorldCat Record</v>
      </c>
      <c r="AX3728" s="3" t="s">
        <v>31627</v>
      </c>
      <c r="AY3728" s="3" t="s">
        <v>31628</v>
      </c>
      <c r="AZ3728" s="3" t="s">
        <v>31629</v>
      </c>
      <c r="BA3728" s="3" t="s">
        <v>31629</v>
      </c>
      <c r="BB3728" s="3" t="s">
        <v>31630</v>
      </c>
      <c r="BC3728" s="3" t="s">
        <v>82</v>
      </c>
      <c r="BD3728" s="3" t="s">
        <v>70</v>
      </c>
      <c r="BE3728" s="3" t="s">
        <v>31631</v>
      </c>
      <c r="BF3728" s="3" t="s">
        <v>31630</v>
      </c>
      <c r="BG3728" s="3" t="s">
        <v>31632</v>
      </c>
    </row>
    <row r="3729" spans="1:59" ht="75" x14ac:dyDescent="0.25">
      <c r="A3729" s="2" t="s">
        <v>59</v>
      </c>
      <c r="B3729" s="2" t="s">
        <v>60</v>
      </c>
      <c r="C3729" s="2" t="s">
        <v>31633</v>
      </c>
      <c r="D3729" s="2" t="s">
        <v>31634</v>
      </c>
      <c r="E3729" s="2" t="s">
        <v>31635</v>
      </c>
      <c r="G3729" s="3" t="s">
        <v>63</v>
      </c>
      <c r="I3729" s="3" t="s">
        <v>63</v>
      </c>
      <c r="J3729" s="3" t="s">
        <v>63</v>
      </c>
      <c r="K3729" s="3" t="s">
        <v>64</v>
      </c>
      <c r="L3729" s="2" t="s">
        <v>31636</v>
      </c>
      <c r="M3729" s="2" t="s">
        <v>31637</v>
      </c>
      <c r="N3729" s="3" t="s">
        <v>143</v>
      </c>
      <c r="P3729" s="3" t="s">
        <v>90</v>
      </c>
      <c r="Q3729" s="2" t="s">
        <v>29653</v>
      </c>
      <c r="R3729" s="3" t="s">
        <v>67</v>
      </c>
      <c r="S3729" s="4">
        <v>1</v>
      </c>
      <c r="T3729" s="4">
        <v>1</v>
      </c>
      <c r="U3729" s="5" t="s">
        <v>29098</v>
      </c>
      <c r="V3729" s="5" t="s">
        <v>29098</v>
      </c>
      <c r="W3729" s="5" t="s">
        <v>69</v>
      </c>
      <c r="X3729" s="5" t="s">
        <v>69</v>
      </c>
      <c r="Y3729" s="4">
        <v>26</v>
      </c>
      <c r="Z3729" s="4">
        <v>4</v>
      </c>
      <c r="AA3729" s="4">
        <v>4</v>
      </c>
      <c r="AB3729" s="4">
        <v>1</v>
      </c>
      <c r="AC3729" s="4">
        <v>1</v>
      </c>
      <c r="AD3729" s="4">
        <v>19</v>
      </c>
      <c r="AE3729" s="4">
        <v>19</v>
      </c>
      <c r="AF3729" s="4">
        <v>0</v>
      </c>
      <c r="AG3729" s="4">
        <v>0</v>
      </c>
      <c r="AH3729" s="4">
        <v>18</v>
      </c>
      <c r="AI3729" s="4">
        <v>18</v>
      </c>
      <c r="AJ3729" s="4">
        <v>2</v>
      </c>
      <c r="AK3729" s="4">
        <v>2</v>
      </c>
      <c r="AL3729" s="4">
        <v>14</v>
      </c>
      <c r="AM3729" s="4">
        <v>14</v>
      </c>
      <c r="AN3729" s="4">
        <v>0</v>
      </c>
      <c r="AO3729" s="4">
        <v>0</v>
      </c>
      <c r="AP3729" s="4">
        <v>2</v>
      </c>
      <c r="AQ3729" s="4">
        <v>2</v>
      </c>
      <c r="AR3729" s="3" t="s">
        <v>63</v>
      </c>
      <c r="AS3729" s="3" t="s">
        <v>63</v>
      </c>
      <c r="AT3729" s="3" t="s">
        <v>63</v>
      </c>
      <c r="AV3729" s="6" t="str">
        <f>HYPERLINK("http://mcgill.on.worldcat.org/oclc/889370879","Catalog Record")</f>
        <v>Catalog Record</v>
      </c>
      <c r="AW3729" s="6" t="str">
        <f>HYPERLINK("http://www.worldcat.org/oclc/889370879","WorldCat Record")</f>
        <v>WorldCat Record</v>
      </c>
      <c r="AX3729" s="3" t="s">
        <v>31638</v>
      </c>
      <c r="AY3729" s="3" t="s">
        <v>31639</v>
      </c>
      <c r="AZ3729" s="3" t="s">
        <v>31640</v>
      </c>
      <c r="BA3729" s="3" t="s">
        <v>31640</v>
      </c>
      <c r="BB3729" s="3" t="s">
        <v>31641</v>
      </c>
      <c r="BC3729" s="3" t="s">
        <v>82</v>
      </c>
      <c r="BD3729" s="3" t="s">
        <v>70</v>
      </c>
      <c r="BE3729" s="3" t="s">
        <v>31642</v>
      </c>
      <c r="BF3729" s="3" t="s">
        <v>31641</v>
      </c>
      <c r="BG3729" s="3" t="s">
        <v>31643</v>
      </c>
    </row>
    <row r="3730" spans="1:59" ht="60" x14ac:dyDescent="0.25">
      <c r="A3730" s="2" t="s">
        <v>59</v>
      </c>
      <c r="B3730" s="2" t="s">
        <v>60</v>
      </c>
      <c r="C3730" s="2" t="s">
        <v>31644</v>
      </c>
      <c r="D3730" s="2" t="s">
        <v>31645</v>
      </c>
      <c r="E3730" s="2" t="s">
        <v>31646</v>
      </c>
      <c r="G3730" s="3" t="s">
        <v>63</v>
      </c>
      <c r="I3730" s="3" t="s">
        <v>63</v>
      </c>
      <c r="J3730" s="3" t="s">
        <v>63</v>
      </c>
      <c r="K3730" s="3" t="s">
        <v>64</v>
      </c>
      <c r="L3730" s="2" t="s">
        <v>31647</v>
      </c>
      <c r="M3730" s="2" t="s">
        <v>30137</v>
      </c>
      <c r="N3730" s="3" t="s">
        <v>143</v>
      </c>
      <c r="P3730" s="3" t="s">
        <v>90</v>
      </c>
      <c r="R3730" s="3" t="s">
        <v>67</v>
      </c>
      <c r="S3730" s="4">
        <v>1</v>
      </c>
      <c r="T3730" s="4">
        <v>1</v>
      </c>
      <c r="U3730" s="5" t="s">
        <v>31267</v>
      </c>
      <c r="V3730" s="5" t="s">
        <v>31267</v>
      </c>
      <c r="W3730" s="5" t="s">
        <v>69</v>
      </c>
      <c r="X3730" s="5" t="s">
        <v>69</v>
      </c>
      <c r="Y3730" s="4">
        <v>37</v>
      </c>
      <c r="Z3730" s="4">
        <v>6</v>
      </c>
      <c r="AA3730" s="4">
        <v>6</v>
      </c>
      <c r="AB3730" s="4">
        <v>1</v>
      </c>
      <c r="AC3730" s="4">
        <v>1</v>
      </c>
      <c r="AD3730" s="4">
        <v>25</v>
      </c>
      <c r="AE3730" s="4">
        <v>25</v>
      </c>
      <c r="AF3730" s="4">
        <v>0</v>
      </c>
      <c r="AG3730" s="4">
        <v>0</v>
      </c>
      <c r="AH3730" s="4">
        <v>24</v>
      </c>
      <c r="AI3730" s="4">
        <v>24</v>
      </c>
      <c r="AJ3730" s="4">
        <v>2</v>
      </c>
      <c r="AK3730" s="4">
        <v>2</v>
      </c>
      <c r="AL3730" s="4">
        <v>20</v>
      </c>
      <c r="AM3730" s="4">
        <v>20</v>
      </c>
      <c r="AN3730" s="4">
        <v>0</v>
      </c>
      <c r="AO3730" s="4">
        <v>0</v>
      </c>
      <c r="AP3730" s="4">
        <v>2</v>
      </c>
      <c r="AQ3730" s="4">
        <v>2</v>
      </c>
      <c r="AR3730" s="3" t="s">
        <v>63</v>
      </c>
      <c r="AS3730" s="3" t="s">
        <v>63</v>
      </c>
      <c r="AT3730" s="3" t="s">
        <v>63</v>
      </c>
      <c r="AV3730" s="6" t="str">
        <f>HYPERLINK("http://mcgill.on.worldcat.org/oclc/892579713","Catalog Record")</f>
        <v>Catalog Record</v>
      </c>
      <c r="AW3730" s="6" t="str">
        <f>HYPERLINK("http://www.worldcat.org/oclc/892579713","WorldCat Record")</f>
        <v>WorldCat Record</v>
      </c>
      <c r="AX3730" s="3" t="s">
        <v>31648</v>
      </c>
      <c r="AY3730" s="3" t="s">
        <v>31649</v>
      </c>
      <c r="AZ3730" s="3" t="s">
        <v>31650</v>
      </c>
      <c r="BA3730" s="3" t="s">
        <v>31650</v>
      </c>
      <c r="BB3730" s="3" t="s">
        <v>31651</v>
      </c>
      <c r="BC3730" s="3" t="s">
        <v>82</v>
      </c>
      <c r="BD3730" s="3" t="s">
        <v>70</v>
      </c>
      <c r="BE3730" s="3" t="s">
        <v>31652</v>
      </c>
      <c r="BF3730" s="3" t="s">
        <v>31651</v>
      </c>
      <c r="BG3730" s="3" t="s">
        <v>31653</v>
      </c>
    </row>
    <row r="3731" spans="1:59" ht="75" x14ac:dyDescent="0.25">
      <c r="A3731" s="2" t="s">
        <v>59</v>
      </c>
      <c r="B3731" s="2" t="s">
        <v>60</v>
      </c>
      <c r="C3731" s="2" t="s">
        <v>31654</v>
      </c>
      <c r="D3731" s="2" t="s">
        <v>31655</v>
      </c>
      <c r="E3731" s="2" t="s">
        <v>31656</v>
      </c>
      <c r="G3731" s="3" t="s">
        <v>63</v>
      </c>
      <c r="I3731" s="3" t="s">
        <v>63</v>
      </c>
      <c r="J3731" s="3" t="s">
        <v>63</v>
      </c>
      <c r="K3731" s="3" t="s">
        <v>64</v>
      </c>
      <c r="L3731" s="2" t="s">
        <v>31657</v>
      </c>
      <c r="M3731" s="2" t="s">
        <v>31658</v>
      </c>
      <c r="N3731" s="3" t="s">
        <v>261</v>
      </c>
      <c r="P3731" s="3" t="s">
        <v>90</v>
      </c>
      <c r="Q3731" s="2" t="s">
        <v>31659</v>
      </c>
      <c r="R3731" s="3" t="s">
        <v>67</v>
      </c>
      <c r="S3731" s="4">
        <v>2</v>
      </c>
      <c r="T3731" s="4">
        <v>2</v>
      </c>
      <c r="U3731" s="5" t="s">
        <v>31267</v>
      </c>
      <c r="V3731" s="5" t="s">
        <v>31267</v>
      </c>
      <c r="W3731" s="5" t="s">
        <v>69</v>
      </c>
      <c r="X3731" s="5" t="s">
        <v>69</v>
      </c>
      <c r="Y3731" s="4">
        <v>14</v>
      </c>
      <c r="Z3731" s="4">
        <v>1</v>
      </c>
      <c r="AA3731" s="4">
        <v>4</v>
      </c>
      <c r="AB3731" s="4">
        <v>1</v>
      </c>
      <c r="AC3731" s="4">
        <v>1</v>
      </c>
      <c r="AD3731" s="4">
        <v>10</v>
      </c>
      <c r="AE3731" s="4">
        <v>30</v>
      </c>
      <c r="AF3731" s="4">
        <v>0</v>
      </c>
      <c r="AG3731" s="4">
        <v>0</v>
      </c>
      <c r="AH3731" s="4">
        <v>10</v>
      </c>
      <c r="AI3731" s="4">
        <v>29</v>
      </c>
      <c r="AJ3731" s="4">
        <v>0</v>
      </c>
      <c r="AK3731" s="4">
        <v>2</v>
      </c>
      <c r="AL3731" s="4">
        <v>8</v>
      </c>
      <c r="AM3731" s="4">
        <v>22</v>
      </c>
      <c r="AN3731" s="4">
        <v>0</v>
      </c>
      <c r="AO3731" s="4">
        <v>0</v>
      </c>
      <c r="AP3731" s="4">
        <v>0</v>
      </c>
      <c r="AQ3731" s="4">
        <v>2</v>
      </c>
      <c r="AR3731" s="3" t="s">
        <v>63</v>
      </c>
      <c r="AS3731" s="3" t="s">
        <v>63</v>
      </c>
      <c r="AT3731" s="3" t="s">
        <v>63</v>
      </c>
      <c r="AV3731" s="6" t="str">
        <f>HYPERLINK("http://mcgill.on.worldcat.org/oclc/232329107","Catalog Record")</f>
        <v>Catalog Record</v>
      </c>
      <c r="AW3731" s="6" t="str">
        <f>HYPERLINK("http://www.worldcat.org/oclc/232329107","WorldCat Record")</f>
        <v>WorldCat Record</v>
      </c>
      <c r="AX3731" s="3" t="s">
        <v>31660</v>
      </c>
      <c r="AY3731" s="3" t="s">
        <v>31661</v>
      </c>
      <c r="AZ3731" s="3" t="s">
        <v>31662</v>
      </c>
      <c r="BA3731" s="3" t="s">
        <v>31662</v>
      </c>
      <c r="BB3731" s="3" t="s">
        <v>31663</v>
      </c>
      <c r="BC3731" s="3" t="s">
        <v>82</v>
      </c>
      <c r="BD3731" s="3" t="s">
        <v>70</v>
      </c>
      <c r="BE3731" s="3" t="s">
        <v>31664</v>
      </c>
      <c r="BF3731" s="3" t="s">
        <v>31663</v>
      </c>
      <c r="BG3731" s="3" t="s">
        <v>31665</v>
      </c>
    </row>
    <row r="3732" spans="1:59" ht="75" x14ac:dyDescent="0.25">
      <c r="A3732" s="2" t="s">
        <v>59</v>
      </c>
      <c r="B3732" s="2" t="s">
        <v>60</v>
      </c>
      <c r="C3732" s="2" t="s">
        <v>31666</v>
      </c>
      <c r="D3732" s="2" t="s">
        <v>31667</v>
      </c>
      <c r="E3732" s="2" t="s">
        <v>31668</v>
      </c>
      <c r="G3732" s="3" t="s">
        <v>63</v>
      </c>
      <c r="I3732" s="3" t="s">
        <v>63</v>
      </c>
      <c r="J3732" s="3" t="s">
        <v>63</v>
      </c>
      <c r="K3732" s="3" t="s">
        <v>64</v>
      </c>
      <c r="L3732" s="2" t="s">
        <v>31669</v>
      </c>
      <c r="M3732" s="2" t="s">
        <v>18633</v>
      </c>
      <c r="N3732" s="3" t="s">
        <v>313</v>
      </c>
      <c r="P3732" s="3" t="s">
        <v>90</v>
      </c>
      <c r="R3732" s="3" t="s">
        <v>67</v>
      </c>
      <c r="S3732" s="4">
        <v>3</v>
      </c>
      <c r="T3732" s="4">
        <v>3</v>
      </c>
      <c r="U3732" s="5" t="s">
        <v>31403</v>
      </c>
      <c r="V3732" s="5" t="s">
        <v>31403</v>
      </c>
      <c r="W3732" s="5" t="s">
        <v>69</v>
      </c>
      <c r="X3732" s="5" t="s">
        <v>69</v>
      </c>
      <c r="Y3732" s="4">
        <v>55</v>
      </c>
      <c r="Z3732" s="4">
        <v>3</v>
      </c>
      <c r="AA3732" s="4">
        <v>3</v>
      </c>
      <c r="AB3732" s="4">
        <v>2</v>
      </c>
      <c r="AC3732" s="4">
        <v>2</v>
      </c>
      <c r="AD3732" s="4">
        <v>20</v>
      </c>
      <c r="AE3732" s="4">
        <v>20</v>
      </c>
      <c r="AF3732" s="4">
        <v>0</v>
      </c>
      <c r="AG3732" s="4">
        <v>0</v>
      </c>
      <c r="AH3732" s="4">
        <v>19</v>
      </c>
      <c r="AI3732" s="4">
        <v>19</v>
      </c>
      <c r="AJ3732" s="4">
        <v>0</v>
      </c>
      <c r="AK3732" s="4">
        <v>0</v>
      </c>
      <c r="AL3732" s="4">
        <v>15</v>
      </c>
      <c r="AM3732" s="4">
        <v>15</v>
      </c>
      <c r="AN3732" s="4">
        <v>0</v>
      </c>
      <c r="AO3732" s="4">
        <v>0</v>
      </c>
      <c r="AP3732" s="4">
        <v>0</v>
      </c>
      <c r="AQ3732" s="4">
        <v>0</v>
      </c>
      <c r="AR3732" s="3" t="s">
        <v>63</v>
      </c>
      <c r="AS3732" s="3" t="s">
        <v>63</v>
      </c>
      <c r="AT3732" s="3" t="s">
        <v>63</v>
      </c>
      <c r="AV3732" s="6" t="str">
        <f>HYPERLINK("http://mcgill.on.worldcat.org/oclc/501151364","Catalog Record")</f>
        <v>Catalog Record</v>
      </c>
      <c r="AW3732" s="6" t="str">
        <f>HYPERLINK("http://www.worldcat.org/oclc/501151364","WorldCat Record")</f>
        <v>WorldCat Record</v>
      </c>
      <c r="AX3732" s="3" t="s">
        <v>31670</v>
      </c>
      <c r="AY3732" s="3" t="s">
        <v>31671</v>
      </c>
      <c r="AZ3732" s="3" t="s">
        <v>31672</v>
      </c>
      <c r="BA3732" s="3" t="s">
        <v>31672</v>
      </c>
      <c r="BB3732" s="3" t="s">
        <v>31673</v>
      </c>
      <c r="BC3732" s="3" t="s">
        <v>82</v>
      </c>
      <c r="BD3732" s="3" t="s">
        <v>70</v>
      </c>
      <c r="BE3732" s="3" t="s">
        <v>31674</v>
      </c>
      <c r="BF3732" s="3" t="s">
        <v>31673</v>
      </c>
      <c r="BG3732" s="3" t="s">
        <v>31675</v>
      </c>
    </row>
    <row r="3733" spans="1:59" ht="60" x14ac:dyDescent="0.25">
      <c r="A3733" s="2" t="s">
        <v>59</v>
      </c>
      <c r="B3733" s="2" t="s">
        <v>60</v>
      </c>
      <c r="C3733" s="2" t="s">
        <v>31676</v>
      </c>
      <c r="D3733" s="2" t="s">
        <v>31677</v>
      </c>
      <c r="E3733" s="2" t="s">
        <v>31678</v>
      </c>
      <c r="G3733" s="3" t="s">
        <v>63</v>
      </c>
      <c r="I3733" s="3" t="s">
        <v>63</v>
      </c>
      <c r="J3733" s="3" t="s">
        <v>63</v>
      </c>
      <c r="K3733" s="3" t="s">
        <v>64</v>
      </c>
      <c r="L3733" s="2" t="s">
        <v>31679</v>
      </c>
      <c r="M3733" s="2" t="s">
        <v>23679</v>
      </c>
      <c r="N3733" s="3" t="s">
        <v>2765</v>
      </c>
      <c r="P3733" s="3" t="s">
        <v>90</v>
      </c>
      <c r="Q3733" s="2" t="s">
        <v>31680</v>
      </c>
      <c r="R3733" s="3" t="s">
        <v>67</v>
      </c>
      <c r="S3733" s="4">
        <v>2</v>
      </c>
      <c r="T3733" s="4">
        <v>2</v>
      </c>
      <c r="U3733" s="5" t="s">
        <v>21373</v>
      </c>
      <c r="V3733" s="5" t="s">
        <v>21373</v>
      </c>
      <c r="W3733" s="5" t="s">
        <v>69</v>
      </c>
      <c r="X3733" s="5" t="s">
        <v>69</v>
      </c>
      <c r="Y3733" s="4">
        <v>9</v>
      </c>
      <c r="Z3733" s="4">
        <v>1</v>
      </c>
      <c r="AA3733" s="4">
        <v>6</v>
      </c>
      <c r="AB3733" s="4">
        <v>1</v>
      </c>
      <c r="AC3733" s="4">
        <v>1</v>
      </c>
      <c r="AD3733" s="4">
        <v>7</v>
      </c>
      <c r="AE3733" s="4">
        <v>32</v>
      </c>
      <c r="AF3733" s="4">
        <v>0</v>
      </c>
      <c r="AG3733" s="4">
        <v>0</v>
      </c>
      <c r="AH3733" s="4">
        <v>7</v>
      </c>
      <c r="AI3733" s="4">
        <v>31</v>
      </c>
      <c r="AJ3733" s="4">
        <v>0</v>
      </c>
      <c r="AK3733" s="4">
        <v>2</v>
      </c>
      <c r="AL3733" s="4">
        <v>5</v>
      </c>
      <c r="AM3733" s="4">
        <v>27</v>
      </c>
      <c r="AN3733" s="4">
        <v>0</v>
      </c>
      <c r="AO3733" s="4">
        <v>0</v>
      </c>
      <c r="AP3733" s="4">
        <v>0</v>
      </c>
      <c r="AQ3733" s="4">
        <v>2</v>
      </c>
      <c r="AR3733" s="3" t="s">
        <v>63</v>
      </c>
      <c r="AS3733" s="3" t="s">
        <v>63</v>
      </c>
      <c r="AT3733" s="3" t="s">
        <v>63</v>
      </c>
      <c r="AV3733" s="6" t="str">
        <f>HYPERLINK("http://mcgill.on.worldcat.org/oclc/902634433","Catalog Record")</f>
        <v>Catalog Record</v>
      </c>
      <c r="AW3733" s="6" t="str">
        <f>HYPERLINK("http://www.worldcat.org/oclc/902634433","WorldCat Record")</f>
        <v>WorldCat Record</v>
      </c>
      <c r="AX3733" s="3" t="s">
        <v>31681</v>
      </c>
      <c r="AY3733" s="3" t="s">
        <v>31682</v>
      </c>
      <c r="AZ3733" s="3" t="s">
        <v>31683</v>
      </c>
      <c r="BA3733" s="3" t="s">
        <v>31683</v>
      </c>
      <c r="BB3733" s="3" t="s">
        <v>31684</v>
      </c>
      <c r="BC3733" s="3" t="s">
        <v>82</v>
      </c>
      <c r="BD3733" s="3" t="s">
        <v>70</v>
      </c>
      <c r="BE3733" s="3" t="s">
        <v>31685</v>
      </c>
      <c r="BF3733" s="3" t="s">
        <v>31684</v>
      </c>
      <c r="BG3733" s="3" t="s">
        <v>31686</v>
      </c>
    </row>
    <row r="3734" spans="1:59" ht="60" x14ac:dyDescent="0.25">
      <c r="A3734" s="2" t="s">
        <v>59</v>
      </c>
      <c r="B3734" s="2" t="s">
        <v>60</v>
      </c>
      <c r="C3734" s="2" t="s">
        <v>31687</v>
      </c>
      <c r="D3734" s="2" t="s">
        <v>31688</v>
      </c>
      <c r="E3734" s="2" t="s">
        <v>31689</v>
      </c>
      <c r="G3734" s="3" t="s">
        <v>63</v>
      </c>
      <c r="I3734" s="3" t="s">
        <v>63</v>
      </c>
      <c r="J3734" s="3" t="s">
        <v>63</v>
      </c>
      <c r="K3734" s="3" t="s">
        <v>64</v>
      </c>
      <c r="L3734" s="2" t="s">
        <v>31690</v>
      </c>
      <c r="M3734" s="2" t="s">
        <v>31691</v>
      </c>
      <c r="N3734" s="3" t="s">
        <v>1557</v>
      </c>
      <c r="P3734" s="3" t="s">
        <v>90</v>
      </c>
      <c r="Q3734" s="2" t="s">
        <v>31692</v>
      </c>
      <c r="R3734" s="3" t="s">
        <v>67</v>
      </c>
      <c r="S3734" s="4">
        <v>0</v>
      </c>
      <c r="T3734" s="4">
        <v>0</v>
      </c>
      <c r="W3734" s="5" t="s">
        <v>69</v>
      </c>
      <c r="X3734" s="5" t="s">
        <v>69</v>
      </c>
      <c r="Y3734" s="4">
        <v>6</v>
      </c>
      <c r="Z3734" s="4">
        <v>1</v>
      </c>
      <c r="AA3734" s="4">
        <v>1</v>
      </c>
      <c r="AB3734" s="4">
        <v>1</v>
      </c>
      <c r="AC3734" s="4">
        <v>1</v>
      </c>
      <c r="AD3734" s="4">
        <v>4</v>
      </c>
      <c r="AE3734" s="4">
        <v>4</v>
      </c>
      <c r="AF3734" s="4">
        <v>0</v>
      </c>
      <c r="AG3734" s="4">
        <v>0</v>
      </c>
      <c r="AH3734" s="4">
        <v>4</v>
      </c>
      <c r="AI3734" s="4">
        <v>4</v>
      </c>
      <c r="AJ3734" s="4">
        <v>0</v>
      </c>
      <c r="AK3734" s="4">
        <v>0</v>
      </c>
      <c r="AL3734" s="4">
        <v>3</v>
      </c>
      <c r="AM3734" s="4">
        <v>3</v>
      </c>
      <c r="AN3734" s="4">
        <v>0</v>
      </c>
      <c r="AO3734" s="4">
        <v>0</v>
      </c>
      <c r="AP3734" s="4">
        <v>0</v>
      </c>
      <c r="AQ3734" s="4">
        <v>0</v>
      </c>
      <c r="AR3734" s="3" t="s">
        <v>63</v>
      </c>
      <c r="AS3734" s="3" t="s">
        <v>63</v>
      </c>
      <c r="AT3734" s="3" t="s">
        <v>63</v>
      </c>
      <c r="AV3734" s="6" t="str">
        <f>HYPERLINK("http://mcgill.on.worldcat.org/oclc/1019638841","Catalog Record")</f>
        <v>Catalog Record</v>
      </c>
      <c r="AW3734" s="6" t="str">
        <f>HYPERLINK("http://www.worldcat.org/oclc/1019638841","WorldCat Record")</f>
        <v>WorldCat Record</v>
      </c>
      <c r="AX3734" s="3" t="s">
        <v>31693</v>
      </c>
      <c r="AY3734" s="3" t="s">
        <v>31694</v>
      </c>
      <c r="AZ3734" s="3" t="s">
        <v>31695</v>
      </c>
      <c r="BA3734" s="3" t="s">
        <v>31695</v>
      </c>
      <c r="BB3734" s="3" t="s">
        <v>31696</v>
      </c>
      <c r="BC3734" s="3" t="s">
        <v>82</v>
      </c>
      <c r="BD3734" s="3" t="s">
        <v>70</v>
      </c>
      <c r="BE3734" s="3" t="s">
        <v>31697</v>
      </c>
      <c r="BF3734" s="3" t="s">
        <v>31696</v>
      </c>
      <c r="BG3734" s="3" t="s">
        <v>31698</v>
      </c>
    </row>
    <row r="3735" spans="1:59" ht="60" x14ac:dyDescent="0.25">
      <c r="A3735" s="2" t="s">
        <v>59</v>
      </c>
      <c r="B3735" s="2" t="s">
        <v>60</v>
      </c>
      <c r="C3735" s="2" t="s">
        <v>31699</v>
      </c>
      <c r="D3735" s="2" t="s">
        <v>31700</v>
      </c>
      <c r="E3735" s="2" t="s">
        <v>31701</v>
      </c>
      <c r="G3735" s="3" t="s">
        <v>63</v>
      </c>
      <c r="I3735" s="3" t="s">
        <v>63</v>
      </c>
      <c r="J3735" s="3" t="s">
        <v>63</v>
      </c>
      <c r="K3735" s="3" t="s">
        <v>64</v>
      </c>
      <c r="L3735" s="2" t="s">
        <v>31702</v>
      </c>
      <c r="M3735" s="2" t="s">
        <v>31703</v>
      </c>
      <c r="N3735" s="3" t="s">
        <v>1557</v>
      </c>
      <c r="P3735" s="3" t="s">
        <v>90</v>
      </c>
      <c r="Q3735" s="2" t="s">
        <v>31704</v>
      </c>
      <c r="R3735" s="3" t="s">
        <v>67</v>
      </c>
      <c r="S3735" s="4">
        <v>1</v>
      </c>
      <c r="T3735" s="4">
        <v>1</v>
      </c>
      <c r="U3735" s="5" t="s">
        <v>19517</v>
      </c>
      <c r="V3735" s="5" t="s">
        <v>19517</v>
      </c>
      <c r="W3735" s="5" t="s">
        <v>69</v>
      </c>
      <c r="X3735" s="5" t="s">
        <v>69</v>
      </c>
      <c r="Y3735" s="4">
        <v>36</v>
      </c>
      <c r="Z3735" s="4">
        <v>2</v>
      </c>
      <c r="AA3735" s="4">
        <v>2</v>
      </c>
      <c r="AB3735" s="4">
        <v>1</v>
      </c>
      <c r="AC3735" s="4">
        <v>1</v>
      </c>
      <c r="AD3735" s="4">
        <v>22</v>
      </c>
      <c r="AE3735" s="4">
        <v>26</v>
      </c>
      <c r="AF3735" s="4">
        <v>0</v>
      </c>
      <c r="AG3735" s="4">
        <v>0</v>
      </c>
      <c r="AH3735" s="4">
        <v>21</v>
      </c>
      <c r="AI3735" s="4">
        <v>25</v>
      </c>
      <c r="AJ3735" s="4">
        <v>0</v>
      </c>
      <c r="AK3735" s="4">
        <v>0</v>
      </c>
      <c r="AL3735" s="4">
        <v>17</v>
      </c>
      <c r="AM3735" s="4">
        <v>21</v>
      </c>
      <c r="AN3735" s="4">
        <v>0</v>
      </c>
      <c r="AO3735" s="4">
        <v>0</v>
      </c>
      <c r="AP3735" s="4">
        <v>0</v>
      </c>
      <c r="AQ3735" s="4">
        <v>0</v>
      </c>
      <c r="AR3735" s="3" t="s">
        <v>63</v>
      </c>
      <c r="AS3735" s="3" t="s">
        <v>63</v>
      </c>
      <c r="AT3735" s="3" t="s">
        <v>63</v>
      </c>
      <c r="AV3735" s="6" t="str">
        <f>HYPERLINK("http://mcgill.on.worldcat.org/oclc/995806486","Catalog Record")</f>
        <v>Catalog Record</v>
      </c>
      <c r="AW3735" s="6" t="str">
        <f>HYPERLINK("http://www.worldcat.org/oclc/995806486","WorldCat Record")</f>
        <v>WorldCat Record</v>
      </c>
      <c r="AX3735" s="3" t="s">
        <v>31705</v>
      </c>
      <c r="AY3735" s="3" t="s">
        <v>31706</v>
      </c>
      <c r="AZ3735" s="3" t="s">
        <v>31707</v>
      </c>
      <c r="BA3735" s="3" t="s">
        <v>31707</v>
      </c>
      <c r="BB3735" s="3" t="s">
        <v>31708</v>
      </c>
      <c r="BC3735" s="3" t="s">
        <v>82</v>
      </c>
      <c r="BD3735" s="3" t="s">
        <v>70</v>
      </c>
      <c r="BE3735" s="3" t="s">
        <v>31709</v>
      </c>
      <c r="BF3735" s="3" t="s">
        <v>31708</v>
      </c>
      <c r="BG3735" s="3" t="s">
        <v>31710</v>
      </c>
    </row>
    <row r="3736" spans="1:59" ht="75" x14ac:dyDescent="0.25">
      <c r="A3736" s="2" t="s">
        <v>59</v>
      </c>
      <c r="B3736" s="2" t="s">
        <v>60</v>
      </c>
      <c r="C3736" s="2" t="s">
        <v>31711</v>
      </c>
      <c r="D3736" s="2" t="s">
        <v>31712</v>
      </c>
      <c r="E3736" s="2" t="s">
        <v>31713</v>
      </c>
      <c r="G3736" s="3" t="s">
        <v>63</v>
      </c>
      <c r="I3736" s="3" t="s">
        <v>63</v>
      </c>
      <c r="J3736" s="3" t="s">
        <v>63</v>
      </c>
      <c r="K3736" s="3" t="s">
        <v>64</v>
      </c>
      <c r="L3736" s="2" t="s">
        <v>31714</v>
      </c>
      <c r="M3736" s="2" t="s">
        <v>31715</v>
      </c>
      <c r="N3736" s="3" t="s">
        <v>106</v>
      </c>
      <c r="P3736" s="3" t="s">
        <v>90</v>
      </c>
      <c r="R3736" s="3" t="s">
        <v>67</v>
      </c>
      <c r="S3736" s="4">
        <v>0</v>
      </c>
      <c r="T3736" s="4">
        <v>0</v>
      </c>
      <c r="W3736" s="5" t="s">
        <v>69</v>
      </c>
      <c r="X3736" s="5" t="s">
        <v>69</v>
      </c>
      <c r="Y3736" s="4">
        <v>11</v>
      </c>
      <c r="Z3736" s="4">
        <v>2</v>
      </c>
      <c r="AA3736" s="4">
        <v>2</v>
      </c>
      <c r="AB3736" s="4">
        <v>1</v>
      </c>
      <c r="AC3736" s="4">
        <v>1</v>
      </c>
      <c r="AD3736" s="4">
        <v>9</v>
      </c>
      <c r="AE3736" s="4">
        <v>9</v>
      </c>
      <c r="AF3736" s="4">
        <v>0</v>
      </c>
      <c r="AG3736" s="4">
        <v>0</v>
      </c>
      <c r="AH3736" s="4">
        <v>9</v>
      </c>
      <c r="AI3736" s="4">
        <v>9</v>
      </c>
      <c r="AJ3736" s="4">
        <v>1</v>
      </c>
      <c r="AK3736" s="4">
        <v>1</v>
      </c>
      <c r="AL3736" s="4">
        <v>4</v>
      </c>
      <c r="AM3736" s="4">
        <v>4</v>
      </c>
      <c r="AN3736" s="4">
        <v>0</v>
      </c>
      <c r="AO3736" s="4">
        <v>0</v>
      </c>
      <c r="AP3736" s="4">
        <v>1</v>
      </c>
      <c r="AQ3736" s="4">
        <v>1</v>
      </c>
      <c r="AR3736" s="3" t="s">
        <v>63</v>
      </c>
      <c r="AS3736" s="3" t="s">
        <v>63</v>
      </c>
      <c r="AT3736" s="3" t="s">
        <v>63</v>
      </c>
      <c r="AV3736" s="6" t="str">
        <f>HYPERLINK("http://mcgill.on.worldcat.org/oclc/948748878","Catalog Record")</f>
        <v>Catalog Record</v>
      </c>
      <c r="AW3736" s="6" t="str">
        <f>HYPERLINK("http://www.worldcat.org/oclc/948748878","WorldCat Record")</f>
        <v>WorldCat Record</v>
      </c>
      <c r="AX3736" s="3" t="s">
        <v>31716</v>
      </c>
      <c r="AY3736" s="3" t="s">
        <v>31717</v>
      </c>
      <c r="AZ3736" s="3" t="s">
        <v>31718</v>
      </c>
      <c r="BA3736" s="3" t="s">
        <v>31718</v>
      </c>
      <c r="BB3736" s="3" t="s">
        <v>31719</v>
      </c>
      <c r="BC3736" s="3" t="s">
        <v>82</v>
      </c>
      <c r="BD3736" s="3" t="s">
        <v>70</v>
      </c>
      <c r="BE3736" s="3" t="s">
        <v>31720</v>
      </c>
      <c r="BF3736" s="3" t="s">
        <v>31719</v>
      </c>
      <c r="BG3736" s="3" t="s">
        <v>31721</v>
      </c>
    </row>
    <row r="3737" spans="1:59" ht="75" x14ac:dyDescent="0.25">
      <c r="A3737" s="2" t="s">
        <v>59</v>
      </c>
      <c r="B3737" s="2" t="s">
        <v>60</v>
      </c>
      <c r="C3737" s="2" t="s">
        <v>31722</v>
      </c>
      <c r="D3737" s="2" t="s">
        <v>31723</v>
      </c>
      <c r="E3737" s="2" t="s">
        <v>31724</v>
      </c>
      <c r="G3737" s="3" t="s">
        <v>63</v>
      </c>
      <c r="I3737" s="3" t="s">
        <v>63</v>
      </c>
      <c r="J3737" s="3" t="s">
        <v>63</v>
      </c>
      <c r="K3737" s="3" t="s">
        <v>64</v>
      </c>
      <c r="L3737" s="2" t="s">
        <v>31714</v>
      </c>
      <c r="M3737" s="2" t="s">
        <v>31725</v>
      </c>
      <c r="N3737" s="3" t="s">
        <v>106</v>
      </c>
      <c r="P3737" s="3" t="s">
        <v>90</v>
      </c>
      <c r="R3737" s="3" t="s">
        <v>67</v>
      </c>
      <c r="S3737" s="4">
        <v>0</v>
      </c>
      <c r="T3737" s="4">
        <v>0</v>
      </c>
      <c r="W3737" s="5" t="s">
        <v>69</v>
      </c>
      <c r="X3737" s="5" t="s">
        <v>69</v>
      </c>
      <c r="Y3737" s="4">
        <v>10</v>
      </c>
      <c r="Z3737" s="4">
        <v>2</v>
      </c>
      <c r="AA3737" s="4">
        <v>2</v>
      </c>
      <c r="AB3737" s="4">
        <v>1</v>
      </c>
      <c r="AC3737" s="4">
        <v>1</v>
      </c>
      <c r="AD3737" s="4">
        <v>8</v>
      </c>
      <c r="AE3737" s="4">
        <v>8</v>
      </c>
      <c r="AF3737" s="4">
        <v>0</v>
      </c>
      <c r="AG3737" s="4">
        <v>0</v>
      </c>
      <c r="AH3737" s="4">
        <v>8</v>
      </c>
      <c r="AI3737" s="4">
        <v>8</v>
      </c>
      <c r="AJ3737" s="4">
        <v>1</v>
      </c>
      <c r="AK3737" s="4">
        <v>1</v>
      </c>
      <c r="AL3737" s="4">
        <v>3</v>
      </c>
      <c r="AM3737" s="4">
        <v>3</v>
      </c>
      <c r="AN3737" s="4">
        <v>0</v>
      </c>
      <c r="AO3737" s="4">
        <v>0</v>
      </c>
      <c r="AP3737" s="4">
        <v>1</v>
      </c>
      <c r="AQ3737" s="4">
        <v>1</v>
      </c>
      <c r="AR3737" s="3" t="s">
        <v>63</v>
      </c>
      <c r="AS3737" s="3" t="s">
        <v>63</v>
      </c>
      <c r="AT3737" s="3" t="s">
        <v>63</v>
      </c>
      <c r="AV3737" s="6" t="str">
        <f>HYPERLINK("http://mcgill.on.worldcat.org/oclc/950002526","Catalog Record")</f>
        <v>Catalog Record</v>
      </c>
      <c r="AW3737" s="6" t="str">
        <f>HYPERLINK("http://www.worldcat.org/oclc/950002526","WorldCat Record")</f>
        <v>WorldCat Record</v>
      </c>
      <c r="AX3737" s="3" t="s">
        <v>31726</v>
      </c>
      <c r="AY3737" s="3" t="s">
        <v>31727</v>
      </c>
      <c r="AZ3737" s="3" t="s">
        <v>31728</v>
      </c>
      <c r="BA3737" s="3" t="s">
        <v>31728</v>
      </c>
      <c r="BB3737" s="3" t="s">
        <v>31729</v>
      </c>
      <c r="BC3737" s="3" t="s">
        <v>82</v>
      </c>
      <c r="BD3737" s="3" t="s">
        <v>70</v>
      </c>
      <c r="BE3737" s="3" t="s">
        <v>31730</v>
      </c>
      <c r="BF3737" s="3" t="s">
        <v>31729</v>
      </c>
      <c r="BG3737" s="3" t="s">
        <v>31731</v>
      </c>
    </row>
    <row r="3738" spans="1:59" ht="60" x14ac:dyDescent="0.25">
      <c r="A3738" s="2" t="s">
        <v>59</v>
      </c>
      <c r="B3738" s="2" t="s">
        <v>60</v>
      </c>
      <c r="C3738" s="2" t="s">
        <v>31732</v>
      </c>
      <c r="D3738" s="2" t="s">
        <v>31733</v>
      </c>
      <c r="E3738" s="2" t="s">
        <v>31734</v>
      </c>
      <c r="G3738" s="3" t="s">
        <v>63</v>
      </c>
      <c r="I3738" s="3" t="s">
        <v>63</v>
      </c>
      <c r="J3738" s="3" t="s">
        <v>63</v>
      </c>
      <c r="K3738" s="3" t="s">
        <v>64</v>
      </c>
      <c r="L3738" s="2" t="s">
        <v>31735</v>
      </c>
      <c r="M3738" s="2" t="s">
        <v>31736</v>
      </c>
      <c r="N3738" s="3" t="s">
        <v>629</v>
      </c>
      <c r="P3738" s="3" t="s">
        <v>90</v>
      </c>
      <c r="R3738" s="3" t="s">
        <v>67</v>
      </c>
      <c r="S3738" s="4">
        <v>1</v>
      </c>
      <c r="T3738" s="4">
        <v>1</v>
      </c>
      <c r="U3738" s="5" t="s">
        <v>31737</v>
      </c>
      <c r="V3738" s="5" t="s">
        <v>31737</v>
      </c>
      <c r="W3738" s="5" t="s">
        <v>69</v>
      </c>
      <c r="X3738" s="5" t="s">
        <v>69</v>
      </c>
      <c r="Y3738" s="4">
        <v>22</v>
      </c>
      <c r="Z3738" s="4">
        <v>5</v>
      </c>
      <c r="AA3738" s="4">
        <v>5</v>
      </c>
      <c r="AB3738" s="4">
        <v>1</v>
      </c>
      <c r="AC3738" s="4">
        <v>1</v>
      </c>
      <c r="AD3738" s="4">
        <v>12</v>
      </c>
      <c r="AE3738" s="4">
        <v>17</v>
      </c>
      <c r="AF3738" s="4">
        <v>0</v>
      </c>
      <c r="AG3738" s="4">
        <v>0</v>
      </c>
      <c r="AH3738" s="4">
        <v>12</v>
      </c>
      <c r="AI3738" s="4">
        <v>16</v>
      </c>
      <c r="AJ3738" s="4">
        <v>2</v>
      </c>
      <c r="AK3738" s="4">
        <v>2</v>
      </c>
      <c r="AL3738" s="4">
        <v>10</v>
      </c>
      <c r="AM3738" s="4">
        <v>14</v>
      </c>
      <c r="AN3738" s="4">
        <v>0</v>
      </c>
      <c r="AO3738" s="4">
        <v>0</v>
      </c>
      <c r="AP3738" s="4">
        <v>2</v>
      </c>
      <c r="AQ3738" s="4">
        <v>2</v>
      </c>
      <c r="AR3738" s="3" t="s">
        <v>63</v>
      </c>
      <c r="AS3738" s="3" t="s">
        <v>63</v>
      </c>
      <c r="AT3738" s="3" t="s">
        <v>63</v>
      </c>
      <c r="AV3738" s="6" t="str">
        <f>HYPERLINK("http://mcgill.on.worldcat.org/oclc/759476063","Catalog Record")</f>
        <v>Catalog Record</v>
      </c>
      <c r="AW3738" s="6" t="str">
        <f>HYPERLINK("http://www.worldcat.org/oclc/759476063","WorldCat Record")</f>
        <v>WorldCat Record</v>
      </c>
      <c r="AX3738" s="3" t="s">
        <v>31738</v>
      </c>
      <c r="AY3738" s="3" t="s">
        <v>31739</v>
      </c>
      <c r="AZ3738" s="3" t="s">
        <v>31740</v>
      </c>
      <c r="BA3738" s="3" t="s">
        <v>31740</v>
      </c>
      <c r="BB3738" s="3" t="s">
        <v>31741</v>
      </c>
      <c r="BC3738" s="3" t="s">
        <v>82</v>
      </c>
      <c r="BD3738" s="3" t="s">
        <v>70</v>
      </c>
      <c r="BE3738" s="3" t="s">
        <v>31742</v>
      </c>
      <c r="BF3738" s="3" t="s">
        <v>31741</v>
      </c>
      <c r="BG3738" s="3" t="s">
        <v>31743</v>
      </c>
    </row>
    <row r="3739" spans="1:59" ht="60" x14ac:dyDescent="0.25">
      <c r="A3739" s="2" t="s">
        <v>59</v>
      </c>
      <c r="B3739" s="2" t="s">
        <v>60</v>
      </c>
      <c r="C3739" s="2" t="s">
        <v>31744</v>
      </c>
      <c r="D3739" s="2" t="s">
        <v>31745</v>
      </c>
      <c r="E3739" s="2" t="s">
        <v>31746</v>
      </c>
      <c r="G3739" s="3" t="s">
        <v>63</v>
      </c>
      <c r="I3739" s="3" t="s">
        <v>63</v>
      </c>
      <c r="J3739" s="3" t="s">
        <v>63</v>
      </c>
      <c r="K3739" s="3" t="s">
        <v>64</v>
      </c>
      <c r="L3739" s="2" t="s">
        <v>31747</v>
      </c>
      <c r="M3739" s="2" t="s">
        <v>29170</v>
      </c>
      <c r="N3739" s="3" t="s">
        <v>76</v>
      </c>
      <c r="P3739" s="3" t="s">
        <v>90</v>
      </c>
      <c r="R3739" s="3" t="s">
        <v>67</v>
      </c>
      <c r="S3739" s="4">
        <v>1</v>
      </c>
      <c r="T3739" s="4">
        <v>1</v>
      </c>
      <c r="U3739" s="5" t="s">
        <v>31737</v>
      </c>
      <c r="V3739" s="5" t="s">
        <v>31737</v>
      </c>
      <c r="W3739" s="5" t="s">
        <v>69</v>
      </c>
      <c r="X3739" s="5" t="s">
        <v>69</v>
      </c>
      <c r="Y3739" s="4">
        <v>30</v>
      </c>
      <c r="Z3739" s="4">
        <v>3</v>
      </c>
      <c r="AA3739" s="4">
        <v>3</v>
      </c>
      <c r="AB3739" s="4">
        <v>1</v>
      </c>
      <c r="AC3739" s="4">
        <v>1</v>
      </c>
      <c r="AD3739" s="4">
        <v>16</v>
      </c>
      <c r="AE3739" s="4">
        <v>17</v>
      </c>
      <c r="AF3739" s="4">
        <v>0</v>
      </c>
      <c r="AG3739" s="4">
        <v>0</v>
      </c>
      <c r="AH3739" s="4">
        <v>16</v>
      </c>
      <c r="AI3739" s="4">
        <v>17</v>
      </c>
      <c r="AJ3739" s="4">
        <v>0</v>
      </c>
      <c r="AK3739" s="4">
        <v>0</v>
      </c>
      <c r="AL3739" s="4">
        <v>13</v>
      </c>
      <c r="AM3739" s="4">
        <v>13</v>
      </c>
      <c r="AN3739" s="4">
        <v>0</v>
      </c>
      <c r="AO3739" s="4">
        <v>0</v>
      </c>
      <c r="AP3739" s="4">
        <v>0</v>
      </c>
      <c r="AQ3739" s="4">
        <v>0</v>
      </c>
      <c r="AR3739" s="3" t="s">
        <v>63</v>
      </c>
      <c r="AS3739" s="3" t="s">
        <v>63</v>
      </c>
      <c r="AT3739" s="3" t="s">
        <v>63</v>
      </c>
      <c r="AV3739" s="6" t="str">
        <f>HYPERLINK("http://mcgill.on.worldcat.org/oclc/785512732","Catalog Record")</f>
        <v>Catalog Record</v>
      </c>
      <c r="AW3739" s="6" t="str">
        <f>HYPERLINK("http://www.worldcat.org/oclc/785512732","WorldCat Record")</f>
        <v>WorldCat Record</v>
      </c>
      <c r="AX3739" s="3" t="s">
        <v>31748</v>
      </c>
      <c r="AY3739" s="3" t="s">
        <v>31749</v>
      </c>
      <c r="AZ3739" s="3" t="s">
        <v>31750</v>
      </c>
      <c r="BA3739" s="3" t="s">
        <v>31750</v>
      </c>
      <c r="BB3739" s="3" t="s">
        <v>31751</v>
      </c>
      <c r="BC3739" s="3" t="s">
        <v>82</v>
      </c>
      <c r="BD3739" s="3" t="s">
        <v>70</v>
      </c>
      <c r="BE3739" s="3" t="s">
        <v>31752</v>
      </c>
      <c r="BF3739" s="3" t="s">
        <v>31751</v>
      </c>
      <c r="BG3739" s="3" t="s">
        <v>31753</v>
      </c>
    </row>
    <row r="3740" spans="1:59" ht="75" x14ac:dyDescent="0.25">
      <c r="A3740" s="2" t="s">
        <v>59</v>
      </c>
      <c r="B3740" s="2" t="s">
        <v>60</v>
      </c>
      <c r="C3740" s="2" t="s">
        <v>31754</v>
      </c>
      <c r="D3740" s="2" t="s">
        <v>31755</v>
      </c>
      <c r="E3740" s="2" t="s">
        <v>31756</v>
      </c>
      <c r="G3740" s="3" t="s">
        <v>63</v>
      </c>
      <c r="I3740" s="3" t="s">
        <v>63</v>
      </c>
      <c r="J3740" s="3" t="s">
        <v>63</v>
      </c>
      <c r="K3740" s="3" t="s">
        <v>64</v>
      </c>
      <c r="L3740" s="2" t="s">
        <v>31757</v>
      </c>
      <c r="M3740" s="2" t="s">
        <v>31758</v>
      </c>
      <c r="N3740" s="3" t="s">
        <v>1557</v>
      </c>
      <c r="P3740" s="3" t="s">
        <v>90</v>
      </c>
      <c r="R3740" s="3" t="s">
        <v>67</v>
      </c>
      <c r="S3740" s="4">
        <v>1</v>
      </c>
      <c r="T3740" s="4">
        <v>1</v>
      </c>
      <c r="U3740" s="5" t="s">
        <v>7212</v>
      </c>
      <c r="V3740" s="5" t="s">
        <v>7212</v>
      </c>
      <c r="W3740" s="5" t="s">
        <v>69</v>
      </c>
      <c r="X3740" s="5" t="s">
        <v>69</v>
      </c>
      <c r="Y3740" s="4">
        <v>39</v>
      </c>
      <c r="Z3740" s="4">
        <v>3</v>
      </c>
      <c r="AA3740" s="4">
        <v>3</v>
      </c>
      <c r="AB3740" s="4">
        <v>1</v>
      </c>
      <c r="AC3740" s="4">
        <v>1</v>
      </c>
      <c r="AD3740" s="4">
        <v>30</v>
      </c>
      <c r="AE3740" s="4">
        <v>30</v>
      </c>
      <c r="AF3740" s="4">
        <v>0</v>
      </c>
      <c r="AG3740" s="4">
        <v>0</v>
      </c>
      <c r="AH3740" s="4">
        <v>29</v>
      </c>
      <c r="AI3740" s="4">
        <v>29</v>
      </c>
      <c r="AJ3740" s="4">
        <v>1</v>
      </c>
      <c r="AK3740" s="4">
        <v>1</v>
      </c>
      <c r="AL3740" s="4">
        <v>23</v>
      </c>
      <c r="AM3740" s="4">
        <v>23</v>
      </c>
      <c r="AN3740" s="4">
        <v>0</v>
      </c>
      <c r="AO3740" s="4">
        <v>0</v>
      </c>
      <c r="AP3740" s="4">
        <v>1</v>
      </c>
      <c r="AQ3740" s="4">
        <v>1</v>
      </c>
      <c r="AR3740" s="3" t="s">
        <v>63</v>
      </c>
      <c r="AS3740" s="3" t="s">
        <v>63</v>
      </c>
      <c r="AT3740" s="3" t="s">
        <v>63</v>
      </c>
      <c r="AV3740" s="6" t="str">
        <f>HYPERLINK("http://mcgill.on.worldcat.org/oclc/971615231","Catalog Record")</f>
        <v>Catalog Record</v>
      </c>
      <c r="AW3740" s="6" t="str">
        <f>HYPERLINK("http://www.worldcat.org/oclc/971615231","WorldCat Record")</f>
        <v>WorldCat Record</v>
      </c>
      <c r="AX3740" s="3" t="s">
        <v>31759</v>
      </c>
      <c r="AY3740" s="3" t="s">
        <v>31760</v>
      </c>
      <c r="AZ3740" s="3" t="s">
        <v>31761</v>
      </c>
      <c r="BA3740" s="3" t="s">
        <v>31761</v>
      </c>
      <c r="BB3740" s="3" t="s">
        <v>31762</v>
      </c>
      <c r="BC3740" s="3" t="s">
        <v>82</v>
      </c>
      <c r="BD3740" s="3" t="s">
        <v>70</v>
      </c>
      <c r="BE3740" s="3" t="s">
        <v>31763</v>
      </c>
      <c r="BF3740" s="3" t="s">
        <v>31762</v>
      </c>
      <c r="BG3740" s="3" t="s">
        <v>31764</v>
      </c>
    </row>
    <row r="3741" spans="1:59" ht="75" x14ac:dyDescent="0.25">
      <c r="A3741" s="2" t="s">
        <v>59</v>
      </c>
      <c r="B3741" s="2" t="s">
        <v>60</v>
      </c>
      <c r="C3741" s="2" t="s">
        <v>31765</v>
      </c>
      <c r="D3741" s="2" t="s">
        <v>31766</v>
      </c>
      <c r="E3741" s="2" t="s">
        <v>31767</v>
      </c>
      <c r="G3741" s="3" t="s">
        <v>63</v>
      </c>
      <c r="I3741" s="3" t="s">
        <v>63</v>
      </c>
      <c r="J3741" s="3" t="s">
        <v>63</v>
      </c>
      <c r="K3741" s="3" t="s">
        <v>64</v>
      </c>
      <c r="L3741" s="2" t="s">
        <v>31768</v>
      </c>
      <c r="M3741" s="2" t="s">
        <v>30061</v>
      </c>
      <c r="N3741" s="3" t="s">
        <v>76</v>
      </c>
      <c r="P3741" s="3" t="s">
        <v>90</v>
      </c>
      <c r="Q3741" s="2" t="s">
        <v>31769</v>
      </c>
      <c r="R3741" s="3" t="s">
        <v>67</v>
      </c>
      <c r="S3741" s="4">
        <v>1</v>
      </c>
      <c r="T3741" s="4">
        <v>1</v>
      </c>
      <c r="U3741" s="5" t="s">
        <v>15042</v>
      </c>
      <c r="V3741" s="5" t="s">
        <v>15042</v>
      </c>
      <c r="W3741" s="5" t="s">
        <v>69</v>
      </c>
      <c r="X3741" s="5" t="s">
        <v>69</v>
      </c>
      <c r="Y3741" s="4">
        <v>44</v>
      </c>
      <c r="Z3741" s="4">
        <v>7</v>
      </c>
      <c r="AA3741" s="4">
        <v>8</v>
      </c>
      <c r="AB3741" s="4">
        <v>1</v>
      </c>
      <c r="AC3741" s="4">
        <v>2</v>
      </c>
      <c r="AD3741" s="4">
        <v>17</v>
      </c>
      <c r="AE3741" s="4">
        <v>17</v>
      </c>
      <c r="AF3741" s="4">
        <v>0</v>
      </c>
      <c r="AG3741" s="4">
        <v>0</v>
      </c>
      <c r="AH3741" s="4">
        <v>17</v>
      </c>
      <c r="AI3741" s="4">
        <v>17</v>
      </c>
      <c r="AJ3741" s="4">
        <v>2</v>
      </c>
      <c r="AK3741" s="4">
        <v>2</v>
      </c>
      <c r="AL3741" s="4">
        <v>12</v>
      </c>
      <c r="AM3741" s="4">
        <v>12</v>
      </c>
      <c r="AN3741" s="4">
        <v>0</v>
      </c>
      <c r="AO3741" s="4">
        <v>0</v>
      </c>
      <c r="AP3741" s="4">
        <v>2</v>
      </c>
      <c r="AQ3741" s="4">
        <v>2</v>
      </c>
      <c r="AR3741" s="3" t="s">
        <v>63</v>
      </c>
      <c r="AS3741" s="3" t="s">
        <v>63</v>
      </c>
      <c r="AT3741" s="3" t="s">
        <v>63</v>
      </c>
      <c r="AV3741" s="6" t="str">
        <f>HYPERLINK("http://mcgill.on.worldcat.org/oclc/779625219","Catalog Record")</f>
        <v>Catalog Record</v>
      </c>
      <c r="AW3741" s="6" t="str">
        <f>HYPERLINK("http://www.worldcat.org/oclc/779625219","WorldCat Record")</f>
        <v>WorldCat Record</v>
      </c>
      <c r="AX3741" s="3" t="s">
        <v>31770</v>
      </c>
      <c r="AY3741" s="3" t="s">
        <v>31771</v>
      </c>
      <c r="AZ3741" s="3" t="s">
        <v>31772</v>
      </c>
      <c r="BA3741" s="3" t="s">
        <v>31772</v>
      </c>
      <c r="BB3741" s="3" t="s">
        <v>31773</v>
      </c>
      <c r="BC3741" s="3" t="s">
        <v>82</v>
      </c>
      <c r="BD3741" s="3" t="s">
        <v>70</v>
      </c>
      <c r="BE3741" s="3" t="s">
        <v>31774</v>
      </c>
      <c r="BF3741" s="3" t="s">
        <v>31773</v>
      </c>
      <c r="BG3741" s="3" t="s">
        <v>31775</v>
      </c>
    </row>
    <row r="3742" spans="1:59" ht="75" x14ac:dyDescent="0.25">
      <c r="A3742" s="2" t="s">
        <v>59</v>
      </c>
      <c r="B3742" s="2" t="s">
        <v>60</v>
      </c>
      <c r="C3742" s="2" t="s">
        <v>31776</v>
      </c>
      <c r="D3742" s="2" t="s">
        <v>31777</v>
      </c>
      <c r="E3742" s="2" t="s">
        <v>31778</v>
      </c>
      <c r="G3742" s="3" t="s">
        <v>63</v>
      </c>
      <c r="I3742" s="3" t="s">
        <v>63</v>
      </c>
      <c r="J3742" s="3" t="s">
        <v>63</v>
      </c>
      <c r="K3742" s="3" t="s">
        <v>64</v>
      </c>
      <c r="L3742" s="2" t="s">
        <v>31779</v>
      </c>
      <c r="M3742" s="2" t="s">
        <v>7442</v>
      </c>
      <c r="N3742" s="3" t="s">
        <v>629</v>
      </c>
      <c r="P3742" s="3" t="s">
        <v>90</v>
      </c>
      <c r="R3742" s="3" t="s">
        <v>67</v>
      </c>
      <c r="S3742" s="4">
        <v>2</v>
      </c>
      <c r="T3742" s="4">
        <v>2</v>
      </c>
      <c r="U3742" s="5" t="s">
        <v>31737</v>
      </c>
      <c r="V3742" s="5" t="s">
        <v>31737</v>
      </c>
      <c r="W3742" s="5" t="s">
        <v>69</v>
      </c>
      <c r="X3742" s="5" t="s">
        <v>69</v>
      </c>
      <c r="Y3742" s="4">
        <v>15</v>
      </c>
      <c r="Z3742" s="4">
        <v>2</v>
      </c>
      <c r="AA3742" s="4">
        <v>5</v>
      </c>
      <c r="AB3742" s="4">
        <v>1</v>
      </c>
      <c r="AC3742" s="4">
        <v>1</v>
      </c>
      <c r="AD3742" s="4">
        <v>10</v>
      </c>
      <c r="AE3742" s="4">
        <v>35</v>
      </c>
      <c r="AF3742" s="4">
        <v>0</v>
      </c>
      <c r="AG3742" s="4">
        <v>0</v>
      </c>
      <c r="AH3742" s="4">
        <v>10</v>
      </c>
      <c r="AI3742" s="4">
        <v>35</v>
      </c>
      <c r="AJ3742" s="4">
        <v>1</v>
      </c>
      <c r="AK3742" s="4">
        <v>3</v>
      </c>
      <c r="AL3742" s="4">
        <v>8</v>
      </c>
      <c r="AM3742" s="4">
        <v>24</v>
      </c>
      <c r="AN3742" s="4">
        <v>0</v>
      </c>
      <c r="AO3742" s="4">
        <v>0</v>
      </c>
      <c r="AP3742" s="4">
        <v>1</v>
      </c>
      <c r="AQ3742" s="4">
        <v>3</v>
      </c>
      <c r="AR3742" s="3" t="s">
        <v>63</v>
      </c>
      <c r="AS3742" s="3" t="s">
        <v>63</v>
      </c>
      <c r="AT3742" s="3" t="s">
        <v>63</v>
      </c>
      <c r="AV3742" s="6" t="str">
        <f>HYPERLINK("http://mcgill.on.worldcat.org/oclc/739837835","Catalog Record")</f>
        <v>Catalog Record</v>
      </c>
      <c r="AW3742" s="6" t="str">
        <f>HYPERLINK("http://www.worldcat.org/oclc/739837835","WorldCat Record")</f>
        <v>WorldCat Record</v>
      </c>
      <c r="AX3742" s="3" t="s">
        <v>31780</v>
      </c>
      <c r="AY3742" s="3" t="s">
        <v>31781</v>
      </c>
      <c r="AZ3742" s="3" t="s">
        <v>31782</v>
      </c>
      <c r="BA3742" s="3" t="s">
        <v>31782</v>
      </c>
      <c r="BB3742" s="3" t="s">
        <v>31783</v>
      </c>
      <c r="BC3742" s="3" t="s">
        <v>82</v>
      </c>
      <c r="BD3742" s="3" t="s">
        <v>70</v>
      </c>
      <c r="BE3742" s="3" t="s">
        <v>31784</v>
      </c>
      <c r="BF3742" s="3" t="s">
        <v>31783</v>
      </c>
      <c r="BG3742" s="3" t="s">
        <v>31785</v>
      </c>
    </row>
    <row r="3743" spans="1:59" ht="75" x14ac:dyDescent="0.25">
      <c r="A3743" s="2" t="s">
        <v>59</v>
      </c>
      <c r="B3743" s="2" t="s">
        <v>60</v>
      </c>
      <c r="C3743" s="2" t="s">
        <v>31786</v>
      </c>
      <c r="D3743" s="2" t="s">
        <v>31787</v>
      </c>
      <c r="E3743" s="2" t="s">
        <v>31788</v>
      </c>
      <c r="G3743" s="3" t="s">
        <v>63</v>
      </c>
      <c r="I3743" s="3" t="s">
        <v>63</v>
      </c>
      <c r="J3743" s="3" t="s">
        <v>63</v>
      </c>
      <c r="K3743" s="3" t="s">
        <v>64</v>
      </c>
      <c r="L3743" s="2" t="s">
        <v>31779</v>
      </c>
      <c r="M3743" s="2" t="s">
        <v>20033</v>
      </c>
      <c r="N3743" s="3" t="s">
        <v>130</v>
      </c>
      <c r="P3743" s="3" t="s">
        <v>90</v>
      </c>
      <c r="Q3743" s="2" t="s">
        <v>31789</v>
      </c>
      <c r="R3743" s="3" t="s">
        <v>67</v>
      </c>
      <c r="S3743" s="4">
        <v>2</v>
      </c>
      <c r="T3743" s="4">
        <v>2</v>
      </c>
      <c r="U3743" s="5" t="s">
        <v>31790</v>
      </c>
      <c r="V3743" s="5" t="s">
        <v>31790</v>
      </c>
      <c r="W3743" s="5" t="s">
        <v>69</v>
      </c>
      <c r="X3743" s="5" t="s">
        <v>69</v>
      </c>
      <c r="Y3743" s="4">
        <v>39</v>
      </c>
      <c r="Z3743" s="4">
        <v>5</v>
      </c>
      <c r="AA3743" s="4">
        <v>5</v>
      </c>
      <c r="AB3743" s="4">
        <v>1</v>
      </c>
      <c r="AC3743" s="4">
        <v>1</v>
      </c>
      <c r="AD3743" s="4">
        <v>30</v>
      </c>
      <c r="AE3743" s="4">
        <v>30</v>
      </c>
      <c r="AF3743" s="4">
        <v>0</v>
      </c>
      <c r="AG3743" s="4">
        <v>0</v>
      </c>
      <c r="AH3743" s="4">
        <v>30</v>
      </c>
      <c r="AI3743" s="4">
        <v>30</v>
      </c>
      <c r="AJ3743" s="4">
        <v>3</v>
      </c>
      <c r="AK3743" s="4">
        <v>3</v>
      </c>
      <c r="AL3743" s="4">
        <v>21</v>
      </c>
      <c r="AM3743" s="4">
        <v>21</v>
      </c>
      <c r="AN3743" s="4">
        <v>0</v>
      </c>
      <c r="AO3743" s="4">
        <v>0</v>
      </c>
      <c r="AP3743" s="4">
        <v>3</v>
      </c>
      <c r="AQ3743" s="4">
        <v>3</v>
      </c>
      <c r="AR3743" s="3" t="s">
        <v>63</v>
      </c>
      <c r="AS3743" s="3" t="s">
        <v>63</v>
      </c>
      <c r="AT3743" s="3" t="s">
        <v>63</v>
      </c>
      <c r="AV3743" s="6" t="str">
        <f>HYPERLINK("http://mcgill.on.worldcat.org/oclc/830311252","Catalog Record")</f>
        <v>Catalog Record</v>
      </c>
      <c r="AW3743" s="6" t="str">
        <f>HYPERLINK("http://www.worldcat.org/oclc/830311252","WorldCat Record")</f>
        <v>WorldCat Record</v>
      </c>
      <c r="AX3743" s="3" t="s">
        <v>31791</v>
      </c>
      <c r="AY3743" s="3" t="s">
        <v>31792</v>
      </c>
      <c r="AZ3743" s="3" t="s">
        <v>31793</v>
      </c>
      <c r="BA3743" s="3" t="s">
        <v>31793</v>
      </c>
      <c r="BB3743" s="3" t="s">
        <v>31794</v>
      </c>
      <c r="BC3743" s="3" t="s">
        <v>82</v>
      </c>
      <c r="BD3743" s="3" t="s">
        <v>70</v>
      </c>
      <c r="BE3743" s="3" t="s">
        <v>31795</v>
      </c>
      <c r="BF3743" s="3" t="s">
        <v>31794</v>
      </c>
      <c r="BG3743" s="3" t="s">
        <v>31796</v>
      </c>
    </row>
    <row r="3744" spans="1:59" ht="75" x14ac:dyDescent="0.25">
      <c r="A3744" s="2" t="s">
        <v>59</v>
      </c>
      <c r="B3744" s="2" t="s">
        <v>60</v>
      </c>
      <c r="C3744" s="2" t="s">
        <v>31797</v>
      </c>
      <c r="D3744" s="2" t="s">
        <v>31798</v>
      </c>
      <c r="E3744" s="2" t="s">
        <v>31799</v>
      </c>
      <c r="G3744" s="3" t="s">
        <v>63</v>
      </c>
      <c r="I3744" s="3" t="s">
        <v>63</v>
      </c>
      <c r="J3744" s="3" t="s">
        <v>63</v>
      </c>
      <c r="K3744" s="3" t="s">
        <v>64</v>
      </c>
      <c r="L3744" s="2" t="s">
        <v>31800</v>
      </c>
      <c r="M3744" s="2" t="s">
        <v>20033</v>
      </c>
      <c r="N3744" s="3" t="s">
        <v>130</v>
      </c>
      <c r="P3744" s="3" t="s">
        <v>90</v>
      </c>
      <c r="Q3744" s="2" t="s">
        <v>31789</v>
      </c>
      <c r="R3744" s="3" t="s">
        <v>67</v>
      </c>
      <c r="S3744" s="4">
        <v>1</v>
      </c>
      <c r="T3744" s="4">
        <v>1</v>
      </c>
      <c r="U3744" s="5" t="s">
        <v>31790</v>
      </c>
      <c r="V3744" s="5" t="s">
        <v>31790</v>
      </c>
      <c r="W3744" s="5" t="s">
        <v>69</v>
      </c>
      <c r="X3744" s="5" t="s">
        <v>69</v>
      </c>
      <c r="Y3744" s="4">
        <v>45</v>
      </c>
      <c r="Z3744" s="4">
        <v>5</v>
      </c>
      <c r="AA3744" s="4">
        <v>5</v>
      </c>
      <c r="AB3744" s="4">
        <v>1</v>
      </c>
      <c r="AC3744" s="4">
        <v>1</v>
      </c>
      <c r="AD3744" s="4">
        <v>31</v>
      </c>
      <c r="AE3744" s="4">
        <v>31</v>
      </c>
      <c r="AF3744" s="4">
        <v>0</v>
      </c>
      <c r="AG3744" s="4">
        <v>0</v>
      </c>
      <c r="AH3744" s="4">
        <v>31</v>
      </c>
      <c r="AI3744" s="4">
        <v>31</v>
      </c>
      <c r="AJ3744" s="4">
        <v>3</v>
      </c>
      <c r="AK3744" s="4">
        <v>3</v>
      </c>
      <c r="AL3744" s="4">
        <v>24</v>
      </c>
      <c r="AM3744" s="4">
        <v>24</v>
      </c>
      <c r="AN3744" s="4">
        <v>0</v>
      </c>
      <c r="AO3744" s="4">
        <v>0</v>
      </c>
      <c r="AP3744" s="4">
        <v>3</v>
      </c>
      <c r="AQ3744" s="4">
        <v>3</v>
      </c>
      <c r="AR3744" s="3" t="s">
        <v>63</v>
      </c>
      <c r="AS3744" s="3" t="s">
        <v>63</v>
      </c>
      <c r="AT3744" s="3" t="s">
        <v>63</v>
      </c>
      <c r="AV3744" s="6" t="str">
        <f>HYPERLINK("http://mcgill.on.worldcat.org/oclc/842908809","Catalog Record")</f>
        <v>Catalog Record</v>
      </c>
      <c r="AW3744" s="6" t="str">
        <f>HYPERLINK("http://www.worldcat.org/oclc/842908809","WorldCat Record")</f>
        <v>WorldCat Record</v>
      </c>
      <c r="AX3744" s="3" t="s">
        <v>31801</v>
      </c>
      <c r="AY3744" s="3" t="s">
        <v>31802</v>
      </c>
      <c r="AZ3744" s="3" t="s">
        <v>31803</v>
      </c>
      <c r="BA3744" s="3" t="s">
        <v>31803</v>
      </c>
      <c r="BB3744" s="3" t="s">
        <v>31804</v>
      </c>
      <c r="BC3744" s="3" t="s">
        <v>82</v>
      </c>
      <c r="BD3744" s="3" t="s">
        <v>70</v>
      </c>
      <c r="BE3744" s="3" t="s">
        <v>31805</v>
      </c>
      <c r="BF3744" s="3" t="s">
        <v>31804</v>
      </c>
      <c r="BG3744" s="3" t="s">
        <v>31806</v>
      </c>
    </row>
    <row r="3745" spans="1:59" ht="60" x14ac:dyDescent="0.25">
      <c r="A3745" s="2" t="s">
        <v>59</v>
      </c>
      <c r="B3745" s="2" t="s">
        <v>60</v>
      </c>
      <c r="C3745" s="2" t="s">
        <v>31807</v>
      </c>
      <c r="D3745" s="2" t="s">
        <v>31808</v>
      </c>
      <c r="E3745" s="2" t="s">
        <v>31809</v>
      </c>
      <c r="G3745" s="3" t="s">
        <v>63</v>
      </c>
      <c r="I3745" s="3" t="s">
        <v>63</v>
      </c>
      <c r="J3745" s="3" t="s">
        <v>63</v>
      </c>
      <c r="K3745" s="3" t="s">
        <v>64</v>
      </c>
      <c r="L3745" s="2" t="s">
        <v>31810</v>
      </c>
      <c r="M3745" s="2" t="s">
        <v>31811</v>
      </c>
      <c r="N3745" s="3" t="s">
        <v>1113</v>
      </c>
      <c r="P3745" s="3" t="s">
        <v>66</v>
      </c>
      <c r="R3745" s="3" t="s">
        <v>67</v>
      </c>
      <c r="S3745" s="4">
        <v>19</v>
      </c>
      <c r="T3745" s="4">
        <v>19</v>
      </c>
      <c r="U3745" s="5" t="s">
        <v>155</v>
      </c>
      <c r="V3745" s="5" t="s">
        <v>155</v>
      </c>
      <c r="W3745" s="5" t="s">
        <v>69</v>
      </c>
      <c r="X3745" s="5" t="s">
        <v>69</v>
      </c>
      <c r="Y3745" s="4">
        <v>32</v>
      </c>
      <c r="Z3745" s="4">
        <v>4</v>
      </c>
      <c r="AA3745" s="4">
        <v>19</v>
      </c>
      <c r="AB3745" s="4">
        <v>1</v>
      </c>
      <c r="AC3745" s="4">
        <v>1</v>
      </c>
      <c r="AD3745" s="4">
        <v>14</v>
      </c>
      <c r="AE3745" s="4">
        <v>94</v>
      </c>
      <c r="AF3745" s="4">
        <v>0</v>
      </c>
      <c r="AG3745" s="4">
        <v>0</v>
      </c>
      <c r="AH3745" s="4">
        <v>13</v>
      </c>
      <c r="AI3745" s="4">
        <v>89</v>
      </c>
      <c r="AJ3745" s="4">
        <v>2</v>
      </c>
      <c r="AK3745" s="4">
        <v>10</v>
      </c>
      <c r="AL3745" s="4">
        <v>9</v>
      </c>
      <c r="AM3745" s="4">
        <v>51</v>
      </c>
      <c r="AN3745" s="4">
        <v>0</v>
      </c>
      <c r="AO3745" s="4">
        <v>0</v>
      </c>
      <c r="AP3745" s="4">
        <v>3</v>
      </c>
      <c r="AQ3745" s="4">
        <v>12</v>
      </c>
      <c r="AR3745" s="3" t="s">
        <v>63</v>
      </c>
      <c r="AS3745" s="3" t="s">
        <v>63</v>
      </c>
      <c r="AT3745" s="3" t="s">
        <v>63</v>
      </c>
      <c r="AV3745" s="6" t="str">
        <f>HYPERLINK("http://mcgill.on.worldcat.org/oclc/39173077","Catalog Record")</f>
        <v>Catalog Record</v>
      </c>
      <c r="AW3745" s="6" t="str">
        <f>HYPERLINK("http://www.worldcat.org/oclc/39173077","WorldCat Record")</f>
        <v>WorldCat Record</v>
      </c>
      <c r="AX3745" s="3" t="s">
        <v>31812</v>
      </c>
      <c r="AY3745" s="3" t="s">
        <v>31813</v>
      </c>
      <c r="AZ3745" s="3" t="s">
        <v>31814</v>
      </c>
      <c r="BA3745" s="3" t="s">
        <v>31814</v>
      </c>
      <c r="BB3745" s="3" t="s">
        <v>31815</v>
      </c>
      <c r="BC3745" s="3" t="s">
        <v>82</v>
      </c>
      <c r="BD3745" s="3" t="s">
        <v>70</v>
      </c>
      <c r="BE3745" s="3" t="s">
        <v>31816</v>
      </c>
      <c r="BF3745" s="3" t="s">
        <v>31815</v>
      </c>
      <c r="BG3745" s="3" t="s">
        <v>31817</v>
      </c>
    </row>
    <row r="3746" spans="1:59" ht="60" x14ac:dyDescent="0.25">
      <c r="A3746" s="2" t="s">
        <v>59</v>
      </c>
      <c r="B3746" s="2" t="s">
        <v>60</v>
      </c>
      <c r="C3746" s="2" t="s">
        <v>31818</v>
      </c>
      <c r="D3746" s="2" t="s">
        <v>31819</v>
      </c>
      <c r="E3746" s="2" t="s">
        <v>31820</v>
      </c>
      <c r="G3746" s="3" t="s">
        <v>63</v>
      </c>
      <c r="I3746" s="3" t="s">
        <v>63</v>
      </c>
      <c r="J3746" s="3" t="s">
        <v>63</v>
      </c>
      <c r="K3746" s="3" t="s">
        <v>64</v>
      </c>
      <c r="L3746" s="2" t="s">
        <v>31810</v>
      </c>
      <c r="M3746" s="2" t="s">
        <v>31821</v>
      </c>
      <c r="N3746" s="3" t="s">
        <v>274</v>
      </c>
      <c r="P3746" s="3" t="s">
        <v>548</v>
      </c>
      <c r="R3746" s="3" t="s">
        <v>67</v>
      </c>
      <c r="S3746" s="4">
        <v>6</v>
      </c>
      <c r="T3746" s="4">
        <v>6</v>
      </c>
      <c r="U3746" s="5" t="s">
        <v>27091</v>
      </c>
      <c r="V3746" s="5" t="s">
        <v>27091</v>
      </c>
      <c r="W3746" s="5" t="s">
        <v>69</v>
      </c>
      <c r="X3746" s="5" t="s">
        <v>69</v>
      </c>
      <c r="Y3746" s="4">
        <v>24</v>
      </c>
      <c r="Z3746" s="4">
        <v>5</v>
      </c>
      <c r="AA3746" s="4">
        <v>5</v>
      </c>
      <c r="AB3746" s="4">
        <v>4</v>
      </c>
      <c r="AC3746" s="4">
        <v>4</v>
      </c>
      <c r="AD3746" s="4">
        <v>4</v>
      </c>
      <c r="AE3746" s="4">
        <v>4</v>
      </c>
      <c r="AF3746" s="4">
        <v>2</v>
      </c>
      <c r="AG3746" s="4">
        <v>2</v>
      </c>
      <c r="AH3746" s="4">
        <v>2</v>
      </c>
      <c r="AI3746" s="4">
        <v>2</v>
      </c>
      <c r="AJ3746" s="4">
        <v>3</v>
      </c>
      <c r="AK3746" s="4">
        <v>3</v>
      </c>
      <c r="AL3746" s="4">
        <v>1</v>
      </c>
      <c r="AM3746" s="4">
        <v>1</v>
      </c>
      <c r="AN3746" s="4">
        <v>0</v>
      </c>
      <c r="AO3746" s="4">
        <v>0</v>
      </c>
      <c r="AP3746" s="4">
        <v>2</v>
      </c>
      <c r="AQ3746" s="4">
        <v>2</v>
      </c>
      <c r="AR3746" s="3" t="s">
        <v>63</v>
      </c>
      <c r="AS3746" s="3" t="s">
        <v>63</v>
      </c>
      <c r="AT3746" s="3" t="s">
        <v>63</v>
      </c>
      <c r="AV3746" s="6" t="str">
        <f>HYPERLINK("http://mcgill.on.worldcat.org/oclc/41858596","Catalog Record")</f>
        <v>Catalog Record</v>
      </c>
      <c r="AW3746" s="6" t="str">
        <f>HYPERLINK("http://www.worldcat.org/oclc/41858596","WorldCat Record")</f>
        <v>WorldCat Record</v>
      </c>
      <c r="AX3746" s="3" t="s">
        <v>31822</v>
      </c>
      <c r="AY3746" s="3" t="s">
        <v>31823</v>
      </c>
      <c r="AZ3746" s="3" t="s">
        <v>31824</v>
      </c>
      <c r="BA3746" s="3" t="s">
        <v>31824</v>
      </c>
      <c r="BB3746" s="3" t="s">
        <v>31825</v>
      </c>
      <c r="BC3746" s="3" t="s">
        <v>82</v>
      </c>
      <c r="BD3746" s="3" t="s">
        <v>70</v>
      </c>
      <c r="BE3746" s="3" t="s">
        <v>31826</v>
      </c>
      <c r="BF3746" s="3" t="s">
        <v>31825</v>
      </c>
      <c r="BG3746" s="3" t="s">
        <v>31827</v>
      </c>
    </row>
    <row r="3747" spans="1:59" ht="60" x14ac:dyDescent="0.25">
      <c r="A3747" s="2" t="s">
        <v>59</v>
      </c>
      <c r="B3747" s="2" t="s">
        <v>60</v>
      </c>
      <c r="C3747" s="2" t="s">
        <v>31828</v>
      </c>
      <c r="D3747" s="2" t="s">
        <v>31829</v>
      </c>
      <c r="E3747" s="2" t="s">
        <v>31830</v>
      </c>
      <c r="G3747" s="3" t="s">
        <v>63</v>
      </c>
      <c r="I3747" s="3" t="s">
        <v>63</v>
      </c>
      <c r="J3747" s="3" t="s">
        <v>63</v>
      </c>
      <c r="K3747" s="3" t="s">
        <v>64</v>
      </c>
      <c r="L3747" s="2" t="s">
        <v>31810</v>
      </c>
      <c r="M3747" s="2" t="s">
        <v>31831</v>
      </c>
      <c r="N3747" s="3" t="s">
        <v>190</v>
      </c>
      <c r="P3747" s="3" t="s">
        <v>90</v>
      </c>
      <c r="R3747" s="3" t="s">
        <v>67</v>
      </c>
      <c r="S3747" s="4">
        <v>9</v>
      </c>
      <c r="T3747" s="4">
        <v>9</v>
      </c>
      <c r="U3747" s="5" t="s">
        <v>10418</v>
      </c>
      <c r="V3747" s="5" t="s">
        <v>10418</v>
      </c>
      <c r="W3747" s="5" t="s">
        <v>69</v>
      </c>
      <c r="X3747" s="5" t="s">
        <v>69</v>
      </c>
      <c r="Y3747" s="4">
        <v>74</v>
      </c>
      <c r="Z3747" s="4">
        <v>6</v>
      </c>
      <c r="AA3747" s="4">
        <v>7</v>
      </c>
      <c r="AB3747" s="4">
        <v>1</v>
      </c>
      <c r="AC3747" s="4">
        <v>1</v>
      </c>
      <c r="AD3747" s="4">
        <v>41</v>
      </c>
      <c r="AE3747" s="4">
        <v>43</v>
      </c>
      <c r="AF3747" s="4">
        <v>0</v>
      </c>
      <c r="AG3747" s="4">
        <v>0</v>
      </c>
      <c r="AH3747" s="4">
        <v>41</v>
      </c>
      <c r="AI3747" s="4">
        <v>43</v>
      </c>
      <c r="AJ3747" s="4">
        <v>3</v>
      </c>
      <c r="AK3747" s="4">
        <v>3</v>
      </c>
      <c r="AL3747" s="4">
        <v>34</v>
      </c>
      <c r="AM3747" s="4">
        <v>35</v>
      </c>
      <c r="AN3747" s="4">
        <v>0</v>
      </c>
      <c r="AO3747" s="4">
        <v>0</v>
      </c>
      <c r="AP3747" s="4">
        <v>3</v>
      </c>
      <c r="AQ3747" s="4">
        <v>3</v>
      </c>
      <c r="AR3747" s="3" t="s">
        <v>63</v>
      </c>
      <c r="AS3747" s="3" t="s">
        <v>63</v>
      </c>
      <c r="AT3747" s="3" t="s">
        <v>62</v>
      </c>
      <c r="AU3747" s="6" t="str">
        <f>HYPERLINK("http://catalog.hathitrust.org/Record/005144752","HathiTrust Record")</f>
        <v>HathiTrust Record</v>
      </c>
      <c r="AV3747" s="6" t="str">
        <f>HYPERLINK("http://mcgill.on.worldcat.org/oclc/63516880","Catalog Record")</f>
        <v>Catalog Record</v>
      </c>
      <c r="AW3747" s="6" t="str">
        <f>HYPERLINK("http://www.worldcat.org/oclc/63516880","WorldCat Record")</f>
        <v>WorldCat Record</v>
      </c>
      <c r="AX3747" s="3" t="s">
        <v>31832</v>
      </c>
      <c r="AY3747" s="3" t="s">
        <v>31833</v>
      </c>
      <c r="AZ3747" s="3" t="s">
        <v>31834</v>
      </c>
      <c r="BA3747" s="3" t="s">
        <v>31834</v>
      </c>
      <c r="BB3747" s="3" t="s">
        <v>31835</v>
      </c>
      <c r="BC3747" s="3" t="s">
        <v>82</v>
      </c>
      <c r="BD3747" s="3" t="s">
        <v>70</v>
      </c>
      <c r="BE3747" s="3" t="s">
        <v>31836</v>
      </c>
      <c r="BF3747" s="3" t="s">
        <v>31835</v>
      </c>
      <c r="BG3747" s="3" t="s">
        <v>31837</v>
      </c>
    </row>
    <row r="3748" spans="1:59" ht="60" x14ac:dyDescent="0.25">
      <c r="A3748" s="2" t="s">
        <v>59</v>
      </c>
      <c r="B3748" s="2" t="s">
        <v>60</v>
      </c>
      <c r="C3748" s="2" t="s">
        <v>31838</v>
      </c>
      <c r="D3748" s="2" t="s">
        <v>31839</v>
      </c>
      <c r="E3748" s="2" t="s">
        <v>31840</v>
      </c>
      <c r="G3748" s="3" t="s">
        <v>63</v>
      </c>
      <c r="I3748" s="3" t="s">
        <v>63</v>
      </c>
      <c r="J3748" s="3" t="s">
        <v>63</v>
      </c>
      <c r="K3748" s="3" t="s">
        <v>64</v>
      </c>
      <c r="L3748" s="2" t="s">
        <v>31810</v>
      </c>
      <c r="M3748" s="2" t="s">
        <v>31831</v>
      </c>
      <c r="N3748" s="3" t="s">
        <v>190</v>
      </c>
      <c r="P3748" s="3" t="s">
        <v>90</v>
      </c>
      <c r="R3748" s="3" t="s">
        <v>67</v>
      </c>
      <c r="S3748" s="4">
        <v>6</v>
      </c>
      <c r="T3748" s="4">
        <v>6</v>
      </c>
      <c r="U3748" s="5" t="s">
        <v>26545</v>
      </c>
      <c r="V3748" s="5" t="s">
        <v>26545</v>
      </c>
      <c r="W3748" s="5" t="s">
        <v>69</v>
      </c>
      <c r="X3748" s="5" t="s">
        <v>69</v>
      </c>
      <c r="Y3748" s="4">
        <v>65</v>
      </c>
      <c r="Z3748" s="4">
        <v>5</v>
      </c>
      <c r="AA3748" s="4">
        <v>6</v>
      </c>
      <c r="AB3748" s="4">
        <v>1</v>
      </c>
      <c r="AC3748" s="4">
        <v>1</v>
      </c>
      <c r="AD3748" s="4">
        <v>38</v>
      </c>
      <c r="AE3748" s="4">
        <v>46</v>
      </c>
      <c r="AF3748" s="4">
        <v>0</v>
      </c>
      <c r="AG3748" s="4">
        <v>0</v>
      </c>
      <c r="AH3748" s="4">
        <v>37</v>
      </c>
      <c r="AI3748" s="4">
        <v>45</v>
      </c>
      <c r="AJ3748" s="4">
        <v>2</v>
      </c>
      <c r="AK3748" s="4">
        <v>3</v>
      </c>
      <c r="AL3748" s="4">
        <v>30</v>
      </c>
      <c r="AM3748" s="4">
        <v>33</v>
      </c>
      <c r="AN3748" s="4">
        <v>0</v>
      </c>
      <c r="AO3748" s="4">
        <v>0</v>
      </c>
      <c r="AP3748" s="4">
        <v>2</v>
      </c>
      <c r="AQ3748" s="4">
        <v>3</v>
      </c>
      <c r="AR3748" s="3" t="s">
        <v>63</v>
      </c>
      <c r="AS3748" s="3" t="s">
        <v>63</v>
      </c>
      <c r="AT3748" s="3" t="s">
        <v>62</v>
      </c>
      <c r="AU3748" s="6" t="str">
        <f>HYPERLINK("http://catalog.hathitrust.org/Record/005135626","HathiTrust Record")</f>
        <v>HathiTrust Record</v>
      </c>
      <c r="AV3748" s="6" t="str">
        <f>HYPERLINK("http://mcgill.on.worldcat.org/oclc/63516853","Catalog Record")</f>
        <v>Catalog Record</v>
      </c>
      <c r="AW3748" s="6" t="str">
        <f>HYPERLINK("http://www.worldcat.org/oclc/63516853","WorldCat Record")</f>
        <v>WorldCat Record</v>
      </c>
      <c r="AX3748" s="3" t="s">
        <v>31841</v>
      </c>
      <c r="AY3748" s="3" t="s">
        <v>31842</v>
      </c>
      <c r="AZ3748" s="3" t="s">
        <v>31843</v>
      </c>
      <c r="BA3748" s="3" t="s">
        <v>31843</v>
      </c>
      <c r="BB3748" s="3" t="s">
        <v>31844</v>
      </c>
      <c r="BC3748" s="3" t="s">
        <v>82</v>
      </c>
      <c r="BD3748" s="3" t="s">
        <v>70</v>
      </c>
      <c r="BE3748" s="3" t="s">
        <v>31845</v>
      </c>
      <c r="BF3748" s="3" t="s">
        <v>31844</v>
      </c>
      <c r="BG3748" s="3" t="s">
        <v>31846</v>
      </c>
    </row>
    <row r="3749" spans="1:59" ht="60" x14ac:dyDescent="0.25">
      <c r="A3749" s="2" t="s">
        <v>59</v>
      </c>
      <c r="B3749" s="2" t="s">
        <v>60</v>
      </c>
      <c r="C3749" s="2" t="s">
        <v>31847</v>
      </c>
      <c r="D3749" s="2" t="s">
        <v>31848</v>
      </c>
      <c r="E3749" s="2" t="s">
        <v>31849</v>
      </c>
      <c r="G3749" s="3" t="s">
        <v>63</v>
      </c>
      <c r="I3749" s="3" t="s">
        <v>63</v>
      </c>
      <c r="J3749" s="3" t="s">
        <v>63</v>
      </c>
      <c r="K3749" s="3" t="s">
        <v>64</v>
      </c>
      <c r="L3749" s="2" t="s">
        <v>31810</v>
      </c>
      <c r="M3749" s="2" t="s">
        <v>10743</v>
      </c>
      <c r="N3749" s="3" t="s">
        <v>629</v>
      </c>
      <c r="P3749" s="3" t="s">
        <v>90</v>
      </c>
      <c r="R3749" s="3" t="s">
        <v>67</v>
      </c>
      <c r="S3749" s="4">
        <v>4</v>
      </c>
      <c r="T3749" s="4">
        <v>4</v>
      </c>
      <c r="U3749" s="5" t="s">
        <v>31850</v>
      </c>
      <c r="V3749" s="5" t="s">
        <v>31850</v>
      </c>
      <c r="W3749" s="5" t="s">
        <v>69</v>
      </c>
      <c r="X3749" s="5" t="s">
        <v>69</v>
      </c>
      <c r="Y3749" s="4">
        <v>43</v>
      </c>
      <c r="Z3749" s="4">
        <v>4</v>
      </c>
      <c r="AA3749" s="4">
        <v>6</v>
      </c>
      <c r="AB3749" s="4">
        <v>1</v>
      </c>
      <c r="AC3749" s="4">
        <v>2</v>
      </c>
      <c r="AD3749" s="4">
        <v>24</v>
      </c>
      <c r="AE3749" s="4">
        <v>25</v>
      </c>
      <c r="AF3749" s="4">
        <v>0</v>
      </c>
      <c r="AG3749" s="4">
        <v>0</v>
      </c>
      <c r="AH3749" s="4">
        <v>24</v>
      </c>
      <c r="AI3749" s="4">
        <v>25</v>
      </c>
      <c r="AJ3749" s="4">
        <v>1</v>
      </c>
      <c r="AK3749" s="4">
        <v>2</v>
      </c>
      <c r="AL3749" s="4">
        <v>20</v>
      </c>
      <c r="AM3749" s="4">
        <v>20</v>
      </c>
      <c r="AN3749" s="4">
        <v>0</v>
      </c>
      <c r="AO3749" s="4">
        <v>0</v>
      </c>
      <c r="AP3749" s="4">
        <v>1</v>
      </c>
      <c r="AQ3749" s="4">
        <v>2</v>
      </c>
      <c r="AR3749" s="3" t="s">
        <v>63</v>
      </c>
      <c r="AS3749" s="3" t="s">
        <v>63</v>
      </c>
      <c r="AT3749" s="3" t="s">
        <v>63</v>
      </c>
      <c r="AV3749" s="6" t="str">
        <f>HYPERLINK("http://mcgill.on.worldcat.org/oclc/706966568","Catalog Record")</f>
        <v>Catalog Record</v>
      </c>
      <c r="AW3749" s="6" t="str">
        <f>HYPERLINK("http://www.worldcat.org/oclc/706966568","WorldCat Record")</f>
        <v>WorldCat Record</v>
      </c>
      <c r="AX3749" s="3" t="s">
        <v>31851</v>
      </c>
      <c r="AY3749" s="3" t="s">
        <v>31852</v>
      </c>
      <c r="AZ3749" s="3" t="s">
        <v>31853</v>
      </c>
      <c r="BA3749" s="3" t="s">
        <v>31853</v>
      </c>
      <c r="BB3749" s="3" t="s">
        <v>31854</v>
      </c>
      <c r="BC3749" s="3" t="s">
        <v>82</v>
      </c>
      <c r="BD3749" s="3" t="s">
        <v>70</v>
      </c>
      <c r="BE3749" s="3" t="s">
        <v>31855</v>
      </c>
      <c r="BF3749" s="3" t="s">
        <v>31854</v>
      </c>
      <c r="BG3749" s="3" t="s">
        <v>31856</v>
      </c>
    </row>
    <row r="3750" spans="1:59" ht="60" x14ac:dyDescent="0.25">
      <c r="A3750" s="2" t="s">
        <v>59</v>
      </c>
      <c r="B3750" s="2" t="s">
        <v>60</v>
      </c>
      <c r="C3750" s="2" t="s">
        <v>31857</v>
      </c>
      <c r="D3750" s="2" t="s">
        <v>31858</v>
      </c>
      <c r="E3750" s="2" t="s">
        <v>31859</v>
      </c>
      <c r="G3750" s="3" t="s">
        <v>63</v>
      </c>
      <c r="I3750" s="3" t="s">
        <v>63</v>
      </c>
      <c r="J3750" s="3" t="s">
        <v>63</v>
      </c>
      <c r="K3750" s="3" t="s">
        <v>64</v>
      </c>
      <c r="L3750" s="2" t="s">
        <v>31810</v>
      </c>
      <c r="M3750" s="2" t="s">
        <v>31860</v>
      </c>
      <c r="N3750" s="3" t="s">
        <v>204</v>
      </c>
      <c r="P3750" s="3" t="s">
        <v>90</v>
      </c>
      <c r="R3750" s="3" t="s">
        <v>67</v>
      </c>
      <c r="S3750" s="4">
        <v>35</v>
      </c>
      <c r="T3750" s="4">
        <v>35</v>
      </c>
      <c r="U3750" s="5" t="s">
        <v>694</v>
      </c>
      <c r="V3750" s="5" t="s">
        <v>694</v>
      </c>
      <c r="W3750" s="5" t="s">
        <v>69</v>
      </c>
      <c r="X3750" s="5" t="s">
        <v>69</v>
      </c>
      <c r="Y3750" s="4">
        <v>86</v>
      </c>
      <c r="Z3750" s="4">
        <v>4</v>
      </c>
      <c r="AA3750" s="4">
        <v>8</v>
      </c>
      <c r="AB3750" s="4">
        <v>1</v>
      </c>
      <c r="AC3750" s="4">
        <v>1</v>
      </c>
      <c r="AD3750" s="4">
        <v>52</v>
      </c>
      <c r="AE3750" s="4">
        <v>58</v>
      </c>
      <c r="AF3750" s="4">
        <v>0</v>
      </c>
      <c r="AG3750" s="4">
        <v>0</v>
      </c>
      <c r="AH3750" s="4">
        <v>51</v>
      </c>
      <c r="AI3750" s="4">
        <v>57</v>
      </c>
      <c r="AJ3750" s="4">
        <v>3</v>
      </c>
      <c r="AK3750" s="4">
        <v>4</v>
      </c>
      <c r="AL3750" s="4">
        <v>35</v>
      </c>
      <c r="AM3750" s="4">
        <v>38</v>
      </c>
      <c r="AN3750" s="4">
        <v>0</v>
      </c>
      <c r="AO3750" s="4">
        <v>0</v>
      </c>
      <c r="AP3750" s="4">
        <v>3</v>
      </c>
      <c r="AQ3750" s="4">
        <v>4</v>
      </c>
      <c r="AR3750" s="3" t="s">
        <v>63</v>
      </c>
      <c r="AS3750" s="3" t="s">
        <v>63</v>
      </c>
      <c r="AT3750" s="3" t="s">
        <v>62</v>
      </c>
      <c r="AU3750" s="6" t="str">
        <f>HYPERLINK("http://catalog.hathitrust.org/Record/003269726","HathiTrust Record")</f>
        <v>HathiTrust Record</v>
      </c>
      <c r="AV3750" s="6" t="str">
        <f>HYPERLINK("http://mcgill.on.worldcat.org/oclc/36125159","Catalog Record")</f>
        <v>Catalog Record</v>
      </c>
      <c r="AW3750" s="6" t="str">
        <f>HYPERLINK("http://www.worldcat.org/oclc/36125159","WorldCat Record")</f>
        <v>WorldCat Record</v>
      </c>
      <c r="AX3750" s="3" t="s">
        <v>31861</v>
      </c>
      <c r="AY3750" s="3" t="s">
        <v>31862</v>
      </c>
      <c r="AZ3750" s="3" t="s">
        <v>31863</v>
      </c>
      <c r="BA3750" s="3" t="s">
        <v>31863</v>
      </c>
      <c r="BB3750" s="3" t="s">
        <v>31864</v>
      </c>
      <c r="BC3750" s="3" t="s">
        <v>82</v>
      </c>
      <c r="BD3750" s="3" t="s">
        <v>70</v>
      </c>
      <c r="BE3750" s="3" t="s">
        <v>31865</v>
      </c>
      <c r="BF3750" s="3" t="s">
        <v>31864</v>
      </c>
      <c r="BG3750" s="3" t="s">
        <v>31866</v>
      </c>
    </row>
    <row r="3751" spans="1:59" ht="60" x14ac:dyDescent="0.25">
      <c r="A3751" s="2" t="s">
        <v>59</v>
      </c>
      <c r="B3751" s="2" t="s">
        <v>60</v>
      </c>
      <c r="C3751" s="2" t="s">
        <v>31867</v>
      </c>
      <c r="D3751" s="2" t="s">
        <v>31868</v>
      </c>
      <c r="E3751" s="2" t="s">
        <v>31869</v>
      </c>
      <c r="G3751" s="3" t="s">
        <v>63</v>
      </c>
      <c r="I3751" s="3" t="s">
        <v>63</v>
      </c>
      <c r="J3751" s="3" t="s">
        <v>63</v>
      </c>
      <c r="K3751" s="3" t="s">
        <v>64</v>
      </c>
      <c r="L3751" s="2" t="s">
        <v>31810</v>
      </c>
      <c r="M3751" s="2" t="s">
        <v>31870</v>
      </c>
      <c r="N3751" s="3" t="s">
        <v>274</v>
      </c>
      <c r="P3751" s="3" t="s">
        <v>66</v>
      </c>
      <c r="R3751" s="3" t="s">
        <v>67</v>
      </c>
      <c r="S3751" s="4">
        <v>10</v>
      </c>
      <c r="T3751" s="4">
        <v>10</v>
      </c>
      <c r="U3751" s="5" t="s">
        <v>26152</v>
      </c>
      <c r="V3751" s="5" t="s">
        <v>26152</v>
      </c>
      <c r="W3751" s="5" t="s">
        <v>69</v>
      </c>
      <c r="X3751" s="5" t="s">
        <v>69</v>
      </c>
      <c r="Y3751" s="4">
        <v>126</v>
      </c>
      <c r="Z3751" s="4">
        <v>13</v>
      </c>
      <c r="AA3751" s="4">
        <v>15</v>
      </c>
      <c r="AB3751" s="4">
        <v>1</v>
      </c>
      <c r="AC3751" s="4">
        <v>1</v>
      </c>
      <c r="AD3751" s="4">
        <v>47</v>
      </c>
      <c r="AE3751" s="4">
        <v>53</v>
      </c>
      <c r="AF3751" s="4">
        <v>0</v>
      </c>
      <c r="AG3751" s="4">
        <v>0</v>
      </c>
      <c r="AH3751" s="4">
        <v>43</v>
      </c>
      <c r="AI3751" s="4">
        <v>48</v>
      </c>
      <c r="AJ3751" s="4">
        <v>6</v>
      </c>
      <c r="AK3751" s="4">
        <v>7</v>
      </c>
      <c r="AL3751" s="4">
        <v>30</v>
      </c>
      <c r="AM3751" s="4">
        <v>33</v>
      </c>
      <c r="AN3751" s="4">
        <v>0</v>
      </c>
      <c r="AO3751" s="4">
        <v>0</v>
      </c>
      <c r="AP3751" s="4">
        <v>7</v>
      </c>
      <c r="AQ3751" s="4">
        <v>9</v>
      </c>
      <c r="AR3751" s="3" t="s">
        <v>63</v>
      </c>
      <c r="AS3751" s="3" t="s">
        <v>63</v>
      </c>
      <c r="AT3751" s="3" t="s">
        <v>63</v>
      </c>
      <c r="AV3751" s="6" t="str">
        <f>HYPERLINK("http://mcgill.on.worldcat.org/oclc/42039775","Catalog Record")</f>
        <v>Catalog Record</v>
      </c>
      <c r="AW3751" s="6" t="str">
        <f>HYPERLINK("http://www.worldcat.org/oclc/42039775","WorldCat Record")</f>
        <v>WorldCat Record</v>
      </c>
      <c r="AX3751" s="3" t="s">
        <v>31871</v>
      </c>
      <c r="AY3751" s="3" t="s">
        <v>31872</v>
      </c>
      <c r="AZ3751" s="3" t="s">
        <v>31873</v>
      </c>
      <c r="BA3751" s="3" t="s">
        <v>31873</v>
      </c>
      <c r="BB3751" s="3" t="s">
        <v>31874</v>
      </c>
      <c r="BC3751" s="3" t="s">
        <v>82</v>
      </c>
      <c r="BD3751" s="3" t="s">
        <v>70</v>
      </c>
      <c r="BE3751" s="3" t="s">
        <v>31875</v>
      </c>
      <c r="BF3751" s="3" t="s">
        <v>31874</v>
      </c>
      <c r="BG3751" s="3" t="s">
        <v>31876</v>
      </c>
    </row>
    <row r="3752" spans="1:59" ht="60" x14ac:dyDescent="0.25">
      <c r="A3752" s="2" t="s">
        <v>59</v>
      </c>
      <c r="B3752" s="2" t="s">
        <v>60</v>
      </c>
      <c r="C3752" s="2" t="s">
        <v>31877</v>
      </c>
      <c r="D3752" s="2" t="s">
        <v>31878</v>
      </c>
      <c r="E3752" s="2" t="s">
        <v>31879</v>
      </c>
      <c r="G3752" s="3" t="s">
        <v>63</v>
      </c>
      <c r="I3752" s="3" t="s">
        <v>63</v>
      </c>
      <c r="J3752" s="3" t="s">
        <v>63</v>
      </c>
      <c r="K3752" s="3" t="s">
        <v>64</v>
      </c>
      <c r="L3752" s="2" t="s">
        <v>31810</v>
      </c>
      <c r="M3752" s="2" t="s">
        <v>31880</v>
      </c>
      <c r="N3752" s="3" t="s">
        <v>234</v>
      </c>
      <c r="P3752" s="3" t="s">
        <v>90</v>
      </c>
      <c r="R3752" s="3" t="s">
        <v>67</v>
      </c>
      <c r="S3752" s="4">
        <v>11</v>
      </c>
      <c r="T3752" s="4">
        <v>11</v>
      </c>
      <c r="U3752" s="5" t="s">
        <v>26945</v>
      </c>
      <c r="V3752" s="5" t="s">
        <v>26945</v>
      </c>
      <c r="W3752" s="5" t="s">
        <v>69</v>
      </c>
      <c r="X3752" s="5" t="s">
        <v>69</v>
      </c>
      <c r="Y3752" s="4">
        <v>76</v>
      </c>
      <c r="Z3752" s="4">
        <v>6</v>
      </c>
      <c r="AA3752" s="4">
        <v>8</v>
      </c>
      <c r="AB3752" s="4">
        <v>1</v>
      </c>
      <c r="AC3752" s="4">
        <v>1</v>
      </c>
      <c r="AD3752" s="4">
        <v>44</v>
      </c>
      <c r="AE3752" s="4">
        <v>48</v>
      </c>
      <c r="AF3752" s="4">
        <v>0</v>
      </c>
      <c r="AG3752" s="4">
        <v>0</v>
      </c>
      <c r="AH3752" s="4">
        <v>41</v>
      </c>
      <c r="AI3752" s="4">
        <v>45</v>
      </c>
      <c r="AJ3752" s="4">
        <v>3</v>
      </c>
      <c r="AK3752" s="4">
        <v>4</v>
      </c>
      <c r="AL3752" s="4">
        <v>34</v>
      </c>
      <c r="AM3752" s="4">
        <v>35</v>
      </c>
      <c r="AN3752" s="4">
        <v>0</v>
      </c>
      <c r="AO3752" s="4">
        <v>0</v>
      </c>
      <c r="AP3752" s="4">
        <v>3</v>
      </c>
      <c r="AQ3752" s="4">
        <v>4</v>
      </c>
      <c r="AR3752" s="3" t="s">
        <v>63</v>
      </c>
      <c r="AS3752" s="3" t="s">
        <v>63</v>
      </c>
      <c r="AT3752" s="3" t="s">
        <v>62</v>
      </c>
      <c r="AU3752" s="6" t="str">
        <f>HYPERLINK("http://catalog.hathitrust.org/Record/005374286","HathiTrust Record")</f>
        <v>HathiTrust Record</v>
      </c>
      <c r="AV3752" s="6" t="str">
        <f>HYPERLINK("http://mcgill.on.worldcat.org/oclc/69498074","Catalog Record")</f>
        <v>Catalog Record</v>
      </c>
      <c r="AW3752" s="6" t="str">
        <f>HYPERLINK("http://www.worldcat.org/oclc/69498074","WorldCat Record")</f>
        <v>WorldCat Record</v>
      </c>
      <c r="AX3752" s="3" t="s">
        <v>31881</v>
      </c>
      <c r="AY3752" s="3" t="s">
        <v>31882</v>
      </c>
      <c r="AZ3752" s="3" t="s">
        <v>31883</v>
      </c>
      <c r="BA3752" s="3" t="s">
        <v>31883</v>
      </c>
      <c r="BB3752" s="3" t="s">
        <v>31884</v>
      </c>
      <c r="BC3752" s="3" t="s">
        <v>82</v>
      </c>
      <c r="BD3752" s="3" t="s">
        <v>70</v>
      </c>
      <c r="BE3752" s="3" t="s">
        <v>31885</v>
      </c>
      <c r="BF3752" s="3" t="s">
        <v>31884</v>
      </c>
      <c r="BG3752" s="3" t="s">
        <v>31886</v>
      </c>
    </row>
    <row r="3753" spans="1:59" ht="60" x14ac:dyDescent="0.25">
      <c r="A3753" s="2" t="s">
        <v>59</v>
      </c>
      <c r="B3753" s="2" t="s">
        <v>60</v>
      </c>
      <c r="C3753" s="2" t="s">
        <v>31887</v>
      </c>
      <c r="D3753" s="2" t="s">
        <v>31888</v>
      </c>
      <c r="E3753" s="2" t="s">
        <v>31889</v>
      </c>
      <c r="G3753" s="3" t="s">
        <v>63</v>
      </c>
      <c r="I3753" s="3" t="s">
        <v>63</v>
      </c>
      <c r="J3753" s="3" t="s">
        <v>63</v>
      </c>
      <c r="K3753" s="3" t="s">
        <v>64</v>
      </c>
      <c r="L3753" s="2" t="s">
        <v>31810</v>
      </c>
      <c r="M3753" s="2" t="s">
        <v>31890</v>
      </c>
      <c r="N3753" s="3" t="s">
        <v>1226</v>
      </c>
      <c r="P3753" s="3" t="s">
        <v>90</v>
      </c>
      <c r="R3753" s="3" t="s">
        <v>67</v>
      </c>
      <c r="S3753" s="4">
        <v>9</v>
      </c>
      <c r="T3753" s="4">
        <v>9</v>
      </c>
      <c r="U3753" s="5" t="s">
        <v>31891</v>
      </c>
      <c r="V3753" s="5" t="s">
        <v>31891</v>
      </c>
      <c r="W3753" s="5" t="s">
        <v>69</v>
      </c>
      <c r="X3753" s="5" t="s">
        <v>69</v>
      </c>
      <c r="Y3753" s="4">
        <v>124</v>
      </c>
      <c r="Z3753" s="4">
        <v>7</v>
      </c>
      <c r="AA3753" s="4">
        <v>14</v>
      </c>
      <c r="AB3753" s="4">
        <v>1</v>
      </c>
      <c r="AC3753" s="4">
        <v>2</v>
      </c>
      <c r="AD3753" s="4">
        <v>54</v>
      </c>
      <c r="AE3753" s="4">
        <v>63</v>
      </c>
      <c r="AF3753" s="4">
        <v>0</v>
      </c>
      <c r="AG3753" s="4">
        <v>0</v>
      </c>
      <c r="AH3753" s="4">
        <v>50</v>
      </c>
      <c r="AI3753" s="4">
        <v>57</v>
      </c>
      <c r="AJ3753" s="4">
        <v>5</v>
      </c>
      <c r="AK3753" s="4">
        <v>7</v>
      </c>
      <c r="AL3753" s="4">
        <v>37</v>
      </c>
      <c r="AM3753" s="4">
        <v>40</v>
      </c>
      <c r="AN3753" s="4">
        <v>0</v>
      </c>
      <c r="AO3753" s="4">
        <v>0</v>
      </c>
      <c r="AP3753" s="4">
        <v>5</v>
      </c>
      <c r="AQ3753" s="4">
        <v>7</v>
      </c>
      <c r="AR3753" s="3" t="s">
        <v>63</v>
      </c>
      <c r="AS3753" s="3" t="s">
        <v>63</v>
      </c>
      <c r="AT3753" s="3" t="s">
        <v>63</v>
      </c>
      <c r="AV3753" s="6" t="str">
        <f>HYPERLINK("http://mcgill.on.worldcat.org/oclc/53196952","Catalog Record")</f>
        <v>Catalog Record</v>
      </c>
      <c r="AW3753" s="6" t="str">
        <f>HYPERLINK("http://www.worldcat.org/oclc/53196952","WorldCat Record")</f>
        <v>WorldCat Record</v>
      </c>
      <c r="AX3753" s="3" t="s">
        <v>31892</v>
      </c>
      <c r="AY3753" s="3" t="s">
        <v>31893</v>
      </c>
      <c r="AZ3753" s="3" t="s">
        <v>31894</v>
      </c>
      <c r="BA3753" s="3" t="s">
        <v>31894</v>
      </c>
      <c r="BB3753" s="3" t="s">
        <v>31895</v>
      </c>
      <c r="BC3753" s="3" t="s">
        <v>82</v>
      </c>
      <c r="BD3753" s="3" t="s">
        <v>70</v>
      </c>
      <c r="BE3753" s="3" t="s">
        <v>31896</v>
      </c>
      <c r="BF3753" s="3" t="s">
        <v>31895</v>
      </c>
      <c r="BG3753" s="3" t="s">
        <v>31897</v>
      </c>
    </row>
    <row r="3754" spans="1:59" ht="60" x14ac:dyDescent="0.25">
      <c r="A3754" s="2" t="s">
        <v>59</v>
      </c>
      <c r="B3754" s="2" t="s">
        <v>60</v>
      </c>
      <c r="C3754" s="2" t="s">
        <v>31898</v>
      </c>
      <c r="D3754" s="2" t="s">
        <v>31899</v>
      </c>
      <c r="E3754" s="2" t="s">
        <v>31900</v>
      </c>
      <c r="G3754" s="3" t="s">
        <v>63</v>
      </c>
      <c r="I3754" s="3" t="s">
        <v>63</v>
      </c>
      <c r="J3754" s="3" t="s">
        <v>63</v>
      </c>
      <c r="K3754" s="3" t="s">
        <v>64</v>
      </c>
      <c r="L3754" s="2" t="s">
        <v>31810</v>
      </c>
      <c r="M3754" s="2" t="s">
        <v>31901</v>
      </c>
      <c r="N3754" s="3" t="s">
        <v>274</v>
      </c>
      <c r="P3754" s="3" t="s">
        <v>90</v>
      </c>
      <c r="R3754" s="3" t="s">
        <v>67</v>
      </c>
      <c r="S3754" s="4">
        <v>39</v>
      </c>
      <c r="T3754" s="4">
        <v>39</v>
      </c>
      <c r="U3754" s="5" t="s">
        <v>11291</v>
      </c>
      <c r="V3754" s="5" t="s">
        <v>11291</v>
      </c>
      <c r="W3754" s="5" t="s">
        <v>69</v>
      </c>
      <c r="X3754" s="5" t="s">
        <v>69</v>
      </c>
      <c r="Y3754" s="4">
        <v>150</v>
      </c>
      <c r="Z3754" s="4">
        <v>7</v>
      </c>
      <c r="AA3754" s="4">
        <v>15</v>
      </c>
      <c r="AB3754" s="4">
        <v>1</v>
      </c>
      <c r="AC3754" s="4">
        <v>2</v>
      </c>
      <c r="AD3754" s="4">
        <v>64</v>
      </c>
      <c r="AE3754" s="4">
        <v>77</v>
      </c>
      <c r="AF3754" s="4">
        <v>0</v>
      </c>
      <c r="AG3754" s="4">
        <v>0</v>
      </c>
      <c r="AH3754" s="4">
        <v>61</v>
      </c>
      <c r="AI3754" s="4">
        <v>72</v>
      </c>
      <c r="AJ3754" s="4">
        <v>5</v>
      </c>
      <c r="AK3754" s="4">
        <v>7</v>
      </c>
      <c r="AL3754" s="4">
        <v>43</v>
      </c>
      <c r="AM3754" s="4">
        <v>52</v>
      </c>
      <c r="AN3754" s="4">
        <v>0</v>
      </c>
      <c r="AO3754" s="4">
        <v>0</v>
      </c>
      <c r="AP3754" s="4">
        <v>5</v>
      </c>
      <c r="AQ3754" s="4">
        <v>7</v>
      </c>
      <c r="AR3754" s="3" t="s">
        <v>63</v>
      </c>
      <c r="AS3754" s="3" t="s">
        <v>63</v>
      </c>
      <c r="AT3754" s="3" t="s">
        <v>62</v>
      </c>
      <c r="AU3754" s="6" t="str">
        <f>HYPERLINK("http://catalog.hathitrust.org/Record/004040993","HathiTrust Record")</f>
        <v>HathiTrust Record</v>
      </c>
      <c r="AV3754" s="6" t="str">
        <f>HYPERLINK("http://mcgill.on.worldcat.org/oclc/41359180","Catalog Record")</f>
        <v>Catalog Record</v>
      </c>
      <c r="AW3754" s="6" t="str">
        <f>HYPERLINK("http://www.worldcat.org/oclc/41359180","WorldCat Record")</f>
        <v>WorldCat Record</v>
      </c>
      <c r="AX3754" s="3" t="s">
        <v>31902</v>
      </c>
      <c r="AY3754" s="3" t="s">
        <v>31903</v>
      </c>
      <c r="AZ3754" s="3" t="s">
        <v>31904</v>
      </c>
      <c r="BA3754" s="3" t="s">
        <v>31904</v>
      </c>
      <c r="BB3754" s="3" t="s">
        <v>31905</v>
      </c>
      <c r="BC3754" s="3" t="s">
        <v>82</v>
      </c>
      <c r="BD3754" s="3" t="s">
        <v>70</v>
      </c>
      <c r="BE3754" s="3" t="s">
        <v>31906</v>
      </c>
      <c r="BF3754" s="3" t="s">
        <v>31905</v>
      </c>
      <c r="BG3754" s="3" t="s">
        <v>31907</v>
      </c>
    </row>
    <row r="3755" spans="1:59" ht="60" x14ac:dyDescent="0.25">
      <c r="A3755" s="2" t="s">
        <v>59</v>
      </c>
      <c r="B3755" s="2" t="s">
        <v>60</v>
      </c>
      <c r="C3755" s="2" t="s">
        <v>31908</v>
      </c>
      <c r="D3755" s="2" t="s">
        <v>31909</v>
      </c>
      <c r="E3755" s="2" t="s">
        <v>31910</v>
      </c>
      <c r="G3755" s="3" t="s">
        <v>63</v>
      </c>
      <c r="I3755" s="3" t="s">
        <v>63</v>
      </c>
      <c r="J3755" s="3" t="s">
        <v>63</v>
      </c>
      <c r="K3755" s="3" t="s">
        <v>64</v>
      </c>
      <c r="L3755" s="2" t="s">
        <v>31810</v>
      </c>
      <c r="M3755" s="2" t="s">
        <v>31911</v>
      </c>
      <c r="N3755" s="3" t="s">
        <v>2103</v>
      </c>
      <c r="O3755" s="2" t="s">
        <v>23323</v>
      </c>
      <c r="P3755" s="3" t="s">
        <v>66</v>
      </c>
      <c r="R3755" s="3" t="s">
        <v>67</v>
      </c>
      <c r="S3755" s="4">
        <v>37</v>
      </c>
      <c r="T3755" s="4">
        <v>37</v>
      </c>
      <c r="U3755" s="5" t="s">
        <v>11291</v>
      </c>
      <c r="V3755" s="5" t="s">
        <v>11291</v>
      </c>
      <c r="W3755" s="5" t="s">
        <v>69</v>
      </c>
      <c r="X3755" s="5" t="s">
        <v>69</v>
      </c>
      <c r="Y3755" s="4">
        <v>339</v>
      </c>
      <c r="Z3755" s="4">
        <v>19</v>
      </c>
      <c r="AA3755" s="4">
        <v>23</v>
      </c>
      <c r="AB3755" s="4">
        <v>2</v>
      </c>
      <c r="AC3755" s="4">
        <v>3</v>
      </c>
      <c r="AD3755" s="4">
        <v>71</v>
      </c>
      <c r="AE3755" s="4">
        <v>80</v>
      </c>
      <c r="AF3755" s="4">
        <v>0</v>
      </c>
      <c r="AG3755" s="4">
        <v>0</v>
      </c>
      <c r="AH3755" s="4">
        <v>66</v>
      </c>
      <c r="AI3755" s="4">
        <v>73</v>
      </c>
      <c r="AJ3755" s="4">
        <v>9</v>
      </c>
      <c r="AK3755" s="4">
        <v>11</v>
      </c>
      <c r="AL3755" s="4">
        <v>39</v>
      </c>
      <c r="AM3755" s="4">
        <v>46</v>
      </c>
      <c r="AN3755" s="4">
        <v>0</v>
      </c>
      <c r="AO3755" s="4">
        <v>0</v>
      </c>
      <c r="AP3755" s="4">
        <v>9</v>
      </c>
      <c r="AQ3755" s="4">
        <v>11</v>
      </c>
      <c r="AR3755" s="3" t="s">
        <v>63</v>
      </c>
      <c r="AS3755" s="3" t="s">
        <v>63</v>
      </c>
      <c r="AT3755" s="3" t="s">
        <v>62</v>
      </c>
      <c r="AU3755" s="6" t="str">
        <f>HYPERLINK("http://catalog.hathitrust.org/Record/004264743","HathiTrust Record")</f>
        <v>HathiTrust Record</v>
      </c>
      <c r="AV3755" s="6" t="str">
        <f>HYPERLINK("http://mcgill.on.worldcat.org/oclc/48223720","Catalog Record")</f>
        <v>Catalog Record</v>
      </c>
      <c r="AW3755" s="6" t="str">
        <f>HYPERLINK("http://www.worldcat.org/oclc/48223720","WorldCat Record")</f>
        <v>WorldCat Record</v>
      </c>
      <c r="AX3755" s="3" t="s">
        <v>31912</v>
      </c>
      <c r="AY3755" s="3" t="s">
        <v>31913</v>
      </c>
      <c r="AZ3755" s="3" t="s">
        <v>31914</v>
      </c>
      <c r="BA3755" s="3" t="s">
        <v>31914</v>
      </c>
      <c r="BB3755" s="3" t="s">
        <v>31915</v>
      </c>
      <c r="BC3755" s="3" t="s">
        <v>82</v>
      </c>
      <c r="BD3755" s="3" t="s">
        <v>70</v>
      </c>
      <c r="BE3755" s="3" t="s">
        <v>31916</v>
      </c>
      <c r="BF3755" s="3" t="s">
        <v>31915</v>
      </c>
      <c r="BG3755" s="3" t="s">
        <v>31917</v>
      </c>
    </row>
    <row r="3756" spans="1:59" ht="60" x14ac:dyDescent="0.25">
      <c r="A3756" s="2" t="s">
        <v>59</v>
      </c>
      <c r="B3756" s="2" t="s">
        <v>60</v>
      </c>
      <c r="C3756" s="2" t="s">
        <v>31918</v>
      </c>
      <c r="D3756" s="2" t="s">
        <v>31919</v>
      </c>
      <c r="E3756" s="2" t="s">
        <v>31920</v>
      </c>
      <c r="G3756" s="3" t="s">
        <v>63</v>
      </c>
      <c r="I3756" s="3" t="s">
        <v>63</v>
      </c>
      <c r="J3756" s="3" t="s">
        <v>63</v>
      </c>
      <c r="K3756" s="3" t="s">
        <v>64</v>
      </c>
      <c r="L3756" s="2" t="s">
        <v>31921</v>
      </c>
      <c r="M3756" s="2" t="s">
        <v>9557</v>
      </c>
      <c r="N3756" s="3" t="s">
        <v>1557</v>
      </c>
      <c r="P3756" s="3" t="s">
        <v>90</v>
      </c>
      <c r="Q3756" s="2" t="s">
        <v>31922</v>
      </c>
      <c r="R3756" s="3" t="s">
        <v>67</v>
      </c>
      <c r="S3756" s="4">
        <v>7</v>
      </c>
      <c r="T3756" s="4">
        <v>7</v>
      </c>
      <c r="U3756" s="5" t="s">
        <v>4192</v>
      </c>
      <c r="V3756" s="5" t="s">
        <v>4192</v>
      </c>
      <c r="W3756" s="5" t="s">
        <v>69</v>
      </c>
      <c r="X3756" s="5" t="s">
        <v>69</v>
      </c>
      <c r="Y3756" s="4">
        <v>83</v>
      </c>
      <c r="Z3756" s="4">
        <v>6</v>
      </c>
      <c r="AA3756" s="4">
        <v>7</v>
      </c>
      <c r="AB3756" s="4">
        <v>1</v>
      </c>
      <c r="AC3756" s="4">
        <v>1</v>
      </c>
      <c r="AD3756" s="4">
        <v>38</v>
      </c>
      <c r="AE3756" s="4">
        <v>39</v>
      </c>
      <c r="AF3756" s="4">
        <v>0</v>
      </c>
      <c r="AG3756" s="4">
        <v>0</v>
      </c>
      <c r="AH3756" s="4">
        <v>38</v>
      </c>
      <c r="AI3756" s="4">
        <v>39</v>
      </c>
      <c r="AJ3756" s="4">
        <v>2</v>
      </c>
      <c r="AK3756" s="4">
        <v>2</v>
      </c>
      <c r="AL3756" s="4">
        <v>29</v>
      </c>
      <c r="AM3756" s="4">
        <v>29</v>
      </c>
      <c r="AN3756" s="4">
        <v>0</v>
      </c>
      <c r="AO3756" s="4">
        <v>0</v>
      </c>
      <c r="AP3756" s="4">
        <v>2</v>
      </c>
      <c r="AQ3756" s="4">
        <v>2</v>
      </c>
      <c r="AR3756" s="3" t="s">
        <v>63</v>
      </c>
      <c r="AS3756" s="3" t="s">
        <v>63</v>
      </c>
      <c r="AT3756" s="3" t="s">
        <v>63</v>
      </c>
      <c r="AV3756" s="6" t="str">
        <f>HYPERLINK("http://mcgill.on.worldcat.org/oclc/1006418394","Catalog Record")</f>
        <v>Catalog Record</v>
      </c>
      <c r="AW3756" s="6" t="str">
        <f>HYPERLINK("http://www.worldcat.org/oclc/1006418394","WorldCat Record")</f>
        <v>WorldCat Record</v>
      </c>
      <c r="AX3756" s="3" t="s">
        <v>31923</v>
      </c>
      <c r="AY3756" s="3" t="s">
        <v>31924</v>
      </c>
      <c r="AZ3756" s="3" t="s">
        <v>31925</v>
      </c>
      <c r="BA3756" s="3" t="s">
        <v>31925</v>
      </c>
      <c r="BB3756" s="3" t="s">
        <v>31926</v>
      </c>
      <c r="BC3756" s="3" t="s">
        <v>82</v>
      </c>
      <c r="BD3756" s="3" t="s">
        <v>70</v>
      </c>
      <c r="BE3756" s="3" t="s">
        <v>31927</v>
      </c>
      <c r="BF3756" s="3" t="s">
        <v>31926</v>
      </c>
      <c r="BG3756" s="3" t="s">
        <v>31928</v>
      </c>
    </row>
    <row r="3757" spans="1:59" ht="60" x14ac:dyDescent="0.25">
      <c r="A3757" s="2" t="s">
        <v>59</v>
      </c>
      <c r="B3757" s="2" t="s">
        <v>60</v>
      </c>
      <c r="C3757" s="2" t="s">
        <v>31929</v>
      </c>
      <c r="D3757" s="2" t="s">
        <v>31930</v>
      </c>
      <c r="E3757" s="2" t="s">
        <v>31931</v>
      </c>
      <c r="G3757" s="3" t="s">
        <v>63</v>
      </c>
      <c r="I3757" s="3" t="s">
        <v>63</v>
      </c>
      <c r="J3757" s="3" t="s">
        <v>63</v>
      </c>
      <c r="K3757" s="3" t="s">
        <v>64</v>
      </c>
      <c r="L3757" s="2" t="s">
        <v>31921</v>
      </c>
      <c r="M3757" s="2" t="s">
        <v>9716</v>
      </c>
      <c r="N3757" s="3" t="s">
        <v>143</v>
      </c>
      <c r="P3757" s="3" t="s">
        <v>90</v>
      </c>
      <c r="Q3757" s="2" t="s">
        <v>31922</v>
      </c>
      <c r="R3757" s="3" t="s">
        <v>67</v>
      </c>
      <c r="S3757" s="4">
        <v>1</v>
      </c>
      <c r="T3757" s="4">
        <v>1</v>
      </c>
      <c r="U3757" s="5" t="s">
        <v>21334</v>
      </c>
      <c r="V3757" s="5" t="s">
        <v>21334</v>
      </c>
      <c r="W3757" s="5" t="s">
        <v>69</v>
      </c>
      <c r="X3757" s="5" t="s">
        <v>69</v>
      </c>
      <c r="Y3757" s="4">
        <v>109</v>
      </c>
      <c r="Z3757" s="4">
        <v>8</v>
      </c>
      <c r="AA3757" s="4">
        <v>9</v>
      </c>
      <c r="AB3757" s="4">
        <v>1</v>
      </c>
      <c r="AC3757" s="4">
        <v>1</v>
      </c>
      <c r="AD3757" s="4">
        <v>36</v>
      </c>
      <c r="AE3757" s="4">
        <v>37</v>
      </c>
      <c r="AF3757" s="4">
        <v>0</v>
      </c>
      <c r="AG3757" s="4">
        <v>0</v>
      </c>
      <c r="AH3757" s="4">
        <v>35</v>
      </c>
      <c r="AI3757" s="4">
        <v>36</v>
      </c>
      <c r="AJ3757" s="4">
        <v>3</v>
      </c>
      <c r="AK3757" s="4">
        <v>3</v>
      </c>
      <c r="AL3757" s="4">
        <v>27</v>
      </c>
      <c r="AM3757" s="4">
        <v>27</v>
      </c>
      <c r="AN3757" s="4">
        <v>0</v>
      </c>
      <c r="AO3757" s="4">
        <v>0</v>
      </c>
      <c r="AP3757" s="4">
        <v>3</v>
      </c>
      <c r="AQ3757" s="4">
        <v>3</v>
      </c>
      <c r="AR3757" s="3" t="s">
        <v>63</v>
      </c>
      <c r="AS3757" s="3" t="s">
        <v>63</v>
      </c>
      <c r="AT3757" s="3" t="s">
        <v>63</v>
      </c>
      <c r="AV3757" s="6" t="str">
        <f>HYPERLINK("http://mcgill.on.worldcat.org/oclc/891376606","Catalog Record")</f>
        <v>Catalog Record</v>
      </c>
      <c r="AW3757" s="6" t="str">
        <f>HYPERLINK("http://www.worldcat.org/oclc/891376606","WorldCat Record")</f>
        <v>WorldCat Record</v>
      </c>
      <c r="AX3757" s="3" t="s">
        <v>31932</v>
      </c>
      <c r="AY3757" s="3" t="s">
        <v>31933</v>
      </c>
      <c r="AZ3757" s="3" t="s">
        <v>31934</v>
      </c>
      <c r="BA3757" s="3" t="s">
        <v>31934</v>
      </c>
      <c r="BB3757" s="3" t="s">
        <v>31935</v>
      </c>
      <c r="BC3757" s="3" t="s">
        <v>82</v>
      </c>
      <c r="BD3757" s="3" t="s">
        <v>70</v>
      </c>
      <c r="BE3757" s="3" t="s">
        <v>31936</v>
      </c>
      <c r="BF3757" s="3" t="s">
        <v>31935</v>
      </c>
      <c r="BG3757" s="3" t="s">
        <v>31937</v>
      </c>
    </row>
    <row r="3758" spans="1:59" ht="60" x14ac:dyDescent="0.25">
      <c r="A3758" s="2" t="s">
        <v>59</v>
      </c>
      <c r="B3758" s="2" t="s">
        <v>60</v>
      </c>
      <c r="C3758" s="2" t="s">
        <v>31938</v>
      </c>
      <c r="D3758" s="2" t="s">
        <v>31939</v>
      </c>
      <c r="E3758" s="2" t="s">
        <v>31940</v>
      </c>
      <c r="G3758" s="3" t="s">
        <v>63</v>
      </c>
      <c r="I3758" s="3" t="s">
        <v>63</v>
      </c>
      <c r="J3758" s="3" t="s">
        <v>63</v>
      </c>
      <c r="K3758" s="3" t="s">
        <v>64</v>
      </c>
      <c r="L3758" s="2" t="s">
        <v>31810</v>
      </c>
      <c r="M3758" s="2" t="s">
        <v>31941</v>
      </c>
      <c r="N3758" s="3" t="s">
        <v>1023</v>
      </c>
      <c r="P3758" s="3" t="s">
        <v>66</v>
      </c>
      <c r="R3758" s="3" t="s">
        <v>67</v>
      </c>
      <c r="S3758" s="4">
        <v>43</v>
      </c>
      <c r="T3758" s="4">
        <v>43</v>
      </c>
      <c r="U3758" s="5" t="s">
        <v>14053</v>
      </c>
      <c r="V3758" s="5" t="s">
        <v>14053</v>
      </c>
      <c r="W3758" s="5" t="s">
        <v>69</v>
      </c>
      <c r="X3758" s="5" t="s">
        <v>69</v>
      </c>
      <c r="Y3758" s="4">
        <v>56</v>
      </c>
      <c r="Z3758" s="4">
        <v>6</v>
      </c>
      <c r="AA3758" s="4">
        <v>9</v>
      </c>
      <c r="AB3758" s="4">
        <v>1</v>
      </c>
      <c r="AC3758" s="4">
        <v>1</v>
      </c>
      <c r="AD3758" s="4">
        <v>18</v>
      </c>
      <c r="AE3758" s="4">
        <v>20</v>
      </c>
      <c r="AF3758" s="4">
        <v>0</v>
      </c>
      <c r="AG3758" s="4">
        <v>0</v>
      </c>
      <c r="AH3758" s="4">
        <v>16</v>
      </c>
      <c r="AI3758" s="4">
        <v>17</v>
      </c>
      <c r="AJ3758" s="4">
        <v>3</v>
      </c>
      <c r="AK3758" s="4">
        <v>5</v>
      </c>
      <c r="AL3758" s="4">
        <v>10</v>
      </c>
      <c r="AM3758" s="4">
        <v>11</v>
      </c>
      <c r="AN3758" s="4">
        <v>0</v>
      </c>
      <c r="AO3758" s="4">
        <v>0</v>
      </c>
      <c r="AP3758" s="4">
        <v>4</v>
      </c>
      <c r="AQ3758" s="4">
        <v>6</v>
      </c>
      <c r="AR3758" s="3" t="s">
        <v>63</v>
      </c>
      <c r="AS3758" s="3" t="s">
        <v>63</v>
      </c>
      <c r="AT3758" s="3" t="s">
        <v>63</v>
      </c>
      <c r="AV3758" s="6" t="str">
        <f>HYPERLINK("http://mcgill.on.worldcat.org/oclc/35723152","Catalog Record")</f>
        <v>Catalog Record</v>
      </c>
      <c r="AW3758" s="6" t="str">
        <f>HYPERLINK("http://www.worldcat.org/oclc/35723152","WorldCat Record")</f>
        <v>WorldCat Record</v>
      </c>
      <c r="AX3758" s="3" t="s">
        <v>31942</v>
      </c>
      <c r="AY3758" s="3" t="s">
        <v>31943</v>
      </c>
      <c r="AZ3758" s="3" t="s">
        <v>31944</v>
      </c>
      <c r="BA3758" s="3" t="s">
        <v>31944</v>
      </c>
      <c r="BB3758" s="3" t="s">
        <v>31945</v>
      </c>
      <c r="BC3758" s="3" t="s">
        <v>82</v>
      </c>
      <c r="BD3758" s="3" t="s">
        <v>70</v>
      </c>
      <c r="BE3758" s="3" t="s">
        <v>31946</v>
      </c>
      <c r="BF3758" s="3" t="s">
        <v>31945</v>
      </c>
      <c r="BG3758" s="3" t="s">
        <v>31947</v>
      </c>
    </row>
    <row r="3759" spans="1:59" ht="60" x14ac:dyDescent="0.25">
      <c r="A3759" s="2" t="s">
        <v>59</v>
      </c>
      <c r="B3759" s="2" t="s">
        <v>60</v>
      </c>
      <c r="C3759" s="2" t="s">
        <v>31948</v>
      </c>
      <c r="D3759" s="2" t="s">
        <v>31949</v>
      </c>
      <c r="E3759" s="2" t="s">
        <v>31950</v>
      </c>
      <c r="G3759" s="3" t="s">
        <v>63</v>
      </c>
      <c r="I3759" s="3" t="s">
        <v>63</v>
      </c>
      <c r="J3759" s="3" t="s">
        <v>63</v>
      </c>
      <c r="K3759" s="3" t="s">
        <v>64</v>
      </c>
      <c r="L3759" s="2" t="s">
        <v>31810</v>
      </c>
      <c r="M3759" s="2" t="s">
        <v>31951</v>
      </c>
      <c r="N3759" s="3" t="s">
        <v>190</v>
      </c>
      <c r="P3759" s="3" t="s">
        <v>90</v>
      </c>
      <c r="Q3759" s="2" t="s">
        <v>31952</v>
      </c>
      <c r="R3759" s="3" t="s">
        <v>67</v>
      </c>
      <c r="S3759" s="4">
        <v>9</v>
      </c>
      <c r="T3759" s="4">
        <v>9</v>
      </c>
      <c r="U3759" s="5" t="s">
        <v>15456</v>
      </c>
      <c r="V3759" s="5" t="s">
        <v>15456</v>
      </c>
      <c r="W3759" s="5" t="s">
        <v>69</v>
      </c>
      <c r="X3759" s="5" t="s">
        <v>69</v>
      </c>
      <c r="Y3759" s="4">
        <v>96</v>
      </c>
      <c r="Z3759" s="4">
        <v>8</v>
      </c>
      <c r="AA3759" s="4">
        <v>8</v>
      </c>
      <c r="AB3759" s="4">
        <v>1</v>
      </c>
      <c r="AC3759" s="4">
        <v>1</v>
      </c>
      <c r="AD3759" s="4">
        <v>48</v>
      </c>
      <c r="AE3759" s="4">
        <v>48</v>
      </c>
      <c r="AF3759" s="4">
        <v>0</v>
      </c>
      <c r="AG3759" s="4">
        <v>0</v>
      </c>
      <c r="AH3759" s="4">
        <v>46</v>
      </c>
      <c r="AI3759" s="4">
        <v>46</v>
      </c>
      <c r="AJ3759" s="4">
        <v>4</v>
      </c>
      <c r="AK3759" s="4">
        <v>4</v>
      </c>
      <c r="AL3759" s="4">
        <v>37</v>
      </c>
      <c r="AM3759" s="4">
        <v>37</v>
      </c>
      <c r="AN3759" s="4">
        <v>0</v>
      </c>
      <c r="AO3759" s="4">
        <v>0</v>
      </c>
      <c r="AP3759" s="4">
        <v>4</v>
      </c>
      <c r="AQ3759" s="4">
        <v>4</v>
      </c>
      <c r="AR3759" s="3" t="s">
        <v>63</v>
      </c>
      <c r="AS3759" s="3" t="s">
        <v>63</v>
      </c>
      <c r="AT3759" s="3" t="s">
        <v>62</v>
      </c>
      <c r="AU3759" s="6" t="str">
        <f>HYPERLINK("http://catalog.hathitrust.org/Record/005281735","HathiTrust Record")</f>
        <v>HathiTrust Record</v>
      </c>
      <c r="AV3759" s="6" t="str">
        <f>HYPERLINK("http://mcgill.on.worldcat.org/oclc/62858171","Catalog Record")</f>
        <v>Catalog Record</v>
      </c>
      <c r="AW3759" s="6" t="str">
        <f>HYPERLINK("http://www.worldcat.org/oclc/62858171","WorldCat Record")</f>
        <v>WorldCat Record</v>
      </c>
      <c r="AX3759" s="3" t="s">
        <v>31953</v>
      </c>
      <c r="AY3759" s="3" t="s">
        <v>31954</v>
      </c>
      <c r="AZ3759" s="3" t="s">
        <v>31955</v>
      </c>
      <c r="BA3759" s="3" t="s">
        <v>31955</v>
      </c>
      <c r="BB3759" s="3" t="s">
        <v>31956</v>
      </c>
      <c r="BC3759" s="3" t="s">
        <v>82</v>
      </c>
      <c r="BD3759" s="3" t="s">
        <v>70</v>
      </c>
      <c r="BE3759" s="3" t="s">
        <v>31957</v>
      </c>
      <c r="BF3759" s="3" t="s">
        <v>31956</v>
      </c>
      <c r="BG3759" s="3" t="s">
        <v>31958</v>
      </c>
    </row>
    <row r="3760" spans="1:59" ht="60" x14ac:dyDescent="0.25">
      <c r="A3760" s="2" t="s">
        <v>59</v>
      </c>
      <c r="B3760" s="2" t="s">
        <v>60</v>
      </c>
      <c r="C3760" s="2" t="s">
        <v>31959</v>
      </c>
      <c r="D3760" s="2" t="s">
        <v>31960</v>
      </c>
      <c r="E3760" s="2" t="s">
        <v>31961</v>
      </c>
      <c r="F3760" s="3" t="s">
        <v>4797</v>
      </c>
      <c r="G3760" s="3" t="s">
        <v>62</v>
      </c>
      <c r="I3760" s="3" t="s">
        <v>63</v>
      </c>
      <c r="J3760" s="3" t="s">
        <v>63</v>
      </c>
      <c r="K3760" s="3" t="s">
        <v>64</v>
      </c>
      <c r="L3760" s="2" t="s">
        <v>31921</v>
      </c>
      <c r="M3760" s="2" t="s">
        <v>8737</v>
      </c>
      <c r="N3760" s="3" t="s">
        <v>2765</v>
      </c>
      <c r="P3760" s="3" t="s">
        <v>90</v>
      </c>
      <c r="Q3760" s="2" t="s">
        <v>31962</v>
      </c>
      <c r="R3760" s="3" t="s">
        <v>67</v>
      </c>
      <c r="S3760" s="4">
        <v>1</v>
      </c>
      <c r="T3760" s="4">
        <v>2</v>
      </c>
      <c r="U3760" s="5" t="s">
        <v>22637</v>
      </c>
      <c r="V3760" s="5" t="s">
        <v>22637</v>
      </c>
      <c r="W3760" s="5" t="s">
        <v>69</v>
      </c>
      <c r="X3760" s="5" t="s">
        <v>69</v>
      </c>
      <c r="Y3760" s="4">
        <v>1</v>
      </c>
      <c r="Z3760" s="4">
        <v>1</v>
      </c>
      <c r="AA3760" s="4">
        <v>1</v>
      </c>
      <c r="AB3760" s="4">
        <v>1</v>
      </c>
      <c r="AC3760" s="4">
        <v>1</v>
      </c>
      <c r="AD3760" s="4">
        <v>0</v>
      </c>
      <c r="AE3760" s="4">
        <v>1</v>
      </c>
      <c r="AF3760" s="4">
        <v>0</v>
      </c>
      <c r="AG3760" s="4">
        <v>0</v>
      </c>
      <c r="AH3760" s="4">
        <v>0</v>
      </c>
      <c r="AI3760" s="4">
        <v>1</v>
      </c>
      <c r="AJ3760" s="4">
        <v>0</v>
      </c>
      <c r="AK3760" s="4">
        <v>0</v>
      </c>
      <c r="AL3760" s="4">
        <v>0</v>
      </c>
      <c r="AM3760" s="4">
        <v>1</v>
      </c>
      <c r="AN3760" s="4">
        <v>0</v>
      </c>
      <c r="AO3760" s="4">
        <v>0</v>
      </c>
      <c r="AP3760" s="4">
        <v>0</v>
      </c>
      <c r="AQ3760" s="4">
        <v>0</v>
      </c>
      <c r="AR3760" s="3" t="s">
        <v>63</v>
      </c>
      <c r="AS3760" s="3" t="s">
        <v>63</v>
      </c>
      <c r="AT3760" s="3" t="s">
        <v>63</v>
      </c>
      <c r="AV3760" s="6" t="str">
        <f>HYPERLINK("http://mcgill.on.worldcat.org/oclc/994871407","Catalog Record")</f>
        <v>Catalog Record</v>
      </c>
      <c r="AW3760" s="6" t="str">
        <f>HYPERLINK("http://www.worldcat.org/oclc/994871407","WorldCat Record")</f>
        <v>WorldCat Record</v>
      </c>
      <c r="AX3760" s="3" t="s">
        <v>31963</v>
      </c>
      <c r="AY3760" s="3" t="s">
        <v>31964</v>
      </c>
      <c r="AZ3760" s="3" t="s">
        <v>31965</v>
      </c>
      <c r="BA3760" s="3" t="s">
        <v>31965</v>
      </c>
      <c r="BB3760" s="3" t="s">
        <v>31966</v>
      </c>
      <c r="BC3760" s="3" t="s">
        <v>82</v>
      </c>
      <c r="BD3760" s="3" t="s">
        <v>70</v>
      </c>
      <c r="BE3760" s="3" t="s">
        <v>31967</v>
      </c>
      <c r="BF3760" s="3" t="s">
        <v>31966</v>
      </c>
      <c r="BG3760" s="3" t="s">
        <v>31968</v>
      </c>
    </row>
    <row r="3761" spans="1:59" ht="60" x14ac:dyDescent="0.25">
      <c r="A3761" s="2" t="s">
        <v>59</v>
      </c>
      <c r="B3761" s="2" t="s">
        <v>60</v>
      </c>
      <c r="C3761" s="2" t="s">
        <v>31959</v>
      </c>
      <c r="D3761" s="2" t="s">
        <v>31960</v>
      </c>
      <c r="E3761" s="2" t="s">
        <v>31961</v>
      </c>
      <c r="F3761" s="3" t="s">
        <v>4787</v>
      </c>
      <c r="G3761" s="3" t="s">
        <v>62</v>
      </c>
      <c r="I3761" s="3" t="s">
        <v>63</v>
      </c>
      <c r="J3761" s="3" t="s">
        <v>63</v>
      </c>
      <c r="K3761" s="3" t="s">
        <v>64</v>
      </c>
      <c r="L3761" s="2" t="s">
        <v>31921</v>
      </c>
      <c r="M3761" s="2" t="s">
        <v>8737</v>
      </c>
      <c r="N3761" s="3" t="s">
        <v>2765</v>
      </c>
      <c r="P3761" s="3" t="s">
        <v>90</v>
      </c>
      <c r="Q3761" s="2" t="s">
        <v>31962</v>
      </c>
      <c r="R3761" s="3" t="s">
        <v>67</v>
      </c>
      <c r="S3761" s="4">
        <v>1</v>
      </c>
      <c r="T3761" s="4">
        <v>2</v>
      </c>
      <c r="U3761" s="5" t="s">
        <v>22637</v>
      </c>
      <c r="V3761" s="5" t="s">
        <v>22637</v>
      </c>
      <c r="W3761" s="5" t="s">
        <v>69</v>
      </c>
      <c r="X3761" s="5" t="s">
        <v>69</v>
      </c>
      <c r="Y3761" s="4">
        <v>1</v>
      </c>
      <c r="Z3761" s="4">
        <v>1</v>
      </c>
      <c r="AA3761" s="4">
        <v>1</v>
      </c>
      <c r="AB3761" s="4">
        <v>1</v>
      </c>
      <c r="AC3761" s="4">
        <v>1</v>
      </c>
      <c r="AD3761" s="4">
        <v>0</v>
      </c>
      <c r="AE3761" s="4">
        <v>1</v>
      </c>
      <c r="AF3761" s="4">
        <v>0</v>
      </c>
      <c r="AG3761" s="4">
        <v>0</v>
      </c>
      <c r="AH3761" s="4">
        <v>0</v>
      </c>
      <c r="AI3761" s="4">
        <v>1</v>
      </c>
      <c r="AJ3761" s="4">
        <v>0</v>
      </c>
      <c r="AK3761" s="4">
        <v>0</v>
      </c>
      <c r="AL3761" s="4">
        <v>0</v>
      </c>
      <c r="AM3761" s="4">
        <v>1</v>
      </c>
      <c r="AN3761" s="4">
        <v>0</v>
      </c>
      <c r="AO3761" s="4">
        <v>0</v>
      </c>
      <c r="AP3761" s="4">
        <v>0</v>
      </c>
      <c r="AQ3761" s="4">
        <v>0</v>
      </c>
      <c r="AR3761" s="3" t="s">
        <v>63</v>
      </c>
      <c r="AS3761" s="3" t="s">
        <v>63</v>
      </c>
      <c r="AT3761" s="3" t="s">
        <v>63</v>
      </c>
      <c r="AV3761" s="6" t="str">
        <f>HYPERLINK("http://mcgill.on.worldcat.org/oclc/994871407","Catalog Record")</f>
        <v>Catalog Record</v>
      </c>
      <c r="AW3761" s="6" t="str">
        <f>HYPERLINK("http://www.worldcat.org/oclc/994871407","WorldCat Record")</f>
        <v>WorldCat Record</v>
      </c>
      <c r="AX3761" s="3" t="s">
        <v>31963</v>
      </c>
      <c r="AY3761" s="3" t="s">
        <v>31964</v>
      </c>
      <c r="AZ3761" s="3" t="s">
        <v>31965</v>
      </c>
      <c r="BA3761" s="3" t="s">
        <v>31965</v>
      </c>
      <c r="BB3761" s="3" t="s">
        <v>31969</v>
      </c>
      <c r="BC3761" s="3" t="s">
        <v>82</v>
      </c>
      <c r="BD3761" s="3" t="s">
        <v>70</v>
      </c>
      <c r="BE3761" s="3" t="s">
        <v>31967</v>
      </c>
      <c r="BF3761" s="3" t="s">
        <v>31969</v>
      </c>
      <c r="BG3761" s="3" t="s">
        <v>31970</v>
      </c>
    </row>
    <row r="3762" spans="1:59" ht="60" x14ac:dyDescent="0.25">
      <c r="A3762" s="2" t="s">
        <v>59</v>
      </c>
      <c r="B3762" s="2" t="s">
        <v>60</v>
      </c>
      <c r="C3762" s="2" t="s">
        <v>31971</v>
      </c>
      <c r="D3762" s="2" t="s">
        <v>31972</v>
      </c>
      <c r="E3762" s="2" t="s">
        <v>31973</v>
      </c>
      <c r="G3762" s="3" t="s">
        <v>63</v>
      </c>
      <c r="I3762" s="3" t="s">
        <v>63</v>
      </c>
      <c r="J3762" s="3" t="s">
        <v>63</v>
      </c>
      <c r="K3762" s="3" t="s">
        <v>64</v>
      </c>
      <c r="L3762" s="2" t="s">
        <v>31921</v>
      </c>
      <c r="M3762" s="2" t="s">
        <v>31974</v>
      </c>
      <c r="N3762" s="3" t="s">
        <v>2765</v>
      </c>
      <c r="P3762" s="3" t="s">
        <v>66</v>
      </c>
      <c r="R3762" s="3" t="s">
        <v>67</v>
      </c>
      <c r="S3762" s="4">
        <v>1</v>
      </c>
      <c r="T3762" s="4">
        <v>1</v>
      </c>
      <c r="U3762" s="5" t="s">
        <v>31975</v>
      </c>
      <c r="V3762" s="5" t="s">
        <v>31975</v>
      </c>
      <c r="W3762" s="5" t="s">
        <v>69</v>
      </c>
      <c r="X3762" s="5" t="s">
        <v>69</v>
      </c>
      <c r="Y3762" s="4">
        <v>81</v>
      </c>
      <c r="Z3762" s="4">
        <v>7</v>
      </c>
      <c r="AA3762" s="4">
        <v>7</v>
      </c>
      <c r="AB3762" s="4">
        <v>1</v>
      </c>
      <c r="AC3762" s="4">
        <v>1</v>
      </c>
      <c r="AD3762" s="4">
        <v>26</v>
      </c>
      <c r="AE3762" s="4">
        <v>26</v>
      </c>
      <c r="AF3762" s="4">
        <v>0</v>
      </c>
      <c r="AG3762" s="4">
        <v>0</v>
      </c>
      <c r="AH3762" s="4">
        <v>24</v>
      </c>
      <c r="AI3762" s="4">
        <v>24</v>
      </c>
      <c r="AJ3762" s="4">
        <v>2</v>
      </c>
      <c r="AK3762" s="4">
        <v>2</v>
      </c>
      <c r="AL3762" s="4">
        <v>20</v>
      </c>
      <c r="AM3762" s="4">
        <v>20</v>
      </c>
      <c r="AN3762" s="4">
        <v>0</v>
      </c>
      <c r="AO3762" s="4">
        <v>0</v>
      </c>
      <c r="AP3762" s="4">
        <v>2</v>
      </c>
      <c r="AQ3762" s="4">
        <v>2</v>
      </c>
      <c r="AR3762" s="3" t="s">
        <v>63</v>
      </c>
      <c r="AS3762" s="3" t="s">
        <v>63</v>
      </c>
      <c r="AT3762" s="3" t="s">
        <v>63</v>
      </c>
      <c r="AV3762" s="6" t="str">
        <f>HYPERLINK("http://mcgill.on.worldcat.org/oclc/913008855","Catalog Record")</f>
        <v>Catalog Record</v>
      </c>
      <c r="AW3762" s="6" t="str">
        <f>HYPERLINK("http://www.worldcat.org/oclc/913008855","WorldCat Record")</f>
        <v>WorldCat Record</v>
      </c>
      <c r="AX3762" s="3" t="s">
        <v>31976</v>
      </c>
      <c r="AY3762" s="3" t="s">
        <v>31977</v>
      </c>
      <c r="AZ3762" s="3" t="s">
        <v>31978</v>
      </c>
      <c r="BA3762" s="3" t="s">
        <v>31978</v>
      </c>
      <c r="BB3762" s="3" t="s">
        <v>31979</v>
      </c>
      <c r="BC3762" s="3" t="s">
        <v>82</v>
      </c>
      <c r="BD3762" s="3" t="s">
        <v>70</v>
      </c>
      <c r="BE3762" s="3" t="s">
        <v>31980</v>
      </c>
      <c r="BF3762" s="3" t="s">
        <v>31979</v>
      </c>
      <c r="BG3762" s="3" t="s">
        <v>31981</v>
      </c>
    </row>
    <row r="3763" spans="1:59" ht="60" x14ac:dyDescent="0.25">
      <c r="A3763" s="2" t="s">
        <v>59</v>
      </c>
      <c r="B3763" s="2" t="s">
        <v>60</v>
      </c>
      <c r="C3763" s="2" t="s">
        <v>31982</v>
      </c>
      <c r="D3763" s="2" t="s">
        <v>31983</v>
      </c>
      <c r="E3763" s="2" t="s">
        <v>31984</v>
      </c>
      <c r="G3763" s="3" t="s">
        <v>63</v>
      </c>
      <c r="I3763" s="3" t="s">
        <v>63</v>
      </c>
      <c r="J3763" s="3" t="s">
        <v>63</v>
      </c>
      <c r="K3763" s="3" t="s">
        <v>64</v>
      </c>
      <c r="L3763" s="2" t="s">
        <v>31810</v>
      </c>
      <c r="M3763" s="2" t="s">
        <v>31985</v>
      </c>
      <c r="N3763" s="3" t="s">
        <v>693</v>
      </c>
      <c r="P3763" s="3" t="s">
        <v>90</v>
      </c>
      <c r="R3763" s="3" t="s">
        <v>67</v>
      </c>
      <c r="S3763" s="4">
        <v>12</v>
      </c>
      <c r="T3763" s="4">
        <v>12</v>
      </c>
      <c r="U3763" s="5" t="s">
        <v>31891</v>
      </c>
      <c r="V3763" s="5" t="s">
        <v>31891</v>
      </c>
      <c r="W3763" s="5" t="s">
        <v>69</v>
      </c>
      <c r="X3763" s="5" t="s">
        <v>69</v>
      </c>
      <c r="Y3763" s="4">
        <v>115</v>
      </c>
      <c r="Z3763" s="4">
        <v>7</v>
      </c>
      <c r="AA3763" s="4">
        <v>9</v>
      </c>
      <c r="AB3763" s="4">
        <v>1</v>
      </c>
      <c r="AC3763" s="4">
        <v>1</v>
      </c>
      <c r="AD3763" s="4">
        <v>56</v>
      </c>
      <c r="AE3763" s="4">
        <v>62</v>
      </c>
      <c r="AF3763" s="4">
        <v>0</v>
      </c>
      <c r="AG3763" s="4">
        <v>0</v>
      </c>
      <c r="AH3763" s="4">
        <v>54</v>
      </c>
      <c r="AI3763" s="4">
        <v>59</v>
      </c>
      <c r="AJ3763" s="4">
        <v>3</v>
      </c>
      <c r="AK3763" s="4">
        <v>3</v>
      </c>
      <c r="AL3763" s="4">
        <v>37</v>
      </c>
      <c r="AM3763" s="4">
        <v>42</v>
      </c>
      <c r="AN3763" s="4">
        <v>0</v>
      </c>
      <c r="AO3763" s="4">
        <v>0</v>
      </c>
      <c r="AP3763" s="4">
        <v>3</v>
      </c>
      <c r="AQ3763" s="4">
        <v>3</v>
      </c>
      <c r="AR3763" s="3" t="s">
        <v>63</v>
      </c>
      <c r="AS3763" s="3" t="s">
        <v>63</v>
      </c>
      <c r="AT3763" s="3" t="s">
        <v>63</v>
      </c>
      <c r="AV3763" s="6" t="str">
        <f>HYPERLINK("http://mcgill.on.worldcat.org/oclc/58046469","Catalog Record")</f>
        <v>Catalog Record</v>
      </c>
      <c r="AW3763" s="6" t="str">
        <f>HYPERLINK("http://www.worldcat.org/oclc/58046469","WorldCat Record")</f>
        <v>WorldCat Record</v>
      </c>
      <c r="AX3763" s="3" t="s">
        <v>31986</v>
      </c>
      <c r="AY3763" s="3" t="s">
        <v>31987</v>
      </c>
      <c r="AZ3763" s="3" t="s">
        <v>31988</v>
      </c>
      <c r="BA3763" s="3" t="s">
        <v>31988</v>
      </c>
      <c r="BB3763" s="3" t="s">
        <v>31989</v>
      </c>
      <c r="BC3763" s="3" t="s">
        <v>82</v>
      </c>
      <c r="BD3763" s="3" t="s">
        <v>70</v>
      </c>
      <c r="BE3763" s="3" t="s">
        <v>31990</v>
      </c>
      <c r="BF3763" s="3" t="s">
        <v>31989</v>
      </c>
      <c r="BG3763" s="3" t="s">
        <v>31991</v>
      </c>
    </row>
    <row r="3764" spans="1:59" ht="60" x14ac:dyDescent="0.25">
      <c r="A3764" s="2" t="s">
        <v>59</v>
      </c>
      <c r="B3764" s="2" t="s">
        <v>60</v>
      </c>
      <c r="C3764" s="2" t="s">
        <v>31992</v>
      </c>
      <c r="D3764" s="2" t="s">
        <v>31993</v>
      </c>
      <c r="E3764" s="2" t="s">
        <v>31994</v>
      </c>
      <c r="G3764" s="3" t="s">
        <v>63</v>
      </c>
      <c r="I3764" s="3" t="s">
        <v>63</v>
      </c>
      <c r="J3764" s="3" t="s">
        <v>63</v>
      </c>
      <c r="K3764" s="3" t="s">
        <v>64</v>
      </c>
      <c r="L3764" s="2" t="s">
        <v>31810</v>
      </c>
      <c r="M3764" s="2" t="s">
        <v>17253</v>
      </c>
      <c r="N3764" s="3" t="s">
        <v>326</v>
      </c>
      <c r="P3764" s="3" t="s">
        <v>90</v>
      </c>
      <c r="R3764" s="3" t="s">
        <v>67</v>
      </c>
      <c r="S3764" s="4">
        <v>7</v>
      </c>
      <c r="T3764" s="4">
        <v>7</v>
      </c>
      <c r="U3764" s="5" t="s">
        <v>18545</v>
      </c>
      <c r="V3764" s="5" t="s">
        <v>18545</v>
      </c>
      <c r="W3764" s="5" t="s">
        <v>69</v>
      </c>
      <c r="X3764" s="5" t="s">
        <v>69</v>
      </c>
      <c r="Y3764" s="4">
        <v>129</v>
      </c>
      <c r="Z3764" s="4">
        <v>14</v>
      </c>
      <c r="AA3764" s="4">
        <v>14</v>
      </c>
      <c r="AB3764" s="4">
        <v>2</v>
      </c>
      <c r="AC3764" s="4">
        <v>2</v>
      </c>
      <c r="AD3764" s="4">
        <v>51</v>
      </c>
      <c r="AE3764" s="4">
        <v>52</v>
      </c>
      <c r="AF3764" s="4">
        <v>0</v>
      </c>
      <c r="AG3764" s="4">
        <v>0</v>
      </c>
      <c r="AH3764" s="4">
        <v>47</v>
      </c>
      <c r="AI3764" s="4">
        <v>48</v>
      </c>
      <c r="AJ3764" s="4">
        <v>7</v>
      </c>
      <c r="AK3764" s="4">
        <v>7</v>
      </c>
      <c r="AL3764" s="4">
        <v>34</v>
      </c>
      <c r="AM3764" s="4">
        <v>35</v>
      </c>
      <c r="AN3764" s="4">
        <v>0</v>
      </c>
      <c r="AO3764" s="4">
        <v>0</v>
      </c>
      <c r="AP3764" s="4">
        <v>7</v>
      </c>
      <c r="AQ3764" s="4">
        <v>7</v>
      </c>
      <c r="AR3764" s="3" t="s">
        <v>63</v>
      </c>
      <c r="AS3764" s="3" t="s">
        <v>63</v>
      </c>
      <c r="AT3764" s="3" t="s">
        <v>63</v>
      </c>
      <c r="AV3764" s="6" t="str">
        <f>HYPERLINK("http://mcgill.on.worldcat.org/oclc/472181897","Catalog Record")</f>
        <v>Catalog Record</v>
      </c>
      <c r="AW3764" s="6" t="str">
        <f>HYPERLINK("http://www.worldcat.org/oclc/472181897","WorldCat Record")</f>
        <v>WorldCat Record</v>
      </c>
      <c r="AX3764" s="3" t="s">
        <v>31995</v>
      </c>
      <c r="AY3764" s="3" t="s">
        <v>31996</v>
      </c>
      <c r="AZ3764" s="3" t="s">
        <v>31997</v>
      </c>
      <c r="BA3764" s="3" t="s">
        <v>31997</v>
      </c>
      <c r="BB3764" s="3" t="s">
        <v>31998</v>
      </c>
      <c r="BC3764" s="3" t="s">
        <v>82</v>
      </c>
      <c r="BD3764" s="3" t="s">
        <v>70</v>
      </c>
      <c r="BE3764" s="3" t="s">
        <v>31999</v>
      </c>
      <c r="BF3764" s="3" t="s">
        <v>31998</v>
      </c>
      <c r="BG3764" s="3" t="s">
        <v>32000</v>
      </c>
    </row>
    <row r="3765" spans="1:59" ht="60" x14ac:dyDescent="0.25">
      <c r="A3765" s="2" t="s">
        <v>59</v>
      </c>
      <c r="B3765" s="2" t="s">
        <v>60</v>
      </c>
      <c r="C3765" s="2" t="s">
        <v>32001</v>
      </c>
      <c r="D3765" s="2" t="s">
        <v>32002</v>
      </c>
      <c r="E3765" s="2" t="s">
        <v>32003</v>
      </c>
      <c r="G3765" s="3" t="s">
        <v>63</v>
      </c>
      <c r="I3765" s="3" t="s">
        <v>63</v>
      </c>
      <c r="J3765" s="3" t="s">
        <v>63</v>
      </c>
      <c r="K3765" s="3" t="s">
        <v>64</v>
      </c>
      <c r="L3765" s="2" t="s">
        <v>31810</v>
      </c>
      <c r="M3765" s="2" t="s">
        <v>14143</v>
      </c>
      <c r="N3765" s="3" t="s">
        <v>629</v>
      </c>
      <c r="O3765" s="2" t="s">
        <v>32004</v>
      </c>
      <c r="P3765" s="3" t="s">
        <v>66</v>
      </c>
      <c r="Q3765" s="2" t="s">
        <v>32005</v>
      </c>
      <c r="R3765" s="3" t="s">
        <v>67</v>
      </c>
      <c r="S3765" s="4">
        <v>0</v>
      </c>
      <c r="T3765" s="4">
        <v>0</v>
      </c>
      <c r="W3765" s="5" t="s">
        <v>69</v>
      </c>
      <c r="X3765" s="5" t="s">
        <v>69</v>
      </c>
      <c r="Y3765" s="4">
        <v>160</v>
      </c>
      <c r="Z3765" s="4">
        <v>16</v>
      </c>
      <c r="AA3765" s="4">
        <v>16</v>
      </c>
      <c r="AB3765" s="4">
        <v>1</v>
      </c>
      <c r="AC3765" s="4">
        <v>1</v>
      </c>
      <c r="AD3765" s="4">
        <v>62</v>
      </c>
      <c r="AE3765" s="4">
        <v>62</v>
      </c>
      <c r="AF3765" s="4">
        <v>0</v>
      </c>
      <c r="AG3765" s="4">
        <v>0</v>
      </c>
      <c r="AH3765" s="4">
        <v>58</v>
      </c>
      <c r="AI3765" s="4">
        <v>58</v>
      </c>
      <c r="AJ3765" s="4">
        <v>9</v>
      </c>
      <c r="AK3765" s="4">
        <v>9</v>
      </c>
      <c r="AL3765" s="4">
        <v>37</v>
      </c>
      <c r="AM3765" s="4">
        <v>37</v>
      </c>
      <c r="AN3765" s="4">
        <v>0</v>
      </c>
      <c r="AO3765" s="4">
        <v>0</v>
      </c>
      <c r="AP3765" s="4">
        <v>9</v>
      </c>
      <c r="AQ3765" s="4">
        <v>9</v>
      </c>
      <c r="AR3765" s="3" t="s">
        <v>63</v>
      </c>
      <c r="AS3765" s="3" t="s">
        <v>63</v>
      </c>
      <c r="AT3765" s="3" t="s">
        <v>63</v>
      </c>
      <c r="AV3765" s="6" t="str">
        <f>HYPERLINK("http://mcgill.on.worldcat.org/oclc/711051754","Catalog Record")</f>
        <v>Catalog Record</v>
      </c>
      <c r="AW3765" s="6" t="str">
        <f>HYPERLINK("http://www.worldcat.org/oclc/711051754","WorldCat Record")</f>
        <v>WorldCat Record</v>
      </c>
      <c r="AX3765" s="3" t="s">
        <v>32006</v>
      </c>
      <c r="AY3765" s="3" t="s">
        <v>32007</v>
      </c>
      <c r="AZ3765" s="3" t="s">
        <v>32008</v>
      </c>
      <c r="BA3765" s="3" t="s">
        <v>32008</v>
      </c>
      <c r="BB3765" s="3" t="s">
        <v>32009</v>
      </c>
      <c r="BC3765" s="3" t="s">
        <v>82</v>
      </c>
      <c r="BD3765" s="3" t="s">
        <v>70</v>
      </c>
      <c r="BE3765" s="3" t="s">
        <v>32010</v>
      </c>
      <c r="BF3765" s="3" t="s">
        <v>32009</v>
      </c>
      <c r="BG3765" s="3" t="s">
        <v>32011</v>
      </c>
    </row>
    <row r="3766" spans="1:59" ht="60" x14ac:dyDescent="0.25">
      <c r="A3766" s="2" t="s">
        <v>59</v>
      </c>
      <c r="B3766" s="2" t="s">
        <v>60</v>
      </c>
      <c r="C3766" s="2" t="s">
        <v>32012</v>
      </c>
      <c r="D3766" s="2" t="s">
        <v>32013</v>
      </c>
      <c r="E3766" s="2" t="s">
        <v>32014</v>
      </c>
      <c r="G3766" s="3" t="s">
        <v>63</v>
      </c>
      <c r="I3766" s="3" t="s">
        <v>63</v>
      </c>
      <c r="J3766" s="3" t="s">
        <v>63</v>
      </c>
      <c r="K3766" s="3" t="s">
        <v>64</v>
      </c>
      <c r="L3766" s="2" t="s">
        <v>31810</v>
      </c>
      <c r="M3766" s="2" t="s">
        <v>32015</v>
      </c>
      <c r="N3766" s="3" t="s">
        <v>1113</v>
      </c>
      <c r="P3766" s="3" t="s">
        <v>90</v>
      </c>
      <c r="R3766" s="3" t="s">
        <v>67</v>
      </c>
      <c r="S3766" s="4">
        <v>33</v>
      </c>
      <c r="T3766" s="4">
        <v>33</v>
      </c>
      <c r="U3766" s="5" t="s">
        <v>15456</v>
      </c>
      <c r="V3766" s="5" t="s">
        <v>15456</v>
      </c>
      <c r="W3766" s="5" t="s">
        <v>69</v>
      </c>
      <c r="X3766" s="5" t="s">
        <v>69</v>
      </c>
      <c r="Y3766" s="4">
        <v>81</v>
      </c>
      <c r="Z3766" s="4">
        <v>3</v>
      </c>
      <c r="AA3766" s="4">
        <v>5</v>
      </c>
      <c r="AB3766" s="4">
        <v>1</v>
      </c>
      <c r="AC3766" s="4">
        <v>1</v>
      </c>
      <c r="AD3766" s="4">
        <v>40</v>
      </c>
      <c r="AE3766" s="4">
        <v>50</v>
      </c>
      <c r="AF3766" s="4">
        <v>0</v>
      </c>
      <c r="AG3766" s="4">
        <v>0</v>
      </c>
      <c r="AH3766" s="4">
        <v>39</v>
      </c>
      <c r="AI3766" s="4">
        <v>49</v>
      </c>
      <c r="AJ3766" s="4">
        <v>2</v>
      </c>
      <c r="AK3766" s="4">
        <v>3</v>
      </c>
      <c r="AL3766" s="4">
        <v>28</v>
      </c>
      <c r="AM3766" s="4">
        <v>37</v>
      </c>
      <c r="AN3766" s="4">
        <v>0</v>
      </c>
      <c r="AO3766" s="4">
        <v>0</v>
      </c>
      <c r="AP3766" s="4">
        <v>2</v>
      </c>
      <c r="AQ3766" s="4">
        <v>3</v>
      </c>
      <c r="AR3766" s="3" t="s">
        <v>63</v>
      </c>
      <c r="AS3766" s="3" t="s">
        <v>63</v>
      </c>
      <c r="AT3766" s="3" t="s">
        <v>62</v>
      </c>
      <c r="AU3766" s="6" t="str">
        <f>HYPERLINK("http://catalog.hathitrust.org/Record/003239954","HathiTrust Record")</f>
        <v>HathiTrust Record</v>
      </c>
      <c r="AV3766" s="6" t="str">
        <f>HYPERLINK("http://mcgill.on.worldcat.org/oclc/37624402","Catalog Record")</f>
        <v>Catalog Record</v>
      </c>
      <c r="AW3766" s="6" t="str">
        <f>HYPERLINK("http://www.worldcat.org/oclc/37624402","WorldCat Record")</f>
        <v>WorldCat Record</v>
      </c>
      <c r="AX3766" s="3" t="s">
        <v>32016</v>
      </c>
      <c r="AY3766" s="3" t="s">
        <v>32017</v>
      </c>
      <c r="AZ3766" s="3" t="s">
        <v>32018</v>
      </c>
      <c r="BA3766" s="3" t="s">
        <v>32018</v>
      </c>
      <c r="BB3766" s="3" t="s">
        <v>32019</v>
      </c>
      <c r="BC3766" s="3" t="s">
        <v>82</v>
      </c>
      <c r="BD3766" s="3" t="s">
        <v>70</v>
      </c>
      <c r="BE3766" s="3" t="s">
        <v>32020</v>
      </c>
      <c r="BF3766" s="3" t="s">
        <v>32019</v>
      </c>
      <c r="BG3766" s="3" t="s">
        <v>32021</v>
      </c>
    </row>
    <row r="3767" spans="1:59" ht="60" x14ac:dyDescent="0.25">
      <c r="A3767" s="2" t="s">
        <v>59</v>
      </c>
      <c r="B3767" s="2" t="s">
        <v>60</v>
      </c>
      <c r="C3767" s="2" t="s">
        <v>32022</v>
      </c>
      <c r="D3767" s="2" t="s">
        <v>32023</v>
      </c>
      <c r="E3767" s="2" t="s">
        <v>32024</v>
      </c>
      <c r="G3767" s="3" t="s">
        <v>63</v>
      </c>
      <c r="I3767" s="3" t="s">
        <v>63</v>
      </c>
      <c r="J3767" s="3" t="s">
        <v>63</v>
      </c>
      <c r="K3767" s="3" t="s">
        <v>64</v>
      </c>
      <c r="L3767" s="2" t="s">
        <v>31810</v>
      </c>
      <c r="M3767" s="2" t="s">
        <v>32025</v>
      </c>
      <c r="N3767" s="3" t="s">
        <v>204</v>
      </c>
      <c r="P3767" s="3" t="s">
        <v>66</v>
      </c>
      <c r="R3767" s="3" t="s">
        <v>67</v>
      </c>
      <c r="S3767" s="4">
        <v>20</v>
      </c>
      <c r="T3767" s="4">
        <v>20</v>
      </c>
      <c r="U3767" s="5" t="s">
        <v>32026</v>
      </c>
      <c r="V3767" s="5" t="s">
        <v>32026</v>
      </c>
      <c r="W3767" s="5" t="s">
        <v>69</v>
      </c>
      <c r="X3767" s="5" t="s">
        <v>69</v>
      </c>
      <c r="Y3767" s="4">
        <v>62</v>
      </c>
      <c r="Z3767" s="4">
        <v>6</v>
      </c>
      <c r="AA3767" s="4">
        <v>22</v>
      </c>
      <c r="AB3767" s="4">
        <v>1</v>
      </c>
      <c r="AC3767" s="4">
        <v>1</v>
      </c>
      <c r="AD3767" s="4">
        <v>31</v>
      </c>
      <c r="AE3767" s="4">
        <v>94</v>
      </c>
      <c r="AF3767" s="4">
        <v>0</v>
      </c>
      <c r="AG3767" s="4">
        <v>0</v>
      </c>
      <c r="AH3767" s="4">
        <v>31</v>
      </c>
      <c r="AI3767" s="4">
        <v>88</v>
      </c>
      <c r="AJ3767" s="4">
        <v>3</v>
      </c>
      <c r="AK3767" s="4">
        <v>10</v>
      </c>
      <c r="AL3767" s="4">
        <v>18</v>
      </c>
      <c r="AM3767" s="4">
        <v>50</v>
      </c>
      <c r="AN3767" s="4">
        <v>0</v>
      </c>
      <c r="AO3767" s="4">
        <v>0</v>
      </c>
      <c r="AP3767" s="4">
        <v>4</v>
      </c>
      <c r="AQ3767" s="4">
        <v>11</v>
      </c>
      <c r="AR3767" s="3" t="s">
        <v>63</v>
      </c>
      <c r="AS3767" s="3" t="s">
        <v>63</v>
      </c>
      <c r="AT3767" s="3" t="s">
        <v>63</v>
      </c>
      <c r="AV3767" s="6" t="str">
        <f>HYPERLINK("http://mcgill.on.worldcat.org/oclc/37438952","Catalog Record")</f>
        <v>Catalog Record</v>
      </c>
      <c r="AW3767" s="6" t="str">
        <f>HYPERLINK("http://www.worldcat.org/oclc/37438952","WorldCat Record")</f>
        <v>WorldCat Record</v>
      </c>
      <c r="AX3767" s="3" t="s">
        <v>32027</v>
      </c>
      <c r="AY3767" s="3" t="s">
        <v>32028</v>
      </c>
      <c r="AZ3767" s="3" t="s">
        <v>32029</v>
      </c>
      <c r="BA3767" s="3" t="s">
        <v>32029</v>
      </c>
      <c r="BB3767" s="3" t="s">
        <v>32030</v>
      </c>
      <c r="BC3767" s="3" t="s">
        <v>82</v>
      </c>
      <c r="BD3767" s="3" t="s">
        <v>1611</v>
      </c>
      <c r="BE3767" s="3" t="s">
        <v>32031</v>
      </c>
      <c r="BF3767" s="3" t="s">
        <v>32030</v>
      </c>
      <c r="BG3767" s="3" t="s">
        <v>32032</v>
      </c>
    </row>
    <row r="3768" spans="1:59" ht="60" x14ac:dyDescent="0.25">
      <c r="A3768" s="2" t="s">
        <v>59</v>
      </c>
      <c r="B3768" s="2" t="s">
        <v>60</v>
      </c>
      <c r="C3768" s="2" t="s">
        <v>32033</v>
      </c>
      <c r="D3768" s="2" t="s">
        <v>32034</v>
      </c>
      <c r="E3768" s="2" t="s">
        <v>32035</v>
      </c>
      <c r="G3768" s="3" t="s">
        <v>63</v>
      </c>
      <c r="I3768" s="3" t="s">
        <v>63</v>
      </c>
      <c r="J3768" s="3" t="s">
        <v>63</v>
      </c>
      <c r="K3768" s="3" t="s">
        <v>64</v>
      </c>
      <c r="L3768" s="2" t="s">
        <v>32036</v>
      </c>
      <c r="M3768" s="2" t="s">
        <v>32037</v>
      </c>
      <c r="N3768" s="3" t="s">
        <v>2459</v>
      </c>
      <c r="P3768" s="3" t="s">
        <v>90</v>
      </c>
      <c r="Q3768" s="2" t="s">
        <v>32038</v>
      </c>
      <c r="R3768" s="3" t="s">
        <v>67</v>
      </c>
      <c r="S3768" s="4">
        <v>5</v>
      </c>
      <c r="T3768" s="4">
        <v>5</v>
      </c>
      <c r="U3768" s="5" t="s">
        <v>32039</v>
      </c>
      <c r="V3768" s="5" t="s">
        <v>32039</v>
      </c>
      <c r="W3768" s="5" t="s">
        <v>69</v>
      </c>
      <c r="X3768" s="5" t="s">
        <v>69</v>
      </c>
      <c r="Y3768" s="4">
        <v>55</v>
      </c>
      <c r="Z3768" s="4">
        <v>7</v>
      </c>
      <c r="AA3768" s="4">
        <v>7</v>
      </c>
      <c r="AB3768" s="4">
        <v>2</v>
      </c>
      <c r="AC3768" s="4">
        <v>2</v>
      </c>
      <c r="AD3768" s="4">
        <v>33</v>
      </c>
      <c r="AE3768" s="4">
        <v>33</v>
      </c>
      <c r="AF3768" s="4">
        <v>0</v>
      </c>
      <c r="AG3768" s="4">
        <v>0</v>
      </c>
      <c r="AH3768" s="4">
        <v>32</v>
      </c>
      <c r="AI3768" s="4">
        <v>32</v>
      </c>
      <c r="AJ3768" s="4">
        <v>4</v>
      </c>
      <c r="AK3768" s="4">
        <v>4</v>
      </c>
      <c r="AL3768" s="4">
        <v>27</v>
      </c>
      <c r="AM3768" s="4">
        <v>27</v>
      </c>
      <c r="AN3768" s="4">
        <v>0</v>
      </c>
      <c r="AO3768" s="4">
        <v>0</v>
      </c>
      <c r="AP3768" s="4">
        <v>4</v>
      </c>
      <c r="AQ3768" s="4">
        <v>4</v>
      </c>
      <c r="AR3768" s="3" t="s">
        <v>63</v>
      </c>
      <c r="AS3768" s="3" t="s">
        <v>63</v>
      </c>
      <c r="AT3768" s="3" t="s">
        <v>63</v>
      </c>
      <c r="AV3768" s="6" t="str">
        <f>HYPERLINK("http://mcgill.on.worldcat.org/oclc/236403829","Catalog Record")</f>
        <v>Catalog Record</v>
      </c>
      <c r="AW3768" s="6" t="str">
        <f>HYPERLINK("http://www.worldcat.org/oclc/236403829","WorldCat Record")</f>
        <v>WorldCat Record</v>
      </c>
      <c r="AX3768" s="3" t="s">
        <v>32040</v>
      </c>
      <c r="AY3768" s="3" t="s">
        <v>32041</v>
      </c>
      <c r="AZ3768" s="3" t="s">
        <v>32042</v>
      </c>
      <c r="BA3768" s="3" t="s">
        <v>32042</v>
      </c>
      <c r="BB3768" s="3" t="s">
        <v>32043</v>
      </c>
      <c r="BC3768" s="3" t="s">
        <v>82</v>
      </c>
      <c r="BD3768" s="3" t="s">
        <v>538</v>
      </c>
      <c r="BE3768" s="3" t="s">
        <v>32044</v>
      </c>
      <c r="BF3768" s="3" t="s">
        <v>32043</v>
      </c>
      <c r="BG3768" s="3" t="s">
        <v>32045</v>
      </c>
    </row>
    <row r="3769" spans="1:59" ht="60" x14ac:dyDescent="0.25">
      <c r="A3769" s="2" t="s">
        <v>59</v>
      </c>
      <c r="B3769" s="2" t="s">
        <v>60</v>
      </c>
      <c r="C3769" s="2" t="s">
        <v>32046</v>
      </c>
      <c r="D3769" s="2" t="s">
        <v>32047</v>
      </c>
      <c r="E3769" s="2" t="s">
        <v>32048</v>
      </c>
      <c r="G3769" s="3" t="s">
        <v>63</v>
      </c>
      <c r="I3769" s="3" t="s">
        <v>63</v>
      </c>
      <c r="J3769" s="3" t="s">
        <v>63</v>
      </c>
      <c r="K3769" s="3" t="s">
        <v>64</v>
      </c>
      <c r="L3769" s="2" t="s">
        <v>32049</v>
      </c>
      <c r="M3769" s="2" t="s">
        <v>32050</v>
      </c>
      <c r="N3769" s="3" t="s">
        <v>76</v>
      </c>
      <c r="P3769" s="3" t="s">
        <v>90</v>
      </c>
      <c r="R3769" s="3" t="s">
        <v>67</v>
      </c>
      <c r="S3769" s="4">
        <v>3</v>
      </c>
      <c r="T3769" s="4">
        <v>3</v>
      </c>
      <c r="U3769" s="5" t="s">
        <v>15456</v>
      </c>
      <c r="V3769" s="5" t="s">
        <v>15456</v>
      </c>
      <c r="W3769" s="5" t="s">
        <v>69</v>
      </c>
      <c r="X3769" s="5" t="s">
        <v>69</v>
      </c>
      <c r="Y3769" s="4">
        <v>59</v>
      </c>
      <c r="Z3769" s="4">
        <v>6</v>
      </c>
      <c r="AA3769" s="4">
        <v>6</v>
      </c>
      <c r="AB3769" s="4">
        <v>1</v>
      </c>
      <c r="AC3769" s="4">
        <v>1</v>
      </c>
      <c r="AD3769" s="4">
        <v>39</v>
      </c>
      <c r="AE3769" s="4">
        <v>39</v>
      </c>
      <c r="AF3769" s="4">
        <v>0</v>
      </c>
      <c r="AG3769" s="4">
        <v>0</v>
      </c>
      <c r="AH3769" s="4">
        <v>38</v>
      </c>
      <c r="AI3769" s="4">
        <v>38</v>
      </c>
      <c r="AJ3769" s="4">
        <v>4</v>
      </c>
      <c r="AK3769" s="4">
        <v>4</v>
      </c>
      <c r="AL3769" s="4">
        <v>28</v>
      </c>
      <c r="AM3769" s="4">
        <v>28</v>
      </c>
      <c r="AN3769" s="4">
        <v>0</v>
      </c>
      <c r="AO3769" s="4">
        <v>0</v>
      </c>
      <c r="AP3769" s="4">
        <v>4</v>
      </c>
      <c r="AQ3769" s="4">
        <v>4</v>
      </c>
      <c r="AR3769" s="3" t="s">
        <v>63</v>
      </c>
      <c r="AS3769" s="3" t="s">
        <v>63</v>
      </c>
      <c r="AT3769" s="3" t="s">
        <v>63</v>
      </c>
      <c r="AV3769" s="6" t="str">
        <f>HYPERLINK("http://mcgill.on.worldcat.org/oclc/792944521","Catalog Record")</f>
        <v>Catalog Record</v>
      </c>
      <c r="AW3769" s="6" t="str">
        <f>HYPERLINK("http://www.worldcat.org/oclc/792944521","WorldCat Record")</f>
        <v>WorldCat Record</v>
      </c>
      <c r="AX3769" s="3" t="s">
        <v>32051</v>
      </c>
      <c r="AY3769" s="3" t="s">
        <v>32052</v>
      </c>
      <c r="AZ3769" s="3" t="s">
        <v>32053</v>
      </c>
      <c r="BA3769" s="3" t="s">
        <v>32053</v>
      </c>
      <c r="BB3769" s="3" t="s">
        <v>32054</v>
      </c>
      <c r="BC3769" s="3" t="s">
        <v>82</v>
      </c>
      <c r="BD3769" s="3" t="s">
        <v>70</v>
      </c>
      <c r="BE3769" s="3" t="s">
        <v>32055</v>
      </c>
      <c r="BF3769" s="3" t="s">
        <v>32054</v>
      </c>
      <c r="BG3769" s="3" t="s">
        <v>32056</v>
      </c>
    </row>
    <row r="3770" spans="1:59" ht="60" x14ac:dyDescent="0.25">
      <c r="A3770" s="2" t="s">
        <v>59</v>
      </c>
      <c r="B3770" s="2" t="s">
        <v>60</v>
      </c>
      <c r="C3770" s="2" t="s">
        <v>32057</v>
      </c>
      <c r="D3770" s="2" t="s">
        <v>32058</v>
      </c>
      <c r="E3770" s="2" t="s">
        <v>32059</v>
      </c>
      <c r="G3770" s="3" t="s">
        <v>63</v>
      </c>
      <c r="I3770" s="3" t="s">
        <v>63</v>
      </c>
      <c r="J3770" s="3" t="s">
        <v>63</v>
      </c>
      <c r="K3770" s="3" t="s">
        <v>64</v>
      </c>
      <c r="L3770" s="2" t="s">
        <v>32060</v>
      </c>
      <c r="M3770" s="2" t="s">
        <v>32061</v>
      </c>
      <c r="N3770" s="3" t="s">
        <v>287</v>
      </c>
      <c r="P3770" s="3" t="s">
        <v>90</v>
      </c>
      <c r="Q3770" s="2" t="s">
        <v>32062</v>
      </c>
      <c r="R3770" s="3" t="s">
        <v>67</v>
      </c>
      <c r="S3770" s="4">
        <v>1</v>
      </c>
      <c r="T3770" s="4">
        <v>1</v>
      </c>
      <c r="U3770" s="5" t="s">
        <v>13807</v>
      </c>
      <c r="V3770" s="5" t="s">
        <v>13807</v>
      </c>
      <c r="W3770" s="5" t="s">
        <v>9728</v>
      </c>
      <c r="X3770" s="5" t="s">
        <v>9728</v>
      </c>
      <c r="Y3770" s="4">
        <v>52</v>
      </c>
      <c r="Z3770" s="4">
        <v>5</v>
      </c>
      <c r="AA3770" s="4">
        <v>5</v>
      </c>
      <c r="AB3770" s="4">
        <v>1</v>
      </c>
      <c r="AC3770" s="4">
        <v>1</v>
      </c>
      <c r="AD3770" s="4">
        <v>42</v>
      </c>
      <c r="AE3770" s="4">
        <v>42</v>
      </c>
      <c r="AF3770" s="4">
        <v>0</v>
      </c>
      <c r="AG3770" s="4">
        <v>0</v>
      </c>
      <c r="AH3770" s="4">
        <v>41</v>
      </c>
      <c r="AI3770" s="4">
        <v>41</v>
      </c>
      <c r="AJ3770" s="4">
        <v>3</v>
      </c>
      <c r="AK3770" s="4">
        <v>3</v>
      </c>
      <c r="AL3770" s="4">
        <v>32</v>
      </c>
      <c r="AM3770" s="4">
        <v>32</v>
      </c>
      <c r="AN3770" s="4">
        <v>0</v>
      </c>
      <c r="AO3770" s="4">
        <v>0</v>
      </c>
      <c r="AP3770" s="4">
        <v>3</v>
      </c>
      <c r="AQ3770" s="4">
        <v>3</v>
      </c>
      <c r="AR3770" s="3" t="s">
        <v>63</v>
      </c>
      <c r="AS3770" s="3" t="s">
        <v>63</v>
      </c>
      <c r="AT3770" s="3" t="s">
        <v>63</v>
      </c>
      <c r="AV3770" s="6" t="str">
        <f>HYPERLINK("http://mcgill.on.worldcat.org/oclc/1019651453","Catalog Record")</f>
        <v>Catalog Record</v>
      </c>
      <c r="AW3770" s="6" t="str">
        <f>HYPERLINK("http://www.worldcat.org/oclc/1019651453","WorldCat Record")</f>
        <v>WorldCat Record</v>
      </c>
      <c r="AX3770" s="3" t="s">
        <v>32063</v>
      </c>
      <c r="AY3770" s="3" t="s">
        <v>32064</v>
      </c>
      <c r="AZ3770" s="3" t="s">
        <v>32065</v>
      </c>
      <c r="BA3770" s="3" t="s">
        <v>32065</v>
      </c>
      <c r="BB3770" s="3" t="s">
        <v>32066</v>
      </c>
      <c r="BC3770" s="3" t="s">
        <v>82</v>
      </c>
      <c r="BD3770" s="3" t="s">
        <v>70</v>
      </c>
      <c r="BE3770" s="3" t="s">
        <v>32067</v>
      </c>
      <c r="BF3770" s="3" t="s">
        <v>32066</v>
      </c>
      <c r="BG3770" s="3" t="s">
        <v>32068</v>
      </c>
    </row>
    <row r="3771" spans="1:59" ht="60" x14ac:dyDescent="0.25">
      <c r="A3771" s="2" t="s">
        <v>59</v>
      </c>
      <c r="B3771" s="2" t="s">
        <v>60</v>
      </c>
      <c r="C3771" s="2" t="s">
        <v>32069</v>
      </c>
      <c r="D3771" s="2" t="s">
        <v>32070</v>
      </c>
      <c r="E3771" s="2" t="s">
        <v>32071</v>
      </c>
      <c r="G3771" s="3" t="s">
        <v>63</v>
      </c>
      <c r="I3771" s="3" t="s">
        <v>63</v>
      </c>
      <c r="J3771" s="3" t="s">
        <v>63</v>
      </c>
      <c r="K3771" s="3" t="s">
        <v>64</v>
      </c>
      <c r="L3771" s="2" t="s">
        <v>32072</v>
      </c>
      <c r="M3771" s="2" t="s">
        <v>32073</v>
      </c>
      <c r="N3771" s="3" t="s">
        <v>629</v>
      </c>
      <c r="P3771" s="3" t="s">
        <v>90</v>
      </c>
      <c r="R3771" s="3" t="s">
        <v>67</v>
      </c>
      <c r="S3771" s="4">
        <v>1</v>
      </c>
      <c r="T3771" s="4">
        <v>1</v>
      </c>
      <c r="U3771" s="5" t="s">
        <v>31737</v>
      </c>
      <c r="V3771" s="5" t="s">
        <v>31737</v>
      </c>
      <c r="W3771" s="5" t="s">
        <v>69</v>
      </c>
      <c r="X3771" s="5" t="s">
        <v>69</v>
      </c>
      <c r="Y3771" s="4">
        <v>42</v>
      </c>
      <c r="Z3771" s="4">
        <v>2</v>
      </c>
      <c r="AA3771" s="4">
        <v>4</v>
      </c>
      <c r="AB3771" s="4">
        <v>1</v>
      </c>
      <c r="AC3771" s="4">
        <v>1</v>
      </c>
      <c r="AD3771" s="4">
        <v>34</v>
      </c>
      <c r="AE3771" s="4">
        <v>35</v>
      </c>
      <c r="AF3771" s="4">
        <v>0</v>
      </c>
      <c r="AG3771" s="4">
        <v>0</v>
      </c>
      <c r="AH3771" s="4">
        <v>33</v>
      </c>
      <c r="AI3771" s="4">
        <v>34</v>
      </c>
      <c r="AJ3771" s="4">
        <v>1</v>
      </c>
      <c r="AK3771" s="4">
        <v>2</v>
      </c>
      <c r="AL3771" s="4">
        <v>28</v>
      </c>
      <c r="AM3771" s="4">
        <v>29</v>
      </c>
      <c r="AN3771" s="4">
        <v>0</v>
      </c>
      <c r="AO3771" s="4">
        <v>0</v>
      </c>
      <c r="AP3771" s="4">
        <v>1</v>
      </c>
      <c r="AQ3771" s="4">
        <v>2</v>
      </c>
      <c r="AR3771" s="3" t="s">
        <v>63</v>
      </c>
      <c r="AS3771" s="3" t="s">
        <v>63</v>
      </c>
      <c r="AT3771" s="3" t="s">
        <v>63</v>
      </c>
      <c r="AV3771" s="6" t="str">
        <f>HYPERLINK("http://mcgill.on.worldcat.org/oclc/769191182","Catalog Record")</f>
        <v>Catalog Record</v>
      </c>
      <c r="AW3771" s="6" t="str">
        <f>HYPERLINK("http://www.worldcat.org/oclc/769191182","WorldCat Record")</f>
        <v>WorldCat Record</v>
      </c>
      <c r="AX3771" s="3" t="s">
        <v>32074</v>
      </c>
      <c r="AY3771" s="3" t="s">
        <v>32075</v>
      </c>
      <c r="AZ3771" s="3" t="s">
        <v>32076</v>
      </c>
      <c r="BA3771" s="3" t="s">
        <v>32076</v>
      </c>
      <c r="BB3771" s="3" t="s">
        <v>32077</v>
      </c>
      <c r="BC3771" s="3" t="s">
        <v>82</v>
      </c>
      <c r="BD3771" s="3" t="s">
        <v>70</v>
      </c>
      <c r="BE3771" s="3" t="s">
        <v>32078</v>
      </c>
      <c r="BF3771" s="3" t="s">
        <v>32077</v>
      </c>
      <c r="BG3771" s="3" t="s">
        <v>32079</v>
      </c>
    </row>
    <row r="3772" spans="1:59" ht="60" x14ac:dyDescent="0.25">
      <c r="A3772" s="2" t="s">
        <v>59</v>
      </c>
      <c r="B3772" s="2" t="s">
        <v>60</v>
      </c>
      <c r="C3772" s="2" t="s">
        <v>32080</v>
      </c>
      <c r="D3772" s="2" t="s">
        <v>32081</v>
      </c>
      <c r="E3772" s="2" t="s">
        <v>32082</v>
      </c>
      <c r="G3772" s="3" t="s">
        <v>63</v>
      </c>
      <c r="I3772" s="3" t="s">
        <v>63</v>
      </c>
      <c r="J3772" s="3" t="s">
        <v>63</v>
      </c>
      <c r="K3772" s="3" t="s">
        <v>64</v>
      </c>
      <c r="L3772" s="2" t="s">
        <v>32072</v>
      </c>
      <c r="M3772" s="2" t="s">
        <v>32083</v>
      </c>
      <c r="N3772" s="3" t="s">
        <v>313</v>
      </c>
      <c r="P3772" s="3" t="s">
        <v>90</v>
      </c>
      <c r="R3772" s="3" t="s">
        <v>67</v>
      </c>
      <c r="S3772" s="4">
        <v>1</v>
      </c>
      <c r="T3772" s="4">
        <v>1</v>
      </c>
      <c r="U3772" s="5" t="s">
        <v>30857</v>
      </c>
      <c r="V3772" s="5" t="s">
        <v>30857</v>
      </c>
      <c r="W3772" s="5" t="s">
        <v>69</v>
      </c>
      <c r="X3772" s="5" t="s">
        <v>69</v>
      </c>
      <c r="Y3772" s="4">
        <v>24</v>
      </c>
      <c r="Z3772" s="4">
        <v>3</v>
      </c>
      <c r="AA3772" s="4">
        <v>4</v>
      </c>
      <c r="AB3772" s="4">
        <v>1</v>
      </c>
      <c r="AC3772" s="4">
        <v>1</v>
      </c>
      <c r="AD3772" s="4">
        <v>18</v>
      </c>
      <c r="AE3772" s="4">
        <v>19</v>
      </c>
      <c r="AF3772" s="4">
        <v>0</v>
      </c>
      <c r="AG3772" s="4">
        <v>0</v>
      </c>
      <c r="AH3772" s="4">
        <v>17</v>
      </c>
      <c r="AI3772" s="4">
        <v>18</v>
      </c>
      <c r="AJ3772" s="4">
        <v>1</v>
      </c>
      <c r="AK3772" s="4">
        <v>2</v>
      </c>
      <c r="AL3772" s="4">
        <v>13</v>
      </c>
      <c r="AM3772" s="4">
        <v>13</v>
      </c>
      <c r="AN3772" s="4">
        <v>0</v>
      </c>
      <c r="AO3772" s="4">
        <v>0</v>
      </c>
      <c r="AP3772" s="4">
        <v>1</v>
      </c>
      <c r="AQ3772" s="4">
        <v>2</v>
      </c>
      <c r="AR3772" s="3" t="s">
        <v>63</v>
      </c>
      <c r="AS3772" s="3" t="s">
        <v>63</v>
      </c>
      <c r="AT3772" s="3" t="s">
        <v>63</v>
      </c>
      <c r="AV3772" s="6" t="str">
        <f>HYPERLINK("http://mcgill.on.worldcat.org/oclc/670239064","Catalog Record")</f>
        <v>Catalog Record</v>
      </c>
      <c r="AW3772" s="6" t="str">
        <f>HYPERLINK("http://www.worldcat.org/oclc/670239064","WorldCat Record")</f>
        <v>WorldCat Record</v>
      </c>
      <c r="AX3772" s="3" t="s">
        <v>32084</v>
      </c>
      <c r="AY3772" s="3" t="s">
        <v>32085</v>
      </c>
      <c r="AZ3772" s="3" t="s">
        <v>32086</v>
      </c>
      <c r="BA3772" s="3" t="s">
        <v>32086</v>
      </c>
      <c r="BB3772" s="3" t="s">
        <v>32087</v>
      </c>
      <c r="BC3772" s="3" t="s">
        <v>82</v>
      </c>
      <c r="BD3772" s="3" t="s">
        <v>70</v>
      </c>
      <c r="BE3772" s="3" t="s">
        <v>32088</v>
      </c>
      <c r="BF3772" s="3" t="s">
        <v>32087</v>
      </c>
      <c r="BG3772" s="3" t="s">
        <v>32089</v>
      </c>
    </row>
    <row r="3773" spans="1:59" ht="75" x14ac:dyDescent="0.25">
      <c r="A3773" s="2" t="s">
        <v>59</v>
      </c>
      <c r="B3773" s="2" t="s">
        <v>60</v>
      </c>
      <c r="C3773" s="2" t="s">
        <v>32090</v>
      </c>
      <c r="D3773" s="2" t="s">
        <v>32091</v>
      </c>
      <c r="E3773" s="2" t="s">
        <v>32092</v>
      </c>
      <c r="G3773" s="3" t="s">
        <v>63</v>
      </c>
      <c r="I3773" s="3" t="s">
        <v>63</v>
      </c>
      <c r="J3773" s="3" t="s">
        <v>63</v>
      </c>
      <c r="K3773" s="3" t="s">
        <v>64</v>
      </c>
      <c r="L3773" s="2" t="s">
        <v>32093</v>
      </c>
      <c r="M3773" s="2" t="s">
        <v>32094</v>
      </c>
      <c r="N3773" s="3" t="s">
        <v>693</v>
      </c>
      <c r="P3773" s="3" t="s">
        <v>90</v>
      </c>
      <c r="Q3773" s="2" t="s">
        <v>32095</v>
      </c>
      <c r="R3773" s="3" t="s">
        <v>67</v>
      </c>
      <c r="S3773" s="4">
        <v>1</v>
      </c>
      <c r="T3773" s="4">
        <v>1</v>
      </c>
      <c r="U3773" s="5" t="s">
        <v>11739</v>
      </c>
      <c r="V3773" s="5" t="s">
        <v>11739</v>
      </c>
      <c r="W3773" s="5" t="s">
        <v>69</v>
      </c>
      <c r="X3773" s="5" t="s">
        <v>69</v>
      </c>
      <c r="Y3773" s="4">
        <v>49</v>
      </c>
      <c r="Z3773" s="4">
        <v>6</v>
      </c>
      <c r="AA3773" s="4">
        <v>6</v>
      </c>
      <c r="AB3773" s="4">
        <v>1</v>
      </c>
      <c r="AC3773" s="4">
        <v>1</v>
      </c>
      <c r="AD3773" s="4">
        <v>37</v>
      </c>
      <c r="AE3773" s="4">
        <v>37</v>
      </c>
      <c r="AF3773" s="4">
        <v>0</v>
      </c>
      <c r="AG3773" s="4">
        <v>0</v>
      </c>
      <c r="AH3773" s="4">
        <v>35</v>
      </c>
      <c r="AI3773" s="4">
        <v>35</v>
      </c>
      <c r="AJ3773" s="4">
        <v>3</v>
      </c>
      <c r="AK3773" s="4">
        <v>3</v>
      </c>
      <c r="AL3773" s="4">
        <v>26</v>
      </c>
      <c r="AM3773" s="4">
        <v>26</v>
      </c>
      <c r="AN3773" s="4">
        <v>0</v>
      </c>
      <c r="AO3773" s="4">
        <v>0</v>
      </c>
      <c r="AP3773" s="4">
        <v>3</v>
      </c>
      <c r="AQ3773" s="4">
        <v>3</v>
      </c>
      <c r="AR3773" s="3" t="s">
        <v>63</v>
      </c>
      <c r="AS3773" s="3" t="s">
        <v>63</v>
      </c>
      <c r="AT3773" s="3" t="s">
        <v>63</v>
      </c>
      <c r="AV3773" s="6" t="str">
        <f>HYPERLINK("http://mcgill.on.worldcat.org/oclc/56208396","Catalog Record")</f>
        <v>Catalog Record</v>
      </c>
      <c r="AW3773" s="6" t="str">
        <f>HYPERLINK("http://www.worldcat.org/oclc/56208396","WorldCat Record")</f>
        <v>WorldCat Record</v>
      </c>
      <c r="AX3773" s="3" t="s">
        <v>32096</v>
      </c>
      <c r="AY3773" s="3" t="s">
        <v>32097</v>
      </c>
      <c r="AZ3773" s="3" t="s">
        <v>32098</v>
      </c>
      <c r="BA3773" s="3" t="s">
        <v>32098</v>
      </c>
      <c r="BB3773" s="3" t="s">
        <v>32099</v>
      </c>
      <c r="BC3773" s="3" t="s">
        <v>82</v>
      </c>
      <c r="BD3773" s="3" t="s">
        <v>70</v>
      </c>
      <c r="BE3773" s="3" t="s">
        <v>32100</v>
      </c>
      <c r="BF3773" s="3" t="s">
        <v>32099</v>
      </c>
      <c r="BG3773" s="3" t="s">
        <v>32101</v>
      </c>
    </row>
    <row r="3774" spans="1:59" ht="75" x14ac:dyDescent="0.25">
      <c r="A3774" s="2" t="s">
        <v>59</v>
      </c>
      <c r="B3774" s="2" t="s">
        <v>60</v>
      </c>
      <c r="C3774" s="2" t="s">
        <v>32102</v>
      </c>
      <c r="D3774" s="2" t="s">
        <v>32103</v>
      </c>
      <c r="E3774" s="2" t="s">
        <v>32104</v>
      </c>
      <c r="G3774" s="3" t="s">
        <v>63</v>
      </c>
      <c r="I3774" s="3" t="s">
        <v>63</v>
      </c>
      <c r="J3774" s="3" t="s">
        <v>63</v>
      </c>
      <c r="K3774" s="3" t="s">
        <v>64</v>
      </c>
      <c r="L3774" s="2" t="s">
        <v>32105</v>
      </c>
      <c r="M3774" s="2" t="s">
        <v>32106</v>
      </c>
      <c r="N3774" s="3" t="s">
        <v>106</v>
      </c>
      <c r="P3774" s="3" t="s">
        <v>90</v>
      </c>
      <c r="R3774" s="3" t="s">
        <v>67</v>
      </c>
      <c r="S3774" s="4">
        <v>1</v>
      </c>
      <c r="T3774" s="4">
        <v>1</v>
      </c>
      <c r="U3774" s="5" t="s">
        <v>10909</v>
      </c>
      <c r="V3774" s="5" t="s">
        <v>10909</v>
      </c>
      <c r="W3774" s="5" t="s">
        <v>69</v>
      </c>
      <c r="X3774" s="5" t="s">
        <v>69</v>
      </c>
      <c r="Y3774" s="4">
        <v>51</v>
      </c>
      <c r="Z3774" s="4">
        <v>3</v>
      </c>
      <c r="AA3774" s="4">
        <v>3</v>
      </c>
      <c r="AB3774" s="4">
        <v>1</v>
      </c>
      <c r="AC3774" s="4">
        <v>1</v>
      </c>
      <c r="AD3774" s="4">
        <v>40</v>
      </c>
      <c r="AE3774" s="4">
        <v>40</v>
      </c>
      <c r="AF3774" s="4">
        <v>0</v>
      </c>
      <c r="AG3774" s="4">
        <v>0</v>
      </c>
      <c r="AH3774" s="4">
        <v>38</v>
      </c>
      <c r="AI3774" s="4">
        <v>38</v>
      </c>
      <c r="AJ3774" s="4">
        <v>2</v>
      </c>
      <c r="AK3774" s="4">
        <v>2</v>
      </c>
      <c r="AL3774" s="4">
        <v>30</v>
      </c>
      <c r="AM3774" s="4">
        <v>30</v>
      </c>
      <c r="AN3774" s="4">
        <v>0</v>
      </c>
      <c r="AO3774" s="4">
        <v>0</v>
      </c>
      <c r="AP3774" s="4">
        <v>2</v>
      </c>
      <c r="AQ3774" s="4">
        <v>2</v>
      </c>
      <c r="AR3774" s="3" t="s">
        <v>63</v>
      </c>
      <c r="AS3774" s="3" t="s">
        <v>63</v>
      </c>
      <c r="AT3774" s="3" t="s">
        <v>63</v>
      </c>
      <c r="AV3774" s="6" t="str">
        <f>HYPERLINK("http://mcgill.on.worldcat.org/oclc/958391604","Catalog Record")</f>
        <v>Catalog Record</v>
      </c>
      <c r="AW3774" s="6" t="str">
        <f>HYPERLINK("http://www.worldcat.org/oclc/958391604","WorldCat Record")</f>
        <v>WorldCat Record</v>
      </c>
      <c r="AX3774" s="3" t="s">
        <v>32107</v>
      </c>
      <c r="AY3774" s="3" t="s">
        <v>32108</v>
      </c>
      <c r="AZ3774" s="3" t="s">
        <v>32109</v>
      </c>
      <c r="BA3774" s="3" t="s">
        <v>32109</v>
      </c>
      <c r="BB3774" s="3" t="s">
        <v>32110</v>
      </c>
      <c r="BC3774" s="3" t="s">
        <v>82</v>
      </c>
      <c r="BD3774" s="3" t="s">
        <v>70</v>
      </c>
      <c r="BE3774" s="3" t="s">
        <v>32111</v>
      </c>
      <c r="BF3774" s="3" t="s">
        <v>32110</v>
      </c>
      <c r="BG3774" s="3" t="s">
        <v>32112</v>
      </c>
    </row>
    <row r="3775" spans="1:59" ht="60" x14ac:dyDescent="0.25">
      <c r="A3775" s="2" t="s">
        <v>59</v>
      </c>
      <c r="B3775" s="2" t="s">
        <v>60</v>
      </c>
      <c r="C3775" s="2" t="s">
        <v>32113</v>
      </c>
      <c r="D3775" s="2" t="s">
        <v>32114</v>
      </c>
      <c r="E3775" s="2" t="s">
        <v>32115</v>
      </c>
      <c r="G3775" s="3" t="s">
        <v>63</v>
      </c>
      <c r="I3775" s="3" t="s">
        <v>63</v>
      </c>
      <c r="J3775" s="3" t="s">
        <v>63</v>
      </c>
      <c r="K3775" s="3" t="s">
        <v>64</v>
      </c>
      <c r="L3775" s="2" t="s">
        <v>32116</v>
      </c>
      <c r="M3775" s="2" t="s">
        <v>32117</v>
      </c>
      <c r="N3775" s="3" t="s">
        <v>287</v>
      </c>
      <c r="P3775" s="3" t="s">
        <v>90</v>
      </c>
      <c r="R3775" s="3" t="s">
        <v>67</v>
      </c>
      <c r="S3775" s="4">
        <v>2</v>
      </c>
      <c r="T3775" s="4">
        <v>2</v>
      </c>
      <c r="U3775" s="5" t="s">
        <v>2795</v>
      </c>
      <c r="V3775" s="5" t="s">
        <v>2795</v>
      </c>
      <c r="W3775" s="5" t="s">
        <v>9728</v>
      </c>
      <c r="X3775" s="5" t="s">
        <v>9728</v>
      </c>
      <c r="Y3775" s="4">
        <v>10</v>
      </c>
      <c r="Z3775" s="4">
        <v>1</v>
      </c>
      <c r="AA3775" s="4">
        <v>4</v>
      </c>
      <c r="AB3775" s="4">
        <v>1</v>
      </c>
      <c r="AC3775" s="4">
        <v>1</v>
      </c>
      <c r="AD3775" s="4">
        <v>8</v>
      </c>
      <c r="AE3775" s="4">
        <v>34</v>
      </c>
      <c r="AF3775" s="4">
        <v>0</v>
      </c>
      <c r="AG3775" s="4">
        <v>0</v>
      </c>
      <c r="AH3775" s="4">
        <v>8</v>
      </c>
      <c r="AI3775" s="4">
        <v>33</v>
      </c>
      <c r="AJ3775" s="4">
        <v>0</v>
      </c>
      <c r="AK3775" s="4">
        <v>1</v>
      </c>
      <c r="AL3775" s="4">
        <v>7</v>
      </c>
      <c r="AM3775" s="4">
        <v>26</v>
      </c>
      <c r="AN3775" s="4">
        <v>0</v>
      </c>
      <c r="AO3775" s="4">
        <v>0</v>
      </c>
      <c r="AP3775" s="4">
        <v>0</v>
      </c>
      <c r="AQ3775" s="4">
        <v>1</v>
      </c>
      <c r="AR3775" s="3" t="s">
        <v>63</v>
      </c>
      <c r="AS3775" s="3" t="s">
        <v>63</v>
      </c>
      <c r="AT3775" s="3" t="s">
        <v>63</v>
      </c>
      <c r="AV3775" s="6" t="str">
        <f>HYPERLINK("http://mcgill.on.worldcat.org/oclc/1053889939","Catalog Record")</f>
        <v>Catalog Record</v>
      </c>
      <c r="AW3775" s="6" t="str">
        <f>HYPERLINK("http://www.worldcat.org/oclc/1053889939","WorldCat Record")</f>
        <v>WorldCat Record</v>
      </c>
      <c r="AX3775" s="3" t="s">
        <v>32118</v>
      </c>
      <c r="AY3775" s="3" t="s">
        <v>32119</v>
      </c>
      <c r="AZ3775" s="3" t="s">
        <v>32120</v>
      </c>
      <c r="BA3775" s="3" t="s">
        <v>32120</v>
      </c>
      <c r="BB3775" s="3" t="s">
        <v>32121</v>
      </c>
      <c r="BC3775" s="3" t="s">
        <v>82</v>
      </c>
      <c r="BD3775" s="3" t="s">
        <v>70</v>
      </c>
      <c r="BE3775" s="3" t="s">
        <v>32122</v>
      </c>
      <c r="BF3775" s="3" t="s">
        <v>32121</v>
      </c>
      <c r="BG3775" s="3" t="s">
        <v>32123</v>
      </c>
    </row>
    <row r="3776" spans="1:59" ht="75" x14ac:dyDescent="0.25">
      <c r="A3776" s="2" t="s">
        <v>59</v>
      </c>
      <c r="B3776" s="2" t="s">
        <v>60</v>
      </c>
      <c r="C3776" s="2" t="s">
        <v>32124</v>
      </c>
      <c r="D3776" s="2" t="s">
        <v>32125</v>
      </c>
      <c r="E3776" s="2" t="s">
        <v>32126</v>
      </c>
      <c r="G3776" s="3" t="s">
        <v>63</v>
      </c>
      <c r="I3776" s="3" t="s">
        <v>63</v>
      </c>
      <c r="J3776" s="3" t="s">
        <v>63</v>
      </c>
      <c r="K3776" s="3" t="s">
        <v>64</v>
      </c>
      <c r="L3776" s="2" t="s">
        <v>32116</v>
      </c>
      <c r="M3776" s="2" t="s">
        <v>32127</v>
      </c>
      <c r="N3776" s="3" t="s">
        <v>1557</v>
      </c>
      <c r="P3776" s="3" t="s">
        <v>66</v>
      </c>
      <c r="R3776" s="3" t="s">
        <v>67</v>
      </c>
      <c r="S3776" s="4">
        <v>2</v>
      </c>
      <c r="T3776" s="4">
        <v>2</v>
      </c>
      <c r="U3776" s="5" t="s">
        <v>3069</v>
      </c>
      <c r="V3776" s="5" t="s">
        <v>3069</v>
      </c>
      <c r="W3776" s="5" t="s">
        <v>69</v>
      </c>
      <c r="X3776" s="5" t="s">
        <v>69</v>
      </c>
      <c r="Y3776" s="4">
        <v>552</v>
      </c>
      <c r="Z3776" s="4">
        <v>14</v>
      </c>
      <c r="AA3776" s="4">
        <v>16</v>
      </c>
      <c r="AB3776" s="4">
        <v>2</v>
      </c>
      <c r="AC3776" s="4">
        <v>3</v>
      </c>
      <c r="AD3776" s="4">
        <v>63</v>
      </c>
      <c r="AE3776" s="4">
        <v>63</v>
      </c>
      <c r="AF3776" s="4">
        <v>0</v>
      </c>
      <c r="AG3776" s="4">
        <v>0</v>
      </c>
      <c r="AH3776" s="4">
        <v>60</v>
      </c>
      <c r="AI3776" s="4">
        <v>60</v>
      </c>
      <c r="AJ3776" s="4">
        <v>4</v>
      </c>
      <c r="AK3776" s="4">
        <v>4</v>
      </c>
      <c r="AL3776" s="4">
        <v>42</v>
      </c>
      <c r="AM3776" s="4">
        <v>42</v>
      </c>
      <c r="AN3776" s="4">
        <v>0</v>
      </c>
      <c r="AO3776" s="4">
        <v>0</v>
      </c>
      <c r="AP3776" s="4">
        <v>3</v>
      </c>
      <c r="AQ3776" s="4">
        <v>3</v>
      </c>
      <c r="AR3776" s="3" t="s">
        <v>63</v>
      </c>
      <c r="AS3776" s="3" t="s">
        <v>63</v>
      </c>
      <c r="AT3776" s="3" t="s">
        <v>63</v>
      </c>
      <c r="AV3776" s="6" t="str">
        <f>HYPERLINK("http://mcgill.on.worldcat.org/oclc/950444041","Catalog Record")</f>
        <v>Catalog Record</v>
      </c>
      <c r="AW3776" s="6" t="str">
        <f>HYPERLINK("http://www.worldcat.org/oclc/950444041","WorldCat Record")</f>
        <v>WorldCat Record</v>
      </c>
      <c r="AX3776" s="3" t="s">
        <v>32128</v>
      </c>
      <c r="AY3776" s="3" t="s">
        <v>32129</v>
      </c>
      <c r="AZ3776" s="3" t="s">
        <v>32130</v>
      </c>
      <c r="BA3776" s="3" t="s">
        <v>32130</v>
      </c>
      <c r="BB3776" s="3" t="s">
        <v>32131</v>
      </c>
      <c r="BC3776" s="3" t="s">
        <v>82</v>
      </c>
      <c r="BD3776" s="3" t="s">
        <v>70</v>
      </c>
      <c r="BE3776" s="3" t="s">
        <v>32132</v>
      </c>
      <c r="BF3776" s="3" t="s">
        <v>32131</v>
      </c>
      <c r="BG3776" s="3" t="s">
        <v>32133</v>
      </c>
    </row>
    <row r="3777" spans="1:59" ht="60" x14ac:dyDescent="0.25">
      <c r="A3777" s="2" t="s">
        <v>59</v>
      </c>
      <c r="B3777" s="2" t="s">
        <v>60</v>
      </c>
      <c r="C3777" s="2" t="s">
        <v>32134</v>
      </c>
      <c r="D3777" s="2" t="s">
        <v>32135</v>
      </c>
      <c r="E3777" s="2" t="s">
        <v>32136</v>
      </c>
      <c r="G3777" s="3" t="s">
        <v>63</v>
      </c>
      <c r="I3777" s="3" t="s">
        <v>63</v>
      </c>
      <c r="J3777" s="3" t="s">
        <v>63</v>
      </c>
      <c r="K3777" s="3" t="s">
        <v>64</v>
      </c>
      <c r="L3777" s="2" t="s">
        <v>9748</v>
      </c>
      <c r="M3777" s="2" t="s">
        <v>32137</v>
      </c>
      <c r="N3777" s="3" t="s">
        <v>76</v>
      </c>
      <c r="P3777" s="3" t="s">
        <v>90</v>
      </c>
      <c r="R3777" s="3" t="s">
        <v>67</v>
      </c>
      <c r="S3777" s="4">
        <v>2</v>
      </c>
      <c r="T3777" s="4">
        <v>2</v>
      </c>
      <c r="U3777" s="5" t="s">
        <v>6011</v>
      </c>
      <c r="V3777" s="5" t="s">
        <v>6011</v>
      </c>
      <c r="W3777" s="5" t="s">
        <v>69</v>
      </c>
      <c r="X3777" s="5" t="s">
        <v>69</v>
      </c>
      <c r="Y3777" s="4">
        <v>33</v>
      </c>
      <c r="Z3777" s="4">
        <v>6</v>
      </c>
      <c r="AA3777" s="4">
        <v>6</v>
      </c>
      <c r="AB3777" s="4">
        <v>1</v>
      </c>
      <c r="AC3777" s="4">
        <v>1</v>
      </c>
      <c r="AD3777" s="4">
        <v>20</v>
      </c>
      <c r="AE3777" s="4">
        <v>20</v>
      </c>
      <c r="AF3777" s="4">
        <v>0</v>
      </c>
      <c r="AG3777" s="4">
        <v>0</v>
      </c>
      <c r="AH3777" s="4">
        <v>19</v>
      </c>
      <c r="AI3777" s="4">
        <v>19</v>
      </c>
      <c r="AJ3777" s="4">
        <v>2</v>
      </c>
      <c r="AK3777" s="4">
        <v>2</v>
      </c>
      <c r="AL3777" s="4">
        <v>15</v>
      </c>
      <c r="AM3777" s="4">
        <v>15</v>
      </c>
      <c r="AN3777" s="4">
        <v>0</v>
      </c>
      <c r="AO3777" s="4">
        <v>0</v>
      </c>
      <c r="AP3777" s="4">
        <v>2</v>
      </c>
      <c r="AQ3777" s="4">
        <v>2</v>
      </c>
      <c r="AR3777" s="3" t="s">
        <v>63</v>
      </c>
      <c r="AS3777" s="3" t="s">
        <v>63</v>
      </c>
      <c r="AT3777" s="3" t="s">
        <v>63</v>
      </c>
      <c r="AV3777" s="6" t="str">
        <f>HYPERLINK("http://mcgill.on.worldcat.org/oclc/820172425","Catalog Record")</f>
        <v>Catalog Record</v>
      </c>
      <c r="AW3777" s="6" t="str">
        <f>HYPERLINK("http://www.worldcat.org/oclc/820172425","WorldCat Record")</f>
        <v>WorldCat Record</v>
      </c>
      <c r="AX3777" s="3" t="s">
        <v>32138</v>
      </c>
      <c r="AY3777" s="3" t="s">
        <v>32139</v>
      </c>
      <c r="AZ3777" s="3" t="s">
        <v>32140</v>
      </c>
      <c r="BA3777" s="3" t="s">
        <v>32140</v>
      </c>
      <c r="BB3777" s="3" t="s">
        <v>32141</v>
      </c>
      <c r="BC3777" s="3" t="s">
        <v>82</v>
      </c>
      <c r="BD3777" s="3" t="s">
        <v>70</v>
      </c>
      <c r="BE3777" s="3" t="s">
        <v>32142</v>
      </c>
      <c r="BF3777" s="3" t="s">
        <v>32141</v>
      </c>
      <c r="BG3777" s="3" t="s">
        <v>32143</v>
      </c>
    </row>
    <row r="3778" spans="1:59" ht="60" x14ac:dyDescent="0.25">
      <c r="A3778" s="2" t="s">
        <v>59</v>
      </c>
      <c r="B3778" s="2" t="s">
        <v>60</v>
      </c>
      <c r="C3778" s="2" t="s">
        <v>32155</v>
      </c>
      <c r="D3778" s="2" t="s">
        <v>32156</v>
      </c>
      <c r="E3778" s="2" t="s">
        <v>32157</v>
      </c>
      <c r="G3778" s="3" t="s">
        <v>63</v>
      </c>
      <c r="I3778" s="3" t="s">
        <v>63</v>
      </c>
      <c r="J3778" s="3" t="s">
        <v>63</v>
      </c>
      <c r="K3778" s="3" t="s">
        <v>64</v>
      </c>
      <c r="L3778" s="2" t="s">
        <v>32158</v>
      </c>
      <c r="M3778" s="2" t="s">
        <v>32159</v>
      </c>
      <c r="N3778" s="3" t="s">
        <v>629</v>
      </c>
      <c r="O3778" s="2" t="s">
        <v>976</v>
      </c>
      <c r="P3778" s="3" t="s">
        <v>66</v>
      </c>
      <c r="R3778" s="3" t="s">
        <v>67</v>
      </c>
      <c r="S3778" s="4">
        <v>2</v>
      </c>
      <c r="T3778" s="4">
        <v>2</v>
      </c>
      <c r="U3778" s="5" t="s">
        <v>3069</v>
      </c>
      <c r="V3778" s="5" t="s">
        <v>3069</v>
      </c>
      <c r="W3778" s="5" t="s">
        <v>69</v>
      </c>
      <c r="X3778" s="5" t="s">
        <v>69</v>
      </c>
      <c r="Y3778" s="4">
        <v>17</v>
      </c>
      <c r="Z3778" s="4">
        <v>4</v>
      </c>
      <c r="AA3778" s="4">
        <v>4</v>
      </c>
      <c r="AB3778" s="4">
        <v>1</v>
      </c>
      <c r="AC3778" s="4">
        <v>1</v>
      </c>
      <c r="AD3778" s="4">
        <v>4</v>
      </c>
      <c r="AE3778" s="4">
        <v>4</v>
      </c>
      <c r="AF3778" s="4">
        <v>0</v>
      </c>
      <c r="AG3778" s="4">
        <v>0</v>
      </c>
      <c r="AH3778" s="4">
        <v>4</v>
      </c>
      <c r="AI3778" s="4">
        <v>4</v>
      </c>
      <c r="AJ3778" s="4">
        <v>1</v>
      </c>
      <c r="AK3778" s="4">
        <v>1</v>
      </c>
      <c r="AL3778" s="4">
        <v>4</v>
      </c>
      <c r="AM3778" s="4">
        <v>4</v>
      </c>
      <c r="AN3778" s="4">
        <v>0</v>
      </c>
      <c r="AO3778" s="4">
        <v>0</v>
      </c>
      <c r="AP3778" s="4">
        <v>1</v>
      </c>
      <c r="AQ3778" s="4">
        <v>1</v>
      </c>
      <c r="AR3778" s="3" t="s">
        <v>63</v>
      </c>
      <c r="AS3778" s="3" t="s">
        <v>63</v>
      </c>
      <c r="AT3778" s="3" t="s">
        <v>63</v>
      </c>
      <c r="AV3778" s="6" t="str">
        <f>HYPERLINK("http://mcgill.on.worldcat.org/oclc/765525769","Catalog Record")</f>
        <v>Catalog Record</v>
      </c>
      <c r="AW3778" s="6" t="str">
        <f>HYPERLINK("http://www.worldcat.org/oclc/765525769","WorldCat Record")</f>
        <v>WorldCat Record</v>
      </c>
      <c r="AX3778" s="3" t="s">
        <v>32160</v>
      </c>
      <c r="AY3778" s="3" t="s">
        <v>32161</v>
      </c>
      <c r="AZ3778" s="3" t="s">
        <v>32162</v>
      </c>
      <c r="BA3778" s="3" t="s">
        <v>32162</v>
      </c>
      <c r="BB3778" s="3" t="s">
        <v>32163</v>
      </c>
      <c r="BC3778" s="3" t="s">
        <v>82</v>
      </c>
      <c r="BD3778" s="3" t="s">
        <v>70</v>
      </c>
      <c r="BE3778" s="3" t="s">
        <v>32164</v>
      </c>
      <c r="BF3778" s="3" t="s">
        <v>32163</v>
      </c>
      <c r="BG3778" s="3" t="s">
        <v>32165</v>
      </c>
    </row>
    <row r="3779" spans="1:59" ht="90" x14ac:dyDescent="0.25">
      <c r="A3779" s="2" t="s">
        <v>59</v>
      </c>
      <c r="B3779" s="2" t="s">
        <v>60</v>
      </c>
      <c r="C3779" s="2" t="s">
        <v>32166</v>
      </c>
      <c r="D3779" s="2" t="s">
        <v>32167</v>
      </c>
      <c r="E3779" s="2" t="s">
        <v>32168</v>
      </c>
      <c r="G3779" s="3" t="s">
        <v>63</v>
      </c>
      <c r="I3779" s="3" t="s">
        <v>63</v>
      </c>
      <c r="J3779" s="3" t="s">
        <v>63</v>
      </c>
      <c r="K3779" s="3" t="s">
        <v>64</v>
      </c>
      <c r="L3779" s="2" t="s">
        <v>9748</v>
      </c>
      <c r="M3779" s="2" t="s">
        <v>32169</v>
      </c>
      <c r="N3779" s="3" t="s">
        <v>326</v>
      </c>
      <c r="P3779" s="3" t="s">
        <v>66</v>
      </c>
      <c r="R3779" s="3" t="s">
        <v>67</v>
      </c>
      <c r="S3779" s="4">
        <v>9</v>
      </c>
      <c r="T3779" s="4">
        <v>9</v>
      </c>
      <c r="U3779" s="5" t="s">
        <v>6068</v>
      </c>
      <c r="V3779" s="5" t="s">
        <v>6068</v>
      </c>
      <c r="W3779" s="5" t="s">
        <v>69</v>
      </c>
      <c r="X3779" s="5" t="s">
        <v>69</v>
      </c>
      <c r="Y3779" s="4">
        <v>651</v>
      </c>
      <c r="Z3779" s="4">
        <v>29</v>
      </c>
      <c r="AA3779" s="4">
        <v>32</v>
      </c>
      <c r="AB3779" s="4">
        <v>4</v>
      </c>
      <c r="AC3779" s="4">
        <v>6</v>
      </c>
      <c r="AD3779" s="4">
        <v>88</v>
      </c>
      <c r="AE3779" s="4">
        <v>90</v>
      </c>
      <c r="AF3779" s="4">
        <v>0</v>
      </c>
      <c r="AG3779" s="4">
        <v>1</v>
      </c>
      <c r="AH3779" s="4">
        <v>82</v>
      </c>
      <c r="AI3779" s="4">
        <v>83</v>
      </c>
      <c r="AJ3779" s="4">
        <v>10</v>
      </c>
      <c r="AK3779" s="4">
        <v>11</v>
      </c>
      <c r="AL3779" s="4">
        <v>48</v>
      </c>
      <c r="AM3779" s="4">
        <v>48</v>
      </c>
      <c r="AN3779" s="4">
        <v>0</v>
      </c>
      <c r="AO3779" s="4">
        <v>0</v>
      </c>
      <c r="AP3779" s="4">
        <v>11</v>
      </c>
      <c r="AQ3779" s="4">
        <v>13</v>
      </c>
      <c r="AR3779" s="3" t="s">
        <v>63</v>
      </c>
      <c r="AS3779" s="3" t="s">
        <v>63</v>
      </c>
      <c r="AT3779" s="3" t="s">
        <v>63</v>
      </c>
      <c r="AV3779" s="6" t="str">
        <f>HYPERLINK("http://mcgill.on.worldcat.org/oclc/318411330","Catalog Record")</f>
        <v>Catalog Record</v>
      </c>
      <c r="AW3779" s="6" t="str">
        <f>HYPERLINK("http://www.worldcat.org/oclc/318411330","WorldCat Record")</f>
        <v>WorldCat Record</v>
      </c>
      <c r="AX3779" s="3" t="s">
        <v>32170</v>
      </c>
      <c r="AY3779" s="3" t="s">
        <v>32171</v>
      </c>
      <c r="AZ3779" s="3" t="s">
        <v>32172</v>
      </c>
      <c r="BA3779" s="3" t="s">
        <v>32172</v>
      </c>
      <c r="BB3779" s="3" t="s">
        <v>32173</v>
      </c>
      <c r="BC3779" s="3" t="s">
        <v>82</v>
      </c>
      <c r="BD3779" s="3" t="s">
        <v>70</v>
      </c>
      <c r="BE3779" s="3" t="s">
        <v>32174</v>
      </c>
      <c r="BF3779" s="3" t="s">
        <v>32173</v>
      </c>
      <c r="BG3779" s="3" t="s">
        <v>32175</v>
      </c>
    </row>
    <row r="3780" spans="1:59" ht="60" x14ac:dyDescent="0.25">
      <c r="A3780" s="2" t="s">
        <v>59</v>
      </c>
      <c r="B3780" s="2" t="s">
        <v>60</v>
      </c>
      <c r="C3780" s="2" t="s">
        <v>32176</v>
      </c>
      <c r="D3780" s="2" t="s">
        <v>32177</v>
      </c>
      <c r="E3780" s="2" t="s">
        <v>32178</v>
      </c>
      <c r="F3780" s="3" t="s">
        <v>571</v>
      </c>
      <c r="G3780" s="3" t="s">
        <v>62</v>
      </c>
      <c r="I3780" s="3" t="s">
        <v>63</v>
      </c>
      <c r="J3780" s="3" t="s">
        <v>63</v>
      </c>
      <c r="K3780" s="3" t="s">
        <v>64</v>
      </c>
      <c r="L3780" s="2" t="s">
        <v>9748</v>
      </c>
      <c r="M3780" s="2" t="s">
        <v>29695</v>
      </c>
      <c r="N3780" s="3" t="s">
        <v>204</v>
      </c>
      <c r="P3780" s="3" t="s">
        <v>90</v>
      </c>
      <c r="Q3780" s="2" t="s">
        <v>29696</v>
      </c>
      <c r="R3780" s="3" t="s">
        <v>67</v>
      </c>
      <c r="S3780" s="4">
        <v>19</v>
      </c>
      <c r="T3780" s="4">
        <v>46</v>
      </c>
      <c r="U3780" s="5" t="s">
        <v>4990</v>
      </c>
      <c r="V3780" s="5" t="s">
        <v>4990</v>
      </c>
      <c r="W3780" s="5" t="s">
        <v>69</v>
      </c>
      <c r="X3780" s="5" t="s">
        <v>69</v>
      </c>
      <c r="Y3780" s="4">
        <v>126</v>
      </c>
      <c r="Z3780" s="4">
        <v>8</v>
      </c>
      <c r="AA3780" s="4">
        <v>8</v>
      </c>
      <c r="AB3780" s="4">
        <v>1</v>
      </c>
      <c r="AC3780" s="4">
        <v>1</v>
      </c>
      <c r="AD3780" s="4">
        <v>63</v>
      </c>
      <c r="AE3780" s="4">
        <v>63</v>
      </c>
      <c r="AF3780" s="4">
        <v>0</v>
      </c>
      <c r="AG3780" s="4">
        <v>0</v>
      </c>
      <c r="AH3780" s="4">
        <v>62</v>
      </c>
      <c r="AI3780" s="4">
        <v>62</v>
      </c>
      <c r="AJ3780" s="4">
        <v>5</v>
      </c>
      <c r="AK3780" s="4">
        <v>5</v>
      </c>
      <c r="AL3780" s="4">
        <v>42</v>
      </c>
      <c r="AM3780" s="4">
        <v>42</v>
      </c>
      <c r="AN3780" s="4">
        <v>0</v>
      </c>
      <c r="AO3780" s="4">
        <v>0</v>
      </c>
      <c r="AP3780" s="4">
        <v>5</v>
      </c>
      <c r="AQ3780" s="4">
        <v>5</v>
      </c>
      <c r="AR3780" s="3" t="s">
        <v>63</v>
      </c>
      <c r="AS3780" s="3" t="s">
        <v>63</v>
      </c>
      <c r="AT3780" s="3" t="s">
        <v>62</v>
      </c>
      <c r="AU3780" s="6" t="str">
        <f>HYPERLINK("http://catalog.hathitrust.org/Record/003241026","HathiTrust Record")</f>
        <v>HathiTrust Record</v>
      </c>
      <c r="AV3780" s="6" t="str">
        <f>HYPERLINK("http://mcgill.on.worldcat.org/oclc/36257304","Catalog Record")</f>
        <v>Catalog Record</v>
      </c>
      <c r="AW3780" s="6" t="str">
        <f>HYPERLINK("http://www.worldcat.org/oclc/36257304","WorldCat Record")</f>
        <v>WorldCat Record</v>
      </c>
      <c r="AX3780" s="3" t="s">
        <v>32179</v>
      </c>
      <c r="AY3780" s="3" t="s">
        <v>32180</v>
      </c>
      <c r="AZ3780" s="3" t="s">
        <v>32181</v>
      </c>
      <c r="BA3780" s="3" t="s">
        <v>32181</v>
      </c>
      <c r="BB3780" s="3" t="s">
        <v>32182</v>
      </c>
      <c r="BC3780" s="3" t="s">
        <v>82</v>
      </c>
      <c r="BD3780" s="3" t="s">
        <v>70</v>
      </c>
      <c r="BE3780" s="3" t="s">
        <v>32183</v>
      </c>
      <c r="BF3780" s="3" t="s">
        <v>32182</v>
      </c>
      <c r="BG3780" s="3" t="s">
        <v>32184</v>
      </c>
    </row>
    <row r="3781" spans="1:59" ht="60" x14ac:dyDescent="0.25">
      <c r="A3781" s="2" t="s">
        <v>59</v>
      </c>
      <c r="B3781" s="2" t="s">
        <v>60</v>
      </c>
      <c r="C3781" s="2" t="s">
        <v>32176</v>
      </c>
      <c r="D3781" s="2" t="s">
        <v>32177</v>
      </c>
      <c r="E3781" s="2" t="s">
        <v>32178</v>
      </c>
      <c r="F3781" s="3" t="s">
        <v>4439</v>
      </c>
      <c r="G3781" s="3" t="s">
        <v>62</v>
      </c>
      <c r="I3781" s="3" t="s">
        <v>63</v>
      </c>
      <c r="J3781" s="3" t="s">
        <v>63</v>
      </c>
      <c r="K3781" s="3" t="s">
        <v>64</v>
      </c>
      <c r="L3781" s="2" t="s">
        <v>9748</v>
      </c>
      <c r="M3781" s="2" t="s">
        <v>29695</v>
      </c>
      <c r="N3781" s="3" t="s">
        <v>204</v>
      </c>
      <c r="P3781" s="3" t="s">
        <v>90</v>
      </c>
      <c r="Q3781" s="2" t="s">
        <v>29696</v>
      </c>
      <c r="R3781" s="3" t="s">
        <v>67</v>
      </c>
      <c r="S3781" s="4">
        <v>7</v>
      </c>
      <c r="T3781" s="4">
        <v>46</v>
      </c>
      <c r="U3781" s="5" t="s">
        <v>4990</v>
      </c>
      <c r="V3781" s="5" t="s">
        <v>4990</v>
      </c>
      <c r="W3781" s="5" t="s">
        <v>69</v>
      </c>
      <c r="X3781" s="5" t="s">
        <v>69</v>
      </c>
      <c r="Y3781" s="4">
        <v>126</v>
      </c>
      <c r="Z3781" s="4">
        <v>8</v>
      </c>
      <c r="AA3781" s="4">
        <v>8</v>
      </c>
      <c r="AB3781" s="4">
        <v>1</v>
      </c>
      <c r="AC3781" s="4">
        <v>1</v>
      </c>
      <c r="AD3781" s="4">
        <v>63</v>
      </c>
      <c r="AE3781" s="4">
        <v>63</v>
      </c>
      <c r="AF3781" s="4">
        <v>0</v>
      </c>
      <c r="AG3781" s="4">
        <v>0</v>
      </c>
      <c r="AH3781" s="4">
        <v>62</v>
      </c>
      <c r="AI3781" s="4">
        <v>62</v>
      </c>
      <c r="AJ3781" s="4">
        <v>5</v>
      </c>
      <c r="AK3781" s="4">
        <v>5</v>
      </c>
      <c r="AL3781" s="4">
        <v>42</v>
      </c>
      <c r="AM3781" s="4">
        <v>42</v>
      </c>
      <c r="AN3781" s="4">
        <v>0</v>
      </c>
      <c r="AO3781" s="4">
        <v>0</v>
      </c>
      <c r="AP3781" s="4">
        <v>5</v>
      </c>
      <c r="AQ3781" s="4">
        <v>5</v>
      </c>
      <c r="AR3781" s="3" t="s">
        <v>63</v>
      </c>
      <c r="AS3781" s="3" t="s">
        <v>63</v>
      </c>
      <c r="AT3781" s="3" t="s">
        <v>62</v>
      </c>
      <c r="AU3781" s="6" t="str">
        <f>HYPERLINK("http://catalog.hathitrust.org/Record/003241026","HathiTrust Record")</f>
        <v>HathiTrust Record</v>
      </c>
      <c r="AV3781" s="6" t="str">
        <f>HYPERLINK("http://mcgill.on.worldcat.org/oclc/36257304","Catalog Record")</f>
        <v>Catalog Record</v>
      </c>
      <c r="AW3781" s="6" t="str">
        <f>HYPERLINK("http://www.worldcat.org/oclc/36257304","WorldCat Record")</f>
        <v>WorldCat Record</v>
      </c>
      <c r="AX3781" s="3" t="s">
        <v>32179</v>
      </c>
      <c r="AY3781" s="3" t="s">
        <v>32180</v>
      </c>
      <c r="AZ3781" s="3" t="s">
        <v>32181</v>
      </c>
      <c r="BA3781" s="3" t="s">
        <v>32181</v>
      </c>
      <c r="BB3781" s="3" t="s">
        <v>32185</v>
      </c>
      <c r="BC3781" s="3" t="s">
        <v>82</v>
      </c>
      <c r="BD3781" s="3" t="s">
        <v>70</v>
      </c>
      <c r="BE3781" s="3" t="s">
        <v>32183</v>
      </c>
      <c r="BF3781" s="3" t="s">
        <v>32185</v>
      </c>
      <c r="BG3781" s="3" t="s">
        <v>32186</v>
      </c>
    </row>
    <row r="3782" spans="1:59" ht="60" x14ac:dyDescent="0.25">
      <c r="A3782" s="2" t="s">
        <v>59</v>
      </c>
      <c r="B3782" s="2" t="s">
        <v>60</v>
      </c>
      <c r="C3782" s="2" t="s">
        <v>32176</v>
      </c>
      <c r="D3782" s="2" t="s">
        <v>32177</v>
      </c>
      <c r="E3782" s="2" t="s">
        <v>32178</v>
      </c>
      <c r="F3782" s="3" t="s">
        <v>4437</v>
      </c>
      <c r="G3782" s="3" t="s">
        <v>62</v>
      </c>
      <c r="I3782" s="3" t="s">
        <v>63</v>
      </c>
      <c r="J3782" s="3" t="s">
        <v>63</v>
      </c>
      <c r="K3782" s="3" t="s">
        <v>64</v>
      </c>
      <c r="L3782" s="2" t="s">
        <v>9748</v>
      </c>
      <c r="M3782" s="2" t="s">
        <v>29695</v>
      </c>
      <c r="N3782" s="3" t="s">
        <v>204</v>
      </c>
      <c r="P3782" s="3" t="s">
        <v>90</v>
      </c>
      <c r="Q3782" s="2" t="s">
        <v>29696</v>
      </c>
      <c r="R3782" s="3" t="s">
        <v>67</v>
      </c>
      <c r="S3782" s="4">
        <v>5</v>
      </c>
      <c r="T3782" s="4">
        <v>46</v>
      </c>
      <c r="U3782" s="5" t="s">
        <v>4990</v>
      </c>
      <c r="V3782" s="5" t="s">
        <v>4990</v>
      </c>
      <c r="W3782" s="5" t="s">
        <v>69</v>
      </c>
      <c r="X3782" s="5" t="s">
        <v>69</v>
      </c>
      <c r="Y3782" s="4">
        <v>126</v>
      </c>
      <c r="Z3782" s="4">
        <v>8</v>
      </c>
      <c r="AA3782" s="4">
        <v>8</v>
      </c>
      <c r="AB3782" s="4">
        <v>1</v>
      </c>
      <c r="AC3782" s="4">
        <v>1</v>
      </c>
      <c r="AD3782" s="4">
        <v>63</v>
      </c>
      <c r="AE3782" s="4">
        <v>63</v>
      </c>
      <c r="AF3782" s="4">
        <v>0</v>
      </c>
      <c r="AG3782" s="4">
        <v>0</v>
      </c>
      <c r="AH3782" s="4">
        <v>62</v>
      </c>
      <c r="AI3782" s="4">
        <v>62</v>
      </c>
      <c r="AJ3782" s="4">
        <v>5</v>
      </c>
      <c r="AK3782" s="4">
        <v>5</v>
      </c>
      <c r="AL3782" s="4">
        <v>42</v>
      </c>
      <c r="AM3782" s="4">
        <v>42</v>
      </c>
      <c r="AN3782" s="4">
        <v>0</v>
      </c>
      <c r="AO3782" s="4">
        <v>0</v>
      </c>
      <c r="AP3782" s="4">
        <v>5</v>
      </c>
      <c r="AQ3782" s="4">
        <v>5</v>
      </c>
      <c r="AR3782" s="3" t="s">
        <v>63</v>
      </c>
      <c r="AS3782" s="3" t="s">
        <v>63</v>
      </c>
      <c r="AT3782" s="3" t="s">
        <v>62</v>
      </c>
      <c r="AU3782" s="6" t="str">
        <f>HYPERLINK("http://catalog.hathitrust.org/Record/003241026","HathiTrust Record")</f>
        <v>HathiTrust Record</v>
      </c>
      <c r="AV3782" s="6" t="str">
        <f>HYPERLINK("http://mcgill.on.worldcat.org/oclc/36257304","Catalog Record")</f>
        <v>Catalog Record</v>
      </c>
      <c r="AW3782" s="6" t="str">
        <f>HYPERLINK("http://www.worldcat.org/oclc/36257304","WorldCat Record")</f>
        <v>WorldCat Record</v>
      </c>
      <c r="AX3782" s="3" t="s">
        <v>32179</v>
      </c>
      <c r="AY3782" s="3" t="s">
        <v>32180</v>
      </c>
      <c r="AZ3782" s="3" t="s">
        <v>32181</v>
      </c>
      <c r="BA3782" s="3" t="s">
        <v>32181</v>
      </c>
      <c r="BB3782" s="3" t="s">
        <v>32187</v>
      </c>
      <c r="BC3782" s="3" t="s">
        <v>82</v>
      </c>
      <c r="BD3782" s="3" t="s">
        <v>70</v>
      </c>
      <c r="BE3782" s="3" t="s">
        <v>32183</v>
      </c>
      <c r="BF3782" s="3" t="s">
        <v>32187</v>
      </c>
      <c r="BG3782" s="3" t="s">
        <v>32188</v>
      </c>
    </row>
    <row r="3783" spans="1:59" ht="60" x14ac:dyDescent="0.25">
      <c r="A3783" s="2" t="s">
        <v>59</v>
      </c>
      <c r="B3783" s="2" t="s">
        <v>60</v>
      </c>
      <c r="C3783" s="2" t="s">
        <v>32176</v>
      </c>
      <c r="D3783" s="2" t="s">
        <v>32177</v>
      </c>
      <c r="E3783" s="2" t="s">
        <v>32178</v>
      </c>
      <c r="F3783" s="3" t="s">
        <v>582</v>
      </c>
      <c r="G3783" s="3" t="s">
        <v>62</v>
      </c>
      <c r="I3783" s="3" t="s">
        <v>63</v>
      </c>
      <c r="J3783" s="3" t="s">
        <v>63</v>
      </c>
      <c r="K3783" s="3" t="s">
        <v>64</v>
      </c>
      <c r="L3783" s="2" t="s">
        <v>9748</v>
      </c>
      <c r="M3783" s="2" t="s">
        <v>29695</v>
      </c>
      <c r="N3783" s="3" t="s">
        <v>204</v>
      </c>
      <c r="P3783" s="3" t="s">
        <v>90</v>
      </c>
      <c r="Q3783" s="2" t="s">
        <v>29696</v>
      </c>
      <c r="R3783" s="3" t="s">
        <v>67</v>
      </c>
      <c r="S3783" s="4">
        <v>11</v>
      </c>
      <c r="T3783" s="4">
        <v>46</v>
      </c>
      <c r="U3783" s="5" t="s">
        <v>4990</v>
      </c>
      <c r="V3783" s="5" t="s">
        <v>4990</v>
      </c>
      <c r="W3783" s="5" t="s">
        <v>69</v>
      </c>
      <c r="X3783" s="5" t="s">
        <v>69</v>
      </c>
      <c r="Y3783" s="4">
        <v>126</v>
      </c>
      <c r="Z3783" s="4">
        <v>8</v>
      </c>
      <c r="AA3783" s="4">
        <v>8</v>
      </c>
      <c r="AB3783" s="4">
        <v>1</v>
      </c>
      <c r="AC3783" s="4">
        <v>1</v>
      </c>
      <c r="AD3783" s="4">
        <v>63</v>
      </c>
      <c r="AE3783" s="4">
        <v>63</v>
      </c>
      <c r="AF3783" s="4">
        <v>0</v>
      </c>
      <c r="AG3783" s="4">
        <v>0</v>
      </c>
      <c r="AH3783" s="4">
        <v>62</v>
      </c>
      <c r="AI3783" s="4">
        <v>62</v>
      </c>
      <c r="AJ3783" s="4">
        <v>5</v>
      </c>
      <c r="AK3783" s="4">
        <v>5</v>
      </c>
      <c r="AL3783" s="4">
        <v>42</v>
      </c>
      <c r="AM3783" s="4">
        <v>42</v>
      </c>
      <c r="AN3783" s="4">
        <v>0</v>
      </c>
      <c r="AO3783" s="4">
        <v>0</v>
      </c>
      <c r="AP3783" s="4">
        <v>5</v>
      </c>
      <c r="AQ3783" s="4">
        <v>5</v>
      </c>
      <c r="AR3783" s="3" t="s">
        <v>63</v>
      </c>
      <c r="AS3783" s="3" t="s">
        <v>63</v>
      </c>
      <c r="AT3783" s="3" t="s">
        <v>62</v>
      </c>
      <c r="AU3783" s="6" t="str">
        <f>HYPERLINK("http://catalog.hathitrust.org/Record/003241026","HathiTrust Record")</f>
        <v>HathiTrust Record</v>
      </c>
      <c r="AV3783" s="6" t="str">
        <f>HYPERLINK("http://mcgill.on.worldcat.org/oclc/36257304","Catalog Record")</f>
        <v>Catalog Record</v>
      </c>
      <c r="AW3783" s="6" t="str">
        <f>HYPERLINK("http://www.worldcat.org/oclc/36257304","WorldCat Record")</f>
        <v>WorldCat Record</v>
      </c>
      <c r="AX3783" s="3" t="s">
        <v>32179</v>
      </c>
      <c r="AY3783" s="3" t="s">
        <v>32180</v>
      </c>
      <c r="AZ3783" s="3" t="s">
        <v>32181</v>
      </c>
      <c r="BA3783" s="3" t="s">
        <v>32181</v>
      </c>
      <c r="BB3783" s="3" t="s">
        <v>32189</v>
      </c>
      <c r="BC3783" s="3" t="s">
        <v>82</v>
      </c>
      <c r="BD3783" s="3" t="s">
        <v>70</v>
      </c>
      <c r="BE3783" s="3" t="s">
        <v>32183</v>
      </c>
      <c r="BF3783" s="3" t="s">
        <v>32189</v>
      </c>
      <c r="BG3783" s="3" t="s">
        <v>32190</v>
      </c>
    </row>
    <row r="3784" spans="1:59" ht="60" x14ac:dyDescent="0.25">
      <c r="A3784" s="2" t="s">
        <v>59</v>
      </c>
      <c r="B3784" s="2" t="s">
        <v>60</v>
      </c>
      <c r="C3784" s="2" t="s">
        <v>32176</v>
      </c>
      <c r="D3784" s="2" t="s">
        <v>32177</v>
      </c>
      <c r="E3784" s="2" t="s">
        <v>32178</v>
      </c>
      <c r="F3784" s="3" t="s">
        <v>4032</v>
      </c>
      <c r="G3784" s="3" t="s">
        <v>62</v>
      </c>
      <c r="I3784" s="3" t="s">
        <v>63</v>
      </c>
      <c r="J3784" s="3" t="s">
        <v>63</v>
      </c>
      <c r="K3784" s="3" t="s">
        <v>64</v>
      </c>
      <c r="L3784" s="2" t="s">
        <v>9748</v>
      </c>
      <c r="M3784" s="2" t="s">
        <v>29695</v>
      </c>
      <c r="N3784" s="3" t="s">
        <v>204</v>
      </c>
      <c r="P3784" s="3" t="s">
        <v>90</v>
      </c>
      <c r="Q3784" s="2" t="s">
        <v>29696</v>
      </c>
      <c r="R3784" s="3" t="s">
        <v>67</v>
      </c>
      <c r="S3784" s="4">
        <v>4</v>
      </c>
      <c r="T3784" s="4">
        <v>46</v>
      </c>
      <c r="U3784" s="5" t="s">
        <v>4990</v>
      </c>
      <c r="V3784" s="5" t="s">
        <v>4990</v>
      </c>
      <c r="W3784" s="5" t="s">
        <v>69</v>
      </c>
      <c r="X3784" s="5" t="s">
        <v>69</v>
      </c>
      <c r="Y3784" s="4">
        <v>126</v>
      </c>
      <c r="Z3784" s="4">
        <v>8</v>
      </c>
      <c r="AA3784" s="4">
        <v>8</v>
      </c>
      <c r="AB3784" s="4">
        <v>1</v>
      </c>
      <c r="AC3784" s="4">
        <v>1</v>
      </c>
      <c r="AD3784" s="4">
        <v>63</v>
      </c>
      <c r="AE3784" s="4">
        <v>63</v>
      </c>
      <c r="AF3784" s="4">
        <v>0</v>
      </c>
      <c r="AG3784" s="4">
        <v>0</v>
      </c>
      <c r="AH3784" s="4">
        <v>62</v>
      </c>
      <c r="AI3784" s="4">
        <v>62</v>
      </c>
      <c r="AJ3784" s="4">
        <v>5</v>
      </c>
      <c r="AK3784" s="4">
        <v>5</v>
      </c>
      <c r="AL3784" s="4">
        <v>42</v>
      </c>
      <c r="AM3784" s="4">
        <v>42</v>
      </c>
      <c r="AN3784" s="4">
        <v>0</v>
      </c>
      <c r="AO3784" s="4">
        <v>0</v>
      </c>
      <c r="AP3784" s="4">
        <v>5</v>
      </c>
      <c r="AQ3784" s="4">
        <v>5</v>
      </c>
      <c r="AR3784" s="3" t="s">
        <v>63</v>
      </c>
      <c r="AS3784" s="3" t="s">
        <v>63</v>
      </c>
      <c r="AT3784" s="3" t="s">
        <v>62</v>
      </c>
      <c r="AU3784" s="6" t="str">
        <f>HYPERLINK("http://catalog.hathitrust.org/Record/003241026","HathiTrust Record")</f>
        <v>HathiTrust Record</v>
      </c>
      <c r="AV3784" s="6" t="str">
        <f>HYPERLINK("http://mcgill.on.worldcat.org/oclc/36257304","Catalog Record")</f>
        <v>Catalog Record</v>
      </c>
      <c r="AW3784" s="6" t="str">
        <f>HYPERLINK("http://www.worldcat.org/oclc/36257304","WorldCat Record")</f>
        <v>WorldCat Record</v>
      </c>
      <c r="AX3784" s="3" t="s">
        <v>32179</v>
      </c>
      <c r="AY3784" s="3" t="s">
        <v>32180</v>
      </c>
      <c r="AZ3784" s="3" t="s">
        <v>32181</v>
      </c>
      <c r="BA3784" s="3" t="s">
        <v>32181</v>
      </c>
      <c r="BB3784" s="3" t="s">
        <v>32191</v>
      </c>
      <c r="BC3784" s="3" t="s">
        <v>82</v>
      </c>
      <c r="BD3784" s="3" t="s">
        <v>70</v>
      </c>
      <c r="BE3784" s="3" t="s">
        <v>32183</v>
      </c>
      <c r="BF3784" s="3" t="s">
        <v>32191</v>
      </c>
      <c r="BG3784" s="3" t="s">
        <v>32192</v>
      </c>
    </row>
    <row r="3785" spans="1:59" ht="60" x14ac:dyDescent="0.25">
      <c r="A3785" s="2" t="s">
        <v>59</v>
      </c>
      <c r="B3785" s="2" t="s">
        <v>60</v>
      </c>
      <c r="C3785" s="2" t="s">
        <v>32193</v>
      </c>
      <c r="D3785" s="2" t="s">
        <v>32194</v>
      </c>
      <c r="E3785" s="2" t="s">
        <v>32195</v>
      </c>
      <c r="G3785" s="3" t="s">
        <v>63</v>
      </c>
      <c r="I3785" s="3" t="s">
        <v>63</v>
      </c>
      <c r="J3785" s="3" t="s">
        <v>63</v>
      </c>
      <c r="K3785" s="3" t="s">
        <v>64</v>
      </c>
      <c r="L3785" s="2" t="s">
        <v>9748</v>
      </c>
      <c r="M3785" s="2" t="s">
        <v>32196</v>
      </c>
      <c r="N3785" s="3" t="s">
        <v>362</v>
      </c>
      <c r="P3785" s="3" t="s">
        <v>90</v>
      </c>
      <c r="R3785" s="3" t="s">
        <v>67</v>
      </c>
      <c r="S3785" s="4">
        <v>2</v>
      </c>
      <c r="T3785" s="4">
        <v>2</v>
      </c>
      <c r="U3785" s="5" t="s">
        <v>4990</v>
      </c>
      <c r="V3785" s="5" t="s">
        <v>4990</v>
      </c>
      <c r="W3785" s="5" t="s">
        <v>69</v>
      </c>
      <c r="X3785" s="5" t="s">
        <v>69</v>
      </c>
      <c r="Y3785" s="4">
        <v>50</v>
      </c>
      <c r="Z3785" s="4">
        <v>7</v>
      </c>
      <c r="AA3785" s="4">
        <v>7</v>
      </c>
      <c r="AB3785" s="4">
        <v>2</v>
      </c>
      <c r="AC3785" s="4">
        <v>2</v>
      </c>
      <c r="AD3785" s="4">
        <v>37</v>
      </c>
      <c r="AE3785" s="4">
        <v>37</v>
      </c>
      <c r="AF3785" s="4">
        <v>0</v>
      </c>
      <c r="AG3785" s="4">
        <v>0</v>
      </c>
      <c r="AH3785" s="4">
        <v>35</v>
      </c>
      <c r="AI3785" s="4">
        <v>35</v>
      </c>
      <c r="AJ3785" s="4">
        <v>3</v>
      </c>
      <c r="AK3785" s="4">
        <v>3</v>
      </c>
      <c r="AL3785" s="4">
        <v>29</v>
      </c>
      <c r="AM3785" s="4">
        <v>29</v>
      </c>
      <c r="AN3785" s="4">
        <v>0</v>
      </c>
      <c r="AO3785" s="4">
        <v>0</v>
      </c>
      <c r="AP3785" s="4">
        <v>3</v>
      </c>
      <c r="AQ3785" s="4">
        <v>3</v>
      </c>
      <c r="AR3785" s="3" t="s">
        <v>63</v>
      </c>
      <c r="AS3785" s="3" t="s">
        <v>63</v>
      </c>
      <c r="AT3785" s="3" t="s">
        <v>63</v>
      </c>
      <c r="AV3785" s="6" t="str">
        <f>HYPERLINK("http://mcgill.on.worldcat.org/oclc/49655261","Catalog Record")</f>
        <v>Catalog Record</v>
      </c>
      <c r="AW3785" s="6" t="str">
        <f>HYPERLINK("http://www.worldcat.org/oclc/49655261","WorldCat Record")</f>
        <v>WorldCat Record</v>
      </c>
      <c r="AX3785" s="3" t="s">
        <v>32197</v>
      </c>
      <c r="AY3785" s="3" t="s">
        <v>32198</v>
      </c>
      <c r="AZ3785" s="3" t="s">
        <v>32199</v>
      </c>
      <c r="BA3785" s="3" t="s">
        <v>32199</v>
      </c>
      <c r="BB3785" s="3" t="s">
        <v>32200</v>
      </c>
      <c r="BC3785" s="3" t="s">
        <v>82</v>
      </c>
      <c r="BD3785" s="3" t="s">
        <v>70</v>
      </c>
      <c r="BE3785" s="3" t="s">
        <v>32201</v>
      </c>
      <c r="BF3785" s="3" t="s">
        <v>32200</v>
      </c>
      <c r="BG3785" s="3" t="s">
        <v>32202</v>
      </c>
    </row>
    <row r="3786" spans="1:59" ht="60" x14ac:dyDescent="0.25">
      <c r="A3786" s="2" t="s">
        <v>59</v>
      </c>
      <c r="B3786" s="2" t="s">
        <v>60</v>
      </c>
      <c r="C3786" s="2" t="s">
        <v>32203</v>
      </c>
      <c r="D3786" s="2" t="s">
        <v>32204</v>
      </c>
      <c r="E3786" s="2" t="s">
        <v>32205</v>
      </c>
      <c r="G3786" s="3" t="s">
        <v>63</v>
      </c>
      <c r="I3786" s="3" t="s">
        <v>63</v>
      </c>
      <c r="J3786" s="3" t="s">
        <v>63</v>
      </c>
      <c r="K3786" s="3" t="s">
        <v>64</v>
      </c>
      <c r="L3786" s="2" t="s">
        <v>32116</v>
      </c>
      <c r="M3786" s="2" t="s">
        <v>32206</v>
      </c>
      <c r="N3786" s="3" t="s">
        <v>629</v>
      </c>
      <c r="P3786" s="3" t="s">
        <v>90</v>
      </c>
      <c r="R3786" s="3" t="s">
        <v>67</v>
      </c>
      <c r="S3786" s="4">
        <v>2</v>
      </c>
      <c r="T3786" s="4">
        <v>2</v>
      </c>
      <c r="U3786" s="5" t="s">
        <v>4990</v>
      </c>
      <c r="V3786" s="5" t="s">
        <v>4990</v>
      </c>
      <c r="W3786" s="5" t="s">
        <v>69</v>
      </c>
      <c r="X3786" s="5" t="s">
        <v>69</v>
      </c>
      <c r="Y3786" s="4">
        <v>20</v>
      </c>
      <c r="Z3786" s="4">
        <v>1</v>
      </c>
      <c r="AA3786" s="4">
        <v>1</v>
      </c>
      <c r="AB3786" s="4">
        <v>1</v>
      </c>
      <c r="AC3786" s="4">
        <v>1</v>
      </c>
      <c r="AD3786" s="4">
        <v>8</v>
      </c>
      <c r="AE3786" s="4">
        <v>9</v>
      </c>
      <c r="AF3786" s="4">
        <v>0</v>
      </c>
      <c r="AG3786" s="4">
        <v>0</v>
      </c>
      <c r="AH3786" s="4">
        <v>8</v>
      </c>
      <c r="AI3786" s="4">
        <v>9</v>
      </c>
      <c r="AJ3786" s="4">
        <v>0</v>
      </c>
      <c r="AK3786" s="4">
        <v>0</v>
      </c>
      <c r="AL3786" s="4">
        <v>6</v>
      </c>
      <c r="AM3786" s="4">
        <v>7</v>
      </c>
      <c r="AN3786" s="4">
        <v>0</v>
      </c>
      <c r="AO3786" s="4">
        <v>0</v>
      </c>
      <c r="AP3786" s="4">
        <v>0</v>
      </c>
      <c r="AQ3786" s="4">
        <v>0</v>
      </c>
      <c r="AR3786" s="3" t="s">
        <v>63</v>
      </c>
      <c r="AS3786" s="3" t="s">
        <v>63</v>
      </c>
      <c r="AT3786" s="3" t="s">
        <v>63</v>
      </c>
      <c r="AV3786" s="6" t="str">
        <f>HYPERLINK("http://mcgill.on.worldcat.org/oclc/755813869","Catalog Record")</f>
        <v>Catalog Record</v>
      </c>
      <c r="AW3786" s="6" t="str">
        <f>HYPERLINK("http://www.worldcat.org/oclc/755813869","WorldCat Record")</f>
        <v>WorldCat Record</v>
      </c>
      <c r="AX3786" s="3" t="s">
        <v>32207</v>
      </c>
      <c r="AY3786" s="3" t="s">
        <v>32208</v>
      </c>
      <c r="AZ3786" s="3" t="s">
        <v>32209</v>
      </c>
      <c r="BA3786" s="3" t="s">
        <v>32209</v>
      </c>
      <c r="BB3786" s="3" t="s">
        <v>32210</v>
      </c>
      <c r="BC3786" s="3" t="s">
        <v>82</v>
      </c>
      <c r="BD3786" s="3" t="s">
        <v>70</v>
      </c>
      <c r="BE3786" s="3" t="s">
        <v>32211</v>
      </c>
      <c r="BF3786" s="3" t="s">
        <v>32210</v>
      </c>
      <c r="BG3786" s="3" t="s">
        <v>32212</v>
      </c>
    </row>
    <row r="3787" spans="1:59" ht="60" x14ac:dyDescent="0.25">
      <c r="A3787" s="2" t="s">
        <v>59</v>
      </c>
      <c r="B3787" s="2" t="s">
        <v>60</v>
      </c>
      <c r="C3787" s="2" t="s">
        <v>32213</v>
      </c>
      <c r="D3787" s="2" t="s">
        <v>32214</v>
      </c>
      <c r="E3787" s="2" t="s">
        <v>32215</v>
      </c>
      <c r="G3787" s="3" t="s">
        <v>63</v>
      </c>
      <c r="I3787" s="3" t="s">
        <v>63</v>
      </c>
      <c r="J3787" s="3" t="s">
        <v>63</v>
      </c>
      <c r="K3787" s="3" t="s">
        <v>64</v>
      </c>
      <c r="L3787" s="2" t="s">
        <v>9748</v>
      </c>
      <c r="M3787" s="2" t="s">
        <v>32216</v>
      </c>
      <c r="N3787" s="3" t="s">
        <v>374</v>
      </c>
      <c r="P3787" s="3" t="s">
        <v>66</v>
      </c>
      <c r="R3787" s="3" t="s">
        <v>67</v>
      </c>
      <c r="S3787" s="4">
        <v>20</v>
      </c>
      <c r="T3787" s="4">
        <v>20</v>
      </c>
      <c r="U3787" s="5" t="s">
        <v>16934</v>
      </c>
      <c r="V3787" s="5" t="s">
        <v>16934</v>
      </c>
      <c r="W3787" s="5" t="s">
        <v>69</v>
      </c>
      <c r="X3787" s="5" t="s">
        <v>69</v>
      </c>
      <c r="Y3787" s="4">
        <v>110</v>
      </c>
      <c r="Z3787" s="4">
        <v>9</v>
      </c>
      <c r="AA3787" s="4">
        <v>17</v>
      </c>
      <c r="AB3787" s="4">
        <v>1</v>
      </c>
      <c r="AC3787" s="4">
        <v>1</v>
      </c>
      <c r="AD3787" s="4">
        <v>54</v>
      </c>
      <c r="AE3787" s="4">
        <v>94</v>
      </c>
      <c r="AF3787" s="4">
        <v>0</v>
      </c>
      <c r="AG3787" s="4">
        <v>0</v>
      </c>
      <c r="AH3787" s="4">
        <v>52</v>
      </c>
      <c r="AI3787" s="4">
        <v>90</v>
      </c>
      <c r="AJ3787" s="4">
        <v>6</v>
      </c>
      <c r="AK3787" s="4">
        <v>11</v>
      </c>
      <c r="AL3787" s="4">
        <v>35</v>
      </c>
      <c r="AM3787" s="4">
        <v>51</v>
      </c>
      <c r="AN3787" s="4">
        <v>0</v>
      </c>
      <c r="AO3787" s="4">
        <v>0</v>
      </c>
      <c r="AP3787" s="4">
        <v>7</v>
      </c>
      <c r="AQ3787" s="4">
        <v>12</v>
      </c>
      <c r="AR3787" s="3" t="s">
        <v>63</v>
      </c>
      <c r="AS3787" s="3" t="s">
        <v>63</v>
      </c>
      <c r="AT3787" s="3" t="s">
        <v>63</v>
      </c>
      <c r="AV3787" s="6" t="str">
        <f>HYPERLINK("http://mcgill.on.worldcat.org/oclc/32090469","Catalog Record")</f>
        <v>Catalog Record</v>
      </c>
      <c r="AW3787" s="6" t="str">
        <f>HYPERLINK("http://www.worldcat.org/oclc/32090469","WorldCat Record")</f>
        <v>WorldCat Record</v>
      </c>
      <c r="AX3787" s="3" t="s">
        <v>32217</v>
      </c>
      <c r="AY3787" s="3" t="s">
        <v>32218</v>
      </c>
      <c r="AZ3787" s="3" t="s">
        <v>32219</v>
      </c>
      <c r="BA3787" s="3" t="s">
        <v>32219</v>
      </c>
      <c r="BB3787" s="3" t="s">
        <v>32220</v>
      </c>
      <c r="BC3787" s="3" t="s">
        <v>82</v>
      </c>
      <c r="BD3787" s="3" t="s">
        <v>70</v>
      </c>
      <c r="BE3787" s="3" t="s">
        <v>32221</v>
      </c>
      <c r="BF3787" s="3" t="s">
        <v>32220</v>
      </c>
      <c r="BG3787" s="3" t="s">
        <v>32222</v>
      </c>
    </row>
    <row r="3788" spans="1:59" ht="60" x14ac:dyDescent="0.25">
      <c r="A3788" s="2" t="s">
        <v>59</v>
      </c>
      <c r="B3788" s="2" t="s">
        <v>60</v>
      </c>
      <c r="C3788" s="2" t="s">
        <v>32223</v>
      </c>
      <c r="D3788" s="2" t="s">
        <v>32224</v>
      </c>
      <c r="E3788" s="2" t="s">
        <v>32225</v>
      </c>
      <c r="G3788" s="3" t="s">
        <v>63</v>
      </c>
      <c r="I3788" s="3" t="s">
        <v>63</v>
      </c>
      <c r="J3788" s="3" t="s">
        <v>63</v>
      </c>
      <c r="K3788" s="3" t="s">
        <v>64</v>
      </c>
      <c r="L3788" s="2" t="s">
        <v>9748</v>
      </c>
      <c r="M3788" s="2" t="s">
        <v>32226</v>
      </c>
      <c r="N3788" s="3" t="s">
        <v>190</v>
      </c>
      <c r="P3788" s="3" t="s">
        <v>90</v>
      </c>
      <c r="R3788" s="3" t="s">
        <v>67</v>
      </c>
      <c r="S3788" s="4">
        <v>7</v>
      </c>
      <c r="T3788" s="4">
        <v>7</v>
      </c>
      <c r="U3788" s="5" t="s">
        <v>8716</v>
      </c>
      <c r="V3788" s="5" t="s">
        <v>8716</v>
      </c>
      <c r="W3788" s="5" t="s">
        <v>69</v>
      </c>
      <c r="X3788" s="5" t="s">
        <v>69</v>
      </c>
      <c r="Y3788" s="4">
        <v>80</v>
      </c>
      <c r="Z3788" s="4">
        <v>9</v>
      </c>
      <c r="AA3788" s="4">
        <v>9</v>
      </c>
      <c r="AB3788" s="4">
        <v>1</v>
      </c>
      <c r="AC3788" s="4">
        <v>1</v>
      </c>
      <c r="AD3788" s="4">
        <v>48</v>
      </c>
      <c r="AE3788" s="4">
        <v>48</v>
      </c>
      <c r="AF3788" s="4">
        <v>0</v>
      </c>
      <c r="AG3788" s="4">
        <v>0</v>
      </c>
      <c r="AH3788" s="4">
        <v>46</v>
      </c>
      <c r="AI3788" s="4">
        <v>46</v>
      </c>
      <c r="AJ3788" s="4">
        <v>5</v>
      </c>
      <c r="AK3788" s="4">
        <v>5</v>
      </c>
      <c r="AL3788" s="4">
        <v>38</v>
      </c>
      <c r="AM3788" s="4">
        <v>38</v>
      </c>
      <c r="AN3788" s="4">
        <v>0</v>
      </c>
      <c r="AO3788" s="4">
        <v>0</v>
      </c>
      <c r="AP3788" s="4">
        <v>5</v>
      </c>
      <c r="AQ3788" s="4">
        <v>5</v>
      </c>
      <c r="AR3788" s="3" t="s">
        <v>63</v>
      </c>
      <c r="AS3788" s="3" t="s">
        <v>63</v>
      </c>
      <c r="AT3788" s="3" t="s">
        <v>62</v>
      </c>
      <c r="AU3788" s="6" t="str">
        <f>HYPERLINK("http://catalog.hathitrust.org/Record/005138813","HathiTrust Record")</f>
        <v>HathiTrust Record</v>
      </c>
      <c r="AV3788" s="6" t="str">
        <f>HYPERLINK("http://mcgill.on.worldcat.org/oclc/62400964","Catalog Record")</f>
        <v>Catalog Record</v>
      </c>
      <c r="AW3788" s="6" t="str">
        <f>HYPERLINK("http://www.worldcat.org/oclc/62400964","WorldCat Record")</f>
        <v>WorldCat Record</v>
      </c>
      <c r="AX3788" s="3" t="s">
        <v>32227</v>
      </c>
      <c r="AY3788" s="3" t="s">
        <v>32228</v>
      </c>
      <c r="AZ3788" s="3" t="s">
        <v>32229</v>
      </c>
      <c r="BA3788" s="3" t="s">
        <v>32229</v>
      </c>
      <c r="BB3788" s="3" t="s">
        <v>32230</v>
      </c>
      <c r="BC3788" s="3" t="s">
        <v>82</v>
      </c>
      <c r="BD3788" s="3" t="s">
        <v>70</v>
      </c>
      <c r="BE3788" s="3" t="s">
        <v>32231</v>
      </c>
      <c r="BF3788" s="3" t="s">
        <v>32230</v>
      </c>
      <c r="BG3788" s="3" t="s">
        <v>32232</v>
      </c>
    </row>
    <row r="3789" spans="1:59" ht="60" x14ac:dyDescent="0.25">
      <c r="A3789" s="2" t="s">
        <v>59</v>
      </c>
      <c r="B3789" s="2" t="s">
        <v>60</v>
      </c>
      <c r="C3789" s="2" t="s">
        <v>32233</v>
      </c>
      <c r="D3789" s="2" t="s">
        <v>32234</v>
      </c>
      <c r="E3789" s="2" t="s">
        <v>32235</v>
      </c>
      <c r="G3789" s="3" t="s">
        <v>63</v>
      </c>
      <c r="I3789" s="3" t="s">
        <v>63</v>
      </c>
      <c r="J3789" s="3" t="s">
        <v>63</v>
      </c>
      <c r="K3789" s="3" t="s">
        <v>64</v>
      </c>
      <c r="L3789" s="2" t="s">
        <v>9748</v>
      </c>
      <c r="M3789" s="2" t="s">
        <v>32236</v>
      </c>
      <c r="N3789" s="3" t="s">
        <v>2103</v>
      </c>
      <c r="P3789" s="3" t="s">
        <v>90</v>
      </c>
      <c r="R3789" s="3" t="s">
        <v>67</v>
      </c>
      <c r="S3789" s="4">
        <v>1</v>
      </c>
      <c r="T3789" s="4">
        <v>1</v>
      </c>
      <c r="U3789" s="5" t="s">
        <v>30978</v>
      </c>
      <c r="V3789" s="5" t="s">
        <v>30978</v>
      </c>
      <c r="W3789" s="5" t="s">
        <v>69</v>
      </c>
      <c r="X3789" s="5" t="s">
        <v>69</v>
      </c>
      <c r="Y3789" s="4">
        <v>52</v>
      </c>
      <c r="Z3789" s="4">
        <v>4</v>
      </c>
      <c r="AA3789" s="4">
        <v>4</v>
      </c>
      <c r="AB3789" s="4">
        <v>1</v>
      </c>
      <c r="AC3789" s="4">
        <v>1</v>
      </c>
      <c r="AD3789" s="4">
        <v>30</v>
      </c>
      <c r="AE3789" s="4">
        <v>30</v>
      </c>
      <c r="AF3789" s="4">
        <v>0</v>
      </c>
      <c r="AG3789" s="4">
        <v>0</v>
      </c>
      <c r="AH3789" s="4">
        <v>29</v>
      </c>
      <c r="AI3789" s="4">
        <v>29</v>
      </c>
      <c r="AJ3789" s="4">
        <v>2</v>
      </c>
      <c r="AK3789" s="4">
        <v>2</v>
      </c>
      <c r="AL3789" s="4">
        <v>25</v>
      </c>
      <c r="AM3789" s="4">
        <v>25</v>
      </c>
      <c r="AN3789" s="4">
        <v>0</v>
      </c>
      <c r="AO3789" s="4">
        <v>0</v>
      </c>
      <c r="AP3789" s="4">
        <v>2</v>
      </c>
      <c r="AQ3789" s="4">
        <v>2</v>
      </c>
      <c r="AR3789" s="3" t="s">
        <v>63</v>
      </c>
      <c r="AS3789" s="3" t="s">
        <v>63</v>
      </c>
      <c r="AT3789" s="3" t="s">
        <v>63</v>
      </c>
      <c r="AV3789" s="6" t="str">
        <f>HYPERLINK("http://mcgill.on.worldcat.org/oclc/50618927","Catalog Record")</f>
        <v>Catalog Record</v>
      </c>
      <c r="AW3789" s="6" t="str">
        <f>HYPERLINK("http://www.worldcat.org/oclc/50618927","WorldCat Record")</f>
        <v>WorldCat Record</v>
      </c>
      <c r="AX3789" s="3" t="s">
        <v>32237</v>
      </c>
      <c r="AY3789" s="3" t="s">
        <v>32238</v>
      </c>
      <c r="AZ3789" s="3" t="s">
        <v>32239</v>
      </c>
      <c r="BA3789" s="3" t="s">
        <v>32239</v>
      </c>
      <c r="BB3789" s="3" t="s">
        <v>32240</v>
      </c>
      <c r="BC3789" s="3" t="s">
        <v>82</v>
      </c>
      <c r="BD3789" s="3" t="s">
        <v>70</v>
      </c>
      <c r="BE3789" s="3" t="s">
        <v>32241</v>
      </c>
      <c r="BF3789" s="3" t="s">
        <v>32240</v>
      </c>
      <c r="BG3789" s="3" t="s">
        <v>32242</v>
      </c>
    </row>
    <row r="3790" spans="1:59" ht="60" x14ac:dyDescent="0.25">
      <c r="A3790" s="2" t="s">
        <v>59</v>
      </c>
      <c r="B3790" s="2" t="s">
        <v>60</v>
      </c>
      <c r="C3790" s="2" t="s">
        <v>32243</v>
      </c>
      <c r="D3790" s="2" t="s">
        <v>32244</v>
      </c>
      <c r="E3790" s="2" t="s">
        <v>32245</v>
      </c>
      <c r="G3790" s="3" t="s">
        <v>63</v>
      </c>
      <c r="I3790" s="3" t="s">
        <v>63</v>
      </c>
      <c r="J3790" s="3" t="s">
        <v>63</v>
      </c>
      <c r="K3790" s="3" t="s">
        <v>64</v>
      </c>
      <c r="L3790" s="2" t="s">
        <v>32116</v>
      </c>
      <c r="M3790" s="2" t="s">
        <v>32246</v>
      </c>
      <c r="N3790" s="3" t="s">
        <v>143</v>
      </c>
      <c r="P3790" s="3" t="s">
        <v>90</v>
      </c>
      <c r="R3790" s="3" t="s">
        <v>67</v>
      </c>
      <c r="S3790" s="4">
        <v>3</v>
      </c>
      <c r="T3790" s="4">
        <v>3</v>
      </c>
      <c r="U3790" s="5" t="s">
        <v>15943</v>
      </c>
      <c r="V3790" s="5" t="s">
        <v>15943</v>
      </c>
      <c r="W3790" s="5" t="s">
        <v>69</v>
      </c>
      <c r="X3790" s="5" t="s">
        <v>69</v>
      </c>
      <c r="Y3790" s="4">
        <v>7</v>
      </c>
      <c r="Z3790" s="4">
        <v>1</v>
      </c>
      <c r="AA3790" s="4">
        <v>3</v>
      </c>
      <c r="AB3790" s="4">
        <v>1</v>
      </c>
      <c r="AC3790" s="4">
        <v>1</v>
      </c>
      <c r="AD3790" s="4">
        <v>3</v>
      </c>
      <c r="AE3790" s="4">
        <v>5</v>
      </c>
      <c r="AF3790" s="4">
        <v>0</v>
      </c>
      <c r="AG3790" s="4">
        <v>0</v>
      </c>
      <c r="AH3790" s="4">
        <v>2</v>
      </c>
      <c r="AI3790" s="4">
        <v>4</v>
      </c>
      <c r="AJ3790" s="4">
        <v>0</v>
      </c>
      <c r="AK3790" s="4">
        <v>0</v>
      </c>
      <c r="AL3790" s="4">
        <v>3</v>
      </c>
      <c r="AM3790" s="4">
        <v>4</v>
      </c>
      <c r="AN3790" s="4">
        <v>0</v>
      </c>
      <c r="AO3790" s="4">
        <v>0</v>
      </c>
      <c r="AP3790" s="4">
        <v>0</v>
      </c>
      <c r="AQ3790" s="4">
        <v>0</v>
      </c>
      <c r="AR3790" s="3" t="s">
        <v>63</v>
      </c>
      <c r="AS3790" s="3" t="s">
        <v>63</v>
      </c>
      <c r="AT3790" s="3" t="s">
        <v>63</v>
      </c>
      <c r="AV3790" s="6" t="str">
        <f>HYPERLINK("http://mcgill.on.worldcat.org/oclc/879571277","Catalog Record")</f>
        <v>Catalog Record</v>
      </c>
      <c r="AW3790" s="6" t="str">
        <f>HYPERLINK("http://www.worldcat.org/oclc/879571277","WorldCat Record")</f>
        <v>WorldCat Record</v>
      </c>
      <c r="AX3790" s="3" t="s">
        <v>32247</v>
      </c>
      <c r="AY3790" s="3" t="s">
        <v>32248</v>
      </c>
      <c r="AZ3790" s="3" t="s">
        <v>32249</v>
      </c>
      <c r="BA3790" s="3" t="s">
        <v>32249</v>
      </c>
      <c r="BB3790" s="3" t="s">
        <v>32250</v>
      </c>
      <c r="BC3790" s="3" t="s">
        <v>82</v>
      </c>
      <c r="BD3790" s="3" t="s">
        <v>70</v>
      </c>
      <c r="BE3790" s="3" t="s">
        <v>32251</v>
      </c>
      <c r="BF3790" s="3" t="s">
        <v>32250</v>
      </c>
      <c r="BG3790" s="3" t="s">
        <v>32252</v>
      </c>
    </row>
    <row r="3791" spans="1:59" ht="60" x14ac:dyDescent="0.25">
      <c r="A3791" s="2" t="s">
        <v>59</v>
      </c>
      <c r="B3791" s="2" t="s">
        <v>60</v>
      </c>
      <c r="C3791" s="2" t="s">
        <v>32253</v>
      </c>
      <c r="D3791" s="2" t="s">
        <v>32254</v>
      </c>
      <c r="E3791" s="2" t="s">
        <v>32255</v>
      </c>
      <c r="G3791" s="3" t="s">
        <v>63</v>
      </c>
      <c r="I3791" s="3" t="s">
        <v>63</v>
      </c>
      <c r="J3791" s="3" t="s">
        <v>63</v>
      </c>
      <c r="K3791" s="3" t="s">
        <v>64</v>
      </c>
      <c r="L3791" s="2" t="s">
        <v>9748</v>
      </c>
      <c r="M3791" s="2" t="s">
        <v>32256</v>
      </c>
      <c r="N3791" s="3" t="s">
        <v>629</v>
      </c>
      <c r="O3791" s="2" t="s">
        <v>32257</v>
      </c>
      <c r="P3791" s="3" t="s">
        <v>90</v>
      </c>
      <c r="R3791" s="3" t="s">
        <v>67</v>
      </c>
      <c r="S3791" s="4">
        <v>2</v>
      </c>
      <c r="T3791" s="4">
        <v>2</v>
      </c>
      <c r="U3791" s="5" t="s">
        <v>4990</v>
      </c>
      <c r="V3791" s="5" t="s">
        <v>4990</v>
      </c>
      <c r="W3791" s="5" t="s">
        <v>69</v>
      </c>
      <c r="X3791" s="5" t="s">
        <v>69</v>
      </c>
      <c r="Y3791" s="4">
        <v>54</v>
      </c>
      <c r="Z3791" s="4">
        <v>8</v>
      </c>
      <c r="AA3791" s="4">
        <v>8</v>
      </c>
      <c r="AB3791" s="4">
        <v>1</v>
      </c>
      <c r="AC3791" s="4">
        <v>1</v>
      </c>
      <c r="AD3791" s="4">
        <v>28</v>
      </c>
      <c r="AE3791" s="4">
        <v>29</v>
      </c>
      <c r="AF3791" s="4">
        <v>0</v>
      </c>
      <c r="AG3791" s="4">
        <v>0</v>
      </c>
      <c r="AH3791" s="4">
        <v>27</v>
      </c>
      <c r="AI3791" s="4">
        <v>28</v>
      </c>
      <c r="AJ3791" s="4">
        <v>4</v>
      </c>
      <c r="AK3791" s="4">
        <v>4</v>
      </c>
      <c r="AL3791" s="4">
        <v>23</v>
      </c>
      <c r="AM3791" s="4">
        <v>23</v>
      </c>
      <c r="AN3791" s="4">
        <v>0</v>
      </c>
      <c r="AO3791" s="4">
        <v>0</v>
      </c>
      <c r="AP3791" s="4">
        <v>4</v>
      </c>
      <c r="AQ3791" s="4">
        <v>4</v>
      </c>
      <c r="AR3791" s="3" t="s">
        <v>63</v>
      </c>
      <c r="AS3791" s="3" t="s">
        <v>63</v>
      </c>
      <c r="AT3791" s="3" t="s">
        <v>63</v>
      </c>
      <c r="AV3791" s="6" t="str">
        <f>HYPERLINK("http://mcgill.on.worldcat.org/oclc/761288156","Catalog Record")</f>
        <v>Catalog Record</v>
      </c>
      <c r="AW3791" s="6" t="str">
        <f>HYPERLINK("http://www.worldcat.org/oclc/761288156","WorldCat Record")</f>
        <v>WorldCat Record</v>
      </c>
      <c r="AX3791" s="3" t="s">
        <v>32258</v>
      </c>
      <c r="AY3791" s="3" t="s">
        <v>32259</v>
      </c>
      <c r="AZ3791" s="3" t="s">
        <v>32260</v>
      </c>
      <c r="BA3791" s="3" t="s">
        <v>32260</v>
      </c>
      <c r="BB3791" s="3" t="s">
        <v>32261</v>
      </c>
      <c r="BC3791" s="3" t="s">
        <v>82</v>
      </c>
      <c r="BD3791" s="3" t="s">
        <v>70</v>
      </c>
      <c r="BE3791" s="3" t="s">
        <v>32262</v>
      </c>
      <c r="BF3791" s="3" t="s">
        <v>32261</v>
      </c>
      <c r="BG3791" s="3" t="s">
        <v>32263</v>
      </c>
    </row>
    <row r="3792" spans="1:59" ht="60" x14ac:dyDescent="0.25">
      <c r="A3792" s="2" t="s">
        <v>59</v>
      </c>
      <c r="B3792" s="2" t="s">
        <v>60</v>
      </c>
      <c r="C3792" s="2" t="s">
        <v>32264</v>
      </c>
      <c r="D3792" s="2" t="s">
        <v>32265</v>
      </c>
      <c r="E3792" s="2" t="s">
        <v>32266</v>
      </c>
      <c r="G3792" s="3" t="s">
        <v>63</v>
      </c>
      <c r="I3792" s="3" t="s">
        <v>63</v>
      </c>
      <c r="J3792" s="3" t="s">
        <v>63</v>
      </c>
      <c r="K3792" s="3" t="s">
        <v>64</v>
      </c>
      <c r="L3792" s="2" t="s">
        <v>9748</v>
      </c>
      <c r="M3792" s="2" t="s">
        <v>32015</v>
      </c>
      <c r="N3792" s="3" t="s">
        <v>1113</v>
      </c>
      <c r="P3792" s="3" t="s">
        <v>90</v>
      </c>
      <c r="R3792" s="3" t="s">
        <v>67</v>
      </c>
      <c r="S3792" s="4">
        <v>6</v>
      </c>
      <c r="T3792" s="4">
        <v>6</v>
      </c>
      <c r="U3792" s="5" t="s">
        <v>4990</v>
      </c>
      <c r="V3792" s="5" t="s">
        <v>4990</v>
      </c>
      <c r="W3792" s="5" t="s">
        <v>69</v>
      </c>
      <c r="X3792" s="5" t="s">
        <v>69</v>
      </c>
      <c r="Y3792" s="4">
        <v>123</v>
      </c>
      <c r="Z3792" s="4">
        <v>4</v>
      </c>
      <c r="AA3792" s="4">
        <v>6</v>
      </c>
      <c r="AB3792" s="4">
        <v>1</v>
      </c>
      <c r="AC3792" s="4">
        <v>1</v>
      </c>
      <c r="AD3792" s="4">
        <v>60</v>
      </c>
      <c r="AE3792" s="4">
        <v>65</v>
      </c>
      <c r="AF3792" s="4">
        <v>0</v>
      </c>
      <c r="AG3792" s="4">
        <v>0</v>
      </c>
      <c r="AH3792" s="4">
        <v>59</v>
      </c>
      <c r="AI3792" s="4">
        <v>63</v>
      </c>
      <c r="AJ3792" s="4">
        <v>2</v>
      </c>
      <c r="AK3792" s="4">
        <v>3</v>
      </c>
      <c r="AL3792" s="4">
        <v>42</v>
      </c>
      <c r="AM3792" s="4">
        <v>45</v>
      </c>
      <c r="AN3792" s="4">
        <v>0</v>
      </c>
      <c r="AO3792" s="4">
        <v>5</v>
      </c>
      <c r="AP3792" s="4">
        <v>2</v>
      </c>
      <c r="AQ3792" s="4">
        <v>3</v>
      </c>
      <c r="AR3792" s="3" t="s">
        <v>63</v>
      </c>
      <c r="AS3792" s="3" t="s">
        <v>63</v>
      </c>
      <c r="AT3792" s="3" t="s">
        <v>62</v>
      </c>
      <c r="AU3792" s="6" t="str">
        <f>HYPERLINK("http://catalog.hathitrust.org/Record/003954821","HathiTrust Record")</f>
        <v>HathiTrust Record</v>
      </c>
      <c r="AV3792" s="6" t="str">
        <f>HYPERLINK("http://mcgill.on.worldcat.org/oclc/38134680","Catalog Record")</f>
        <v>Catalog Record</v>
      </c>
      <c r="AW3792" s="6" t="str">
        <f>HYPERLINK("http://www.worldcat.org/oclc/38134680","WorldCat Record")</f>
        <v>WorldCat Record</v>
      </c>
      <c r="AX3792" s="3" t="s">
        <v>32267</v>
      </c>
      <c r="AY3792" s="3" t="s">
        <v>32268</v>
      </c>
      <c r="AZ3792" s="3" t="s">
        <v>32269</v>
      </c>
      <c r="BA3792" s="3" t="s">
        <v>32269</v>
      </c>
      <c r="BB3792" s="3" t="s">
        <v>32270</v>
      </c>
      <c r="BC3792" s="3" t="s">
        <v>82</v>
      </c>
      <c r="BD3792" s="3" t="s">
        <v>70</v>
      </c>
      <c r="BE3792" s="3" t="s">
        <v>32271</v>
      </c>
      <c r="BF3792" s="3" t="s">
        <v>32270</v>
      </c>
      <c r="BG3792" s="3" t="s">
        <v>32272</v>
      </c>
    </row>
    <row r="3793" spans="1:59" ht="60" x14ac:dyDescent="0.25">
      <c r="A3793" s="2" t="s">
        <v>59</v>
      </c>
      <c r="B3793" s="2" t="s">
        <v>60</v>
      </c>
      <c r="C3793" s="2" t="s">
        <v>32273</v>
      </c>
      <c r="D3793" s="2" t="s">
        <v>32274</v>
      </c>
      <c r="E3793" s="2" t="s">
        <v>32275</v>
      </c>
      <c r="G3793" s="3" t="s">
        <v>63</v>
      </c>
      <c r="I3793" s="3" t="s">
        <v>63</v>
      </c>
      <c r="J3793" s="3" t="s">
        <v>63</v>
      </c>
      <c r="K3793" s="3" t="s">
        <v>64</v>
      </c>
      <c r="L3793" s="2" t="s">
        <v>9748</v>
      </c>
      <c r="M3793" s="2" t="s">
        <v>31985</v>
      </c>
      <c r="N3793" s="3" t="s">
        <v>693</v>
      </c>
      <c r="P3793" s="3" t="s">
        <v>90</v>
      </c>
      <c r="Q3793" s="2" t="s">
        <v>32276</v>
      </c>
      <c r="R3793" s="3" t="s">
        <v>67</v>
      </c>
      <c r="S3793" s="4">
        <v>3</v>
      </c>
      <c r="T3793" s="4">
        <v>3</v>
      </c>
      <c r="U3793" s="5" t="s">
        <v>4990</v>
      </c>
      <c r="V3793" s="5" t="s">
        <v>4990</v>
      </c>
      <c r="W3793" s="5" t="s">
        <v>69</v>
      </c>
      <c r="X3793" s="5" t="s">
        <v>69</v>
      </c>
      <c r="Y3793" s="4">
        <v>106</v>
      </c>
      <c r="Z3793" s="4">
        <v>9</v>
      </c>
      <c r="AA3793" s="4">
        <v>10</v>
      </c>
      <c r="AB3793" s="4">
        <v>1</v>
      </c>
      <c r="AC3793" s="4">
        <v>1</v>
      </c>
      <c r="AD3793" s="4">
        <v>53</v>
      </c>
      <c r="AE3793" s="4">
        <v>56</v>
      </c>
      <c r="AF3793" s="4">
        <v>0</v>
      </c>
      <c r="AG3793" s="4">
        <v>0</v>
      </c>
      <c r="AH3793" s="4">
        <v>50</v>
      </c>
      <c r="AI3793" s="4">
        <v>52</v>
      </c>
      <c r="AJ3793" s="4">
        <v>6</v>
      </c>
      <c r="AK3793" s="4">
        <v>7</v>
      </c>
      <c r="AL3793" s="4">
        <v>36</v>
      </c>
      <c r="AM3793" s="4">
        <v>38</v>
      </c>
      <c r="AN3793" s="4">
        <v>0</v>
      </c>
      <c r="AO3793" s="4">
        <v>0</v>
      </c>
      <c r="AP3793" s="4">
        <v>6</v>
      </c>
      <c r="AQ3793" s="4">
        <v>7</v>
      </c>
      <c r="AR3793" s="3" t="s">
        <v>63</v>
      </c>
      <c r="AS3793" s="3" t="s">
        <v>63</v>
      </c>
      <c r="AT3793" s="3" t="s">
        <v>63</v>
      </c>
      <c r="AV3793" s="6" t="str">
        <f>HYPERLINK("http://mcgill.on.worldcat.org/oclc/55620410","Catalog Record")</f>
        <v>Catalog Record</v>
      </c>
      <c r="AW3793" s="6" t="str">
        <f>HYPERLINK("http://www.worldcat.org/oclc/55620410","WorldCat Record")</f>
        <v>WorldCat Record</v>
      </c>
      <c r="AX3793" s="3" t="s">
        <v>32277</v>
      </c>
      <c r="AY3793" s="3" t="s">
        <v>32278</v>
      </c>
      <c r="AZ3793" s="3" t="s">
        <v>32279</v>
      </c>
      <c r="BA3793" s="3" t="s">
        <v>32279</v>
      </c>
      <c r="BB3793" s="3" t="s">
        <v>32280</v>
      </c>
      <c r="BC3793" s="3" t="s">
        <v>82</v>
      </c>
      <c r="BD3793" s="3" t="s">
        <v>70</v>
      </c>
      <c r="BE3793" s="3" t="s">
        <v>32281</v>
      </c>
      <c r="BF3793" s="3" t="s">
        <v>32280</v>
      </c>
      <c r="BG3793" s="3" t="s">
        <v>32282</v>
      </c>
    </row>
    <row r="3794" spans="1:59" ht="60" x14ac:dyDescent="0.25">
      <c r="A3794" s="2" t="s">
        <v>59</v>
      </c>
      <c r="B3794" s="2" t="s">
        <v>60</v>
      </c>
      <c r="C3794" s="2" t="s">
        <v>32283</v>
      </c>
      <c r="D3794" s="2" t="s">
        <v>32284</v>
      </c>
      <c r="E3794" s="2" t="s">
        <v>32285</v>
      </c>
      <c r="G3794" s="3" t="s">
        <v>63</v>
      </c>
      <c r="I3794" s="3" t="s">
        <v>63</v>
      </c>
      <c r="J3794" s="3" t="s">
        <v>63</v>
      </c>
      <c r="K3794" s="3" t="s">
        <v>64</v>
      </c>
      <c r="L3794" s="2" t="s">
        <v>9748</v>
      </c>
      <c r="M3794" s="2" t="s">
        <v>21549</v>
      </c>
      <c r="N3794" s="3" t="s">
        <v>326</v>
      </c>
      <c r="P3794" s="3" t="s">
        <v>90</v>
      </c>
      <c r="R3794" s="3" t="s">
        <v>67</v>
      </c>
      <c r="S3794" s="4">
        <v>2</v>
      </c>
      <c r="T3794" s="4">
        <v>2</v>
      </c>
      <c r="U3794" s="5" t="s">
        <v>4990</v>
      </c>
      <c r="V3794" s="5" t="s">
        <v>4990</v>
      </c>
      <c r="W3794" s="5" t="s">
        <v>69</v>
      </c>
      <c r="X3794" s="5" t="s">
        <v>69</v>
      </c>
      <c r="Y3794" s="4">
        <v>43</v>
      </c>
      <c r="Z3794" s="4">
        <v>5</v>
      </c>
      <c r="AA3794" s="4">
        <v>5</v>
      </c>
      <c r="AB3794" s="4">
        <v>1</v>
      </c>
      <c r="AC3794" s="4">
        <v>1</v>
      </c>
      <c r="AD3794" s="4">
        <v>24</v>
      </c>
      <c r="AE3794" s="4">
        <v>24</v>
      </c>
      <c r="AF3794" s="4">
        <v>0</v>
      </c>
      <c r="AG3794" s="4">
        <v>0</v>
      </c>
      <c r="AH3794" s="4">
        <v>23</v>
      </c>
      <c r="AI3794" s="4">
        <v>23</v>
      </c>
      <c r="AJ3794" s="4">
        <v>3</v>
      </c>
      <c r="AK3794" s="4">
        <v>3</v>
      </c>
      <c r="AL3794" s="4">
        <v>20</v>
      </c>
      <c r="AM3794" s="4">
        <v>20</v>
      </c>
      <c r="AN3794" s="4">
        <v>0</v>
      </c>
      <c r="AO3794" s="4">
        <v>0</v>
      </c>
      <c r="AP3794" s="4">
        <v>3</v>
      </c>
      <c r="AQ3794" s="4">
        <v>3</v>
      </c>
      <c r="AR3794" s="3" t="s">
        <v>63</v>
      </c>
      <c r="AS3794" s="3" t="s">
        <v>63</v>
      </c>
      <c r="AT3794" s="3" t="s">
        <v>63</v>
      </c>
      <c r="AV3794" s="6" t="str">
        <f>HYPERLINK("http://mcgill.on.worldcat.org/oclc/472181763","Catalog Record")</f>
        <v>Catalog Record</v>
      </c>
      <c r="AW3794" s="6" t="str">
        <f>HYPERLINK("http://www.worldcat.org/oclc/472181763","WorldCat Record")</f>
        <v>WorldCat Record</v>
      </c>
      <c r="AX3794" s="3" t="s">
        <v>32286</v>
      </c>
      <c r="AY3794" s="3" t="s">
        <v>32287</v>
      </c>
      <c r="AZ3794" s="3" t="s">
        <v>32288</v>
      </c>
      <c r="BA3794" s="3" t="s">
        <v>32288</v>
      </c>
      <c r="BB3794" s="3" t="s">
        <v>32289</v>
      </c>
      <c r="BC3794" s="3" t="s">
        <v>82</v>
      </c>
      <c r="BD3794" s="3" t="s">
        <v>70</v>
      </c>
      <c r="BE3794" s="3" t="s">
        <v>32290</v>
      </c>
      <c r="BF3794" s="3" t="s">
        <v>32289</v>
      </c>
      <c r="BG3794" s="3" t="s">
        <v>32291</v>
      </c>
    </row>
    <row r="3795" spans="1:59" ht="60" x14ac:dyDescent="0.25">
      <c r="A3795" s="2" t="s">
        <v>59</v>
      </c>
      <c r="B3795" s="2" t="s">
        <v>60</v>
      </c>
      <c r="C3795" s="2" t="s">
        <v>32292</v>
      </c>
      <c r="D3795" s="2" t="s">
        <v>32293</v>
      </c>
      <c r="E3795" s="2" t="s">
        <v>32294</v>
      </c>
      <c r="G3795" s="3" t="s">
        <v>63</v>
      </c>
      <c r="I3795" s="3" t="s">
        <v>63</v>
      </c>
      <c r="J3795" s="3" t="s">
        <v>63</v>
      </c>
      <c r="K3795" s="3" t="s">
        <v>64</v>
      </c>
      <c r="L3795" s="2" t="s">
        <v>9748</v>
      </c>
      <c r="M3795" s="2" t="s">
        <v>32196</v>
      </c>
      <c r="N3795" s="3" t="s">
        <v>362</v>
      </c>
      <c r="P3795" s="3" t="s">
        <v>90</v>
      </c>
      <c r="R3795" s="3" t="s">
        <v>67</v>
      </c>
      <c r="S3795" s="4">
        <v>1</v>
      </c>
      <c r="T3795" s="4">
        <v>1</v>
      </c>
      <c r="U3795" s="5" t="s">
        <v>26515</v>
      </c>
      <c r="V3795" s="5" t="s">
        <v>26515</v>
      </c>
      <c r="W3795" s="5" t="s">
        <v>69</v>
      </c>
      <c r="X3795" s="5" t="s">
        <v>69</v>
      </c>
      <c r="Y3795" s="4">
        <v>58</v>
      </c>
      <c r="Z3795" s="4">
        <v>6</v>
      </c>
      <c r="AA3795" s="4">
        <v>6</v>
      </c>
      <c r="AB3795" s="4">
        <v>2</v>
      </c>
      <c r="AC3795" s="4">
        <v>2</v>
      </c>
      <c r="AD3795" s="4">
        <v>40</v>
      </c>
      <c r="AE3795" s="4">
        <v>40</v>
      </c>
      <c r="AF3795" s="4">
        <v>0</v>
      </c>
      <c r="AG3795" s="4">
        <v>0</v>
      </c>
      <c r="AH3795" s="4">
        <v>39</v>
      </c>
      <c r="AI3795" s="4">
        <v>39</v>
      </c>
      <c r="AJ3795" s="4">
        <v>2</v>
      </c>
      <c r="AK3795" s="4">
        <v>2</v>
      </c>
      <c r="AL3795" s="4">
        <v>31</v>
      </c>
      <c r="AM3795" s="4">
        <v>31</v>
      </c>
      <c r="AN3795" s="4">
        <v>0</v>
      </c>
      <c r="AO3795" s="4">
        <v>0</v>
      </c>
      <c r="AP3795" s="4">
        <v>2</v>
      </c>
      <c r="AQ3795" s="4">
        <v>2</v>
      </c>
      <c r="AR3795" s="3" t="s">
        <v>63</v>
      </c>
      <c r="AS3795" s="3" t="s">
        <v>63</v>
      </c>
      <c r="AT3795" s="3" t="s">
        <v>62</v>
      </c>
      <c r="AU3795" s="6" t="str">
        <f>HYPERLINK("http://catalog.hathitrust.org/Record/004235742","HathiTrust Record")</f>
        <v>HathiTrust Record</v>
      </c>
      <c r="AV3795" s="6" t="str">
        <f>HYPERLINK("http://mcgill.on.worldcat.org/oclc/48543745","Catalog Record")</f>
        <v>Catalog Record</v>
      </c>
      <c r="AW3795" s="6" t="str">
        <f>HYPERLINK("http://www.worldcat.org/oclc/48543745","WorldCat Record")</f>
        <v>WorldCat Record</v>
      </c>
      <c r="AX3795" s="3" t="s">
        <v>32295</v>
      </c>
      <c r="AY3795" s="3" t="s">
        <v>32296</v>
      </c>
      <c r="AZ3795" s="3" t="s">
        <v>32297</v>
      </c>
      <c r="BA3795" s="3" t="s">
        <v>32297</v>
      </c>
      <c r="BB3795" s="3" t="s">
        <v>32298</v>
      </c>
      <c r="BC3795" s="3" t="s">
        <v>82</v>
      </c>
      <c r="BD3795" s="3" t="s">
        <v>70</v>
      </c>
      <c r="BE3795" s="3" t="s">
        <v>32299</v>
      </c>
      <c r="BF3795" s="3" t="s">
        <v>32298</v>
      </c>
      <c r="BG3795" s="3" t="s">
        <v>32300</v>
      </c>
    </row>
    <row r="3796" spans="1:59" ht="60" x14ac:dyDescent="0.25">
      <c r="A3796" s="2" t="s">
        <v>59</v>
      </c>
      <c r="B3796" s="2" t="s">
        <v>60</v>
      </c>
      <c r="C3796" s="2" t="s">
        <v>32301</v>
      </c>
      <c r="D3796" s="2" t="s">
        <v>32302</v>
      </c>
      <c r="E3796" s="2" t="s">
        <v>32303</v>
      </c>
      <c r="G3796" s="3" t="s">
        <v>63</v>
      </c>
      <c r="I3796" s="3" t="s">
        <v>63</v>
      </c>
      <c r="J3796" s="3" t="s">
        <v>63</v>
      </c>
      <c r="K3796" s="3" t="s">
        <v>64</v>
      </c>
      <c r="L3796" s="2" t="s">
        <v>9748</v>
      </c>
      <c r="M3796" s="2" t="s">
        <v>32196</v>
      </c>
      <c r="N3796" s="3" t="s">
        <v>362</v>
      </c>
      <c r="P3796" s="3" t="s">
        <v>90</v>
      </c>
      <c r="R3796" s="3" t="s">
        <v>67</v>
      </c>
      <c r="S3796" s="4">
        <v>4</v>
      </c>
      <c r="T3796" s="4">
        <v>4</v>
      </c>
      <c r="U3796" s="5" t="s">
        <v>26515</v>
      </c>
      <c r="V3796" s="5" t="s">
        <v>26515</v>
      </c>
      <c r="W3796" s="5" t="s">
        <v>69</v>
      </c>
      <c r="X3796" s="5" t="s">
        <v>69</v>
      </c>
      <c r="Y3796" s="4">
        <v>57</v>
      </c>
      <c r="Z3796" s="4">
        <v>8</v>
      </c>
      <c r="AA3796" s="4">
        <v>8</v>
      </c>
      <c r="AB3796" s="4">
        <v>2</v>
      </c>
      <c r="AC3796" s="4">
        <v>2</v>
      </c>
      <c r="AD3796" s="4">
        <v>38</v>
      </c>
      <c r="AE3796" s="4">
        <v>38</v>
      </c>
      <c r="AF3796" s="4">
        <v>0</v>
      </c>
      <c r="AG3796" s="4">
        <v>0</v>
      </c>
      <c r="AH3796" s="4">
        <v>37</v>
      </c>
      <c r="AI3796" s="4">
        <v>37</v>
      </c>
      <c r="AJ3796" s="4">
        <v>3</v>
      </c>
      <c r="AK3796" s="4">
        <v>3</v>
      </c>
      <c r="AL3796" s="4">
        <v>29</v>
      </c>
      <c r="AM3796" s="4">
        <v>29</v>
      </c>
      <c r="AN3796" s="4">
        <v>0</v>
      </c>
      <c r="AO3796" s="4">
        <v>0</v>
      </c>
      <c r="AP3796" s="4">
        <v>3</v>
      </c>
      <c r="AQ3796" s="4">
        <v>3</v>
      </c>
      <c r="AR3796" s="3" t="s">
        <v>63</v>
      </c>
      <c r="AS3796" s="3" t="s">
        <v>63</v>
      </c>
      <c r="AT3796" s="3" t="s">
        <v>63</v>
      </c>
      <c r="AV3796" s="6" t="str">
        <f>HYPERLINK("http://mcgill.on.worldcat.org/oclc/48963443","Catalog Record")</f>
        <v>Catalog Record</v>
      </c>
      <c r="AW3796" s="6" t="str">
        <f>HYPERLINK("http://www.worldcat.org/oclc/48963443","WorldCat Record")</f>
        <v>WorldCat Record</v>
      </c>
      <c r="AX3796" s="3" t="s">
        <v>32304</v>
      </c>
      <c r="AY3796" s="3" t="s">
        <v>32305</v>
      </c>
      <c r="AZ3796" s="3" t="s">
        <v>32306</v>
      </c>
      <c r="BA3796" s="3" t="s">
        <v>32306</v>
      </c>
      <c r="BB3796" s="3" t="s">
        <v>32307</v>
      </c>
      <c r="BC3796" s="3" t="s">
        <v>82</v>
      </c>
      <c r="BD3796" s="3" t="s">
        <v>70</v>
      </c>
      <c r="BE3796" s="3" t="s">
        <v>32308</v>
      </c>
      <c r="BF3796" s="3" t="s">
        <v>32307</v>
      </c>
      <c r="BG3796" s="3" t="s">
        <v>32309</v>
      </c>
    </row>
    <row r="3797" spans="1:59" ht="60" x14ac:dyDescent="0.25">
      <c r="A3797" s="2" t="s">
        <v>59</v>
      </c>
      <c r="B3797" s="2" t="s">
        <v>60</v>
      </c>
      <c r="C3797" s="2" t="s">
        <v>32310</v>
      </c>
      <c r="D3797" s="2" t="s">
        <v>32311</v>
      </c>
      <c r="E3797" s="2" t="s">
        <v>32312</v>
      </c>
      <c r="G3797" s="3" t="s">
        <v>63</v>
      </c>
      <c r="I3797" s="3" t="s">
        <v>63</v>
      </c>
      <c r="J3797" s="3" t="s">
        <v>63</v>
      </c>
      <c r="K3797" s="3" t="s">
        <v>64</v>
      </c>
      <c r="L3797" s="2" t="s">
        <v>9748</v>
      </c>
      <c r="M3797" s="2" t="s">
        <v>32313</v>
      </c>
      <c r="N3797" s="3" t="s">
        <v>234</v>
      </c>
      <c r="P3797" s="3" t="s">
        <v>90</v>
      </c>
      <c r="R3797" s="3" t="s">
        <v>67</v>
      </c>
      <c r="S3797" s="4">
        <v>4</v>
      </c>
      <c r="T3797" s="4">
        <v>4</v>
      </c>
      <c r="U3797" s="5" t="s">
        <v>988</v>
      </c>
      <c r="V3797" s="5" t="s">
        <v>988</v>
      </c>
      <c r="W3797" s="5" t="s">
        <v>69</v>
      </c>
      <c r="X3797" s="5" t="s">
        <v>69</v>
      </c>
      <c r="Y3797" s="4">
        <v>84</v>
      </c>
      <c r="Z3797" s="4">
        <v>11</v>
      </c>
      <c r="AA3797" s="4">
        <v>11</v>
      </c>
      <c r="AB3797" s="4">
        <v>1</v>
      </c>
      <c r="AC3797" s="4">
        <v>1</v>
      </c>
      <c r="AD3797" s="4">
        <v>48</v>
      </c>
      <c r="AE3797" s="4">
        <v>53</v>
      </c>
      <c r="AF3797" s="4">
        <v>0</v>
      </c>
      <c r="AG3797" s="4">
        <v>0</v>
      </c>
      <c r="AH3797" s="4">
        <v>45</v>
      </c>
      <c r="AI3797" s="4">
        <v>50</v>
      </c>
      <c r="AJ3797" s="4">
        <v>5</v>
      </c>
      <c r="AK3797" s="4">
        <v>5</v>
      </c>
      <c r="AL3797" s="4">
        <v>32</v>
      </c>
      <c r="AM3797" s="4">
        <v>37</v>
      </c>
      <c r="AN3797" s="4">
        <v>0</v>
      </c>
      <c r="AO3797" s="4">
        <v>0</v>
      </c>
      <c r="AP3797" s="4">
        <v>5</v>
      </c>
      <c r="AQ3797" s="4">
        <v>5</v>
      </c>
      <c r="AR3797" s="3" t="s">
        <v>63</v>
      </c>
      <c r="AS3797" s="3" t="s">
        <v>63</v>
      </c>
      <c r="AT3797" s="3" t="s">
        <v>63</v>
      </c>
      <c r="AV3797" s="6" t="str">
        <f>HYPERLINK("http://mcgill.on.worldcat.org/oclc/70282569","Catalog Record")</f>
        <v>Catalog Record</v>
      </c>
      <c r="AW3797" s="6" t="str">
        <f>HYPERLINK("http://www.worldcat.org/oclc/70282569","WorldCat Record")</f>
        <v>WorldCat Record</v>
      </c>
      <c r="AX3797" s="3" t="s">
        <v>32314</v>
      </c>
      <c r="AY3797" s="3" t="s">
        <v>32315</v>
      </c>
      <c r="AZ3797" s="3" t="s">
        <v>32316</v>
      </c>
      <c r="BA3797" s="3" t="s">
        <v>32316</v>
      </c>
      <c r="BB3797" s="3" t="s">
        <v>32317</v>
      </c>
      <c r="BC3797" s="3" t="s">
        <v>82</v>
      </c>
      <c r="BD3797" s="3" t="s">
        <v>70</v>
      </c>
      <c r="BE3797" s="3" t="s">
        <v>32318</v>
      </c>
      <c r="BF3797" s="3" t="s">
        <v>32317</v>
      </c>
      <c r="BG3797" s="3" t="s">
        <v>32319</v>
      </c>
    </row>
    <row r="3798" spans="1:59" ht="60" x14ac:dyDescent="0.25">
      <c r="A3798" s="2" t="s">
        <v>59</v>
      </c>
      <c r="B3798" s="2" t="s">
        <v>60</v>
      </c>
      <c r="C3798" s="2" t="s">
        <v>32320</v>
      </c>
      <c r="D3798" s="2" t="s">
        <v>32321</v>
      </c>
      <c r="E3798" s="2" t="s">
        <v>32322</v>
      </c>
      <c r="G3798" s="3" t="s">
        <v>63</v>
      </c>
      <c r="I3798" s="3" t="s">
        <v>63</v>
      </c>
      <c r="J3798" s="3" t="s">
        <v>63</v>
      </c>
      <c r="K3798" s="3" t="s">
        <v>64</v>
      </c>
      <c r="L3798" s="2" t="s">
        <v>9748</v>
      </c>
      <c r="M3798" s="2" t="s">
        <v>32323</v>
      </c>
      <c r="N3798" s="3" t="s">
        <v>326</v>
      </c>
      <c r="P3798" s="3" t="s">
        <v>90</v>
      </c>
      <c r="R3798" s="3" t="s">
        <v>67</v>
      </c>
      <c r="S3798" s="4">
        <v>3</v>
      </c>
      <c r="T3798" s="4">
        <v>3</v>
      </c>
      <c r="U3798" s="5" t="s">
        <v>4990</v>
      </c>
      <c r="V3798" s="5" t="s">
        <v>4990</v>
      </c>
      <c r="W3798" s="5" t="s">
        <v>69</v>
      </c>
      <c r="X3798" s="5" t="s">
        <v>69</v>
      </c>
      <c r="Y3798" s="4">
        <v>53</v>
      </c>
      <c r="Z3798" s="4">
        <v>6</v>
      </c>
      <c r="AA3798" s="4">
        <v>8</v>
      </c>
      <c r="AB3798" s="4">
        <v>1</v>
      </c>
      <c r="AC3798" s="4">
        <v>1</v>
      </c>
      <c r="AD3798" s="4">
        <v>33</v>
      </c>
      <c r="AE3798" s="4">
        <v>36</v>
      </c>
      <c r="AF3798" s="4">
        <v>0</v>
      </c>
      <c r="AG3798" s="4">
        <v>0</v>
      </c>
      <c r="AH3798" s="4">
        <v>32</v>
      </c>
      <c r="AI3798" s="4">
        <v>35</v>
      </c>
      <c r="AJ3798" s="4">
        <v>3</v>
      </c>
      <c r="AK3798" s="4">
        <v>4</v>
      </c>
      <c r="AL3798" s="4">
        <v>24</v>
      </c>
      <c r="AM3798" s="4">
        <v>26</v>
      </c>
      <c r="AN3798" s="4">
        <v>0</v>
      </c>
      <c r="AO3798" s="4">
        <v>0</v>
      </c>
      <c r="AP3798" s="4">
        <v>3</v>
      </c>
      <c r="AQ3798" s="4">
        <v>4</v>
      </c>
      <c r="AR3798" s="3" t="s">
        <v>63</v>
      </c>
      <c r="AS3798" s="3" t="s">
        <v>63</v>
      </c>
      <c r="AT3798" s="3" t="s">
        <v>63</v>
      </c>
      <c r="AV3798" s="6" t="str">
        <f>HYPERLINK("http://mcgill.on.worldcat.org/oclc/457011261","Catalog Record")</f>
        <v>Catalog Record</v>
      </c>
      <c r="AW3798" s="6" t="str">
        <f>HYPERLINK("http://www.worldcat.org/oclc/457011261","WorldCat Record")</f>
        <v>WorldCat Record</v>
      </c>
      <c r="AX3798" s="3" t="s">
        <v>32324</v>
      </c>
      <c r="AY3798" s="3" t="s">
        <v>32325</v>
      </c>
      <c r="AZ3798" s="3" t="s">
        <v>32326</v>
      </c>
      <c r="BA3798" s="3" t="s">
        <v>32326</v>
      </c>
      <c r="BB3798" s="3" t="s">
        <v>32327</v>
      </c>
      <c r="BC3798" s="3" t="s">
        <v>82</v>
      </c>
      <c r="BD3798" s="3" t="s">
        <v>70</v>
      </c>
      <c r="BE3798" s="3" t="s">
        <v>32328</v>
      </c>
      <c r="BF3798" s="3" t="s">
        <v>32327</v>
      </c>
      <c r="BG3798" s="3" t="s">
        <v>32329</v>
      </c>
    </row>
    <row r="3799" spans="1:59" ht="60" x14ac:dyDescent="0.25">
      <c r="A3799" s="2" t="s">
        <v>59</v>
      </c>
      <c r="B3799" s="2" t="s">
        <v>60</v>
      </c>
      <c r="C3799" s="2" t="s">
        <v>32330</v>
      </c>
      <c r="D3799" s="2" t="s">
        <v>32331</v>
      </c>
      <c r="E3799" s="2" t="s">
        <v>32332</v>
      </c>
      <c r="G3799" s="3" t="s">
        <v>63</v>
      </c>
      <c r="I3799" s="3" t="s">
        <v>63</v>
      </c>
      <c r="J3799" s="3" t="s">
        <v>63</v>
      </c>
      <c r="K3799" s="3" t="s">
        <v>64</v>
      </c>
      <c r="L3799" s="2" t="s">
        <v>32333</v>
      </c>
      <c r="M3799" s="2" t="s">
        <v>4848</v>
      </c>
      <c r="N3799" s="3" t="s">
        <v>1343</v>
      </c>
      <c r="P3799" s="3" t="s">
        <v>66</v>
      </c>
      <c r="Q3799" s="2" t="s">
        <v>32334</v>
      </c>
      <c r="R3799" s="3" t="s">
        <v>67</v>
      </c>
      <c r="S3799" s="4">
        <v>14</v>
      </c>
      <c r="T3799" s="4">
        <v>14</v>
      </c>
      <c r="U3799" s="5" t="s">
        <v>4990</v>
      </c>
      <c r="V3799" s="5" t="s">
        <v>4990</v>
      </c>
      <c r="W3799" s="5" t="s">
        <v>69</v>
      </c>
      <c r="X3799" s="5" t="s">
        <v>69</v>
      </c>
      <c r="Y3799" s="4">
        <v>206</v>
      </c>
      <c r="Z3799" s="4">
        <v>16</v>
      </c>
      <c r="AA3799" s="4">
        <v>17</v>
      </c>
      <c r="AB3799" s="4">
        <v>2</v>
      </c>
      <c r="AC3799" s="4">
        <v>3</v>
      </c>
      <c r="AD3799" s="4">
        <v>91</v>
      </c>
      <c r="AE3799" s="4">
        <v>92</v>
      </c>
      <c r="AF3799" s="4">
        <v>0</v>
      </c>
      <c r="AG3799" s="4">
        <v>1</v>
      </c>
      <c r="AH3799" s="4">
        <v>84</v>
      </c>
      <c r="AI3799" s="4">
        <v>84</v>
      </c>
      <c r="AJ3799" s="4">
        <v>12</v>
      </c>
      <c r="AK3799" s="4">
        <v>13</v>
      </c>
      <c r="AL3799" s="4">
        <v>50</v>
      </c>
      <c r="AM3799" s="4">
        <v>50</v>
      </c>
      <c r="AN3799" s="4">
        <v>0</v>
      </c>
      <c r="AO3799" s="4">
        <v>0</v>
      </c>
      <c r="AP3799" s="4">
        <v>13</v>
      </c>
      <c r="AQ3799" s="4">
        <v>13</v>
      </c>
      <c r="AR3799" s="3" t="s">
        <v>63</v>
      </c>
      <c r="AS3799" s="3" t="s">
        <v>63</v>
      </c>
      <c r="AT3799" s="3" t="s">
        <v>63</v>
      </c>
      <c r="AV3799" s="6" t="str">
        <f>HYPERLINK("http://mcgill.on.worldcat.org/oclc/45230433","Catalog Record")</f>
        <v>Catalog Record</v>
      </c>
      <c r="AW3799" s="6" t="str">
        <f>HYPERLINK("http://www.worldcat.org/oclc/45230433","WorldCat Record")</f>
        <v>WorldCat Record</v>
      </c>
      <c r="AX3799" s="3" t="s">
        <v>32335</v>
      </c>
      <c r="AY3799" s="3" t="s">
        <v>32336</v>
      </c>
      <c r="AZ3799" s="3" t="s">
        <v>32337</v>
      </c>
      <c r="BA3799" s="3" t="s">
        <v>32337</v>
      </c>
      <c r="BB3799" s="3" t="s">
        <v>32338</v>
      </c>
      <c r="BC3799" s="3" t="s">
        <v>82</v>
      </c>
      <c r="BD3799" s="3" t="s">
        <v>70</v>
      </c>
      <c r="BE3799" s="3" t="s">
        <v>32339</v>
      </c>
      <c r="BF3799" s="3" t="s">
        <v>32338</v>
      </c>
      <c r="BG3799" s="3" t="s">
        <v>32340</v>
      </c>
    </row>
    <row r="3800" spans="1:59" ht="75" x14ac:dyDescent="0.25">
      <c r="A3800" s="2" t="s">
        <v>59</v>
      </c>
      <c r="B3800" s="2" t="s">
        <v>60</v>
      </c>
      <c r="C3800" s="2" t="s">
        <v>32341</v>
      </c>
      <c r="D3800" s="2" t="s">
        <v>32342</v>
      </c>
      <c r="E3800" s="2" t="s">
        <v>32343</v>
      </c>
      <c r="G3800" s="3" t="s">
        <v>63</v>
      </c>
      <c r="I3800" s="3" t="s">
        <v>63</v>
      </c>
      <c r="J3800" s="3" t="s">
        <v>63</v>
      </c>
      <c r="K3800" s="3" t="s">
        <v>64</v>
      </c>
      <c r="L3800" s="2" t="s">
        <v>32344</v>
      </c>
      <c r="M3800" s="2" t="s">
        <v>32345</v>
      </c>
      <c r="N3800" s="3" t="s">
        <v>143</v>
      </c>
      <c r="P3800" s="3" t="s">
        <v>90</v>
      </c>
      <c r="R3800" s="3" t="s">
        <v>67</v>
      </c>
      <c r="S3800" s="4">
        <v>1</v>
      </c>
      <c r="T3800" s="4">
        <v>1</v>
      </c>
      <c r="U3800" s="5" t="s">
        <v>31267</v>
      </c>
      <c r="V3800" s="5" t="s">
        <v>31267</v>
      </c>
      <c r="W3800" s="5" t="s">
        <v>69</v>
      </c>
      <c r="X3800" s="5" t="s">
        <v>69</v>
      </c>
      <c r="Y3800" s="4">
        <v>16</v>
      </c>
      <c r="Z3800" s="4">
        <v>3</v>
      </c>
      <c r="AA3800" s="4">
        <v>3</v>
      </c>
      <c r="AB3800" s="4">
        <v>1</v>
      </c>
      <c r="AC3800" s="4">
        <v>1</v>
      </c>
      <c r="AD3800" s="4">
        <v>12</v>
      </c>
      <c r="AE3800" s="4">
        <v>12</v>
      </c>
      <c r="AF3800" s="4">
        <v>0</v>
      </c>
      <c r="AG3800" s="4">
        <v>0</v>
      </c>
      <c r="AH3800" s="4">
        <v>11</v>
      </c>
      <c r="AI3800" s="4">
        <v>11</v>
      </c>
      <c r="AJ3800" s="4">
        <v>1</v>
      </c>
      <c r="AK3800" s="4">
        <v>1</v>
      </c>
      <c r="AL3800" s="4">
        <v>11</v>
      </c>
      <c r="AM3800" s="4">
        <v>11</v>
      </c>
      <c r="AN3800" s="4">
        <v>0</v>
      </c>
      <c r="AO3800" s="4">
        <v>0</v>
      </c>
      <c r="AP3800" s="4">
        <v>1</v>
      </c>
      <c r="AQ3800" s="4">
        <v>1</v>
      </c>
      <c r="AR3800" s="3" t="s">
        <v>63</v>
      </c>
      <c r="AS3800" s="3" t="s">
        <v>63</v>
      </c>
      <c r="AT3800" s="3" t="s">
        <v>63</v>
      </c>
      <c r="AV3800" s="6" t="str">
        <f>HYPERLINK("http://mcgill.on.worldcat.org/oclc/900162170","Catalog Record")</f>
        <v>Catalog Record</v>
      </c>
      <c r="AW3800" s="6" t="str">
        <f>HYPERLINK("http://www.worldcat.org/oclc/900162170","WorldCat Record")</f>
        <v>WorldCat Record</v>
      </c>
      <c r="AX3800" s="3" t="s">
        <v>32346</v>
      </c>
      <c r="AY3800" s="3" t="s">
        <v>32347</v>
      </c>
      <c r="AZ3800" s="3" t="s">
        <v>32348</v>
      </c>
      <c r="BA3800" s="3" t="s">
        <v>32348</v>
      </c>
      <c r="BB3800" s="3" t="s">
        <v>32349</v>
      </c>
      <c r="BC3800" s="3" t="s">
        <v>82</v>
      </c>
      <c r="BD3800" s="3" t="s">
        <v>70</v>
      </c>
      <c r="BE3800" s="3" t="s">
        <v>32350</v>
      </c>
      <c r="BF3800" s="3" t="s">
        <v>32349</v>
      </c>
      <c r="BG3800" s="3" t="s">
        <v>32351</v>
      </c>
    </row>
    <row r="3801" spans="1:59" ht="60" x14ac:dyDescent="0.25">
      <c r="A3801" s="2" t="s">
        <v>59</v>
      </c>
      <c r="B3801" s="2" t="s">
        <v>60</v>
      </c>
      <c r="C3801" s="2" t="s">
        <v>32352</v>
      </c>
      <c r="D3801" s="2" t="s">
        <v>32353</v>
      </c>
      <c r="E3801" s="2" t="s">
        <v>32354</v>
      </c>
      <c r="F3801" s="3" t="s">
        <v>582</v>
      </c>
      <c r="G3801" s="3" t="s">
        <v>62</v>
      </c>
      <c r="I3801" s="3" t="s">
        <v>63</v>
      </c>
      <c r="J3801" s="3" t="s">
        <v>63</v>
      </c>
      <c r="K3801" s="3" t="s">
        <v>64</v>
      </c>
      <c r="L3801" s="2" t="s">
        <v>32355</v>
      </c>
      <c r="M3801" s="2" t="s">
        <v>32356</v>
      </c>
      <c r="N3801" s="3" t="s">
        <v>1113</v>
      </c>
      <c r="P3801" s="3" t="s">
        <v>90</v>
      </c>
      <c r="R3801" s="3" t="s">
        <v>67</v>
      </c>
      <c r="S3801" s="4">
        <v>19</v>
      </c>
      <c r="T3801" s="4">
        <v>42</v>
      </c>
      <c r="U3801" s="5" t="s">
        <v>21865</v>
      </c>
      <c r="V3801" s="5" t="s">
        <v>32357</v>
      </c>
      <c r="W3801" s="5" t="s">
        <v>69</v>
      </c>
      <c r="X3801" s="5" t="s">
        <v>69</v>
      </c>
      <c r="Y3801" s="4">
        <v>41</v>
      </c>
      <c r="Z3801" s="4">
        <v>2</v>
      </c>
      <c r="AA3801" s="4">
        <v>2</v>
      </c>
      <c r="AB3801" s="4">
        <v>1</v>
      </c>
      <c r="AC3801" s="4">
        <v>1</v>
      </c>
      <c r="AD3801" s="4">
        <v>35</v>
      </c>
      <c r="AE3801" s="4">
        <v>35</v>
      </c>
      <c r="AF3801" s="4">
        <v>0</v>
      </c>
      <c r="AG3801" s="4">
        <v>0</v>
      </c>
      <c r="AH3801" s="4">
        <v>33</v>
      </c>
      <c r="AI3801" s="4">
        <v>33</v>
      </c>
      <c r="AJ3801" s="4">
        <v>1</v>
      </c>
      <c r="AK3801" s="4">
        <v>1</v>
      </c>
      <c r="AL3801" s="4">
        <v>26</v>
      </c>
      <c r="AM3801" s="4">
        <v>26</v>
      </c>
      <c r="AN3801" s="4">
        <v>0</v>
      </c>
      <c r="AO3801" s="4">
        <v>0</v>
      </c>
      <c r="AP3801" s="4">
        <v>1</v>
      </c>
      <c r="AQ3801" s="4">
        <v>1</v>
      </c>
      <c r="AR3801" s="3" t="s">
        <v>63</v>
      </c>
      <c r="AS3801" s="3" t="s">
        <v>63</v>
      </c>
      <c r="AT3801" s="3" t="s">
        <v>62</v>
      </c>
      <c r="AU3801" s="6" t="str">
        <f>HYPERLINK("http://catalog.hathitrust.org/Record/003243810","HathiTrust Record")</f>
        <v>HathiTrust Record</v>
      </c>
      <c r="AV3801" s="6" t="str">
        <f>HYPERLINK("http://mcgill.on.worldcat.org/oclc/38481169","Catalog Record")</f>
        <v>Catalog Record</v>
      </c>
      <c r="AW3801" s="6" t="str">
        <f>HYPERLINK("http://www.worldcat.org/oclc/38481169","WorldCat Record")</f>
        <v>WorldCat Record</v>
      </c>
      <c r="AX3801" s="3" t="s">
        <v>32358</v>
      </c>
      <c r="AY3801" s="3" t="s">
        <v>32359</v>
      </c>
      <c r="AZ3801" s="3" t="s">
        <v>32360</v>
      </c>
      <c r="BA3801" s="3" t="s">
        <v>32360</v>
      </c>
      <c r="BB3801" s="3" t="s">
        <v>32361</v>
      </c>
      <c r="BC3801" s="3" t="s">
        <v>82</v>
      </c>
      <c r="BD3801" s="3" t="s">
        <v>70</v>
      </c>
      <c r="BE3801" s="3" t="s">
        <v>32362</v>
      </c>
      <c r="BF3801" s="3" t="s">
        <v>32361</v>
      </c>
      <c r="BG3801" s="3" t="s">
        <v>32363</v>
      </c>
    </row>
    <row r="3802" spans="1:59" ht="60" x14ac:dyDescent="0.25">
      <c r="A3802" s="2" t="s">
        <v>59</v>
      </c>
      <c r="B3802" s="2" t="s">
        <v>60</v>
      </c>
      <c r="C3802" s="2" t="s">
        <v>32352</v>
      </c>
      <c r="D3802" s="2" t="s">
        <v>32353</v>
      </c>
      <c r="E3802" s="2" t="s">
        <v>32354</v>
      </c>
      <c r="F3802" s="3" t="s">
        <v>4437</v>
      </c>
      <c r="G3802" s="3" t="s">
        <v>62</v>
      </c>
      <c r="I3802" s="3" t="s">
        <v>63</v>
      </c>
      <c r="J3802" s="3" t="s">
        <v>63</v>
      </c>
      <c r="K3802" s="3" t="s">
        <v>64</v>
      </c>
      <c r="L3802" s="2" t="s">
        <v>32355</v>
      </c>
      <c r="M3802" s="2" t="s">
        <v>32356</v>
      </c>
      <c r="N3802" s="3" t="s">
        <v>1113</v>
      </c>
      <c r="P3802" s="3" t="s">
        <v>90</v>
      </c>
      <c r="R3802" s="3" t="s">
        <v>67</v>
      </c>
      <c r="S3802" s="4">
        <v>10</v>
      </c>
      <c r="T3802" s="4">
        <v>42</v>
      </c>
      <c r="U3802" s="5" t="s">
        <v>21865</v>
      </c>
      <c r="V3802" s="5" t="s">
        <v>32357</v>
      </c>
      <c r="W3802" s="5" t="s">
        <v>69</v>
      </c>
      <c r="X3802" s="5" t="s">
        <v>69</v>
      </c>
      <c r="Y3802" s="4">
        <v>41</v>
      </c>
      <c r="Z3802" s="4">
        <v>2</v>
      </c>
      <c r="AA3802" s="4">
        <v>2</v>
      </c>
      <c r="AB3802" s="4">
        <v>1</v>
      </c>
      <c r="AC3802" s="4">
        <v>1</v>
      </c>
      <c r="AD3802" s="4">
        <v>35</v>
      </c>
      <c r="AE3802" s="4">
        <v>35</v>
      </c>
      <c r="AF3802" s="4">
        <v>0</v>
      </c>
      <c r="AG3802" s="4">
        <v>0</v>
      </c>
      <c r="AH3802" s="4">
        <v>33</v>
      </c>
      <c r="AI3802" s="4">
        <v>33</v>
      </c>
      <c r="AJ3802" s="4">
        <v>1</v>
      </c>
      <c r="AK3802" s="4">
        <v>1</v>
      </c>
      <c r="AL3802" s="4">
        <v>26</v>
      </c>
      <c r="AM3802" s="4">
        <v>26</v>
      </c>
      <c r="AN3802" s="4">
        <v>0</v>
      </c>
      <c r="AO3802" s="4">
        <v>0</v>
      </c>
      <c r="AP3802" s="4">
        <v>1</v>
      </c>
      <c r="AQ3802" s="4">
        <v>1</v>
      </c>
      <c r="AR3802" s="3" t="s">
        <v>63</v>
      </c>
      <c r="AS3802" s="3" t="s">
        <v>63</v>
      </c>
      <c r="AT3802" s="3" t="s">
        <v>62</v>
      </c>
      <c r="AU3802" s="6" t="str">
        <f>HYPERLINK("http://catalog.hathitrust.org/Record/003243810","HathiTrust Record")</f>
        <v>HathiTrust Record</v>
      </c>
      <c r="AV3802" s="6" t="str">
        <f>HYPERLINK("http://mcgill.on.worldcat.org/oclc/38481169","Catalog Record")</f>
        <v>Catalog Record</v>
      </c>
      <c r="AW3802" s="6" t="str">
        <f>HYPERLINK("http://www.worldcat.org/oclc/38481169","WorldCat Record")</f>
        <v>WorldCat Record</v>
      </c>
      <c r="AX3802" s="3" t="s">
        <v>32358</v>
      </c>
      <c r="AY3802" s="3" t="s">
        <v>32359</v>
      </c>
      <c r="AZ3802" s="3" t="s">
        <v>32360</v>
      </c>
      <c r="BA3802" s="3" t="s">
        <v>32360</v>
      </c>
      <c r="BB3802" s="3" t="s">
        <v>32364</v>
      </c>
      <c r="BC3802" s="3" t="s">
        <v>82</v>
      </c>
      <c r="BD3802" s="3" t="s">
        <v>70</v>
      </c>
      <c r="BE3802" s="3" t="s">
        <v>32362</v>
      </c>
      <c r="BF3802" s="3" t="s">
        <v>32364</v>
      </c>
      <c r="BG3802" s="3" t="s">
        <v>32365</v>
      </c>
    </row>
    <row r="3803" spans="1:59" ht="60" x14ac:dyDescent="0.25">
      <c r="A3803" s="2" t="s">
        <v>59</v>
      </c>
      <c r="B3803" s="2" t="s">
        <v>60</v>
      </c>
      <c r="C3803" s="2" t="s">
        <v>32352</v>
      </c>
      <c r="D3803" s="2" t="s">
        <v>32353</v>
      </c>
      <c r="E3803" s="2" t="s">
        <v>32354</v>
      </c>
      <c r="F3803" s="3" t="s">
        <v>571</v>
      </c>
      <c r="G3803" s="3" t="s">
        <v>62</v>
      </c>
      <c r="I3803" s="3" t="s">
        <v>63</v>
      </c>
      <c r="J3803" s="3" t="s">
        <v>63</v>
      </c>
      <c r="K3803" s="3" t="s">
        <v>64</v>
      </c>
      <c r="L3803" s="2" t="s">
        <v>32355</v>
      </c>
      <c r="M3803" s="2" t="s">
        <v>32356</v>
      </c>
      <c r="N3803" s="3" t="s">
        <v>1113</v>
      </c>
      <c r="P3803" s="3" t="s">
        <v>90</v>
      </c>
      <c r="R3803" s="3" t="s">
        <v>67</v>
      </c>
      <c r="S3803" s="4">
        <v>13</v>
      </c>
      <c r="T3803" s="4">
        <v>42</v>
      </c>
      <c r="U3803" s="5" t="s">
        <v>32357</v>
      </c>
      <c r="V3803" s="5" t="s">
        <v>32357</v>
      </c>
      <c r="W3803" s="5" t="s">
        <v>69</v>
      </c>
      <c r="X3803" s="5" t="s">
        <v>69</v>
      </c>
      <c r="Y3803" s="4">
        <v>41</v>
      </c>
      <c r="Z3803" s="4">
        <v>2</v>
      </c>
      <c r="AA3803" s="4">
        <v>2</v>
      </c>
      <c r="AB3803" s="4">
        <v>1</v>
      </c>
      <c r="AC3803" s="4">
        <v>1</v>
      </c>
      <c r="AD3803" s="4">
        <v>35</v>
      </c>
      <c r="AE3803" s="4">
        <v>35</v>
      </c>
      <c r="AF3803" s="4">
        <v>0</v>
      </c>
      <c r="AG3803" s="4">
        <v>0</v>
      </c>
      <c r="AH3803" s="4">
        <v>33</v>
      </c>
      <c r="AI3803" s="4">
        <v>33</v>
      </c>
      <c r="AJ3803" s="4">
        <v>1</v>
      </c>
      <c r="AK3803" s="4">
        <v>1</v>
      </c>
      <c r="AL3803" s="4">
        <v>26</v>
      </c>
      <c r="AM3803" s="4">
        <v>26</v>
      </c>
      <c r="AN3803" s="4">
        <v>0</v>
      </c>
      <c r="AO3803" s="4">
        <v>0</v>
      </c>
      <c r="AP3803" s="4">
        <v>1</v>
      </c>
      <c r="AQ3803" s="4">
        <v>1</v>
      </c>
      <c r="AR3803" s="3" t="s">
        <v>63</v>
      </c>
      <c r="AS3803" s="3" t="s">
        <v>63</v>
      </c>
      <c r="AT3803" s="3" t="s">
        <v>62</v>
      </c>
      <c r="AU3803" s="6" t="str">
        <f>HYPERLINK("http://catalog.hathitrust.org/Record/003243810","HathiTrust Record")</f>
        <v>HathiTrust Record</v>
      </c>
      <c r="AV3803" s="6" t="str">
        <f>HYPERLINK("http://mcgill.on.worldcat.org/oclc/38481169","Catalog Record")</f>
        <v>Catalog Record</v>
      </c>
      <c r="AW3803" s="6" t="str">
        <f>HYPERLINK("http://www.worldcat.org/oclc/38481169","WorldCat Record")</f>
        <v>WorldCat Record</v>
      </c>
      <c r="AX3803" s="3" t="s">
        <v>32358</v>
      </c>
      <c r="AY3803" s="3" t="s">
        <v>32359</v>
      </c>
      <c r="AZ3803" s="3" t="s">
        <v>32360</v>
      </c>
      <c r="BA3803" s="3" t="s">
        <v>32360</v>
      </c>
      <c r="BB3803" s="3" t="s">
        <v>32366</v>
      </c>
      <c r="BC3803" s="3" t="s">
        <v>82</v>
      </c>
      <c r="BD3803" s="3" t="s">
        <v>70</v>
      </c>
      <c r="BE3803" s="3" t="s">
        <v>32362</v>
      </c>
      <c r="BF3803" s="3" t="s">
        <v>32366</v>
      </c>
      <c r="BG3803" s="3" t="s">
        <v>32367</v>
      </c>
    </row>
    <row r="3804" spans="1:59" ht="60" x14ac:dyDescent="0.25">
      <c r="A3804" s="2" t="s">
        <v>59</v>
      </c>
      <c r="B3804" s="2" t="s">
        <v>60</v>
      </c>
      <c r="C3804" s="2" t="s">
        <v>32368</v>
      </c>
      <c r="D3804" s="2" t="s">
        <v>32369</v>
      </c>
      <c r="E3804" s="2" t="s">
        <v>32370</v>
      </c>
      <c r="G3804" s="3" t="s">
        <v>63</v>
      </c>
      <c r="I3804" s="3" t="s">
        <v>63</v>
      </c>
      <c r="J3804" s="3" t="s">
        <v>63</v>
      </c>
      <c r="K3804" s="3" t="s">
        <v>64</v>
      </c>
      <c r="L3804" s="2" t="s">
        <v>32355</v>
      </c>
      <c r="M3804" s="2" t="s">
        <v>32371</v>
      </c>
      <c r="N3804" s="3" t="s">
        <v>190</v>
      </c>
      <c r="P3804" s="3" t="s">
        <v>90</v>
      </c>
      <c r="R3804" s="3" t="s">
        <v>67</v>
      </c>
      <c r="S3804" s="4">
        <v>7</v>
      </c>
      <c r="T3804" s="4">
        <v>7</v>
      </c>
      <c r="U3804" s="5" t="s">
        <v>32357</v>
      </c>
      <c r="V3804" s="5" t="s">
        <v>32357</v>
      </c>
      <c r="W3804" s="5" t="s">
        <v>69</v>
      </c>
      <c r="X3804" s="5" t="s">
        <v>69</v>
      </c>
      <c r="Y3804" s="4">
        <v>64</v>
      </c>
      <c r="Z3804" s="4">
        <v>6</v>
      </c>
      <c r="AA3804" s="4">
        <v>8</v>
      </c>
      <c r="AB3804" s="4">
        <v>1</v>
      </c>
      <c r="AC3804" s="4">
        <v>1</v>
      </c>
      <c r="AD3804" s="4">
        <v>34</v>
      </c>
      <c r="AE3804" s="4">
        <v>40</v>
      </c>
      <c r="AF3804" s="4">
        <v>0</v>
      </c>
      <c r="AG3804" s="4">
        <v>0</v>
      </c>
      <c r="AH3804" s="4">
        <v>32</v>
      </c>
      <c r="AI3804" s="4">
        <v>38</v>
      </c>
      <c r="AJ3804" s="4">
        <v>3</v>
      </c>
      <c r="AK3804" s="4">
        <v>3</v>
      </c>
      <c r="AL3804" s="4">
        <v>27</v>
      </c>
      <c r="AM3804" s="4">
        <v>32</v>
      </c>
      <c r="AN3804" s="4">
        <v>0</v>
      </c>
      <c r="AO3804" s="4">
        <v>0</v>
      </c>
      <c r="AP3804" s="4">
        <v>3</v>
      </c>
      <c r="AQ3804" s="4">
        <v>3</v>
      </c>
      <c r="AR3804" s="3" t="s">
        <v>63</v>
      </c>
      <c r="AS3804" s="3" t="s">
        <v>63</v>
      </c>
      <c r="AT3804" s="3" t="s">
        <v>62</v>
      </c>
      <c r="AU3804" s="6" t="str">
        <f>HYPERLINK("http://catalog.hathitrust.org/Record/005281733","HathiTrust Record")</f>
        <v>HathiTrust Record</v>
      </c>
      <c r="AV3804" s="6" t="str">
        <f>HYPERLINK("http://mcgill.on.worldcat.org/oclc/61851379","Catalog Record")</f>
        <v>Catalog Record</v>
      </c>
      <c r="AW3804" s="6" t="str">
        <f>HYPERLINK("http://www.worldcat.org/oclc/61851379","WorldCat Record")</f>
        <v>WorldCat Record</v>
      </c>
      <c r="AX3804" s="3" t="s">
        <v>32372</v>
      </c>
      <c r="AY3804" s="3" t="s">
        <v>32373</v>
      </c>
      <c r="AZ3804" s="3" t="s">
        <v>32374</v>
      </c>
      <c r="BA3804" s="3" t="s">
        <v>32374</v>
      </c>
      <c r="BB3804" s="3" t="s">
        <v>32375</v>
      </c>
      <c r="BC3804" s="3" t="s">
        <v>82</v>
      </c>
      <c r="BD3804" s="3" t="s">
        <v>70</v>
      </c>
      <c r="BE3804" s="3" t="s">
        <v>32376</v>
      </c>
      <c r="BF3804" s="3" t="s">
        <v>32375</v>
      </c>
      <c r="BG3804" s="3" t="s">
        <v>32377</v>
      </c>
    </row>
    <row r="3805" spans="1:59" ht="60" x14ac:dyDescent="0.25">
      <c r="A3805" s="2" t="s">
        <v>59</v>
      </c>
      <c r="B3805" s="2" t="s">
        <v>60</v>
      </c>
      <c r="C3805" s="2" t="s">
        <v>32378</v>
      </c>
      <c r="D3805" s="2" t="s">
        <v>32379</v>
      </c>
      <c r="E3805" s="2" t="s">
        <v>32380</v>
      </c>
      <c r="G3805" s="3" t="s">
        <v>63</v>
      </c>
      <c r="I3805" s="3" t="s">
        <v>63</v>
      </c>
      <c r="J3805" s="3" t="s">
        <v>63</v>
      </c>
      <c r="K3805" s="3" t="s">
        <v>64</v>
      </c>
      <c r="L3805" s="2" t="s">
        <v>32355</v>
      </c>
      <c r="M3805" s="2" t="s">
        <v>32381</v>
      </c>
      <c r="N3805" s="3" t="s">
        <v>204</v>
      </c>
      <c r="P3805" s="3" t="s">
        <v>90</v>
      </c>
      <c r="R3805" s="3" t="s">
        <v>67</v>
      </c>
      <c r="S3805" s="4">
        <v>20</v>
      </c>
      <c r="T3805" s="4">
        <v>20</v>
      </c>
      <c r="U3805" s="5" t="s">
        <v>32357</v>
      </c>
      <c r="V3805" s="5" t="s">
        <v>32357</v>
      </c>
      <c r="W3805" s="5" t="s">
        <v>69</v>
      </c>
      <c r="X3805" s="5" t="s">
        <v>69</v>
      </c>
      <c r="Y3805" s="4">
        <v>46</v>
      </c>
      <c r="Z3805" s="4">
        <v>4</v>
      </c>
      <c r="AA3805" s="4">
        <v>8</v>
      </c>
      <c r="AB3805" s="4">
        <v>1</v>
      </c>
      <c r="AC3805" s="4">
        <v>1</v>
      </c>
      <c r="AD3805" s="4">
        <v>33</v>
      </c>
      <c r="AE3805" s="4">
        <v>42</v>
      </c>
      <c r="AF3805" s="4">
        <v>0</v>
      </c>
      <c r="AG3805" s="4">
        <v>0</v>
      </c>
      <c r="AH3805" s="4">
        <v>32</v>
      </c>
      <c r="AI3805" s="4">
        <v>41</v>
      </c>
      <c r="AJ3805" s="4">
        <v>2</v>
      </c>
      <c r="AK3805" s="4">
        <v>2</v>
      </c>
      <c r="AL3805" s="4">
        <v>28</v>
      </c>
      <c r="AM3805" s="4">
        <v>35</v>
      </c>
      <c r="AN3805" s="4">
        <v>0</v>
      </c>
      <c r="AO3805" s="4">
        <v>5</v>
      </c>
      <c r="AP3805" s="4">
        <v>2</v>
      </c>
      <c r="AQ3805" s="4">
        <v>2</v>
      </c>
      <c r="AR3805" s="3" t="s">
        <v>63</v>
      </c>
      <c r="AS3805" s="3" t="s">
        <v>63</v>
      </c>
      <c r="AT3805" s="3" t="s">
        <v>62</v>
      </c>
      <c r="AU3805" s="6" t="str">
        <f>HYPERLINK("http://catalog.hathitrust.org/Record/003267356","HathiTrust Record")</f>
        <v>HathiTrust Record</v>
      </c>
      <c r="AV3805" s="6" t="str">
        <f>HYPERLINK("http://mcgill.on.worldcat.org/oclc/35566707","Catalog Record")</f>
        <v>Catalog Record</v>
      </c>
      <c r="AW3805" s="6" t="str">
        <f>HYPERLINK("http://www.worldcat.org/oclc/35566707","WorldCat Record")</f>
        <v>WorldCat Record</v>
      </c>
      <c r="AX3805" s="3" t="s">
        <v>32382</v>
      </c>
      <c r="AY3805" s="3" t="s">
        <v>32383</v>
      </c>
      <c r="AZ3805" s="3" t="s">
        <v>32384</v>
      </c>
      <c r="BA3805" s="3" t="s">
        <v>32384</v>
      </c>
      <c r="BB3805" s="3" t="s">
        <v>32385</v>
      </c>
      <c r="BC3805" s="3" t="s">
        <v>82</v>
      </c>
      <c r="BD3805" s="3" t="s">
        <v>70</v>
      </c>
      <c r="BE3805" s="3" t="s">
        <v>32386</v>
      </c>
      <c r="BF3805" s="3" t="s">
        <v>32385</v>
      </c>
      <c r="BG3805" s="3" t="s">
        <v>32387</v>
      </c>
    </row>
    <row r="3806" spans="1:59" ht="60" x14ac:dyDescent="0.25">
      <c r="A3806" s="2" t="s">
        <v>59</v>
      </c>
      <c r="B3806" s="2" t="s">
        <v>60</v>
      </c>
      <c r="C3806" s="2" t="s">
        <v>32388</v>
      </c>
      <c r="D3806" s="2" t="s">
        <v>32389</v>
      </c>
      <c r="E3806" s="2" t="s">
        <v>32390</v>
      </c>
      <c r="G3806" s="3" t="s">
        <v>63</v>
      </c>
      <c r="I3806" s="3" t="s">
        <v>63</v>
      </c>
      <c r="J3806" s="3" t="s">
        <v>63</v>
      </c>
      <c r="K3806" s="3" t="s">
        <v>64</v>
      </c>
      <c r="L3806" s="2" t="s">
        <v>32355</v>
      </c>
      <c r="M3806" s="2" t="s">
        <v>32391</v>
      </c>
      <c r="N3806" s="3" t="s">
        <v>362</v>
      </c>
      <c r="P3806" s="3" t="s">
        <v>90</v>
      </c>
      <c r="Q3806" s="2" t="s">
        <v>32392</v>
      </c>
      <c r="R3806" s="3" t="s">
        <v>67</v>
      </c>
      <c r="S3806" s="4">
        <v>4</v>
      </c>
      <c r="T3806" s="4">
        <v>4</v>
      </c>
      <c r="U3806" s="5" t="s">
        <v>21865</v>
      </c>
      <c r="V3806" s="5" t="s">
        <v>21865</v>
      </c>
      <c r="W3806" s="5" t="s">
        <v>69</v>
      </c>
      <c r="X3806" s="5" t="s">
        <v>69</v>
      </c>
      <c r="Y3806" s="4">
        <v>54</v>
      </c>
      <c r="Z3806" s="4">
        <v>4</v>
      </c>
      <c r="AA3806" s="4">
        <v>4</v>
      </c>
      <c r="AB3806" s="4">
        <v>2</v>
      </c>
      <c r="AC3806" s="4">
        <v>2</v>
      </c>
      <c r="AD3806" s="4">
        <v>39</v>
      </c>
      <c r="AE3806" s="4">
        <v>39</v>
      </c>
      <c r="AF3806" s="4">
        <v>0</v>
      </c>
      <c r="AG3806" s="4">
        <v>0</v>
      </c>
      <c r="AH3806" s="4">
        <v>38</v>
      </c>
      <c r="AI3806" s="4">
        <v>38</v>
      </c>
      <c r="AJ3806" s="4">
        <v>1</v>
      </c>
      <c r="AK3806" s="4">
        <v>1</v>
      </c>
      <c r="AL3806" s="4">
        <v>33</v>
      </c>
      <c r="AM3806" s="4">
        <v>33</v>
      </c>
      <c r="AN3806" s="4">
        <v>0</v>
      </c>
      <c r="AO3806" s="4">
        <v>0</v>
      </c>
      <c r="AP3806" s="4">
        <v>1</v>
      </c>
      <c r="AQ3806" s="4">
        <v>1</v>
      </c>
      <c r="AR3806" s="3" t="s">
        <v>63</v>
      </c>
      <c r="AS3806" s="3" t="s">
        <v>63</v>
      </c>
      <c r="AT3806" s="3" t="s">
        <v>63</v>
      </c>
      <c r="AV3806" s="6" t="str">
        <f>HYPERLINK("http://mcgill.on.worldcat.org/oclc/48562328","Catalog Record")</f>
        <v>Catalog Record</v>
      </c>
      <c r="AW3806" s="6" t="str">
        <f>HYPERLINK("http://www.worldcat.org/oclc/48562328","WorldCat Record")</f>
        <v>WorldCat Record</v>
      </c>
      <c r="AX3806" s="3" t="s">
        <v>32393</v>
      </c>
      <c r="AY3806" s="3" t="s">
        <v>32394</v>
      </c>
      <c r="AZ3806" s="3" t="s">
        <v>32395</v>
      </c>
      <c r="BA3806" s="3" t="s">
        <v>32395</v>
      </c>
      <c r="BB3806" s="3" t="s">
        <v>32396</v>
      </c>
      <c r="BC3806" s="3" t="s">
        <v>82</v>
      </c>
      <c r="BD3806" s="3" t="s">
        <v>70</v>
      </c>
      <c r="BE3806" s="3" t="s">
        <v>32397</v>
      </c>
      <c r="BF3806" s="3" t="s">
        <v>32396</v>
      </c>
      <c r="BG3806" s="3" t="s">
        <v>32398</v>
      </c>
    </row>
    <row r="3807" spans="1:59" ht="60" x14ac:dyDescent="0.25">
      <c r="A3807" s="2" t="s">
        <v>59</v>
      </c>
      <c r="B3807" s="2" t="s">
        <v>60</v>
      </c>
      <c r="C3807" s="2" t="s">
        <v>32399</v>
      </c>
      <c r="D3807" s="2" t="s">
        <v>32400</v>
      </c>
      <c r="E3807" s="2" t="s">
        <v>32401</v>
      </c>
      <c r="G3807" s="3" t="s">
        <v>63</v>
      </c>
      <c r="I3807" s="3" t="s">
        <v>63</v>
      </c>
      <c r="J3807" s="3" t="s">
        <v>63</v>
      </c>
      <c r="K3807" s="3" t="s">
        <v>64</v>
      </c>
      <c r="L3807" s="2" t="s">
        <v>32355</v>
      </c>
      <c r="M3807" s="2" t="s">
        <v>32402</v>
      </c>
      <c r="N3807" s="3" t="s">
        <v>326</v>
      </c>
      <c r="P3807" s="3" t="s">
        <v>90</v>
      </c>
      <c r="Q3807" s="2" t="s">
        <v>32403</v>
      </c>
      <c r="R3807" s="3" t="s">
        <v>67</v>
      </c>
      <c r="S3807" s="4">
        <v>1</v>
      </c>
      <c r="T3807" s="4">
        <v>1</v>
      </c>
      <c r="U3807" s="5" t="s">
        <v>32404</v>
      </c>
      <c r="V3807" s="5" t="s">
        <v>32404</v>
      </c>
      <c r="W3807" s="5" t="s">
        <v>69</v>
      </c>
      <c r="X3807" s="5" t="s">
        <v>69</v>
      </c>
      <c r="Y3807" s="4">
        <v>30</v>
      </c>
      <c r="Z3807" s="4">
        <v>4</v>
      </c>
      <c r="AA3807" s="4">
        <v>4</v>
      </c>
      <c r="AB3807" s="4">
        <v>1</v>
      </c>
      <c r="AC3807" s="4">
        <v>1</v>
      </c>
      <c r="AD3807" s="4">
        <v>16</v>
      </c>
      <c r="AE3807" s="4">
        <v>16</v>
      </c>
      <c r="AF3807" s="4">
        <v>0</v>
      </c>
      <c r="AG3807" s="4">
        <v>0</v>
      </c>
      <c r="AH3807" s="4">
        <v>16</v>
      </c>
      <c r="AI3807" s="4">
        <v>16</v>
      </c>
      <c r="AJ3807" s="4">
        <v>2</v>
      </c>
      <c r="AK3807" s="4">
        <v>2</v>
      </c>
      <c r="AL3807" s="4">
        <v>9</v>
      </c>
      <c r="AM3807" s="4">
        <v>9</v>
      </c>
      <c r="AN3807" s="4">
        <v>0</v>
      </c>
      <c r="AO3807" s="4">
        <v>0</v>
      </c>
      <c r="AP3807" s="4">
        <v>2</v>
      </c>
      <c r="AQ3807" s="4">
        <v>2</v>
      </c>
      <c r="AR3807" s="3" t="s">
        <v>63</v>
      </c>
      <c r="AS3807" s="3" t="s">
        <v>63</v>
      </c>
      <c r="AT3807" s="3" t="s">
        <v>63</v>
      </c>
      <c r="AV3807" s="6" t="str">
        <f>HYPERLINK("http://mcgill.on.worldcat.org/oclc/437972024","Catalog Record")</f>
        <v>Catalog Record</v>
      </c>
      <c r="AW3807" s="6" t="str">
        <f>HYPERLINK("http://www.worldcat.org/oclc/437972024","WorldCat Record")</f>
        <v>WorldCat Record</v>
      </c>
      <c r="AX3807" s="3" t="s">
        <v>32405</v>
      </c>
      <c r="AY3807" s="3" t="s">
        <v>32406</v>
      </c>
      <c r="AZ3807" s="3" t="s">
        <v>32407</v>
      </c>
      <c r="BA3807" s="3" t="s">
        <v>32407</v>
      </c>
      <c r="BB3807" s="3" t="s">
        <v>32408</v>
      </c>
      <c r="BC3807" s="3" t="s">
        <v>82</v>
      </c>
      <c r="BD3807" s="3" t="s">
        <v>70</v>
      </c>
      <c r="BE3807" s="3" t="s">
        <v>32409</v>
      </c>
      <c r="BF3807" s="3" t="s">
        <v>32408</v>
      </c>
      <c r="BG3807" s="3" t="s">
        <v>32410</v>
      </c>
    </row>
    <row r="3808" spans="1:59" ht="75" x14ac:dyDescent="0.25">
      <c r="A3808" s="2" t="s">
        <v>59</v>
      </c>
      <c r="B3808" s="2" t="s">
        <v>60</v>
      </c>
      <c r="C3808" s="2" t="s">
        <v>32411</v>
      </c>
      <c r="D3808" s="2" t="s">
        <v>32412</v>
      </c>
      <c r="E3808" s="2" t="s">
        <v>32413</v>
      </c>
      <c r="G3808" s="3" t="s">
        <v>63</v>
      </c>
      <c r="I3808" s="3" t="s">
        <v>63</v>
      </c>
      <c r="J3808" s="3" t="s">
        <v>63</v>
      </c>
      <c r="K3808" s="3" t="s">
        <v>64</v>
      </c>
      <c r="L3808" s="2" t="s">
        <v>32414</v>
      </c>
      <c r="M3808" s="2" t="s">
        <v>29170</v>
      </c>
      <c r="N3808" s="3" t="s">
        <v>76</v>
      </c>
      <c r="P3808" s="3" t="s">
        <v>90</v>
      </c>
      <c r="R3808" s="3" t="s">
        <v>67</v>
      </c>
      <c r="S3808" s="4">
        <v>2</v>
      </c>
      <c r="T3808" s="4">
        <v>2</v>
      </c>
      <c r="U3808" s="5" t="s">
        <v>32415</v>
      </c>
      <c r="V3808" s="5" t="s">
        <v>32415</v>
      </c>
      <c r="W3808" s="5" t="s">
        <v>69</v>
      </c>
      <c r="X3808" s="5" t="s">
        <v>69</v>
      </c>
      <c r="Y3808" s="4">
        <v>39</v>
      </c>
      <c r="Z3808" s="4">
        <v>3</v>
      </c>
      <c r="AA3808" s="4">
        <v>3</v>
      </c>
      <c r="AB3808" s="4">
        <v>1</v>
      </c>
      <c r="AC3808" s="4">
        <v>1</v>
      </c>
      <c r="AD3808" s="4">
        <v>25</v>
      </c>
      <c r="AE3808" s="4">
        <v>25</v>
      </c>
      <c r="AF3808" s="4">
        <v>0</v>
      </c>
      <c r="AG3808" s="4">
        <v>0</v>
      </c>
      <c r="AH3808" s="4">
        <v>24</v>
      </c>
      <c r="AI3808" s="4">
        <v>24</v>
      </c>
      <c r="AJ3808" s="4">
        <v>1</v>
      </c>
      <c r="AK3808" s="4">
        <v>1</v>
      </c>
      <c r="AL3808" s="4">
        <v>20</v>
      </c>
      <c r="AM3808" s="4">
        <v>20</v>
      </c>
      <c r="AN3808" s="4">
        <v>0</v>
      </c>
      <c r="AO3808" s="4">
        <v>0</v>
      </c>
      <c r="AP3808" s="4">
        <v>1</v>
      </c>
      <c r="AQ3808" s="4">
        <v>1</v>
      </c>
      <c r="AR3808" s="3" t="s">
        <v>63</v>
      </c>
      <c r="AS3808" s="3" t="s">
        <v>63</v>
      </c>
      <c r="AT3808" s="3" t="s">
        <v>63</v>
      </c>
      <c r="AV3808" s="6" t="str">
        <f>HYPERLINK("http://mcgill.on.worldcat.org/oclc/811566712","Catalog Record")</f>
        <v>Catalog Record</v>
      </c>
      <c r="AW3808" s="6" t="str">
        <f>HYPERLINK("http://www.worldcat.org/oclc/811566712","WorldCat Record")</f>
        <v>WorldCat Record</v>
      </c>
      <c r="AX3808" s="3" t="s">
        <v>32416</v>
      </c>
      <c r="AY3808" s="3" t="s">
        <v>32417</v>
      </c>
      <c r="AZ3808" s="3" t="s">
        <v>32418</v>
      </c>
      <c r="BA3808" s="3" t="s">
        <v>32418</v>
      </c>
      <c r="BB3808" s="3" t="s">
        <v>32419</v>
      </c>
      <c r="BC3808" s="3" t="s">
        <v>82</v>
      </c>
      <c r="BD3808" s="3" t="s">
        <v>70</v>
      </c>
      <c r="BE3808" s="3" t="s">
        <v>32420</v>
      </c>
      <c r="BF3808" s="3" t="s">
        <v>32419</v>
      </c>
      <c r="BG3808" s="3" t="s">
        <v>32421</v>
      </c>
    </row>
    <row r="3809" spans="1:59" ht="60" x14ac:dyDescent="0.25">
      <c r="A3809" s="2" t="s">
        <v>59</v>
      </c>
      <c r="B3809" s="2" t="s">
        <v>60</v>
      </c>
      <c r="C3809" s="2" t="s">
        <v>32422</v>
      </c>
      <c r="D3809" s="2" t="s">
        <v>32423</v>
      </c>
      <c r="E3809" s="2" t="s">
        <v>32424</v>
      </c>
      <c r="G3809" s="3" t="s">
        <v>63</v>
      </c>
      <c r="I3809" s="3" t="s">
        <v>63</v>
      </c>
      <c r="J3809" s="3" t="s">
        <v>63</v>
      </c>
      <c r="K3809" s="3" t="s">
        <v>64</v>
      </c>
      <c r="L3809" s="2" t="s">
        <v>32425</v>
      </c>
      <c r="M3809" s="2" t="s">
        <v>32426</v>
      </c>
      <c r="N3809" s="3" t="s">
        <v>130</v>
      </c>
      <c r="P3809" s="3" t="s">
        <v>66</v>
      </c>
      <c r="R3809" s="3" t="s">
        <v>67</v>
      </c>
      <c r="S3809" s="4">
        <v>0</v>
      </c>
      <c r="T3809" s="4">
        <v>0</v>
      </c>
      <c r="W3809" s="5" t="s">
        <v>69</v>
      </c>
      <c r="X3809" s="5" t="s">
        <v>69</v>
      </c>
      <c r="Y3809" s="4">
        <v>37</v>
      </c>
      <c r="Z3809" s="4">
        <v>3</v>
      </c>
      <c r="AA3809" s="4">
        <v>20</v>
      </c>
      <c r="AB3809" s="4">
        <v>1</v>
      </c>
      <c r="AC3809" s="4">
        <v>4</v>
      </c>
      <c r="AD3809" s="4">
        <v>17</v>
      </c>
      <c r="AE3809" s="4">
        <v>31</v>
      </c>
      <c r="AF3809" s="4">
        <v>0</v>
      </c>
      <c r="AG3809" s="4">
        <v>1</v>
      </c>
      <c r="AH3809" s="4">
        <v>17</v>
      </c>
      <c r="AI3809" s="4">
        <v>25</v>
      </c>
      <c r="AJ3809" s="4">
        <v>2</v>
      </c>
      <c r="AK3809" s="4">
        <v>5</v>
      </c>
      <c r="AL3809" s="4">
        <v>12</v>
      </c>
      <c r="AM3809" s="4">
        <v>15</v>
      </c>
      <c r="AN3809" s="4">
        <v>0</v>
      </c>
      <c r="AO3809" s="4">
        <v>0</v>
      </c>
      <c r="AP3809" s="4">
        <v>2</v>
      </c>
      <c r="AQ3809" s="4">
        <v>9</v>
      </c>
      <c r="AR3809" s="3" t="s">
        <v>63</v>
      </c>
      <c r="AS3809" s="3" t="s">
        <v>63</v>
      </c>
      <c r="AT3809" s="3" t="s">
        <v>63</v>
      </c>
      <c r="AV3809" s="6" t="str">
        <f>HYPERLINK("http://mcgill.on.worldcat.org/oclc/846551503","Catalog Record")</f>
        <v>Catalog Record</v>
      </c>
      <c r="AW3809" s="6" t="str">
        <f>HYPERLINK("http://www.worldcat.org/oclc/846551503","WorldCat Record")</f>
        <v>WorldCat Record</v>
      </c>
      <c r="AX3809" s="3" t="s">
        <v>32427</v>
      </c>
      <c r="AY3809" s="3" t="s">
        <v>32428</v>
      </c>
      <c r="AZ3809" s="3" t="s">
        <v>32429</v>
      </c>
      <c r="BA3809" s="3" t="s">
        <v>32429</v>
      </c>
      <c r="BB3809" s="3" t="s">
        <v>32430</v>
      </c>
      <c r="BC3809" s="3" t="s">
        <v>82</v>
      </c>
      <c r="BD3809" s="3" t="s">
        <v>70</v>
      </c>
      <c r="BE3809" s="3" t="s">
        <v>32431</v>
      </c>
      <c r="BF3809" s="3" t="s">
        <v>32430</v>
      </c>
      <c r="BG3809" s="3" t="s">
        <v>32432</v>
      </c>
    </row>
    <row r="3810" spans="1:59" ht="75" x14ac:dyDescent="0.25">
      <c r="A3810" s="2" t="s">
        <v>59</v>
      </c>
      <c r="B3810" s="2" t="s">
        <v>60</v>
      </c>
      <c r="C3810" s="2" t="s">
        <v>32433</v>
      </c>
      <c r="D3810" s="2" t="s">
        <v>32434</v>
      </c>
      <c r="E3810" s="2" t="s">
        <v>32435</v>
      </c>
      <c r="G3810" s="3" t="s">
        <v>63</v>
      </c>
      <c r="I3810" s="3" t="s">
        <v>63</v>
      </c>
      <c r="J3810" s="3" t="s">
        <v>63</v>
      </c>
      <c r="K3810" s="3" t="s">
        <v>64</v>
      </c>
      <c r="L3810" s="2" t="s">
        <v>32436</v>
      </c>
      <c r="M3810" s="2" t="s">
        <v>32437</v>
      </c>
      <c r="N3810" s="3" t="s">
        <v>287</v>
      </c>
      <c r="P3810" s="3" t="s">
        <v>90</v>
      </c>
      <c r="Q3810" s="2" t="s">
        <v>32438</v>
      </c>
      <c r="R3810" s="3" t="s">
        <v>67</v>
      </c>
      <c r="S3810" s="4">
        <v>1</v>
      </c>
      <c r="T3810" s="4">
        <v>1</v>
      </c>
      <c r="U3810" s="5" t="s">
        <v>13807</v>
      </c>
      <c r="V3810" s="5" t="s">
        <v>13807</v>
      </c>
      <c r="W3810" s="5" t="s">
        <v>69</v>
      </c>
      <c r="X3810" s="5" t="s">
        <v>69</v>
      </c>
      <c r="Y3810" s="4">
        <v>38</v>
      </c>
      <c r="Z3810" s="4">
        <v>4</v>
      </c>
      <c r="AA3810" s="4">
        <v>4</v>
      </c>
      <c r="AB3810" s="4">
        <v>1</v>
      </c>
      <c r="AC3810" s="4">
        <v>1</v>
      </c>
      <c r="AD3810" s="4">
        <v>18</v>
      </c>
      <c r="AE3810" s="4">
        <v>18</v>
      </c>
      <c r="AF3810" s="4">
        <v>0</v>
      </c>
      <c r="AG3810" s="4">
        <v>0</v>
      </c>
      <c r="AH3810" s="4">
        <v>18</v>
      </c>
      <c r="AI3810" s="4">
        <v>18</v>
      </c>
      <c r="AJ3810" s="4">
        <v>1</v>
      </c>
      <c r="AK3810" s="4">
        <v>1</v>
      </c>
      <c r="AL3810" s="4">
        <v>13</v>
      </c>
      <c r="AM3810" s="4">
        <v>13</v>
      </c>
      <c r="AN3810" s="4">
        <v>0</v>
      </c>
      <c r="AO3810" s="4">
        <v>0</v>
      </c>
      <c r="AP3810" s="4">
        <v>1</v>
      </c>
      <c r="AQ3810" s="4">
        <v>1</v>
      </c>
      <c r="AR3810" s="3" t="s">
        <v>63</v>
      </c>
      <c r="AS3810" s="3" t="s">
        <v>63</v>
      </c>
      <c r="AT3810" s="3" t="s">
        <v>63</v>
      </c>
      <c r="AV3810" s="6" t="str">
        <f>HYPERLINK("http://mcgill.on.worldcat.org/oclc/1035784204","Catalog Record")</f>
        <v>Catalog Record</v>
      </c>
      <c r="AW3810" s="6" t="str">
        <f>HYPERLINK("http://www.worldcat.org/oclc/1035784204","WorldCat Record")</f>
        <v>WorldCat Record</v>
      </c>
      <c r="AX3810" s="3" t="s">
        <v>32439</v>
      </c>
      <c r="AY3810" s="3" t="s">
        <v>32440</v>
      </c>
      <c r="AZ3810" s="3" t="s">
        <v>32441</v>
      </c>
      <c r="BA3810" s="3" t="s">
        <v>32441</v>
      </c>
      <c r="BB3810" s="3" t="s">
        <v>32442</v>
      </c>
      <c r="BC3810" s="3" t="s">
        <v>82</v>
      </c>
      <c r="BD3810" s="3" t="s">
        <v>70</v>
      </c>
      <c r="BE3810" s="3" t="s">
        <v>32443</v>
      </c>
      <c r="BF3810" s="3" t="s">
        <v>32442</v>
      </c>
      <c r="BG3810" s="3" t="s">
        <v>32444</v>
      </c>
    </row>
    <row r="3811" spans="1:59" ht="75" x14ac:dyDescent="0.25">
      <c r="A3811" s="2" t="s">
        <v>59</v>
      </c>
      <c r="B3811" s="2" t="s">
        <v>60</v>
      </c>
      <c r="C3811" s="2" t="s">
        <v>32445</v>
      </c>
      <c r="D3811" s="2" t="s">
        <v>32446</v>
      </c>
      <c r="E3811" s="2" t="s">
        <v>32447</v>
      </c>
      <c r="G3811" s="3" t="s">
        <v>63</v>
      </c>
      <c r="I3811" s="3" t="s">
        <v>63</v>
      </c>
      <c r="J3811" s="3" t="s">
        <v>63</v>
      </c>
      <c r="K3811" s="3" t="s">
        <v>64</v>
      </c>
      <c r="L3811" s="2" t="s">
        <v>32436</v>
      </c>
      <c r="M3811" s="2" t="s">
        <v>32448</v>
      </c>
      <c r="N3811" s="3" t="s">
        <v>1557</v>
      </c>
      <c r="P3811" s="3" t="s">
        <v>90</v>
      </c>
      <c r="Q3811" s="2" t="s">
        <v>32438</v>
      </c>
      <c r="R3811" s="3" t="s">
        <v>67</v>
      </c>
      <c r="S3811" s="4">
        <v>1</v>
      </c>
      <c r="T3811" s="4">
        <v>1</v>
      </c>
      <c r="U3811" s="5" t="s">
        <v>10909</v>
      </c>
      <c r="V3811" s="5" t="s">
        <v>10909</v>
      </c>
      <c r="W3811" s="5" t="s">
        <v>69</v>
      </c>
      <c r="X3811" s="5" t="s">
        <v>69</v>
      </c>
      <c r="Y3811" s="4">
        <v>35</v>
      </c>
      <c r="Z3811" s="4">
        <v>3</v>
      </c>
      <c r="AA3811" s="4">
        <v>3</v>
      </c>
      <c r="AB3811" s="4">
        <v>1</v>
      </c>
      <c r="AC3811" s="4">
        <v>1</v>
      </c>
      <c r="AD3811" s="4">
        <v>27</v>
      </c>
      <c r="AE3811" s="4">
        <v>27</v>
      </c>
      <c r="AF3811" s="4">
        <v>0</v>
      </c>
      <c r="AG3811" s="4">
        <v>0</v>
      </c>
      <c r="AH3811" s="4">
        <v>27</v>
      </c>
      <c r="AI3811" s="4">
        <v>27</v>
      </c>
      <c r="AJ3811" s="4">
        <v>2</v>
      </c>
      <c r="AK3811" s="4">
        <v>2</v>
      </c>
      <c r="AL3811" s="4">
        <v>20</v>
      </c>
      <c r="AM3811" s="4">
        <v>20</v>
      </c>
      <c r="AN3811" s="4">
        <v>0</v>
      </c>
      <c r="AO3811" s="4">
        <v>0</v>
      </c>
      <c r="AP3811" s="4">
        <v>2</v>
      </c>
      <c r="AQ3811" s="4">
        <v>2</v>
      </c>
      <c r="AR3811" s="3" t="s">
        <v>63</v>
      </c>
      <c r="AS3811" s="3" t="s">
        <v>63</v>
      </c>
      <c r="AT3811" s="3" t="s">
        <v>63</v>
      </c>
      <c r="AV3811" s="6" t="str">
        <f>HYPERLINK("http://mcgill.on.worldcat.org/oclc/986241003","Catalog Record")</f>
        <v>Catalog Record</v>
      </c>
      <c r="AW3811" s="6" t="str">
        <f>HYPERLINK("http://www.worldcat.org/oclc/986241003","WorldCat Record")</f>
        <v>WorldCat Record</v>
      </c>
      <c r="AX3811" s="3" t="s">
        <v>32449</v>
      </c>
      <c r="AY3811" s="3" t="s">
        <v>32450</v>
      </c>
      <c r="AZ3811" s="3" t="s">
        <v>32451</v>
      </c>
      <c r="BA3811" s="3" t="s">
        <v>32451</v>
      </c>
      <c r="BB3811" s="3" t="s">
        <v>32452</v>
      </c>
      <c r="BC3811" s="3" t="s">
        <v>82</v>
      </c>
      <c r="BD3811" s="3" t="s">
        <v>70</v>
      </c>
      <c r="BE3811" s="3" t="s">
        <v>32453</v>
      </c>
      <c r="BF3811" s="3" t="s">
        <v>32452</v>
      </c>
      <c r="BG3811" s="3" t="s">
        <v>32454</v>
      </c>
    </row>
    <row r="3812" spans="1:59" ht="75" x14ac:dyDescent="0.25">
      <c r="A3812" s="2" t="s">
        <v>59</v>
      </c>
      <c r="B3812" s="2" t="s">
        <v>60</v>
      </c>
      <c r="C3812" s="2" t="s">
        <v>32455</v>
      </c>
      <c r="D3812" s="2" t="s">
        <v>32456</v>
      </c>
      <c r="E3812" s="2" t="s">
        <v>32457</v>
      </c>
      <c r="G3812" s="3" t="s">
        <v>63</v>
      </c>
      <c r="I3812" s="3" t="s">
        <v>63</v>
      </c>
      <c r="J3812" s="3" t="s">
        <v>63</v>
      </c>
      <c r="K3812" s="3" t="s">
        <v>64</v>
      </c>
      <c r="L3812" s="2" t="s">
        <v>32458</v>
      </c>
      <c r="M3812" s="2" t="s">
        <v>29170</v>
      </c>
      <c r="N3812" s="3" t="s">
        <v>76</v>
      </c>
      <c r="P3812" s="3" t="s">
        <v>90</v>
      </c>
      <c r="R3812" s="3" t="s">
        <v>67</v>
      </c>
      <c r="S3812" s="4">
        <v>3</v>
      </c>
      <c r="T3812" s="4">
        <v>3</v>
      </c>
      <c r="U3812" s="5" t="s">
        <v>10909</v>
      </c>
      <c r="V3812" s="5" t="s">
        <v>10909</v>
      </c>
      <c r="W3812" s="5" t="s">
        <v>69</v>
      </c>
      <c r="X3812" s="5" t="s">
        <v>69</v>
      </c>
      <c r="Y3812" s="4">
        <v>49</v>
      </c>
      <c r="Z3812" s="4">
        <v>3</v>
      </c>
      <c r="AA3812" s="4">
        <v>3</v>
      </c>
      <c r="AB3812" s="4">
        <v>1</v>
      </c>
      <c r="AC3812" s="4">
        <v>1</v>
      </c>
      <c r="AD3812" s="4">
        <v>23</v>
      </c>
      <c r="AE3812" s="4">
        <v>24</v>
      </c>
      <c r="AF3812" s="4">
        <v>0</v>
      </c>
      <c r="AG3812" s="4">
        <v>0</v>
      </c>
      <c r="AH3812" s="4">
        <v>22</v>
      </c>
      <c r="AI3812" s="4">
        <v>23</v>
      </c>
      <c r="AJ3812" s="4">
        <v>0</v>
      </c>
      <c r="AK3812" s="4">
        <v>0</v>
      </c>
      <c r="AL3812" s="4">
        <v>18</v>
      </c>
      <c r="AM3812" s="4">
        <v>19</v>
      </c>
      <c r="AN3812" s="4">
        <v>0</v>
      </c>
      <c r="AO3812" s="4">
        <v>0</v>
      </c>
      <c r="AP3812" s="4">
        <v>0</v>
      </c>
      <c r="AQ3812" s="4">
        <v>0</v>
      </c>
      <c r="AR3812" s="3" t="s">
        <v>63</v>
      </c>
      <c r="AS3812" s="3" t="s">
        <v>63</v>
      </c>
      <c r="AT3812" s="3" t="s">
        <v>63</v>
      </c>
      <c r="AV3812" s="6" t="str">
        <f>HYPERLINK("http://mcgill.on.worldcat.org/oclc/798995833","Catalog Record")</f>
        <v>Catalog Record</v>
      </c>
      <c r="AW3812" s="6" t="str">
        <f>HYPERLINK("http://www.worldcat.org/oclc/798995833","WorldCat Record")</f>
        <v>WorldCat Record</v>
      </c>
      <c r="AX3812" s="3" t="s">
        <v>32459</v>
      </c>
      <c r="AY3812" s="3" t="s">
        <v>32460</v>
      </c>
      <c r="AZ3812" s="3" t="s">
        <v>32461</v>
      </c>
      <c r="BA3812" s="3" t="s">
        <v>32461</v>
      </c>
      <c r="BB3812" s="3" t="s">
        <v>32462</v>
      </c>
      <c r="BC3812" s="3" t="s">
        <v>82</v>
      </c>
      <c r="BD3812" s="3" t="s">
        <v>70</v>
      </c>
      <c r="BE3812" s="3" t="s">
        <v>32463</v>
      </c>
      <c r="BF3812" s="3" t="s">
        <v>32462</v>
      </c>
      <c r="BG3812" s="3" t="s">
        <v>32464</v>
      </c>
    </row>
    <row r="3813" spans="1:59" ht="60" x14ac:dyDescent="0.25">
      <c r="A3813" s="2" t="s">
        <v>59</v>
      </c>
      <c r="B3813" s="2" t="s">
        <v>60</v>
      </c>
      <c r="C3813" s="2" t="s">
        <v>32465</v>
      </c>
      <c r="D3813" s="2" t="s">
        <v>32466</v>
      </c>
      <c r="E3813" s="2" t="s">
        <v>32467</v>
      </c>
      <c r="G3813" s="3" t="s">
        <v>63</v>
      </c>
      <c r="I3813" s="3" t="s">
        <v>63</v>
      </c>
      <c r="J3813" s="3" t="s">
        <v>63</v>
      </c>
      <c r="K3813" s="3" t="s">
        <v>64</v>
      </c>
      <c r="L3813" s="2" t="s">
        <v>32468</v>
      </c>
      <c r="M3813" s="2" t="s">
        <v>32469</v>
      </c>
      <c r="N3813" s="3" t="s">
        <v>76</v>
      </c>
      <c r="P3813" s="3" t="s">
        <v>90</v>
      </c>
      <c r="R3813" s="3" t="s">
        <v>67</v>
      </c>
      <c r="S3813" s="4">
        <v>3</v>
      </c>
      <c r="T3813" s="4">
        <v>3</v>
      </c>
      <c r="U3813" s="5" t="s">
        <v>27622</v>
      </c>
      <c r="V3813" s="5" t="s">
        <v>27622</v>
      </c>
      <c r="W3813" s="5" t="s">
        <v>69</v>
      </c>
      <c r="X3813" s="5" t="s">
        <v>69</v>
      </c>
      <c r="Y3813" s="4">
        <v>21</v>
      </c>
      <c r="Z3813" s="4">
        <v>4</v>
      </c>
      <c r="AA3813" s="4">
        <v>4</v>
      </c>
      <c r="AB3813" s="4">
        <v>1</v>
      </c>
      <c r="AC3813" s="4">
        <v>1</v>
      </c>
      <c r="AD3813" s="4">
        <v>18</v>
      </c>
      <c r="AE3813" s="4">
        <v>18</v>
      </c>
      <c r="AF3813" s="4">
        <v>0</v>
      </c>
      <c r="AG3813" s="4">
        <v>0</v>
      </c>
      <c r="AH3813" s="4">
        <v>17</v>
      </c>
      <c r="AI3813" s="4">
        <v>17</v>
      </c>
      <c r="AJ3813" s="4">
        <v>2</v>
      </c>
      <c r="AK3813" s="4">
        <v>2</v>
      </c>
      <c r="AL3813" s="4">
        <v>16</v>
      </c>
      <c r="AM3813" s="4">
        <v>16</v>
      </c>
      <c r="AN3813" s="4">
        <v>0</v>
      </c>
      <c r="AO3813" s="4">
        <v>0</v>
      </c>
      <c r="AP3813" s="4">
        <v>2</v>
      </c>
      <c r="AQ3813" s="4">
        <v>2</v>
      </c>
      <c r="AR3813" s="3" t="s">
        <v>63</v>
      </c>
      <c r="AS3813" s="3" t="s">
        <v>63</v>
      </c>
      <c r="AT3813" s="3" t="s">
        <v>63</v>
      </c>
      <c r="AV3813" s="6" t="str">
        <f>HYPERLINK("http://mcgill.on.worldcat.org/oclc/793419740","Catalog Record")</f>
        <v>Catalog Record</v>
      </c>
      <c r="AW3813" s="6" t="str">
        <f>HYPERLINK("http://www.worldcat.org/oclc/793419740","WorldCat Record")</f>
        <v>WorldCat Record</v>
      </c>
      <c r="AX3813" s="3" t="s">
        <v>32470</v>
      </c>
      <c r="AY3813" s="3" t="s">
        <v>32471</v>
      </c>
      <c r="AZ3813" s="3" t="s">
        <v>32472</v>
      </c>
      <c r="BA3813" s="3" t="s">
        <v>32472</v>
      </c>
      <c r="BB3813" s="3" t="s">
        <v>32473</v>
      </c>
      <c r="BC3813" s="3" t="s">
        <v>82</v>
      </c>
      <c r="BD3813" s="3" t="s">
        <v>70</v>
      </c>
      <c r="BE3813" s="3" t="s">
        <v>32474</v>
      </c>
      <c r="BF3813" s="3" t="s">
        <v>32473</v>
      </c>
      <c r="BG3813" s="3" t="s">
        <v>32475</v>
      </c>
    </row>
    <row r="3814" spans="1:59" ht="60" x14ac:dyDescent="0.25">
      <c r="A3814" s="2" t="s">
        <v>59</v>
      </c>
      <c r="B3814" s="2" t="s">
        <v>60</v>
      </c>
      <c r="C3814" s="2" t="s">
        <v>32476</v>
      </c>
      <c r="D3814" s="2" t="s">
        <v>32477</v>
      </c>
      <c r="E3814" s="2" t="s">
        <v>32478</v>
      </c>
      <c r="G3814" s="3" t="s">
        <v>63</v>
      </c>
      <c r="I3814" s="3" t="s">
        <v>63</v>
      </c>
      <c r="J3814" s="3" t="s">
        <v>63</v>
      </c>
      <c r="K3814" s="3" t="s">
        <v>64</v>
      </c>
      <c r="M3814" s="2" t="s">
        <v>5878</v>
      </c>
      <c r="N3814" s="3" t="s">
        <v>143</v>
      </c>
      <c r="P3814" s="3" t="s">
        <v>90</v>
      </c>
      <c r="Q3814" s="2" t="s">
        <v>32479</v>
      </c>
      <c r="R3814" s="3" t="s">
        <v>67</v>
      </c>
      <c r="S3814" s="4">
        <v>0</v>
      </c>
      <c r="T3814" s="4">
        <v>0</v>
      </c>
      <c r="W3814" s="5" t="s">
        <v>69</v>
      </c>
      <c r="X3814" s="5" t="s">
        <v>69</v>
      </c>
      <c r="Y3814" s="4">
        <v>44</v>
      </c>
      <c r="Z3814" s="4">
        <v>4</v>
      </c>
      <c r="AA3814" s="4">
        <v>4</v>
      </c>
      <c r="AB3814" s="4">
        <v>1</v>
      </c>
      <c r="AC3814" s="4">
        <v>1</v>
      </c>
      <c r="AD3814" s="4">
        <v>35</v>
      </c>
      <c r="AE3814" s="4">
        <v>35</v>
      </c>
      <c r="AF3814" s="4">
        <v>0</v>
      </c>
      <c r="AG3814" s="4">
        <v>0</v>
      </c>
      <c r="AH3814" s="4">
        <v>34</v>
      </c>
      <c r="AI3814" s="4">
        <v>34</v>
      </c>
      <c r="AJ3814" s="4">
        <v>2</v>
      </c>
      <c r="AK3814" s="4">
        <v>2</v>
      </c>
      <c r="AL3814" s="4">
        <v>25</v>
      </c>
      <c r="AM3814" s="4">
        <v>25</v>
      </c>
      <c r="AN3814" s="4">
        <v>0</v>
      </c>
      <c r="AO3814" s="4">
        <v>0</v>
      </c>
      <c r="AP3814" s="4">
        <v>2</v>
      </c>
      <c r="AQ3814" s="4">
        <v>2</v>
      </c>
      <c r="AR3814" s="3" t="s">
        <v>63</v>
      </c>
      <c r="AS3814" s="3" t="s">
        <v>63</v>
      </c>
      <c r="AT3814" s="3" t="s">
        <v>63</v>
      </c>
      <c r="AV3814" s="6" t="str">
        <f>HYPERLINK("http://mcgill.on.worldcat.org/oclc/901171837","Catalog Record")</f>
        <v>Catalog Record</v>
      </c>
      <c r="AW3814" s="6" t="str">
        <f>HYPERLINK("http://www.worldcat.org/oclc/901171837","WorldCat Record")</f>
        <v>WorldCat Record</v>
      </c>
      <c r="AX3814" s="3" t="s">
        <v>32480</v>
      </c>
      <c r="AY3814" s="3" t="s">
        <v>32481</v>
      </c>
      <c r="AZ3814" s="3" t="s">
        <v>32482</v>
      </c>
      <c r="BA3814" s="3" t="s">
        <v>32482</v>
      </c>
      <c r="BB3814" s="3" t="s">
        <v>32483</v>
      </c>
      <c r="BC3814" s="3" t="s">
        <v>82</v>
      </c>
      <c r="BD3814" s="3" t="s">
        <v>70</v>
      </c>
      <c r="BE3814" s="3" t="s">
        <v>32484</v>
      </c>
      <c r="BF3814" s="3" t="s">
        <v>32483</v>
      </c>
      <c r="BG3814" s="3" t="s">
        <v>32485</v>
      </c>
    </row>
    <row r="3815" spans="1:59" ht="60" x14ac:dyDescent="0.25">
      <c r="A3815" s="2" t="s">
        <v>59</v>
      </c>
      <c r="B3815" s="2" t="s">
        <v>60</v>
      </c>
      <c r="C3815" s="2" t="s">
        <v>32486</v>
      </c>
      <c r="D3815" s="2" t="s">
        <v>32487</v>
      </c>
      <c r="E3815" s="2" t="s">
        <v>32488</v>
      </c>
      <c r="G3815" s="3" t="s">
        <v>63</v>
      </c>
      <c r="I3815" s="3" t="s">
        <v>63</v>
      </c>
      <c r="J3815" s="3" t="s">
        <v>63</v>
      </c>
      <c r="K3815" s="3" t="s">
        <v>64</v>
      </c>
      <c r="M3815" s="2" t="s">
        <v>32489</v>
      </c>
      <c r="N3815" s="3" t="s">
        <v>287</v>
      </c>
      <c r="P3815" s="3" t="s">
        <v>66</v>
      </c>
      <c r="R3815" s="3" t="s">
        <v>67</v>
      </c>
      <c r="S3815" s="4">
        <v>0</v>
      </c>
      <c r="T3815" s="4">
        <v>0</v>
      </c>
      <c r="W3815" s="5" t="s">
        <v>69</v>
      </c>
      <c r="X3815" s="5" t="s">
        <v>69</v>
      </c>
      <c r="Y3815" s="4">
        <v>40</v>
      </c>
      <c r="Z3815" s="4">
        <v>3</v>
      </c>
      <c r="AA3815" s="4">
        <v>5</v>
      </c>
      <c r="AB3815" s="4">
        <v>1</v>
      </c>
      <c r="AC3815" s="4">
        <v>2</v>
      </c>
      <c r="AD3815" s="4">
        <v>25</v>
      </c>
      <c r="AE3815" s="4">
        <v>29</v>
      </c>
      <c r="AF3815" s="4">
        <v>0</v>
      </c>
      <c r="AG3815" s="4">
        <v>1</v>
      </c>
      <c r="AH3815" s="4">
        <v>24</v>
      </c>
      <c r="AI3815" s="4">
        <v>26</v>
      </c>
      <c r="AJ3815" s="4">
        <v>2</v>
      </c>
      <c r="AK3815" s="4">
        <v>4</v>
      </c>
      <c r="AL3815" s="4">
        <v>20</v>
      </c>
      <c r="AM3815" s="4">
        <v>21</v>
      </c>
      <c r="AN3815" s="4">
        <v>0</v>
      </c>
      <c r="AO3815" s="4">
        <v>0</v>
      </c>
      <c r="AP3815" s="4">
        <v>2</v>
      </c>
      <c r="AQ3815" s="4">
        <v>4</v>
      </c>
      <c r="AR3815" s="3" t="s">
        <v>63</v>
      </c>
      <c r="AS3815" s="3" t="s">
        <v>63</v>
      </c>
      <c r="AT3815" s="3" t="s">
        <v>63</v>
      </c>
      <c r="AV3815" s="6" t="str">
        <f>HYPERLINK("http://mcgill.on.worldcat.org/oclc/979994339","Catalog Record")</f>
        <v>Catalog Record</v>
      </c>
      <c r="AW3815" s="6" t="str">
        <f>HYPERLINK("http://www.worldcat.org/oclc/979994339","WorldCat Record")</f>
        <v>WorldCat Record</v>
      </c>
      <c r="AX3815" s="3" t="s">
        <v>32490</v>
      </c>
      <c r="AY3815" s="3" t="s">
        <v>32491</v>
      </c>
      <c r="AZ3815" s="3" t="s">
        <v>32492</v>
      </c>
      <c r="BA3815" s="3" t="s">
        <v>32492</v>
      </c>
      <c r="BB3815" s="3" t="s">
        <v>32493</v>
      </c>
      <c r="BC3815" s="3" t="s">
        <v>82</v>
      </c>
      <c r="BD3815" s="3" t="s">
        <v>70</v>
      </c>
      <c r="BE3815" s="3" t="s">
        <v>32494</v>
      </c>
      <c r="BF3815" s="3" t="s">
        <v>32493</v>
      </c>
      <c r="BG3815" s="3" t="s">
        <v>32495</v>
      </c>
    </row>
    <row r="3816" spans="1:59" ht="60" x14ac:dyDescent="0.25">
      <c r="A3816" s="2" t="s">
        <v>59</v>
      </c>
      <c r="B3816" s="2" t="s">
        <v>60</v>
      </c>
      <c r="C3816" s="2" t="s">
        <v>32496</v>
      </c>
      <c r="D3816" s="2" t="s">
        <v>32497</v>
      </c>
      <c r="E3816" s="2" t="s">
        <v>32498</v>
      </c>
      <c r="F3816" s="3" t="s">
        <v>4435</v>
      </c>
      <c r="G3816" s="3" t="s">
        <v>62</v>
      </c>
      <c r="I3816" s="3" t="s">
        <v>63</v>
      </c>
      <c r="J3816" s="3" t="s">
        <v>63</v>
      </c>
      <c r="K3816" s="3" t="s">
        <v>64</v>
      </c>
      <c r="L3816" s="2" t="s">
        <v>32499</v>
      </c>
      <c r="M3816" s="2" t="s">
        <v>32500</v>
      </c>
      <c r="N3816" s="3" t="s">
        <v>176</v>
      </c>
      <c r="P3816" s="3" t="s">
        <v>90</v>
      </c>
      <c r="Q3816" s="2" t="s">
        <v>32501</v>
      </c>
      <c r="R3816" s="3" t="s">
        <v>67</v>
      </c>
      <c r="S3816" s="4">
        <v>10</v>
      </c>
      <c r="T3816" s="4">
        <v>56</v>
      </c>
      <c r="U3816" s="5" t="s">
        <v>32502</v>
      </c>
      <c r="V3816" s="5" t="s">
        <v>31267</v>
      </c>
      <c r="W3816" s="5" t="s">
        <v>69</v>
      </c>
      <c r="X3816" s="5" t="s">
        <v>69</v>
      </c>
      <c r="Y3816" s="4">
        <v>18</v>
      </c>
      <c r="Z3816" s="4">
        <v>4</v>
      </c>
      <c r="AA3816" s="4">
        <v>7</v>
      </c>
      <c r="AB3816" s="4">
        <v>1</v>
      </c>
      <c r="AC3816" s="4">
        <v>1</v>
      </c>
      <c r="AD3816" s="4">
        <v>16</v>
      </c>
      <c r="AE3816" s="4">
        <v>26</v>
      </c>
      <c r="AF3816" s="4">
        <v>0</v>
      </c>
      <c r="AG3816" s="4">
        <v>0</v>
      </c>
      <c r="AH3816" s="4">
        <v>16</v>
      </c>
      <c r="AI3816" s="4">
        <v>26</v>
      </c>
      <c r="AJ3816" s="4">
        <v>2</v>
      </c>
      <c r="AK3816" s="4">
        <v>2</v>
      </c>
      <c r="AL3816" s="4">
        <v>12</v>
      </c>
      <c r="AM3816" s="4">
        <v>18</v>
      </c>
      <c r="AN3816" s="4">
        <v>0</v>
      </c>
      <c r="AO3816" s="4">
        <v>0</v>
      </c>
      <c r="AP3816" s="4">
        <v>2</v>
      </c>
      <c r="AQ3816" s="4">
        <v>2</v>
      </c>
      <c r="AR3816" s="3" t="s">
        <v>63</v>
      </c>
      <c r="AS3816" s="3" t="s">
        <v>63</v>
      </c>
      <c r="AT3816" s="3" t="s">
        <v>62</v>
      </c>
      <c r="AU3816" s="6" t="str">
        <f>HYPERLINK("http://catalog.hathitrust.org/Record/007566972","HathiTrust Record")</f>
        <v>HathiTrust Record</v>
      </c>
      <c r="AV3816" s="6" t="str">
        <f>HYPERLINK("http://mcgill.on.worldcat.org/oclc/38899667","Catalog Record")</f>
        <v>Catalog Record</v>
      </c>
      <c r="AW3816" s="6" t="str">
        <f>HYPERLINK("http://www.worldcat.org/oclc/38899667","WorldCat Record")</f>
        <v>WorldCat Record</v>
      </c>
      <c r="AX3816" s="3" t="s">
        <v>32503</v>
      </c>
      <c r="AY3816" s="3" t="s">
        <v>32504</v>
      </c>
      <c r="AZ3816" s="3" t="s">
        <v>32505</v>
      </c>
      <c r="BA3816" s="3" t="s">
        <v>32505</v>
      </c>
      <c r="BB3816" s="3" t="s">
        <v>32506</v>
      </c>
      <c r="BC3816" s="3" t="s">
        <v>82</v>
      </c>
      <c r="BD3816" s="3" t="s">
        <v>70</v>
      </c>
      <c r="BE3816" s="3" t="s">
        <v>32507</v>
      </c>
      <c r="BF3816" s="3" t="s">
        <v>32506</v>
      </c>
      <c r="BG3816" s="3" t="s">
        <v>32508</v>
      </c>
    </row>
    <row r="3817" spans="1:59" ht="60" x14ac:dyDescent="0.25">
      <c r="A3817" s="2" t="s">
        <v>59</v>
      </c>
      <c r="B3817" s="2" t="s">
        <v>60</v>
      </c>
      <c r="C3817" s="2" t="s">
        <v>32496</v>
      </c>
      <c r="D3817" s="2" t="s">
        <v>32497</v>
      </c>
      <c r="E3817" s="2" t="s">
        <v>32498</v>
      </c>
      <c r="F3817" s="3" t="s">
        <v>4437</v>
      </c>
      <c r="G3817" s="3" t="s">
        <v>62</v>
      </c>
      <c r="I3817" s="3" t="s">
        <v>63</v>
      </c>
      <c r="J3817" s="3" t="s">
        <v>63</v>
      </c>
      <c r="K3817" s="3" t="s">
        <v>64</v>
      </c>
      <c r="L3817" s="2" t="s">
        <v>32499</v>
      </c>
      <c r="M3817" s="2" t="s">
        <v>32500</v>
      </c>
      <c r="N3817" s="3" t="s">
        <v>176</v>
      </c>
      <c r="P3817" s="3" t="s">
        <v>90</v>
      </c>
      <c r="Q3817" s="2" t="s">
        <v>32501</v>
      </c>
      <c r="R3817" s="3" t="s">
        <v>67</v>
      </c>
      <c r="S3817" s="4">
        <v>10</v>
      </c>
      <c r="T3817" s="4">
        <v>56</v>
      </c>
      <c r="U3817" s="5" t="s">
        <v>32502</v>
      </c>
      <c r="V3817" s="5" t="s">
        <v>31267</v>
      </c>
      <c r="W3817" s="5" t="s">
        <v>69</v>
      </c>
      <c r="X3817" s="5" t="s">
        <v>69</v>
      </c>
      <c r="Y3817" s="4">
        <v>18</v>
      </c>
      <c r="Z3817" s="4">
        <v>4</v>
      </c>
      <c r="AA3817" s="4">
        <v>7</v>
      </c>
      <c r="AB3817" s="4">
        <v>1</v>
      </c>
      <c r="AC3817" s="4">
        <v>1</v>
      </c>
      <c r="AD3817" s="4">
        <v>16</v>
      </c>
      <c r="AE3817" s="4">
        <v>26</v>
      </c>
      <c r="AF3817" s="4">
        <v>0</v>
      </c>
      <c r="AG3817" s="4">
        <v>0</v>
      </c>
      <c r="AH3817" s="4">
        <v>16</v>
      </c>
      <c r="AI3817" s="4">
        <v>26</v>
      </c>
      <c r="AJ3817" s="4">
        <v>2</v>
      </c>
      <c r="AK3817" s="4">
        <v>2</v>
      </c>
      <c r="AL3817" s="4">
        <v>12</v>
      </c>
      <c r="AM3817" s="4">
        <v>18</v>
      </c>
      <c r="AN3817" s="4">
        <v>0</v>
      </c>
      <c r="AO3817" s="4">
        <v>0</v>
      </c>
      <c r="AP3817" s="4">
        <v>2</v>
      </c>
      <c r="AQ3817" s="4">
        <v>2</v>
      </c>
      <c r="AR3817" s="3" t="s">
        <v>63</v>
      </c>
      <c r="AS3817" s="3" t="s">
        <v>63</v>
      </c>
      <c r="AT3817" s="3" t="s">
        <v>62</v>
      </c>
      <c r="AU3817" s="6" t="str">
        <f>HYPERLINK("http://catalog.hathitrust.org/Record/007566972","HathiTrust Record")</f>
        <v>HathiTrust Record</v>
      </c>
      <c r="AV3817" s="6" t="str">
        <f>HYPERLINK("http://mcgill.on.worldcat.org/oclc/38899667","Catalog Record")</f>
        <v>Catalog Record</v>
      </c>
      <c r="AW3817" s="6" t="str">
        <f>HYPERLINK("http://www.worldcat.org/oclc/38899667","WorldCat Record")</f>
        <v>WorldCat Record</v>
      </c>
      <c r="AX3817" s="3" t="s">
        <v>32503</v>
      </c>
      <c r="AY3817" s="3" t="s">
        <v>32504</v>
      </c>
      <c r="AZ3817" s="3" t="s">
        <v>32505</v>
      </c>
      <c r="BA3817" s="3" t="s">
        <v>32505</v>
      </c>
      <c r="BB3817" s="3" t="s">
        <v>32509</v>
      </c>
      <c r="BC3817" s="3" t="s">
        <v>82</v>
      </c>
      <c r="BD3817" s="3" t="s">
        <v>70</v>
      </c>
      <c r="BE3817" s="3" t="s">
        <v>32507</v>
      </c>
      <c r="BF3817" s="3" t="s">
        <v>32509</v>
      </c>
      <c r="BG3817" s="3" t="s">
        <v>32510</v>
      </c>
    </row>
    <row r="3818" spans="1:59" ht="60" x14ac:dyDescent="0.25">
      <c r="A3818" s="2" t="s">
        <v>59</v>
      </c>
      <c r="B3818" s="2" t="s">
        <v>60</v>
      </c>
      <c r="C3818" s="2" t="s">
        <v>32496</v>
      </c>
      <c r="D3818" s="2" t="s">
        <v>32497</v>
      </c>
      <c r="E3818" s="2" t="s">
        <v>32498</v>
      </c>
      <c r="F3818" s="3" t="s">
        <v>582</v>
      </c>
      <c r="G3818" s="3" t="s">
        <v>62</v>
      </c>
      <c r="I3818" s="3" t="s">
        <v>63</v>
      </c>
      <c r="J3818" s="3" t="s">
        <v>63</v>
      </c>
      <c r="K3818" s="3" t="s">
        <v>64</v>
      </c>
      <c r="L3818" s="2" t="s">
        <v>32499</v>
      </c>
      <c r="M3818" s="2" t="s">
        <v>32500</v>
      </c>
      <c r="N3818" s="3" t="s">
        <v>176</v>
      </c>
      <c r="P3818" s="3" t="s">
        <v>90</v>
      </c>
      <c r="Q3818" s="2" t="s">
        <v>32501</v>
      </c>
      <c r="R3818" s="3" t="s">
        <v>67</v>
      </c>
      <c r="S3818" s="4">
        <v>14</v>
      </c>
      <c r="T3818" s="4">
        <v>56</v>
      </c>
      <c r="U3818" s="5" t="s">
        <v>32511</v>
      </c>
      <c r="V3818" s="5" t="s">
        <v>31267</v>
      </c>
      <c r="W3818" s="5" t="s">
        <v>69</v>
      </c>
      <c r="X3818" s="5" t="s">
        <v>69</v>
      </c>
      <c r="Y3818" s="4">
        <v>18</v>
      </c>
      <c r="Z3818" s="4">
        <v>4</v>
      </c>
      <c r="AA3818" s="4">
        <v>7</v>
      </c>
      <c r="AB3818" s="4">
        <v>1</v>
      </c>
      <c r="AC3818" s="4">
        <v>1</v>
      </c>
      <c r="AD3818" s="4">
        <v>16</v>
      </c>
      <c r="AE3818" s="4">
        <v>26</v>
      </c>
      <c r="AF3818" s="4">
        <v>0</v>
      </c>
      <c r="AG3818" s="4">
        <v>0</v>
      </c>
      <c r="AH3818" s="4">
        <v>16</v>
      </c>
      <c r="AI3818" s="4">
        <v>26</v>
      </c>
      <c r="AJ3818" s="4">
        <v>2</v>
      </c>
      <c r="AK3818" s="4">
        <v>2</v>
      </c>
      <c r="AL3818" s="4">
        <v>12</v>
      </c>
      <c r="AM3818" s="4">
        <v>18</v>
      </c>
      <c r="AN3818" s="4">
        <v>0</v>
      </c>
      <c r="AO3818" s="4">
        <v>0</v>
      </c>
      <c r="AP3818" s="4">
        <v>2</v>
      </c>
      <c r="AQ3818" s="4">
        <v>2</v>
      </c>
      <c r="AR3818" s="3" t="s">
        <v>63</v>
      </c>
      <c r="AS3818" s="3" t="s">
        <v>63</v>
      </c>
      <c r="AT3818" s="3" t="s">
        <v>62</v>
      </c>
      <c r="AU3818" s="6" t="str">
        <f>HYPERLINK("http://catalog.hathitrust.org/Record/007566972","HathiTrust Record")</f>
        <v>HathiTrust Record</v>
      </c>
      <c r="AV3818" s="6" t="str">
        <f>HYPERLINK("http://mcgill.on.worldcat.org/oclc/38899667","Catalog Record")</f>
        <v>Catalog Record</v>
      </c>
      <c r="AW3818" s="6" t="str">
        <f>HYPERLINK("http://www.worldcat.org/oclc/38899667","WorldCat Record")</f>
        <v>WorldCat Record</v>
      </c>
      <c r="AX3818" s="3" t="s">
        <v>32503</v>
      </c>
      <c r="AY3818" s="3" t="s">
        <v>32504</v>
      </c>
      <c r="AZ3818" s="3" t="s">
        <v>32505</v>
      </c>
      <c r="BA3818" s="3" t="s">
        <v>32505</v>
      </c>
      <c r="BB3818" s="3" t="s">
        <v>32512</v>
      </c>
      <c r="BC3818" s="3" t="s">
        <v>82</v>
      </c>
      <c r="BD3818" s="3" t="s">
        <v>70</v>
      </c>
      <c r="BE3818" s="3" t="s">
        <v>32507</v>
      </c>
      <c r="BF3818" s="3" t="s">
        <v>32512</v>
      </c>
      <c r="BG3818" s="3" t="s">
        <v>32513</v>
      </c>
    </row>
    <row r="3819" spans="1:59" ht="60" x14ac:dyDescent="0.25">
      <c r="A3819" s="2" t="s">
        <v>59</v>
      </c>
      <c r="B3819" s="2" t="s">
        <v>60</v>
      </c>
      <c r="C3819" s="2" t="s">
        <v>32496</v>
      </c>
      <c r="D3819" s="2" t="s">
        <v>32497</v>
      </c>
      <c r="E3819" s="2" t="s">
        <v>32498</v>
      </c>
      <c r="F3819" s="3" t="s">
        <v>571</v>
      </c>
      <c r="G3819" s="3" t="s">
        <v>62</v>
      </c>
      <c r="I3819" s="3" t="s">
        <v>63</v>
      </c>
      <c r="J3819" s="3" t="s">
        <v>63</v>
      </c>
      <c r="K3819" s="3" t="s">
        <v>64</v>
      </c>
      <c r="L3819" s="2" t="s">
        <v>32499</v>
      </c>
      <c r="M3819" s="2" t="s">
        <v>32500</v>
      </c>
      <c r="N3819" s="3" t="s">
        <v>176</v>
      </c>
      <c r="P3819" s="3" t="s">
        <v>90</v>
      </c>
      <c r="Q3819" s="2" t="s">
        <v>32501</v>
      </c>
      <c r="R3819" s="3" t="s">
        <v>67</v>
      </c>
      <c r="S3819" s="4">
        <v>13</v>
      </c>
      <c r="T3819" s="4">
        <v>56</v>
      </c>
      <c r="U3819" s="5" t="s">
        <v>31267</v>
      </c>
      <c r="V3819" s="5" t="s">
        <v>31267</v>
      </c>
      <c r="W3819" s="5" t="s">
        <v>69</v>
      </c>
      <c r="X3819" s="5" t="s">
        <v>69</v>
      </c>
      <c r="Y3819" s="4">
        <v>18</v>
      </c>
      <c r="Z3819" s="4">
        <v>4</v>
      </c>
      <c r="AA3819" s="4">
        <v>7</v>
      </c>
      <c r="AB3819" s="4">
        <v>1</v>
      </c>
      <c r="AC3819" s="4">
        <v>1</v>
      </c>
      <c r="AD3819" s="4">
        <v>16</v>
      </c>
      <c r="AE3819" s="4">
        <v>26</v>
      </c>
      <c r="AF3819" s="4">
        <v>0</v>
      </c>
      <c r="AG3819" s="4">
        <v>0</v>
      </c>
      <c r="AH3819" s="4">
        <v>16</v>
      </c>
      <c r="AI3819" s="4">
        <v>26</v>
      </c>
      <c r="AJ3819" s="4">
        <v>2</v>
      </c>
      <c r="AK3819" s="4">
        <v>2</v>
      </c>
      <c r="AL3819" s="4">
        <v>12</v>
      </c>
      <c r="AM3819" s="4">
        <v>18</v>
      </c>
      <c r="AN3819" s="4">
        <v>0</v>
      </c>
      <c r="AO3819" s="4">
        <v>0</v>
      </c>
      <c r="AP3819" s="4">
        <v>2</v>
      </c>
      <c r="AQ3819" s="4">
        <v>2</v>
      </c>
      <c r="AR3819" s="3" t="s">
        <v>63</v>
      </c>
      <c r="AS3819" s="3" t="s">
        <v>63</v>
      </c>
      <c r="AT3819" s="3" t="s">
        <v>62</v>
      </c>
      <c r="AU3819" s="6" t="str">
        <f>HYPERLINK("http://catalog.hathitrust.org/Record/007566972","HathiTrust Record")</f>
        <v>HathiTrust Record</v>
      </c>
      <c r="AV3819" s="6" t="str">
        <f>HYPERLINK("http://mcgill.on.worldcat.org/oclc/38899667","Catalog Record")</f>
        <v>Catalog Record</v>
      </c>
      <c r="AW3819" s="6" t="str">
        <f>HYPERLINK("http://www.worldcat.org/oclc/38899667","WorldCat Record")</f>
        <v>WorldCat Record</v>
      </c>
      <c r="AX3819" s="3" t="s">
        <v>32503</v>
      </c>
      <c r="AY3819" s="3" t="s">
        <v>32504</v>
      </c>
      <c r="AZ3819" s="3" t="s">
        <v>32505</v>
      </c>
      <c r="BA3819" s="3" t="s">
        <v>32505</v>
      </c>
      <c r="BB3819" s="3" t="s">
        <v>32514</v>
      </c>
      <c r="BC3819" s="3" t="s">
        <v>82</v>
      </c>
      <c r="BD3819" s="3" t="s">
        <v>70</v>
      </c>
      <c r="BE3819" s="3" t="s">
        <v>32507</v>
      </c>
      <c r="BF3819" s="3" t="s">
        <v>32514</v>
      </c>
      <c r="BG3819" s="3" t="s">
        <v>32515</v>
      </c>
    </row>
    <row r="3820" spans="1:59" ht="60" x14ac:dyDescent="0.25">
      <c r="A3820" s="2" t="s">
        <v>59</v>
      </c>
      <c r="B3820" s="2" t="s">
        <v>60</v>
      </c>
      <c r="C3820" s="2" t="s">
        <v>32496</v>
      </c>
      <c r="D3820" s="2" t="s">
        <v>32497</v>
      </c>
      <c r="E3820" s="2" t="s">
        <v>32498</v>
      </c>
      <c r="F3820" s="3" t="s">
        <v>32516</v>
      </c>
      <c r="G3820" s="3" t="s">
        <v>62</v>
      </c>
      <c r="I3820" s="3" t="s">
        <v>63</v>
      </c>
      <c r="J3820" s="3" t="s">
        <v>63</v>
      </c>
      <c r="K3820" s="3" t="s">
        <v>64</v>
      </c>
      <c r="L3820" s="2" t="s">
        <v>32499</v>
      </c>
      <c r="M3820" s="2" t="s">
        <v>32500</v>
      </c>
      <c r="N3820" s="3" t="s">
        <v>176</v>
      </c>
      <c r="P3820" s="3" t="s">
        <v>90</v>
      </c>
      <c r="Q3820" s="2" t="s">
        <v>32501</v>
      </c>
      <c r="R3820" s="3" t="s">
        <v>67</v>
      </c>
      <c r="S3820" s="4">
        <v>9</v>
      </c>
      <c r="T3820" s="4">
        <v>56</v>
      </c>
      <c r="U3820" s="5" t="s">
        <v>32502</v>
      </c>
      <c r="V3820" s="5" t="s">
        <v>31267</v>
      </c>
      <c r="W3820" s="5" t="s">
        <v>69</v>
      </c>
      <c r="X3820" s="5" t="s">
        <v>69</v>
      </c>
      <c r="Y3820" s="4">
        <v>18</v>
      </c>
      <c r="Z3820" s="4">
        <v>4</v>
      </c>
      <c r="AA3820" s="4">
        <v>7</v>
      </c>
      <c r="AB3820" s="4">
        <v>1</v>
      </c>
      <c r="AC3820" s="4">
        <v>1</v>
      </c>
      <c r="AD3820" s="4">
        <v>16</v>
      </c>
      <c r="AE3820" s="4">
        <v>26</v>
      </c>
      <c r="AF3820" s="4">
        <v>0</v>
      </c>
      <c r="AG3820" s="4">
        <v>0</v>
      </c>
      <c r="AH3820" s="4">
        <v>16</v>
      </c>
      <c r="AI3820" s="4">
        <v>26</v>
      </c>
      <c r="AJ3820" s="4">
        <v>2</v>
      </c>
      <c r="AK3820" s="4">
        <v>2</v>
      </c>
      <c r="AL3820" s="4">
        <v>12</v>
      </c>
      <c r="AM3820" s="4">
        <v>18</v>
      </c>
      <c r="AN3820" s="4">
        <v>0</v>
      </c>
      <c r="AO3820" s="4">
        <v>0</v>
      </c>
      <c r="AP3820" s="4">
        <v>2</v>
      </c>
      <c r="AQ3820" s="4">
        <v>2</v>
      </c>
      <c r="AR3820" s="3" t="s">
        <v>63</v>
      </c>
      <c r="AS3820" s="3" t="s">
        <v>63</v>
      </c>
      <c r="AT3820" s="3" t="s">
        <v>62</v>
      </c>
      <c r="AU3820" s="6" t="str">
        <f>HYPERLINK("http://catalog.hathitrust.org/Record/007566972","HathiTrust Record")</f>
        <v>HathiTrust Record</v>
      </c>
      <c r="AV3820" s="6" t="str">
        <f>HYPERLINK("http://mcgill.on.worldcat.org/oclc/38899667","Catalog Record")</f>
        <v>Catalog Record</v>
      </c>
      <c r="AW3820" s="6" t="str">
        <f>HYPERLINK("http://www.worldcat.org/oclc/38899667","WorldCat Record")</f>
        <v>WorldCat Record</v>
      </c>
      <c r="AX3820" s="3" t="s">
        <v>32503</v>
      </c>
      <c r="AY3820" s="3" t="s">
        <v>32504</v>
      </c>
      <c r="AZ3820" s="3" t="s">
        <v>32505</v>
      </c>
      <c r="BA3820" s="3" t="s">
        <v>32505</v>
      </c>
      <c r="BB3820" s="3" t="s">
        <v>32517</v>
      </c>
      <c r="BC3820" s="3" t="s">
        <v>82</v>
      </c>
      <c r="BD3820" s="3" t="s">
        <v>70</v>
      </c>
      <c r="BE3820" s="3" t="s">
        <v>32507</v>
      </c>
      <c r="BF3820" s="3" t="s">
        <v>32517</v>
      </c>
      <c r="BG3820" s="3" t="s">
        <v>32518</v>
      </c>
    </row>
    <row r="3821" spans="1:59" ht="60" x14ac:dyDescent="0.25">
      <c r="A3821" s="2" t="s">
        <v>59</v>
      </c>
      <c r="B3821" s="2" t="s">
        <v>60</v>
      </c>
      <c r="C3821" s="2" t="s">
        <v>32519</v>
      </c>
      <c r="D3821" s="2" t="s">
        <v>32520</v>
      </c>
      <c r="E3821" s="2" t="s">
        <v>32521</v>
      </c>
      <c r="G3821" s="3" t="s">
        <v>63</v>
      </c>
      <c r="I3821" s="3" t="s">
        <v>63</v>
      </c>
      <c r="J3821" s="3" t="s">
        <v>63</v>
      </c>
      <c r="K3821" s="3" t="s">
        <v>64</v>
      </c>
      <c r="L3821" s="2" t="s">
        <v>32522</v>
      </c>
      <c r="M3821" s="2" t="s">
        <v>32523</v>
      </c>
      <c r="N3821" s="3" t="s">
        <v>76</v>
      </c>
      <c r="P3821" s="3" t="s">
        <v>90</v>
      </c>
      <c r="R3821" s="3" t="s">
        <v>67</v>
      </c>
      <c r="S3821" s="4">
        <v>0</v>
      </c>
      <c r="T3821" s="4">
        <v>0</v>
      </c>
      <c r="W3821" s="5" t="s">
        <v>69</v>
      </c>
      <c r="X3821" s="5" t="s">
        <v>69</v>
      </c>
      <c r="Y3821" s="4">
        <v>29</v>
      </c>
      <c r="Z3821" s="4">
        <v>5</v>
      </c>
      <c r="AA3821" s="4">
        <v>5</v>
      </c>
      <c r="AB3821" s="4">
        <v>1</v>
      </c>
      <c r="AC3821" s="4">
        <v>1</v>
      </c>
      <c r="AD3821" s="4">
        <v>22</v>
      </c>
      <c r="AE3821" s="4">
        <v>22</v>
      </c>
      <c r="AF3821" s="4">
        <v>0</v>
      </c>
      <c r="AG3821" s="4">
        <v>0</v>
      </c>
      <c r="AH3821" s="4">
        <v>22</v>
      </c>
      <c r="AI3821" s="4">
        <v>22</v>
      </c>
      <c r="AJ3821" s="4">
        <v>3</v>
      </c>
      <c r="AK3821" s="4">
        <v>3</v>
      </c>
      <c r="AL3821" s="4">
        <v>17</v>
      </c>
      <c r="AM3821" s="4">
        <v>17</v>
      </c>
      <c r="AN3821" s="4">
        <v>0</v>
      </c>
      <c r="AO3821" s="4">
        <v>0</v>
      </c>
      <c r="AP3821" s="4">
        <v>3</v>
      </c>
      <c r="AQ3821" s="4">
        <v>3</v>
      </c>
      <c r="AR3821" s="3" t="s">
        <v>63</v>
      </c>
      <c r="AS3821" s="3" t="s">
        <v>63</v>
      </c>
      <c r="AT3821" s="3" t="s">
        <v>63</v>
      </c>
      <c r="AV3821" s="6" t="str">
        <f>HYPERLINK("http://mcgill.on.worldcat.org/oclc/794819826","Catalog Record")</f>
        <v>Catalog Record</v>
      </c>
      <c r="AW3821" s="6" t="str">
        <f>HYPERLINK("http://www.worldcat.org/oclc/794819826","WorldCat Record")</f>
        <v>WorldCat Record</v>
      </c>
      <c r="AX3821" s="3" t="s">
        <v>32524</v>
      </c>
      <c r="AY3821" s="3" t="s">
        <v>32525</v>
      </c>
      <c r="AZ3821" s="3" t="s">
        <v>32526</v>
      </c>
      <c r="BA3821" s="3" t="s">
        <v>32526</v>
      </c>
      <c r="BB3821" s="3" t="s">
        <v>32527</v>
      </c>
      <c r="BC3821" s="3" t="s">
        <v>82</v>
      </c>
      <c r="BD3821" s="3" t="s">
        <v>70</v>
      </c>
      <c r="BE3821" s="3" t="s">
        <v>32528</v>
      </c>
      <c r="BF3821" s="3" t="s">
        <v>32527</v>
      </c>
      <c r="BG3821" s="3" t="s">
        <v>32529</v>
      </c>
    </row>
    <row r="3822" spans="1:59" ht="75" x14ac:dyDescent="0.25">
      <c r="A3822" s="2" t="s">
        <v>59</v>
      </c>
      <c r="B3822" s="2" t="s">
        <v>60</v>
      </c>
      <c r="C3822" s="2" t="s">
        <v>32530</v>
      </c>
      <c r="D3822" s="2" t="s">
        <v>32531</v>
      </c>
      <c r="E3822" s="2" t="s">
        <v>32532</v>
      </c>
      <c r="G3822" s="3" t="s">
        <v>63</v>
      </c>
      <c r="I3822" s="3" t="s">
        <v>63</v>
      </c>
      <c r="J3822" s="3" t="s">
        <v>63</v>
      </c>
      <c r="K3822" s="3" t="s">
        <v>64</v>
      </c>
      <c r="L3822" s="2" t="s">
        <v>32533</v>
      </c>
      <c r="M3822" s="2" t="s">
        <v>32534</v>
      </c>
      <c r="N3822" s="3" t="s">
        <v>706</v>
      </c>
      <c r="P3822" s="3" t="s">
        <v>66</v>
      </c>
      <c r="R3822" s="3" t="s">
        <v>67</v>
      </c>
      <c r="S3822" s="4">
        <v>14</v>
      </c>
      <c r="T3822" s="4">
        <v>14</v>
      </c>
      <c r="U3822" s="5" t="s">
        <v>32535</v>
      </c>
      <c r="V3822" s="5" t="s">
        <v>32535</v>
      </c>
      <c r="W3822" s="5" t="s">
        <v>69</v>
      </c>
      <c r="X3822" s="5" t="s">
        <v>69</v>
      </c>
      <c r="Y3822" s="4">
        <v>97</v>
      </c>
      <c r="Z3822" s="4">
        <v>14</v>
      </c>
      <c r="AA3822" s="4">
        <v>15</v>
      </c>
      <c r="AB3822" s="4">
        <v>1</v>
      </c>
      <c r="AC3822" s="4">
        <v>1</v>
      </c>
      <c r="AD3822" s="4">
        <v>49</v>
      </c>
      <c r="AE3822" s="4">
        <v>72</v>
      </c>
      <c r="AF3822" s="4">
        <v>0</v>
      </c>
      <c r="AG3822" s="4">
        <v>0</v>
      </c>
      <c r="AH3822" s="4">
        <v>46</v>
      </c>
      <c r="AI3822" s="4">
        <v>68</v>
      </c>
      <c r="AJ3822" s="4">
        <v>11</v>
      </c>
      <c r="AK3822" s="4">
        <v>11</v>
      </c>
      <c r="AL3822" s="4">
        <v>25</v>
      </c>
      <c r="AM3822" s="4">
        <v>41</v>
      </c>
      <c r="AN3822" s="4">
        <v>0</v>
      </c>
      <c r="AO3822" s="4">
        <v>0</v>
      </c>
      <c r="AP3822" s="4">
        <v>11</v>
      </c>
      <c r="AQ3822" s="4">
        <v>11</v>
      </c>
      <c r="AR3822" s="3" t="s">
        <v>63</v>
      </c>
      <c r="AS3822" s="3" t="s">
        <v>63</v>
      </c>
      <c r="AT3822" s="3" t="s">
        <v>62</v>
      </c>
      <c r="AU3822" s="6" t="str">
        <f>HYPERLINK("http://catalog.hathitrust.org/Record/000632625","HathiTrust Record")</f>
        <v>HathiTrust Record</v>
      </c>
      <c r="AV3822" s="6" t="str">
        <f>HYPERLINK("http://mcgill.on.worldcat.org/oclc/14220171","Catalog Record")</f>
        <v>Catalog Record</v>
      </c>
      <c r="AW3822" s="6" t="str">
        <f>HYPERLINK("http://www.worldcat.org/oclc/14220171","WorldCat Record")</f>
        <v>WorldCat Record</v>
      </c>
      <c r="AX3822" s="3" t="s">
        <v>32536</v>
      </c>
      <c r="AY3822" s="3" t="s">
        <v>32537</v>
      </c>
      <c r="AZ3822" s="3" t="s">
        <v>32538</v>
      </c>
      <c r="BA3822" s="3" t="s">
        <v>32538</v>
      </c>
      <c r="BB3822" s="3" t="s">
        <v>32539</v>
      </c>
      <c r="BC3822" s="3" t="s">
        <v>82</v>
      </c>
      <c r="BD3822" s="3" t="s">
        <v>538</v>
      </c>
      <c r="BE3822" s="3" t="s">
        <v>32540</v>
      </c>
      <c r="BF3822" s="3" t="s">
        <v>32539</v>
      </c>
      <c r="BG3822" s="3" t="s">
        <v>32541</v>
      </c>
    </row>
    <row r="3823" spans="1:59" ht="60" x14ac:dyDescent="0.25">
      <c r="A3823" s="2" t="s">
        <v>59</v>
      </c>
      <c r="B3823" s="2" t="s">
        <v>60</v>
      </c>
      <c r="C3823" s="2" t="s">
        <v>32542</v>
      </c>
      <c r="D3823" s="2" t="s">
        <v>32543</v>
      </c>
      <c r="E3823" s="2" t="s">
        <v>32544</v>
      </c>
      <c r="G3823" s="3" t="s">
        <v>63</v>
      </c>
      <c r="I3823" s="3" t="s">
        <v>63</v>
      </c>
      <c r="J3823" s="3" t="s">
        <v>63</v>
      </c>
      <c r="K3823" s="3" t="s">
        <v>64</v>
      </c>
      <c r="L3823" s="2" t="s">
        <v>32545</v>
      </c>
      <c r="M3823" s="2" t="s">
        <v>32546</v>
      </c>
      <c r="N3823" s="3" t="s">
        <v>143</v>
      </c>
      <c r="P3823" s="3" t="s">
        <v>90</v>
      </c>
      <c r="Q3823" s="2" t="s">
        <v>32547</v>
      </c>
      <c r="R3823" s="3" t="s">
        <v>67</v>
      </c>
      <c r="S3823" s="4">
        <v>1</v>
      </c>
      <c r="T3823" s="4">
        <v>1</v>
      </c>
      <c r="U3823" s="5" t="s">
        <v>29654</v>
      </c>
      <c r="V3823" s="5" t="s">
        <v>29654</v>
      </c>
      <c r="W3823" s="5" t="s">
        <v>69</v>
      </c>
      <c r="X3823" s="5" t="s">
        <v>69</v>
      </c>
      <c r="Y3823" s="4">
        <v>19</v>
      </c>
      <c r="Z3823" s="4">
        <v>3</v>
      </c>
      <c r="AA3823" s="4">
        <v>3</v>
      </c>
      <c r="AB3823" s="4">
        <v>1</v>
      </c>
      <c r="AC3823" s="4">
        <v>1</v>
      </c>
      <c r="AD3823" s="4">
        <v>12</v>
      </c>
      <c r="AE3823" s="4">
        <v>12</v>
      </c>
      <c r="AF3823" s="4">
        <v>0</v>
      </c>
      <c r="AG3823" s="4">
        <v>0</v>
      </c>
      <c r="AH3823" s="4">
        <v>12</v>
      </c>
      <c r="AI3823" s="4">
        <v>12</v>
      </c>
      <c r="AJ3823" s="4">
        <v>1</v>
      </c>
      <c r="AK3823" s="4">
        <v>1</v>
      </c>
      <c r="AL3823" s="4">
        <v>9</v>
      </c>
      <c r="AM3823" s="4">
        <v>9</v>
      </c>
      <c r="AN3823" s="4">
        <v>0</v>
      </c>
      <c r="AO3823" s="4">
        <v>0</v>
      </c>
      <c r="AP3823" s="4">
        <v>1</v>
      </c>
      <c r="AQ3823" s="4">
        <v>1</v>
      </c>
      <c r="AR3823" s="3" t="s">
        <v>63</v>
      </c>
      <c r="AS3823" s="3" t="s">
        <v>63</v>
      </c>
      <c r="AT3823" s="3" t="s">
        <v>63</v>
      </c>
      <c r="AV3823" s="6" t="str">
        <f>HYPERLINK("http://mcgill.on.worldcat.org/oclc/883189414","Catalog Record")</f>
        <v>Catalog Record</v>
      </c>
      <c r="AW3823" s="6" t="str">
        <f>HYPERLINK("http://www.worldcat.org/oclc/883189414","WorldCat Record")</f>
        <v>WorldCat Record</v>
      </c>
      <c r="AX3823" s="3" t="s">
        <v>32548</v>
      </c>
      <c r="AY3823" s="3" t="s">
        <v>32549</v>
      </c>
      <c r="AZ3823" s="3" t="s">
        <v>32550</v>
      </c>
      <c r="BA3823" s="3" t="s">
        <v>32550</v>
      </c>
      <c r="BB3823" s="3" t="s">
        <v>32551</v>
      </c>
      <c r="BC3823" s="3" t="s">
        <v>82</v>
      </c>
      <c r="BD3823" s="3" t="s">
        <v>70</v>
      </c>
      <c r="BE3823" s="3" t="s">
        <v>32552</v>
      </c>
      <c r="BF3823" s="3" t="s">
        <v>32551</v>
      </c>
      <c r="BG3823" s="3" t="s">
        <v>32553</v>
      </c>
    </row>
    <row r="3824" spans="1:59" ht="60" x14ac:dyDescent="0.25">
      <c r="A3824" s="2" t="s">
        <v>59</v>
      </c>
      <c r="B3824" s="2" t="s">
        <v>60</v>
      </c>
      <c r="C3824" s="2" t="s">
        <v>32554</v>
      </c>
      <c r="D3824" s="2" t="s">
        <v>32555</v>
      </c>
      <c r="E3824" s="2" t="s">
        <v>32556</v>
      </c>
      <c r="G3824" s="3" t="s">
        <v>63</v>
      </c>
      <c r="I3824" s="3" t="s">
        <v>63</v>
      </c>
      <c r="J3824" s="3" t="s">
        <v>63</v>
      </c>
      <c r="K3824" s="3" t="s">
        <v>64</v>
      </c>
      <c r="L3824" s="2" t="s">
        <v>32557</v>
      </c>
      <c r="M3824" s="2" t="s">
        <v>32558</v>
      </c>
      <c r="N3824" s="3" t="s">
        <v>1557</v>
      </c>
      <c r="P3824" s="3" t="s">
        <v>90</v>
      </c>
      <c r="Q3824" s="2" t="s">
        <v>32559</v>
      </c>
      <c r="R3824" s="3" t="s">
        <v>67</v>
      </c>
      <c r="S3824" s="4">
        <v>1</v>
      </c>
      <c r="T3824" s="4">
        <v>1</v>
      </c>
      <c r="U3824" s="5" t="s">
        <v>7212</v>
      </c>
      <c r="V3824" s="5" t="s">
        <v>7212</v>
      </c>
      <c r="W3824" s="5" t="s">
        <v>69</v>
      </c>
      <c r="X3824" s="5" t="s">
        <v>69</v>
      </c>
      <c r="Y3824" s="4">
        <v>4</v>
      </c>
      <c r="Z3824" s="4">
        <v>1</v>
      </c>
      <c r="AA3824" s="4">
        <v>4</v>
      </c>
      <c r="AB3824" s="4">
        <v>1</v>
      </c>
      <c r="AC3824" s="4">
        <v>1</v>
      </c>
      <c r="AD3824" s="4">
        <v>2</v>
      </c>
      <c r="AE3824" s="4">
        <v>13</v>
      </c>
      <c r="AF3824" s="4">
        <v>0</v>
      </c>
      <c r="AG3824" s="4">
        <v>0</v>
      </c>
      <c r="AH3824" s="4">
        <v>2</v>
      </c>
      <c r="AI3824" s="4">
        <v>12</v>
      </c>
      <c r="AJ3824" s="4">
        <v>0</v>
      </c>
      <c r="AK3824" s="4">
        <v>2</v>
      </c>
      <c r="AL3824" s="4">
        <v>1</v>
      </c>
      <c r="AM3824" s="4">
        <v>9</v>
      </c>
      <c r="AN3824" s="4">
        <v>0</v>
      </c>
      <c r="AO3824" s="4">
        <v>0</v>
      </c>
      <c r="AP3824" s="4">
        <v>0</v>
      </c>
      <c r="AQ3824" s="4">
        <v>2</v>
      </c>
      <c r="AR3824" s="3" t="s">
        <v>63</v>
      </c>
      <c r="AS3824" s="3" t="s">
        <v>63</v>
      </c>
      <c r="AT3824" s="3" t="s">
        <v>63</v>
      </c>
      <c r="AV3824" s="6" t="str">
        <f>HYPERLINK("http://mcgill.on.worldcat.org/oclc/1006511831","Catalog Record")</f>
        <v>Catalog Record</v>
      </c>
      <c r="AW3824" s="6" t="str">
        <f>HYPERLINK("http://www.worldcat.org/oclc/1006511831","WorldCat Record")</f>
        <v>WorldCat Record</v>
      </c>
      <c r="AX3824" s="3" t="s">
        <v>32560</v>
      </c>
      <c r="AY3824" s="3" t="s">
        <v>32561</v>
      </c>
      <c r="AZ3824" s="3" t="s">
        <v>32562</v>
      </c>
      <c r="BA3824" s="3" t="s">
        <v>32562</v>
      </c>
      <c r="BB3824" s="3" t="s">
        <v>32563</v>
      </c>
      <c r="BC3824" s="3" t="s">
        <v>82</v>
      </c>
      <c r="BD3824" s="3" t="s">
        <v>70</v>
      </c>
      <c r="BF3824" s="3" t="s">
        <v>32563</v>
      </c>
      <c r="BG3824" s="3" t="s">
        <v>32564</v>
      </c>
    </row>
    <row r="3825" spans="1:59" ht="75" x14ac:dyDescent="0.25">
      <c r="A3825" s="2" t="s">
        <v>59</v>
      </c>
      <c r="B3825" s="2" t="s">
        <v>60</v>
      </c>
      <c r="C3825" s="2" t="s">
        <v>32565</v>
      </c>
      <c r="D3825" s="2" t="s">
        <v>32566</v>
      </c>
      <c r="E3825" s="2" t="s">
        <v>32567</v>
      </c>
      <c r="G3825" s="3" t="s">
        <v>63</v>
      </c>
      <c r="I3825" s="3" t="s">
        <v>63</v>
      </c>
      <c r="J3825" s="3" t="s">
        <v>63</v>
      </c>
      <c r="K3825" s="3" t="s">
        <v>64</v>
      </c>
      <c r="L3825" s="2" t="s">
        <v>32568</v>
      </c>
      <c r="M3825" s="2" t="s">
        <v>10743</v>
      </c>
      <c r="N3825" s="3" t="s">
        <v>629</v>
      </c>
      <c r="P3825" s="3" t="s">
        <v>90</v>
      </c>
      <c r="Q3825" s="2" t="s">
        <v>30031</v>
      </c>
      <c r="R3825" s="3" t="s">
        <v>67</v>
      </c>
      <c r="S3825" s="4">
        <v>1</v>
      </c>
      <c r="T3825" s="4">
        <v>1</v>
      </c>
      <c r="U3825" s="5" t="s">
        <v>30440</v>
      </c>
      <c r="V3825" s="5" t="s">
        <v>30440</v>
      </c>
      <c r="W3825" s="5" t="s">
        <v>69</v>
      </c>
      <c r="X3825" s="5" t="s">
        <v>69</v>
      </c>
      <c r="Y3825" s="4">
        <v>11</v>
      </c>
      <c r="Z3825" s="4">
        <v>1</v>
      </c>
      <c r="AA3825" s="4">
        <v>6</v>
      </c>
      <c r="AB3825" s="4">
        <v>1</v>
      </c>
      <c r="AC3825" s="4">
        <v>1</v>
      </c>
      <c r="AD3825" s="4">
        <v>5</v>
      </c>
      <c r="AE3825" s="4">
        <v>36</v>
      </c>
      <c r="AF3825" s="4">
        <v>0</v>
      </c>
      <c r="AG3825" s="4">
        <v>0</v>
      </c>
      <c r="AH3825" s="4">
        <v>5</v>
      </c>
      <c r="AI3825" s="4">
        <v>35</v>
      </c>
      <c r="AJ3825" s="4">
        <v>0</v>
      </c>
      <c r="AK3825" s="4">
        <v>1</v>
      </c>
      <c r="AL3825" s="4">
        <v>2</v>
      </c>
      <c r="AM3825" s="4">
        <v>27</v>
      </c>
      <c r="AN3825" s="4">
        <v>0</v>
      </c>
      <c r="AO3825" s="4">
        <v>0</v>
      </c>
      <c r="AP3825" s="4">
        <v>0</v>
      </c>
      <c r="AQ3825" s="4">
        <v>1</v>
      </c>
      <c r="AR3825" s="3" t="s">
        <v>63</v>
      </c>
      <c r="AS3825" s="3" t="s">
        <v>63</v>
      </c>
      <c r="AT3825" s="3" t="s">
        <v>63</v>
      </c>
      <c r="AV3825" s="6" t="str">
        <f>HYPERLINK("http://mcgill.on.worldcat.org/oclc/746621255","Catalog Record")</f>
        <v>Catalog Record</v>
      </c>
      <c r="AW3825" s="6" t="str">
        <f>HYPERLINK("http://www.worldcat.org/oclc/746621255","WorldCat Record")</f>
        <v>WorldCat Record</v>
      </c>
      <c r="AX3825" s="3" t="s">
        <v>32569</v>
      </c>
      <c r="AY3825" s="3" t="s">
        <v>32570</v>
      </c>
      <c r="AZ3825" s="3" t="s">
        <v>32571</v>
      </c>
      <c r="BA3825" s="3" t="s">
        <v>32571</v>
      </c>
      <c r="BB3825" s="3" t="s">
        <v>32572</v>
      </c>
      <c r="BC3825" s="3" t="s">
        <v>82</v>
      </c>
      <c r="BD3825" s="3" t="s">
        <v>70</v>
      </c>
      <c r="BE3825" s="3" t="s">
        <v>32573</v>
      </c>
      <c r="BF3825" s="3" t="s">
        <v>32572</v>
      </c>
      <c r="BG3825" s="3" t="s">
        <v>32574</v>
      </c>
    </row>
    <row r="3826" spans="1:59" ht="75" x14ac:dyDescent="0.25">
      <c r="A3826" s="2" t="s">
        <v>59</v>
      </c>
      <c r="B3826" s="2" t="s">
        <v>60</v>
      </c>
      <c r="C3826" s="2" t="s">
        <v>32575</v>
      </c>
      <c r="D3826" s="2" t="s">
        <v>32576</v>
      </c>
      <c r="E3826" s="2" t="s">
        <v>32577</v>
      </c>
      <c r="G3826" s="3" t="s">
        <v>63</v>
      </c>
      <c r="I3826" s="3" t="s">
        <v>63</v>
      </c>
      <c r="J3826" s="3" t="s">
        <v>63</v>
      </c>
      <c r="K3826" s="3" t="s">
        <v>64</v>
      </c>
      <c r="L3826" s="2" t="s">
        <v>32578</v>
      </c>
      <c r="M3826" s="2" t="s">
        <v>10896</v>
      </c>
      <c r="N3826" s="3" t="s">
        <v>2459</v>
      </c>
      <c r="P3826" s="3" t="s">
        <v>90</v>
      </c>
      <c r="Q3826" s="2" t="s">
        <v>30031</v>
      </c>
      <c r="R3826" s="3" t="s">
        <v>67</v>
      </c>
      <c r="S3826" s="4">
        <v>3</v>
      </c>
      <c r="T3826" s="4">
        <v>3</v>
      </c>
      <c r="U3826" s="5" t="s">
        <v>4911</v>
      </c>
      <c r="V3826" s="5" t="s">
        <v>4911</v>
      </c>
      <c r="W3826" s="5" t="s">
        <v>69</v>
      </c>
      <c r="X3826" s="5" t="s">
        <v>69</v>
      </c>
      <c r="Y3826" s="4">
        <v>9</v>
      </c>
      <c r="Z3826" s="4">
        <v>3</v>
      </c>
      <c r="AA3826" s="4">
        <v>3</v>
      </c>
      <c r="AB3826" s="4">
        <v>1</v>
      </c>
      <c r="AC3826" s="4">
        <v>1</v>
      </c>
      <c r="AD3826" s="4">
        <v>4</v>
      </c>
      <c r="AE3826" s="4">
        <v>5</v>
      </c>
      <c r="AF3826" s="4">
        <v>0</v>
      </c>
      <c r="AG3826" s="4">
        <v>0</v>
      </c>
      <c r="AH3826" s="4">
        <v>4</v>
      </c>
      <c r="AI3826" s="4">
        <v>5</v>
      </c>
      <c r="AJ3826" s="4">
        <v>1</v>
      </c>
      <c r="AK3826" s="4">
        <v>1</v>
      </c>
      <c r="AL3826" s="4">
        <v>1</v>
      </c>
      <c r="AM3826" s="4">
        <v>2</v>
      </c>
      <c r="AN3826" s="4">
        <v>0</v>
      </c>
      <c r="AO3826" s="4">
        <v>0</v>
      </c>
      <c r="AP3826" s="4">
        <v>1</v>
      </c>
      <c r="AQ3826" s="4">
        <v>1</v>
      </c>
      <c r="AR3826" s="3" t="s">
        <v>63</v>
      </c>
      <c r="AS3826" s="3" t="s">
        <v>63</v>
      </c>
      <c r="AT3826" s="3" t="s">
        <v>63</v>
      </c>
      <c r="AV3826" s="6" t="str">
        <f>HYPERLINK("http://mcgill.on.worldcat.org/oclc/261198803","Catalog Record")</f>
        <v>Catalog Record</v>
      </c>
      <c r="AW3826" s="6" t="str">
        <f>HYPERLINK("http://www.worldcat.org/oclc/261198803","WorldCat Record")</f>
        <v>WorldCat Record</v>
      </c>
      <c r="AX3826" s="3" t="s">
        <v>32579</v>
      </c>
      <c r="AY3826" s="3" t="s">
        <v>32580</v>
      </c>
      <c r="AZ3826" s="3" t="s">
        <v>32581</v>
      </c>
      <c r="BA3826" s="3" t="s">
        <v>32581</v>
      </c>
      <c r="BB3826" s="3" t="s">
        <v>32582</v>
      </c>
      <c r="BC3826" s="3" t="s">
        <v>82</v>
      </c>
      <c r="BD3826" s="3" t="s">
        <v>70</v>
      </c>
      <c r="BE3826" s="3" t="s">
        <v>32583</v>
      </c>
      <c r="BF3826" s="3" t="s">
        <v>32582</v>
      </c>
      <c r="BG3826" s="3" t="s">
        <v>32584</v>
      </c>
    </row>
    <row r="3827" spans="1:59" ht="75" x14ac:dyDescent="0.25">
      <c r="A3827" s="2" t="s">
        <v>59</v>
      </c>
      <c r="B3827" s="2" t="s">
        <v>60</v>
      </c>
      <c r="C3827" s="2" t="s">
        <v>32585</v>
      </c>
      <c r="D3827" s="2" t="s">
        <v>32586</v>
      </c>
      <c r="E3827" s="2" t="s">
        <v>32587</v>
      </c>
      <c r="G3827" s="3" t="s">
        <v>63</v>
      </c>
      <c r="I3827" s="3" t="s">
        <v>63</v>
      </c>
      <c r="J3827" s="3" t="s">
        <v>63</v>
      </c>
      <c r="K3827" s="3" t="s">
        <v>64</v>
      </c>
      <c r="L3827" s="2" t="s">
        <v>32578</v>
      </c>
      <c r="M3827" s="2" t="s">
        <v>29337</v>
      </c>
      <c r="N3827" s="3" t="s">
        <v>234</v>
      </c>
      <c r="P3827" s="3" t="s">
        <v>90</v>
      </c>
      <c r="R3827" s="3" t="s">
        <v>67</v>
      </c>
      <c r="S3827" s="4">
        <v>9</v>
      </c>
      <c r="T3827" s="4">
        <v>9</v>
      </c>
      <c r="U3827" s="5" t="s">
        <v>3069</v>
      </c>
      <c r="V3827" s="5" t="s">
        <v>3069</v>
      </c>
      <c r="W3827" s="5" t="s">
        <v>69</v>
      </c>
      <c r="X3827" s="5" t="s">
        <v>69</v>
      </c>
      <c r="Y3827" s="4">
        <v>98</v>
      </c>
      <c r="Z3827" s="4">
        <v>5</v>
      </c>
      <c r="AA3827" s="4">
        <v>7</v>
      </c>
      <c r="AB3827" s="4">
        <v>1</v>
      </c>
      <c r="AC3827" s="4">
        <v>1</v>
      </c>
      <c r="AD3827" s="4">
        <v>46</v>
      </c>
      <c r="AE3827" s="4">
        <v>52</v>
      </c>
      <c r="AF3827" s="4">
        <v>0</v>
      </c>
      <c r="AG3827" s="4">
        <v>0</v>
      </c>
      <c r="AH3827" s="4">
        <v>43</v>
      </c>
      <c r="AI3827" s="4">
        <v>49</v>
      </c>
      <c r="AJ3827" s="4">
        <v>2</v>
      </c>
      <c r="AK3827" s="4">
        <v>3</v>
      </c>
      <c r="AL3827" s="4">
        <v>35</v>
      </c>
      <c r="AM3827" s="4">
        <v>37</v>
      </c>
      <c r="AN3827" s="4">
        <v>0</v>
      </c>
      <c r="AO3827" s="4">
        <v>0</v>
      </c>
      <c r="AP3827" s="4">
        <v>2</v>
      </c>
      <c r="AQ3827" s="4">
        <v>3</v>
      </c>
      <c r="AR3827" s="3" t="s">
        <v>63</v>
      </c>
      <c r="AS3827" s="3" t="s">
        <v>63</v>
      </c>
      <c r="AT3827" s="3" t="s">
        <v>62</v>
      </c>
      <c r="AU3827" s="6" t="str">
        <f>HYPERLINK("http://catalog.hathitrust.org/Record/005374127","HathiTrust Record")</f>
        <v>HathiTrust Record</v>
      </c>
      <c r="AV3827" s="6" t="str">
        <f>HYPERLINK("http://mcgill.on.worldcat.org/oclc/69498058","Catalog Record")</f>
        <v>Catalog Record</v>
      </c>
      <c r="AW3827" s="6" t="str">
        <f>HYPERLINK("http://www.worldcat.org/oclc/69498058","WorldCat Record")</f>
        <v>WorldCat Record</v>
      </c>
      <c r="AX3827" s="3" t="s">
        <v>32588</v>
      </c>
      <c r="AY3827" s="3" t="s">
        <v>32589</v>
      </c>
      <c r="AZ3827" s="3" t="s">
        <v>32590</v>
      </c>
      <c r="BA3827" s="3" t="s">
        <v>32590</v>
      </c>
      <c r="BB3827" s="3" t="s">
        <v>32591</v>
      </c>
      <c r="BC3827" s="3" t="s">
        <v>82</v>
      </c>
      <c r="BD3827" s="3" t="s">
        <v>70</v>
      </c>
      <c r="BE3827" s="3" t="s">
        <v>32592</v>
      </c>
      <c r="BF3827" s="3" t="s">
        <v>32591</v>
      </c>
      <c r="BG3827" s="3" t="s">
        <v>32593</v>
      </c>
    </row>
    <row r="3828" spans="1:59" ht="75" x14ac:dyDescent="0.25">
      <c r="A3828" s="2" t="s">
        <v>59</v>
      </c>
      <c r="B3828" s="2" t="s">
        <v>60</v>
      </c>
      <c r="C3828" s="2" t="s">
        <v>32594</v>
      </c>
      <c r="D3828" s="2" t="s">
        <v>32595</v>
      </c>
      <c r="E3828" s="2" t="s">
        <v>32596</v>
      </c>
      <c r="G3828" s="3" t="s">
        <v>63</v>
      </c>
      <c r="I3828" s="3" t="s">
        <v>63</v>
      </c>
      <c r="J3828" s="3" t="s">
        <v>63</v>
      </c>
      <c r="K3828" s="3" t="s">
        <v>64</v>
      </c>
      <c r="L3828" s="2" t="s">
        <v>32578</v>
      </c>
      <c r="M3828" s="2" t="s">
        <v>32597</v>
      </c>
      <c r="N3828" s="3" t="s">
        <v>1343</v>
      </c>
      <c r="P3828" s="3" t="s">
        <v>90</v>
      </c>
      <c r="R3828" s="3" t="s">
        <v>67</v>
      </c>
      <c r="S3828" s="4">
        <v>8</v>
      </c>
      <c r="T3828" s="4">
        <v>8</v>
      </c>
      <c r="U3828" s="5" t="s">
        <v>3069</v>
      </c>
      <c r="V3828" s="5" t="s">
        <v>3069</v>
      </c>
      <c r="W3828" s="5" t="s">
        <v>69</v>
      </c>
      <c r="X3828" s="5" t="s">
        <v>69</v>
      </c>
      <c r="Y3828" s="4">
        <v>74</v>
      </c>
      <c r="Z3828" s="4">
        <v>3</v>
      </c>
      <c r="AA3828" s="4">
        <v>10</v>
      </c>
      <c r="AB3828" s="4">
        <v>1</v>
      </c>
      <c r="AC3828" s="4">
        <v>1</v>
      </c>
      <c r="AD3828" s="4">
        <v>49</v>
      </c>
      <c r="AE3828" s="4">
        <v>54</v>
      </c>
      <c r="AF3828" s="4">
        <v>0</v>
      </c>
      <c r="AG3828" s="4">
        <v>0</v>
      </c>
      <c r="AH3828" s="4">
        <v>47</v>
      </c>
      <c r="AI3828" s="4">
        <v>51</v>
      </c>
      <c r="AJ3828" s="4">
        <v>2</v>
      </c>
      <c r="AK3828" s="4">
        <v>6</v>
      </c>
      <c r="AL3828" s="4">
        <v>38</v>
      </c>
      <c r="AM3828" s="4">
        <v>40</v>
      </c>
      <c r="AN3828" s="4">
        <v>0</v>
      </c>
      <c r="AO3828" s="4">
        <v>0</v>
      </c>
      <c r="AP3828" s="4">
        <v>2</v>
      </c>
      <c r="AQ3828" s="4">
        <v>6</v>
      </c>
      <c r="AR3828" s="3" t="s">
        <v>63</v>
      </c>
      <c r="AS3828" s="3" t="s">
        <v>63</v>
      </c>
      <c r="AT3828" s="3" t="s">
        <v>63</v>
      </c>
      <c r="AV3828" s="6" t="str">
        <f>HYPERLINK("http://mcgill.on.worldcat.org/oclc/44680881","Catalog Record")</f>
        <v>Catalog Record</v>
      </c>
      <c r="AW3828" s="6" t="str">
        <f>HYPERLINK("http://www.worldcat.org/oclc/44680881","WorldCat Record")</f>
        <v>WorldCat Record</v>
      </c>
      <c r="AX3828" s="3" t="s">
        <v>32598</v>
      </c>
      <c r="AY3828" s="3" t="s">
        <v>32599</v>
      </c>
      <c r="AZ3828" s="3" t="s">
        <v>32600</v>
      </c>
      <c r="BA3828" s="3" t="s">
        <v>32600</v>
      </c>
      <c r="BB3828" s="3" t="s">
        <v>32601</v>
      </c>
      <c r="BC3828" s="3" t="s">
        <v>82</v>
      </c>
      <c r="BD3828" s="3" t="s">
        <v>70</v>
      </c>
      <c r="BE3828" s="3" t="s">
        <v>32602</v>
      </c>
      <c r="BF3828" s="3" t="s">
        <v>32601</v>
      </c>
      <c r="BG3828" s="3" t="s">
        <v>32603</v>
      </c>
    </row>
    <row r="3829" spans="1:59" ht="60" x14ac:dyDescent="0.25">
      <c r="A3829" s="2" t="s">
        <v>59</v>
      </c>
      <c r="B3829" s="2" t="s">
        <v>60</v>
      </c>
      <c r="C3829" s="2" t="s">
        <v>32604</v>
      </c>
      <c r="D3829" s="2" t="s">
        <v>32605</v>
      </c>
      <c r="E3829" s="2" t="s">
        <v>32606</v>
      </c>
      <c r="G3829" s="3" t="s">
        <v>63</v>
      </c>
      <c r="I3829" s="3" t="s">
        <v>63</v>
      </c>
      <c r="J3829" s="3" t="s">
        <v>63</v>
      </c>
      <c r="K3829" s="3" t="s">
        <v>64</v>
      </c>
      <c r="L3829" s="2" t="s">
        <v>32578</v>
      </c>
      <c r="M3829" s="2" t="s">
        <v>10896</v>
      </c>
      <c r="N3829" s="3" t="s">
        <v>2459</v>
      </c>
      <c r="P3829" s="3" t="s">
        <v>90</v>
      </c>
      <c r="R3829" s="3" t="s">
        <v>67</v>
      </c>
      <c r="S3829" s="4">
        <v>6</v>
      </c>
      <c r="T3829" s="4">
        <v>6</v>
      </c>
      <c r="U3829" s="5" t="s">
        <v>15578</v>
      </c>
      <c r="V3829" s="5" t="s">
        <v>15578</v>
      </c>
      <c r="W3829" s="5" t="s">
        <v>69</v>
      </c>
      <c r="X3829" s="5" t="s">
        <v>69</v>
      </c>
      <c r="Y3829" s="4">
        <v>11</v>
      </c>
      <c r="Z3829" s="4">
        <v>4</v>
      </c>
      <c r="AA3829" s="4">
        <v>11</v>
      </c>
      <c r="AB3829" s="4">
        <v>1</v>
      </c>
      <c r="AC3829" s="4">
        <v>1</v>
      </c>
      <c r="AD3829" s="4">
        <v>4</v>
      </c>
      <c r="AE3829" s="4">
        <v>27</v>
      </c>
      <c r="AF3829" s="4">
        <v>0</v>
      </c>
      <c r="AG3829" s="4">
        <v>0</v>
      </c>
      <c r="AH3829" s="4">
        <v>4</v>
      </c>
      <c r="AI3829" s="4">
        <v>26</v>
      </c>
      <c r="AJ3829" s="4">
        <v>1</v>
      </c>
      <c r="AK3829" s="4">
        <v>4</v>
      </c>
      <c r="AL3829" s="4">
        <v>2</v>
      </c>
      <c r="AM3829" s="4">
        <v>19</v>
      </c>
      <c r="AN3829" s="4">
        <v>0</v>
      </c>
      <c r="AO3829" s="4">
        <v>0</v>
      </c>
      <c r="AP3829" s="4">
        <v>1</v>
      </c>
      <c r="AQ3829" s="4">
        <v>4</v>
      </c>
      <c r="AR3829" s="3" t="s">
        <v>63</v>
      </c>
      <c r="AS3829" s="3" t="s">
        <v>63</v>
      </c>
      <c r="AT3829" s="3" t="s">
        <v>63</v>
      </c>
      <c r="AV3829" s="6" t="str">
        <f>HYPERLINK("http://mcgill.on.worldcat.org/oclc/234093784","Catalog Record")</f>
        <v>Catalog Record</v>
      </c>
      <c r="AW3829" s="6" t="str">
        <f>HYPERLINK("http://www.worldcat.org/oclc/234093784","WorldCat Record")</f>
        <v>WorldCat Record</v>
      </c>
      <c r="AX3829" s="3" t="s">
        <v>32607</v>
      </c>
      <c r="AY3829" s="3" t="s">
        <v>32608</v>
      </c>
      <c r="AZ3829" s="3" t="s">
        <v>32609</v>
      </c>
      <c r="BA3829" s="3" t="s">
        <v>32609</v>
      </c>
      <c r="BB3829" s="3" t="s">
        <v>32610</v>
      </c>
      <c r="BC3829" s="3" t="s">
        <v>82</v>
      </c>
      <c r="BD3829" s="3" t="s">
        <v>70</v>
      </c>
      <c r="BE3829" s="3" t="s">
        <v>32611</v>
      </c>
      <c r="BF3829" s="3" t="s">
        <v>32610</v>
      </c>
      <c r="BG3829" s="3" t="s">
        <v>32612</v>
      </c>
    </row>
    <row r="3830" spans="1:59" ht="60" x14ac:dyDescent="0.25">
      <c r="A3830" s="2" t="s">
        <v>59</v>
      </c>
      <c r="B3830" s="2" t="s">
        <v>60</v>
      </c>
      <c r="C3830" s="2" t="s">
        <v>32624</v>
      </c>
      <c r="D3830" s="2" t="s">
        <v>32625</v>
      </c>
      <c r="E3830" s="2" t="s">
        <v>32626</v>
      </c>
      <c r="G3830" s="3" t="s">
        <v>63</v>
      </c>
      <c r="I3830" s="3" t="s">
        <v>63</v>
      </c>
      <c r="J3830" s="3" t="s">
        <v>63</v>
      </c>
      <c r="K3830" s="3" t="s">
        <v>64</v>
      </c>
      <c r="L3830" s="2" t="s">
        <v>32627</v>
      </c>
      <c r="M3830" s="2" t="s">
        <v>29170</v>
      </c>
      <c r="N3830" s="3" t="s">
        <v>76</v>
      </c>
      <c r="P3830" s="3" t="s">
        <v>90</v>
      </c>
      <c r="Q3830" s="2" t="s">
        <v>9652</v>
      </c>
      <c r="R3830" s="3" t="s">
        <v>67</v>
      </c>
      <c r="S3830" s="4">
        <v>3</v>
      </c>
      <c r="T3830" s="4">
        <v>3</v>
      </c>
      <c r="U3830" s="5" t="s">
        <v>32628</v>
      </c>
      <c r="V3830" s="5" t="s">
        <v>32628</v>
      </c>
      <c r="W3830" s="5" t="s">
        <v>69</v>
      </c>
      <c r="X3830" s="5" t="s">
        <v>69</v>
      </c>
      <c r="Y3830" s="4">
        <v>41</v>
      </c>
      <c r="Z3830" s="4">
        <v>2</v>
      </c>
      <c r="AA3830" s="4">
        <v>2</v>
      </c>
      <c r="AB3830" s="4">
        <v>1</v>
      </c>
      <c r="AC3830" s="4">
        <v>1</v>
      </c>
      <c r="AD3830" s="4">
        <v>21</v>
      </c>
      <c r="AE3830" s="4">
        <v>21</v>
      </c>
      <c r="AF3830" s="4">
        <v>0</v>
      </c>
      <c r="AG3830" s="4">
        <v>0</v>
      </c>
      <c r="AH3830" s="4">
        <v>20</v>
      </c>
      <c r="AI3830" s="4">
        <v>20</v>
      </c>
      <c r="AJ3830" s="4">
        <v>0</v>
      </c>
      <c r="AK3830" s="4">
        <v>0</v>
      </c>
      <c r="AL3830" s="4">
        <v>19</v>
      </c>
      <c r="AM3830" s="4">
        <v>19</v>
      </c>
      <c r="AN3830" s="4">
        <v>0</v>
      </c>
      <c r="AO3830" s="4">
        <v>0</v>
      </c>
      <c r="AP3830" s="4">
        <v>0</v>
      </c>
      <c r="AQ3830" s="4">
        <v>0</v>
      </c>
      <c r="AR3830" s="3" t="s">
        <v>63</v>
      </c>
      <c r="AS3830" s="3" t="s">
        <v>63</v>
      </c>
      <c r="AT3830" s="3" t="s">
        <v>63</v>
      </c>
      <c r="AV3830" s="6" t="str">
        <f>HYPERLINK("http://mcgill.on.worldcat.org/oclc/819591219","Catalog Record")</f>
        <v>Catalog Record</v>
      </c>
      <c r="AW3830" s="6" t="str">
        <f>HYPERLINK("http://www.worldcat.org/oclc/819591219","WorldCat Record")</f>
        <v>WorldCat Record</v>
      </c>
      <c r="AX3830" s="3" t="s">
        <v>32629</v>
      </c>
      <c r="AY3830" s="3" t="s">
        <v>32630</v>
      </c>
      <c r="AZ3830" s="3" t="s">
        <v>32631</v>
      </c>
      <c r="BA3830" s="3" t="s">
        <v>32631</v>
      </c>
      <c r="BB3830" s="3" t="s">
        <v>32632</v>
      </c>
      <c r="BC3830" s="3" t="s">
        <v>82</v>
      </c>
      <c r="BD3830" s="3" t="s">
        <v>70</v>
      </c>
      <c r="BE3830" s="3" t="s">
        <v>32633</v>
      </c>
      <c r="BF3830" s="3" t="s">
        <v>32632</v>
      </c>
      <c r="BG3830" s="3" t="s">
        <v>32634</v>
      </c>
    </row>
    <row r="3831" spans="1:59" ht="60" x14ac:dyDescent="0.25">
      <c r="A3831" s="2" t="s">
        <v>59</v>
      </c>
      <c r="B3831" s="2" t="s">
        <v>60</v>
      </c>
      <c r="C3831" s="2" t="s">
        <v>32635</v>
      </c>
      <c r="D3831" s="2" t="s">
        <v>32636</v>
      </c>
      <c r="E3831" s="2" t="s">
        <v>32637</v>
      </c>
      <c r="G3831" s="3" t="s">
        <v>63</v>
      </c>
      <c r="I3831" s="3" t="s">
        <v>63</v>
      </c>
      <c r="J3831" s="3" t="s">
        <v>63</v>
      </c>
      <c r="K3831" s="3" t="s">
        <v>64</v>
      </c>
      <c r="L3831" s="2" t="s">
        <v>32638</v>
      </c>
      <c r="M3831" s="2" t="s">
        <v>32639</v>
      </c>
      <c r="N3831" s="3" t="s">
        <v>313</v>
      </c>
      <c r="P3831" s="3" t="s">
        <v>90</v>
      </c>
      <c r="Q3831" s="2" t="s">
        <v>32640</v>
      </c>
      <c r="R3831" s="3" t="s">
        <v>67</v>
      </c>
      <c r="S3831" s="4">
        <v>2</v>
      </c>
      <c r="T3831" s="4">
        <v>2</v>
      </c>
      <c r="U3831" s="5" t="s">
        <v>9503</v>
      </c>
      <c r="V3831" s="5" t="s">
        <v>9503</v>
      </c>
      <c r="W3831" s="5" t="s">
        <v>69</v>
      </c>
      <c r="X3831" s="5" t="s">
        <v>69</v>
      </c>
      <c r="Y3831" s="4">
        <v>16</v>
      </c>
      <c r="Z3831" s="4">
        <v>1</v>
      </c>
      <c r="AA3831" s="4">
        <v>1</v>
      </c>
      <c r="AB3831" s="4">
        <v>1</v>
      </c>
      <c r="AC3831" s="4">
        <v>1</v>
      </c>
      <c r="AD3831" s="4">
        <v>11</v>
      </c>
      <c r="AE3831" s="4">
        <v>11</v>
      </c>
      <c r="AF3831" s="4">
        <v>0</v>
      </c>
      <c r="AG3831" s="4">
        <v>0</v>
      </c>
      <c r="AH3831" s="4">
        <v>11</v>
      </c>
      <c r="AI3831" s="4">
        <v>11</v>
      </c>
      <c r="AJ3831" s="4">
        <v>0</v>
      </c>
      <c r="AK3831" s="4">
        <v>0</v>
      </c>
      <c r="AL3831" s="4">
        <v>8</v>
      </c>
      <c r="AM3831" s="4">
        <v>8</v>
      </c>
      <c r="AN3831" s="4">
        <v>0</v>
      </c>
      <c r="AO3831" s="4">
        <v>0</v>
      </c>
      <c r="AP3831" s="4">
        <v>0</v>
      </c>
      <c r="AQ3831" s="4">
        <v>0</v>
      </c>
      <c r="AR3831" s="3" t="s">
        <v>63</v>
      </c>
      <c r="AS3831" s="3" t="s">
        <v>63</v>
      </c>
      <c r="AT3831" s="3" t="s">
        <v>63</v>
      </c>
      <c r="AV3831" s="6" t="str">
        <f>HYPERLINK("http://mcgill.on.worldcat.org/oclc/608212054","Catalog Record")</f>
        <v>Catalog Record</v>
      </c>
      <c r="AW3831" s="6" t="str">
        <f>HYPERLINK("http://www.worldcat.org/oclc/608212054","WorldCat Record")</f>
        <v>WorldCat Record</v>
      </c>
      <c r="AX3831" s="3" t="s">
        <v>32641</v>
      </c>
      <c r="AY3831" s="3" t="s">
        <v>32642</v>
      </c>
      <c r="AZ3831" s="3" t="s">
        <v>32643</v>
      </c>
      <c r="BA3831" s="3" t="s">
        <v>32643</v>
      </c>
      <c r="BB3831" s="3" t="s">
        <v>32644</v>
      </c>
      <c r="BC3831" s="3" t="s">
        <v>82</v>
      </c>
      <c r="BD3831" s="3" t="s">
        <v>70</v>
      </c>
      <c r="BE3831" s="3" t="s">
        <v>32645</v>
      </c>
      <c r="BF3831" s="3" t="s">
        <v>32644</v>
      </c>
      <c r="BG3831" s="3" t="s">
        <v>32646</v>
      </c>
    </row>
    <row r="3832" spans="1:59" ht="60" x14ac:dyDescent="0.25">
      <c r="A3832" s="2" t="s">
        <v>59</v>
      </c>
      <c r="B3832" s="2" t="s">
        <v>60</v>
      </c>
      <c r="C3832" s="2" t="s">
        <v>32647</v>
      </c>
      <c r="D3832" s="2" t="s">
        <v>32648</v>
      </c>
      <c r="E3832" s="2" t="s">
        <v>32649</v>
      </c>
      <c r="G3832" s="3" t="s">
        <v>63</v>
      </c>
      <c r="I3832" s="3" t="s">
        <v>63</v>
      </c>
      <c r="J3832" s="3" t="s">
        <v>63</v>
      </c>
      <c r="K3832" s="3" t="s">
        <v>64</v>
      </c>
      <c r="L3832" s="2" t="s">
        <v>32650</v>
      </c>
      <c r="M3832" s="2" t="s">
        <v>7442</v>
      </c>
      <c r="N3832" s="3" t="s">
        <v>629</v>
      </c>
      <c r="P3832" s="3" t="s">
        <v>90</v>
      </c>
      <c r="Q3832" s="2" t="s">
        <v>29586</v>
      </c>
      <c r="R3832" s="3" t="s">
        <v>67</v>
      </c>
      <c r="S3832" s="4">
        <v>0</v>
      </c>
      <c r="T3832" s="4">
        <v>0</v>
      </c>
      <c r="W3832" s="5" t="s">
        <v>69</v>
      </c>
      <c r="X3832" s="5" t="s">
        <v>69</v>
      </c>
      <c r="Y3832" s="4">
        <v>36</v>
      </c>
      <c r="Z3832" s="4">
        <v>3</v>
      </c>
      <c r="AA3832" s="4">
        <v>3</v>
      </c>
      <c r="AB3832" s="4">
        <v>1</v>
      </c>
      <c r="AC3832" s="4">
        <v>1</v>
      </c>
      <c r="AD3832" s="4">
        <v>27</v>
      </c>
      <c r="AE3832" s="4">
        <v>27</v>
      </c>
      <c r="AF3832" s="4">
        <v>0</v>
      </c>
      <c r="AG3832" s="4">
        <v>0</v>
      </c>
      <c r="AH3832" s="4">
        <v>26</v>
      </c>
      <c r="AI3832" s="4">
        <v>26</v>
      </c>
      <c r="AJ3832" s="4">
        <v>2</v>
      </c>
      <c r="AK3832" s="4">
        <v>2</v>
      </c>
      <c r="AL3832" s="4">
        <v>20</v>
      </c>
      <c r="AM3832" s="4">
        <v>20</v>
      </c>
      <c r="AN3832" s="4">
        <v>0</v>
      </c>
      <c r="AO3832" s="4">
        <v>0</v>
      </c>
      <c r="AP3832" s="4">
        <v>2</v>
      </c>
      <c r="AQ3832" s="4">
        <v>2</v>
      </c>
      <c r="AR3832" s="3" t="s">
        <v>63</v>
      </c>
      <c r="AS3832" s="3" t="s">
        <v>63</v>
      </c>
      <c r="AT3832" s="3" t="s">
        <v>63</v>
      </c>
      <c r="AV3832" s="6" t="str">
        <f>HYPERLINK("http://mcgill.on.worldcat.org/oclc/739837831","Catalog Record")</f>
        <v>Catalog Record</v>
      </c>
      <c r="AW3832" s="6" t="str">
        <f>HYPERLINK("http://www.worldcat.org/oclc/739837831","WorldCat Record")</f>
        <v>WorldCat Record</v>
      </c>
      <c r="AX3832" s="3" t="s">
        <v>32651</v>
      </c>
      <c r="AY3832" s="3" t="s">
        <v>32652</v>
      </c>
      <c r="AZ3832" s="3" t="s">
        <v>32653</v>
      </c>
      <c r="BA3832" s="3" t="s">
        <v>32653</v>
      </c>
      <c r="BB3832" s="3" t="s">
        <v>32654</v>
      </c>
      <c r="BC3832" s="3" t="s">
        <v>82</v>
      </c>
      <c r="BD3832" s="3" t="s">
        <v>70</v>
      </c>
      <c r="BE3832" s="3" t="s">
        <v>32655</v>
      </c>
      <c r="BF3832" s="3" t="s">
        <v>32654</v>
      </c>
      <c r="BG3832" s="3" t="s">
        <v>32656</v>
      </c>
    </row>
    <row r="3833" spans="1:59" ht="60" x14ac:dyDescent="0.25">
      <c r="A3833" s="2" t="s">
        <v>59</v>
      </c>
      <c r="B3833" s="2" t="s">
        <v>60</v>
      </c>
      <c r="C3833" s="2" t="s">
        <v>32657</v>
      </c>
      <c r="D3833" s="2" t="s">
        <v>32658</v>
      </c>
      <c r="E3833" s="2" t="s">
        <v>32659</v>
      </c>
      <c r="G3833" s="3" t="s">
        <v>63</v>
      </c>
      <c r="I3833" s="3" t="s">
        <v>63</v>
      </c>
      <c r="J3833" s="3" t="s">
        <v>63</v>
      </c>
      <c r="K3833" s="3" t="s">
        <v>64</v>
      </c>
      <c r="L3833" s="2" t="s">
        <v>32660</v>
      </c>
      <c r="M3833" s="2" t="s">
        <v>30268</v>
      </c>
      <c r="N3833" s="3" t="s">
        <v>106</v>
      </c>
      <c r="P3833" s="3" t="s">
        <v>90</v>
      </c>
      <c r="Q3833" s="2" t="s">
        <v>32661</v>
      </c>
      <c r="R3833" s="3" t="s">
        <v>67</v>
      </c>
      <c r="S3833" s="4">
        <v>2</v>
      </c>
      <c r="T3833" s="4">
        <v>2</v>
      </c>
      <c r="U3833" s="5" t="s">
        <v>12050</v>
      </c>
      <c r="V3833" s="5" t="s">
        <v>12050</v>
      </c>
      <c r="W3833" s="5" t="s">
        <v>69</v>
      </c>
      <c r="X3833" s="5" t="s">
        <v>69</v>
      </c>
      <c r="Y3833" s="4">
        <v>3</v>
      </c>
      <c r="Z3833" s="4">
        <v>1</v>
      </c>
      <c r="AA3833" s="4">
        <v>1</v>
      </c>
      <c r="AB3833" s="4">
        <v>1</v>
      </c>
      <c r="AC3833" s="4">
        <v>1</v>
      </c>
      <c r="AD3833" s="4">
        <v>2</v>
      </c>
      <c r="AE3833" s="4">
        <v>7</v>
      </c>
      <c r="AF3833" s="4">
        <v>0</v>
      </c>
      <c r="AG3833" s="4">
        <v>0</v>
      </c>
      <c r="AH3833" s="4">
        <v>2</v>
      </c>
      <c r="AI3833" s="4">
        <v>7</v>
      </c>
      <c r="AJ3833" s="4">
        <v>0</v>
      </c>
      <c r="AK3833" s="4">
        <v>0</v>
      </c>
      <c r="AL3833" s="4">
        <v>2</v>
      </c>
      <c r="AM3833" s="4">
        <v>5</v>
      </c>
      <c r="AN3833" s="4">
        <v>0</v>
      </c>
      <c r="AO3833" s="4">
        <v>0</v>
      </c>
      <c r="AP3833" s="4">
        <v>0</v>
      </c>
      <c r="AQ3833" s="4">
        <v>0</v>
      </c>
      <c r="AR3833" s="3" t="s">
        <v>63</v>
      </c>
      <c r="AS3833" s="3" t="s">
        <v>63</v>
      </c>
      <c r="AT3833" s="3" t="s">
        <v>63</v>
      </c>
      <c r="AV3833" s="6" t="str">
        <f>HYPERLINK("http://mcgill.on.worldcat.org/oclc/962415699","Catalog Record")</f>
        <v>Catalog Record</v>
      </c>
      <c r="AW3833" s="6" t="str">
        <f>HYPERLINK("http://www.worldcat.org/oclc/962415699","WorldCat Record")</f>
        <v>WorldCat Record</v>
      </c>
      <c r="AX3833" s="3" t="s">
        <v>32662</v>
      </c>
      <c r="AY3833" s="3" t="s">
        <v>32663</v>
      </c>
      <c r="AZ3833" s="3" t="s">
        <v>32664</v>
      </c>
      <c r="BA3833" s="3" t="s">
        <v>32664</v>
      </c>
      <c r="BB3833" s="3" t="s">
        <v>32665</v>
      </c>
      <c r="BC3833" s="3" t="s">
        <v>82</v>
      </c>
      <c r="BD3833" s="3" t="s">
        <v>70</v>
      </c>
      <c r="BE3833" s="3" t="s">
        <v>32666</v>
      </c>
      <c r="BF3833" s="3" t="s">
        <v>32665</v>
      </c>
      <c r="BG3833" s="3" t="s">
        <v>32667</v>
      </c>
    </row>
    <row r="3834" spans="1:59" ht="60" x14ac:dyDescent="0.25">
      <c r="A3834" s="2" t="s">
        <v>59</v>
      </c>
      <c r="B3834" s="2" t="s">
        <v>60</v>
      </c>
      <c r="C3834" s="2" t="s">
        <v>32668</v>
      </c>
      <c r="D3834" s="2" t="s">
        <v>32669</v>
      </c>
      <c r="E3834" s="2" t="s">
        <v>32670</v>
      </c>
      <c r="G3834" s="3" t="s">
        <v>63</v>
      </c>
      <c r="I3834" s="3" t="s">
        <v>63</v>
      </c>
      <c r="J3834" s="3" t="s">
        <v>63</v>
      </c>
      <c r="K3834" s="3" t="s">
        <v>64</v>
      </c>
      <c r="L3834" s="2" t="s">
        <v>32671</v>
      </c>
      <c r="M3834" s="2" t="s">
        <v>32672</v>
      </c>
      <c r="N3834" s="3" t="s">
        <v>1226</v>
      </c>
      <c r="P3834" s="3" t="s">
        <v>90</v>
      </c>
      <c r="R3834" s="3" t="s">
        <v>67</v>
      </c>
      <c r="S3834" s="4">
        <v>1</v>
      </c>
      <c r="T3834" s="4">
        <v>1</v>
      </c>
      <c r="U3834" s="5" t="s">
        <v>32404</v>
      </c>
      <c r="V3834" s="5" t="s">
        <v>32404</v>
      </c>
      <c r="W3834" s="5" t="s">
        <v>69</v>
      </c>
      <c r="X3834" s="5" t="s">
        <v>69</v>
      </c>
      <c r="Y3834" s="4">
        <v>41</v>
      </c>
      <c r="Z3834" s="4">
        <v>4</v>
      </c>
      <c r="AA3834" s="4">
        <v>4</v>
      </c>
      <c r="AB3834" s="4">
        <v>1</v>
      </c>
      <c r="AC3834" s="4">
        <v>1</v>
      </c>
      <c r="AD3834" s="4">
        <v>33</v>
      </c>
      <c r="AE3834" s="4">
        <v>34</v>
      </c>
      <c r="AF3834" s="4">
        <v>0</v>
      </c>
      <c r="AG3834" s="4">
        <v>0</v>
      </c>
      <c r="AH3834" s="4">
        <v>32</v>
      </c>
      <c r="AI3834" s="4">
        <v>33</v>
      </c>
      <c r="AJ3834" s="4">
        <v>2</v>
      </c>
      <c r="AK3834" s="4">
        <v>2</v>
      </c>
      <c r="AL3834" s="4">
        <v>29</v>
      </c>
      <c r="AM3834" s="4">
        <v>29</v>
      </c>
      <c r="AN3834" s="4">
        <v>0</v>
      </c>
      <c r="AO3834" s="4">
        <v>0</v>
      </c>
      <c r="AP3834" s="4">
        <v>2</v>
      </c>
      <c r="AQ3834" s="4">
        <v>2</v>
      </c>
      <c r="AR3834" s="3" t="s">
        <v>63</v>
      </c>
      <c r="AS3834" s="3" t="s">
        <v>63</v>
      </c>
      <c r="AT3834" s="3" t="s">
        <v>62</v>
      </c>
      <c r="AU3834" s="6" t="str">
        <f>HYPERLINK("http://catalog.hathitrust.org/Record/005032889","HathiTrust Record")</f>
        <v>HathiTrust Record</v>
      </c>
      <c r="AV3834" s="6" t="str">
        <f>HYPERLINK("http://mcgill.on.worldcat.org/oclc/54102180","Catalog Record")</f>
        <v>Catalog Record</v>
      </c>
      <c r="AW3834" s="6" t="str">
        <f>HYPERLINK("http://www.worldcat.org/oclc/54102180","WorldCat Record")</f>
        <v>WorldCat Record</v>
      </c>
      <c r="AX3834" s="3" t="s">
        <v>32673</v>
      </c>
      <c r="AY3834" s="3" t="s">
        <v>32674</v>
      </c>
      <c r="AZ3834" s="3" t="s">
        <v>32675</v>
      </c>
      <c r="BA3834" s="3" t="s">
        <v>32675</v>
      </c>
      <c r="BB3834" s="3" t="s">
        <v>32676</v>
      </c>
      <c r="BC3834" s="3" t="s">
        <v>82</v>
      </c>
      <c r="BD3834" s="3" t="s">
        <v>70</v>
      </c>
      <c r="BE3834" s="3" t="s">
        <v>32677</v>
      </c>
      <c r="BF3834" s="3" t="s">
        <v>32676</v>
      </c>
      <c r="BG3834" s="3" t="s">
        <v>32678</v>
      </c>
    </row>
    <row r="3835" spans="1:59" ht="60" x14ac:dyDescent="0.25">
      <c r="A3835" s="2" t="s">
        <v>59</v>
      </c>
      <c r="B3835" s="2" t="s">
        <v>60</v>
      </c>
      <c r="C3835" s="2" t="s">
        <v>32613</v>
      </c>
      <c r="D3835" s="2" t="s">
        <v>32614</v>
      </c>
      <c r="E3835" s="2" t="s">
        <v>32615</v>
      </c>
      <c r="G3835" s="3" t="s">
        <v>63</v>
      </c>
      <c r="I3835" s="3" t="s">
        <v>63</v>
      </c>
      <c r="J3835" s="3" t="s">
        <v>63</v>
      </c>
      <c r="K3835" s="3" t="s">
        <v>64</v>
      </c>
      <c r="L3835" s="2" t="s">
        <v>32616</v>
      </c>
      <c r="M3835" s="2" t="s">
        <v>32617</v>
      </c>
      <c r="N3835" s="3" t="s">
        <v>76</v>
      </c>
      <c r="P3835" s="3" t="s">
        <v>90</v>
      </c>
      <c r="R3835" s="3" t="s">
        <v>67</v>
      </c>
      <c r="S3835" s="4">
        <v>0</v>
      </c>
      <c r="T3835" s="4">
        <v>0</v>
      </c>
      <c r="W3835" s="5" t="s">
        <v>69</v>
      </c>
      <c r="X3835" s="5" t="s">
        <v>69</v>
      </c>
      <c r="Y3835" s="4">
        <v>27</v>
      </c>
      <c r="Z3835" s="4">
        <v>4</v>
      </c>
      <c r="AA3835" s="4">
        <v>4</v>
      </c>
      <c r="AB3835" s="4">
        <v>1</v>
      </c>
      <c r="AC3835" s="4">
        <v>1</v>
      </c>
      <c r="AD3835" s="4">
        <v>20</v>
      </c>
      <c r="AE3835" s="4">
        <v>20</v>
      </c>
      <c r="AF3835" s="4">
        <v>0</v>
      </c>
      <c r="AG3835" s="4">
        <v>0</v>
      </c>
      <c r="AH3835" s="4">
        <v>19</v>
      </c>
      <c r="AI3835" s="4">
        <v>19</v>
      </c>
      <c r="AJ3835" s="4">
        <v>2</v>
      </c>
      <c r="AK3835" s="4">
        <v>2</v>
      </c>
      <c r="AL3835" s="4">
        <v>16</v>
      </c>
      <c r="AM3835" s="4">
        <v>16</v>
      </c>
      <c r="AN3835" s="4">
        <v>0</v>
      </c>
      <c r="AO3835" s="4">
        <v>0</v>
      </c>
      <c r="AP3835" s="4">
        <v>2</v>
      </c>
      <c r="AQ3835" s="4">
        <v>2</v>
      </c>
      <c r="AR3835" s="3" t="s">
        <v>63</v>
      </c>
      <c r="AS3835" s="3" t="s">
        <v>63</v>
      </c>
      <c r="AT3835" s="3" t="s">
        <v>63</v>
      </c>
      <c r="AV3835" s="6" t="str">
        <f>HYPERLINK("http://mcgill.on.worldcat.org/oclc/821931512","Catalog Record")</f>
        <v>Catalog Record</v>
      </c>
      <c r="AW3835" s="6" t="str">
        <f>HYPERLINK("http://www.worldcat.org/oclc/821931512","WorldCat Record")</f>
        <v>WorldCat Record</v>
      </c>
      <c r="AX3835" s="3" t="s">
        <v>32618</v>
      </c>
      <c r="AY3835" s="3" t="s">
        <v>32619</v>
      </c>
      <c r="AZ3835" s="3" t="s">
        <v>32620</v>
      </c>
      <c r="BA3835" s="3" t="s">
        <v>32620</v>
      </c>
      <c r="BB3835" s="3" t="s">
        <v>32621</v>
      </c>
      <c r="BC3835" s="3" t="s">
        <v>82</v>
      </c>
      <c r="BD3835" s="3" t="s">
        <v>70</v>
      </c>
      <c r="BE3835" s="3" t="s">
        <v>32622</v>
      </c>
      <c r="BF3835" s="3" t="s">
        <v>32621</v>
      </c>
      <c r="BG3835" s="3" t="s">
        <v>32623</v>
      </c>
    </row>
    <row r="3836" spans="1:59" ht="75" x14ac:dyDescent="0.25">
      <c r="A3836" s="2" t="s">
        <v>59</v>
      </c>
      <c r="B3836" s="2" t="s">
        <v>60</v>
      </c>
      <c r="C3836" s="2" t="s">
        <v>32679</v>
      </c>
      <c r="D3836" s="2" t="s">
        <v>32680</v>
      </c>
      <c r="E3836" s="2" t="s">
        <v>32681</v>
      </c>
      <c r="G3836" s="3" t="s">
        <v>63</v>
      </c>
      <c r="I3836" s="3" t="s">
        <v>63</v>
      </c>
      <c r="J3836" s="3" t="s">
        <v>63</v>
      </c>
      <c r="K3836" s="3" t="s">
        <v>64</v>
      </c>
      <c r="L3836" s="2" t="s">
        <v>32682</v>
      </c>
      <c r="M3836" s="2" t="s">
        <v>32683</v>
      </c>
      <c r="N3836" s="3" t="s">
        <v>143</v>
      </c>
      <c r="P3836" s="3" t="s">
        <v>66</v>
      </c>
      <c r="R3836" s="3" t="s">
        <v>67</v>
      </c>
      <c r="S3836" s="4">
        <v>0</v>
      </c>
      <c r="T3836" s="4">
        <v>0</v>
      </c>
      <c r="W3836" s="5" t="s">
        <v>69</v>
      </c>
      <c r="X3836" s="5" t="s">
        <v>69</v>
      </c>
      <c r="Y3836" s="4">
        <v>67</v>
      </c>
      <c r="Z3836" s="4">
        <v>5</v>
      </c>
      <c r="AA3836" s="4">
        <v>85</v>
      </c>
      <c r="AB3836" s="4">
        <v>1</v>
      </c>
      <c r="AC3836" s="4">
        <v>17</v>
      </c>
      <c r="AD3836" s="4">
        <v>32</v>
      </c>
      <c r="AE3836" s="4">
        <v>128</v>
      </c>
      <c r="AF3836" s="4">
        <v>0</v>
      </c>
      <c r="AG3836" s="4">
        <v>8</v>
      </c>
      <c r="AH3836" s="4">
        <v>30</v>
      </c>
      <c r="AI3836" s="4">
        <v>89</v>
      </c>
      <c r="AJ3836" s="4">
        <v>3</v>
      </c>
      <c r="AK3836" s="4">
        <v>22</v>
      </c>
      <c r="AL3836" s="4">
        <v>24</v>
      </c>
      <c r="AM3836" s="4">
        <v>52</v>
      </c>
      <c r="AN3836" s="4">
        <v>0</v>
      </c>
      <c r="AO3836" s="4">
        <v>0</v>
      </c>
      <c r="AP3836" s="4">
        <v>3</v>
      </c>
      <c r="AQ3836" s="4">
        <v>44</v>
      </c>
      <c r="AR3836" s="3" t="s">
        <v>63</v>
      </c>
      <c r="AS3836" s="3" t="s">
        <v>63</v>
      </c>
      <c r="AT3836" s="3" t="s">
        <v>63</v>
      </c>
      <c r="AV3836" s="6" t="str">
        <f>HYPERLINK("http://mcgill.on.worldcat.org/oclc/896986235","Catalog Record")</f>
        <v>Catalog Record</v>
      </c>
      <c r="AW3836" s="6" t="str">
        <f>HYPERLINK("http://www.worldcat.org/oclc/896986235","WorldCat Record")</f>
        <v>WorldCat Record</v>
      </c>
      <c r="AX3836" s="3" t="s">
        <v>32684</v>
      </c>
      <c r="AY3836" s="3" t="s">
        <v>32685</v>
      </c>
      <c r="AZ3836" s="3" t="s">
        <v>32686</v>
      </c>
      <c r="BA3836" s="3" t="s">
        <v>32686</v>
      </c>
      <c r="BB3836" s="3" t="s">
        <v>32687</v>
      </c>
      <c r="BC3836" s="3" t="s">
        <v>82</v>
      </c>
      <c r="BD3836" s="3" t="s">
        <v>70</v>
      </c>
      <c r="BE3836" s="3" t="s">
        <v>32688</v>
      </c>
      <c r="BF3836" s="3" t="s">
        <v>32687</v>
      </c>
      <c r="BG3836" s="3" t="s">
        <v>32689</v>
      </c>
    </row>
    <row r="3837" spans="1:59" ht="60" x14ac:dyDescent="0.25">
      <c r="A3837" s="2" t="s">
        <v>59</v>
      </c>
      <c r="B3837" s="2" t="s">
        <v>60</v>
      </c>
      <c r="C3837" s="2" t="s">
        <v>32690</v>
      </c>
      <c r="D3837" s="2" t="s">
        <v>32691</v>
      </c>
      <c r="E3837" s="2" t="s">
        <v>32692</v>
      </c>
      <c r="G3837" s="3" t="s">
        <v>63</v>
      </c>
      <c r="I3837" s="3" t="s">
        <v>63</v>
      </c>
      <c r="J3837" s="3" t="s">
        <v>63</v>
      </c>
      <c r="K3837" s="3" t="s">
        <v>64</v>
      </c>
      <c r="L3837" s="2" t="s">
        <v>32693</v>
      </c>
      <c r="M3837" s="2" t="s">
        <v>24949</v>
      </c>
      <c r="N3837" s="3" t="s">
        <v>1343</v>
      </c>
      <c r="P3837" s="3" t="s">
        <v>90</v>
      </c>
      <c r="Q3837" s="2" t="s">
        <v>32694</v>
      </c>
      <c r="R3837" s="3" t="s">
        <v>67</v>
      </c>
      <c r="S3837" s="4">
        <v>3</v>
      </c>
      <c r="T3837" s="4">
        <v>3</v>
      </c>
      <c r="U3837" s="5" t="s">
        <v>9728</v>
      </c>
      <c r="V3837" s="5" t="s">
        <v>9728</v>
      </c>
      <c r="W3837" s="5" t="s">
        <v>69</v>
      </c>
      <c r="X3837" s="5" t="s">
        <v>69</v>
      </c>
      <c r="Y3837" s="4">
        <v>99</v>
      </c>
      <c r="Z3837" s="4">
        <v>6</v>
      </c>
      <c r="AA3837" s="4">
        <v>6</v>
      </c>
      <c r="AB3837" s="4">
        <v>1</v>
      </c>
      <c r="AC3837" s="4">
        <v>1</v>
      </c>
      <c r="AD3837" s="4">
        <v>53</v>
      </c>
      <c r="AE3837" s="4">
        <v>53</v>
      </c>
      <c r="AF3837" s="4">
        <v>0</v>
      </c>
      <c r="AG3837" s="4">
        <v>0</v>
      </c>
      <c r="AH3837" s="4">
        <v>51</v>
      </c>
      <c r="AI3837" s="4">
        <v>51</v>
      </c>
      <c r="AJ3837" s="4">
        <v>3</v>
      </c>
      <c r="AK3837" s="4">
        <v>3</v>
      </c>
      <c r="AL3837" s="4">
        <v>38</v>
      </c>
      <c r="AM3837" s="4">
        <v>38</v>
      </c>
      <c r="AN3837" s="4">
        <v>0</v>
      </c>
      <c r="AO3837" s="4">
        <v>0</v>
      </c>
      <c r="AP3837" s="4">
        <v>3</v>
      </c>
      <c r="AQ3837" s="4">
        <v>3</v>
      </c>
      <c r="AR3837" s="3" t="s">
        <v>63</v>
      </c>
      <c r="AS3837" s="3" t="s">
        <v>63</v>
      </c>
      <c r="AT3837" s="3" t="s">
        <v>63</v>
      </c>
      <c r="AV3837" s="6" t="str">
        <f>HYPERLINK("http://mcgill.on.worldcat.org/oclc/44901881","Catalog Record")</f>
        <v>Catalog Record</v>
      </c>
      <c r="AW3837" s="6" t="str">
        <f>HYPERLINK("http://www.worldcat.org/oclc/44901881","WorldCat Record")</f>
        <v>WorldCat Record</v>
      </c>
      <c r="AX3837" s="3" t="s">
        <v>32695</v>
      </c>
      <c r="AY3837" s="3" t="s">
        <v>32696</v>
      </c>
      <c r="AZ3837" s="3" t="s">
        <v>32697</v>
      </c>
      <c r="BA3837" s="3" t="s">
        <v>32697</v>
      </c>
      <c r="BB3837" s="3" t="s">
        <v>32698</v>
      </c>
      <c r="BC3837" s="3" t="s">
        <v>82</v>
      </c>
      <c r="BD3837" s="3" t="s">
        <v>70</v>
      </c>
      <c r="BE3837" s="3" t="s">
        <v>32699</v>
      </c>
      <c r="BF3837" s="3" t="s">
        <v>32698</v>
      </c>
      <c r="BG3837" s="3" t="s">
        <v>32700</v>
      </c>
    </row>
    <row r="3838" spans="1:59" ht="60" x14ac:dyDescent="0.25">
      <c r="A3838" s="2" t="s">
        <v>59</v>
      </c>
      <c r="B3838" s="2" t="s">
        <v>60</v>
      </c>
      <c r="C3838" s="2" t="s">
        <v>32701</v>
      </c>
      <c r="D3838" s="2" t="s">
        <v>32702</v>
      </c>
      <c r="E3838" s="2" t="s">
        <v>32703</v>
      </c>
      <c r="G3838" s="3" t="s">
        <v>63</v>
      </c>
      <c r="I3838" s="3" t="s">
        <v>63</v>
      </c>
      <c r="J3838" s="3" t="s">
        <v>63</v>
      </c>
      <c r="K3838" s="3" t="s">
        <v>64</v>
      </c>
      <c r="L3838" s="2" t="s">
        <v>32704</v>
      </c>
      <c r="M3838" s="2" t="s">
        <v>32402</v>
      </c>
      <c r="N3838" s="3" t="s">
        <v>326</v>
      </c>
      <c r="P3838" s="3" t="s">
        <v>90</v>
      </c>
      <c r="R3838" s="3" t="s">
        <v>67</v>
      </c>
      <c r="S3838" s="4">
        <v>4</v>
      </c>
      <c r="T3838" s="4">
        <v>4</v>
      </c>
      <c r="U3838" s="5" t="s">
        <v>32705</v>
      </c>
      <c r="V3838" s="5" t="s">
        <v>32705</v>
      </c>
      <c r="W3838" s="5" t="s">
        <v>69</v>
      </c>
      <c r="X3838" s="5" t="s">
        <v>69</v>
      </c>
      <c r="Y3838" s="4">
        <v>40</v>
      </c>
      <c r="Z3838" s="4">
        <v>4</v>
      </c>
      <c r="AA3838" s="4">
        <v>4</v>
      </c>
      <c r="AB3838" s="4">
        <v>2</v>
      </c>
      <c r="AC3838" s="4">
        <v>2</v>
      </c>
      <c r="AD3838" s="4">
        <v>7</v>
      </c>
      <c r="AE3838" s="4">
        <v>7</v>
      </c>
      <c r="AF3838" s="4">
        <v>0</v>
      </c>
      <c r="AG3838" s="4">
        <v>0</v>
      </c>
      <c r="AH3838" s="4">
        <v>7</v>
      </c>
      <c r="AI3838" s="4">
        <v>7</v>
      </c>
      <c r="AJ3838" s="4">
        <v>1</v>
      </c>
      <c r="AK3838" s="4">
        <v>1</v>
      </c>
      <c r="AL3838" s="4">
        <v>3</v>
      </c>
      <c r="AM3838" s="4">
        <v>3</v>
      </c>
      <c r="AN3838" s="4">
        <v>0</v>
      </c>
      <c r="AO3838" s="4">
        <v>0</v>
      </c>
      <c r="AP3838" s="4">
        <v>1</v>
      </c>
      <c r="AQ3838" s="4">
        <v>1</v>
      </c>
      <c r="AR3838" s="3" t="s">
        <v>63</v>
      </c>
      <c r="AS3838" s="3" t="s">
        <v>63</v>
      </c>
      <c r="AT3838" s="3" t="s">
        <v>63</v>
      </c>
      <c r="AV3838" s="6" t="str">
        <f>HYPERLINK("http://mcgill.on.worldcat.org/oclc/435714530","Catalog Record")</f>
        <v>Catalog Record</v>
      </c>
      <c r="AW3838" s="6" t="str">
        <f>HYPERLINK("http://www.worldcat.org/oclc/435714530","WorldCat Record")</f>
        <v>WorldCat Record</v>
      </c>
      <c r="AX3838" s="3" t="s">
        <v>32706</v>
      </c>
      <c r="AY3838" s="3" t="s">
        <v>32707</v>
      </c>
      <c r="AZ3838" s="3" t="s">
        <v>32708</v>
      </c>
      <c r="BA3838" s="3" t="s">
        <v>32708</v>
      </c>
      <c r="BB3838" s="3" t="s">
        <v>32709</v>
      </c>
      <c r="BC3838" s="3" t="s">
        <v>82</v>
      </c>
      <c r="BD3838" s="3" t="s">
        <v>70</v>
      </c>
      <c r="BE3838" s="3" t="s">
        <v>32710</v>
      </c>
      <c r="BF3838" s="3" t="s">
        <v>32709</v>
      </c>
      <c r="BG3838" s="3" t="s">
        <v>32711</v>
      </c>
    </row>
    <row r="3839" spans="1:59" ht="60" x14ac:dyDescent="0.25">
      <c r="A3839" s="2" t="s">
        <v>59</v>
      </c>
      <c r="B3839" s="2" t="s">
        <v>60</v>
      </c>
      <c r="C3839" s="2" t="s">
        <v>32712</v>
      </c>
      <c r="D3839" s="2" t="s">
        <v>32713</v>
      </c>
      <c r="E3839" s="2" t="s">
        <v>32714</v>
      </c>
      <c r="G3839" s="3" t="s">
        <v>63</v>
      </c>
      <c r="I3839" s="3" t="s">
        <v>63</v>
      </c>
      <c r="J3839" s="3" t="s">
        <v>63</v>
      </c>
      <c r="K3839" s="3" t="s">
        <v>64</v>
      </c>
      <c r="L3839" s="2" t="s">
        <v>32715</v>
      </c>
      <c r="M3839" s="2" t="s">
        <v>32716</v>
      </c>
      <c r="N3839" s="3" t="s">
        <v>106</v>
      </c>
      <c r="P3839" s="3" t="s">
        <v>90</v>
      </c>
      <c r="Q3839" s="2" t="s">
        <v>31183</v>
      </c>
      <c r="R3839" s="3" t="s">
        <v>67</v>
      </c>
      <c r="S3839" s="4">
        <v>2</v>
      </c>
      <c r="T3839" s="4">
        <v>2</v>
      </c>
      <c r="U3839" s="5" t="s">
        <v>7212</v>
      </c>
      <c r="V3839" s="5" t="s">
        <v>7212</v>
      </c>
      <c r="W3839" s="5" t="s">
        <v>69</v>
      </c>
      <c r="X3839" s="5" t="s">
        <v>69</v>
      </c>
      <c r="Y3839" s="4">
        <v>69</v>
      </c>
      <c r="Z3839" s="4">
        <v>3</v>
      </c>
      <c r="AA3839" s="4">
        <v>3</v>
      </c>
      <c r="AB3839" s="4">
        <v>1</v>
      </c>
      <c r="AC3839" s="4">
        <v>1</v>
      </c>
      <c r="AD3839" s="4">
        <v>31</v>
      </c>
      <c r="AE3839" s="4">
        <v>31</v>
      </c>
      <c r="AF3839" s="4">
        <v>0</v>
      </c>
      <c r="AG3839" s="4">
        <v>0</v>
      </c>
      <c r="AH3839" s="4">
        <v>31</v>
      </c>
      <c r="AI3839" s="4">
        <v>31</v>
      </c>
      <c r="AJ3839" s="4">
        <v>1</v>
      </c>
      <c r="AK3839" s="4">
        <v>1</v>
      </c>
      <c r="AL3839" s="4">
        <v>24</v>
      </c>
      <c r="AM3839" s="4">
        <v>24</v>
      </c>
      <c r="AN3839" s="4">
        <v>0</v>
      </c>
      <c r="AO3839" s="4">
        <v>0</v>
      </c>
      <c r="AP3839" s="4">
        <v>1</v>
      </c>
      <c r="AQ3839" s="4">
        <v>1</v>
      </c>
      <c r="AR3839" s="3" t="s">
        <v>63</v>
      </c>
      <c r="AS3839" s="3" t="s">
        <v>63</v>
      </c>
      <c r="AT3839" s="3" t="s">
        <v>63</v>
      </c>
      <c r="AV3839" s="6" t="str">
        <f>HYPERLINK("http://mcgill.on.worldcat.org/oclc/956584552","Catalog Record")</f>
        <v>Catalog Record</v>
      </c>
      <c r="AW3839" s="6" t="str">
        <f>HYPERLINK("http://www.worldcat.org/oclc/956584552","WorldCat Record")</f>
        <v>WorldCat Record</v>
      </c>
      <c r="AX3839" s="3" t="s">
        <v>32717</v>
      </c>
      <c r="AY3839" s="3" t="s">
        <v>32718</v>
      </c>
      <c r="AZ3839" s="3" t="s">
        <v>32719</v>
      </c>
      <c r="BA3839" s="3" t="s">
        <v>32719</v>
      </c>
      <c r="BB3839" s="3" t="s">
        <v>32720</v>
      </c>
      <c r="BC3839" s="3" t="s">
        <v>82</v>
      </c>
      <c r="BD3839" s="3" t="s">
        <v>70</v>
      </c>
      <c r="BE3839" s="3" t="s">
        <v>32721</v>
      </c>
      <c r="BF3839" s="3" t="s">
        <v>32720</v>
      </c>
      <c r="BG3839" s="3" t="s">
        <v>32722</v>
      </c>
    </row>
    <row r="3840" spans="1:59" ht="75" x14ac:dyDescent="0.25">
      <c r="A3840" s="2" t="s">
        <v>59</v>
      </c>
      <c r="B3840" s="2" t="s">
        <v>60</v>
      </c>
      <c r="C3840" s="2" t="s">
        <v>32723</v>
      </c>
      <c r="D3840" s="2" t="s">
        <v>32724</v>
      </c>
      <c r="E3840" s="2" t="s">
        <v>32725</v>
      </c>
      <c r="G3840" s="3" t="s">
        <v>63</v>
      </c>
      <c r="I3840" s="3" t="s">
        <v>63</v>
      </c>
      <c r="J3840" s="3" t="s">
        <v>63</v>
      </c>
      <c r="K3840" s="3" t="s">
        <v>64</v>
      </c>
      <c r="L3840" s="2" t="s">
        <v>32726</v>
      </c>
      <c r="M3840" s="2" t="s">
        <v>32727</v>
      </c>
      <c r="N3840" s="3" t="s">
        <v>1343</v>
      </c>
      <c r="P3840" s="3" t="s">
        <v>90</v>
      </c>
      <c r="Q3840" s="2" t="s">
        <v>29326</v>
      </c>
      <c r="R3840" s="3" t="s">
        <v>67</v>
      </c>
      <c r="S3840" s="4">
        <v>3</v>
      </c>
      <c r="T3840" s="4">
        <v>3</v>
      </c>
      <c r="U3840" s="5" t="s">
        <v>24669</v>
      </c>
      <c r="V3840" s="5" t="s">
        <v>24669</v>
      </c>
      <c r="W3840" s="5" t="s">
        <v>69</v>
      </c>
      <c r="X3840" s="5" t="s">
        <v>69</v>
      </c>
      <c r="Y3840" s="4">
        <v>45</v>
      </c>
      <c r="Z3840" s="4">
        <v>3</v>
      </c>
      <c r="AA3840" s="4">
        <v>3</v>
      </c>
      <c r="AB3840" s="4">
        <v>1</v>
      </c>
      <c r="AC3840" s="4">
        <v>1</v>
      </c>
      <c r="AD3840" s="4">
        <v>27</v>
      </c>
      <c r="AE3840" s="4">
        <v>27</v>
      </c>
      <c r="AF3840" s="4">
        <v>0</v>
      </c>
      <c r="AG3840" s="4">
        <v>0</v>
      </c>
      <c r="AH3840" s="4">
        <v>26</v>
      </c>
      <c r="AI3840" s="4">
        <v>26</v>
      </c>
      <c r="AJ3840" s="4">
        <v>1</v>
      </c>
      <c r="AK3840" s="4">
        <v>1</v>
      </c>
      <c r="AL3840" s="4">
        <v>23</v>
      </c>
      <c r="AM3840" s="4">
        <v>23</v>
      </c>
      <c r="AN3840" s="4">
        <v>0</v>
      </c>
      <c r="AO3840" s="4">
        <v>0</v>
      </c>
      <c r="AP3840" s="4">
        <v>1</v>
      </c>
      <c r="AQ3840" s="4">
        <v>1</v>
      </c>
      <c r="AR3840" s="3" t="s">
        <v>63</v>
      </c>
      <c r="AS3840" s="3" t="s">
        <v>63</v>
      </c>
      <c r="AT3840" s="3" t="s">
        <v>62</v>
      </c>
      <c r="AU3840" s="6" t="str">
        <f>HYPERLINK("http://catalog.hathitrust.org/Record/004139210","HathiTrust Record")</f>
        <v>HathiTrust Record</v>
      </c>
      <c r="AV3840" s="6" t="str">
        <f>HYPERLINK("http://mcgill.on.worldcat.org/oclc/45602823","Catalog Record")</f>
        <v>Catalog Record</v>
      </c>
      <c r="AW3840" s="6" t="str">
        <f>HYPERLINK("http://www.worldcat.org/oclc/45602823","WorldCat Record")</f>
        <v>WorldCat Record</v>
      </c>
      <c r="AX3840" s="3" t="s">
        <v>32728</v>
      </c>
      <c r="AY3840" s="3" t="s">
        <v>32729</v>
      </c>
      <c r="AZ3840" s="3" t="s">
        <v>32730</v>
      </c>
      <c r="BA3840" s="3" t="s">
        <v>32730</v>
      </c>
      <c r="BB3840" s="3" t="s">
        <v>32731</v>
      </c>
      <c r="BC3840" s="3" t="s">
        <v>82</v>
      </c>
      <c r="BD3840" s="3" t="s">
        <v>70</v>
      </c>
      <c r="BE3840" s="3" t="s">
        <v>32732</v>
      </c>
      <c r="BF3840" s="3" t="s">
        <v>32731</v>
      </c>
      <c r="BG3840" s="3" t="s">
        <v>32733</v>
      </c>
    </row>
    <row r="3841" spans="1:59" ht="60" x14ac:dyDescent="0.25">
      <c r="A3841" s="2" t="s">
        <v>59</v>
      </c>
      <c r="B3841" s="2" t="s">
        <v>60</v>
      </c>
      <c r="C3841" s="2" t="s">
        <v>32734</v>
      </c>
      <c r="D3841" s="2" t="s">
        <v>32735</v>
      </c>
      <c r="E3841" s="2" t="s">
        <v>32736</v>
      </c>
      <c r="G3841" s="3" t="s">
        <v>63</v>
      </c>
      <c r="I3841" s="3" t="s">
        <v>63</v>
      </c>
      <c r="J3841" s="3" t="s">
        <v>63</v>
      </c>
      <c r="K3841" s="3" t="s">
        <v>64</v>
      </c>
      <c r="L3841" s="2" t="s">
        <v>32737</v>
      </c>
      <c r="M3841" s="2" t="s">
        <v>31040</v>
      </c>
      <c r="N3841" s="3" t="s">
        <v>2765</v>
      </c>
      <c r="P3841" s="3" t="s">
        <v>90</v>
      </c>
      <c r="Q3841" s="2" t="s">
        <v>32738</v>
      </c>
      <c r="R3841" s="3" t="s">
        <v>67</v>
      </c>
      <c r="S3841" s="4">
        <v>1</v>
      </c>
      <c r="T3841" s="4">
        <v>1</v>
      </c>
      <c r="U3841" s="5" t="s">
        <v>31790</v>
      </c>
      <c r="V3841" s="5" t="s">
        <v>31790</v>
      </c>
      <c r="W3841" s="5" t="s">
        <v>69</v>
      </c>
      <c r="X3841" s="5" t="s">
        <v>69</v>
      </c>
      <c r="Y3841" s="4">
        <v>25</v>
      </c>
      <c r="Z3841" s="4">
        <v>3</v>
      </c>
      <c r="AA3841" s="4">
        <v>3</v>
      </c>
      <c r="AB3841" s="4">
        <v>1</v>
      </c>
      <c r="AC3841" s="4">
        <v>1</v>
      </c>
      <c r="AD3841" s="4">
        <v>19</v>
      </c>
      <c r="AE3841" s="4">
        <v>19</v>
      </c>
      <c r="AF3841" s="4">
        <v>0</v>
      </c>
      <c r="AG3841" s="4">
        <v>0</v>
      </c>
      <c r="AH3841" s="4">
        <v>18</v>
      </c>
      <c r="AI3841" s="4">
        <v>18</v>
      </c>
      <c r="AJ3841" s="4">
        <v>1</v>
      </c>
      <c r="AK3841" s="4">
        <v>1</v>
      </c>
      <c r="AL3841" s="4">
        <v>16</v>
      </c>
      <c r="AM3841" s="4">
        <v>16</v>
      </c>
      <c r="AN3841" s="4">
        <v>0</v>
      </c>
      <c r="AO3841" s="4">
        <v>0</v>
      </c>
      <c r="AP3841" s="4">
        <v>1</v>
      </c>
      <c r="AQ3841" s="4">
        <v>1</v>
      </c>
      <c r="AR3841" s="3" t="s">
        <v>63</v>
      </c>
      <c r="AS3841" s="3" t="s">
        <v>63</v>
      </c>
      <c r="AT3841" s="3" t="s">
        <v>63</v>
      </c>
      <c r="AV3841" s="6" t="str">
        <f>HYPERLINK("http://mcgill.on.worldcat.org/oclc/932128586","Catalog Record")</f>
        <v>Catalog Record</v>
      </c>
      <c r="AW3841" s="6" t="str">
        <f>HYPERLINK("http://www.worldcat.org/oclc/932128586","WorldCat Record")</f>
        <v>WorldCat Record</v>
      </c>
      <c r="AX3841" s="3" t="s">
        <v>32739</v>
      </c>
      <c r="AY3841" s="3" t="s">
        <v>32740</v>
      </c>
      <c r="AZ3841" s="3" t="s">
        <v>32741</v>
      </c>
      <c r="BA3841" s="3" t="s">
        <v>32741</v>
      </c>
      <c r="BB3841" s="3" t="s">
        <v>32742</v>
      </c>
      <c r="BC3841" s="3" t="s">
        <v>82</v>
      </c>
      <c r="BD3841" s="3" t="s">
        <v>70</v>
      </c>
      <c r="BE3841" s="3" t="s">
        <v>32743</v>
      </c>
      <c r="BF3841" s="3" t="s">
        <v>32742</v>
      </c>
      <c r="BG3841" s="3" t="s">
        <v>32744</v>
      </c>
    </row>
    <row r="3842" spans="1:59" ht="60" x14ac:dyDescent="0.25">
      <c r="A3842" s="2" t="s">
        <v>59</v>
      </c>
      <c r="B3842" s="2" t="s">
        <v>60</v>
      </c>
      <c r="C3842" s="2" t="s">
        <v>32144</v>
      </c>
      <c r="D3842" s="2" t="s">
        <v>32145</v>
      </c>
      <c r="E3842" s="2" t="s">
        <v>32146</v>
      </c>
      <c r="G3842" s="3" t="s">
        <v>63</v>
      </c>
      <c r="I3842" s="3" t="s">
        <v>63</v>
      </c>
      <c r="J3842" s="3" t="s">
        <v>63</v>
      </c>
      <c r="K3842" s="3" t="s">
        <v>64</v>
      </c>
      <c r="L3842" s="2" t="s">
        <v>32147</v>
      </c>
      <c r="M3842" s="2" t="s">
        <v>32148</v>
      </c>
      <c r="N3842" s="3" t="s">
        <v>76</v>
      </c>
      <c r="P3842" s="3" t="s">
        <v>90</v>
      </c>
      <c r="R3842" s="3" t="s">
        <v>67</v>
      </c>
      <c r="S3842" s="4">
        <v>1</v>
      </c>
      <c r="T3842" s="4">
        <v>1</v>
      </c>
      <c r="U3842" s="5" t="s">
        <v>4990</v>
      </c>
      <c r="V3842" s="5" t="s">
        <v>4990</v>
      </c>
      <c r="W3842" s="5" t="s">
        <v>9728</v>
      </c>
      <c r="X3842" s="5" t="s">
        <v>9728</v>
      </c>
      <c r="Y3842" s="4">
        <v>1</v>
      </c>
      <c r="Z3842" s="4">
        <v>1</v>
      </c>
      <c r="AA3842" s="4">
        <v>1</v>
      </c>
      <c r="AB3842" s="4">
        <v>1</v>
      </c>
      <c r="AC3842" s="4">
        <v>1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3" t="s">
        <v>63</v>
      </c>
      <c r="AS3842" s="3" t="s">
        <v>63</v>
      </c>
      <c r="AT3842" s="3" t="s">
        <v>63</v>
      </c>
      <c r="AV3842" s="6" t="str">
        <f>HYPERLINK("http://mcgill.on.worldcat.org/oclc/1086267735","Catalog Record")</f>
        <v>Catalog Record</v>
      </c>
      <c r="AW3842" s="6" t="str">
        <f>HYPERLINK("http://www.worldcat.org/oclc/1086267735","WorldCat Record")</f>
        <v>WorldCat Record</v>
      </c>
      <c r="AX3842" s="3" t="s">
        <v>32149</v>
      </c>
      <c r="AY3842" s="3" t="s">
        <v>32150</v>
      </c>
      <c r="AZ3842" s="3" t="s">
        <v>32151</v>
      </c>
      <c r="BA3842" s="3" t="s">
        <v>32151</v>
      </c>
      <c r="BB3842" s="3" t="s">
        <v>32152</v>
      </c>
      <c r="BC3842" s="3" t="s">
        <v>82</v>
      </c>
      <c r="BD3842" s="3" t="s">
        <v>70</v>
      </c>
      <c r="BE3842" s="3" t="s">
        <v>32153</v>
      </c>
      <c r="BF3842" s="3" t="s">
        <v>32152</v>
      </c>
      <c r="BG3842" s="3" t="s">
        <v>32154</v>
      </c>
    </row>
    <row r="3843" spans="1:59" ht="60" x14ac:dyDescent="0.25">
      <c r="A3843" s="2" t="s">
        <v>59</v>
      </c>
      <c r="B3843" s="2" t="s">
        <v>60</v>
      </c>
      <c r="C3843" s="2" t="s">
        <v>32745</v>
      </c>
      <c r="D3843" s="2" t="s">
        <v>32746</v>
      </c>
      <c r="E3843" s="2" t="s">
        <v>32747</v>
      </c>
      <c r="G3843" s="3" t="s">
        <v>63</v>
      </c>
      <c r="I3843" s="3" t="s">
        <v>63</v>
      </c>
      <c r="J3843" s="3" t="s">
        <v>63</v>
      </c>
      <c r="K3843" s="3" t="s">
        <v>64</v>
      </c>
      <c r="L3843" s="2" t="s">
        <v>32748</v>
      </c>
      <c r="M3843" s="2" t="s">
        <v>32749</v>
      </c>
      <c r="N3843" s="3" t="s">
        <v>2951</v>
      </c>
      <c r="P3843" s="3" t="s">
        <v>90</v>
      </c>
      <c r="R3843" s="3" t="s">
        <v>67</v>
      </c>
      <c r="S3843" s="4">
        <v>1</v>
      </c>
      <c r="T3843" s="4">
        <v>1</v>
      </c>
      <c r="U3843" s="5" t="s">
        <v>15943</v>
      </c>
      <c r="V3843" s="5" t="s">
        <v>15943</v>
      </c>
      <c r="W3843" s="5" t="s">
        <v>69</v>
      </c>
      <c r="X3843" s="5" t="s">
        <v>69</v>
      </c>
      <c r="Y3843" s="4">
        <v>6</v>
      </c>
      <c r="Z3843" s="4">
        <v>1</v>
      </c>
      <c r="AA3843" s="4">
        <v>1</v>
      </c>
      <c r="AB3843" s="4">
        <v>1</v>
      </c>
      <c r="AC3843" s="4">
        <v>1</v>
      </c>
      <c r="AD3843" s="4">
        <v>4</v>
      </c>
      <c r="AE3843" s="4">
        <v>4</v>
      </c>
      <c r="AF3843" s="4">
        <v>0</v>
      </c>
      <c r="AG3843" s="4">
        <v>0</v>
      </c>
      <c r="AH3843" s="4">
        <v>4</v>
      </c>
      <c r="AI3843" s="4">
        <v>4</v>
      </c>
      <c r="AJ3843" s="4">
        <v>0</v>
      </c>
      <c r="AK3843" s="4">
        <v>0</v>
      </c>
      <c r="AL3843" s="4">
        <v>3</v>
      </c>
      <c r="AM3843" s="4">
        <v>3</v>
      </c>
      <c r="AN3843" s="4">
        <v>0</v>
      </c>
      <c r="AO3843" s="4">
        <v>0</v>
      </c>
      <c r="AP3843" s="4">
        <v>0</v>
      </c>
      <c r="AQ3843" s="4">
        <v>0</v>
      </c>
      <c r="AR3843" s="3" t="s">
        <v>63</v>
      </c>
      <c r="AS3843" s="3" t="s">
        <v>63</v>
      </c>
      <c r="AT3843" s="3" t="s">
        <v>63</v>
      </c>
      <c r="AV3843" s="6" t="str">
        <f>HYPERLINK("http://mcgill.on.worldcat.org/oclc/9252161","Catalog Record")</f>
        <v>Catalog Record</v>
      </c>
      <c r="AW3843" s="6" t="str">
        <f>HYPERLINK("http://www.worldcat.org/oclc/9252161","WorldCat Record")</f>
        <v>WorldCat Record</v>
      </c>
      <c r="AX3843" s="3" t="s">
        <v>32750</v>
      </c>
      <c r="AY3843" s="3" t="s">
        <v>32751</v>
      </c>
      <c r="AZ3843" s="3" t="s">
        <v>32752</v>
      </c>
      <c r="BA3843" s="3" t="s">
        <v>32752</v>
      </c>
      <c r="BB3843" s="3" t="s">
        <v>32753</v>
      </c>
      <c r="BC3843" s="3" t="s">
        <v>82</v>
      </c>
      <c r="BD3843" s="3" t="s">
        <v>70</v>
      </c>
      <c r="BF3843" s="3" t="s">
        <v>32753</v>
      </c>
      <c r="BG3843" s="3" t="s">
        <v>32754</v>
      </c>
    </row>
    <row r="3844" spans="1:59" ht="60" x14ac:dyDescent="0.25">
      <c r="A3844" s="2" t="s">
        <v>59</v>
      </c>
      <c r="B3844" s="2" t="s">
        <v>60</v>
      </c>
      <c r="C3844" s="2" t="s">
        <v>32755</v>
      </c>
      <c r="D3844" s="2" t="s">
        <v>32756</v>
      </c>
      <c r="E3844" s="2" t="s">
        <v>32757</v>
      </c>
      <c r="G3844" s="3" t="s">
        <v>63</v>
      </c>
      <c r="I3844" s="3" t="s">
        <v>63</v>
      </c>
      <c r="J3844" s="3" t="s">
        <v>63</v>
      </c>
      <c r="K3844" s="3" t="s">
        <v>64</v>
      </c>
      <c r="L3844" s="2" t="s">
        <v>32748</v>
      </c>
      <c r="M3844" s="2" t="s">
        <v>32758</v>
      </c>
      <c r="N3844" s="3" t="s">
        <v>427</v>
      </c>
      <c r="P3844" s="3" t="s">
        <v>66</v>
      </c>
      <c r="R3844" s="3" t="s">
        <v>67</v>
      </c>
      <c r="S3844" s="4">
        <v>5</v>
      </c>
      <c r="T3844" s="4">
        <v>5</v>
      </c>
      <c r="U3844" s="5" t="s">
        <v>32759</v>
      </c>
      <c r="V3844" s="5" t="s">
        <v>32759</v>
      </c>
      <c r="W3844" s="5" t="s">
        <v>69</v>
      </c>
      <c r="X3844" s="5" t="s">
        <v>69</v>
      </c>
      <c r="Y3844" s="4">
        <v>128</v>
      </c>
      <c r="Z3844" s="4">
        <v>3</v>
      </c>
      <c r="AA3844" s="4">
        <v>8</v>
      </c>
      <c r="AB3844" s="4">
        <v>1</v>
      </c>
      <c r="AC3844" s="4">
        <v>1</v>
      </c>
      <c r="AD3844" s="4">
        <v>47</v>
      </c>
      <c r="AE3844" s="4">
        <v>70</v>
      </c>
      <c r="AF3844" s="4">
        <v>0</v>
      </c>
      <c r="AG3844" s="4">
        <v>0</v>
      </c>
      <c r="AH3844" s="4">
        <v>44</v>
      </c>
      <c r="AI3844" s="4">
        <v>66</v>
      </c>
      <c r="AJ3844" s="4">
        <v>2</v>
      </c>
      <c r="AK3844" s="4">
        <v>6</v>
      </c>
      <c r="AL3844" s="4">
        <v>30</v>
      </c>
      <c r="AM3844" s="4">
        <v>42</v>
      </c>
      <c r="AN3844" s="4">
        <v>0</v>
      </c>
      <c r="AO3844" s="4">
        <v>0</v>
      </c>
      <c r="AP3844" s="4">
        <v>2</v>
      </c>
      <c r="AQ3844" s="4">
        <v>5</v>
      </c>
      <c r="AR3844" s="3" t="s">
        <v>63</v>
      </c>
      <c r="AS3844" s="3" t="s">
        <v>63</v>
      </c>
      <c r="AT3844" s="3" t="s">
        <v>63</v>
      </c>
      <c r="AV3844" s="6" t="str">
        <f>HYPERLINK("http://mcgill.on.worldcat.org/oclc/17727316","Catalog Record")</f>
        <v>Catalog Record</v>
      </c>
      <c r="AW3844" s="6" t="str">
        <f>HYPERLINK("http://www.worldcat.org/oclc/17727316","WorldCat Record")</f>
        <v>WorldCat Record</v>
      </c>
      <c r="AX3844" s="3" t="s">
        <v>32760</v>
      </c>
      <c r="AY3844" s="3" t="s">
        <v>32761</v>
      </c>
      <c r="AZ3844" s="3" t="s">
        <v>32762</v>
      </c>
      <c r="BA3844" s="3" t="s">
        <v>32762</v>
      </c>
      <c r="BB3844" s="3" t="s">
        <v>32763</v>
      </c>
      <c r="BC3844" s="3" t="s">
        <v>82</v>
      </c>
      <c r="BD3844" s="3" t="s">
        <v>70</v>
      </c>
      <c r="BE3844" s="3" t="s">
        <v>32764</v>
      </c>
      <c r="BF3844" s="3" t="s">
        <v>32763</v>
      </c>
      <c r="BG3844" s="3" t="s">
        <v>32765</v>
      </c>
    </row>
    <row r="3845" spans="1:59" ht="75" x14ac:dyDescent="0.25">
      <c r="A3845" s="2" t="s">
        <v>59</v>
      </c>
      <c r="B3845" s="2" t="s">
        <v>60</v>
      </c>
      <c r="C3845" s="2" t="s">
        <v>32766</v>
      </c>
      <c r="D3845" s="2" t="s">
        <v>32767</v>
      </c>
      <c r="E3845" s="2" t="s">
        <v>32768</v>
      </c>
      <c r="G3845" s="3" t="s">
        <v>63</v>
      </c>
      <c r="I3845" s="3" t="s">
        <v>63</v>
      </c>
      <c r="J3845" s="3" t="s">
        <v>63</v>
      </c>
      <c r="K3845" s="3" t="s">
        <v>64</v>
      </c>
      <c r="L3845" s="2" t="s">
        <v>32769</v>
      </c>
      <c r="M3845" s="2" t="s">
        <v>29619</v>
      </c>
      <c r="N3845" s="3" t="s">
        <v>130</v>
      </c>
      <c r="P3845" s="3" t="s">
        <v>90</v>
      </c>
      <c r="R3845" s="3" t="s">
        <v>67</v>
      </c>
      <c r="S3845" s="4">
        <v>1</v>
      </c>
      <c r="T3845" s="4">
        <v>1</v>
      </c>
      <c r="U3845" s="5" t="s">
        <v>21334</v>
      </c>
      <c r="V3845" s="5" t="s">
        <v>21334</v>
      </c>
      <c r="W3845" s="5" t="s">
        <v>69</v>
      </c>
      <c r="X3845" s="5" t="s">
        <v>69</v>
      </c>
      <c r="Y3845" s="4">
        <v>28</v>
      </c>
      <c r="Z3845" s="4">
        <v>3</v>
      </c>
      <c r="AA3845" s="4">
        <v>3</v>
      </c>
      <c r="AB3845" s="4">
        <v>1</v>
      </c>
      <c r="AC3845" s="4">
        <v>1</v>
      </c>
      <c r="AD3845" s="4">
        <v>21</v>
      </c>
      <c r="AE3845" s="4">
        <v>21</v>
      </c>
      <c r="AF3845" s="4">
        <v>0</v>
      </c>
      <c r="AG3845" s="4">
        <v>0</v>
      </c>
      <c r="AH3845" s="4">
        <v>20</v>
      </c>
      <c r="AI3845" s="4">
        <v>20</v>
      </c>
      <c r="AJ3845" s="4">
        <v>1</v>
      </c>
      <c r="AK3845" s="4">
        <v>1</v>
      </c>
      <c r="AL3845" s="4">
        <v>14</v>
      </c>
      <c r="AM3845" s="4">
        <v>14</v>
      </c>
      <c r="AN3845" s="4">
        <v>0</v>
      </c>
      <c r="AO3845" s="4">
        <v>0</v>
      </c>
      <c r="AP3845" s="4">
        <v>1</v>
      </c>
      <c r="AQ3845" s="4">
        <v>1</v>
      </c>
      <c r="AR3845" s="3" t="s">
        <v>63</v>
      </c>
      <c r="AS3845" s="3" t="s">
        <v>63</v>
      </c>
      <c r="AT3845" s="3" t="s">
        <v>63</v>
      </c>
      <c r="AV3845" s="6" t="str">
        <f>HYPERLINK("http://mcgill.on.worldcat.org/oclc/855048450","Catalog Record")</f>
        <v>Catalog Record</v>
      </c>
      <c r="AW3845" s="6" t="str">
        <f>HYPERLINK("http://www.worldcat.org/oclc/855048450","WorldCat Record")</f>
        <v>WorldCat Record</v>
      </c>
      <c r="AX3845" s="3" t="s">
        <v>32770</v>
      </c>
      <c r="AY3845" s="3" t="s">
        <v>32771</v>
      </c>
      <c r="AZ3845" s="3" t="s">
        <v>32772</v>
      </c>
      <c r="BA3845" s="3" t="s">
        <v>32772</v>
      </c>
      <c r="BB3845" s="3" t="s">
        <v>32773</v>
      </c>
      <c r="BC3845" s="3" t="s">
        <v>82</v>
      </c>
      <c r="BD3845" s="3" t="s">
        <v>70</v>
      </c>
      <c r="BE3845" s="3" t="s">
        <v>32773</v>
      </c>
      <c r="BF3845" s="3" t="s">
        <v>32773</v>
      </c>
      <c r="BG3845" s="3" t="s">
        <v>32774</v>
      </c>
    </row>
    <row r="3846" spans="1:59" ht="75" x14ac:dyDescent="0.25">
      <c r="A3846" s="2" t="s">
        <v>59</v>
      </c>
      <c r="B3846" s="2" t="s">
        <v>60</v>
      </c>
      <c r="C3846" s="2" t="s">
        <v>32775</v>
      </c>
      <c r="D3846" s="2" t="s">
        <v>32776</v>
      </c>
      <c r="E3846" s="2" t="s">
        <v>32777</v>
      </c>
      <c r="G3846" s="3" t="s">
        <v>63</v>
      </c>
      <c r="I3846" s="3" t="s">
        <v>63</v>
      </c>
      <c r="J3846" s="3" t="s">
        <v>63</v>
      </c>
      <c r="K3846" s="3" t="s">
        <v>64</v>
      </c>
      <c r="L3846" s="2" t="s">
        <v>32778</v>
      </c>
      <c r="M3846" s="2" t="s">
        <v>32779</v>
      </c>
      <c r="N3846" s="3" t="s">
        <v>2103</v>
      </c>
      <c r="P3846" s="3" t="s">
        <v>66</v>
      </c>
      <c r="Q3846" s="2" t="s">
        <v>32780</v>
      </c>
      <c r="R3846" s="3" t="s">
        <v>67</v>
      </c>
      <c r="S3846" s="4">
        <v>8</v>
      </c>
      <c r="T3846" s="4">
        <v>8</v>
      </c>
      <c r="U3846" s="5" t="s">
        <v>8716</v>
      </c>
      <c r="V3846" s="5" t="s">
        <v>8716</v>
      </c>
      <c r="W3846" s="5" t="s">
        <v>69</v>
      </c>
      <c r="X3846" s="5" t="s">
        <v>69</v>
      </c>
      <c r="Y3846" s="4">
        <v>157</v>
      </c>
      <c r="Z3846" s="4">
        <v>8</v>
      </c>
      <c r="AA3846" s="4">
        <v>8</v>
      </c>
      <c r="AB3846" s="4">
        <v>1</v>
      </c>
      <c r="AC3846" s="4">
        <v>1</v>
      </c>
      <c r="AD3846" s="4">
        <v>68</v>
      </c>
      <c r="AE3846" s="4">
        <v>68</v>
      </c>
      <c r="AF3846" s="4">
        <v>0</v>
      </c>
      <c r="AG3846" s="4">
        <v>0</v>
      </c>
      <c r="AH3846" s="4">
        <v>65</v>
      </c>
      <c r="AI3846" s="4">
        <v>65</v>
      </c>
      <c r="AJ3846" s="4">
        <v>6</v>
      </c>
      <c r="AK3846" s="4">
        <v>6</v>
      </c>
      <c r="AL3846" s="4">
        <v>40</v>
      </c>
      <c r="AM3846" s="4">
        <v>40</v>
      </c>
      <c r="AN3846" s="4">
        <v>0</v>
      </c>
      <c r="AO3846" s="4">
        <v>0</v>
      </c>
      <c r="AP3846" s="4">
        <v>6</v>
      </c>
      <c r="AQ3846" s="4">
        <v>6</v>
      </c>
      <c r="AR3846" s="3" t="s">
        <v>63</v>
      </c>
      <c r="AS3846" s="3" t="s">
        <v>63</v>
      </c>
      <c r="AT3846" s="3" t="s">
        <v>62</v>
      </c>
      <c r="AU3846" s="6" t="str">
        <f>HYPERLINK("http://catalog.hathitrust.org/Record/007142395","HathiTrust Record")</f>
        <v>HathiTrust Record</v>
      </c>
      <c r="AV3846" s="6" t="str">
        <f>HYPERLINK("http://mcgill.on.worldcat.org/oclc/50655425","Catalog Record")</f>
        <v>Catalog Record</v>
      </c>
      <c r="AW3846" s="6" t="str">
        <f>HYPERLINK("http://www.worldcat.org/oclc/50655425","WorldCat Record")</f>
        <v>WorldCat Record</v>
      </c>
      <c r="AX3846" s="3" t="s">
        <v>32781</v>
      </c>
      <c r="AY3846" s="3" t="s">
        <v>32782</v>
      </c>
      <c r="AZ3846" s="3" t="s">
        <v>32783</v>
      </c>
      <c r="BA3846" s="3" t="s">
        <v>32783</v>
      </c>
      <c r="BB3846" s="3" t="s">
        <v>32784</v>
      </c>
      <c r="BC3846" s="3" t="s">
        <v>82</v>
      </c>
      <c r="BD3846" s="3" t="s">
        <v>70</v>
      </c>
      <c r="BE3846" s="3" t="s">
        <v>32785</v>
      </c>
      <c r="BF3846" s="3" t="s">
        <v>32784</v>
      </c>
      <c r="BG3846" s="3" t="s">
        <v>32786</v>
      </c>
    </row>
    <row r="3847" spans="1:59" ht="75" x14ac:dyDescent="0.25">
      <c r="A3847" s="2" t="s">
        <v>59</v>
      </c>
      <c r="B3847" s="2" t="s">
        <v>60</v>
      </c>
      <c r="C3847" s="2" t="s">
        <v>32787</v>
      </c>
      <c r="D3847" s="2" t="s">
        <v>32788</v>
      </c>
      <c r="E3847" s="2" t="s">
        <v>32789</v>
      </c>
      <c r="G3847" s="3" t="s">
        <v>63</v>
      </c>
      <c r="I3847" s="3" t="s">
        <v>63</v>
      </c>
      <c r="J3847" s="3" t="s">
        <v>62</v>
      </c>
      <c r="K3847" s="3" t="s">
        <v>64</v>
      </c>
      <c r="L3847" s="2" t="s">
        <v>32790</v>
      </c>
      <c r="M3847" s="2" t="s">
        <v>32791</v>
      </c>
      <c r="N3847" s="3" t="s">
        <v>2951</v>
      </c>
      <c r="O3847" s="2" t="s">
        <v>590</v>
      </c>
      <c r="P3847" s="3" t="s">
        <v>66</v>
      </c>
      <c r="R3847" s="3" t="s">
        <v>67</v>
      </c>
      <c r="S3847" s="4">
        <v>77</v>
      </c>
      <c r="T3847" s="4">
        <v>77</v>
      </c>
      <c r="U3847" s="5" t="s">
        <v>32792</v>
      </c>
      <c r="V3847" s="5" t="s">
        <v>32792</v>
      </c>
      <c r="W3847" s="5" t="s">
        <v>69</v>
      </c>
      <c r="X3847" s="5" t="s">
        <v>69</v>
      </c>
      <c r="Y3847" s="4">
        <v>849</v>
      </c>
      <c r="Z3847" s="4">
        <v>32</v>
      </c>
      <c r="AA3847" s="4">
        <v>55</v>
      </c>
      <c r="AB3847" s="4">
        <v>3</v>
      </c>
      <c r="AC3847" s="4">
        <v>5</v>
      </c>
      <c r="AD3847" s="4">
        <v>110</v>
      </c>
      <c r="AE3847" s="4">
        <v>135</v>
      </c>
      <c r="AF3847" s="4">
        <v>1</v>
      </c>
      <c r="AG3847" s="4">
        <v>2</v>
      </c>
      <c r="AH3847" s="4">
        <v>96</v>
      </c>
      <c r="AI3847" s="4">
        <v>110</v>
      </c>
      <c r="AJ3847" s="4">
        <v>17</v>
      </c>
      <c r="AK3847" s="4">
        <v>22</v>
      </c>
      <c r="AL3847" s="4">
        <v>50</v>
      </c>
      <c r="AM3847" s="4">
        <v>58</v>
      </c>
      <c r="AN3847" s="4">
        <v>0</v>
      </c>
      <c r="AO3847" s="4">
        <v>0</v>
      </c>
      <c r="AP3847" s="4">
        <v>21</v>
      </c>
      <c r="AQ3847" s="4">
        <v>31</v>
      </c>
      <c r="AR3847" s="3" t="s">
        <v>63</v>
      </c>
      <c r="AS3847" s="3" t="s">
        <v>63</v>
      </c>
      <c r="AT3847" s="3" t="s">
        <v>62</v>
      </c>
      <c r="AU3847" s="6" t="str">
        <f>HYPERLINK("http://catalog.hathitrust.org/Record/000710284","HathiTrust Record")</f>
        <v>HathiTrust Record</v>
      </c>
      <c r="AV3847" s="6" t="str">
        <f>HYPERLINK("http://mcgill.on.worldcat.org/oclc/5353660","Catalog Record")</f>
        <v>Catalog Record</v>
      </c>
      <c r="AW3847" s="6" t="str">
        <f>HYPERLINK("http://www.worldcat.org/oclc/5353660","WorldCat Record")</f>
        <v>WorldCat Record</v>
      </c>
      <c r="AX3847" s="3" t="s">
        <v>32793</v>
      </c>
      <c r="AY3847" s="3" t="s">
        <v>32794</v>
      </c>
      <c r="AZ3847" s="3" t="s">
        <v>32795</v>
      </c>
      <c r="BA3847" s="3" t="s">
        <v>32795</v>
      </c>
      <c r="BB3847" s="3" t="s">
        <v>32796</v>
      </c>
      <c r="BC3847" s="3" t="s">
        <v>82</v>
      </c>
      <c r="BD3847" s="3" t="s">
        <v>70</v>
      </c>
      <c r="BE3847" s="3" t="s">
        <v>32797</v>
      </c>
      <c r="BF3847" s="3" t="s">
        <v>32796</v>
      </c>
      <c r="BG3847" s="3" t="s">
        <v>32798</v>
      </c>
    </row>
    <row r="3848" spans="1:59" ht="75" x14ac:dyDescent="0.25">
      <c r="A3848" s="2" t="s">
        <v>59</v>
      </c>
      <c r="B3848" s="2" t="s">
        <v>60</v>
      </c>
      <c r="C3848" s="2" t="s">
        <v>32799</v>
      </c>
      <c r="D3848" s="2" t="s">
        <v>32800</v>
      </c>
      <c r="E3848" s="2" t="s">
        <v>32801</v>
      </c>
      <c r="G3848" s="3" t="s">
        <v>62</v>
      </c>
      <c r="I3848" s="3" t="s">
        <v>63</v>
      </c>
      <c r="J3848" s="3" t="s">
        <v>63</v>
      </c>
      <c r="K3848" s="3" t="s">
        <v>64</v>
      </c>
      <c r="L3848" s="2" t="s">
        <v>32802</v>
      </c>
      <c r="M3848" s="2" t="s">
        <v>32803</v>
      </c>
      <c r="N3848" s="3" t="s">
        <v>287</v>
      </c>
      <c r="P3848" s="3" t="s">
        <v>66</v>
      </c>
      <c r="Q3848" s="2" t="s">
        <v>20292</v>
      </c>
      <c r="R3848" s="3" t="s">
        <v>67</v>
      </c>
      <c r="S3848" s="4">
        <v>3</v>
      </c>
      <c r="T3848" s="4">
        <v>3</v>
      </c>
      <c r="U3848" s="5" t="s">
        <v>18338</v>
      </c>
      <c r="V3848" s="5" t="s">
        <v>18338</v>
      </c>
      <c r="W3848" s="5" t="s">
        <v>69</v>
      </c>
      <c r="X3848" s="5" t="s">
        <v>69</v>
      </c>
      <c r="Y3848" s="4">
        <v>170</v>
      </c>
      <c r="Z3848" s="4">
        <v>5</v>
      </c>
      <c r="AA3848" s="4">
        <v>5</v>
      </c>
      <c r="AB3848" s="4">
        <v>1</v>
      </c>
      <c r="AC3848" s="4">
        <v>1</v>
      </c>
      <c r="AD3848" s="4">
        <v>29</v>
      </c>
      <c r="AE3848" s="4">
        <v>29</v>
      </c>
      <c r="AF3848" s="4">
        <v>0</v>
      </c>
      <c r="AG3848" s="4">
        <v>0</v>
      </c>
      <c r="AH3848" s="4">
        <v>28</v>
      </c>
      <c r="AI3848" s="4">
        <v>28</v>
      </c>
      <c r="AJ3848" s="4">
        <v>1</v>
      </c>
      <c r="AK3848" s="4">
        <v>1</v>
      </c>
      <c r="AL3848" s="4">
        <v>17</v>
      </c>
      <c r="AM3848" s="4">
        <v>17</v>
      </c>
      <c r="AN3848" s="4">
        <v>0</v>
      </c>
      <c r="AO3848" s="4">
        <v>0</v>
      </c>
      <c r="AP3848" s="4">
        <v>1</v>
      </c>
      <c r="AQ3848" s="4">
        <v>1</v>
      </c>
      <c r="AR3848" s="3" t="s">
        <v>63</v>
      </c>
      <c r="AS3848" s="3" t="s">
        <v>63</v>
      </c>
      <c r="AT3848" s="3" t="s">
        <v>63</v>
      </c>
      <c r="AV3848" s="6" t="str">
        <f>HYPERLINK("http://mcgill.on.worldcat.org/oclc/994410583","Catalog Record")</f>
        <v>Catalog Record</v>
      </c>
      <c r="AW3848" s="6" t="str">
        <f>HYPERLINK("http://www.worldcat.org/oclc/994410583","WorldCat Record")</f>
        <v>WorldCat Record</v>
      </c>
      <c r="AX3848" s="3" t="s">
        <v>32804</v>
      </c>
      <c r="AY3848" s="3" t="s">
        <v>32805</v>
      </c>
      <c r="AZ3848" s="3" t="s">
        <v>32806</v>
      </c>
      <c r="BA3848" s="3" t="s">
        <v>32806</v>
      </c>
      <c r="BB3848" s="3" t="s">
        <v>32807</v>
      </c>
      <c r="BC3848" s="3" t="s">
        <v>82</v>
      </c>
      <c r="BD3848" s="3" t="s">
        <v>538</v>
      </c>
      <c r="BE3848" s="3" t="s">
        <v>32808</v>
      </c>
      <c r="BF3848" s="3" t="s">
        <v>32807</v>
      </c>
      <c r="BG3848" s="3" t="s">
        <v>32809</v>
      </c>
    </row>
    <row r="3849" spans="1:59" ht="75" x14ac:dyDescent="0.25">
      <c r="A3849" s="2" t="s">
        <v>59</v>
      </c>
      <c r="B3849" s="2" t="s">
        <v>60</v>
      </c>
      <c r="C3849" s="2" t="s">
        <v>32810</v>
      </c>
      <c r="D3849" s="2" t="s">
        <v>32811</v>
      </c>
      <c r="E3849" s="2" t="s">
        <v>32812</v>
      </c>
      <c r="G3849" s="3" t="s">
        <v>63</v>
      </c>
      <c r="I3849" s="3" t="s">
        <v>63</v>
      </c>
      <c r="J3849" s="3" t="s">
        <v>62</v>
      </c>
      <c r="K3849" s="3" t="s">
        <v>64</v>
      </c>
      <c r="L3849" s="2" t="s">
        <v>32813</v>
      </c>
      <c r="M3849" s="2" t="s">
        <v>32814</v>
      </c>
      <c r="N3849" s="3" t="s">
        <v>2043</v>
      </c>
      <c r="O3849" s="2" t="s">
        <v>590</v>
      </c>
      <c r="P3849" s="3" t="s">
        <v>66</v>
      </c>
      <c r="R3849" s="3" t="s">
        <v>67</v>
      </c>
      <c r="S3849" s="4">
        <v>32</v>
      </c>
      <c r="T3849" s="4">
        <v>32</v>
      </c>
      <c r="U3849" s="5" t="s">
        <v>11568</v>
      </c>
      <c r="V3849" s="5" t="s">
        <v>11568</v>
      </c>
      <c r="W3849" s="5" t="s">
        <v>69</v>
      </c>
      <c r="X3849" s="5" t="s">
        <v>69</v>
      </c>
      <c r="Y3849" s="4">
        <v>488</v>
      </c>
      <c r="Z3849" s="4">
        <v>28</v>
      </c>
      <c r="AA3849" s="4">
        <v>55</v>
      </c>
      <c r="AB3849" s="4">
        <v>1</v>
      </c>
      <c r="AC3849" s="4">
        <v>5</v>
      </c>
      <c r="AD3849" s="4">
        <v>107</v>
      </c>
      <c r="AE3849" s="4">
        <v>135</v>
      </c>
      <c r="AF3849" s="4">
        <v>0</v>
      </c>
      <c r="AG3849" s="4">
        <v>2</v>
      </c>
      <c r="AH3849" s="4">
        <v>93</v>
      </c>
      <c r="AI3849" s="4">
        <v>110</v>
      </c>
      <c r="AJ3849" s="4">
        <v>16</v>
      </c>
      <c r="AK3849" s="4">
        <v>22</v>
      </c>
      <c r="AL3849" s="4">
        <v>48</v>
      </c>
      <c r="AM3849" s="4">
        <v>58</v>
      </c>
      <c r="AN3849" s="4">
        <v>0</v>
      </c>
      <c r="AO3849" s="4">
        <v>0</v>
      </c>
      <c r="AP3849" s="4">
        <v>20</v>
      </c>
      <c r="AQ3849" s="4">
        <v>31</v>
      </c>
      <c r="AR3849" s="3" t="s">
        <v>63</v>
      </c>
      <c r="AS3849" s="3" t="s">
        <v>63</v>
      </c>
      <c r="AT3849" s="3" t="s">
        <v>62</v>
      </c>
      <c r="AU3849" s="6" t="str">
        <f>HYPERLINK("http://catalog.hathitrust.org/Record/000185251","HathiTrust Record")</f>
        <v>HathiTrust Record</v>
      </c>
      <c r="AV3849" s="6" t="str">
        <f>HYPERLINK("http://mcgill.on.worldcat.org/oclc/7462240","Catalog Record")</f>
        <v>Catalog Record</v>
      </c>
      <c r="AW3849" s="6" t="str">
        <f>HYPERLINK("http://www.worldcat.org/oclc/7462240","WorldCat Record")</f>
        <v>WorldCat Record</v>
      </c>
      <c r="AX3849" s="3" t="s">
        <v>32793</v>
      </c>
      <c r="AY3849" s="3" t="s">
        <v>32815</v>
      </c>
      <c r="AZ3849" s="3" t="s">
        <v>32816</v>
      </c>
      <c r="BA3849" s="3" t="s">
        <v>32816</v>
      </c>
      <c r="BB3849" s="3" t="s">
        <v>32817</v>
      </c>
      <c r="BC3849" s="3" t="s">
        <v>82</v>
      </c>
      <c r="BD3849" s="3" t="s">
        <v>70</v>
      </c>
      <c r="BE3849" s="3" t="s">
        <v>32818</v>
      </c>
      <c r="BF3849" s="3" t="s">
        <v>32817</v>
      </c>
      <c r="BG3849" s="3" t="s">
        <v>32819</v>
      </c>
    </row>
    <row r="3850" spans="1:59" ht="90" x14ac:dyDescent="0.25">
      <c r="A3850" s="2" t="s">
        <v>59</v>
      </c>
      <c r="B3850" s="2" t="s">
        <v>60</v>
      </c>
      <c r="C3850" s="2" t="s">
        <v>32820</v>
      </c>
      <c r="D3850" s="2" t="s">
        <v>32821</v>
      </c>
      <c r="E3850" s="2" t="s">
        <v>32822</v>
      </c>
      <c r="G3850" s="3" t="s">
        <v>63</v>
      </c>
      <c r="I3850" s="3" t="s">
        <v>63</v>
      </c>
      <c r="J3850" s="3" t="s">
        <v>63</v>
      </c>
      <c r="K3850" s="3" t="s">
        <v>64</v>
      </c>
      <c r="L3850" s="2" t="s">
        <v>32823</v>
      </c>
      <c r="M3850" s="2" t="s">
        <v>32824</v>
      </c>
      <c r="N3850" s="3" t="s">
        <v>130</v>
      </c>
      <c r="P3850" s="3" t="s">
        <v>90</v>
      </c>
      <c r="R3850" s="3" t="s">
        <v>67</v>
      </c>
      <c r="S3850" s="4">
        <v>0</v>
      </c>
      <c r="T3850" s="4">
        <v>0</v>
      </c>
      <c r="W3850" s="5" t="s">
        <v>69</v>
      </c>
      <c r="X3850" s="5" t="s">
        <v>69</v>
      </c>
      <c r="Y3850" s="4">
        <v>32</v>
      </c>
      <c r="Z3850" s="4">
        <v>5</v>
      </c>
      <c r="AA3850" s="4">
        <v>5</v>
      </c>
      <c r="AB3850" s="4">
        <v>1</v>
      </c>
      <c r="AC3850" s="4">
        <v>1</v>
      </c>
      <c r="AD3850" s="4">
        <v>26</v>
      </c>
      <c r="AE3850" s="4">
        <v>26</v>
      </c>
      <c r="AF3850" s="4">
        <v>0</v>
      </c>
      <c r="AG3850" s="4">
        <v>0</v>
      </c>
      <c r="AH3850" s="4">
        <v>25</v>
      </c>
      <c r="AI3850" s="4">
        <v>25</v>
      </c>
      <c r="AJ3850" s="4">
        <v>3</v>
      </c>
      <c r="AK3850" s="4">
        <v>3</v>
      </c>
      <c r="AL3850" s="4">
        <v>19</v>
      </c>
      <c r="AM3850" s="4">
        <v>19</v>
      </c>
      <c r="AN3850" s="4">
        <v>0</v>
      </c>
      <c r="AO3850" s="4">
        <v>0</v>
      </c>
      <c r="AP3850" s="4">
        <v>3</v>
      </c>
      <c r="AQ3850" s="4">
        <v>3</v>
      </c>
      <c r="AR3850" s="3" t="s">
        <v>63</v>
      </c>
      <c r="AS3850" s="3" t="s">
        <v>63</v>
      </c>
      <c r="AT3850" s="3" t="s">
        <v>63</v>
      </c>
      <c r="AV3850" s="6" t="str">
        <f>HYPERLINK("http://mcgill.on.worldcat.org/oclc/864427373","Catalog Record")</f>
        <v>Catalog Record</v>
      </c>
      <c r="AW3850" s="6" t="str">
        <f>HYPERLINK("http://www.worldcat.org/oclc/864427373","WorldCat Record")</f>
        <v>WorldCat Record</v>
      </c>
      <c r="AX3850" s="3" t="s">
        <v>32825</v>
      </c>
      <c r="AY3850" s="3" t="s">
        <v>32826</v>
      </c>
      <c r="AZ3850" s="3" t="s">
        <v>32827</v>
      </c>
      <c r="BA3850" s="3" t="s">
        <v>32827</v>
      </c>
      <c r="BB3850" s="3" t="s">
        <v>32828</v>
      </c>
      <c r="BC3850" s="3" t="s">
        <v>82</v>
      </c>
      <c r="BD3850" s="3" t="s">
        <v>70</v>
      </c>
      <c r="BE3850" s="3" t="s">
        <v>32829</v>
      </c>
      <c r="BF3850" s="3" t="s">
        <v>32828</v>
      </c>
      <c r="BG3850" s="3" t="s">
        <v>32830</v>
      </c>
    </row>
    <row r="3851" spans="1:59" ht="60" x14ac:dyDescent="0.25">
      <c r="A3851" s="2" t="s">
        <v>59</v>
      </c>
      <c r="B3851" s="2" t="s">
        <v>60</v>
      </c>
      <c r="C3851" s="2" t="s">
        <v>32831</v>
      </c>
      <c r="D3851" s="2" t="s">
        <v>32832</v>
      </c>
      <c r="E3851" s="2" t="s">
        <v>32833</v>
      </c>
      <c r="G3851" s="3" t="s">
        <v>63</v>
      </c>
      <c r="I3851" s="3" t="s">
        <v>63</v>
      </c>
      <c r="J3851" s="3" t="s">
        <v>63</v>
      </c>
      <c r="K3851" s="3" t="s">
        <v>64</v>
      </c>
      <c r="L3851" s="2" t="s">
        <v>32834</v>
      </c>
      <c r="M3851" s="2" t="s">
        <v>32835</v>
      </c>
      <c r="N3851" s="3" t="s">
        <v>143</v>
      </c>
      <c r="P3851" s="3" t="s">
        <v>66</v>
      </c>
      <c r="Q3851" s="2" t="s">
        <v>8715</v>
      </c>
      <c r="R3851" s="3" t="s">
        <v>67</v>
      </c>
      <c r="S3851" s="4">
        <v>2</v>
      </c>
      <c r="T3851" s="4">
        <v>2</v>
      </c>
      <c r="U3851" s="5" t="s">
        <v>11109</v>
      </c>
      <c r="V3851" s="5" t="s">
        <v>11109</v>
      </c>
      <c r="W3851" s="5" t="s">
        <v>69</v>
      </c>
      <c r="X3851" s="5" t="s">
        <v>69</v>
      </c>
      <c r="Y3851" s="4">
        <v>91</v>
      </c>
      <c r="Z3851" s="4">
        <v>8</v>
      </c>
      <c r="AA3851" s="4">
        <v>10</v>
      </c>
      <c r="AB3851" s="4">
        <v>1</v>
      </c>
      <c r="AC3851" s="4">
        <v>3</v>
      </c>
      <c r="AD3851" s="4">
        <v>47</v>
      </c>
      <c r="AE3851" s="4">
        <v>48</v>
      </c>
      <c r="AF3851" s="4">
        <v>0</v>
      </c>
      <c r="AG3851" s="4">
        <v>0</v>
      </c>
      <c r="AH3851" s="4">
        <v>44</v>
      </c>
      <c r="AI3851" s="4">
        <v>45</v>
      </c>
      <c r="AJ3851" s="4">
        <v>6</v>
      </c>
      <c r="AK3851" s="4">
        <v>6</v>
      </c>
      <c r="AL3851" s="4">
        <v>32</v>
      </c>
      <c r="AM3851" s="4">
        <v>33</v>
      </c>
      <c r="AN3851" s="4">
        <v>0</v>
      </c>
      <c r="AO3851" s="4">
        <v>0</v>
      </c>
      <c r="AP3851" s="4">
        <v>6</v>
      </c>
      <c r="AQ3851" s="4">
        <v>6</v>
      </c>
      <c r="AR3851" s="3" t="s">
        <v>63</v>
      </c>
      <c r="AS3851" s="3" t="s">
        <v>63</v>
      </c>
      <c r="AT3851" s="3" t="s">
        <v>63</v>
      </c>
      <c r="AV3851" s="6" t="str">
        <f>HYPERLINK("http://mcgill.on.worldcat.org/oclc/869775116","Catalog Record")</f>
        <v>Catalog Record</v>
      </c>
      <c r="AW3851" s="6" t="str">
        <f>HYPERLINK("http://www.worldcat.org/oclc/869775116","WorldCat Record")</f>
        <v>WorldCat Record</v>
      </c>
      <c r="AX3851" s="3" t="s">
        <v>32836</v>
      </c>
      <c r="AY3851" s="3" t="s">
        <v>32837</v>
      </c>
      <c r="AZ3851" s="3" t="s">
        <v>32838</v>
      </c>
      <c r="BA3851" s="3" t="s">
        <v>32838</v>
      </c>
      <c r="BB3851" s="3" t="s">
        <v>32839</v>
      </c>
      <c r="BC3851" s="3" t="s">
        <v>82</v>
      </c>
      <c r="BD3851" s="3" t="s">
        <v>70</v>
      </c>
      <c r="BE3851" s="3" t="s">
        <v>32840</v>
      </c>
      <c r="BF3851" s="3" t="s">
        <v>32839</v>
      </c>
      <c r="BG3851" s="3" t="s">
        <v>32841</v>
      </c>
    </row>
    <row r="3852" spans="1:59" ht="60" x14ac:dyDescent="0.25">
      <c r="A3852" s="2" t="s">
        <v>59</v>
      </c>
      <c r="B3852" s="2" t="s">
        <v>60</v>
      </c>
      <c r="C3852" s="2" t="s">
        <v>32842</v>
      </c>
      <c r="D3852" s="2" t="s">
        <v>32843</v>
      </c>
      <c r="E3852" s="2" t="s">
        <v>32844</v>
      </c>
      <c r="G3852" s="3" t="s">
        <v>63</v>
      </c>
      <c r="I3852" s="3" t="s">
        <v>63</v>
      </c>
      <c r="J3852" s="3" t="s">
        <v>63</v>
      </c>
      <c r="K3852" s="3" t="s">
        <v>64</v>
      </c>
      <c r="L3852" s="2" t="s">
        <v>32834</v>
      </c>
      <c r="M3852" s="2" t="s">
        <v>32845</v>
      </c>
      <c r="N3852" s="3" t="s">
        <v>287</v>
      </c>
      <c r="P3852" s="3" t="s">
        <v>66</v>
      </c>
      <c r="Q3852" s="2" t="s">
        <v>8715</v>
      </c>
      <c r="R3852" s="3" t="s">
        <v>67</v>
      </c>
      <c r="S3852" s="4">
        <v>1</v>
      </c>
      <c r="T3852" s="4">
        <v>1</v>
      </c>
      <c r="U3852" s="5" t="s">
        <v>23085</v>
      </c>
      <c r="V3852" s="5" t="s">
        <v>23085</v>
      </c>
      <c r="W3852" s="5" t="s">
        <v>69</v>
      </c>
      <c r="X3852" s="5" t="s">
        <v>69</v>
      </c>
      <c r="Y3852" s="4">
        <v>53</v>
      </c>
      <c r="Z3852" s="4">
        <v>3</v>
      </c>
      <c r="AA3852" s="4">
        <v>5</v>
      </c>
      <c r="AB3852" s="4">
        <v>1</v>
      </c>
      <c r="AC3852" s="4">
        <v>3</v>
      </c>
      <c r="AD3852" s="4">
        <v>34</v>
      </c>
      <c r="AE3852" s="4">
        <v>34</v>
      </c>
      <c r="AF3852" s="4">
        <v>0</v>
      </c>
      <c r="AG3852" s="4">
        <v>0</v>
      </c>
      <c r="AH3852" s="4">
        <v>32</v>
      </c>
      <c r="AI3852" s="4">
        <v>32</v>
      </c>
      <c r="AJ3852" s="4">
        <v>2</v>
      </c>
      <c r="AK3852" s="4">
        <v>2</v>
      </c>
      <c r="AL3852" s="4">
        <v>24</v>
      </c>
      <c r="AM3852" s="4">
        <v>24</v>
      </c>
      <c r="AN3852" s="4">
        <v>0</v>
      </c>
      <c r="AO3852" s="4">
        <v>0</v>
      </c>
      <c r="AP3852" s="4">
        <v>2</v>
      </c>
      <c r="AQ3852" s="4">
        <v>2</v>
      </c>
      <c r="AR3852" s="3" t="s">
        <v>63</v>
      </c>
      <c r="AS3852" s="3" t="s">
        <v>63</v>
      </c>
      <c r="AT3852" s="3" t="s">
        <v>63</v>
      </c>
      <c r="AV3852" s="6" t="str">
        <f>HYPERLINK("http://mcgill.on.worldcat.org/oclc/980487722","Catalog Record")</f>
        <v>Catalog Record</v>
      </c>
      <c r="AW3852" s="6" t="str">
        <f>HYPERLINK("http://www.worldcat.org/oclc/980487722","WorldCat Record")</f>
        <v>WorldCat Record</v>
      </c>
      <c r="AX3852" s="3" t="s">
        <v>32846</v>
      </c>
      <c r="AY3852" s="3" t="s">
        <v>32847</v>
      </c>
      <c r="AZ3852" s="3" t="s">
        <v>32848</v>
      </c>
      <c r="BA3852" s="3" t="s">
        <v>32848</v>
      </c>
      <c r="BB3852" s="3" t="s">
        <v>32849</v>
      </c>
      <c r="BC3852" s="3" t="s">
        <v>82</v>
      </c>
      <c r="BD3852" s="3" t="s">
        <v>70</v>
      </c>
      <c r="BE3852" s="3" t="s">
        <v>32850</v>
      </c>
      <c r="BF3852" s="3" t="s">
        <v>32849</v>
      </c>
      <c r="BG3852" s="3" t="s">
        <v>32851</v>
      </c>
    </row>
    <row r="3853" spans="1:59" ht="60" x14ac:dyDescent="0.25">
      <c r="A3853" s="2" t="s">
        <v>59</v>
      </c>
      <c r="B3853" s="2" t="s">
        <v>60</v>
      </c>
      <c r="C3853" s="2" t="s">
        <v>32852</v>
      </c>
      <c r="D3853" s="2" t="s">
        <v>32853</v>
      </c>
      <c r="E3853" s="2" t="s">
        <v>32854</v>
      </c>
      <c r="G3853" s="3" t="s">
        <v>63</v>
      </c>
      <c r="I3853" s="3" t="s">
        <v>63</v>
      </c>
      <c r="J3853" s="3" t="s">
        <v>63</v>
      </c>
      <c r="K3853" s="3" t="s">
        <v>64</v>
      </c>
      <c r="L3853" s="2" t="s">
        <v>32855</v>
      </c>
      <c r="M3853" s="2" t="s">
        <v>29585</v>
      </c>
      <c r="N3853" s="3" t="s">
        <v>1557</v>
      </c>
      <c r="P3853" s="3" t="s">
        <v>90</v>
      </c>
      <c r="Q3853" s="2" t="s">
        <v>29586</v>
      </c>
      <c r="R3853" s="3" t="s">
        <v>67</v>
      </c>
      <c r="S3853" s="4">
        <v>1</v>
      </c>
      <c r="T3853" s="4">
        <v>1</v>
      </c>
      <c r="U3853" s="5" t="s">
        <v>7212</v>
      </c>
      <c r="V3853" s="5" t="s">
        <v>7212</v>
      </c>
      <c r="W3853" s="5" t="s">
        <v>69</v>
      </c>
      <c r="X3853" s="5" t="s">
        <v>69</v>
      </c>
      <c r="Y3853" s="4">
        <v>41</v>
      </c>
      <c r="Z3853" s="4">
        <v>2</v>
      </c>
      <c r="AA3853" s="4">
        <v>2</v>
      </c>
      <c r="AB3853" s="4">
        <v>1</v>
      </c>
      <c r="AC3853" s="4">
        <v>1</v>
      </c>
      <c r="AD3853" s="4">
        <v>31</v>
      </c>
      <c r="AE3853" s="4">
        <v>31</v>
      </c>
      <c r="AF3853" s="4">
        <v>0</v>
      </c>
      <c r="AG3853" s="4">
        <v>0</v>
      </c>
      <c r="AH3853" s="4">
        <v>30</v>
      </c>
      <c r="AI3853" s="4">
        <v>30</v>
      </c>
      <c r="AJ3853" s="4">
        <v>1</v>
      </c>
      <c r="AK3853" s="4">
        <v>1</v>
      </c>
      <c r="AL3853" s="4">
        <v>23</v>
      </c>
      <c r="AM3853" s="4">
        <v>23</v>
      </c>
      <c r="AN3853" s="4">
        <v>0</v>
      </c>
      <c r="AO3853" s="4">
        <v>0</v>
      </c>
      <c r="AP3853" s="4">
        <v>1</v>
      </c>
      <c r="AQ3853" s="4">
        <v>1</v>
      </c>
      <c r="AR3853" s="3" t="s">
        <v>63</v>
      </c>
      <c r="AS3853" s="3" t="s">
        <v>63</v>
      </c>
      <c r="AT3853" s="3" t="s">
        <v>63</v>
      </c>
      <c r="AV3853" s="6" t="str">
        <f>HYPERLINK("http://mcgill.on.worldcat.org/oclc/1005355158","Catalog Record")</f>
        <v>Catalog Record</v>
      </c>
      <c r="AW3853" s="6" t="str">
        <f>HYPERLINK("http://www.worldcat.org/oclc/1005355158","WorldCat Record")</f>
        <v>WorldCat Record</v>
      </c>
      <c r="AX3853" s="3" t="s">
        <v>32856</v>
      </c>
      <c r="AY3853" s="3" t="s">
        <v>32857</v>
      </c>
      <c r="AZ3853" s="3" t="s">
        <v>32858</v>
      </c>
      <c r="BA3853" s="3" t="s">
        <v>32858</v>
      </c>
      <c r="BB3853" s="3" t="s">
        <v>32859</v>
      </c>
      <c r="BC3853" s="3" t="s">
        <v>82</v>
      </c>
      <c r="BD3853" s="3" t="s">
        <v>70</v>
      </c>
      <c r="BE3853" s="3" t="s">
        <v>32860</v>
      </c>
      <c r="BF3853" s="3" t="s">
        <v>32859</v>
      </c>
      <c r="BG3853" s="3" t="s">
        <v>32861</v>
      </c>
    </row>
    <row r="3854" spans="1:59" ht="75" x14ac:dyDescent="0.25">
      <c r="A3854" s="2" t="s">
        <v>59</v>
      </c>
      <c r="B3854" s="2" t="s">
        <v>60</v>
      </c>
      <c r="C3854" s="2" t="s">
        <v>32862</v>
      </c>
      <c r="D3854" s="2" t="s">
        <v>32863</v>
      </c>
      <c r="E3854" s="2" t="s">
        <v>32864</v>
      </c>
      <c r="G3854" s="3" t="s">
        <v>63</v>
      </c>
      <c r="I3854" s="3" t="s">
        <v>63</v>
      </c>
      <c r="J3854" s="3" t="s">
        <v>63</v>
      </c>
      <c r="K3854" s="3" t="s">
        <v>64</v>
      </c>
      <c r="L3854" s="2" t="s">
        <v>32865</v>
      </c>
      <c r="M3854" s="2" t="s">
        <v>32866</v>
      </c>
      <c r="N3854" s="3" t="s">
        <v>2765</v>
      </c>
      <c r="O3854" s="2" t="s">
        <v>1605</v>
      </c>
      <c r="P3854" s="3" t="s">
        <v>66</v>
      </c>
      <c r="R3854" s="3" t="s">
        <v>67</v>
      </c>
      <c r="S3854" s="4">
        <v>0</v>
      </c>
      <c r="T3854" s="4">
        <v>0</v>
      </c>
      <c r="W3854" s="5" t="s">
        <v>8727</v>
      </c>
      <c r="X3854" s="5" t="s">
        <v>8727</v>
      </c>
      <c r="Y3854" s="4">
        <v>82</v>
      </c>
      <c r="Z3854" s="4">
        <v>8</v>
      </c>
      <c r="AA3854" s="4">
        <v>10</v>
      </c>
      <c r="AB3854" s="4">
        <v>1</v>
      </c>
      <c r="AC3854" s="4">
        <v>3</v>
      </c>
      <c r="AD3854" s="4">
        <v>32</v>
      </c>
      <c r="AE3854" s="4">
        <v>36</v>
      </c>
      <c r="AF3854" s="4">
        <v>0</v>
      </c>
      <c r="AG3854" s="4">
        <v>0</v>
      </c>
      <c r="AH3854" s="4">
        <v>31</v>
      </c>
      <c r="AI3854" s="4">
        <v>35</v>
      </c>
      <c r="AJ3854" s="4">
        <v>4</v>
      </c>
      <c r="AK3854" s="4">
        <v>4</v>
      </c>
      <c r="AL3854" s="4">
        <v>22</v>
      </c>
      <c r="AM3854" s="4">
        <v>25</v>
      </c>
      <c r="AN3854" s="4">
        <v>0</v>
      </c>
      <c r="AO3854" s="4">
        <v>0</v>
      </c>
      <c r="AP3854" s="4">
        <v>4</v>
      </c>
      <c r="AQ3854" s="4">
        <v>4</v>
      </c>
      <c r="AR3854" s="3" t="s">
        <v>63</v>
      </c>
      <c r="AS3854" s="3" t="s">
        <v>63</v>
      </c>
      <c r="AT3854" s="3" t="s">
        <v>63</v>
      </c>
      <c r="AV3854" s="6" t="str">
        <f>HYPERLINK("http://mcgill.on.worldcat.org/oclc/910501902","Catalog Record")</f>
        <v>Catalog Record</v>
      </c>
      <c r="AW3854" s="6" t="str">
        <f>HYPERLINK("http://www.worldcat.org/oclc/910501902","WorldCat Record")</f>
        <v>WorldCat Record</v>
      </c>
      <c r="AX3854" s="3" t="s">
        <v>32867</v>
      </c>
      <c r="AY3854" s="3" t="s">
        <v>32868</v>
      </c>
      <c r="AZ3854" s="3" t="s">
        <v>32869</v>
      </c>
      <c r="BA3854" s="3" t="s">
        <v>32869</v>
      </c>
      <c r="BB3854" s="3" t="s">
        <v>32870</v>
      </c>
      <c r="BC3854" s="3" t="s">
        <v>82</v>
      </c>
      <c r="BD3854" s="3" t="s">
        <v>70</v>
      </c>
      <c r="BE3854" s="3" t="s">
        <v>32871</v>
      </c>
      <c r="BF3854" s="3" t="s">
        <v>32870</v>
      </c>
      <c r="BG3854" s="3" t="s">
        <v>32872</v>
      </c>
    </row>
    <row r="3855" spans="1:59" ht="75" x14ac:dyDescent="0.25">
      <c r="A3855" s="2" t="s">
        <v>59</v>
      </c>
      <c r="B3855" s="2" t="s">
        <v>60</v>
      </c>
      <c r="C3855" s="2" t="s">
        <v>32873</v>
      </c>
      <c r="D3855" s="2" t="s">
        <v>32874</v>
      </c>
      <c r="E3855" s="2" t="s">
        <v>32875</v>
      </c>
      <c r="G3855" s="3" t="s">
        <v>63</v>
      </c>
      <c r="I3855" s="3" t="s">
        <v>63</v>
      </c>
      <c r="J3855" s="3" t="s">
        <v>63</v>
      </c>
      <c r="K3855" s="3" t="s">
        <v>64</v>
      </c>
      <c r="L3855" s="2" t="s">
        <v>32876</v>
      </c>
      <c r="M3855" s="2" t="s">
        <v>32877</v>
      </c>
      <c r="N3855" s="3" t="s">
        <v>130</v>
      </c>
      <c r="P3855" s="3" t="s">
        <v>66</v>
      </c>
      <c r="R3855" s="3" t="s">
        <v>67</v>
      </c>
      <c r="S3855" s="4">
        <v>0</v>
      </c>
      <c r="T3855" s="4">
        <v>0</v>
      </c>
      <c r="W3855" s="5" t="s">
        <v>69</v>
      </c>
      <c r="X3855" s="5" t="s">
        <v>69</v>
      </c>
      <c r="Y3855" s="4">
        <v>288</v>
      </c>
      <c r="Z3855" s="4">
        <v>14</v>
      </c>
      <c r="AA3855" s="4">
        <v>25</v>
      </c>
      <c r="AB3855" s="4">
        <v>2</v>
      </c>
      <c r="AC3855" s="4">
        <v>4</v>
      </c>
      <c r="AD3855" s="4">
        <v>55</v>
      </c>
      <c r="AE3855" s="4">
        <v>71</v>
      </c>
      <c r="AF3855" s="4">
        <v>0</v>
      </c>
      <c r="AG3855" s="4">
        <v>0</v>
      </c>
      <c r="AH3855" s="4">
        <v>51</v>
      </c>
      <c r="AI3855" s="4">
        <v>66</v>
      </c>
      <c r="AJ3855" s="4">
        <v>9</v>
      </c>
      <c r="AK3855" s="4">
        <v>11</v>
      </c>
      <c r="AL3855" s="4">
        <v>34</v>
      </c>
      <c r="AM3855" s="4">
        <v>38</v>
      </c>
      <c r="AN3855" s="4">
        <v>0</v>
      </c>
      <c r="AO3855" s="4">
        <v>0</v>
      </c>
      <c r="AP3855" s="4">
        <v>9</v>
      </c>
      <c r="AQ3855" s="4">
        <v>12</v>
      </c>
      <c r="AR3855" s="3" t="s">
        <v>63</v>
      </c>
      <c r="AS3855" s="3" t="s">
        <v>63</v>
      </c>
      <c r="AT3855" s="3" t="s">
        <v>63</v>
      </c>
      <c r="AV3855" s="6" t="str">
        <f>HYPERLINK("http://mcgill.on.worldcat.org/oclc/816166213","Catalog Record")</f>
        <v>Catalog Record</v>
      </c>
      <c r="AW3855" s="6" t="str">
        <f>HYPERLINK("http://www.worldcat.org/oclc/816166213","WorldCat Record")</f>
        <v>WorldCat Record</v>
      </c>
      <c r="AX3855" s="3" t="s">
        <v>32878</v>
      </c>
      <c r="AY3855" s="3" t="s">
        <v>32879</v>
      </c>
      <c r="AZ3855" s="3" t="s">
        <v>32880</v>
      </c>
      <c r="BA3855" s="3" t="s">
        <v>32880</v>
      </c>
      <c r="BB3855" s="3" t="s">
        <v>32881</v>
      </c>
      <c r="BC3855" s="3" t="s">
        <v>82</v>
      </c>
      <c r="BD3855" s="3" t="s">
        <v>70</v>
      </c>
      <c r="BE3855" s="3" t="s">
        <v>32882</v>
      </c>
      <c r="BF3855" s="3" t="s">
        <v>32881</v>
      </c>
      <c r="BG3855" s="3" t="s">
        <v>32883</v>
      </c>
    </row>
    <row r="3856" spans="1:59" ht="75" x14ac:dyDescent="0.25">
      <c r="A3856" s="2" t="s">
        <v>59</v>
      </c>
      <c r="B3856" s="2" t="s">
        <v>60</v>
      </c>
      <c r="C3856" s="2" t="s">
        <v>32884</v>
      </c>
      <c r="D3856" s="2" t="s">
        <v>32885</v>
      </c>
      <c r="E3856" s="2" t="s">
        <v>32886</v>
      </c>
      <c r="G3856" s="3" t="s">
        <v>63</v>
      </c>
      <c r="I3856" s="3" t="s">
        <v>63</v>
      </c>
      <c r="J3856" s="3" t="s">
        <v>63</v>
      </c>
      <c r="K3856" s="3" t="s">
        <v>64</v>
      </c>
      <c r="L3856" s="2" t="s">
        <v>32876</v>
      </c>
      <c r="M3856" s="2" t="s">
        <v>32887</v>
      </c>
      <c r="N3856" s="3" t="s">
        <v>76</v>
      </c>
      <c r="O3856" s="2" t="s">
        <v>1605</v>
      </c>
      <c r="P3856" s="3" t="s">
        <v>66</v>
      </c>
      <c r="R3856" s="3" t="s">
        <v>67</v>
      </c>
      <c r="S3856" s="4">
        <v>4</v>
      </c>
      <c r="T3856" s="4">
        <v>4</v>
      </c>
      <c r="U3856" s="5" t="s">
        <v>16041</v>
      </c>
      <c r="V3856" s="5" t="s">
        <v>16041</v>
      </c>
      <c r="W3856" s="5" t="s">
        <v>69</v>
      </c>
      <c r="X3856" s="5" t="s">
        <v>69</v>
      </c>
      <c r="Y3856" s="4">
        <v>205</v>
      </c>
      <c r="Z3856" s="4">
        <v>14</v>
      </c>
      <c r="AA3856" s="4">
        <v>14</v>
      </c>
      <c r="AB3856" s="4">
        <v>1</v>
      </c>
      <c r="AC3856" s="4">
        <v>1</v>
      </c>
      <c r="AD3856" s="4">
        <v>67</v>
      </c>
      <c r="AE3856" s="4">
        <v>67</v>
      </c>
      <c r="AF3856" s="4">
        <v>0</v>
      </c>
      <c r="AG3856" s="4">
        <v>0</v>
      </c>
      <c r="AH3856" s="4">
        <v>64</v>
      </c>
      <c r="AI3856" s="4">
        <v>64</v>
      </c>
      <c r="AJ3856" s="4">
        <v>7</v>
      </c>
      <c r="AK3856" s="4">
        <v>7</v>
      </c>
      <c r="AL3856" s="4">
        <v>41</v>
      </c>
      <c r="AM3856" s="4">
        <v>41</v>
      </c>
      <c r="AN3856" s="4">
        <v>0</v>
      </c>
      <c r="AO3856" s="4">
        <v>0</v>
      </c>
      <c r="AP3856" s="4">
        <v>8</v>
      </c>
      <c r="AQ3856" s="4">
        <v>8</v>
      </c>
      <c r="AR3856" s="3" t="s">
        <v>63</v>
      </c>
      <c r="AS3856" s="3" t="s">
        <v>63</v>
      </c>
      <c r="AT3856" s="3" t="s">
        <v>63</v>
      </c>
      <c r="AV3856" s="6" t="str">
        <f>HYPERLINK("http://mcgill.on.worldcat.org/oclc/795020558","Catalog Record")</f>
        <v>Catalog Record</v>
      </c>
      <c r="AW3856" s="6" t="str">
        <f>HYPERLINK("http://www.worldcat.org/oclc/795020558","WorldCat Record")</f>
        <v>WorldCat Record</v>
      </c>
      <c r="AX3856" s="3" t="s">
        <v>32888</v>
      </c>
      <c r="AY3856" s="3" t="s">
        <v>32889</v>
      </c>
      <c r="AZ3856" s="3" t="s">
        <v>32890</v>
      </c>
      <c r="BA3856" s="3" t="s">
        <v>32890</v>
      </c>
      <c r="BB3856" s="3" t="s">
        <v>32891</v>
      </c>
      <c r="BC3856" s="3" t="s">
        <v>82</v>
      </c>
      <c r="BD3856" s="3" t="s">
        <v>70</v>
      </c>
      <c r="BE3856" s="3" t="s">
        <v>32892</v>
      </c>
      <c r="BF3856" s="3" t="s">
        <v>32891</v>
      </c>
      <c r="BG3856" s="3" t="s">
        <v>32893</v>
      </c>
    </row>
    <row r="3857" spans="1:59" ht="60" x14ac:dyDescent="0.25">
      <c r="A3857" s="2" t="s">
        <v>59</v>
      </c>
      <c r="B3857" s="2" t="s">
        <v>60</v>
      </c>
      <c r="C3857" s="2" t="s">
        <v>32894</v>
      </c>
      <c r="D3857" s="2" t="s">
        <v>32895</v>
      </c>
      <c r="E3857" s="2" t="s">
        <v>32896</v>
      </c>
      <c r="G3857" s="3" t="s">
        <v>63</v>
      </c>
      <c r="I3857" s="3" t="s">
        <v>63</v>
      </c>
      <c r="J3857" s="3" t="s">
        <v>63</v>
      </c>
      <c r="K3857" s="3" t="s">
        <v>64</v>
      </c>
      <c r="L3857" s="2" t="s">
        <v>32897</v>
      </c>
      <c r="M3857" s="2" t="s">
        <v>32898</v>
      </c>
      <c r="N3857" s="3" t="s">
        <v>2765</v>
      </c>
      <c r="P3857" s="3" t="s">
        <v>90</v>
      </c>
      <c r="R3857" s="3" t="s">
        <v>67</v>
      </c>
      <c r="S3857" s="4">
        <v>0</v>
      </c>
      <c r="T3857" s="4">
        <v>0</v>
      </c>
      <c r="W3857" s="5" t="s">
        <v>69</v>
      </c>
      <c r="X3857" s="5" t="s">
        <v>69</v>
      </c>
      <c r="Y3857" s="4">
        <v>18</v>
      </c>
      <c r="Z3857" s="4">
        <v>3</v>
      </c>
      <c r="AA3857" s="4">
        <v>4</v>
      </c>
      <c r="AB3857" s="4">
        <v>1</v>
      </c>
      <c r="AC3857" s="4">
        <v>1</v>
      </c>
      <c r="AD3857" s="4">
        <v>12</v>
      </c>
      <c r="AE3857" s="4">
        <v>32</v>
      </c>
      <c r="AF3857" s="4">
        <v>0</v>
      </c>
      <c r="AG3857" s="4">
        <v>0</v>
      </c>
      <c r="AH3857" s="4">
        <v>12</v>
      </c>
      <c r="AI3857" s="4">
        <v>31</v>
      </c>
      <c r="AJ3857" s="4">
        <v>1</v>
      </c>
      <c r="AK3857" s="4">
        <v>2</v>
      </c>
      <c r="AL3857" s="4">
        <v>7</v>
      </c>
      <c r="AM3857" s="4">
        <v>22</v>
      </c>
      <c r="AN3857" s="4">
        <v>0</v>
      </c>
      <c r="AO3857" s="4">
        <v>0</v>
      </c>
      <c r="AP3857" s="4">
        <v>1</v>
      </c>
      <c r="AQ3857" s="4">
        <v>2</v>
      </c>
      <c r="AR3857" s="3" t="s">
        <v>63</v>
      </c>
      <c r="AS3857" s="3" t="s">
        <v>63</v>
      </c>
      <c r="AT3857" s="3" t="s">
        <v>63</v>
      </c>
      <c r="AV3857" s="6" t="str">
        <f>HYPERLINK("http://mcgill.on.worldcat.org/oclc/897835207","Catalog Record")</f>
        <v>Catalog Record</v>
      </c>
      <c r="AW3857" s="6" t="str">
        <f>HYPERLINK("http://www.worldcat.org/oclc/897835207","WorldCat Record")</f>
        <v>WorldCat Record</v>
      </c>
      <c r="AX3857" s="3" t="s">
        <v>32899</v>
      </c>
      <c r="AY3857" s="3" t="s">
        <v>32900</v>
      </c>
      <c r="AZ3857" s="3" t="s">
        <v>32901</v>
      </c>
      <c r="BA3857" s="3" t="s">
        <v>32901</v>
      </c>
      <c r="BB3857" s="3" t="s">
        <v>32902</v>
      </c>
      <c r="BC3857" s="3" t="s">
        <v>82</v>
      </c>
      <c r="BD3857" s="3" t="s">
        <v>70</v>
      </c>
      <c r="BE3857" s="3" t="s">
        <v>32903</v>
      </c>
      <c r="BF3857" s="3" t="s">
        <v>32902</v>
      </c>
      <c r="BG3857" s="3" t="s">
        <v>32904</v>
      </c>
    </row>
    <row r="3858" spans="1:59" ht="60" x14ac:dyDescent="0.25">
      <c r="A3858" s="2" t="s">
        <v>59</v>
      </c>
      <c r="B3858" s="2" t="s">
        <v>60</v>
      </c>
      <c r="C3858" s="2" t="s">
        <v>32905</v>
      </c>
      <c r="D3858" s="2" t="s">
        <v>32906</v>
      </c>
      <c r="E3858" s="2" t="s">
        <v>32907</v>
      </c>
      <c r="G3858" s="3" t="s">
        <v>63</v>
      </c>
      <c r="I3858" s="3" t="s">
        <v>63</v>
      </c>
      <c r="J3858" s="3" t="s">
        <v>63</v>
      </c>
      <c r="K3858" s="3" t="s">
        <v>64</v>
      </c>
      <c r="L3858" s="2" t="s">
        <v>32908</v>
      </c>
      <c r="M3858" s="2" t="s">
        <v>32909</v>
      </c>
      <c r="N3858" s="3" t="s">
        <v>130</v>
      </c>
      <c r="P3858" s="3" t="s">
        <v>90</v>
      </c>
      <c r="R3858" s="3" t="s">
        <v>67</v>
      </c>
      <c r="S3858" s="4">
        <v>1</v>
      </c>
      <c r="T3858" s="4">
        <v>1</v>
      </c>
      <c r="U3858" s="5" t="s">
        <v>9503</v>
      </c>
      <c r="V3858" s="5" t="s">
        <v>9503</v>
      </c>
      <c r="W3858" s="5" t="s">
        <v>69</v>
      </c>
      <c r="X3858" s="5" t="s">
        <v>69</v>
      </c>
      <c r="Y3858" s="4">
        <v>10</v>
      </c>
      <c r="Z3858" s="4">
        <v>1</v>
      </c>
      <c r="AA3858" s="4">
        <v>1</v>
      </c>
      <c r="AB3858" s="4">
        <v>1</v>
      </c>
      <c r="AC3858" s="4">
        <v>1</v>
      </c>
      <c r="AD3858" s="4">
        <v>2</v>
      </c>
      <c r="AE3858" s="4">
        <v>2</v>
      </c>
      <c r="AF3858" s="4">
        <v>0</v>
      </c>
      <c r="AG3858" s="4">
        <v>0</v>
      </c>
      <c r="AH3858" s="4">
        <v>2</v>
      </c>
      <c r="AI3858" s="4">
        <v>2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3" t="s">
        <v>63</v>
      </c>
      <c r="AS3858" s="3" t="s">
        <v>63</v>
      </c>
      <c r="AT3858" s="3" t="s">
        <v>63</v>
      </c>
      <c r="AV3858" s="6" t="str">
        <f>HYPERLINK("http://mcgill.on.worldcat.org/oclc/842911352","Catalog Record")</f>
        <v>Catalog Record</v>
      </c>
      <c r="AW3858" s="6" t="str">
        <f>HYPERLINK("http://www.worldcat.org/oclc/842911352","WorldCat Record")</f>
        <v>WorldCat Record</v>
      </c>
      <c r="AX3858" s="3" t="s">
        <v>32910</v>
      </c>
      <c r="AY3858" s="3" t="s">
        <v>32911</v>
      </c>
      <c r="AZ3858" s="3" t="s">
        <v>32912</v>
      </c>
      <c r="BA3858" s="3" t="s">
        <v>32912</v>
      </c>
      <c r="BB3858" s="3" t="s">
        <v>32913</v>
      </c>
      <c r="BC3858" s="3" t="s">
        <v>82</v>
      </c>
      <c r="BD3858" s="3" t="s">
        <v>70</v>
      </c>
      <c r="BE3858" s="3" t="s">
        <v>32914</v>
      </c>
      <c r="BF3858" s="3" t="s">
        <v>32913</v>
      </c>
      <c r="BG3858" s="3" t="s">
        <v>32915</v>
      </c>
    </row>
    <row r="3859" spans="1:59" ht="75" x14ac:dyDescent="0.25">
      <c r="A3859" s="2" t="s">
        <v>59</v>
      </c>
      <c r="B3859" s="2" t="s">
        <v>60</v>
      </c>
      <c r="C3859" s="2" t="s">
        <v>32916</v>
      </c>
      <c r="D3859" s="2" t="s">
        <v>32917</v>
      </c>
      <c r="E3859" s="2" t="s">
        <v>32918</v>
      </c>
      <c r="G3859" s="3" t="s">
        <v>63</v>
      </c>
      <c r="I3859" s="3" t="s">
        <v>63</v>
      </c>
      <c r="J3859" s="3" t="s">
        <v>63</v>
      </c>
      <c r="K3859" s="3" t="s">
        <v>64</v>
      </c>
      <c r="L3859" s="2" t="s">
        <v>32919</v>
      </c>
      <c r="M3859" s="2" t="s">
        <v>32920</v>
      </c>
      <c r="N3859" s="3" t="s">
        <v>106</v>
      </c>
      <c r="P3859" s="3" t="s">
        <v>90</v>
      </c>
      <c r="Q3859" s="2" t="s">
        <v>32921</v>
      </c>
      <c r="R3859" s="3" t="s">
        <v>67</v>
      </c>
      <c r="S3859" s="4">
        <v>2</v>
      </c>
      <c r="T3859" s="4">
        <v>2</v>
      </c>
      <c r="U3859" s="5" t="s">
        <v>7258</v>
      </c>
      <c r="V3859" s="5" t="s">
        <v>7258</v>
      </c>
      <c r="W3859" s="5" t="s">
        <v>69</v>
      </c>
      <c r="X3859" s="5" t="s">
        <v>69</v>
      </c>
      <c r="Y3859" s="4">
        <v>41</v>
      </c>
      <c r="Z3859" s="4">
        <v>2</v>
      </c>
      <c r="AA3859" s="4">
        <v>2</v>
      </c>
      <c r="AB3859" s="4">
        <v>1</v>
      </c>
      <c r="AC3859" s="4">
        <v>1</v>
      </c>
      <c r="AD3859" s="4">
        <v>15</v>
      </c>
      <c r="AE3859" s="4">
        <v>15</v>
      </c>
      <c r="AF3859" s="4">
        <v>0</v>
      </c>
      <c r="AG3859" s="4">
        <v>0</v>
      </c>
      <c r="AH3859" s="4">
        <v>15</v>
      </c>
      <c r="AI3859" s="4">
        <v>15</v>
      </c>
      <c r="AJ3859" s="4">
        <v>0</v>
      </c>
      <c r="AK3859" s="4">
        <v>0</v>
      </c>
      <c r="AL3859" s="4">
        <v>10</v>
      </c>
      <c r="AM3859" s="4">
        <v>10</v>
      </c>
      <c r="AN3859" s="4">
        <v>0</v>
      </c>
      <c r="AO3859" s="4">
        <v>0</v>
      </c>
      <c r="AP3859" s="4">
        <v>0</v>
      </c>
      <c r="AQ3859" s="4">
        <v>0</v>
      </c>
      <c r="AR3859" s="3" t="s">
        <v>63</v>
      </c>
      <c r="AS3859" s="3" t="s">
        <v>63</v>
      </c>
      <c r="AT3859" s="3" t="s">
        <v>63</v>
      </c>
      <c r="AV3859" s="6" t="str">
        <f>HYPERLINK("http://mcgill.on.worldcat.org/oclc/951977180","Catalog Record")</f>
        <v>Catalog Record</v>
      </c>
      <c r="AW3859" s="6" t="str">
        <f>HYPERLINK("http://www.worldcat.org/oclc/951977180","WorldCat Record")</f>
        <v>WorldCat Record</v>
      </c>
      <c r="AX3859" s="3" t="s">
        <v>32922</v>
      </c>
      <c r="AY3859" s="3" t="s">
        <v>32923</v>
      </c>
      <c r="AZ3859" s="3" t="s">
        <v>32924</v>
      </c>
      <c r="BA3859" s="3" t="s">
        <v>32924</v>
      </c>
      <c r="BB3859" s="3" t="s">
        <v>32925</v>
      </c>
      <c r="BC3859" s="3" t="s">
        <v>82</v>
      </c>
      <c r="BD3859" s="3" t="s">
        <v>70</v>
      </c>
      <c r="BE3859" s="3" t="s">
        <v>32926</v>
      </c>
      <c r="BF3859" s="3" t="s">
        <v>32925</v>
      </c>
      <c r="BG3859" s="3" t="s">
        <v>32927</v>
      </c>
    </row>
    <row r="3860" spans="1:59" ht="60" x14ac:dyDescent="0.25">
      <c r="A3860" s="2" t="s">
        <v>59</v>
      </c>
      <c r="B3860" s="2" t="s">
        <v>60</v>
      </c>
      <c r="C3860" s="2" t="s">
        <v>32928</v>
      </c>
      <c r="D3860" s="2" t="s">
        <v>32929</v>
      </c>
      <c r="E3860" s="2" t="s">
        <v>32930</v>
      </c>
      <c r="G3860" s="3" t="s">
        <v>63</v>
      </c>
      <c r="I3860" s="3" t="s">
        <v>63</v>
      </c>
      <c r="J3860" s="3" t="s">
        <v>63</v>
      </c>
      <c r="K3860" s="3" t="s">
        <v>64</v>
      </c>
      <c r="L3860" s="2" t="s">
        <v>32931</v>
      </c>
      <c r="M3860" s="2" t="s">
        <v>32932</v>
      </c>
      <c r="N3860" s="3" t="s">
        <v>2535</v>
      </c>
      <c r="P3860" s="3" t="s">
        <v>66</v>
      </c>
      <c r="Q3860" s="2" t="s">
        <v>32933</v>
      </c>
      <c r="R3860" s="3" t="s">
        <v>67</v>
      </c>
      <c r="S3860" s="4">
        <v>9</v>
      </c>
      <c r="T3860" s="4">
        <v>9</v>
      </c>
      <c r="U3860" s="5" t="s">
        <v>16052</v>
      </c>
      <c r="V3860" s="5" t="s">
        <v>16052</v>
      </c>
      <c r="W3860" s="5" t="s">
        <v>69</v>
      </c>
      <c r="X3860" s="5" t="s">
        <v>69</v>
      </c>
      <c r="Y3860" s="4">
        <v>123</v>
      </c>
      <c r="Z3860" s="4">
        <v>12</v>
      </c>
      <c r="AA3860" s="4">
        <v>15</v>
      </c>
      <c r="AB3860" s="4">
        <v>1</v>
      </c>
      <c r="AC3860" s="4">
        <v>1</v>
      </c>
      <c r="AD3860" s="4">
        <v>63</v>
      </c>
      <c r="AE3860" s="4">
        <v>67</v>
      </c>
      <c r="AF3860" s="4">
        <v>0</v>
      </c>
      <c r="AG3860" s="4">
        <v>0</v>
      </c>
      <c r="AH3860" s="4">
        <v>56</v>
      </c>
      <c r="AI3860" s="4">
        <v>58</v>
      </c>
      <c r="AJ3860" s="4">
        <v>8</v>
      </c>
      <c r="AK3860" s="4">
        <v>11</v>
      </c>
      <c r="AL3860" s="4">
        <v>36</v>
      </c>
      <c r="AM3860" s="4">
        <v>36</v>
      </c>
      <c r="AN3860" s="4">
        <v>0</v>
      </c>
      <c r="AO3860" s="4">
        <v>0</v>
      </c>
      <c r="AP3860" s="4">
        <v>8</v>
      </c>
      <c r="AQ3860" s="4">
        <v>11</v>
      </c>
      <c r="AR3860" s="3" t="s">
        <v>63</v>
      </c>
      <c r="AS3860" s="3" t="s">
        <v>63</v>
      </c>
      <c r="AT3860" s="3" t="s">
        <v>62</v>
      </c>
      <c r="AU3860" s="6" t="str">
        <f>HYPERLINK("http://catalog.hathitrust.org/Record/000020410","HathiTrust Record")</f>
        <v>HathiTrust Record</v>
      </c>
      <c r="AV3860" s="6" t="str">
        <f>HYPERLINK("http://mcgill.on.worldcat.org/oclc/1047212","Catalog Record")</f>
        <v>Catalog Record</v>
      </c>
      <c r="AW3860" s="6" t="str">
        <f>HYPERLINK("http://www.worldcat.org/oclc/1047212","WorldCat Record")</f>
        <v>WorldCat Record</v>
      </c>
      <c r="AX3860" s="3" t="s">
        <v>32934</v>
      </c>
      <c r="AY3860" s="3" t="s">
        <v>32935</v>
      </c>
      <c r="AZ3860" s="3" t="s">
        <v>32936</v>
      </c>
      <c r="BA3860" s="3" t="s">
        <v>32936</v>
      </c>
      <c r="BB3860" s="3" t="s">
        <v>32937</v>
      </c>
      <c r="BC3860" s="3" t="s">
        <v>82</v>
      </c>
      <c r="BD3860" s="3" t="s">
        <v>70</v>
      </c>
      <c r="BF3860" s="3" t="s">
        <v>32937</v>
      </c>
      <c r="BG3860" s="3" t="s">
        <v>32938</v>
      </c>
    </row>
    <row r="3861" spans="1:59" ht="75" x14ac:dyDescent="0.25">
      <c r="A3861" s="2" t="s">
        <v>59</v>
      </c>
      <c r="B3861" s="2" t="s">
        <v>60</v>
      </c>
      <c r="C3861" s="2" t="s">
        <v>32939</v>
      </c>
      <c r="D3861" s="2" t="s">
        <v>32940</v>
      </c>
      <c r="E3861" s="2" t="s">
        <v>32941</v>
      </c>
      <c r="G3861" s="3" t="s">
        <v>63</v>
      </c>
      <c r="I3861" s="3" t="s">
        <v>63</v>
      </c>
      <c r="J3861" s="3" t="s">
        <v>63</v>
      </c>
      <c r="K3861" s="3" t="s">
        <v>64</v>
      </c>
      <c r="L3861" s="2" t="s">
        <v>32931</v>
      </c>
      <c r="M3861" s="2" t="s">
        <v>32942</v>
      </c>
      <c r="N3861" s="3" t="s">
        <v>1916</v>
      </c>
      <c r="P3861" s="3" t="s">
        <v>66</v>
      </c>
      <c r="R3861" s="3" t="s">
        <v>67</v>
      </c>
      <c r="S3861" s="4">
        <v>19</v>
      </c>
      <c r="T3861" s="4">
        <v>19</v>
      </c>
      <c r="U3861" s="5" t="s">
        <v>16052</v>
      </c>
      <c r="V3861" s="5" t="s">
        <v>16052</v>
      </c>
      <c r="W3861" s="5" t="s">
        <v>69</v>
      </c>
      <c r="X3861" s="5" t="s">
        <v>69</v>
      </c>
      <c r="Y3861" s="4">
        <v>383</v>
      </c>
      <c r="Z3861" s="4">
        <v>27</v>
      </c>
      <c r="AA3861" s="4">
        <v>29</v>
      </c>
      <c r="AB3861" s="4">
        <v>1</v>
      </c>
      <c r="AC3861" s="4">
        <v>2</v>
      </c>
      <c r="AD3861" s="4">
        <v>100</v>
      </c>
      <c r="AE3861" s="4">
        <v>102</v>
      </c>
      <c r="AF3861" s="4">
        <v>0</v>
      </c>
      <c r="AG3861" s="4">
        <v>0</v>
      </c>
      <c r="AH3861" s="4">
        <v>92</v>
      </c>
      <c r="AI3861" s="4">
        <v>93</v>
      </c>
      <c r="AJ3861" s="4">
        <v>17</v>
      </c>
      <c r="AK3861" s="4">
        <v>17</v>
      </c>
      <c r="AL3861" s="4">
        <v>48</v>
      </c>
      <c r="AM3861" s="4">
        <v>50</v>
      </c>
      <c r="AN3861" s="4">
        <v>0</v>
      </c>
      <c r="AO3861" s="4">
        <v>0</v>
      </c>
      <c r="AP3861" s="4">
        <v>17</v>
      </c>
      <c r="AQ3861" s="4">
        <v>17</v>
      </c>
      <c r="AR3861" s="3" t="s">
        <v>63</v>
      </c>
      <c r="AS3861" s="3" t="s">
        <v>63</v>
      </c>
      <c r="AT3861" s="3" t="s">
        <v>62</v>
      </c>
      <c r="AU3861" s="6" t="str">
        <f>HYPERLINK("http://catalog.hathitrust.org/Record/003107670","HathiTrust Record")</f>
        <v>HathiTrust Record</v>
      </c>
      <c r="AV3861" s="6" t="str">
        <f>HYPERLINK("http://mcgill.on.worldcat.org/oclc/10913319","Catalog Record")</f>
        <v>Catalog Record</v>
      </c>
      <c r="AW3861" s="6" t="str">
        <f>HYPERLINK("http://www.worldcat.org/oclc/10913319","WorldCat Record")</f>
        <v>WorldCat Record</v>
      </c>
      <c r="AX3861" s="3" t="s">
        <v>32943</v>
      </c>
      <c r="AY3861" s="3" t="s">
        <v>32944</v>
      </c>
      <c r="AZ3861" s="3" t="s">
        <v>32945</v>
      </c>
      <c r="BA3861" s="3" t="s">
        <v>32945</v>
      </c>
      <c r="BB3861" s="3" t="s">
        <v>32946</v>
      </c>
      <c r="BC3861" s="3" t="s">
        <v>82</v>
      </c>
      <c r="BD3861" s="3" t="s">
        <v>70</v>
      </c>
      <c r="BE3861" s="3" t="s">
        <v>32947</v>
      </c>
      <c r="BF3861" s="3" t="s">
        <v>32946</v>
      </c>
      <c r="BG3861" s="3" t="s">
        <v>32948</v>
      </c>
    </row>
    <row r="3862" spans="1:59" ht="60" x14ac:dyDescent="0.25">
      <c r="A3862" s="2" t="s">
        <v>59</v>
      </c>
      <c r="B3862" s="2" t="s">
        <v>60</v>
      </c>
      <c r="C3862" s="2" t="s">
        <v>32949</v>
      </c>
      <c r="D3862" s="2" t="s">
        <v>32950</v>
      </c>
      <c r="E3862" s="2" t="s">
        <v>32951</v>
      </c>
      <c r="G3862" s="3" t="s">
        <v>63</v>
      </c>
      <c r="I3862" s="3" t="s">
        <v>63</v>
      </c>
      <c r="J3862" s="3" t="s">
        <v>63</v>
      </c>
      <c r="K3862" s="3" t="s">
        <v>64</v>
      </c>
      <c r="L3862" s="2" t="s">
        <v>32931</v>
      </c>
      <c r="M3862" s="2" t="s">
        <v>27945</v>
      </c>
      <c r="N3862" s="3" t="s">
        <v>668</v>
      </c>
      <c r="P3862" s="3" t="s">
        <v>90</v>
      </c>
      <c r="R3862" s="3" t="s">
        <v>67</v>
      </c>
      <c r="S3862" s="4">
        <v>9</v>
      </c>
      <c r="T3862" s="4">
        <v>9</v>
      </c>
      <c r="U3862" s="5" t="s">
        <v>4314</v>
      </c>
      <c r="V3862" s="5" t="s">
        <v>4314</v>
      </c>
      <c r="W3862" s="5" t="s">
        <v>69</v>
      </c>
      <c r="X3862" s="5" t="s">
        <v>69</v>
      </c>
      <c r="Y3862" s="4">
        <v>43</v>
      </c>
      <c r="Z3862" s="4">
        <v>3</v>
      </c>
      <c r="AA3862" s="4">
        <v>5</v>
      </c>
      <c r="AB3862" s="4">
        <v>1</v>
      </c>
      <c r="AC3862" s="4">
        <v>1</v>
      </c>
      <c r="AD3862" s="4">
        <v>24</v>
      </c>
      <c r="AE3862" s="4">
        <v>41</v>
      </c>
      <c r="AF3862" s="4">
        <v>0</v>
      </c>
      <c r="AG3862" s="4">
        <v>0</v>
      </c>
      <c r="AH3862" s="4">
        <v>23</v>
      </c>
      <c r="AI3862" s="4">
        <v>40</v>
      </c>
      <c r="AJ3862" s="4">
        <v>2</v>
      </c>
      <c r="AK3862" s="4">
        <v>3</v>
      </c>
      <c r="AL3862" s="4">
        <v>17</v>
      </c>
      <c r="AM3862" s="4">
        <v>30</v>
      </c>
      <c r="AN3862" s="4">
        <v>0</v>
      </c>
      <c r="AO3862" s="4">
        <v>0</v>
      </c>
      <c r="AP3862" s="4">
        <v>2</v>
      </c>
      <c r="AQ3862" s="4">
        <v>3</v>
      </c>
      <c r="AR3862" s="3" t="s">
        <v>63</v>
      </c>
      <c r="AS3862" s="3" t="s">
        <v>63</v>
      </c>
      <c r="AT3862" s="3" t="s">
        <v>63</v>
      </c>
      <c r="AV3862" s="6" t="str">
        <f>HYPERLINK("http://mcgill.on.worldcat.org/oclc/22914091","Catalog Record")</f>
        <v>Catalog Record</v>
      </c>
      <c r="AW3862" s="6" t="str">
        <f>HYPERLINK("http://www.worldcat.org/oclc/22914091","WorldCat Record")</f>
        <v>WorldCat Record</v>
      </c>
      <c r="AX3862" s="3" t="s">
        <v>32952</v>
      </c>
      <c r="AY3862" s="3" t="s">
        <v>32953</v>
      </c>
      <c r="AZ3862" s="3" t="s">
        <v>32954</v>
      </c>
      <c r="BA3862" s="3" t="s">
        <v>32954</v>
      </c>
      <c r="BB3862" s="3" t="s">
        <v>32955</v>
      </c>
      <c r="BC3862" s="3" t="s">
        <v>82</v>
      </c>
      <c r="BD3862" s="3" t="s">
        <v>70</v>
      </c>
      <c r="BE3862" s="3" t="s">
        <v>32956</v>
      </c>
      <c r="BF3862" s="3" t="s">
        <v>32955</v>
      </c>
      <c r="BG3862" s="3" t="s">
        <v>32957</v>
      </c>
    </row>
    <row r="3863" spans="1:59" ht="165" x14ac:dyDescent="0.25">
      <c r="A3863" s="2" t="s">
        <v>59</v>
      </c>
      <c r="B3863" s="2" t="s">
        <v>60</v>
      </c>
      <c r="C3863" s="2" t="s">
        <v>32958</v>
      </c>
      <c r="D3863" s="2" t="s">
        <v>32959</v>
      </c>
      <c r="E3863" s="2" t="s">
        <v>32960</v>
      </c>
      <c r="G3863" s="3" t="s">
        <v>63</v>
      </c>
      <c r="I3863" s="3" t="s">
        <v>63</v>
      </c>
      <c r="J3863" s="3" t="s">
        <v>63</v>
      </c>
      <c r="K3863" s="3" t="s">
        <v>64</v>
      </c>
      <c r="L3863" s="2" t="s">
        <v>32961</v>
      </c>
      <c r="M3863" s="2" t="s">
        <v>32962</v>
      </c>
      <c r="N3863" s="3" t="s">
        <v>849</v>
      </c>
      <c r="P3863" s="3" t="s">
        <v>66</v>
      </c>
      <c r="R3863" s="3" t="s">
        <v>67</v>
      </c>
      <c r="S3863" s="4">
        <v>35</v>
      </c>
      <c r="T3863" s="4">
        <v>35</v>
      </c>
      <c r="U3863" s="5" t="s">
        <v>16052</v>
      </c>
      <c r="V3863" s="5" t="s">
        <v>16052</v>
      </c>
      <c r="W3863" s="5" t="s">
        <v>69</v>
      </c>
      <c r="X3863" s="5" t="s">
        <v>69</v>
      </c>
      <c r="Y3863" s="4">
        <v>392</v>
      </c>
      <c r="Z3863" s="4">
        <v>26</v>
      </c>
      <c r="AA3863" s="4">
        <v>26</v>
      </c>
      <c r="AB3863" s="4">
        <v>1</v>
      </c>
      <c r="AC3863" s="4">
        <v>1</v>
      </c>
      <c r="AD3863" s="4">
        <v>110</v>
      </c>
      <c r="AE3863" s="4">
        <v>110</v>
      </c>
      <c r="AF3863" s="4">
        <v>0</v>
      </c>
      <c r="AG3863" s="4">
        <v>0</v>
      </c>
      <c r="AH3863" s="4">
        <v>97</v>
      </c>
      <c r="AI3863" s="4">
        <v>97</v>
      </c>
      <c r="AJ3863" s="4">
        <v>18</v>
      </c>
      <c r="AK3863" s="4">
        <v>18</v>
      </c>
      <c r="AL3863" s="4">
        <v>54</v>
      </c>
      <c r="AM3863" s="4">
        <v>54</v>
      </c>
      <c r="AN3863" s="4">
        <v>0</v>
      </c>
      <c r="AO3863" s="4">
        <v>0</v>
      </c>
      <c r="AP3863" s="4">
        <v>18</v>
      </c>
      <c r="AQ3863" s="4">
        <v>18</v>
      </c>
      <c r="AR3863" s="3" t="s">
        <v>63</v>
      </c>
      <c r="AS3863" s="3" t="s">
        <v>63</v>
      </c>
      <c r="AT3863" s="3" t="s">
        <v>62</v>
      </c>
      <c r="AU3863" s="6" t="str">
        <f>HYPERLINK("http://catalog.hathitrust.org/Record/009507997","HathiTrust Record")</f>
        <v>HathiTrust Record</v>
      </c>
      <c r="AV3863" s="6" t="str">
        <f>HYPERLINK("http://mcgill.on.worldcat.org/oclc/4907408","Catalog Record")</f>
        <v>Catalog Record</v>
      </c>
      <c r="AW3863" s="6" t="str">
        <f>HYPERLINK("http://www.worldcat.org/oclc/4907408","WorldCat Record")</f>
        <v>WorldCat Record</v>
      </c>
      <c r="AX3863" s="3" t="s">
        <v>32963</v>
      </c>
      <c r="AY3863" s="3" t="s">
        <v>32964</v>
      </c>
      <c r="AZ3863" s="3" t="s">
        <v>32965</v>
      </c>
      <c r="BA3863" s="3" t="s">
        <v>32965</v>
      </c>
      <c r="BB3863" s="3" t="s">
        <v>32966</v>
      </c>
      <c r="BC3863" s="3" t="s">
        <v>82</v>
      </c>
      <c r="BD3863" s="3" t="s">
        <v>70</v>
      </c>
      <c r="BE3863" s="3" t="s">
        <v>32967</v>
      </c>
      <c r="BF3863" s="3" t="s">
        <v>32966</v>
      </c>
      <c r="BG3863" s="3" t="s">
        <v>32968</v>
      </c>
    </row>
    <row r="3864" spans="1:59" ht="75" x14ac:dyDescent="0.25">
      <c r="A3864" s="2" t="s">
        <v>59</v>
      </c>
      <c r="B3864" s="2" t="s">
        <v>60</v>
      </c>
      <c r="C3864" s="2" t="s">
        <v>32969</v>
      </c>
      <c r="D3864" s="2" t="s">
        <v>32970</v>
      </c>
      <c r="E3864" s="2" t="s">
        <v>32971</v>
      </c>
      <c r="G3864" s="3" t="s">
        <v>63</v>
      </c>
      <c r="I3864" s="3" t="s">
        <v>63</v>
      </c>
      <c r="J3864" s="3" t="s">
        <v>63</v>
      </c>
      <c r="K3864" s="3" t="s">
        <v>64</v>
      </c>
      <c r="L3864" s="2" t="s">
        <v>32972</v>
      </c>
      <c r="M3864" s="2" t="s">
        <v>32973</v>
      </c>
      <c r="N3864" s="3" t="s">
        <v>261</v>
      </c>
      <c r="P3864" s="3" t="s">
        <v>90</v>
      </c>
      <c r="R3864" s="3" t="s">
        <v>67</v>
      </c>
      <c r="S3864" s="4">
        <v>2</v>
      </c>
      <c r="T3864" s="4">
        <v>2</v>
      </c>
      <c r="U3864" s="5" t="s">
        <v>31267</v>
      </c>
      <c r="V3864" s="5" t="s">
        <v>31267</v>
      </c>
      <c r="W3864" s="5" t="s">
        <v>69</v>
      </c>
      <c r="X3864" s="5" t="s">
        <v>69</v>
      </c>
      <c r="Y3864" s="4">
        <v>5</v>
      </c>
      <c r="Z3864" s="4">
        <v>2</v>
      </c>
      <c r="AA3864" s="4">
        <v>2</v>
      </c>
      <c r="AB3864" s="4">
        <v>2</v>
      </c>
      <c r="AC3864" s="4">
        <v>2</v>
      </c>
      <c r="AD3864" s="4">
        <v>2</v>
      </c>
      <c r="AE3864" s="4">
        <v>2</v>
      </c>
      <c r="AF3864" s="4">
        <v>0</v>
      </c>
      <c r="AG3864" s="4">
        <v>0</v>
      </c>
      <c r="AH3864" s="4">
        <v>1</v>
      </c>
      <c r="AI3864" s="4">
        <v>1</v>
      </c>
      <c r="AJ3864" s="4">
        <v>0</v>
      </c>
      <c r="AK3864" s="4">
        <v>0</v>
      </c>
      <c r="AL3864" s="4">
        <v>2</v>
      </c>
      <c r="AM3864" s="4">
        <v>2</v>
      </c>
      <c r="AN3864" s="4">
        <v>0</v>
      </c>
      <c r="AO3864" s="4">
        <v>0</v>
      </c>
      <c r="AP3864" s="4">
        <v>0</v>
      </c>
      <c r="AQ3864" s="4">
        <v>0</v>
      </c>
      <c r="AR3864" s="3" t="s">
        <v>63</v>
      </c>
      <c r="AS3864" s="3" t="s">
        <v>63</v>
      </c>
      <c r="AT3864" s="3" t="s">
        <v>63</v>
      </c>
      <c r="AV3864" s="6" t="str">
        <f>HYPERLINK("http://mcgill.on.worldcat.org/oclc/392210171","Catalog Record")</f>
        <v>Catalog Record</v>
      </c>
      <c r="AW3864" s="6" t="str">
        <f>HYPERLINK("http://www.worldcat.org/oclc/392210171","WorldCat Record")</f>
        <v>WorldCat Record</v>
      </c>
      <c r="AX3864" s="3" t="s">
        <v>32974</v>
      </c>
      <c r="AY3864" s="3" t="s">
        <v>32975</v>
      </c>
      <c r="AZ3864" s="3" t="s">
        <v>32976</v>
      </c>
      <c r="BA3864" s="3" t="s">
        <v>32976</v>
      </c>
      <c r="BB3864" s="3" t="s">
        <v>32977</v>
      </c>
      <c r="BC3864" s="3" t="s">
        <v>82</v>
      </c>
      <c r="BD3864" s="3" t="s">
        <v>70</v>
      </c>
      <c r="BE3864" s="3" t="s">
        <v>32978</v>
      </c>
      <c r="BF3864" s="3" t="s">
        <v>32977</v>
      </c>
      <c r="BG3864" s="3" t="s">
        <v>32979</v>
      </c>
    </row>
    <row r="3865" spans="1:59" ht="60" x14ac:dyDescent="0.25">
      <c r="A3865" s="2" t="s">
        <v>59</v>
      </c>
      <c r="B3865" s="2" t="s">
        <v>60</v>
      </c>
      <c r="C3865" s="2" t="s">
        <v>32980</v>
      </c>
      <c r="D3865" s="2" t="s">
        <v>32981</v>
      </c>
      <c r="E3865" s="2" t="s">
        <v>32982</v>
      </c>
      <c r="G3865" s="3" t="s">
        <v>63</v>
      </c>
      <c r="I3865" s="3" t="s">
        <v>63</v>
      </c>
      <c r="J3865" s="3" t="s">
        <v>63</v>
      </c>
      <c r="K3865" s="3" t="s">
        <v>64</v>
      </c>
      <c r="L3865" s="2" t="s">
        <v>32983</v>
      </c>
      <c r="M3865" s="2" t="s">
        <v>29194</v>
      </c>
      <c r="N3865" s="3" t="s">
        <v>143</v>
      </c>
      <c r="P3865" s="3" t="s">
        <v>90</v>
      </c>
      <c r="Q3865" s="2" t="s">
        <v>28975</v>
      </c>
      <c r="R3865" s="3" t="s">
        <v>67</v>
      </c>
      <c r="S3865" s="4">
        <v>3</v>
      </c>
      <c r="T3865" s="4">
        <v>3</v>
      </c>
      <c r="U3865" s="5" t="s">
        <v>7212</v>
      </c>
      <c r="V3865" s="5" t="s">
        <v>7212</v>
      </c>
      <c r="W3865" s="5" t="s">
        <v>69</v>
      </c>
      <c r="X3865" s="5" t="s">
        <v>69</v>
      </c>
      <c r="Y3865" s="4">
        <v>36</v>
      </c>
      <c r="Z3865" s="4">
        <v>5</v>
      </c>
      <c r="AA3865" s="4">
        <v>5</v>
      </c>
      <c r="AB3865" s="4">
        <v>1</v>
      </c>
      <c r="AC3865" s="4">
        <v>1</v>
      </c>
      <c r="AD3865" s="4">
        <v>27</v>
      </c>
      <c r="AE3865" s="4">
        <v>27</v>
      </c>
      <c r="AF3865" s="4">
        <v>0</v>
      </c>
      <c r="AG3865" s="4">
        <v>0</v>
      </c>
      <c r="AH3865" s="4">
        <v>26</v>
      </c>
      <c r="AI3865" s="4">
        <v>26</v>
      </c>
      <c r="AJ3865" s="4">
        <v>2</v>
      </c>
      <c r="AK3865" s="4">
        <v>2</v>
      </c>
      <c r="AL3865" s="4">
        <v>20</v>
      </c>
      <c r="AM3865" s="4">
        <v>20</v>
      </c>
      <c r="AN3865" s="4">
        <v>0</v>
      </c>
      <c r="AO3865" s="4">
        <v>0</v>
      </c>
      <c r="AP3865" s="4">
        <v>2</v>
      </c>
      <c r="AQ3865" s="4">
        <v>2</v>
      </c>
      <c r="AR3865" s="3" t="s">
        <v>63</v>
      </c>
      <c r="AS3865" s="3" t="s">
        <v>63</v>
      </c>
      <c r="AT3865" s="3" t="s">
        <v>63</v>
      </c>
      <c r="AV3865" s="6" t="str">
        <f>HYPERLINK("http://mcgill.on.worldcat.org/oclc/884883426","Catalog Record")</f>
        <v>Catalog Record</v>
      </c>
      <c r="AW3865" s="6" t="str">
        <f>HYPERLINK("http://www.worldcat.org/oclc/884883426","WorldCat Record")</f>
        <v>WorldCat Record</v>
      </c>
      <c r="AX3865" s="3" t="s">
        <v>32984</v>
      </c>
      <c r="AY3865" s="3" t="s">
        <v>32985</v>
      </c>
      <c r="AZ3865" s="3" t="s">
        <v>32986</v>
      </c>
      <c r="BA3865" s="3" t="s">
        <v>32986</v>
      </c>
      <c r="BB3865" s="3" t="s">
        <v>32987</v>
      </c>
      <c r="BC3865" s="3" t="s">
        <v>82</v>
      </c>
      <c r="BD3865" s="3" t="s">
        <v>70</v>
      </c>
      <c r="BE3865" s="3" t="s">
        <v>32988</v>
      </c>
      <c r="BF3865" s="3" t="s">
        <v>32987</v>
      </c>
      <c r="BG3865" s="3" t="s">
        <v>32989</v>
      </c>
    </row>
    <row r="3866" spans="1:59" ht="60" x14ac:dyDescent="0.25">
      <c r="A3866" s="2" t="s">
        <v>59</v>
      </c>
      <c r="B3866" s="2" t="s">
        <v>60</v>
      </c>
      <c r="C3866" s="2" t="s">
        <v>32990</v>
      </c>
      <c r="D3866" s="2" t="s">
        <v>32991</v>
      </c>
      <c r="E3866" s="2" t="s">
        <v>32992</v>
      </c>
      <c r="G3866" s="3" t="s">
        <v>63</v>
      </c>
      <c r="I3866" s="3" t="s">
        <v>63</v>
      </c>
      <c r="J3866" s="3" t="s">
        <v>63</v>
      </c>
      <c r="K3866" s="3" t="s">
        <v>64</v>
      </c>
      <c r="L3866" s="2" t="s">
        <v>32993</v>
      </c>
      <c r="M3866" s="2" t="s">
        <v>18633</v>
      </c>
      <c r="N3866" s="3" t="s">
        <v>313</v>
      </c>
      <c r="P3866" s="3" t="s">
        <v>90</v>
      </c>
      <c r="R3866" s="3" t="s">
        <v>67</v>
      </c>
      <c r="S3866" s="4">
        <v>1</v>
      </c>
      <c r="T3866" s="4">
        <v>1</v>
      </c>
      <c r="U3866" s="5" t="s">
        <v>30857</v>
      </c>
      <c r="V3866" s="5" t="s">
        <v>30857</v>
      </c>
      <c r="W3866" s="5" t="s">
        <v>69</v>
      </c>
      <c r="X3866" s="5" t="s">
        <v>69</v>
      </c>
      <c r="Y3866" s="4">
        <v>21</v>
      </c>
      <c r="Z3866" s="4">
        <v>2</v>
      </c>
      <c r="AA3866" s="4">
        <v>2</v>
      </c>
      <c r="AB3866" s="4">
        <v>1</v>
      </c>
      <c r="AC3866" s="4">
        <v>1</v>
      </c>
      <c r="AD3866" s="4">
        <v>12</v>
      </c>
      <c r="AE3866" s="4">
        <v>12</v>
      </c>
      <c r="AF3866" s="4">
        <v>0</v>
      </c>
      <c r="AG3866" s="4">
        <v>0</v>
      </c>
      <c r="AH3866" s="4">
        <v>12</v>
      </c>
      <c r="AI3866" s="4">
        <v>12</v>
      </c>
      <c r="AJ3866" s="4">
        <v>1</v>
      </c>
      <c r="AK3866" s="4">
        <v>1</v>
      </c>
      <c r="AL3866" s="4">
        <v>7</v>
      </c>
      <c r="AM3866" s="4">
        <v>7</v>
      </c>
      <c r="AN3866" s="4">
        <v>0</v>
      </c>
      <c r="AO3866" s="4">
        <v>0</v>
      </c>
      <c r="AP3866" s="4">
        <v>1</v>
      </c>
      <c r="AQ3866" s="4">
        <v>1</v>
      </c>
      <c r="AR3866" s="3" t="s">
        <v>63</v>
      </c>
      <c r="AS3866" s="3" t="s">
        <v>63</v>
      </c>
      <c r="AT3866" s="3" t="s">
        <v>63</v>
      </c>
      <c r="AV3866" s="6" t="str">
        <f>HYPERLINK("http://mcgill.on.worldcat.org/oclc/646576326","Catalog Record")</f>
        <v>Catalog Record</v>
      </c>
      <c r="AW3866" s="6" t="str">
        <f>HYPERLINK("http://www.worldcat.org/oclc/646576326","WorldCat Record")</f>
        <v>WorldCat Record</v>
      </c>
      <c r="AX3866" s="3" t="s">
        <v>32994</v>
      </c>
      <c r="AY3866" s="3" t="s">
        <v>32995</v>
      </c>
      <c r="AZ3866" s="3" t="s">
        <v>32996</v>
      </c>
      <c r="BA3866" s="3" t="s">
        <v>32996</v>
      </c>
      <c r="BB3866" s="3" t="s">
        <v>32997</v>
      </c>
      <c r="BC3866" s="3" t="s">
        <v>82</v>
      </c>
      <c r="BD3866" s="3" t="s">
        <v>70</v>
      </c>
      <c r="BE3866" s="3" t="s">
        <v>32998</v>
      </c>
      <c r="BF3866" s="3" t="s">
        <v>32997</v>
      </c>
      <c r="BG3866" s="3" t="s">
        <v>32999</v>
      </c>
    </row>
    <row r="3867" spans="1:59" ht="60" x14ac:dyDescent="0.25">
      <c r="A3867" s="2" t="s">
        <v>59</v>
      </c>
      <c r="B3867" s="2" t="s">
        <v>60</v>
      </c>
      <c r="C3867" s="2" t="s">
        <v>33000</v>
      </c>
      <c r="D3867" s="2" t="s">
        <v>33001</v>
      </c>
      <c r="E3867" s="2" t="s">
        <v>33002</v>
      </c>
      <c r="G3867" s="3" t="s">
        <v>63</v>
      </c>
      <c r="I3867" s="3" t="s">
        <v>63</v>
      </c>
      <c r="J3867" s="3" t="s">
        <v>63</v>
      </c>
      <c r="K3867" s="3" t="s">
        <v>64</v>
      </c>
      <c r="L3867" s="2" t="s">
        <v>33003</v>
      </c>
      <c r="M3867" s="2" t="s">
        <v>33004</v>
      </c>
      <c r="N3867" s="3" t="s">
        <v>693</v>
      </c>
      <c r="P3867" s="3" t="s">
        <v>90</v>
      </c>
      <c r="R3867" s="3" t="s">
        <v>67</v>
      </c>
      <c r="S3867" s="4">
        <v>4</v>
      </c>
      <c r="T3867" s="4">
        <v>4</v>
      </c>
      <c r="U3867" s="5" t="s">
        <v>8716</v>
      </c>
      <c r="V3867" s="5" t="s">
        <v>8716</v>
      </c>
      <c r="W3867" s="5" t="s">
        <v>69</v>
      </c>
      <c r="X3867" s="5" t="s">
        <v>69</v>
      </c>
      <c r="Y3867" s="4">
        <v>85</v>
      </c>
      <c r="Z3867" s="4">
        <v>6</v>
      </c>
      <c r="AA3867" s="4">
        <v>10</v>
      </c>
      <c r="AB3867" s="4">
        <v>1</v>
      </c>
      <c r="AC3867" s="4">
        <v>1</v>
      </c>
      <c r="AD3867" s="4">
        <v>46</v>
      </c>
      <c r="AE3867" s="4">
        <v>52</v>
      </c>
      <c r="AF3867" s="4">
        <v>0</v>
      </c>
      <c r="AG3867" s="4">
        <v>0</v>
      </c>
      <c r="AH3867" s="4">
        <v>44</v>
      </c>
      <c r="AI3867" s="4">
        <v>49</v>
      </c>
      <c r="AJ3867" s="4">
        <v>2</v>
      </c>
      <c r="AK3867" s="4">
        <v>4</v>
      </c>
      <c r="AL3867" s="4">
        <v>34</v>
      </c>
      <c r="AM3867" s="4">
        <v>37</v>
      </c>
      <c r="AN3867" s="4">
        <v>0</v>
      </c>
      <c r="AO3867" s="4">
        <v>0</v>
      </c>
      <c r="AP3867" s="4">
        <v>2</v>
      </c>
      <c r="AQ3867" s="4">
        <v>4</v>
      </c>
      <c r="AR3867" s="3" t="s">
        <v>63</v>
      </c>
      <c r="AS3867" s="3" t="s">
        <v>63</v>
      </c>
      <c r="AT3867" s="3" t="s">
        <v>62</v>
      </c>
      <c r="AU3867" s="6" t="str">
        <f>HYPERLINK("http://catalog.hathitrust.org/Record/004966213","HathiTrust Record")</f>
        <v>HathiTrust Record</v>
      </c>
      <c r="AV3867" s="6" t="str">
        <f>HYPERLINK("http://mcgill.on.worldcat.org/oclc/58425169","Catalog Record")</f>
        <v>Catalog Record</v>
      </c>
      <c r="AW3867" s="6" t="str">
        <f>HYPERLINK("http://www.worldcat.org/oclc/58425169","WorldCat Record")</f>
        <v>WorldCat Record</v>
      </c>
      <c r="AX3867" s="3" t="s">
        <v>33005</v>
      </c>
      <c r="AY3867" s="3" t="s">
        <v>33006</v>
      </c>
      <c r="AZ3867" s="3" t="s">
        <v>33007</v>
      </c>
      <c r="BA3867" s="3" t="s">
        <v>33007</v>
      </c>
      <c r="BB3867" s="3" t="s">
        <v>33008</v>
      </c>
      <c r="BC3867" s="3" t="s">
        <v>82</v>
      </c>
      <c r="BD3867" s="3" t="s">
        <v>70</v>
      </c>
      <c r="BE3867" s="3" t="s">
        <v>33009</v>
      </c>
      <c r="BF3867" s="3" t="s">
        <v>33008</v>
      </c>
      <c r="BG3867" s="3" t="s">
        <v>33010</v>
      </c>
    </row>
    <row r="3868" spans="1:59" ht="60" x14ac:dyDescent="0.25">
      <c r="A3868" s="2" t="s">
        <v>59</v>
      </c>
      <c r="B3868" s="2" t="s">
        <v>60</v>
      </c>
      <c r="C3868" s="2" t="s">
        <v>33011</v>
      </c>
      <c r="D3868" s="2" t="s">
        <v>33012</v>
      </c>
      <c r="E3868" s="2" t="s">
        <v>33013</v>
      </c>
      <c r="G3868" s="3" t="s">
        <v>63</v>
      </c>
      <c r="I3868" s="3" t="s">
        <v>63</v>
      </c>
      <c r="J3868" s="3" t="s">
        <v>63</v>
      </c>
      <c r="K3868" s="3" t="s">
        <v>64</v>
      </c>
      <c r="L3868" s="2" t="s">
        <v>33014</v>
      </c>
      <c r="M3868" s="2" t="s">
        <v>33015</v>
      </c>
      <c r="N3868" s="3" t="s">
        <v>234</v>
      </c>
      <c r="P3868" s="3" t="s">
        <v>90</v>
      </c>
      <c r="R3868" s="3" t="s">
        <v>67</v>
      </c>
      <c r="S3868" s="4">
        <v>5</v>
      </c>
      <c r="T3868" s="4">
        <v>5</v>
      </c>
      <c r="U3868" s="5" t="s">
        <v>8716</v>
      </c>
      <c r="V3868" s="5" t="s">
        <v>8716</v>
      </c>
      <c r="W3868" s="5" t="s">
        <v>69</v>
      </c>
      <c r="X3868" s="5" t="s">
        <v>69</v>
      </c>
      <c r="Y3868" s="4">
        <v>81</v>
      </c>
      <c r="Z3868" s="4">
        <v>7</v>
      </c>
      <c r="AA3868" s="4">
        <v>17</v>
      </c>
      <c r="AB3868" s="4">
        <v>1</v>
      </c>
      <c r="AC3868" s="4">
        <v>3</v>
      </c>
      <c r="AD3868" s="4">
        <v>45</v>
      </c>
      <c r="AE3868" s="4">
        <v>59</v>
      </c>
      <c r="AF3868" s="4">
        <v>0</v>
      </c>
      <c r="AG3868" s="4">
        <v>1</v>
      </c>
      <c r="AH3868" s="4">
        <v>41</v>
      </c>
      <c r="AI3868" s="4">
        <v>52</v>
      </c>
      <c r="AJ3868" s="4">
        <v>4</v>
      </c>
      <c r="AK3868" s="4">
        <v>9</v>
      </c>
      <c r="AL3868" s="4">
        <v>36</v>
      </c>
      <c r="AM3868" s="4">
        <v>41</v>
      </c>
      <c r="AN3868" s="4">
        <v>0</v>
      </c>
      <c r="AO3868" s="4">
        <v>0</v>
      </c>
      <c r="AP3868" s="4">
        <v>4</v>
      </c>
      <c r="AQ3868" s="4">
        <v>9</v>
      </c>
      <c r="AR3868" s="3" t="s">
        <v>63</v>
      </c>
      <c r="AS3868" s="3" t="s">
        <v>63</v>
      </c>
      <c r="AT3868" s="3" t="s">
        <v>63</v>
      </c>
      <c r="AV3868" s="6" t="str">
        <f>HYPERLINK("http://mcgill.on.worldcat.org/oclc/69499878","Catalog Record")</f>
        <v>Catalog Record</v>
      </c>
      <c r="AW3868" s="6" t="str">
        <f>HYPERLINK("http://www.worldcat.org/oclc/69499878","WorldCat Record")</f>
        <v>WorldCat Record</v>
      </c>
      <c r="AX3868" s="3" t="s">
        <v>33016</v>
      </c>
      <c r="AY3868" s="3" t="s">
        <v>33017</v>
      </c>
      <c r="AZ3868" s="3" t="s">
        <v>33018</v>
      </c>
      <c r="BA3868" s="3" t="s">
        <v>33018</v>
      </c>
      <c r="BB3868" s="3" t="s">
        <v>33019</v>
      </c>
      <c r="BC3868" s="3" t="s">
        <v>82</v>
      </c>
      <c r="BD3868" s="3" t="s">
        <v>70</v>
      </c>
      <c r="BE3868" s="3" t="s">
        <v>33020</v>
      </c>
      <c r="BF3868" s="3" t="s">
        <v>33019</v>
      </c>
      <c r="BG3868" s="3" t="s">
        <v>33021</v>
      </c>
    </row>
    <row r="3869" spans="1:59" ht="60" x14ac:dyDescent="0.25">
      <c r="A3869" s="2" t="s">
        <v>59</v>
      </c>
      <c r="B3869" s="2" t="s">
        <v>60</v>
      </c>
      <c r="C3869" s="2" t="s">
        <v>33333</v>
      </c>
      <c r="D3869" s="2" t="s">
        <v>33334</v>
      </c>
      <c r="E3869" s="2" t="s">
        <v>33335</v>
      </c>
      <c r="F3869" s="3" t="s">
        <v>4437</v>
      </c>
      <c r="G3869" s="3" t="s">
        <v>62</v>
      </c>
      <c r="I3869" s="3" t="s">
        <v>63</v>
      </c>
      <c r="J3869" s="3" t="s">
        <v>63</v>
      </c>
      <c r="K3869" s="3" t="s">
        <v>64</v>
      </c>
      <c r="L3869" s="2" t="s">
        <v>33037</v>
      </c>
      <c r="M3869" s="2" t="s">
        <v>33336</v>
      </c>
      <c r="N3869" s="3" t="s">
        <v>274</v>
      </c>
      <c r="P3869" s="3" t="s">
        <v>90</v>
      </c>
      <c r="R3869" s="3" t="s">
        <v>67</v>
      </c>
      <c r="S3869" s="4">
        <v>7</v>
      </c>
      <c r="T3869" s="4">
        <v>41</v>
      </c>
      <c r="U3869" s="5" t="s">
        <v>33337</v>
      </c>
      <c r="V3869" s="5" t="s">
        <v>23475</v>
      </c>
      <c r="W3869" s="5" t="s">
        <v>69</v>
      </c>
      <c r="X3869" s="5" t="s">
        <v>69</v>
      </c>
      <c r="Y3869" s="4">
        <v>48</v>
      </c>
      <c r="Z3869" s="4">
        <v>3</v>
      </c>
      <c r="AA3869" s="4">
        <v>3</v>
      </c>
      <c r="AB3869" s="4">
        <v>1</v>
      </c>
      <c r="AC3869" s="4">
        <v>1</v>
      </c>
      <c r="AD3869" s="4">
        <v>29</v>
      </c>
      <c r="AE3869" s="4">
        <v>29</v>
      </c>
      <c r="AF3869" s="4">
        <v>0</v>
      </c>
      <c r="AG3869" s="4">
        <v>0</v>
      </c>
      <c r="AH3869" s="4">
        <v>28</v>
      </c>
      <c r="AI3869" s="4">
        <v>28</v>
      </c>
      <c r="AJ3869" s="4">
        <v>1</v>
      </c>
      <c r="AK3869" s="4">
        <v>1</v>
      </c>
      <c r="AL3869" s="4">
        <v>25</v>
      </c>
      <c r="AM3869" s="4">
        <v>25</v>
      </c>
      <c r="AN3869" s="4">
        <v>0</v>
      </c>
      <c r="AO3869" s="4">
        <v>0</v>
      </c>
      <c r="AP3869" s="4">
        <v>1</v>
      </c>
      <c r="AQ3869" s="4">
        <v>1</v>
      </c>
      <c r="AR3869" s="3" t="s">
        <v>63</v>
      </c>
      <c r="AS3869" s="3" t="s">
        <v>63</v>
      </c>
      <c r="AT3869" s="3" t="s">
        <v>62</v>
      </c>
      <c r="AU3869" s="6" t="str">
        <f>HYPERLINK("http://catalog.hathitrust.org/Record/003521977","HathiTrust Record")</f>
        <v>HathiTrust Record</v>
      </c>
      <c r="AV3869" s="6" t="str">
        <f>HYPERLINK("http://mcgill.on.worldcat.org/oclc/42778218","Catalog Record")</f>
        <v>Catalog Record</v>
      </c>
      <c r="AW3869" s="6" t="str">
        <f>HYPERLINK("http://www.worldcat.org/oclc/42778218","WorldCat Record")</f>
        <v>WorldCat Record</v>
      </c>
      <c r="AX3869" s="3" t="s">
        <v>33338</v>
      </c>
      <c r="AY3869" s="3" t="s">
        <v>33339</v>
      </c>
      <c r="AZ3869" s="3" t="s">
        <v>33340</v>
      </c>
      <c r="BA3869" s="3" t="s">
        <v>33340</v>
      </c>
      <c r="BB3869" s="3" t="s">
        <v>33341</v>
      </c>
      <c r="BC3869" s="3" t="s">
        <v>82</v>
      </c>
      <c r="BD3869" s="3" t="s">
        <v>70</v>
      </c>
      <c r="BE3869" s="3" t="s">
        <v>33342</v>
      </c>
      <c r="BF3869" s="3" t="s">
        <v>33341</v>
      </c>
      <c r="BG3869" s="3" t="s">
        <v>33343</v>
      </c>
    </row>
    <row r="3870" spans="1:59" ht="60" x14ac:dyDescent="0.25">
      <c r="A3870" s="2" t="s">
        <v>59</v>
      </c>
      <c r="B3870" s="2" t="s">
        <v>60</v>
      </c>
      <c r="C3870" s="2" t="s">
        <v>33333</v>
      </c>
      <c r="D3870" s="2" t="s">
        <v>33334</v>
      </c>
      <c r="E3870" s="2" t="s">
        <v>33335</v>
      </c>
      <c r="F3870" s="3" t="s">
        <v>4432</v>
      </c>
      <c r="G3870" s="3" t="s">
        <v>62</v>
      </c>
      <c r="I3870" s="3" t="s">
        <v>63</v>
      </c>
      <c r="J3870" s="3" t="s">
        <v>63</v>
      </c>
      <c r="K3870" s="3" t="s">
        <v>64</v>
      </c>
      <c r="L3870" s="2" t="s">
        <v>33037</v>
      </c>
      <c r="M3870" s="2" t="s">
        <v>33336</v>
      </c>
      <c r="N3870" s="3" t="s">
        <v>274</v>
      </c>
      <c r="P3870" s="3" t="s">
        <v>90</v>
      </c>
      <c r="R3870" s="3" t="s">
        <v>67</v>
      </c>
      <c r="S3870" s="4">
        <v>0</v>
      </c>
      <c r="T3870" s="4">
        <v>41</v>
      </c>
      <c r="V3870" s="5" t="s">
        <v>23475</v>
      </c>
      <c r="W3870" s="5" t="s">
        <v>69</v>
      </c>
      <c r="X3870" s="5" t="s">
        <v>69</v>
      </c>
      <c r="Y3870" s="4">
        <v>48</v>
      </c>
      <c r="Z3870" s="4">
        <v>3</v>
      </c>
      <c r="AA3870" s="4">
        <v>3</v>
      </c>
      <c r="AB3870" s="4">
        <v>1</v>
      </c>
      <c r="AC3870" s="4">
        <v>1</v>
      </c>
      <c r="AD3870" s="4">
        <v>29</v>
      </c>
      <c r="AE3870" s="4">
        <v>29</v>
      </c>
      <c r="AF3870" s="4">
        <v>0</v>
      </c>
      <c r="AG3870" s="4">
        <v>0</v>
      </c>
      <c r="AH3870" s="4">
        <v>28</v>
      </c>
      <c r="AI3870" s="4">
        <v>28</v>
      </c>
      <c r="AJ3870" s="4">
        <v>1</v>
      </c>
      <c r="AK3870" s="4">
        <v>1</v>
      </c>
      <c r="AL3870" s="4">
        <v>25</v>
      </c>
      <c r="AM3870" s="4">
        <v>25</v>
      </c>
      <c r="AN3870" s="4">
        <v>0</v>
      </c>
      <c r="AO3870" s="4">
        <v>0</v>
      </c>
      <c r="AP3870" s="4">
        <v>1</v>
      </c>
      <c r="AQ3870" s="4">
        <v>1</v>
      </c>
      <c r="AR3870" s="3" t="s">
        <v>63</v>
      </c>
      <c r="AS3870" s="3" t="s">
        <v>63</v>
      </c>
      <c r="AT3870" s="3" t="s">
        <v>62</v>
      </c>
      <c r="AU3870" s="6" t="str">
        <f>HYPERLINK("http://catalog.hathitrust.org/Record/003521977","HathiTrust Record")</f>
        <v>HathiTrust Record</v>
      </c>
      <c r="AV3870" s="6" t="str">
        <f>HYPERLINK("http://mcgill.on.worldcat.org/oclc/42778218","Catalog Record")</f>
        <v>Catalog Record</v>
      </c>
      <c r="AW3870" s="6" t="str">
        <f>HYPERLINK("http://www.worldcat.org/oclc/42778218","WorldCat Record")</f>
        <v>WorldCat Record</v>
      </c>
      <c r="AX3870" s="3" t="s">
        <v>33338</v>
      </c>
      <c r="AY3870" s="3" t="s">
        <v>33339</v>
      </c>
      <c r="AZ3870" s="3" t="s">
        <v>33340</v>
      </c>
      <c r="BA3870" s="3" t="s">
        <v>33340</v>
      </c>
      <c r="BB3870" s="3" t="s">
        <v>33344</v>
      </c>
      <c r="BC3870" s="3" t="s">
        <v>82</v>
      </c>
      <c r="BD3870" s="3" t="s">
        <v>70</v>
      </c>
      <c r="BE3870" s="3" t="s">
        <v>33342</v>
      </c>
      <c r="BF3870" s="3" t="s">
        <v>33344</v>
      </c>
      <c r="BG3870" s="3" t="s">
        <v>33345</v>
      </c>
    </row>
    <row r="3871" spans="1:59" ht="60" x14ac:dyDescent="0.25">
      <c r="A3871" s="2" t="s">
        <v>59</v>
      </c>
      <c r="B3871" s="2" t="s">
        <v>60</v>
      </c>
      <c r="C3871" s="2" t="s">
        <v>33333</v>
      </c>
      <c r="D3871" s="2" t="s">
        <v>33334</v>
      </c>
      <c r="E3871" s="2" t="s">
        <v>33335</v>
      </c>
      <c r="F3871" s="3" t="s">
        <v>4434</v>
      </c>
      <c r="G3871" s="3" t="s">
        <v>62</v>
      </c>
      <c r="I3871" s="3" t="s">
        <v>63</v>
      </c>
      <c r="J3871" s="3" t="s">
        <v>63</v>
      </c>
      <c r="K3871" s="3" t="s">
        <v>64</v>
      </c>
      <c r="L3871" s="2" t="s">
        <v>33037</v>
      </c>
      <c r="M3871" s="2" t="s">
        <v>33336</v>
      </c>
      <c r="N3871" s="3" t="s">
        <v>274</v>
      </c>
      <c r="P3871" s="3" t="s">
        <v>90</v>
      </c>
      <c r="R3871" s="3" t="s">
        <v>67</v>
      </c>
      <c r="S3871" s="4">
        <v>3</v>
      </c>
      <c r="T3871" s="4">
        <v>41</v>
      </c>
      <c r="U3871" s="5" t="s">
        <v>33346</v>
      </c>
      <c r="V3871" s="5" t="s">
        <v>23475</v>
      </c>
      <c r="W3871" s="5" t="s">
        <v>69</v>
      </c>
      <c r="X3871" s="5" t="s">
        <v>69</v>
      </c>
      <c r="Y3871" s="4">
        <v>48</v>
      </c>
      <c r="Z3871" s="4">
        <v>3</v>
      </c>
      <c r="AA3871" s="4">
        <v>3</v>
      </c>
      <c r="AB3871" s="4">
        <v>1</v>
      </c>
      <c r="AC3871" s="4">
        <v>1</v>
      </c>
      <c r="AD3871" s="4">
        <v>29</v>
      </c>
      <c r="AE3871" s="4">
        <v>29</v>
      </c>
      <c r="AF3871" s="4">
        <v>0</v>
      </c>
      <c r="AG3871" s="4">
        <v>0</v>
      </c>
      <c r="AH3871" s="4">
        <v>28</v>
      </c>
      <c r="AI3871" s="4">
        <v>28</v>
      </c>
      <c r="AJ3871" s="4">
        <v>1</v>
      </c>
      <c r="AK3871" s="4">
        <v>1</v>
      </c>
      <c r="AL3871" s="4">
        <v>25</v>
      </c>
      <c r="AM3871" s="4">
        <v>25</v>
      </c>
      <c r="AN3871" s="4">
        <v>0</v>
      </c>
      <c r="AO3871" s="4">
        <v>0</v>
      </c>
      <c r="AP3871" s="4">
        <v>1</v>
      </c>
      <c r="AQ3871" s="4">
        <v>1</v>
      </c>
      <c r="AR3871" s="3" t="s">
        <v>63</v>
      </c>
      <c r="AS3871" s="3" t="s">
        <v>63</v>
      </c>
      <c r="AT3871" s="3" t="s">
        <v>62</v>
      </c>
      <c r="AU3871" s="6" t="str">
        <f>HYPERLINK("http://catalog.hathitrust.org/Record/003521977","HathiTrust Record")</f>
        <v>HathiTrust Record</v>
      </c>
      <c r="AV3871" s="6" t="str">
        <f>HYPERLINK("http://mcgill.on.worldcat.org/oclc/42778218","Catalog Record")</f>
        <v>Catalog Record</v>
      </c>
      <c r="AW3871" s="6" t="str">
        <f>HYPERLINK("http://www.worldcat.org/oclc/42778218","WorldCat Record")</f>
        <v>WorldCat Record</v>
      </c>
      <c r="AX3871" s="3" t="s">
        <v>33338</v>
      </c>
      <c r="AY3871" s="3" t="s">
        <v>33339</v>
      </c>
      <c r="AZ3871" s="3" t="s">
        <v>33340</v>
      </c>
      <c r="BA3871" s="3" t="s">
        <v>33340</v>
      </c>
      <c r="BB3871" s="3" t="s">
        <v>33347</v>
      </c>
      <c r="BC3871" s="3" t="s">
        <v>82</v>
      </c>
      <c r="BD3871" s="3" t="s">
        <v>70</v>
      </c>
      <c r="BE3871" s="3" t="s">
        <v>33342</v>
      </c>
      <c r="BF3871" s="3" t="s">
        <v>33347</v>
      </c>
      <c r="BG3871" s="3" t="s">
        <v>33348</v>
      </c>
    </row>
    <row r="3872" spans="1:59" ht="60" x14ac:dyDescent="0.25">
      <c r="A3872" s="2" t="s">
        <v>59</v>
      </c>
      <c r="B3872" s="2" t="s">
        <v>60</v>
      </c>
      <c r="C3872" s="2" t="s">
        <v>33333</v>
      </c>
      <c r="D3872" s="2" t="s">
        <v>33334</v>
      </c>
      <c r="E3872" s="2" t="s">
        <v>33335</v>
      </c>
      <c r="F3872" s="3" t="s">
        <v>582</v>
      </c>
      <c r="G3872" s="3" t="s">
        <v>62</v>
      </c>
      <c r="I3872" s="3" t="s">
        <v>63</v>
      </c>
      <c r="J3872" s="3" t="s">
        <v>63</v>
      </c>
      <c r="K3872" s="3" t="s">
        <v>64</v>
      </c>
      <c r="L3872" s="2" t="s">
        <v>33037</v>
      </c>
      <c r="M3872" s="2" t="s">
        <v>33336</v>
      </c>
      <c r="N3872" s="3" t="s">
        <v>274</v>
      </c>
      <c r="P3872" s="3" t="s">
        <v>90</v>
      </c>
      <c r="R3872" s="3" t="s">
        <v>67</v>
      </c>
      <c r="S3872" s="4">
        <v>8</v>
      </c>
      <c r="T3872" s="4">
        <v>41</v>
      </c>
      <c r="U3872" s="5" t="s">
        <v>33349</v>
      </c>
      <c r="V3872" s="5" t="s">
        <v>23475</v>
      </c>
      <c r="W3872" s="5" t="s">
        <v>69</v>
      </c>
      <c r="X3872" s="5" t="s">
        <v>69</v>
      </c>
      <c r="Y3872" s="4">
        <v>48</v>
      </c>
      <c r="Z3872" s="4">
        <v>3</v>
      </c>
      <c r="AA3872" s="4">
        <v>3</v>
      </c>
      <c r="AB3872" s="4">
        <v>1</v>
      </c>
      <c r="AC3872" s="4">
        <v>1</v>
      </c>
      <c r="AD3872" s="4">
        <v>29</v>
      </c>
      <c r="AE3872" s="4">
        <v>29</v>
      </c>
      <c r="AF3872" s="4">
        <v>0</v>
      </c>
      <c r="AG3872" s="4">
        <v>0</v>
      </c>
      <c r="AH3872" s="4">
        <v>28</v>
      </c>
      <c r="AI3872" s="4">
        <v>28</v>
      </c>
      <c r="AJ3872" s="4">
        <v>1</v>
      </c>
      <c r="AK3872" s="4">
        <v>1</v>
      </c>
      <c r="AL3872" s="4">
        <v>25</v>
      </c>
      <c r="AM3872" s="4">
        <v>25</v>
      </c>
      <c r="AN3872" s="4">
        <v>0</v>
      </c>
      <c r="AO3872" s="4">
        <v>0</v>
      </c>
      <c r="AP3872" s="4">
        <v>1</v>
      </c>
      <c r="AQ3872" s="4">
        <v>1</v>
      </c>
      <c r="AR3872" s="3" t="s">
        <v>63</v>
      </c>
      <c r="AS3872" s="3" t="s">
        <v>63</v>
      </c>
      <c r="AT3872" s="3" t="s">
        <v>62</v>
      </c>
      <c r="AU3872" s="6" t="str">
        <f>HYPERLINK("http://catalog.hathitrust.org/Record/003521977","HathiTrust Record")</f>
        <v>HathiTrust Record</v>
      </c>
      <c r="AV3872" s="6" t="str">
        <f>HYPERLINK("http://mcgill.on.worldcat.org/oclc/42778218","Catalog Record")</f>
        <v>Catalog Record</v>
      </c>
      <c r="AW3872" s="6" t="str">
        <f>HYPERLINK("http://www.worldcat.org/oclc/42778218","WorldCat Record")</f>
        <v>WorldCat Record</v>
      </c>
      <c r="AX3872" s="3" t="s">
        <v>33338</v>
      </c>
      <c r="AY3872" s="3" t="s">
        <v>33339</v>
      </c>
      <c r="AZ3872" s="3" t="s">
        <v>33340</v>
      </c>
      <c r="BA3872" s="3" t="s">
        <v>33340</v>
      </c>
      <c r="BB3872" s="3" t="s">
        <v>33350</v>
      </c>
      <c r="BC3872" s="3" t="s">
        <v>82</v>
      </c>
      <c r="BD3872" s="3" t="s">
        <v>70</v>
      </c>
      <c r="BE3872" s="3" t="s">
        <v>33342</v>
      </c>
      <c r="BF3872" s="3" t="s">
        <v>33350</v>
      </c>
      <c r="BG3872" s="3" t="s">
        <v>33351</v>
      </c>
    </row>
    <row r="3873" spans="1:59" ht="60" x14ac:dyDescent="0.25">
      <c r="A3873" s="2" t="s">
        <v>59</v>
      </c>
      <c r="B3873" s="2" t="s">
        <v>60</v>
      </c>
      <c r="C3873" s="2" t="s">
        <v>33333</v>
      </c>
      <c r="D3873" s="2" t="s">
        <v>33334</v>
      </c>
      <c r="E3873" s="2" t="s">
        <v>33335</v>
      </c>
      <c r="F3873" s="3" t="s">
        <v>571</v>
      </c>
      <c r="G3873" s="3" t="s">
        <v>62</v>
      </c>
      <c r="I3873" s="3" t="s">
        <v>63</v>
      </c>
      <c r="J3873" s="3" t="s">
        <v>63</v>
      </c>
      <c r="K3873" s="3" t="s">
        <v>64</v>
      </c>
      <c r="L3873" s="2" t="s">
        <v>33037</v>
      </c>
      <c r="M3873" s="2" t="s">
        <v>33336</v>
      </c>
      <c r="N3873" s="3" t="s">
        <v>274</v>
      </c>
      <c r="P3873" s="3" t="s">
        <v>90</v>
      </c>
      <c r="R3873" s="3" t="s">
        <v>67</v>
      </c>
      <c r="S3873" s="4">
        <v>9</v>
      </c>
      <c r="T3873" s="4">
        <v>41</v>
      </c>
      <c r="U3873" s="5" t="s">
        <v>3117</v>
      </c>
      <c r="V3873" s="5" t="s">
        <v>23475</v>
      </c>
      <c r="W3873" s="5" t="s">
        <v>69</v>
      </c>
      <c r="X3873" s="5" t="s">
        <v>69</v>
      </c>
      <c r="Y3873" s="4">
        <v>48</v>
      </c>
      <c r="Z3873" s="4">
        <v>3</v>
      </c>
      <c r="AA3873" s="4">
        <v>3</v>
      </c>
      <c r="AB3873" s="4">
        <v>1</v>
      </c>
      <c r="AC3873" s="4">
        <v>1</v>
      </c>
      <c r="AD3873" s="4">
        <v>29</v>
      </c>
      <c r="AE3873" s="4">
        <v>29</v>
      </c>
      <c r="AF3873" s="4">
        <v>0</v>
      </c>
      <c r="AG3873" s="4">
        <v>0</v>
      </c>
      <c r="AH3873" s="4">
        <v>28</v>
      </c>
      <c r="AI3873" s="4">
        <v>28</v>
      </c>
      <c r="AJ3873" s="4">
        <v>1</v>
      </c>
      <c r="AK3873" s="4">
        <v>1</v>
      </c>
      <c r="AL3873" s="4">
        <v>25</v>
      </c>
      <c r="AM3873" s="4">
        <v>25</v>
      </c>
      <c r="AN3873" s="4">
        <v>0</v>
      </c>
      <c r="AO3873" s="4">
        <v>0</v>
      </c>
      <c r="AP3873" s="4">
        <v>1</v>
      </c>
      <c r="AQ3873" s="4">
        <v>1</v>
      </c>
      <c r="AR3873" s="3" t="s">
        <v>63</v>
      </c>
      <c r="AS3873" s="3" t="s">
        <v>63</v>
      </c>
      <c r="AT3873" s="3" t="s">
        <v>62</v>
      </c>
      <c r="AU3873" s="6" t="str">
        <f>HYPERLINK("http://catalog.hathitrust.org/Record/003521977","HathiTrust Record")</f>
        <v>HathiTrust Record</v>
      </c>
      <c r="AV3873" s="6" t="str">
        <f>HYPERLINK("http://mcgill.on.worldcat.org/oclc/42778218","Catalog Record")</f>
        <v>Catalog Record</v>
      </c>
      <c r="AW3873" s="6" t="str">
        <f>HYPERLINK("http://www.worldcat.org/oclc/42778218","WorldCat Record")</f>
        <v>WorldCat Record</v>
      </c>
      <c r="AX3873" s="3" t="s">
        <v>33338</v>
      </c>
      <c r="AY3873" s="3" t="s">
        <v>33339</v>
      </c>
      <c r="AZ3873" s="3" t="s">
        <v>33340</v>
      </c>
      <c r="BA3873" s="3" t="s">
        <v>33340</v>
      </c>
      <c r="BB3873" s="3" t="s">
        <v>33352</v>
      </c>
      <c r="BC3873" s="3" t="s">
        <v>82</v>
      </c>
      <c r="BD3873" s="3" t="s">
        <v>70</v>
      </c>
      <c r="BE3873" s="3" t="s">
        <v>33342</v>
      </c>
      <c r="BF3873" s="3" t="s">
        <v>33352</v>
      </c>
      <c r="BG3873" s="3" t="s">
        <v>33353</v>
      </c>
    </row>
    <row r="3874" spans="1:59" ht="60" x14ac:dyDescent="0.25">
      <c r="A3874" s="2" t="s">
        <v>59</v>
      </c>
      <c r="B3874" s="2" t="s">
        <v>60</v>
      </c>
      <c r="C3874" s="2" t="s">
        <v>33333</v>
      </c>
      <c r="D3874" s="2" t="s">
        <v>33334</v>
      </c>
      <c r="E3874" s="2" t="s">
        <v>33335</v>
      </c>
      <c r="F3874" s="3" t="s">
        <v>4439</v>
      </c>
      <c r="G3874" s="3" t="s">
        <v>62</v>
      </c>
      <c r="I3874" s="3" t="s">
        <v>63</v>
      </c>
      <c r="J3874" s="3" t="s">
        <v>63</v>
      </c>
      <c r="K3874" s="3" t="s">
        <v>64</v>
      </c>
      <c r="L3874" s="2" t="s">
        <v>33037</v>
      </c>
      <c r="M3874" s="2" t="s">
        <v>33336</v>
      </c>
      <c r="N3874" s="3" t="s">
        <v>274</v>
      </c>
      <c r="P3874" s="3" t="s">
        <v>90</v>
      </c>
      <c r="R3874" s="3" t="s">
        <v>67</v>
      </c>
      <c r="S3874" s="4">
        <v>8</v>
      </c>
      <c r="T3874" s="4">
        <v>41</v>
      </c>
      <c r="U3874" s="5" t="s">
        <v>23475</v>
      </c>
      <c r="V3874" s="5" t="s">
        <v>23475</v>
      </c>
      <c r="W3874" s="5" t="s">
        <v>69</v>
      </c>
      <c r="X3874" s="5" t="s">
        <v>69</v>
      </c>
      <c r="Y3874" s="4">
        <v>48</v>
      </c>
      <c r="Z3874" s="4">
        <v>3</v>
      </c>
      <c r="AA3874" s="4">
        <v>3</v>
      </c>
      <c r="AB3874" s="4">
        <v>1</v>
      </c>
      <c r="AC3874" s="4">
        <v>1</v>
      </c>
      <c r="AD3874" s="4">
        <v>29</v>
      </c>
      <c r="AE3874" s="4">
        <v>29</v>
      </c>
      <c r="AF3874" s="4">
        <v>0</v>
      </c>
      <c r="AG3874" s="4">
        <v>0</v>
      </c>
      <c r="AH3874" s="4">
        <v>28</v>
      </c>
      <c r="AI3874" s="4">
        <v>28</v>
      </c>
      <c r="AJ3874" s="4">
        <v>1</v>
      </c>
      <c r="AK3874" s="4">
        <v>1</v>
      </c>
      <c r="AL3874" s="4">
        <v>25</v>
      </c>
      <c r="AM3874" s="4">
        <v>25</v>
      </c>
      <c r="AN3874" s="4">
        <v>0</v>
      </c>
      <c r="AO3874" s="4">
        <v>0</v>
      </c>
      <c r="AP3874" s="4">
        <v>1</v>
      </c>
      <c r="AQ3874" s="4">
        <v>1</v>
      </c>
      <c r="AR3874" s="3" t="s">
        <v>63</v>
      </c>
      <c r="AS3874" s="3" t="s">
        <v>63</v>
      </c>
      <c r="AT3874" s="3" t="s">
        <v>62</v>
      </c>
      <c r="AU3874" s="6" t="str">
        <f>HYPERLINK("http://catalog.hathitrust.org/Record/003521977","HathiTrust Record")</f>
        <v>HathiTrust Record</v>
      </c>
      <c r="AV3874" s="6" t="str">
        <f>HYPERLINK("http://mcgill.on.worldcat.org/oclc/42778218","Catalog Record")</f>
        <v>Catalog Record</v>
      </c>
      <c r="AW3874" s="6" t="str">
        <f>HYPERLINK("http://www.worldcat.org/oclc/42778218","WorldCat Record")</f>
        <v>WorldCat Record</v>
      </c>
      <c r="AX3874" s="3" t="s">
        <v>33338</v>
      </c>
      <c r="AY3874" s="3" t="s">
        <v>33339</v>
      </c>
      <c r="AZ3874" s="3" t="s">
        <v>33340</v>
      </c>
      <c r="BA3874" s="3" t="s">
        <v>33340</v>
      </c>
      <c r="BB3874" s="3" t="s">
        <v>33354</v>
      </c>
      <c r="BC3874" s="3" t="s">
        <v>82</v>
      </c>
      <c r="BD3874" s="3" t="s">
        <v>70</v>
      </c>
      <c r="BE3874" s="3" t="s">
        <v>33342</v>
      </c>
      <c r="BF3874" s="3" t="s">
        <v>33354</v>
      </c>
      <c r="BG3874" s="3" t="s">
        <v>33355</v>
      </c>
    </row>
    <row r="3875" spans="1:59" ht="60" x14ac:dyDescent="0.25">
      <c r="A3875" s="2" t="s">
        <v>59</v>
      </c>
      <c r="B3875" s="2" t="s">
        <v>60</v>
      </c>
      <c r="C3875" s="2" t="s">
        <v>33333</v>
      </c>
      <c r="D3875" s="2" t="s">
        <v>33334</v>
      </c>
      <c r="E3875" s="2" t="s">
        <v>33335</v>
      </c>
      <c r="F3875" s="3" t="s">
        <v>9085</v>
      </c>
      <c r="G3875" s="3" t="s">
        <v>62</v>
      </c>
      <c r="I3875" s="3" t="s">
        <v>63</v>
      </c>
      <c r="J3875" s="3" t="s">
        <v>63</v>
      </c>
      <c r="K3875" s="3" t="s">
        <v>64</v>
      </c>
      <c r="L3875" s="2" t="s">
        <v>33037</v>
      </c>
      <c r="M3875" s="2" t="s">
        <v>33336</v>
      </c>
      <c r="N3875" s="3" t="s">
        <v>274</v>
      </c>
      <c r="P3875" s="3" t="s">
        <v>90</v>
      </c>
      <c r="R3875" s="3" t="s">
        <v>67</v>
      </c>
      <c r="S3875" s="4">
        <v>0</v>
      </c>
      <c r="T3875" s="4">
        <v>41</v>
      </c>
      <c r="V3875" s="5" t="s">
        <v>23475</v>
      </c>
      <c r="W3875" s="5" t="s">
        <v>69</v>
      </c>
      <c r="X3875" s="5" t="s">
        <v>69</v>
      </c>
      <c r="Y3875" s="4">
        <v>48</v>
      </c>
      <c r="Z3875" s="4">
        <v>3</v>
      </c>
      <c r="AA3875" s="4">
        <v>3</v>
      </c>
      <c r="AB3875" s="4">
        <v>1</v>
      </c>
      <c r="AC3875" s="4">
        <v>1</v>
      </c>
      <c r="AD3875" s="4">
        <v>29</v>
      </c>
      <c r="AE3875" s="4">
        <v>29</v>
      </c>
      <c r="AF3875" s="4">
        <v>0</v>
      </c>
      <c r="AG3875" s="4">
        <v>0</v>
      </c>
      <c r="AH3875" s="4">
        <v>28</v>
      </c>
      <c r="AI3875" s="4">
        <v>28</v>
      </c>
      <c r="AJ3875" s="4">
        <v>1</v>
      </c>
      <c r="AK3875" s="4">
        <v>1</v>
      </c>
      <c r="AL3875" s="4">
        <v>25</v>
      </c>
      <c r="AM3875" s="4">
        <v>25</v>
      </c>
      <c r="AN3875" s="4">
        <v>0</v>
      </c>
      <c r="AO3875" s="4">
        <v>0</v>
      </c>
      <c r="AP3875" s="4">
        <v>1</v>
      </c>
      <c r="AQ3875" s="4">
        <v>1</v>
      </c>
      <c r="AR3875" s="3" t="s">
        <v>63</v>
      </c>
      <c r="AS3875" s="3" t="s">
        <v>63</v>
      </c>
      <c r="AT3875" s="3" t="s">
        <v>62</v>
      </c>
      <c r="AU3875" s="6" t="str">
        <f>HYPERLINK("http://catalog.hathitrust.org/Record/003521977","HathiTrust Record")</f>
        <v>HathiTrust Record</v>
      </c>
      <c r="AV3875" s="6" t="str">
        <f>HYPERLINK("http://mcgill.on.worldcat.org/oclc/42778218","Catalog Record")</f>
        <v>Catalog Record</v>
      </c>
      <c r="AW3875" s="6" t="str">
        <f>HYPERLINK("http://www.worldcat.org/oclc/42778218","WorldCat Record")</f>
        <v>WorldCat Record</v>
      </c>
      <c r="AX3875" s="3" t="s">
        <v>33338</v>
      </c>
      <c r="AY3875" s="3" t="s">
        <v>33339</v>
      </c>
      <c r="AZ3875" s="3" t="s">
        <v>33340</v>
      </c>
      <c r="BA3875" s="3" t="s">
        <v>33340</v>
      </c>
      <c r="BB3875" s="3" t="s">
        <v>33356</v>
      </c>
      <c r="BC3875" s="3" t="s">
        <v>82</v>
      </c>
      <c r="BD3875" s="3" t="s">
        <v>70</v>
      </c>
      <c r="BE3875" s="3" t="s">
        <v>33342</v>
      </c>
      <c r="BF3875" s="3" t="s">
        <v>33356</v>
      </c>
      <c r="BG3875" s="3" t="s">
        <v>33357</v>
      </c>
    </row>
    <row r="3876" spans="1:59" ht="60" x14ac:dyDescent="0.25">
      <c r="A3876" s="2" t="s">
        <v>59</v>
      </c>
      <c r="B3876" s="2" t="s">
        <v>60</v>
      </c>
      <c r="C3876" s="2" t="s">
        <v>33333</v>
      </c>
      <c r="D3876" s="2" t="s">
        <v>33334</v>
      </c>
      <c r="E3876" s="2" t="s">
        <v>33335</v>
      </c>
      <c r="F3876" s="3" t="s">
        <v>4435</v>
      </c>
      <c r="G3876" s="3" t="s">
        <v>62</v>
      </c>
      <c r="I3876" s="3" t="s">
        <v>63</v>
      </c>
      <c r="J3876" s="3" t="s">
        <v>63</v>
      </c>
      <c r="K3876" s="3" t="s">
        <v>64</v>
      </c>
      <c r="L3876" s="2" t="s">
        <v>33037</v>
      </c>
      <c r="M3876" s="2" t="s">
        <v>33336</v>
      </c>
      <c r="N3876" s="3" t="s">
        <v>274</v>
      </c>
      <c r="P3876" s="3" t="s">
        <v>90</v>
      </c>
      <c r="R3876" s="3" t="s">
        <v>67</v>
      </c>
      <c r="S3876" s="4">
        <v>2</v>
      </c>
      <c r="T3876" s="4">
        <v>41</v>
      </c>
      <c r="U3876" s="5" t="s">
        <v>33358</v>
      </c>
      <c r="V3876" s="5" t="s">
        <v>23475</v>
      </c>
      <c r="W3876" s="5" t="s">
        <v>69</v>
      </c>
      <c r="X3876" s="5" t="s">
        <v>69</v>
      </c>
      <c r="Y3876" s="4">
        <v>48</v>
      </c>
      <c r="Z3876" s="4">
        <v>3</v>
      </c>
      <c r="AA3876" s="4">
        <v>3</v>
      </c>
      <c r="AB3876" s="4">
        <v>1</v>
      </c>
      <c r="AC3876" s="4">
        <v>1</v>
      </c>
      <c r="AD3876" s="4">
        <v>29</v>
      </c>
      <c r="AE3876" s="4">
        <v>29</v>
      </c>
      <c r="AF3876" s="4">
        <v>0</v>
      </c>
      <c r="AG3876" s="4">
        <v>0</v>
      </c>
      <c r="AH3876" s="4">
        <v>28</v>
      </c>
      <c r="AI3876" s="4">
        <v>28</v>
      </c>
      <c r="AJ3876" s="4">
        <v>1</v>
      </c>
      <c r="AK3876" s="4">
        <v>1</v>
      </c>
      <c r="AL3876" s="4">
        <v>25</v>
      </c>
      <c r="AM3876" s="4">
        <v>25</v>
      </c>
      <c r="AN3876" s="4">
        <v>0</v>
      </c>
      <c r="AO3876" s="4">
        <v>0</v>
      </c>
      <c r="AP3876" s="4">
        <v>1</v>
      </c>
      <c r="AQ3876" s="4">
        <v>1</v>
      </c>
      <c r="AR3876" s="3" t="s">
        <v>63</v>
      </c>
      <c r="AS3876" s="3" t="s">
        <v>63</v>
      </c>
      <c r="AT3876" s="3" t="s">
        <v>62</v>
      </c>
      <c r="AU3876" s="6" t="str">
        <f>HYPERLINK("http://catalog.hathitrust.org/Record/003521977","HathiTrust Record")</f>
        <v>HathiTrust Record</v>
      </c>
      <c r="AV3876" s="6" t="str">
        <f>HYPERLINK("http://mcgill.on.worldcat.org/oclc/42778218","Catalog Record")</f>
        <v>Catalog Record</v>
      </c>
      <c r="AW3876" s="6" t="str">
        <f>HYPERLINK("http://www.worldcat.org/oclc/42778218","WorldCat Record")</f>
        <v>WorldCat Record</v>
      </c>
      <c r="AX3876" s="3" t="s">
        <v>33338</v>
      </c>
      <c r="AY3876" s="3" t="s">
        <v>33339</v>
      </c>
      <c r="AZ3876" s="3" t="s">
        <v>33340</v>
      </c>
      <c r="BA3876" s="3" t="s">
        <v>33340</v>
      </c>
      <c r="BB3876" s="3" t="s">
        <v>33359</v>
      </c>
      <c r="BC3876" s="3" t="s">
        <v>82</v>
      </c>
      <c r="BD3876" s="3" t="s">
        <v>70</v>
      </c>
      <c r="BE3876" s="3" t="s">
        <v>33342</v>
      </c>
      <c r="BF3876" s="3" t="s">
        <v>33359</v>
      </c>
      <c r="BG3876" s="3" t="s">
        <v>33360</v>
      </c>
    </row>
    <row r="3877" spans="1:59" ht="60" x14ac:dyDescent="0.25">
      <c r="A3877" s="2" t="s">
        <v>59</v>
      </c>
      <c r="B3877" s="2" t="s">
        <v>60</v>
      </c>
      <c r="C3877" s="2" t="s">
        <v>33333</v>
      </c>
      <c r="D3877" s="2" t="s">
        <v>33334</v>
      </c>
      <c r="E3877" s="2" t="s">
        <v>33335</v>
      </c>
      <c r="F3877" s="3" t="s">
        <v>4032</v>
      </c>
      <c r="G3877" s="3" t="s">
        <v>62</v>
      </c>
      <c r="I3877" s="3" t="s">
        <v>63</v>
      </c>
      <c r="J3877" s="3" t="s">
        <v>63</v>
      </c>
      <c r="K3877" s="3" t="s">
        <v>64</v>
      </c>
      <c r="L3877" s="2" t="s">
        <v>33037</v>
      </c>
      <c r="M3877" s="2" t="s">
        <v>33336</v>
      </c>
      <c r="N3877" s="3" t="s">
        <v>274</v>
      </c>
      <c r="P3877" s="3" t="s">
        <v>90</v>
      </c>
      <c r="R3877" s="3" t="s">
        <v>67</v>
      </c>
      <c r="S3877" s="4">
        <v>4</v>
      </c>
      <c r="T3877" s="4">
        <v>41</v>
      </c>
      <c r="U3877" s="5" t="s">
        <v>33361</v>
      </c>
      <c r="V3877" s="5" t="s">
        <v>23475</v>
      </c>
      <c r="W3877" s="5" t="s">
        <v>69</v>
      </c>
      <c r="X3877" s="5" t="s">
        <v>69</v>
      </c>
      <c r="Y3877" s="4">
        <v>48</v>
      </c>
      <c r="Z3877" s="4">
        <v>3</v>
      </c>
      <c r="AA3877" s="4">
        <v>3</v>
      </c>
      <c r="AB3877" s="4">
        <v>1</v>
      </c>
      <c r="AC3877" s="4">
        <v>1</v>
      </c>
      <c r="AD3877" s="4">
        <v>29</v>
      </c>
      <c r="AE3877" s="4">
        <v>29</v>
      </c>
      <c r="AF3877" s="4">
        <v>0</v>
      </c>
      <c r="AG3877" s="4">
        <v>0</v>
      </c>
      <c r="AH3877" s="4">
        <v>28</v>
      </c>
      <c r="AI3877" s="4">
        <v>28</v>
      </c>
      <c r="AJ3877" s="4">
        <v>1</v>
      </c>
      <c r="AK3877" s="4">
        <v>1</v>
      </c>
      <c r="AL3877" s="4">
        <v>25</v>
      </c>
      <c r="AM3877" s="4">
        <v>25</v>
      </c>
      <c r="AN3877" s="4">
        <v>0</v>
      </c>
      <c r="AO3877" s="4">
        <v>0</v>
      </c>
      <c r="AP3877" s="4">
        <v>1</v>
      </c>
      <c r="AQ3877" s="4">
        <v>1</v>
      </c>
      <c r="AR3877" s="3" t="s">
        <v>63</v>
      </c>
      <c r="AS3877" s="3" t="s">
        <v>63</v>
      </c>
      <c r="AT3877" s="3" t="s">
        <v>62</v>
      </c>
      <c r="AU3877" s="6" t="str">
        <f>HYPERLINK("http://catalog.hathitrust.org/Record/003521977","HathiTrust Record")</f>
        <v>HathiTrust Record</v>
      </c>
      <c r="AV3877" s="6" t="str">
        <f>HYPERLINK("http://mcgill.on.worldcat.org/oclc/42778218","Catalog Record")</f>
        <v>Catalog Record</v>
      </c>
      <c r="AW3877" s="6" t="str">
        <f>HYPERLINK("http://www.worldcat.org/oclc/42778218","WorldCat Record")</f>
        <v>WorldCat Record</v>
      </c>
      <c r="AX3877" s="3" t="s">
        <v>33338</v>
      </c>
      <c r="AY3877" s="3" t="s">
        <v>33339</v>
      </c>
      <c r="AZ3877" s="3" t="s">
        <v>33340</v>
      </c>
      <c r="BA3877" s="3" t="s">
        <v>33340</v>
      </c>
      <c r="BB3877" s="3" t="s">
        <v>33362</v>
      </c>
      <c r="BC3877" s="3" t="s">
        <v>82</v>
      </c>
      <c r="BD3877" s="3" t="s">
        <v>70</v>
      </c>
      <c r="BE3877" s="3" t="s">
        <v>33342</v>
      </c>
      <c r="BF3877" s="3" t="s">
        <v>33362</v>
      </c>
      <c r="BG3877" s="3" t="s">
        <v>33363</v>
      </c>
    </row>
    <row r="3878" spans="1:59" ht="60" x14ac:dyDescent="0.25">
      <c r="A3878" s="2" t="s">
        <v>59</v>
      </c>
      <c r="B3878" s="2" t="s">
        <v>60</v>
      </c>
      <c r="C3878" s="2" t="s">
        <v>33022</v>
      </c>
      <c r="D3878" s="2" t="s">
        <v>33023</v>
      </c>
      <c r="E3878" s="2" t="s">
        <v>33024</v>
      </c>
      <c r="G3878" s="3" t="s">
        <v>63</v>
      </c>
      <c r="I3878" s="3" t="s">
        <v>63</v>
      </c>
      <c r="J3878" s="3" t="s">
        <v>63</v>
      </c>
      <c r="K3878" s="3" t="s">
        <v>64</v>
      </c>
      <c r="L3878" s="2" t="s">
        <v>33025</v>
      </c>
      <c r="M3878" s="2" t="s">
        <v>33026</v>
      </c>
      <c r="N3878" s="3" t="s">
        <v>234</v>
      </c>
      <c r="P3878" s="3" t="s">
        <v>66</v>
      </c>
      <c r="R3878" s="3" t="s">
        <v>67</v>
      </c>
      <c r="S3878" s="4">
        <v>12</v>
      </c>
      <c r="T3878" s="4">
        <v>12</v>
      </c>
      <c r="U3878" s="5" t="s">
        <v>33027</v>
      </c>
      <c r="V3878" s="5" t="s">
        <v>33027</v>
      </c>
      <c r="W3878" s="5" t="s">
        <v>69</v>
      </c>
      <c r="X3878" s="5" t="s">
        <v>69</v>
      </c>
      <c r="Y3878" s="4">
        <v>417</v>
      </c>
      <c r="Z3878" s="4">
        <v>28</v>
      </c>
      <c r="AA3878" s="4">
        <v>30</v>
      </c>
      <c r="AB3878" s="4">
        <v>1</v>
      </c>
      <c r="AC3878" s="4">
        <v>1</v>
      </c>
      <c r="AD3878" s="4">
        <v>76</v>
      </c>
      <c r="AE3878" s="4">
        <v>84</v>
      </c>
      <c r="AF3878" s="4">
        <v>0</v>
      </c>
      <c r="AG3878" s="4">
        <v>0</v>
      </c>
      <c r="AH3878" s="4">
        <v>66</v>
      </c>
      <c r="AI3878" s="4">
        <v>74</v>
      </c>
      <c r="AJ3878" s="4">
        <v>11</v>
      </c>
      <c r="AK3878" s="4">
        <v>12</v>
      </c>
      <c r="AL3878" s="4">
        <v>40</v>
      </c>
      <c r="AM3878" s="4">
        <v>43</v>
      </c>
      <c r="AN3878" s="4">
        <v>0</v>
      </c>
      <c r="AO3878" s="4">
        <v>0</v>
      </c>
      <c r="AP3878" s="4">
        <v>14</v>
      </c>
      <c r="AQ3878" s="4">
        <v>15</v>
      </c>
      <c r="AR3878" s="3" t="s">
        <v>63</v>
      </c>
      <c r="AS3878" s="3" t="s">
        <v>63</v>
      </c>
      <c r="AT3878" s="3" t="s">
        <v>63</v>
      </c>
      <c r="AV3878" s="6" t="str">
        <f>HYPERLINK("http://mcgill.on.worldcat.org/oclc/76717221","Catalog Record")</f>
        <v>Catalog Record</v>
      </c>
      <c r="AW3878" s="6" t="str">
        <f>HYPERLINK("http://www.worldcat.org/oclc/76717221","WorldCat Record")</f>
        <v>WorldCat Record</v>
      </c>
      <c r="AX3878" s="3" t="s">
        <v>33028</v>
      </c>
      <c r="AY3878" s="3" t="s">
        <v>33029</v>
      </c>
      <c r="AZ3878" s="3" t="s">
        <v>33030</v>
      </c>
      <c r="BA3878" s="3" t="s">
        <v>33030</v>
      </c>
      <c r="BB3878" s="3" t="s">
        <v>33031</v>
      </c>
      <c r="BC3878" s="3" t="s">
        <v>82</v>
      </c>
      <c r="BD3878" s="3" t="s">
        <v>70</v>
      </c>
      <c r="BE3878" s="3" t="s">
        <v>33032</v>
      </c>
      <c r="BF3878" s="3" t="s">
        <v>33031</v>
      </c>
      <c r="BG3878" s="3" t="s">
        <v>33033</v>
      </c>
    </row>
    <row r="3879" spans="1:59" ht="60" x14ac:dyDescent="0.25">
      <c r="A3879" s="2" t="s">
        <v>59</v>
      </c>
      <c r="B3879" s="2" t="s">
        <v>60</v>
      </c>
      <c r="C3879" s="2" t="s">
        <v>33034</v>
      </c>
      <c r="D3879" s="2" t="s">
        <v>33035</v>
      </c>
      <c r="E3879" s="2" t="s">
        <v>33036</v>
      </c>
      <c r="G3879" s="3" t="s">
        <v>63</v>
      </c>
      <c r="I3879" s="3" t="s">
        <v>63</v>
      </c>
      <c r="J3879" s="3" t="s">
        <v>62</v>
      </c>
      <c r="K3879" s="3" t="s">
        <v>64</v>
      </c>
      <c r="L3879" s="2" t="s">
        <v>33037</v>
      </c>
      <c r="M3879" s="2" t="s">
        <v>33038</v>
      </c>
      <c r="N3879" s="3" t="s">
        <v>2765</v>
      </c>
      <c r="O3879" s="2" t="s">
        <v>33039</v>
      </c>
      <c r="P3879" s="3" t="s">
        <v>66</v>
      </c>
      <c r="R3879" s="3" t="s">
        <v>67</v>
      </c>
      <c r="S3879" s="4">
        <v>0</v>
      </c>
      <c r="T3879" s="4">
        <v>0</v>
      </c>
      <c r="W3879" s="5" t="s">
        <v>69</v>
      </c>
      <c r="X3879" s="5" t="s">
        <v>69</v>
      </c>
      <c r="Y3879" s="4">
        <v>54</v>
      </c>
      <c r="Z3879" s="4">
        <v>2</v>
      </c>
      <c r="AA3879" s="4">
        <v>63</v>
      </c>
      <c r="AB3879" s="4">
        <v>1</v>
      </c>
      <c r="AC3879" s="4">
        <v>4</v>
      </c>
      <c r="AD3879" s="4">
        <v>16</v>
      </c>
      <c r="AE3879" s="4">
        <v>140</v>
      </c>
      <c r="AF3879" s="4">
        <v>0</v>
      </c>
      <c r="AG3879" s="4">
        <v>2</v>
      </c>
      <c r="AH3879" s="4">
        <v>16</v>
      </c>
      <c r="AI3879" s="4">
        <v>107</v>
      </c>
      <c r="AJ3879" s="4">
        <v>0</v>
      </c>
      <c r="AK3879" s="4">
        <v>22</v>
      </c>
      <c r="AL3879" s="4">
        <v>9</v>
      </c>
      <c r="AM3879" s="4">
        <v>59</v>
      </c>
      <c r="AN3879" s="4">
        <v>0</v>
      </c>
      <c r="AO3879" s="4">
        <v>0</v>
      </c>
      <c r="AP3879" s="4">
        <v>0</v>
      </c>
      <c r="AQ3879" s="4">
        <v>37</v>
      </c>
      <c r="AR3879" s="3" t="s">
        <v>63</v>
      </c>
      <c r="AS3879" s="3" t="s">
        <v>63</v>
      </c>
      <c r="AT3879" s="3" t="s">
        <v>63</v>
      </c>
      <c r="AV3879" s="6" t="str">
        <f>HYPERLINK("http://mcgill.on.worldcat.org/oclc/892061585","Catalog Record")</f>
        <v>Catalog Record</v>
      </c>
      <c r="AW3879" s="6" t="str">
        <f>HYPERLINK("http://www.worldcat.org/oclc/892061585","WorldCat Record")</f>
        <v>WorldCat Record</v>
      </c>
      <c r="AX3879" s="3" t="s">
        <v>33040</v>
      </c>
      <c r="AY3879" s="3" t="s">
        <v>33041</v>
      </c>
      <c r="AZ3879" s="3" t="s">
        <v>33042</v>
      </c>
      <c r="BA3879" s="3" t="s">
        <v>33042</v>
      </c>
      <c r="BB3879" s="3" t="s">
        <v>33043</v>
      </c>
      <c r="BC3879" s="3" t="s">
        <v>82</v>
      </c>
      <c r="BD3879" s="3" t="s">
        <v>70</v>
      </c>
      <c r="BE3879" s="3" t="s">
        <v>33044</v>
      </c>
      <c r="BF3879" s="3" t="s">
        <v>33043</v>
      </c>
      <c r="BG3879" s="3" t="s">
        <v>33045</v>
      </c>
    </row>
    <row r="3880" spans="1:59" ht="60" x14ac:dyDescent="0.25">
      <c r="A3880" s="2" t="s">
        <v>59</v>
      </c>
      <c r="B3880" s="2" t="s">
        <v>60</v>
      </c>
      <c r="C3880" s="2" t="s">
        <v>33046</v>
      </c>
      <c r="D3880" s="2" t="s">
        <v>33047</v>
      </c>
      <c r="E3880" s="2" t="s">
        <v>33048</v>
      </c>
      <c r="G3880" s="3" t="s">
        <v>63</v>
      </c>
      <c r="I3880" s="3" t="s">
        <v>63</v>
      </c>
      <c r="J3880" s="3" t="s">
        <v>63</v>
      </c>
      <c r="K3880" s="3" t="s">
        <v>64</v>
      </c>
      <c r="L3880" s="2" t="s">
        <v>33025</v>
      </c>
      <c r="M3880" s="2" t="s">
        <v>33049</v>
      </c>
      <c r="N3880" s="3" t="s">
        <v>629</v>
      </c>
      <c r="P3880" s="3" t="s">
        <v>66</v>
      </c>
      <c r="R3880" s="3" t="s">
        <v>67</v>
      </c>
      <c r="S3880" s="4">
        <v>2</v>
      </c>
      <c r="T3880" s="4">
        <v>2</v>
      </c>
      <c r="U3880" s="5" t="s">
        <v>33050</v>
      </c>
      <c r="V3880" s="5" t="s">
        <v>33050</v>
      </c>
      <c r="W3880" s="5" t="s">
        <v>69</v>
      </c>
      <c r="X3880" s="5" t="s">
        <v>69</v>
      </c>
      <c r="Y3880" s="4">
        <v>716</v>
      </c>
      <c r="Z3880" s="4">
        <v>41</v>
      </c>
      <c r="AA3880" s="4">
        <v>54</v>
      </c>
      <c r="AB3880" s="4">
        <v>4</v>
      </c>
      <c r="AC3880" s="4">
        <v>8</v>
      </c>
      <c r="AD3880" s="4">
        <v>77</v>
      </c>
      <c r="AE3880" s="4">
        <v>89</v>
      </c>
      <c r="AF3880" s="4">
        <v>0</v>
      </c>
      <c r="AG3880" s="4">
        <v>1</v>
      </c>
      <c r="AH3880" s="4">
        <v>71</v>
      </c>
      <c r="AI3880" s="4">
        <v>81</v>
      </c>
      <c r="AJ3880" s="4">
        <v>10</v>
      </c>
      <c r="AK3880" s="4">
        <v>13</v>
      </c>
      <c r="AL3880" s="4">
        <v>41</v>
      </c>
      <c r="AM3880" s="4">
        <v>45</v>
      </c>
      <c r="AN3880" s="4">
        <v>0</v>
      </c>
      <c r="AO3880" s="4">
        <v>0</v>
      </c>
      <c r="AP3880" s="4">
        <v>11</v>
      </c>
      <c r="AQ3880" s="4">
        <v>16</v>
      </c>
      <c r="AR3880" s="3" t="s">
        <v>63</v>
      </c>
      <c r="AS3880" s="3" t="s">
        <v>63</v>
      </c>
      <c r="AT3880" s="3" t="s">
        <v>63</v>
      </c>
      <c r="AV3880" s="6" t="str">
        <f>HYPERLINK("http://mcgill.on.worldcat.org/oclc/701810661","Catalog Record")</f>
        <v>Catalog Record</v>
      </c>
      <c r="AW3880" s="6" t="str">
        <f>HYPERLINK("http://www.worldcat.org/oclc/701810661","WorldCat Record")</f>
        <v>WorldCat Record</v>
      </c>
      <c r="AX3880" s="3" t="s">
        <v>33051</v>
      </c>
      <c r="AY3880" s="3" t="s">
        <v>33052</v>
      </c>
      <c r="AZ3880" s="3" t="s">
        <v>33053</v>
      </c>
      <c r="BA3880" s="3" t="s">
        <v>33053</v>
      </c>
      <c r="BB3880" s="3" t="s">
        <v>33054</v>
      </c>
      <c r="BC3880" s="3" t="s">
        <v>82</v>
      </c>
      <c r="BD3880" s="3" t="s">
        <v>538</v>
      </c>
      <c r="BE3880" s="3" t="s">
        <v>33055</v>
      </c>
      <c r="BF3880" s="3" t="s">
        <v>33054</v>
      </c>
      <c r="BG3880" s="3" t="s">
        <v>33056</v>
      </c>
    </row>
    <row r="3881" spans="1:59" ht="60" x14ac:dyDescent="0.25">
      <c r="A3881" s="2" t="s">
        <v>59</v>
      </c>
      <c r="B3881" s="2" t="s">
        <v>60</v>
      </c>
      <c r="C3881" s="2" t="s">
        <v>33057</v>
      </c>
      <c r="D3881" s="2" t="s">
        <v>33058</v>
      </c>
      <c r="E3881" s="2" t="s">
        <v>33059</v>
      </c>
      <c r="G3881" s="3" t="s">
        <v>63</v>
      </c>
      <c r="I3881" s="3" t="s">
        <v>63</v>
      </c>
      <c r="J3881" s="3" t="s">
        <v>62</v>
      </c>
      <c r="K3881" s="3" t="s">
        <v>64</v>
      </c>
      <c r="L3881" s="2" t="s">
        <v>33025</v>
      </c>
      <c r="M3881" s="2" t="s">
        <v>33060</v>
      </c>
      <c r="N3881" s="3" t="s">
        <v>161</v>
      </c>
      <c r="O3881" s="2" t="s">
        <v>590</v>
      </c>
      <c r="P3881" s="3" t="s">
        <v>66</v>
      </c>
      <c r="Q3881" s="2" t="s">
        <v>33061</v>
      </c>
      <c r="R3881" s="3" t="s">
        <v>67</v>
      </c>
      <c r="S3881" s="4">
        <v>13</v>
      </c>
      <c r="T3881" s="4">
        <v>13</v>
      </c>
      <c r="U3881" s="5" t="s">
        <v>7236</v>
      </c>
      <c r="V3881" s="5" t="s">
        <v>7236</v>
      </c>
      <c r="W3881" s="5" t="s">
        <v>69</v>
      </c>
      <c r="X3881" s="5" t="s">
        <v>69</v>
      </c>
      <c r="Y3881" s="4">
        <v>760</v>
      </c>
      <c r="Z3881" s="4">
        <v>29</v>
      </c>
      <c r="AA3881" s="4">
        <v>117</v>
      </c>
      <c r="AB3881" s="4">
        <v>1</v>
      </c>
      <c r="AC3881" s="4">
        <v>8</v>
      </c>
      <c r="AD3881" s="4">
        <v>96</v>
      </c>
      <c r="AE3881" s="4">
        <v>155</v>
      </c>
      <c r="AF3881" s="4">
        <v>0</v>
      </c>
      <c r="AG3881" s="4">
        <v>4</v>
      </c>
      <c r="AH3881" s="4">
        <v>83</v>
      </c>
      <c r="AI3881" s="4">
        <v>114</v>
      </c>
      <c r="AJ3881" s="4">
        <v>10</v>
      </c>
      <c r="AK3881" s="4">
        <v>23</v>
      </c>
      <c r="AL3881" s="4">
        <v>44</v>
      </c>
      <c r="AM3881" s="4">
        <v>62</v>
      </c>
      <c r="AN3881" s="4">
        <v>0</v>
      </c>
      <c r="AO3881" s="4">
        <v>0</v>
      </c>
      <c r="AP3881" s="4">
        <v>16</v>
      </c>
      <c r="AQ3881" s="4">
        <v>46</v>
      </c>
      <c r="AR3881" s="3" t="s">
        <v>63</v>
      </c>
      <c r="AS3881" s="3" t="s">
        <v>63</v>
      </c>
      <c r="AT3881" s="3" t="s">
        <v>63</v>
      </c>
      <c r="AV3881" s="6" t="str">
        <f>HYPERLINK("http://mcgill.on.worldcat.org/oclc/18587852","Catalog Record")</f>
        <v>Catalog Record</v>
      </c>
      <c r="AW3881" s="6" t="str">
        <f>HYPERLINK("http://www.worldcat.org/oclc/18587852","WorldCat Record")</f>
        <v>WorldCat Record</v>
      </c>
      <c r="AX3881" s="3" t="s">
        <v>33062</v>
      </c>
      <c r="AY3881" s="3" t="s">
        <v>33063</v>
      </c>
      <c r="AZ3881" s="3" t="s">
        <v>33064</v>
      </c>
      <c r="BA3881" s="3" t="s">
        <v>33064</v>
      </c>
      <c r="BB3881" s="3" t="s">
        <v>33065</v>
      </c>
      <c r="BC3881" s="3" t="s">
        <v>82</v>
      </c>
      <c r="BD3881" s="3" t="s">
        <v>70</v>
      </c>
      <c r="BE3881" s="3" t="s">
        <v>33066</v>
      </c>
      <c r="BF3881" s="3" t="s">
        <v>33065</v>
      </c>
      <c r="BG3881" s="3" t="s">
        <v>33067</v>
      </c>
    </row>
    <row r="3882" spans="1:59" ht="60" x14ac:dyDescent="0.25">
      <c r="A3882" s="2" t="s">
        <v>59</v>
      </c>
      <c r="B3882" s="2" t="s">
        <v>60</v>
      </c>
      <c r="C3882" s="2" t="s">
        <v>33068</v>
      </c>
      <c r="D3882" s="2" t="s">
        <v>33069</v>
      </c>
      <c r="E3882" s="2" t="s">
        <v>33070</v>
      </c>
      <c r="G3882" s="3" t="s">
        <v>63</v>
      </c>
      <c r="I3882" s="3" t="s">
        <v>62</v>
      </c>
      <c r="J3882" s="3" t="s">
        <v>63</v>
      </c>
      <c r="K3882" s="3" t="s">
        <v>64</v>
      </c>
      <c r="L3882" s="2" t="s">
        <v>33025</v>
      </c>
      <c r="M3882" s="2" t="s">
        <v>33071</v>
      </c>
      <c r="N3882" s="3" t="s">
        <v>300</v>
      </c>
      <c r="P3882" s="3" t="s">
        <v>66</v>
      </c>
      <c r="R3882" s="3" t="s">
        <v>67</v>
      </c>
      <c r="S3882" s="4">
        <v>0</v>
      </c>
      <c r="T3882" s="4">
        <v>6</v>
      </c>
      <c r="V3882" s="5" t="s">
        <v>3453</v>
      </c>
      <c r="W3882" s="5" t="s">
        <v>69</v>
      </c>
      <c r="X3882" s="5" t="s">
        <v>69</v>
      </c>
      <c r="Y3882" s="4">
        <v>817</v>
      </c>
      <c r="Z3882" s="4">
        <v>29</v>
      </c>
      <c r="AA3882" s="4">
        <v>54</v>
      </c>
      <c r="AB3882" s="4">
        <v>4</v>
      </c>
      <c r="AC3882" s="4">
        <v>5</v>
      </c>
      <c r="AD3882" s="4">
        <v>101</v>
      </c>
      <c r="AE3882" s="4">
        <v>122</v>
      </c>
      <c r="AF3882" s="4">
        <v>2</v>
      </c>
      <c r="AG3882" s="4">
        <v>2</v>
      </c>
      <c r="AH3882" s="4">
        <v>83</v>
      </c>
      <c r="AI3882" s="4">
        <v>96</v>
      </c>
      <c r="AJ3882" s="4">
        <v>15</v>
      </c>
      <c r="AK3882" s="4">
        <v>21</v>
      </c>
      <c r="AL3882" s="4">
        <v>49</v>
      </c>
      <c r="AM3882" s="4">
        <v>53</v>
      </c>
      <c r="AN3882" s="4">
        <v>0</v>
      </c>
      <c r="AO3882" s="4">
        <v>0</v>
      </c>
      <c r="AP3882" s="4">
        <v>20</v>
      </c>
      <c r="AQ3882" s="4">
        <v>32</v>
      </c>
      <c r="AR3882" s="3" t="s">
        <v>63</v>
      </c>
      <c r="AS3882" s="3" t="s">
        <v>63</v>
      </c>
      <c r="AT3882" s="3" t="s">
        <v>62</v>
      </c>
      <c r="AU3882" s="6" t="str">
        <f>HYPERLINK("http://catalog.hathitrust.org/Record/001060885","HathiTrust Record")</f>
        <v>HathiTrust Record</v>
      </c>
      <c r="AV3882" s="6" t="str">
        <f>HYPERLINK("http://mcgill.on.worldcat.org/oclc/245435","Catalog Record")</f>
        <v>Catalog Record</v>
      </c>
      <c r="AW3882" s="6" t="str">
        <f>HYPERLINK("http://www.worldcat.org/oclc/245435","WorldCat Record")</f>
        <v>WorldCat Record</v>
      </c>
      <c r="AX3882" s="3" t="s">
        <v>33072</v>
      </c>
      <c r="AY3882" s="3" t="s">
        <v>33073</v>
      </c>
      <c r="AZ3882" s="3" t="s">
        <v>33074</v>
      </c>
      <c r="BA3882" s="3" t="s">
        <v>33074</v>
      </c>
      <c r="BB3882" s="3" t="s">
        <v>33075</v>
      </c>
      <c r="BC3882" s="3" t="s">
        <v>82</v>
      </c>
      <c r="BD3882" s="3" t="s">
        <v>70</v>
      </c>
      <c r="BF3882" s="3" t="s">
        <v>33075</v>
      </c>
      <c r="BG3882" s="3" t="s">
        <v>33076</v>
      </c>
    </row>
    <row r="3883" spans="1:59" ht="60" x14ac:dyDescent="0.25">
      <c r="A3883" s="2" t="s">
        <v>59</v>
      </c>
      <c r="B3883" s="2" t="s">
        <v>60</v>
      </c>
      <c r="C3883" s="2" t="s">
        <v>33068</v>
      </c>
      <c r="D3883" s="2" t="s">
        <v>33069</v>
      </c>
      <c r="E3883" s="2" t="s">
        <v>33070</v>
      </c>
      <c r="G3883" s="3" t="s">
        <v>63</v>
      </c>
      <c r="I3883" s="3" t="s">
        <v>62</v>
      </c>
      <c r="J3883" s="3" t="s">
        <v>63</v>
      </c>
      <c r="K3883" s="3" t="s">
        <v>64</v>
      </c>
      <c r="L3883" s="2" t="s">
        <v>33025</v>
      </c>
      <c r="M3883" s="2" t="s">
        <v>33071</v>
      </c>
      <c r="N3883" s="3" t="s">
        <v>300</v>
      </c>
      <c r="P3883" s="3" t="s">
        <v>66</v>
      </c>
      <c r="R3883" s="3" t="s">
        <v>67</v>
      </c>
      <c r="S3883" s="4">
        <v>5</v>
      </c>
      <c r="T3883" s="4">
        <v>6</v>
      </c>
      <c r="U3883" s="5" t="s">
        <v>33077</v>
      </c>
      <c r="V3883" s="5" t="s">
        <v>3453</v>
      </c>
      <c r="W3883" s="5" t="s">
        <v>69</v>
      </c>
      <c r="X3883" s="5" t="s">
        <v>69</v>
      </c>
      <c r="Y3883" s="4">
        <v>817</v>
      </c>
      <c r="Z3883" s="4">
        <v>29</v>
      </c>
      <c r="AA3883" s="4">
        <v>54</v>
      </c>
      <c r="AB3883" s="4">
        <v>4</v>
      </c>
      <c r="AC3883" s="4">
        <v>5</v>
      </c>
      <c r="AD3883" s="4">
        <v>101</v>
      </c>
      <c r="AE3883" s="4">
        <v>122</v>
      </c>
      <c r="AF3883" s="4">
        <v>2</v>
      </c>
      <c r="AG3883" s="4">
        <v>2</v>
      </c>
      <c r="AH3883" s="4">
        <v>83</v>
      </c>
      <c r="AI3883" s="4">
        <v>96</v>
      </c>
      <c r="AJ3883" s="4">
        <v>15</v>
      </c>
      <c r="AK3883" s="4">
        <v>21</v>
      </c>
      <c r="AL3883" s="4">
        <v>49</v>
      </c>
      <c r="AM3883" s="4">
        <v>53</v>
      </c>
      <c r="AN3883" s="4">
        <v>0</v>
      </c>
      <c r="AO3883" s="4">
        <v>0</v>
      </c>
      <c r="AP3883" s="4">
        <v>20</v>
      </c>
      <c r="AQ3883" s="4">
        <v>32</v>
      </c>
      <c r="AR3883" s="3" t="s">
        <v>63</v>
      </c>
      <c r="AS3883" s="3" t="s">
        <v>63</v>
      </c>
      <c r="AT3883" s="3" t="s">
        <v>62</v>
      </c>
      <c r="AU3883" s="6" t="str">
        <f>HYPERLINK("http://catalog.hathitrust.org/Record/001060885","HathiTrust Record")</f>
        <v>HathiTrust Record</v>
      </c>
      <c r="AV3883" s="6" t="str">
        <f>HYPERLINK("http://mcgill.on.worldcat.org/oclc/245435","Catalog Record")</f>
        <v>Catalog Record</v>
      </c>
      <c r="AW3883" s="6" t="str">
        <f>HYPERLINK("http://www.worldcat.org/oclc/245435","WorldCat Record")</f>
        <v>WorldCat Record</v>
      </c>
      <c r="AX3883" s="3" t="s">
        <v>33072</v>
      </c>
      <c r="AY3883" s="3" t="s">
        <v>33073</v>
      </c>
      <c r="AZ3883" s="3" t="s">
        <v>33074</v>
      </c>
      <c r="BA3883" s="3" t="s">
        <v>33074</v>
      </c>
      <c r="BB3883" s="3" t="s">
        <v>33078</v>
      </c>
      <c r="BC3883" s="3" t="s">
        <v>82</v>
      </c>
      <c r="BD3883" s="3" t="s">
        <v>70</v>
      </c>
      <c r="BF3883" s="3" t="s">
        <v>33078</v>
      </c>
      <c r="BG3883" s="3" t="s">
        <v>33079</v>
      </c>
    </row>
    <row r="3884" spans="1:59" ht="90" x14ac:dyDescent="0.25">
      <c r="A3884" s="2" t="s">
        <v>59</v>
      </c>
      <c r="B3884" s="2" t="s">
        <v>16959</v>
      </c>
      <c r="C3884" s="2" t="s">
        <v>33068</v>
      </c>
      <c r="D3884" s="2" t="s">
        <v>33069</v>
      </c>
      <c r="E3884" s="2" t="s">
        <v>33070</v>
      </c>
      <c r="G3884" s="3" t="s">
        <v>63</v>
      </c>
      <c r="I3884" s="3" t="s">
        <v>62</v>
      </c>
      <c r="J3884" s="3" t="s">
        <v>63</v>
      </c>
      <c r="K3884" s="3" t="s">
        <v>64</v>
      </c>
      <c r="L3884" s="2" t="s">
        <v>33025</v>
      </c>
      <c r="M3884" s="2" t="s">
        <v>33071</v>
      </c>
      <c r="N3884" s="3" t="s">
        <v>300</v>
      </c>
      <c r="P3884" s="3" t="s">
        <v>66</v>
      </c>
      <c r="R3884" s="3" t="s">
        <v>67</v>
      </c>
      <c r="S3884" s="4">
        <v>1</v>
      </c>
      <c r="T3884" s="4">
        <v>6</v>
      </c>
      <c r="U3884" s="5" t="s">
        <v>3453</v>
      </c>
      <c r="V3884" s="5" t="s">
        <v>3453</v>
      </c>
      <c r="W3884" s="5" t="s">
        <v>69</v>
      </c>
      <c r="X3884" s="5" t="s">
        <v>69</v>
      </c>
      <c r="Y3884" s="4">
        <v>817</v>
      </c>
      <c r="Z3884" s="4">
        <v>29</v>
      </c>
      <c r="AA3884" s="4">
        <v>54</v>
      </c>
      <c r="AB3884" s="4">
        <v>4</v>
      </c>
      <c r="AC3884" s="4">
        <v>5</v>
      </c>
      <c r="AD3884" s="4">
        <v>101</v>
      </c>
      <c r="AE3884" s="4">
        <v>122</v>
      </c>
      <c r="AF3884" s="4">
        <v>2</v>
      </c>
      <c r="AG3884" s="4">
        <v>2</v>
      </c>
      <c r="AH3884" s="4">
        <v>83</v>
      </c>
      <c r="AI3884" s="4">
        <v>96</v>
      </c>
      <c r="AJ3884" s="4">
        <v>15</v>
      </c>
      <c r="AK3884" s="4">
        <v>21</v>
      </c>
      <c r="AL3884" s="4">
        <v>49</v>
      </c>
      <c r="AM3884" s="4">
        <v>53</v>
      </c>
      <c r="AN3884" s="4">
        <v>0</v>
      </c>
      <c r="AO3884" s="4">
        <v>0</v>
      </c>
      <c r="AP3884" s="4">
        <v>20</v>
      </c>
      <c r="AQ3884" s="4">
        <v>32</v>
      </c>
      <c r="AR3884" s="3" t="s">
        <v>63</v>
      </c>
      <c r="AS3884" s="3" t="s">
        <v>63</v>
      </c>
      <c r="AT3884" s="3" t="s">
        <v>62</v>
      </c>
      <c r="AU3884" s="6" t="str">
        <f>HYPERLINK("http://catalog.hathitrust.org/Record/001060885","HathiTrust Record")</f>
        <v>HathiTrust Record</v>
      </c>
      <c r="AV3884" s="6" t="str">
        <f>HYPERLINK("http://mcgill.on.worldcat.org/oclc/245435","Catalog Record")</f>
        <v>Catalog Record</v>
      </c>
      <c r="AW3884" s="6" t="str">
        <f>HYPERLINK("http://www.worldcat.org/oclc/245435","WorldCat Record")</f>
        <v>WorldCat Record</v>
      </c>
      <c r="AX3884" s="3" t="s">
        <v>33072</v>
      </c>
      <c r="AY3884" s="3" t="s">
        <v>33073</v>
      </c>
      <c r="AZ3884" s="3" t="s">
        <v>33074</v>
      </c>
      <c r="BA3884" s="3" t="s">
        <v>33074</v>
      </c>
      <c r="BB3884" s="3" t="s">
        <v>33080</v>
      </c>
      <c r="BC3884" s="3" t="s">
        <v>82</v>
      </c>
      <c r="BD3884" s="3" t="s">
        <v>70</v>
      </c>
      <c r="BF3884" s="3" t="s">
        <v>33080</v>
      </c>
      <c r="BG3884" s="3" t="s">
        <v>33081</v>
      </c>
    </row>
    <row r="3885" spans="1:59" ht="60" x14ac:dyDescent="0.25">
      <c r="A3885" s="2" t="s">
        <v>59</v>
      </c>
      <c r="B3885" s="2" t="s">
        <v>60</v>
      </c>
      <c r="C3885" s="2" t="s">
        <v>33068</v>
      </c>
      <c r="D3885" s="2" t="s">
        <v>33069</v>
      </c>
      <c r="E3885" s="2" t="s">
        <v>33070</v>
      </c>
      <c r="G3885" s="3" t="s">
        <v>63</v>
      </c>
      <c r="I3885" s="3" t="s">
        <v>62</v>
      </c>
      <c r="J3885" s="3" t="s">
        <v>63</v>
      </c>
      <c r="K3885" s="3" t="s">
        <v>64</v>
      </c>
      <c r="L3885" s="2" t="s">
        <v>33025</v>
      </c>
      <c r="M3885" s="2" t="s">
        <v>33071</v>
      </c>
      <c r="N3885" s="3" t="s">
        <v>300</v>
      </c>
      <c r="P3885" s="3" t="s">
        <v>66</v>
      </c>
      <c r="R3885" s="3" t="s">
        <v>67</v>
      </c>
      <c r="S3885" s="4">
        <v>0</v>
      </c>
      <c r="T3885" s="4">
        <v>6</v>
      </c>
      <c r="V3885" s="5" t="s">
        <v>3453</v>
      </c>
      <c r="W3885" s="5" t="s">
        <v>69</v>
      </c>
      <c r="X3885" s="5" t="s">
        <v>69</v>
      </c>
      <c r="Y3885" s="4">
        <v>817</v>
      </c>
      <c r="Z3885" s="4">
        <v>29</v>
      </c>
      <c r="AA3885" s="4">
        <v>54</v>
      </c>
      <c r="AB3885" s="4">
        <v>4</v>
      </c>
      <c r="AC3885" s="4">
        <v>5</v>
      </c>
      <c r="AD3885" s="4">
        <v>101</v>
      </c>
      <c r="AE3885" s="4">
        <v>122</v>
      </c>
      <c r="AF3885" s="4">
        <v>2</v>
      </c>
      <c r="AG3885" s="4">
        <v>2</v>
      </c>
      <c r="AH3885" s="4">
        <v>83</v>
      </c>
      <c r="AI3885" s="4">
        <v>96</v>
      </c>
      <c r="AJ3885" s="4">
        <v>15</v>
      </c>
      <c r="AK3885" s="4">
        <v>21</v>
      </c>
      <c r="AL3885" s="4">
        <v>49</v>
      </c>
      <c r="AM3885" s="4">
        <v>53</v>
      </c>
      <c r="AN3885" s="4">
        <v>0</v>
      </c>
      <c r="AO3885" s="4">
        <v>0</v>
      </c>
      <c r="AP3885" s="4">
        <v>20</v>
      </c>
      <c r="AQ3885" s="4">
        <v>32</v>
      </c>
      <c r="AR3885" s="3" t="s">
        <v>63</v>
      </c>
      <c r="AS3885" s="3" t="s">
        <v>63</v>
      </c>
      <c r="AT3885" s="3" t="s">
        <v>62</v>
      </c>
      <c r="AU3885" s="6" t="str">
        <f>HYPERLINK("http://catalog.hathitrust.org/Record/001060885","HathiTrust Record")</f>
        <v>HathiTrust Record</v>
      </c>
      <c r="AV3885" s="6" t="str">
        <f>HYPERLINK("http://mcgill.on.worldcat.org/oclc/245435","Catalog Record")</f>
        <v>Catalog Record</v>
      </c>
      <c r="AW3885" s="6" t="str">
        <f>HYPERLINK("http://www.worldcat.org/oclc/245435","WorldCat Record")</f>
        <v>WorldCat Record</v>
      </c>
      <c r="AX3885" s="3" t="s">
        <v>33072</v>
      </c>
      <c r="AY3885" s="3" t="s">
        <v>33073</v>
      </c>
      <c r="AZ3885" s="3" t="s">
        <v>33074</v>
      </c>
      <c r="BA3885" s="3" t="s">
        <v>33074</v>
      </c>
      <c r="BB3885" s="3" t="s">
        <v>33082</v>
      </c>
      <c r="BC3885" s="3" t="s">
        <v>82</v>
      </c>
      <c r="BD3885" s="3" t="s">
        <v>70</v>
      </c>
      <c r="BF3885" s="3" t="s">
        <v>33082</v>
      </c>
      <c r="BG3885" s="3" t="s">
        <v>33083</v>
      </c>
    </row>
    <row r="3886" spans="1:59" ht="75" x14ac:dyDescent="0.25">
      <c r="A3886" s="2" t="s">
        <v>59</v>
      </c>
      <c r="B3886" s="2" t="s">
        <v>60</v>
      </c>
      <c r="C3886" s="2" t="s">
        <v>33084</v>
      </c>
      <c r="D3886" s="2" t="s">
        <v>33085</v>
      </c>
      <c r="E3886" s="2" t="s">
        <v>33086</v>
      </c>
      <c r="G3886" s="3" t="s">
        <v>63</v>
      </c>
      <c r="I3886" s="3" t="s">
        <v>63</v>
      </c>
      <c r="J3886" s="3" t="s">
        <v>63</v>
      </c>
      <c r="K3886" s="3" t="s">
        <v>64</v>
      </c>
      <c r="L3886" s="2" t="s">
        <v>33037</v>
      </c>
      <c r="M3886" s="2" t="s">
        <v>33087</v>
      </c>
      <c r="N3886" s="3" t="s">
        <v>1557</v>
      </c>
      <c r="P3886" s="3" t="s">
        <v>66</v>
      </c>
      <c r="Q3886" s="2" t="s">
        <v>33088</v>
      </c>
      <c r="R3886" s="3" t="s">
        <v>67</v>
      </c>
      <c r="S3886" s="4">
        <v>0</v>
      </c>
      <c r="T3886" s="4">
        <v>0</v>
      </c>
      <c r="W3886" s="5" t="s">
        <v>69</v>
      </c>
      <c r="X3886" s="5" t="s">
        <v>69</v>
      </c>
      <c r="Y3886" s="4">
        <v>241</v>
      </c>
      <c r="Z3886" s="4">
        <v>10</v>
      </c>
      <c r="AA3886" s="4">
        <v>11</v>
      </c>
      <c r="AB3886" s="4">
        <v>1</v>
      </c>
      <c r="AC3886" s="4">
        <v>2</v>
      </c>
      <c r="AD3886" s="4">
        <v>49</v>
      </c>
      <c r="AE3886" s="4">
        <v>49</v>
      </c>
      <c r="AF3886" s="4">
        <v>0</v>
      </c>
      <c r="AG3886" s="4">
        <v>0</v>
      </c>
      <c r="AH3886" s="4">
        <v>45</v>
      </c>
      <c r="AI3886" s="4">
        <v>45</v>
      </c>
      <c r="AJ3886" s="4">
        <v>5</v>
      </c>
      <c r="AK3886" s="4">
        <v>5</v>
      </c>
      <c r="AL3886" s="4">
        <v>32</v>
      </c>
      <c r="AM3886" s="4">
        <v>32</v>
      </c>
      <c r="AN3886" s="4">
        <v>0</v>
      </c>
      <c r="AO3886" s="4">
        <v>0</v>
      </c>
      <c r="AP3886" s="4">
        <v>6</v>
      </c>
      <c r="AQ3886" s="4">
        <v>6</v>
      </c>
      <c r="AR3886" s="3" t="s">
        <v>63</v>
      </c>
      <c r="AS3886" s="3" t="s">
        <v>63</v>
      </c>
      <c r="AT3886" s="3" t="s">
        <v>63</v>
      </c>
      <c r="AV3886" s="6" t="str">
        <f>HYPERLINK("http://mcgill.on.worldcat.org/oclc/983824129","Catalog Record")</f>
        <v>Catalog Record</v>
      </c>
      <c r="AW3886" s="6" t="str">
        <f>HYPERLINK("http://www.worldcat.org/oclc/983824129","WorldCat Record")</f>
        <v>WorldCat Record</v>
      </c>
      <c r="AX3886" s="3" t="s">
        <v>33089</v>
      </c>
      <c r="AY3886" s="3" t="s">
        <v>33090</v>
      </c>
      <c r="AZ3886" s="3" t="s">
        <v>33091</v>
      </c>
      <c r="BA3886" s="3" t="s">
        <v>33091</v>
      </c>
      <c r="BB3886" s="3" t="s">
        <v>33092</v>
      </c>
      <c r="BC3886" s="3" t="s">
        <v>82</v>
      </c>
      <c r="BD3886" s="3" t="s">
        <v>70</v>
      </c>
      <c r="BE3886" s="3" t="s">
        <v>33093</v>
      </c>
      <c r="BF3886" s="3" t="s">
        <v>33092</v>
      </c>
      <c r="BG3886" s="3" t="s">
        <v>33094</v>
      </c>
    </row>
    <row r="3887" spans="1:59" ht="75" x14ac:dyDescent="0.25">
      <c r="A3887" s="2" t="s">
        <v>59</v>
      </c>
      <c r="B3887" s="2" t="s">
        <v>60</v>
      </c>
      <c r="C3887" s="2" t="s">
        <v>33095</v>
      </c>
      <c r="D3887" s="2" t="s">
        <v>33096</v>
      </c>
      <c r="E3887" s="2" t="s">
        <v>33097</v>
      </c>
      <c r="G3887" s="3" t="s">
        <v>63</v>
      </c>
      <c r="I3887" s="3" t="s">
        <v>63</v>
      </c>
      <c r="J3887" s="3" t="s">
        <v>63</v>
      </c>
      <c r="K3887" s="3" t="s">
        <v>64</v>
      </c>
      <c r="L3887" s="2" t="s">
        <v>33025</v>
      </c>
      <c r="M3887" s="2" t="s">
        <v>33098</v>
      </c>
      <c r="N3887" s="3" t="s">
        <v>743</v>
      </c>
      <c r="P3887" s="3" t="s">
        <v>66</v>
      </c>
      <c r="R3887" s="3" t="s">
        <v>67</v>
      </c>
      <c r="S3887" s="4">
        <v>4</v>
      </c>
      <c r="T3887" s="4">
        <v>4</v>
      </c>
      <c r="U3887" s="5" t="s">
        <v>1309</v>
      </c>
      <c r="V3887" s="5" t="s">
        <v>1309</v>
      </c>
      <c r="W3887" s="5" t="s">
        <v>69</v>
      </c>
      <c r="X3887" s="5" t="s">
        <v>69</v>
      </c>
      <c r="Y3887" s="4">
        <v>152</v>
      </c>
      <c r="Z3887" s="4">
        <v>19</v>
      </c>
      <c r="AA3887" s="4">
        <v>20</v>
      </c>
      <c r="AB3887" s="4">
        <v>1</v>
      </c>
      <c r="AC3887" s="4">
        <v>1</v>
      </c>
      <c r="AD3887" s="4">
        <v>34</v>
      </c>
      <c r="AE3887" s="4">
        <v>34</v>
      </c>
      <c r="AF3887" s="4">
        <v>0</v>
      </c>
      <c r="AG3887" s="4">
        <v>0</v>
      </c>
      <c r="AH3887" s="4">
        <v>26</v>
      </c>
      <c r="AI3887" s="4">
        <v>26</v>
      </c>
      <c r="AJ3887" s="4">
        <v>12</v>
      </c>
      <c r="AK3887" s="4">
        <v>12</v>
      </c>
      <c r="AL3887" s="4">
        <v>15</v>
      </c>
      <c r="AM3887" s="4">
        <v>15</v>
      </c>
      <c r="AN3887" s="4">
        <v>0</v>
      </c>
      <c r="AO3887" s="4">
        <v>0</v>
      </c>
      <c r="AP3887" s="4">
        <v>12</v>
      </c>
      <c r="AQ3887" s="4">
        <v>12</v>
      </c>
      <c r="AR3887" s="3" t="s">
        <v>63</v>
      </c>
      <c r="AS3887" s="3" t="s">
        <v>63</v>
      </c>
      <c r="AT3887" s="3" t="s">
        <v>62</v>
      </c>
      <c r="AU3887" s="6" t="str">
        <f>HYPERLINK("http://catalog.hathitrust.org/Record/001054958","HathiTrust Record")</f>
        <v>HathiTrust Record</v>
      </c>
      <c r="AV3887" s="6" t="str">
        <f>HYPERLINK("http://mcgill.on.worldcat.org/oclc/811442","Catalog Record")</f>
        <v>Catalog Record</v>
      </c>
      <c r="AW3887" s="6" t="str">
        <f>HYPERLINK("http://www.worldcat.org/oclc/811442","WorldCat Record")</f>
        <v>WorldCat Record</v>
      </c>
      <c r="AX3887" s="3" t="s">
        <v>33099</v>
      </c>
      <c r="AY3887" s="3" t="s">
        <v>33100</v>
      </c>
      <c r="AZ3887" s="3" t="s">
        <v>33101</v>
      </c>
      <c r="BA3887" s="3" t="s">
        <v>33101</v>
      </c>
      <c r="BB3887" s="3" t="s">
        <v>33102</v>
      </c>
      <c r="BC3887" s="3" t="s">
        <v>82</v>
      </c>
      <c r="BD3887" s="3" t="s">
        <v>70</v>
      </c>
      <c r="BE3887" s="3" t="s">
        <v>33103</v>
      </c>
      <c r="BF3887" s="3" t="s">
        <v>33102</v>
      </c>
      <c r="BG3887" s="3" t="s">
        <v>33104</v>
      </c>
    </row>
    <row r="3888" spans="1:59" ht="60" x14ac:dyDescent="0.25">
      <c r="A3888" s="2" t="s">
        <v>59</v>
      </c>
      <c r="B3888" s="2" t="s">
        <v>60</v>
      </c>
      <c r="C3888" s="2" t="s">
        <v>33105</v>
      </c>
      <c r="D3888" s="2" t="s">
        <v>33106</v>
      </c>
      <c r="E3888" s="2" t="s">
        <v>33107</v>
      </c>
      <c r="G3888" s="3" t="s">
        <v>63</v>
      </c>
      <c r="I3888" s="3" t="s">
        <v>63</v>
      </c>
      <c r="J3888" s="3" t="s">
        <v>63</v>
      </c>
      <c r="K3888" s="3" t="s">
        <v>64</v>
      </c>
      <c r="L3888" s="2" t="s">
        <v>33025</v>
      </c>
      <c r="M3888" s="2" t="s">
        <v>33108</v>
      </c>
      <c r="N3888" s="3" t="s">
        <v>2271</v>
      </c>
      <c r="P3888" s="3" t="s">
        <v>90</v>
      </c>
      <c r="R3888" s="3" t="s">
        <v>67</v>
      </c>
      <c r="S3888" s="4">
        <v>2</v>
      </c>
      <c r="T3888" s="4">
        <v>2</v>
      </c>
      <c r="U3888" s="5" t="s">
        <v>2925</v>
      </c>
      <c r="V3888" s="5" t="s">
        <v>2925</v>
      </c>
      <c r="W3888" s="5" t="s">
        <v>69</v>
      </c>
      <c r="X3888" s="5" t="s">
        <v>69</v>
      </c>
      <c r="Y3888" s="4">
        <v>46</v>
      </c>
      <c r="Z3888" s="4">
        <v>4</v>
      </c>
      <c r="AA3888" s="4">
        <v>16</v>
      </c>
      <c r="AB3888" s="4">
        <v>1</v>
      </c>
      <c r="AC3888" s="4">
        <v>3</v>
      </c>
      <c r="AD3888" s="4">
        <v>26</v>
      </c>
      <c r="AE3888" s="4">
        <v>73</v>
      </c>
      <c r="AF3888" s="4">
        <v>0</v>
      </c>
      <c r="AG3888" s="4">
        <v>1</v>
      </c>
      <c r="AH3888" s="4">
        <v>25</v>
      </c>
      <c r="AI3888" s="4">
        <v>68</v>
      </c>
      <c r="AJ3888" s="4">
        <v>2</v>
      </c>
      <c r="AK3888" s="4">
        <v>10</v>
      </c>
      <c r="AL3888" s="4">
        <v>20</v>
      </c>
      <c r="AM3888" s="4">
        <v>44</v>
      </c>
      <c r="AN3888" s="4">
        <v>5</v>
      </c>
      <c r="AO3888" s="4">
        <v>5</v>
      </c>
      <c r="AP3888" s="4">
        <v>2</v>
      </c>
      <c r="AQ3888" s="4">
        <v>10</v>
      </c>
      <c r="AR3888" s="3" t="s">
        <v>63</v>
      </c>
      <c r="AS3888" s="3" t="s">
        <v>63</v>
      </c>
      <c r="AT3888" s="3" t="s">
        <v>62</v>
      </c>
      <c r="AU3888" s="6" t="str">
        <f>HYPERLINK("http://catalog.hathitrust.org/Record/001729987","HathiTrust Record")</f>
        <v>HathiTrust Record</v>
      </c>
      <c r="AV3888" s="6" t="str">
        <f>HYPERLINK("http://mcgill.on.worldcat.org/oclc/10154098","Catalog Record")</f>
        <v>Catalog Record</v>
      </c>
      <c r="AW3888" s="6" t="str">
        <f>HYPERLINK("http://www.worldcat.org/oclc/10154098","WorldCat Record")</f>
        <v>WorldCat Record</v>
      </c>
      <c r="AX3888" s="3" t="s">
        <v>33109</v>
      </c>
      <c r="AY3888" s="3" t="s">
        <v>33110</v>
      </c>
      <c r="AZ3888" s="3" t="s">
        <v>33111</v>
      </c>
      <c r="BA3888" s="3" t="s">
        <v>33111</v>
      </c>
      <c r="BB3888" s="3" t="s">
        <v>33112</v>
      </c>
      <c r="BC3888" s="3" t="s">
        <v>82</v>
      </c>
      <c r="BD3888" s="3" t="s">
        <v>70</v>
      </c>
      <c r="BF3888" s="3" t="s">
        <v>33112</v>
      </c>
      <c r="BG3888" s="3" t="s">
        <v>33113</v>
      </c>
    </row>
    <row r="3889" spans="1:59" ht="75" x14ac:dyDescent="0.25">
      <c r="A3889" s="2" t="s">
        <v>59</v>
      </c>
      <c r="B3889" s="2" t="s">
        <v>60</v>
      </c>
      <c r="C3889" s="2" t="s">
        <v>33114</v>
      </c>
      <c r="D3889" s="2" t="s">
        <v>33115</v>
      </c>
      <c r="E3889" s="2" t="s">
        <v>33116</v>
      </c>
      <c r="G3889" s="3" t="s">
        <v>63</v>
      </c>
      <c r="I3889" s="3" t="s">
        <v>63</v>
      </c>
      <c r="J3889" s="3" t="s">
        <v>62</v>
      </c>
      <c r="K3889" s="3" t="s">
        <v>64</v>
      </c>
      <c r="L3889" s="2" t="s">
        <v>33025</v>
      </c>
      <c r="M3889" s="2" t="s">
        <v>33117</v>
      </c>
      <c r="N3889" s="3" t="s">
        <v>2271</v>
      </c>
      <c r="O3889" s="2" t="s">
        <v>976</v>
      </c>
      <c r="P3889" s="3" t="s">
        <v>66</v>
      </c>
      <c r="R3889" s="3" t="s">
        <v>67</v>
      </c>
      <c r="S3889" s="4">
        <v>78</v>
      </c>
      <c r="T3889" s="4">
        <v>78</v>
      </c>
      <c r="U3889" s="5" t="s">
        <v>12191</v>
      </c>
      <c r="V3889" s="5" t="s">
        <v>12191</v>
      </c>
      <c r="W3889" s="5" t="s">
        <v>69</v>
      </c>
      <c r="X3889" s="5" t="s">
        <v>69</v>
      </c>
      <c r="Y3889" s="4">
        <v>1499</v>
      </c>
      <c r="Z3889" s="4">
        <v>31</v>
      </c>
      <c r="AA3889" s="4">
        <v>159</v>
      </c>
      <c r="AB3889" s="4">
        <v>2</v>
      </c>
      <c r="AC3889" s="4">
        <v>13</v>
      </c>
      <c r="AD3889" s="4">
        <v>104</v>
      </c>
      <c r="AE3889" s="4">
        <v>163</v>
      </c>
      <c r="AF3889" s="4">
        <v>1</v>
      </c>
      <c r="AG3889" s="4">
        <v>4</v>
      </c>
      <c r="AH3889" s="4">
        <v>87</v>
      </c>
      <c r="AI3889" s="4">
        <v>114</v>
      </c>
      <c r="AJ3889" s="4">
        <v>11</v>
      </c>
      <c r="AK3889" s="4">
        <v>26</v>
      </c>
      <c r="AL3889" s="4">
        <v>46</v>
      </c>
      <c r="AM3889" s="4">
        <v>62</v>
      </c>
      <c r="AN3889" s="4">
        <v>0</v>
      </c>
      <c r="AO3889" s="4">
        <v>0</v>
      </c>
      <c r="AP3889" s="4">
        <v>20</v>
      </c>
      <c r="AQ3889" s="4">
        <v>53</v>
      </c>
      <c r="AR3889" s="3" t="s">
        <v>63</v>
      </c>
      <c r="AS3889" s="3" t="s">
        <v>63</v>
      </c>
      <c r="AT3889" s="3" t="s">
        <v>62</v>
      </c>
      <c r="AU3889" s="6" t="str">
        <f>HYPERLINK("http://catalog.hathitrust.org/Record/000980961","HathiTrust Record")</f>
        <v>HathiTrust Record</v>
      </c>
      <c r="AV3889" s="6" t="str">
        <f>HYPERLINK("http://mcgill.on.worldcat.org/oclc/1036029","Catalog Record")</f>
        <v>Catalog Record</v>
      </c>
      <c r="AW3889" s="6" t="str">
        <f>HYPERLINK("http://www.worldcat.org/oclc/1036029","WorldCat Record")</f>
        <v>WorldCat Record</v>
      </c>
      <c r="AX3889" s="3" t="s">
        <v>33118</v>
      </c>
      <c r="AY3889" s="3" t="s">
        <v>33119</v>
      </c>
      <c r="AZ3889" s="3" t="s">
        <v>33120</v>
      </c>
      <c r="BA3889" s="3" t="s">
        <v>33120</v>
      </c>
      <c r="BB3889" s="3" t="s">
        <v>33121</v>
      </c>
      <c r="BC3889" s="3" t="s">
        <v>82</v>
      </c>
      <c r="BD3889" s="3" t="s">
        <v>70</v>
      </c>
      <c r="BF3889" s="3" t="s">
        <v>33121</v>
      </c>
      <c r="BG3889" s="3" t="s">
        <v>33122</v>
      </c>
    </row>
    <row r="3890" spans="1:59" ht="60" x14ac:dyDescent="0.25">
      <c r="A3890" s="2" t="s">
        <v>59</v>
      </c>
      <c r="B3890" s="2" t="s">
        <v>60</v>
      </c>
      <c r="C3890" s="2" t="s">
        <v>33123</v>
      </c>
      <c r="D3890" s="2" t="s">
        <v>33124</v>
      </c>
      <c r="E3890" s="2" t="s">
        <v>33125</v>
      </c>
      <c r="G3890" s="3" t="s">
        <v>63</v>
      </c>
      <c r="I3890" s="3" t="s">
        <v>63</v>
      </c>
      <c r="J3890" s="3" t="s">
        <v>62</v>
      </c>
      <c r="K3890" s="3" t="s">
        <v>64</v>
      </c>
      <c r="L3890" s="2" t="s">
        <v>33025</v>
      </c>
      <c r="M3890" s="2" t="s">
        <v>33126</v>
      </c>
      <c r="N3890" s="3" t="s">
        <v>480</v>
      </c>
      <c r="O3890" s="2" t="s">
        <v>590</v>
      </c>
      <c r="P3890" s="3" t="s">
        <v>66</v>
      </c>
      <c r="R3890" s="3" t="s">
        <v>67</v>
      </c>
      <c r="S3890" s="4">
        <v>82</v>
      </c>
      <c r="T3890" s="4">
        <v>82</v>
      </c>
      <c r="U3890" s="5" t="s">
        <v>33127</v>
      </c>
      <c r="V3890" s="5" t="s">
        <v>33127</v>
      </c>
      <c r="W3890" s="5" t="s">
        <v>69</v>
      </c>
      <c r="X3890" s="5" t="s">
        <v>69</v>
      </c>
      <c r="Y3890" s="4">
        <v>14</v>
      </c>
      <c r="Z3890" s="4">
        <v>3</v>
      </c>
      <c r="AA3890" s="4">
        <v>159</v>
      </c>
      <c r="AB3890" s="4">
        <v>2</v>
      </c>
      <c r="AC3890" s="4">
        <v>13</v>
      </c>
      <c r="AD3890" s="4">
        <v>2</v>
      </c>
      <c r="AE3890" s="4">
        <v>163</v>
      </c>
      <c r="AF3890" s="4">
        <v>1</v>
      </c>
      <c r="AG3890" s="4">
        <v>4</v>
      </c>
      <c r="AH3890" s="4">
        <v>1</v>
      </c>
      <c r="AI3890" s="4">
        <v>114</v>
      </c>
      <c r="AJ3890" s="4">
        <v>0</v>
      </c>
      <c r="AK3890" s="4">
        <v>26</v>
      </c>
      <c r="AL3890" s="4">
        <v>1</v>
      </c>
      <c r="AM3890" s="4">
        <v>62</v>
      </c>
      <c r="AN3890" s="4">
        <v>0</v>
      </c>
      <c r="AO3890" s="4">
        <v>0</v>
      </c>
      <c r="AP3890" s="4">
        <v>1</v>
      </c>
      <c r="AQ3890" s="4">
        <v>53</v>
      </c>
      <c r="AR3890" s="3" t="s">
        <v>63</v>
      </c>
      <c r="AS3890" s="3" t="s">
        <v>63</v>
      </c>
      <c r="AT3890" s="3" t="s">
        <v>62</v>
      </c>
      <c r="AU3890" s="6" t="str">
        <f>HYPERLINK("http://catalog.hathitrust.org/Record/002543446","HathiTrust Record")</f>
        <v>HathiTrust Record</v>
      </c>
      <c r="AV3890" s="6" t="str">
        <f>HYPERLINK("http://mcgill.on.worldcat.org/oclc/427897269","Catalog Record")</f>
        <v>Catalog Record</v>
      </c>
      <c r="AW3890" s="6" t="str">
        <f>HYPERLINK("http://www.worldcat.org/oclc/427897269","WorldCat Record")</f>
        <v>WorldCat Record</v>
      </c>
      <c r="AX3890" s="3" t="s">
        <v>33118</v>
      </c>
      <c r="AY3890" s="3" t="s">
        <v>33128</v>
      </c>
      <c r="AZ3890" s="3" t="s">
        <v>33129</v>
      </c>
      <c r="BA3890" s="3" t="s">
        <v>33129</v>
      </c>
      <c r="BB3890" s="3" t="s">
        <v>33130</v>
      </c>
      <c r="BC3890" s="3" t="s">
        <v>82</v>
      </c>
      <c r="BD3890" s="3" t="s">
        <v>4677</v>
      </c>
      <c r="BE3890" s="3" t="s">
        <v>33131</v>
      </c>
      <c r="BF3890" s="3" t="s">
        <v>33130</v>
      </c>
      <c r="BG3890" s="3" t="s">
        <v>33132</v>
      </c>
    </row>
    <row r="3891" spans="1:59" ht="75" x14ac:dyDescent="0.25">
      <c r="A3891" s="2" t="s">
        <v>59</v>
      </c>
      <c r="B3891" s="2" t="s">
        <v>60</v>
      </c>
      <c r="C3891" s="2" t="s">
        <v>33133</v>
      </c>
      <c r="D3891" s="2" t="s">
        <v>33134</v>
      </c>
      <c r="E3891" s="2" t="s">
        <v>33135</v>
      </c>
      <c r="G3891" s="3" t="s">
        <v>63</v>
      </c>
      <c r="I3891" s="3" t="s">
        <v>62</v>
      </c>
      <c r="J3891" s="3" t="s">
        <v>62</v>
      </c>
      <c r="K3891" s="3" t="s">
        <v>64</v>
      </c>
      <c r="L3891" s="2" t="s">
        <v>33025</v>
      </c>
      <c r="M3891" s="2" t="s">
        <v>33136</v>
      </c>
      <c r="N3891" s="3" t="s">
        <v>190</v>
      </c>
      <c r="O3891" s="2" t="s">
        <v>33137</v>
      </c>
      <c r="P3891" s="3" t="s">
        <v>66</v>
      </c>
      <c r="R3891" s="3" t="s">
        <v>67</v>
      </c>
      <c r="S3891" s="4">
        <v>37</v>
      </c>
      <c r="T3891" s="4">
        <v>67</v>
      </c>
      <c r="U3891" s="5" t="s">
        <v>8252</v>
      </c>
      <c r="V3891" s="5" t="s">
        <v>8252</v>
      </c>
      <c r="W3891" s="5" t="s">
        <v>69</v>
      </c>
      <c r="X3891" s="5" t="s">
        <v>69</v>
      </c>
      <c r="Y3891" s="4">
        <v>43</v>
      </c>
      <c r="Z3891" s="4">
        <v>4</v>
      </c>
      <c r="AA3891" s="4">
        <v>159</v>
      </c>
      <c r="AB3891" s="4">
        <v>2</v>
      </c>
      <c r="AC3891" s="4">
        <v>13</v>
      </c>
      <c r="AD3891" s="4">
        <v>5</v>
      </c>
      <c r="AE3891" s="4">
        <v>163</v>
      </c>
      <c r="AF3891" s="4">
        <v>0</v>
      </c>
      <c r="AG3891" s="4">
        <v>4</v>
      </c>
      <c r="AH3891" s="4">
        <v>5</v>
      </c>
      <c r="AI3891" s="4">
        <v>114</v>
      </c>
      <c r="AJ3891" s="4">
        <v>2</v>
      </c>
      <c r="AK3891" s="4">
        <v>26</v>
      </c>
      <c r="AL3891" s="4">
        <v>1</v>
      </c>
      <c r="AM3891" s="4">
        <v>62</v>
      </c>
      <c r="AN3891" s="4">
        <v>0</v>
      </c>
      <c r="AO3891" s="4">
        <v>0</v>
      </c>
      <c r="AP3891" s="4">
        <v>2</v>
      </c>
      <c r="AQ3891" s="4">
        <v>53</v>
      </c>
      <c r="AR3891" s="3" t="s">
        <v>63</v>
      </c>
      <c r="AS3891" s="3" t="s">
        <v>63</v>
      </c>
      <c r="AT3891" s="3" t="s">
        <v>63</v>
      </c>
      <c r="AV3891" s="6" t="str">
        <f>HYPERLINK("http://mcgill.on.worldcat.org/oclc/138350313","Catalog Record")</f>
        <v>Catalog Record</v>
      </c>
      <c r="AW3891" s="6" t="str">
        <f>HYPERLINK("http://www.worldcat.org/oclc/138350313","WorldCat Record")</f>
        <v>WorldCat Record</v>
      </c>
      <c r="AX3891" s="3" t="s">
        <v>33118</v>
      </c>
      <c r="AY3891" s="3" t="s">
        <v>33138</v>
      </c>
      <c r="AZ3891" s="3" t="s">
        <v>33139</v>
      </c>
      <c r="BA3891" s="3" t="s">
        <v>33139</v>
      </c>
      <c r="BB3891" s="3" t="s">
        <v>33140</v>
      </c>
      <c r="BC3891" s="3" t="s">
        <v>82</v>
      </c>
      <c r="BD3891" s="3" t="s">
        <v>70</v>
      </c>
      <c r="BF3891" s="3" t="s">
        <v>33140</v>
      </c>
      <c r="BG3891" s="3" t="s">
        <v>33141</v>
      </c>
    </row>
    <row r="3892" spans="1:59" ht="75" x14ac:dyDescent="0.25">
      <c r="A3892" s="2" t="s">
        <v>59</v>
      </c>
      <c r="B3892" s="2" t="s">
        <v>60</v>
      </c>
      <c r="C3892" s="2" t="s">
        <v>33133</v>
      </c>
      <c r="D3892" s="2" t="s">
        <v>33134</v>
      </c>
      <c r="E3892" s="2" t="s">
        <v>33135</v>
      </c>
      <c r="G3892" s="3" t="s">
        <v>63</v>
      </c>
      <c r="I3892" s="3" t="s">
        <v>62</v>
      </c>
      <c r="J3892" s="3" t="s">
        <v>62</v>
      </c>
      <c r="K3892" s="3" t="s">
        <v>64</v>
      </c>
      <c r="L3892" s="2" t="s">
        <v>33025</v>
      </c>
      <c r="M3892" s="2" t="s">
        <v>33136</v>
      </c>
      <c r="N3892" s="3" t="s">
        <v>190</v>
      </c>
      <c r="O3892" s="2" t="s">
        <v>33137</v>
      </c>
      <c r="P3892" s="3" t="s">
        <v>66</v>
      </c>
      <c r="R3892" s="3" t="s">
        <v>67</v>
      </c>
      <c r="S3892" s="4">
        <v>30</v>
      </c>
      <c r="T3892" s="4">
        <v>67</v>
      </c>
      <c r="U3892" s="5" t="s">
        <v>719</v>
      </c>
      <c r="V3892" s="5" t="s">
        <v>8252</v>
      </c>
      <c r="W3892" s="5" t="s">
        <v>69</v>
      </c>
      <c r="X3892" s="5" t="s">
        <v>69</v>
      </c>
      <c r="Y3892" s="4">
        <v>43</v>
      </c>
      <c r="Z3892" s="4">
        <v>4</v>
      </c>
      <c r="AA3892" s="4">
        <v>159</v>
      </c>
      <c r="AB3892" s="4">
        <v>2</v>
      </c>
      <c r="AC3892" s="4">
        <v>13</v>
      </c>
      <c r="AD3892" s="4">
        <v>5</v>
      </c>
      <c r="AE3892" s="4">
        <v>163</v>
      </c>
      <c r="AF3892" s="4">
        <v>0</v>
      </c>
      <c r="AG3892" s="4">
        <v>4</v>
      </c>
      <c r="AH3892" s="4">
        <v>5</v>
      </c>
      <c r="AI3892" s="4">
        <v>114</v>
      </c>
      <c r="AJ3892" s="4">
        <v>2</v>
      </c>
      <c r="AK3892" s="4">
        <v>26</v>
      </c>
      <c r="AL3892" s="4">
        <v>1</v>
      </c>
      <c r="AM3892" s="4">
        <v>62</v>
      </c>
      <c r="AN3892" s="4">
        <v>0</v>
      </c>
      <c r="AO3892" s="4">
        <v>0</v>
      </c>
      <c r="AP3892" s="4">
        <v>2</v>
      </c>
      <c r="AQ3892" s="4">
        <v>53</v>
      </c>
      <c r="AR3892" s="3" t="s">
        <v>63</v>
      </c>
      <c r="AS3892" s="3" t="s">
        <v>63</v>
      </c>
      <c r="AT3892" s="3" t="s">
        <v>63</v>
      </c>
      <c r="AV3892" s="6" t="str">
        <f>HYPERLINK("http://mcgill.on.worldcat.org/oclc/138350313","Catalog Record")</f>
        <v>Catalog Record</v>
      </c>
      <c r="AW3892" s="6" t="str">
        <f>HYPERLINK("http://www.worldcat.org/oclc/138350313","WorldCat Record")</f>
        <v>WorldCat Record</v>
      </c>
      <c r="AX3892" s="3" t="s">
        <v>33118</v>
      </c>
      <c r="AY3892" s="3" t="s">
        <v>33138</v>
      </c>
      <c r="AZ3892" s="3" t="s">
        <v>33139</v>
      </c>
      <c r="BA3892" s="3" t="s">
        <v>33139</v>
      </c>
      <c r="BB3892" s="3" t="s">
        <v>33142</v>
      </c>
      <c r="BC3892" s="3" t="s">
        <v>82</v>
      </c>
      <c r="BD3892" s="3" t="s">
        <v>70</v>
      </c>
      <c r="BF3892" s="3" t="s">
        <v>33142</v>
      </c>
      <c r="BG3892" s="3" t="s">
        <v>33143</v>
      </c>
    </row>
    <row r="3893" spans="1:59" ht="75" x14ac:dyDescent="0.25">
      <c r="A3893" s="2" t="s">
        <v>59</v>
      </c>
      <c r="B3893" s="2" t="s">
        <v>60</v>
      </c>
      <c r="C3893" s="2" t="s">
        <v>33144</v>
      </c>
      <c r="D3893" s="2" t="s">
        <v>33145</v>
      </c>
      <c r="E3893" s="2" t="s">
        <v>33146</v>
      </c>
      <c r="G3893" s="3" t="s">
        <v>63</v>
      </c>
      <c r="I3893" s="3" t="s">
        <v>63</v>
      </c>
      <c r="J3893" s="3" t="s">
        <v>63</v>
      </c>
      <c r="K3893" s="3" t="s">
        <v>64</v>
      </c>
      <c r="L3893" s="2" t="s">
        <v>33025</v>
      </c>
      <c r="M3893" s="2" t="s">
        <v>33147</v>
      </c>
      <c r="N3893" s="3" t="s">
        <v>849</v>
      </c>
      <c r="P3893" s="3" t="s">
        <v>548</v>
      </c>
      <c r="R3893" s="3" t="s">
        <v>67</v>
      </c>
      <c r="S3893" s="4">
        <v>30</v>
      </c>
      <c r="T3893" s="4">
        <v>30</v>
      </c>
      <c r="U3893" s="5" t="s">
        <v>18375</v>
      </c>
      <c r="V3893" s="5" t="s">
        <v>18375</v>
      </c>
      <c r="W3893" s="5" t="s">
        <v>69</v>
      </c>
      <c r="X3893" s="5" t="s">
        <v>69</v>
      </c>
      <c r="Y3893" s="4">
        <v>2</v>
      </c>
      <c r="Z3893" s="4">
        <v>2</v>
      </c>
      <c r="AA3893" s="4">
        <v>4</v>
      </c>
      <c r="AB3893" s="4">
        <v>1</v>
      </c>
      <c r="AC3893" s="4">
        <v>3</v>
      </c>
      <c r="AD3893" s="4">
        <v>1</v>
      </c>
      <c r="AE3893" s="4">
        <v>3</v>
      </c>
      <c r="AF3893" s="4">
        <v>0</v>
      </c>
      <c r="AG3893" s="4">
        <v>2</v>
      </c>
      <c r="AH3893" s="4">
        <v>1</v>
      </c>
      <c r="AI3893" s="4">
        <v>1</v>
      </c>
      <c r="AJ3893" s="4">
        <v>0</v>
      </c>
      <c r="AK3893" s="4">
        <v>2</v>
      </c>
      <c r="AL3893" s="4">
        <v>0</v>
      </c>
      <c r="AM3893" s="4">
        <v>0</v>
      </c>
      <c r="AN3893" s="4">
        <v>0</v>
      </c>
      <c r="AO3893" s="4">
        <v>0</v>
      </c>
      <c r="AP3893" s="4">
        <v>1</v>
      </c>
      <c r="AQ3893" s="4">
        <v>2</v>
      </c>
      <c r="AR3893" s="3" t="s">
        <v>63</v>
      </c>
      <c r="AS3893" s="3" t="s">
        <v>63</v>
      </c>
      <c r="AT3893" s="3" t="s">
        <v>63</v>
      </c>
      <c r="AV3893" s="6" t="str">
        <f>HYPERLINK("http://mcgill.on.worldcat.org/oclc/270573673","Catalog Record")</f>
        <v>Catalog Record</v>
      </c>
      <c r="AW3893" s="6" t="str">
        <f>HYPERLINK("http://www.worldcat.org/oclc/270573673","WorldCat Record")</f>
        <v>WorldCat Record</v>
      </c>
      <c r="AX3893" s="3" t="s">
        <v>33148</v>
      </c>
      <c r="AY3893" s="3" t="s">
        <v>33149</v>
      </c>
      <c r="AZ3893" s="3" t="s">
        <v>33150</v>
      </c>
      <c r="BA3893" s="3" t="s">
        <v>33150</v>
      </c>
      <c r="BB3893" s="3" t="s">
        <v>33151</v>
      </c>
      <c r="BC3893" s="3" t="s">
        <v>82</v>
      </c>
      <c r="BD3893" s="3" t="s">
        <v>70</v>
      </c>
      <c r="BF3893" s="3" t="s">
        <v>33151</v>
      </c>
      <c r="BG3893" s="3" t="s">
        <v>33152</v>
      </c>
    </row>
    <row r="3894" spans="1:59" ht="60" x14ac:dyDescent="0.25">
      <c r="A3894" s="2" t="s">
        <v>59</v>
      </c>
      <c r="B3894" s="2" t="s">
        <v>60</v>
      </c>
      <c r="C3894" s="2" t="s">
        <v>33153</v>
      </c>
      <c r="D3894" s="2" t="s">
        <v>33154</v>
      </c>
      <c r="E3894" s="2" t="s">
        <v>33155</v>
      </c>
      <c r="G3894" s="3" t="s">
        <v>63</v>
      </c>
      <c r="I3894" s="3" t="s">
        <v>63</v>
      </c>
      <c r="J3894" s="3" t="s">
        <v>63</v>
      </c>
      <c r="K3894" s="3" t="s">
        <v>64</v>
      </c>
      <c r="L3894" s="2" t="s">
        <v>8551</v>
      </c>
      <c r="M3894" s="2" t="s">
        <v>13899</v>
      </c>
      <c r="N3894" s="3" t="s">
        <v>1113</v>
      </c>
      <c r="P3894" s="3" t="s">
        <v>66</v>
      </c>
      <c r="Q3894" s="2" t="s">
        <v>13900</v>
      </c>
      <c r="R3894" s="3" t="s">
        <v>67</v>
      </c>
      <c r="S3894" s="4">
        <v>24</v>
      </c>
      <c r="T3894" s="4">
        <v>24</v>
      </c>
      <c r="U3894" s="5" t="s">
        <v>2925</v>
      </c>
      <c r="V3894" s="5" t="s">
        <v>2925</v>
      </c>
      <c r="W3894" s="5" t="s">
        <v>69</v>
      </c>
      <c r="X3894" s="5" t="s">
        <v>69</v>
      </c>
      <c r="Y3894" s="4">
        <v>101</v>
      </c>
      <c r="Z3894" s="4">
        <v>8</v>
      </c>
      <c r="AA3894" s="4">
        <v>8</v>
      </c>
      <c r="AB3894" s="4">
        <v>1</v>
      </c>
      <c r="AC3894" s="4">
        <v>1</v>
      </c>
      <c r="AD3894" s="4">
        <v>45</v>
      </c>
      <c r="AE3894" s="4">
        <v>45</v>
      </c>
      <c r="AF3894" s="4">
        <v>0</v>
      </c>
      <c r="AG3894" s="4">
        <v>0</v>
      </c>
      <c r="AH3894" s="4">
        <v>42</v>
      </c>
      <c r="AI3894" s="4">
        <v>42</v>
      </c>
      <c r="AJ3894" s="4">
        <v>5</v>
      </c>
      <c r="AK3894" s="4">
        <v>5</v>
      </c>
      <c r="AL3894" s="4">
        <v>22</v>
      </c>
      <c r="AM3894" s="4">
        <v>22</v>
      </c>
      <c r="AN3894" s="4">
        <v>0</v>
      </c>
      <c r="AO3894" s="4">
        <v>0</v>
      </c>
      <c r="AP3894" s="4">
        <v>7</v>
      </c>
      <c r="AQ3894" s="4">
        <v>7</v>
      </c>
      <c r="AR3894" s="3" t="s">
        <v>63</v>
      </c>
      <c r="AS3894" s="3" t="s">
        <v>63</v>
      </c>
      <c r="AT3894" s="3" t="s">
        <v>62</v>
      </c>
      <c r="AU3894" s="6" t="str">
        <f>HYPERLINK("http://catalog.hathitrust.org/Record/007134385","HathiTrust Record")</f>
        <v>HathiTrust Record</v>
      </c>
      <c r="AV3894" s="6" t="str">
        <f>HYPERLINK("http://mcgill.on.worldcat.org/oclc/37858297","Catalog Record")</f>
        <v>Catalog Record</v>
      </c>
      <c r="AW3894" s="6" t="str">
        <f>HYPERLINK("http://www.worldcat.org/oclc/37858297","WorldCat Record")</f>
        <v>WorldCat Record</v>
      </c>
      <c r="AX3894" s="3" t="s">
        <v>33156</v>
      </c>
      <c r="AY3894" s="3" t="s">
        <v>33157</v>
      </c>
      <c r="AZ3894" s="3" t="s">
        <v>33158</v>
      </c>
      <c r="BA3894" s="3" t="s">
        <v>33158</v>
      </c>
      <c r="BB3894" s="3" t="s">
        <v>33159</v>
      </c>
      <c r="BC3894" s="3" t="s">
        <v>82</v>
      </c>
      <c r="BD3894" s="3" t="s">
        <v>70</v>
      </c>
      <c r="BE3894" s="3" t="s">
        <v>33160</v>
      </c>
      <c r="BF3894" s="3" t="s">
        <v>33159</v>
      </c>
      <c r="BG3894" s="3" t="s">
        <v>33161</v>
      </c>
    </row>
    <row r="3895" spans="1:59" ht="60" x14ac:dyDescent="0.25">
      <c r="A3895" s="2" t="s">
        <v>59</v>
      </c>
      <c r="B3895" s="2" t="s">
        <v>60</v>
      </c>
      <c r="C3895" s="2" t="s">
        <v>33162</v>
      </c>
      <c r="D3895" s="2" t="s">
        <v>33163</v>
      </c>
      <c r="E3895" s="2" t="s">
        <v>33164</v>
      </c>
      <c r="G3895" s="3" t="s">
        <v>63</v>
      </c>
      <c r="I3895" s="3" t="s">
        <v>63</v>
      </c>
      <c r="J3895" s="3" t="s">
        <v>63</v>
      </c>
      <c r="K3895" s="3" t="s">
        <v>64</v>
      </c>
      <c r="L3895" s="2" t="s">
        <v>33165</v>
      </c>
      <c r="M3895" s="2" t="s">
        <v>33166</v>
      </c>
      <c r="N3895" s="3" t="s">
        <v>2043</v>
      </c>
      <c r="P3895" s="3" t="s">
        <v>548</v>
      </c>
      <c r="Q3895" s="2" t="s">
        <v>33167</v>
      </c>
      <c r="R3895" s="3" t="s">
        <v>67</v>
      </c>
      <c r="S3895" s="4">
        <v>5</v>
      </c>
      <c r="T3895" s="4">
        <v>5</v>
      </c>
      <c r="U3895" s="5" t="s">
        <v>18375</v>
      </c>
      <c r="V3895" s="5" t="s">
        <v>18375</v>
      </c>
      <c r="W3895" s="5" t="s">
        <v>69</v>
      </c>
      <c r="X3895" s="5" t="s">
        <v>69</v>
      </c>
      <c r="Y3895" s="4">
        <v>31</v>
      </c>
      <c r="Z3895" s="4">
        <v>7</v>
      </c>
      <c r="AA3895" s="4">
        <v>9</v>
      </c>
      <c r="AB3895" s="4">
        <v>1</v>
      </c>
      <c r="AC3895" s="4">
        <v>2</v>
      </c>
      <c r="AD3895" s="4">
        <v>17</v>
      </c>
      <c r="AE3895" s="4">
        <v>18</v>
      </c>
      <c r="AF3895" s="4">
        <v>0</v>
      </c>
      <c r="AG3895" s="4">
        <v>1</v>
      </c>
      <c r="AH3895" s="4">
        <v>15</v>
      </c>
      <c r="AI3895" s="4">
        <v>16</v>
      </c>
      <c r="AJ3895" s="4">
        <v>5</v>
      </c>
      <c r="AK3895" s="4">
        <v>6</v>
      </c>
      <c r="AL3895" s="4">
        <v>10</v>
      </c>
      <c r="AM3895" s="4">
        <v>10</v>
      </c>
      <c r="AN3895" s="4">
        <v>0</v>
      </c>
      <c r="AO3895" s="4">
        <v>0</v>
      </c>
      <c r="AP3895" s="4">
        <v>6</v>
      </c>
      <c r="AQ3895" s="4">
        <v>7</v>
      </c>
      <c r="AR3895" s="3" t="s">
        <v>63</v>
      </c>
      <c r="AS3895" s="3" t="s">
        <v>63</v>
      </c>
      <c r="AT3895" s="3" t="s">
        <v>62</v>
      </c>
      <c r="AU3895" s="6" t="str">
        <f>HYPERLINK("http://catalog.hathitrust.org/Record/000774790","HathiTrust Record")</f>
        <v>HathiTrust Record</v>
      </c>
      <c r="AV3895" s="6" t="str">
        <f>HYPERLINK("http://mcgill.on.worldcat.org/oclc/9393715","Catalog Record")</f>
        <v>Catalog Record</v>
      </c>
      <c r="AW3895" s="6" t="str">
        <f>HYPERLINK("http://www.worldcat.org/oclc/9393715","WorldCat Record")</f>
        <v>WorldCat Record</v>
      </c>
      <c r="AX3895" s="3" t="s">
        <v>33168</v>
      </c>
      <c r="AY3895" s="3" t="s">
        <v>33169</v>
      </c>
      <c r="AZ3895" s="3" t="s">
        <v>33170</v>
      </c>
      <c r="BA3895" s="3" t="s">
        <v>33170</v>
      </c>
      <c r="BB3895" s="3" t="s">
        <v>33171</v>
      </c>
      <c r="BC3895" s="3" t="s">
        <v>82</v>
      </c>
      <c r="BD3895" s="3" t="s">
        <v>70</v>
      </c>
      <c r="BE3895" s="3" t="s">
        <v>33172</v>
      </c>
      <c r="BF3895" s="3" t="s">
        <v>33171</v>
      </c>
      <c r="BG3895" s="3" t="s">
        <v>33173</v>
      </c>
    </row>
    <row r="3896" spans="1:59" ht="60" x14ac:dyDescent="0.25">
      <c r="A3896" s="2" t="s">
        <v>59</v>
      </c>
      <c r="B3896" s="2" t="s">
        <v>60</v>
      </c>
      <c r="C3896" s="2" t="s">
        <v>33174</v>
      </c>
      <c r="D3896" s="2" t="s">
        <v>33175</v>
      </c>
      <c r="E3896" s="2" t="s">
        <v>33176</v>
      </c>
      <c r="G3896" s="3" t="s">
        <v>63</v>
      </c>
      <c r="I3896" s="3" t="s">
        <v>63</v>
      </c>
      <c r="J3896" s="3" t="s">
        <v>63</v>
      </c>
      <c r="K3896" s="3" t="s">
        <v>64</v>
      </c>
      <c r="M3896" s="2" t="s">
        <v>16597</v>
      </c>
      <c r="N3896" s="3" t="s">
        <v>1113</v>
      </c>
      <c r="P3896" s="3" t="s">
        <v>66</v>
      </c>
      <c r="Q3896" s="2" t="s">
        <v>10845</v>
      </c>
      <c r="R3896" s="3" t="s">
        <v>67</v>
      </c>
      <c r="S3896" s="4">
        <v>26</v>
      </c>
      <c r="T3896" s="4">
        <v>26</v>
      </c>
      <c r="U3896" s="5" t="s">
        <v>2925</v>
      </c>
      <c r="V3896" s="5" t="s">
        <v>2925</v>
      </c>
      <c r="W3896" s="5" t="s">
        <v>69</v>
      </c>
      <c r="X3896" s="5" t="s">
        <v>69</v>
      </c>
      <c r="Y3896" s="4">
        <v>270</v>
      </c>
      <c r="Z3896" s="4">
        <v>18</v>
      </c>
      <c r="AA3896" s="4">
        <v>20</v>
      </c>
      <c r="AB3896" s="4">
        <v>2</v>
      </c>
      <c r="AC3896" s="4">
        <v>4</v>
      </c>
      <c r="AD3896" s="4">
        <v>86</v>
      </c>
      <c r="AE3896" s="4">
        <v>88</v>
      </c>
      <c r="AF3896" s="4">
        <v>1</v>
      </c>
      <c r="AG3896" s="4">
        <v>3</v>
      </c>
      <c r="AH3896" s="4">
        <v>79</v>
      </c>
      <c r="AI3896" s="4">
        <v>80</v>
      </c>
      <c r="AJ3896" s="4">
        <v>11</v>
      </c>
      <c r="AK3896" s="4">
        <v>13</v>
      </c>
      <c r="AL3896" s="4">
        <v>48</v>
      </c>
      <c r="AM3896" s="4">
        <v>48</v>
      </c>
      <c r="AN3896" s="4">
        <v>0</v>
      </c>
      <c r="AO3896" s="4">
        <v>0</v>
      </c>
      <c r="AP3896" s="4">
        <v>14</v>
      </c>
      <c r="AQ3896" s="4">
        <v>16</v>
      </c>
      <c r="AR3896" s="3" t="s">
        <v>63</v>
      </c>
      <c r="AS3896" s="3" t="s">
        <v>63</v>
      </c>
      <c r="AT3896" s="3" t="s">
        <v>62</v>
      </c>
      <c r="AU3896" s="6" t="str">
        <f>HYPERLINK("http://catalog.hathitrust.org/Record/003944109","HathiTrust Record")</f>
        <v>HathiTrust Record</v>
      </c>
      <c r="AV3896" s="6" t="str">
        <f>HYPERLINK("http://mcgill.on.worldcat.org/oclc/36942583","Catalog Record")</f>
        <v>Catalog Record</v>
      </c>
      <c r="AW3896" s="6" t="str">
        <f>HYPERLINK("http://www.worldcat.org/oclc/36942583","WorldCat Record")</f>
        <v>WorldCat Record</v>
      </c>
      <c r="AX3896" s="3" t="s">
        <v>33177</v>
      </c>
      <c r="AY3896" s="3" t="s">
        <v>33178</v>
      </c>
      <c r="AZ3896" s="3" t="s">
        <v>33179</v>
      </c>
      <c r="BA3896" s="3" t="s">
        <v>33179</v>
      </c>
      <c r="BB3896" s="3" t="s">
        <v>33180</v>
      </c>
      <c r="BC3896" s="3" t="s">
        <v>82</v>
      </c>
      <c r="BD3896" s="3" t="s">
        <v>70</v>
      </c>
      <c r="BE3896" s="3" t="s">
        <v>33181</v>
      </c>
      <c r="BF3896" s="3" t="s">
        <v>33180</v>
      </c>
      <c r="BG3896" s="3" t="s">
        <v>33182</v>
      </c>
    </row>
    <row r="3897" spans="1:59" ht="60" x14ac:dyDescent="0.25">
      <c r="A3897" s="2" t="s">
        <v>59</v>
      </c>
      <c r="B3897" s="2" t="s">
        <v>60</v>
      </c>
      <c r="C3897" s="2" t="s">
        <v>33183</v>
      </c>
      <c r="D3897" s="2" t="s">
        <v>33184</v>
      </c>
      <c r="E3897" s="2" t="s">
        <v>33185</v>
      </c>
      <c r="G3897" s="3" t="s">
        <v>63</v>
      </c>
      <c r="I3897" s="3" t="s">
        <v>63</v>
      </c>
      <c r="J3897" s="3" t="s">
        <v>62</v>
      </c>
      <c r="K3897" s="3" t="s">
        <v>64</v>
      </c>
      <c r="L3897" s="2" t="s">
        <v>33037</v>
      </c>
      <c r="M3897" s="2" t="s">
        <v>33038</v>
      </c>
      <c r="N3897" s="3" t="s">
        <v>2765</v>
      </c>
      <c r="O3897" s="2" t="s">
        <v>33186</v>
      </c>
      <c r="P3897" s="3" t="s">
        <v>66</v>
      </c>
      <c r="R3897" s="3" t="s">
        <v>67</v>
      </c>
      <c r="S3897" s="4">
        <v>3</v>
      </c>
      <c r="T3897" s="4">
        <v>3</v>
      </c>
      <c r="U3897" s="5" t="s">
        <v>16052</v>
      </c>
      <c r="V3897" s="5" t="s">
        <v>16052</v>
      </c>
      <c r="W3897" s="5" t="s">
        <v>69</v>
      </c>
      <c r="X3897" s="5" t="s">
        <v>69</v>
      </c>
      <c r="Y3897" s="4">
        <v>80</v>
      </c>
      <c r="Z3897" s="4">
        <v>4</v>
      </c>
      <c r="AA3897" s="4">
        <v>121</v>
      </c>
      <c r="AB3897" s="4">
        <v>1</v>
      </c>
      <c r="AC3897" s="4">
        <v>10</v>
      </c>
      <c r="AD3897" s="4">
        <v>13</v>
      </c>
      <c r="AE3897" s="4">
        <v>158</v>
      </c>
      <c r="AF3897" s="4">
        <v>0</v>
      </c>
      <c r="AG3897" s="4">
        <v>3</v>
      </c>
      <c r="AH3897" s="4">
        <v>11</v>
      </c>
      <c r="AI3897" s="4">
        <v>114</v>
      </c>
      <c r="AJ3897" s="4">
        <v>1</v>
      </c>
      <c r="AK3897" s="4">
        <v>26</v>
      </c>
      <c r="AL3897" s="4">
        <v>7</v>
      </c>
      <c r="AM3897" s="4">
        <v>61</v>
      </c>
      <c r="AN3897" s="4">
        <v>0</v>
      </c>
      <c r="AO3897" s="4">
        <v>0</v>
      </c>
      <c r="AP3897" s="4">
        <v>1</v>
      </c>
      <c r="AQ3897" s="4">
        <v>50</v>
      </c>
      <c r="AR3897" s="3" t="s">
        <v>63</v>
      </c>
      <c r="AS3897" s="3" t="s">
        <v>63</v>
      </c>
      <c r="AT3897" s="3" t="s">
        <v>63</v>
      </c>
      <c r="AV3897" s="6" t="str">
        <f>HYPERLINK("http://mcgill.on.worldcat.org/oclc/892886138","Catalog Record")</f>
        <v>Catalog Record</v>
      </c>
      <c r="AW3897" s="6" t="str">
        <f>HYPERLINK("http://www.worldcat.org/oclc/892886138","WorldCat Record")</f>
        <v>WorldCat Record</v>
      </c>
      <c r="AX3897" s="3" t="s">
        <v>33187</v>
      </c>
      <c r="AY3897" s="3" t="s">
        <v>33188</v>
      </c>
      <c r="AZ3897" s="3" t="s">
        <v>33189</v>
      </c>
      <c r="BA3897" s="3" t="s">
        <v>33189</v>
      </c>
      <c r="BB3897" s="3" t="s">
        <v>33190</v>
      </c>
      <c r="BC3897" s="3" t="s">
        <v>82</v>
      </c>
      <c r="BD3897" s="3" t="s">
        <v>538</v>
      </c>
      <c r="BE3897" s="3" t="s">
        <v>33191</v>
      </c>
      <c r="BF3897" s="3" t="s">
        <v>33190</v>
      </c>
      <c r="BG3897" s="3" t="s">
        <v>33192</v>
      </c>
    </row>
    <row r="3898" spans="1:59" ht="60" x14ac:dyDescent="0.25">
      <c r="A3898" s="2" t="s">
        <v>59</v>
      </c>
      <c r="B3898" s="2" t="s">
        <v>60</v>
      </c>
      <c r="C3898" s="2" t="s">
        <v>33193</v>
      </c>
      <c r="D3898" s="2" t="s">
        <v>33194</v>
      </c>
      <c r="E3898" s="2" t="s">
        <v>33195</v>
      </c>
      <c r="G3898" s="3" t="s">
        <v>63</v>
      </c>
      <c r="I3898" s="3" t="s">
        <v>63</v>
      </c>
      <c r="J3898" s="3" t="s">
        <v>63</v>
      </c>
      <c r="K3898" s="3" t="s">
        <v>64</v>
      </c>
      <c r="L3898" s="2" t="s">
        <v>33196</v>
      </c>
      <c r="M3898" s="2" t="s">
        <v>33197</v>
      </c>
      <c r="N3898" s="3" t="s">
        <v>2951</v>
      </c>
      <c r="P3898" s="3" t="s">
        <v>548</v>
      </c>
      <c r="R3898" s="3" t="s">
        <v>67</v>
      </c>
      <c r="S3898" s="4">
        <v>4</v>
      </c>
      <c r="T3898" s="4">
        <v>4</v>
      </c>
      <c r="U3898" s="5" t="s">
        <v>18375</v>
      </c>
      <c r="V3898" s="5" t="s">
        <v>18375</v>
      </c>
      <c r="W3898" s="5" t="s">
        <v>69</v>
      </c>
      <c r="X3898" s="5" t="s">
        <v>69</v>
      </c>
      <c r="Y3898" s="4">
        <v>3</v>
      </c>
      <c r="Z3898" s="4">
        <v>2</v>
      </c>
      <c r="AA3898" s="4">
        <v>11</v>
      </c>
      <c r="AB3898" s="4">
        <v>1</v>
      </c>
      <c r="AC3898" s="4">
        <v>6</v>
      </c>
      <c r="AD3898" s="4">
        <v>0</v>
      </c>
      <c r="AE3898" s="4">
        <v>6</v>
      </c>
      <c r="AF3898" s="4">
        <v>0</v>
      </c>
      <c r="AG3898" s="4">
        <v>4</v>
      </c>
      <c r="AH3898" s="4">
        <v>0</v>
      </c>
      <c r="AI3898" s="4">
        <v>1</v>
      </c>
      <c r="AJ3898" s="4">
        <v>0</v>
      </c>
      <c r="AK3898" s="4">
        <v>4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5</v>
      </c>
      <c r="AR3898" s="3" t="s">
        <v>63</v>
      </c>
      <c r="AS3898" s="3" t="s">
        <v>63</v>
      </c>
      <c r="AT3898" s="3" t="s">
        <v>63</v>
      </c>
      <c r="AV3898" s="6" t="str">
        <f>HYPERLINK("http://mcgill.on.worldcat.org/oclc/78897335","Catalog Record")</f>
        <v>Catalog Record</v>
      </c>
      <c r="AW3898" s="6" t="str">
        <f>HYPERLINK("http://www.worldcat.org/oclc/78897335","WorldCat Record")</f>
        <v>WorldCat Record</v>
      </c>
      <c r="AX3898" s="3" t="s">
        <v>33198</v>
      </c>
      <c r="AY3898" s="3" t="s">
        <v>33199</v>
      </c>
      <c r="AZ3898" s="3" t="s">
        <v>33200</v>
      </c>
      <c r="BA3898" s="3" t="s">
        <v>33200</v>
      </c>
      <c r="BB3898" s="3" t="s">
        <v>33201</v>
      </c>
      <c r="BC3898" s="3" t="s">
        <v>82</v>
      </c>
      <c r="BD3898" s="3" t="s">
        <v>70</v>
      </c>
      <c r="BE3898" s="3" t="s">
        <v>33202</v>
      </c>
      <c r="BF3898" s="3" t="s">
        <v>33201</v>
      </c>
      <c r="BG3898" s="3" t="s">
        <v>33203</v>
      </c>
    </row>
    <row r="3899" spans="1:59" ht="60" x14ac:dyDescent="0.25">
      <c r="A3899" s="2" t="s">
        <v>59</v>
      </c>
      <c r="B3899" s="2" t="s">
        <v>60</v>
      </c>
      <c r="C3899" s="2" t="s">
        <v>33204</v>
      </c>
      <c r="D3899" s="2" t="s">
        <v>33205</v>
      </c>
      <c r="E3899" s="2" t="s">
        <v>33206</v>
      </c>
      <c r="G3899" s="3" t="s">
        <v>63</v>
      </c>
      <c r="I3899" s="3" t="s">
        <v>62</v>
      </c>
      <c r="J3899" s="3" t="s">
        <v>62</v>
      </c>
      <c r="K3899" s="3" t="s">
        <v>64</v>
      </c>
      <c r="L3899" s="2" t="s">
        <v>33025</v>
      </c>
      <c r="M3899" s="2" t="s">
        <v>33207</v>
      </c>
      <c r="N3899" s="3" t="s">
        <v>939</v>
      </c>
      <c r="P3899" s="3" t="s">
        <v>66</v>
      </c>
      <c r="R3899" s="3" t="s">
        <v>67</v>
      </c>
      <c r="S3899" s="4">
        <v>6</v>
      </c>
      <c r="T3899" s="4">
        <v>10</v>
      </c>
      <c r="U3899" s="5" t="s">
        <v>33208</v>
      </c>
      <c r="V3899" s="5" t="s">
        <v>33208</v>
      </c>
      <c r="W3899" s="5" t="s">
        <v>69</v>
      </c>
      <c r="X3899" s="5" t="s">
        <v>69</v>
      </c>
      <c r="Y3899" s="4">
        <v>1233</v>
      </c>
      <c r="Z3899" s="4">
        <v>45</v>
      </c>
      <c r="AA3899" s="4">
        <v>121</v>
      </c>
      <c r="AB3899" s="4">
        <v>3</v>
      </c>
      <c r="AC3899" s="4">
        <v>10</v>
      </c>
      <c r="AD3899" s="4">
        <v>116</v>
      </c>
      <c r="AE3899" s="4">
        <v>158</v>
      </c>
      <c r="AF3899" s="4">
        <v>1</v>
      </c>
      <c r="AG3899" s="4">
        <v>3</v>
      </c>
      <c r="AH3899" s="4">
        <v>96</v>
      </c>
      <c r="AI3899" s="4">
        <v>114</v>
      </c>
      <c r="AJ3899" s="4">
        <v>16</v>
      </c>
      <c r="AK3899" s="4">
        <v>26</v>
      </c>
      <c r="AL3899" s="4">
        <v>50</v>
      </c>
      <c r="AM3899" s="4">
        <v>61</v>
      </c>
      <c r="AN3899" s="4">
        <v>0</v>
      </c>
      <c r="AO3899" s="4">
        <v>0</v>
      </c>
      <c r="AP3899" s="4">
        <v>25</v>
      </c>
      <c r="AQ3899" s="4">
        <v>50</v>
      </c>
      <c r="AR3899" s="3" t="s">
        <v>63</v>
      </c>
      <c r="AS3899" s="3" t="s">
        <v>63</v>
      </c>
      <c r="AT3899" s="3" t="s">
        <v>62</v>
      </c>
      <c r="AU3899" s="6" t="str">
        <f>HYPERLINK("http://catalog.hathitrust.org/Record/001729992","HathiTrust Record")</f>
        <v>HathiTrust Record</v>
      </c>
      <c r="AV3899" s="6" t="str">
        <f>HYPERLINK("http://mcgill.on.worldcat.org/oclc/321122","Catalog Record")</f>
        <v>Catalog Record</v>
      </c>
      <c r="AW3899" s="6" t="str">
        <f>HYPERLINK("http://www.worldcat.org/oclc/321122","WorldCat Record")</f>
        <v>WorldCat Record</v>
      </c>
      <c r="AX3899" s="3" t="s">
        <v>33187</v>
      </c>
      <c r="AY3899" s="3" t="s">
        <v>33209</v>
      </c>
      <c r="AZ3899" s="3" t="s">
        <v>33210</v>
      </c>
      <c r="BA3899" s="3" t="s">
        <v>33210</v>
      </c>
      <c r="BB3899" s="3" t="s">
        <v>33211</v>
      </c>
      <c r="BC3899" s="3" t="s">
        <v>82</v>
      </c>
      <c r="BD3899" s="3" t="s">
        <v>70</v>
      </c>
      <c r="BE3899" s="3" t="s">
        <v>33212</v>
      </c>
      <c r="BF3899" s="3" t="s">
        <v>33211</v>
      </c>
      <c r="BG3899" s="3" t="s">
        <v>33213</v>
      </c>
    </row>
    <row r="3900" spans="1:59" ht="60" x14ac:dyDescent="0.25">
      <c r="A3900" s="2" t="s">
        <v>59</v>
      </c>
      <c r="B3900" s="2" t="s">
        <v>60</v>
      </c>
      <c r="C3900" s="2" t="s">
        <v>33214</v>
      </c>
      <c r="D3900" s="2" t="s">
        <v>33215</v>
      </c>
      <c r="E3900" s="2" t="s">
        <v>33216</v>
      </c>
      <c r="G3900" s="3" t="s">
        <v>63</v>
      </c>
      <c r="I3900" s="3" t="s">
        <v>62</v>
      </c>
      <c r="J3900" s="3" t="s">
        <v>62</v>
      </c>
      <c r="K3900" s="3" t="s">
        <v>64</v>
      </c>
      <c r="L3900" s="2" t="s">
        <v>33025</v>
      </c>
      <c r="M3900" s="2" t="s">
        <v>33217</v>
      </c>
      <c r="N3900" s="3" t="s">
        <v>1296</v>
      </c>
      <c r="P3900" s="3" t="s">
        <v>66</v>
      </c>
      <c r="R3900" s="3" t="s">
        <v>67</v>
      </c>
      <c r="S3900" s="4">
        <v>22</v>
      </c>
      <c r="T3900" s="4">
        <v>33</v>
      </c>
      <c r="U3900" s="5" t="s">
        <v>33218</v>
      </c>
      <c r="V3900" s="5" t="s">
        <v>33219</v>
      </c>
      <c r="W3900" s="5" t="s">
        <v>69</v>
      </c>
      <c r="X3900" s="5" t="s">
        <v>69</v>
      </c>
      <c r="Y3900" s="4">
        <v>247</v>
      </c>
      <c r="Z3900" s="4">
        <v>14</v>
      </c>
      <c r="AA3900" s="4">
        <v>121</v>
      </c>
      <c r="AB3900" s="4">
        <v>1</v>
      </c>
      <c r="AC3900" s="4">
        <v>10</v>
      </c>
      <c r="AD3900" s="4">
        <v>30</v>
      </c>
      <c r="AE3900" s="4">
        <v>158</v>
      </c>
      <c r="AF3900" s="4">
        <v>0</v>
      </c>
      <c r="AG3900" s="4">
        <v>3</v>
      </c>
      <c r="AH3900" s="4">
        <v>27</v>
      </c>
      <c r="AI3900" s="4">
        <v>114</v>
      </c>
      <c r="AJ3900" s="4">
        <v>3</v>
      </c>
      <c r="AK3900" s="4">
        <v>26</v>
      </c>
      <c r="AL3900" s="4">
        <v>17</v>
      </c>
      <c r="AM3900" s="4">
        <v>61</v>
      </c>
      <c r="AN3900" s="4">
        <v>0</v>
      </c>
      <c r="AO3900" s="4">
        <v>0</v>
      </c>
      <c r="AP3900" s="4">
        <v>5</v>
      </c>
      <c r="AQ3900" s="4">
        <v>50</v>
      </c>
      <c r="AR3900" s="3" t="s">
        <v>63</v>
      </c>
      <c r="AS3900" s="3" t="s">
        <v>63</v>
      </c>
      <c r="AT3900" s="3" t="s">
        <v>62</v>
      </c>
      <c r="AU3900" s="6" t="str">
        <f>HYPERLINK("http://catalog.hathitrust.org/Record/000024520","HathiTrust Record")</f>
        <v>HathiTrust Record</v>
      </c>
      <c r="AV3900" s="6" t="str">
        <f>HYPERLINK("http://mcgill.on.worldcat.org/oclc/1058241","Catalog Record")</f>
        <v>Catalog Record</v>
      </c>
      <c r="AW3900" s="6" t="str">
        <f>HYPERLINK("http://www.worldcat.org/oclc/1058241","WorldCat Record")</f>
        <v>WorldCat Record</v>
      </c>
      <c r="AX3900" s="3" t="s">
        <v>33187</v>
      </c>
      <c r="AY3900" s="3" t="s">
        <v>33220</v>
      </c>
      <c r="AZ3900" s="3" t="s">
        <v>33221</v>
      </c>
      <c r="BA3900" s="3" t="s">
        <v>33221</v>
      </c>
      <c r="BB3900" s="3" t="s">
        <v>33222</v>
      </c>
      <c r="BC3900" s="3" t="s">
        <v>82</v>
      </c>
      <c r="BD3900" s="3" t="s">
        <v>70</v>
      </c>
      <c r="BF3900" s="3" t="s">
        <v>33222</v>
      </c>
      <c r="BG3900" s="3" t="s">
        <v>33223</v>
      </c>
    </row>
    <row r="3901" spans="1:59" ht="60" x14ac:dyDescent="0.25">
      <c r="A3901" s="2" t="s">
        <v>59</v>
      </c>
      <c r="B3901" s="2" t="s">
        <v>60</v>
      </c>
      <c r="C3901" s="2" t="s">
        <v>33214</v>
      </c>
      <c r="D3901" s="2" t="s">
        <v>33215</v>
      </c>
      <c r="E3901" s="2" t="s">
        <v>33216</v>
      </c>
      <c r="G3901" s="3" t="s">
        <v>63</v>
      </c>
      <c r="I3901" s="3" t="s">
        <v>62</v>
      </c>
      <c r="J3901" s="3" t="s">
        <v>62</v>
      </c>
      <c r="K3901" s="3" t="s">
        <v>64</v>
      </c>
      <c r="L3901" s="2" t="s">
        <v>33025</v>
      </c>
      <c r="M3901" s="2" t="s">
        <v>33217</v>
      </c>
      <c r="N3901" s="3" t="s">
        <v>1296</v>
      </c>
      <c r="P3901" s="3" t="s">
        <v>66</v>
      </c>
      <c r="R3901" s="3" t="s">
        <v>67</v>
      </c>
      <c r="S3901" s="4">
        <v>11</v>
      </c>
      <c r="T3901" s="4">
        <v>33</v>
      </c>
      <c r="U3901" s="5" t="s">
        <v>33219</v>
      </c>
      <c r="V3901" s="5" t="s">
        <v>33219</v>
      </c>
      <c r="W3901" s="5" t="s">
        <v>69</v>
      </c>
      <c r="X3901" s="5" t="s">
        <v>69</v>
      </c>
      <c r="Y3901" s="4">
        <v>247</v>
      </c>
      <c r="Z3901" s="4">
        <v>14</v>
      </c>
      <c r="AA3901" s="4">
        <v>121</v>
      </c>
      <c r="AB3901" s="4">
        <v>1</v>
      </c>
      <c r="AC3901" s="4">
        <v>10</v>
      </c>
      <c r="AD3901" s="4">
        <v>30</v>
      </c>
      <c r="AE3901" s="4">
        <v>158</v>
      </c>
      <c r="AF3901" s="4">
        <v>0</v>
      </c>
      <c r="AG3901" s="4">
        <v>3</v>
      </c>
      <c r="AH3901" s="4">
        <v>27</v>
      </c>
      <c r="AI3901" s="4">
        <v>114</v>
      </c>
      <c r="AJ3901" s="4">
        <v>3</v>
      </c>
      <c r="AK3901" s="4">
        <v>26</v>
      </c>
      <c r="AL3901" s="4">
        <v>17</v>
      </c>
      <c r="AM3901" s="4">
        <v>61</v>
      </c>
      <c r="AN3901" s="4">
        <v>0</v>
      </c>
      <c r="AO3901" s="4">
        <v>0</v>
      </c>
      <c r="AP3901" s="4">
        <v>5</v>
      </c>
      <c r="AQ3901" s="4">
        <v>50</v>
      </c>
      <c r="AR3901" s="3" t="s">
        <v>63</v>
      </c>
      <c r="AS3901" s="3" t="s">
        <v>63</v>
      </c>
      <c r="AT3901" s="3" t="s">
        <v>62</v>
      </c>
      <c r="AU3901" s="6" t="str">
        <f>HYPERLINK("http://catalog.hathitrust.org/Record/000024520","HathiTrust Record")</f>
        <v>HathiTrust Record</v>
      </c>
      <c r="AV3901" s="6" t="str">
        <f>HYPERLINK("http://mcgill.on.worldcat.org/oclc/1058241","Catalog Record")</f>
        <v>Catalog Record</v>
      </c>
      <c r="AW3901" s="6" t="str">
        <f>HYPERLINK("http://www.worldcat.org/oclc/1058241","WorldCat Record")</f>
        <v>WorldCat Record</v>
      </c>
      <c r="AX3901" s="3" t="s">
        <v>33187</v>
      </c>
      <c r="AY3901" s="3" t="s">
        <v>33220</v>
      </c>
      <c r="AZ3901" s="3" t="s">
        <v>33221</v>
      </c>
      <c r="BA3901" s="3" t="s">
        <v>33221</v>
      </c>
      <c r="BB3901" s="3" t="s">
        <v>33224</v>
      </c>
      <c r="BC3901" s="3" t="s">
        <v>82</v>
      </c>
      <c r="BD3901" s="3" t="s">
        <v>70</v>
      </c>
      <c r="BF3901" s="3" t="s">
        <v>33224</v>
      </c>
      <c r="BG3901" s="3" t="s">
        <v>33225</v>
      </c>
    </row>
    <row r="3902" spans="1:59" ht="60" x14ac:dyDescent="0.25">
      <c r="A3902" s="2" t="s">
        <v>59</v>
      </c>
      <c r="B3902" s="2" t="s">
        <v>60</v>
      </c>
      <c r="C3902" s="2" t="s">
        <v>33226</v>
      </c>
      <c r="D3902" s="2" t="s">
        <v>33227</v>
      </c>
      <c r="E3902" s="2" t="s">
        <v>33228</v>
      </c>
      <c r="G3902" s="3" t="s">
        <v>63</v>
      </c>
      <c r="I3902" s="3" t="s">
        <v>63</v>
      </c>
      <c r="J3902" s="3" t="s">
        <v>63</v>
      </c>
      <c r="K3902" s="3" t="s">
        <v>64</v>
      </c>
      <c r="L3902" s="2" t="s">
        <v>33037</v>
      </c>
      <c r="M3902" s="2" t="s">
        <v>33229</v>
      </c>
      <c r="N3902" s="3" t="s">
        <v>287</v>
      </c>
      <c r="O3902" s="2" t="s">
        <v>33230</v>
      </c>
      <c r="P3902" s="3" t="s">
        <v>66</v>
      </c>
      <c r="Q3902" s="2" t="s">
        <v>33231</v>
      </c>
      <c r="R3902" s="3" t="s">
        <v>67</v>
      </c>
      <c r="S3902" s="4">
        <v>0</v>
      </c>
      <c r="T3902" s="4">
        <v>0</v>
      </c>
      <c r="W3902" s="5" t="s">
        <v>69</v>
      </c>
      <c r="X3902" s="5" t="s">
        <v>69</v>
      </c>
      <c r="Y3902" s="4">
        <v>209</v>
      </c>
      <c r="Z3902" s="4">
        <v>5</v>
      </c>
      <c r="AA3902" s="4">
        <v>13</v>
      </c>
      <c r="AB3902" s="4">
        <v>1</v>
      </c>
      <c r="AC3902" s="4">
        <v>4</v>
      </c>
      <c r="AD3902" s="4">
        <v>36</v>
      </c>
      <c r="AE3902" s="4">
        <v>54</v>
      </c>
      <c r="AF3902" s="4">
        <v>0</v>
      </c>
      <c r="AG3902" s="4">
        <v>1</v>
      </c>
      <c r="AH3902" s="4">
        <v>34</v>
      </c>
      <c r="AI3902" s="4">
        <v>49</v>
      </c>
      <c r="AJ3902" s="4">
        <v>2</v>
      </c>
      <c r="AK3902" s="4">
        <v>7</v>
      </c>
      <c r="AL3902" s="4">
        <v>20</v>
      </c>
      <c r="AM3902" s="4">
        <v>31</v>
      </c>
      <c r="AN3902" s="4">
        <v>0</v>
      </c>
      <c r="AO3902" s="4">
        <v>0</v>
      </c>
      <c r="AP3902" s="4">
        <v>2</v>
      </c>
      <c r="AQ3902" s="4">
        <v>7</v>
      </c>
      <c r="AR3902" s="3" t="s">
        <v>63</v>
      </c>
      <c r="AS3902" s="3" t="s">
        <v>63</v>
      </c>
      <c r="AT3902" s="3" t="s">
        <v>63</v>
      </c>
      <c r="AV3902" s="6" t="str">
        <f>HYPERLINK("http://mcgill.on.worldcat.org/oclc/1050455463","Catalog Record")</f>
        <v>Catalog Record</v>
      </c>
      <c r="AW3902" s="6" t="str">
        <f>HYPERLINK("http://www.worldcat.org/oclc/1050455463","WorldCat Record")</f>
        <v>WorldCat Record</v>
      </c>
      <c r="AX3902" s="3" t="s">
        <v>33232</v>
      </c>
      <c r="AY3902" s="3" t="s">
        <v>33233</v>
      </c>
      <c r="AZ3902" s="3" t="s">
        <v>33234</v>
      </c>
      <c r="BA3902" s="3" t="s">
        <v>33234</v>
      </c>
      <c r="BB3902" s="3" t="s">
        <v>33235</v>
      </c>
      <c r="BC3902" s="3" t="s">
        <v>82</v>
      </c>
      <c r="BD3902" s="3" t="s">
        <v>70</v>
      </c>
      <c r="BE3902" s="3" t="s">
        <v>33236</v>
      </c>
      <c r="BF3902" s="3" t="s">
        <v>33235</v>
      </c>
      <c r="BG3902" s="3" t="s">
        <v>33237</v>
      </c>
    </row>
    <row r="3903" spans="1:59" ht="75" x14ac:dyDescent="0.25">
      <c r="A3903" s="2" t="s">
        <v>59</v>
      </c>
      <c r="B3903" s="2" t="s">
        <v>60</v>
      </c>
      <c r="C3903" s="2" t="s">
        <v>33238</v>
      </c>
      <c r="D3903" s="2" t="s">
        <v>33239</v>
      </c>
      <c r="E3903" s="2" t="s">
        <v>33240</v>
      </c>
      <c r="G3903" s="3" t="s">
        <v>63</v>
      </c>
      <c r="I3903" s="3" t="s">
        <v>62</v>
      </c>
      <c r="J3903" s="3" t="s">
        <v>63</v>
      </c>
      <c r="K3903" s="3" t="s">
        <v>64</v>
      </c>
      <c r="L3903" s="2" t="s">
        <v>33025</v>
      </c>
      <c r="M3903" s="2" t="s">
        <v>31086</v>
      </c>
      <c r="N3903" s="3" t="s">
        <v>2951</v>
      </c>
      <c r="O3903" s="2" t="s">
        <v>33241</v>
      </c>
      <c r="P3903" s="3" t="s">
        <v>66</v>
      </c>
      <c r="R3903" s="3" t="s">
        <v>67</v>
      </c>
      <c r="S3903" s="4">
        <v>13</v>
      </c>
      <c r="T3903" s="4">
        <v>25</v>
      </c>
      <c r="U3903" s="5" t="s">
        <v>17192</v>
      </c>
      <c r="V3903" s="5" t="s">
        <v>17192</v>
      </c>
      <c r="W3903" s="5" t="s">
        <v>415</v>
      </c>
      <c r="X3903" s="5" t="s">
        <v>415</v>
      </c>
      <c r="Y3903" s="4">
        <v>1814</v>
      </c>
      <c r="Z3903" s="4">
        <v>59</v>
      </c>
      <c r="AA3903" s="4">
        <v>66</v>
      </c>
      <c r="AB3903" s="4">
        <v>3</v>
      </c>
      <c r="AC3903" s="4">
        <v>3</v>
      </c>
      <c r="AD3903" s="4">
        <v>130</v>
      </c>
      <c r="AE3903" s="4">
        <v>135</v>
      </c>
      <c r="AF3903" s="4">
        <v>1</v>
      </c>
      <c r="AG3903" s="4">
        <v>1</v>
      </c>
      <c r="AH3903" s="4">
        <v>104</v>
      </c>
      <c r="AI3903" s="4">
        <v>107</v>
      </c>
      <c r="AJ3903" s="4">
        <v>18</v>
      </c>
      <c r="AK3903" s="4">
        <v>20</v>
      </c>
      <c r="AL3903" s="4">
        <v>57</v>
      </c>
      <c r="AM3903" s="4">
        <v>58</v>
      </c>
      <c r="AN3903" s="4">
        <v>0</v>
      </c>
      <c r="AO3903" s="4">
        <v>0</v>
      </c>
      <c r="AP3903" s="4">
        <v>27</v>
      </c>
      <c r="AQ3903" s="4">
        <v>30</v>
      </c>
      <c r="AR3903" s="3" t="s">
        <v>63</v>
      </c>
      <c r="AS3903" s="3" t="s">
        <v>63</v>
      </c>
      <c r="AT3903" s="3" t="s">
        <v>62</v>
      </c>
      <c r="AU3903" s="6" t="str">
        <f>HYPERLINK("http://catalog.hathitrust.org/Record/000704193","HathiTrust Record")</f>
        <v>HathiTrust Record</v>
      </c>
      <c r="AV3903" s="6" t="str">
        <f>HYPERLINK("http://mcgill.on.worldcat.org/oclc/5829936","Catalog Record")</f>
        <v>Catalog Record</v>
      </c>
      <c r="AW3903" s="6" t="str">
        <f>HYPERLINK("http://www.worldcat.org/oclc/5829936","WorldCat Record")</f>
        <v>WorldCat Record</v>
      </c>
      <c r="AX3903" s="3" t="s">
        <v>33242</v>
      </c>
      <c r="AY3903" s="3" t="s">
        <v>33243</v>
      </c>
      <c r="AZ3903" s="3" t="s">
        <v>33244</v>
      </c>
      <c r="BA3903" s="3" t="s">
        <v>33244</v>
      </c>
      <c r="BB3903" s="3" t="s">
        <v>33245</v>
      </c>
      <c r="BC3903" s="3" t="s">
        <v>82</v>
      </c>
      <c r="BD3903" s="3" t="s">
        <v>70</v>
      </c>
      <c r="BE3903" s="3" t="s">
        <v>33246</v>
      </c>
      <c r="BF3903" s="3" t="s">
        <v>33245</v>
      </c>
      <c r="BG3903" s="3" t="s">
        <v>33247</v>
      </c>
    </row>
    <row r="3904" spans="1:59" ht="75" x14ac:dyDescent="0.25">
      <c r="A3904" s="2" t="s">
        <v>59</v>
      </c>
      <c r="B3904" s="2" t="s">
        <v>60</v>
      </c>
      <c r="C3904" s="2" t="s">
        <v>33238</v>
      </c>
      <c r="D3904" s="2" t="s">
        <v>33239</v>
      </c>
      <c r="E3904" s="2" t="s">
        <v>33240</v>
      </c>
      <c r="G3904" s="3" t="s">
        <v>63</v>
      </c>
      <c r="I3904" s="3" t="s">
        <v>62</v>
      </c>
      <c r="J3904" s="3" t="s">
        <v>63</v>
      </c>
      <c r="K3904" s="3" t="s">
        <v>64</v>
      </c>
      <c r="L3904" s="2" t="s">
        <v>33025</v>
      </c>
      <c r="M3904" s="2" t="s">
        <v>31086</v>
      </c>
      <c r="N3904" s="3" t="s">
        <v>2951</v>
      </c>
      <c r="O3904" s="2" t="s">
        <v>33241</v>
      </c>
      <c r="P3904" s="3" t="s">
        <v>66</v>
      </c>
      <c r="R3904" s="3" t="s">
        <v>67</v>
      </c>
      <c r="S3904" s="4">
        <v>12</v>
      </c>
      <c r="T3904" s="4">
        <v>25</v>
      </c>
      <c r="U3904" s="5" t="s">
        <v>7777</v>
      </c>
      <c r="V3904" s="5" t="s">
        <v>17192</v>
      </c>
      <c r="W3904" s="5" t="s">
        <v>415</v>
      </c>
      <c r="X3904" s="5" t="s">
        <v>415</v>
      </c>
      <c r="Y3904" s="4">
        <v>1814</v>
      </c>
      <c r="Z3904" s="4">
        <v>59</v>
      </c>
      <c r="AA3904" s="4">
        <v>66</v>
      </c>
      <c r="AB3904" s="4">
        <v>3</v>
      </c>
      <c r="AC3904" s="4">
        <v>3</v>
      </c>
      <c r="AD3904" s="4">
        <v>130</v>
      </c>
      <c r="AE3904" s="4">
        <v>135</v>
      </c>
      <c r="AF3904" s="4">
        <v>1</v>
      </c>
      <c r="AG3904" s="4">
        <v>1</v>
      </c>
      <c r="AH3904" s="4">
        <v>104</v>
      </c>
      <c r="AI3904" s="4">
        <v>107</v>
      </c>
      <c r="AJ3904" s="4">
        <v>18</v>
      </c>
      <c r="AK3904" s="4">
        <v>20</v>
      </c>
      <c r="AL3904" s="4">
        <v>57</v>
      </c>
      <c r="AM3904" s="4">
        <v>58</v>
      </c>
      <c r="AN3904" s="4">
        <v>0</v>
      </c>
      <c r="AO3904" s="4">
        <v>0</v>
      </c>
      <c r="AP3904" s="4">
        <v>27</v>
      </c>
      <c r="AQ3904" s="4">
        <v>30</v>
      </c>
      <c r="AR3904" s="3" t="s">
        <v>63</v>
      </c>
      <c r="AS3904" s="3" t="s">
        <v>63</v>
      </c>
      <c r="AT3904" s="3" t="s">
        <v>62</v>
      </c>
      <c r="AU3904" s="6" t="str">
        <f>HYPERLINK("http://catalog.hathitrust.org/Record/000704193","HathiTrust Record")</f>
        <v>HathiTrust Record</v>
      </c>
      <c r="AV3904" s="6" t="str">
        <f>HYPERLINK("http://mcgill.on.worldcat.org/oclc/5829936","Catalog Record")</f>
        <v>Catalog Record</v>
      </c>
      <c r="AW3904" s="6" t="str">
        <f>HYPERLINK("http://www.worldcat.org/oclc/5829936","WorldCat Record")</f>
        <v>WorldCat Record</v>
      </c>
      <c r="AX3904" s="3" t="s">
        <v>33242</v>
      </c>
      <c r="AY3904" s="3" t="s">
        <v>33243</v>
      </c>
      <c r="AZ3904" s="3" t="s">
        <v>33244</v>
      </c>
      <c r="BA3904" s="3" t="s">
        <v>33244</v>
      </c>
      <c r="BB3904" s="3" t="s">
        <v>33248</v>
      </c>
      <c r="BC3904" s="3" t="s">
        <v>82</v>
      </c>
      <c r="BD3904" s="3" t="s">
        <v>70</v>
      </c>
      <c r="BE3904" s="3" t="s">
        <v>33246</v>
      </c>
      <c r="BF3904" s="3" t="s">
        <v>33248</v>
      </c>
      <c r="BG3904" s="3" t="s">
        <v>33249</v>
      </c>
    </row>
    <row r="3905" spans="1:59" ht="105" x14ac:dyDescent="0.25">
      <c r="A3905" s="2" t="s">
        <v>59</v>
      </c>
      <c r="B3905" s="2" t="s">
        <v>60</v>
      </c>
      <c r="C3905" s="2" t="s">
        <v>33250</v>
      </c>
      <c r="D3905" s="2" t="s">
        <v>33251</v>
      </c>
      <c r="E3905" s="2" t="s">
        <v>33252</v>
      </c>
      <c r="G3905" s="3" t="s">
        <v>63</v>
      </c>
      <c r="I3905" s="3" t="s">
        <v>63</v>
      </c>
      <c r="J3905" s="3" t="s">
        <v>63</v>
      </c>
      <c r="K3905" s="3" t="s">
        <v>64</v>
      </c>
      <c r="L3905" s="2" t="s">
        <v>33253</v>
      </c>
      <c r="M3905" s="2" t="s">
        <v>33254</v>
      </c>
      <c r="N3905" s="3" t="s">
        <v>143</v>
      </c>
      <c r="P3905" s="3" t="s">
        <v>66</v>
      </c>
      <c r="Q3905" s="2" t="s">
        <v>33255</v>
      </c>
      <c r="R3905" s="3" t="s">
        <v>67</v>
      </c>
      <c r="S3905" s="4">
        <v>1</v>
      </c>
      <c r="T3905" s="4">
        <v>1</v>
      </c>
      <c r="U3905" s="5" t="s">
        <v>18375</v>
      </c>
      <c r="V3905" s="5" t="s">
        <v>18375</v>
      </c>
      <c r="W3905" s="5" t="s">
        <v>69</v>
      </c>
      <c r="X3905" s="5" t="s">
        <v>69</v>
      </c>
      <c r="Y3905" s="4">
        <v>109</v>
      </c>
      <c r="Z3905" s="4">
        <v>12</v>
      </c>
      <c r="AA3905" s="4">
        <v>27</v>
      </c>
      <c r="AB3905" s="4">
        <v>1</v>
      </c>
      <c r="AC3905" s="4">
        <v>3</v>
      </c>
      <c r="AD3905" s="4">
        <v>57</v>
      </c>
      <c r="AE3905" s="4">
        <v>81</v>
      </c>
      <c r="AF3905" s="4">
        <v>0</v>
      </c>
      <c r="AG3905" s="4">
        <v>0</v>
      </c>
      <c r="AH3905" s="4">
        <v>53</v>
      </c>
      <c r="AI3905" s="4">
        <v>70</v>
      </c>
      <c r="AJ3905" s="4">
        <v>9</v>
      </c>
      <c r="AK3905" s="4">
        <v>10</v>
      </c>
      <c r="AL3905" s="4">
        <v>36</v>
      </c>
      <c r="AM3905" s="4">
        <v>43</v>
      </c>
      <c r="AN3905" s="4">
        <v>0</v>
      </c>
      <c r="AO3905" s="4">
        <v>0</v>
      </c>
      <c r="AP3905" s="4">
        <v>9</v>
      </c>
      <c r="AQ3905" s="4">
        <v>17</v>
      </c>
      <c r="AR3905" s="3" t="s">
        <v>63</v>
      </c>
      <c r="AS3905" s="3" t="s">
        <v>63</v>
      </c>
      <c r="AT3905" s="3" t="s">
        <v>63</v>
      </c>
      <c r="AV3905" s="6" t="str">
        <f>HYPERLINK("http://mcgill.on.worldcat.org/oclc/880566041","Catalog Record")</f>
        <v>Catalog Record</v>
      </c>
      <c r="AW3905" s="6" t="str">
        <f>HYPERLINK("http://www.worldcat.org/oclc/880566041","WorldCat Record")</f>
        <v>WorldCat Record</v>
      </c>
      <c r="AX3905" s="3" t="s">
        <v>33256</v>
      </c>
      <c r="AY3905" s="3" t="s">
        <v>33257</v>
      </c>
      <c r="AZ3905" s="3" t="s">
        <v>33258</v>
      </c>
      <c r="BA3905" s="3" t="s">
        <v>33258</v>
      </c>
      <c r="BB3905" s="3" t="s">
        <v>33259</v>
      </c>
      <c r="BC3905" s="3" t="s">
        <v>82</v>
      </c>
      <c r="BD3905" s="3" t="s">
        <v>70</v>
      </c>
      <c r="BE3905" s="3" t="s">
        <v>33260</v>
      </c>
      <c r="BF3905" s="3" t="s">
        <v>33259</v>
      </c>
      <c r="BG3905" s="3" t="s">
        <v>33261</v>
      </c>
    </row>
    <row r="3906" spans="1:59" ht="60" x14ac:dyDescent="0.25">
      <c r="A3906" s="2" t="s">
        <v>59</v>
      </c>
      <c r="B3906" s="2" t="s">
        <v>60</v>
      </c>
      <c r="C3906" s="2" t="s">
        <v>33262</v>
      </c>
      <c r="D3906" s="2" t="s">
        <v>33263</v>
      </c>
      <c r="E3906" s="2" t="s">
        <v>33264</v>
      </c>
      <c r="G3906" s="3" t="s">
        <v>63</v>
      </c>
      <c r="I3906" s="3" t="s">
        <v>63</v>
      </c>
      <c r="J3906" s="3" t="s">
        <v>63</v>
      </c>
      <c r="K3906" s="3" t="s">
        <v>64</v>
      </c>
      <c r="L3906" s="2" t="s">
        <v>33265</v>
      </c>
      <c r="M3906" s="2" t="s">
        <v>33266</v>
      </c>
      <c r="N3906" s="3" t="s">
        <v>313</v>
      </c>
      <c r="P3906" s="3" t="s">
        <v>90</v>
      </c>
      <c r="Q3906" s="2" t="s">
        <v>33267</v>
      </c>
      <c r="R3906" s="3" t="s">
        <v>67</v>
      </c>
      <c r="S3906" s="4">
        <v>4</v>
      </c>
      <c r="T3906" s="4">
        <v>4</v>
      </c>
      <c r="U3906" s="5" t="s">
        <v>33268</v>
      </c>
      <c r="V3906" s="5" t="s">
        <v>33268</v>
      </c>
      <c r="W3906" s="5" t="s">
        <v>69</v>
      </c>
      <c r="X3906" s="5" t="s">
        <v>69</v>
      </c>
      <c r="Y3906" s="4">
        <v>12</v>
      </c>
      <c r="Z3906" s="4">
        <v>1</v>
      </c>
      <c r="AA3906" s="4">
        <v>5</v>
      </c>
      <c r="AB3906" s="4">
        <v>1</v>
      </c>
      <c r="AC3906" s="4">
        <v>1</v>
      </c>
      <c r="AD3906" s="4">
        <v>2</v>
      </c>
      <c r="AE3906" s="4">
        <v>23</v>
      </c>
      <c r="AF3906" s="4">
        <v>0</v>
      </c>
      <c r="AG3906" s="4">
        <v>0</v>
      </c>
      <c r="AH3906" s="4">
        <v>2</v>
      </c>
      <c r="AI3906" s="4">
        <v>23</v>
      </c>
      <c r="AJ3906" s="4">
        <v>0</v>
      </c>
      <c r="AK3906" s="4">
        <v>3</v>
      </c>
      <c r="AL3906" s="4">
        <v>0</v>
      </c>
      <c r="AM3906" s="4">
        <v>15</v>
      </c>
      <c r="AN3906" s="4">
        <v>0</v>
      </c>
      <c r="AO3906" s="4">
        <v>0</v>
      </c>
      <c r="AP3906" s="4">
        <v>0</v>
      </c>
      <c r="AQ3906" s="4">
        <v>3</v>
      </c>
      <c r="AR3906" s="3" t="s">
        <v>63</v>
      </c>
      <c r="AS3906" s="3" t="s">
        <v>63</v>
      </c>
      <c r="AT3906" s="3" t="s">
        <v>63</v>
      </c>
      <c r="AV3906" s="6" t="str">
        <f>HYPERLINK("http://mcgill.on.worldcat.org/oclc/639036109","Catalog Record")</f>
        <v>Catalog Record</v>
      </c>
      <c r="AW3906" s="6" t="str">
        <f>HYPERLINK("http://www.worldcat.org/oclc/639036109","WorldCat Record")</f>
        <v>WorldCat Record</v>
      </c>
      <c r="AX3906" s="3" t="s">
        <v>33269</v>
      </c>
      <c r="AY3906" s="3" t="s">
        <v>33270</v>
      </c>
      <c r="AZ3906" s="3" t="s">
        <v>33271</v>
      </c>
      <c r="BA3906" s="3" t="s">
        <v>33271</v>
      </c>
      <c r="BB3906" s="3" t="s">
        <v>33272</v>
      </c>
      <c r="BC3906" s="3" t="s">
        <v>82</v>
      </c>
      <c r="BD3906" s="3" t="s">
        <v>70</v>
      </c>
      <c r="BE3906" s="3" t="s">
        <v>33273</v>
      </c>
      <c r="BF3906" s="3" t="s">
        <v>33272</v>
      </c>
      <c r="BG3906" s="3" t="s">
        <v>33274</v>
      </c>
    </row>
    <row r="3907" spans="1:59" ht="60" x14ac:dyDescent="0.25">
      <c r="A3907" s="2" t="s">
        <v>59</v>
      </c>
      <c r="B3907" s="2" t="s">
        <v>60</v>
      </c>
      <c r="C3907" s="2" t="s">
        <v>33275</v>
      </c>
      <c r="D3907" s="2" t="s">
        <v>33276</v>
      </c>
      <c r="E3907" s="2" t="s">
        <v>33277</v>
      </c>
      <c r="G3907" s="3" t="s">
        <v>63</v>
      </c>
      <c r="I3907" s="3" t="s">
        <v>62</v>
      </c>
      <c r="J3907" s="3" t="s">
        <v>63</v>
      </c>
      <c r="K3907" s="3" t="s">
        <v>64</v>
      </c>
      <c r="L3907" s="2" t="s">
        <v>33278</v>
      </c>
      <c r="M3907" s="2" t="s">
        <v>33279</v>
      </c>
      <c r="N3907" s="3" t="s">
        <v>731</v>
      </c>
      <c r="O3907" s="2" t="s">
        <v>744</v>
      </c>
      <c r="P3907" s="3" t="s">
        <v>66</v>
      </c>
      <c r="R3907" s="3" t="s">
        <v>67</v>
      </c>
      <c r="S3907" s="4">
        <v>10</v>
      </c>
      <c r="T3907" s="4">
        <v>30</v>
      </c>
      <c r="U3907" s="5" t="s">
        <v>33280</v>
      </c>
      <c r="V3907" s="5" t="s">
        <v>18375</v>
      </c>
      <c r="W3907" s="5" t="s">
        <v>69</v>
      </c>
      <c r="X3907" s="5" t="s">
        <v>69</v>
      </c>
      <c r="Y3907" s="4">
        <v>579</v>
      </c>
      <c r="Z3907" s="4">
        <v>23</v>
      </c>
      <c r="AA3907" s="4">
        <v>23</v>
      </c>
      <c r="AB3907" s="4">
        <v>1</v>
      </c>
      <c r="AC3907" s="4">
        <v>1</v>
      </c>
      <c r="AD3907" s="4">
        <v>81</v>
      </c>
      <c r="AE3907" s="4">
        <v>81</v>
      </c>
      <c r="AF3907" s="4">
        <v>0</v>
      </c>
      <c r="AG3907" s="4">
        <v>0</v>
      </c>
      <c r="AH3907" s="4">
        <v>75</v>
      </c>
      <c r="AI3907" s="4">
        <v>75</v>
      </c>
      <c r="AJ3907" s="4">
        <v>13</v>
      </c>
      <c r="AK3907" s="4">
        <v>13</v>
      </c>
      <c r="AL3907" s="4">
        <v>40</v>
      </c>
      <c r="AM3907" s="4">
        <v>40</v>
      </c>
      <c r="AN3907" s="4">
        <v>0</v>
      </c>
      <c r="AO3907" s="4">
        <v>0</v>
      </c>
      <c r="AP3907" s="4">
        <v>14</v>
      </c>
      <c r="AQ3907" s="4">
        <v>14</v>
      </c>
      <c r="AR3907" s="3" t="s">
        <v>63</v>
      </c>
      <c r="AS3907" s="3" t="s">
        <v>63</v>
      </c>
      <c r="AT3907" s="3" t="s">
        <v>62</v>
      </c>
      <c r="AU3907" s="6" t="str">
        <f>HYPERLINK("http://catalog.hathitrust.org/Record/005144292","HathiTrust Record")</f>
        <v>HathiTrust Record</v>
      </c>
      <c r="AV3907" s="6" t="str">
        <f>HYPERLINK("http://mcgill.on.worldcat.org/oclc/1176760","Catalog Record")</f>
        <v>Catalog Record</v>
      </c>
      <c r="AW3907" s="6" t="str">
        <f>HYPERLINK("http://www.worldcat.org/oclc/1176760","WorldCat Record")</f>
        <v>WorldCat Record</v>
      </c>
      <c r="AX3907" s="3" t="s">
        <v>33281</v>
      </c>
      <c r="AY3907" s="3" t="s">
        <v>33282</v>
      </c>
      <c r="AZ3907" s="3" t="s">
        <v>33283</v>
      </c>
      <c r="BA3907" s="3" t="s">
        <v>33283</v>
      </c>
      <c r="BB3907" s="3" t="s">
        <v>33284</v>
      </c>
      <c r="BC3907" s="3" t="s">
        <v>82</v>
      </c>
      <c r="BD3907" s="3" t="s">
        <v>70</v>
      </c>
      <c r="BE3907" s="3" t="s">
        <v>33285</v>
      </c>
      <c r="BF3907" s="3" t="s">
        <v>33284</v>
      </c>
      <c r="BG3907" s="3" t="s">
        <v>33286</v>
      </c>
    </row>
    <row r="3908" spans="1:59" ht="60" x14ac:dyDescent="0.25">
      <c r="A3908" s="2" t="s">
        <v>59</v>
      </c>
      <c r="B3908" s="2" t="s">
        <v>60</v>
      </c>
      <c r="C3908" s="2" t="s">
        <v>33275</v>
      </c>
      <c r="D3908" s="2" t="s">
        <v>33276</v>
      </c>
      <c r="E3908" s="2" t="s">
        <v>33277</v>
      </c>
      <c r="G3908" s="3" t="s">
        <v>63</v>
      </c>
      <c r="I3908" s="3" t="s">
        <v>62</v>
      </c>
      <c r="J3908" s="3" t="s">
        <v>63</v>
      </c>
      <c r="K3908" s="3" t="s">
        <v>64</v>
      </c>
      <c r="L3908" s="2" t="s">
        <v>33278</v>
      </c>
      <c r="M3908" s="2" t="s">
        <v>33279</v>
      </c>
      <c r="N3908" s="3" t="s">
        <v>731</v>
      </c>
      <c r="O3908" s="2" t="s">
        <v>744</v>
      </c>
      <c r="P3908" s="3" t="s">
        <v>66</v>
      </c>
      <c r="R3908" s="3" t="s">
        <v>67</v>
      </c>
      <c r="S3908" s="4">
        <v>20</v>
      </c>
      <c r="T3908" s="4">
        <v>30</v>
      </c>
      <c r="U3908" s="5" t="s">
        <v>18375</v>
      </c>
      <c r="V3908" s="5" t="s">
        <v>18375</v>
      </c>
      <c r="W3908" s="5" t="s">
        <v>69</v>
      </c>
      <c r="X3908" s="5" t="s">
        <v>69</v>
      </c>
      <c r="Y3908" s="4">
        <v>579</v>
      </c>
      <c r="Z3908" s="4">
        <v>23</v>
      </c>
      <c r="AA3908" s="4">
        <v>23</v>
      </c>
      <c r="AB3908" s="4">
        <v>1</v>
      </c>
      <c r="AC3908" s="4">
        <v>1</v>
      </c>
      <c r="AD3908" s="4">
        <v>81</v>
      </c>
      <c r="AE3908" s="4">
        <v>81</v>
      </c>
      <c r="AF3908" s="4">
        <v>0</v>
      </c>
      <c r="AG3908" s="4">
        <v>0</v>
      </c>
      <c r="AH3908" s="4">
        <v>75</v>
      </c>
      <c r="AI3908" s="4">
        <v>75</v>
      </c>
      <c r="AJ3908" s="4">
        <v>13</v>
      </c>
      <c r="AK3908" s="4">
        <v>13</v>
      </c>
      <c r="AL3908" s="4">
        <v>40</v>
      </c>
      <c r="AM3908" s="4">
        <v>40</v>
      </c>
      <c r="AN3908" s="4">
        <v>0</v>
      </c>
      <c r="AO3908" s="4">
        <v>0</v>
      </c>
      <c r="AP3908" s="4">
        <v>14</v>
      </c>
      <c r="AQ3908" s="4">
        <v>14</v>
      </c>
      <c r="AR3908" s="3" t="s">
        <v>63</v>
      </c>
      <c r="AS3908" s="3" t="s">
        <v>63</v>
      </c>
      <c r="AT3908" s="3" t="s">
        <v>62</v>
      </c>
      <c r="AU3908" s="6" t="str">
        <f>HYPERLINK("http://catalog.hathitrust.org/Record/005144292","HathiTrust Record")</f>
        <v>HathiTrust Record</v>
      </c>
      <c r="AV3908" s="6" t="str">
        <f>HYPERLINK("http://mcgill.on.worldcat.org/oclc/1176760","Catalog Record")</f>
        <v>Catalog Record</v>
      </c>
      <c r="AW3908" s="6" t="str">
        <f>HYPERLINK("http://www.worldcat.org/oclc/1176760","WorldCat Record")</f>
        <v>WorldCat Record</v>
      </c>
      <c r="AX3908" s="3" t="s">
        <v>33281</v>
      </c>
      <c r="AY3908" s="3" t="s">
        <v>33282</v>
      </c>
      <c r="AZ3908" s="3" t="s">
        <v>33283</v>
      </c>
      <c r="BA3908" s="3" t="s">
        <v>33283</v>
      </c>
      <c r="BB3908" s="3" t="s">
        <v>33287</v>
      </c>
      <c r="BC3908" s="3" t="s">
        <v>82</v>
      </c>
      <c r="BD3908" s="3" t="s">
        <v>70</v>
      </c>
      <c r="BE3908" s="3" t="s">
        <v>33285</v>
      </c>
      <c r="BF3908" s="3" t="s">
        <v>33287</v>
      </c>
      <c r="BG3908" s="3" t="s">
        <v>33288</v>
      </c>
    </row>
    <row r="3909" spans="1:59" ht="60" x14ac:dyDescent="0.25">
      <c r="A3909" s="2" t="s">
        <v>59</v>
      </c>
      <c r="B3909" s="2" t="s">
        <v>60</v>
      </c>
      <c r="C3909" s="2" t="s">
        <v>33289</v>
      </c>
      <c r="D3909" s="2" t="s">
        <v>33290</v>
      </c>
      <c r="E3909" s="2" t="s">
        <v>33291</v>
      </c>
      <c r="G3909" s="3" t="s">
        <v>63</v>
      </c>
      <c r="I3909" s="3" t="s">
        <v>63</v>
      </c>
      <c r="J3909" s="3" t="s">
        <v>63</v>
      </c>
      <c r="K3909" s="3" t="s">
        <v>64</v>
      </c>
      <c r="L3909" s="2" t="s">
        <v>33292</v>
      </c>
      <c r="M3909" s="2" t="s">
        <v>33293</v>
      </c>
      <c r="N3909" s="3" t="s">
        <v>693</v>
      </c>
      <c r="P3909" s="3" t="s">
        <v>90</v>
      </c>
      <c r="Q3909" s="2" t="s">
        <v>33294</v>
      </c>
      <c r="R3909" s="3" t="s">
        <v>67</v>
      </c>
      <c r="S3909" s="4">
        <v>5</v>
      </c>
      <c r="T3909" s="4">
        <v>5</v>
      </c>
      <c r="U3909" s="5" t="s">
        <v>988</v>
      </c>
      <c r="V3909" s="5" t="s">
        <v>988</v>
      </c>
      <c r="W3909" s="5" t="s">
        <v>69</v>
      </c>
      <c r="X3909" s="5" t="s">
        <v>69</v>
      </c>
      <c r="Y3909" s="4">
        <v>54</v>
      </c>
      <c r="Z3909" s="4">
        <v>5</v>
      </c>
      <c r="AA3909" s="4">
        <v>5</v>
      </c>
      <c r="AB3909" s="4">
        <v>1</v>
      </c>
      <c r="AC3909" s="4">
        <v>1</v>
      </c>
      <c r="AD3909" s="4">
        <v>37</v>
      </c>
      <c r="AE3909" s="4">
        <v>37</v>
      </c>
      <c r="AF3909" s="4">
        <v>0</v>
      </c>
      <c r="AG3909" s="4">
        <v>0</v>
      </c>
      <c r="AH3909" s="4">
        <v>36</v>
      </c>
      <c r="AI3909" s="4">
        <v>36</v>
      </c>
      <c r="AJ3909" s="4">
        <v>3</v>
      </c>
      <c r="AK3909" s="4">
        <v>3</v>
      </c>
      <c r="AL3909" s="4">
        <v>28</v>
      </c>
      <c r="AM3909" s="4">
        <v>28</v>
      </c>
      <c r="AN3909" s="4">
        <v>0</v>
      </c>
      <c r="AO3909" s="4">
        <v>0</v>
      </c>
      <c r="AP3909" s="4">
        <v>3</v>
      </c>
      <c r="AQ3909" s="4">
        <v>3</v>
      </c>
      <c r="AR3909" s="3" t="s">
        <v>63</v>
      </c>
      <c r="AS3909" s="3" t="s">
        <v>63</v>
      </c>
      <c r="AT3909" s="3" t="s">
        <v>63</v>
      </c>
      <c r="AV3909" s="6" t="str">
        <f>HYPERLINK("http://mcgill.on.worldcat.org/oclc/57232824","Catalog Record")</f>
        <v>Catalog Record</v>
      </c>
      <c r="AW3909" s="6" t="str">
        <f>HYPERLINK("http://www.worldcat.org/oclc/57232824","WorldCat Record")</f>
        <v>WorldCat Record</v>
      </c>
      <c r="AX3909" s="3" t="s">
        <v>33295</v>
      </c>
      <c r="AY3909" s="3" t="s">
        <v>33296</v>
      </c>
      <c r="AZ3909" s="3" t="s">
        <v>33297</v>
      </c>
      <c r="BA3909" s="3" t="s">
        <v>33297</v>
      </c>
      <c r="BB3909" s="3" t="s">
        <v>33298</v>
      </c>
      <c r="BC3909" s="3" t="s">
        <v>82</v>
      </c>
      <c r="BD3909" s="3" t="s">
        <v>70</v>
      </c>
      <c r="BE3909" s="3" t="s">
        <v>33299</v>
      </c>
      <c r="BF3909" s="3" t="s">
        <v>33298</v>
      </c>
      <c r="BG3909" s="3" t="s">
        <v>33300</v>
      </c>
    </row>
    <row r="3910" spans="1:59" ht="60" x14ac:dyDescent="0.25">
      <c r="A3910" s="2" t="s">
        <v>59</v>
      </c>
      <c r="B3910" s="2" t="s">
        <v>60</v>
      </c>
      <c r="C3910" s="2" t="s">
        <v>33301</v>
      </c>
      <c r="D3910" s="2" t="s">
        <v>33302</v>
      </c>
      <c r="E3910" s="2" t="s">
        <v>33303</v>
      </c>
      <c r="G3910" s="3" t="s">
        <v>63</v>
      </c>
      <c r="I3910" s="3" t="s">
        <v>63</v>
      </c>
      <c r="J3910" s="3" t="s">
        <v>63</v>
      </c>
      <c r="K3910" s="3" t="s">
        <v>64</v>
      </c>
      <c r="M3910" s="2" t="s">
        <v>33304</v>
      </c>
      <c r="N3910" s="3" t="s">
        <v>468</v>
      </c>
      <c r="P3910" s="3" t="s">
        <v>66</v>
      </c>
      <c r="Q3910" s="2" t="s">
        <v>18568</v>
      </c>
      <c r="R3910" s="3" t="s">
        <v>67</v>
      </c>
      <c r="S3910" s="4">
        <v>12</v>
      </c>
      <c r="T3910" s="4">
        <v>12</v>
      </c>
      <c r="U3910" s="5" t="s">
        <v>33305</v>
      </c>
      <c r="V3910" s="5" t="s">
        <v>33305</v>
      </c>
      <c r="W3910" s="5" t="s">
        <v>69</v>
      </c>
      <c r="X3910" s="5" t="s">
        <v>69</v>
      </c>
      <c r="Y3910" s="4">
        <v>1103</v>
      </c>
      <c r="Z3910" s="4">
        <v>46</v>
      </c>
      <c r="AA3910" s="4">
        <v>47</v>
      </c>
      <c r="AB3910" s="4">
        <v>3</v>
      </c>
      <c r="AC3910" s="4">
        <v>4</v>
      </c>
      <c r="AD3910" s="4">
        <v>110</v>
      </c>
      <c r="AE3910" s="4">
        <v>111</v>
      </c>
      <c r="AF3910" s="4">
        <v>1</v>
      </c>
      <c r="AG3910" s="4">
        <v>2</v>
      </c>
      <c r="AH3910" s="4">
        <v>93</v>
      </c>
      <c r="AI3910" s="4">
        <v>94</v>
      </c>
      <c r="AJ3910" s="4">
        <v>16</v>
      </c>
      <c r="AK3910" s="4">
        <v>17</v>
      </c>
      <c r="AL3910" s="4">
        <v>48</v>
      </c>
      <c r="AM3910" s="4">
        <v>48</v>
      </c>
      <c r="AN3910" s="4">
        <v>0</v>
      </c>
      <c r="AO3910" s="4">
        <v>0</v>
      </c>
      <c r="AP3910" s="4">
        <v>24</v>
      </c>
      <c r="AQ3910" s="4">
        <v>25</v>
      </c>
      <c r="AR3910" s="3" t="s">
        <v>63</v>
      </c>
      <c r="AS3910" s="3" t="s">
        <v>63</v>
      </c>
      <c r="AT3910" s="3" t="s">
        <v>62</v>
      </c>
      <c r="AU3910" s="6" t="str">
        <f>HYPERLINK("http://catalog.hathitrust.org/Record/001054964","HathiTrust Record")</f>
        <v>HathiTrust Record</v>
      </c>
      <c r="AV3910" s="6" t="str">
        <f>HYPERLINK("http://mcgill.on.worldcat.org/oclc/2046968","Catalog Record")</f>
        <v>Catalog Record</v>
      </c>
      <c r="AW3910" s="6" t="str">
        <f>HYPERLINK("http://www.worldcat.org/oclc/2046968","WorldCat Record")</f>
        <v>WorldCat Record</v>
      </c>
      <c r="AX3910" s="3" t="s">
        <v>33306</v>
      </c>
      <c r="AY3910" s="3" t="s">
        <v>33307</v>
      </c>
      <c r="AZ3910" s="3" t="s">
        <v>33308</v>
      </c>
      <c r="BA3910" s="3" t="s">
        <v>33308</v>
      </c>
      <c r="BB3910" s="3" t="s">
        <v>33309</v>
      </c>
      <c r="BC3910" s="3" t="s">
        <v>82</v>
      </c>
      <c r="BD3910" s="3" t="s">
        <v>70</v>
      </c>
      <c r="BE3910" s="3" t="s">
        <v>33310</v>
      </c>
      <c r="BF3910" s="3" t="s">
        <v>33309</v>
      </c>
      <c r="BG3910" s="3" t="s">
        <v>33311</v>
      </c>
    </row>
    <row r="3911" spans="1:59" ht="60" x14ac:dyDescent="0.25">
      <c r="A3911" s="2" t="s">
        <v>59</v>
      </c>
      <c r="B3911" s="2" t="s">
        <v>60</v>
      </c>
      <c r="C3911" s="2" t="s">
        <v>33312</v>
      </c>
      <c r="D3911" s="2" t="s">
        <v>33313</v>
      </c>
      <c r="E3911" s="2" t="s">
        <v>33314</v>
      </c>
      <c r="G3911" s="3" t="s">
        <v>63</v>
      </c>
      <c r="I3911" s="3" t="s">
        <v>63</v>
      </c>
      <c r="J3911" s="3" t="s">
        <v>63</v>
      </c>
      <c r="K3911" s="3" t="s">
        <v>64</v>
      </c>
      <c r="M3911" s="2" t="s">
        <v>33315</v>
      </c>
      <c r="N3911" s="3" t="s">
        <v>2459</v>
      </c>
      <c r="O3911" s="2" t="s">
        <v>590</v>
      </c>
      <c r="P3911" s="3" t="s">
        <v>66</v>
      </c>
      <c r="R3911" s="3" t="s">
        <v>67</v>
      </c>
      <c r="S3911" s="4">
        <v>14</v>
      </c>
      <c r="T3911" s="4">
        <v>14</v>
      </c>
      <c r="U3911" s="5" t="s">
        <v>33316</v>
      </c>
      <c r="V3911" s="5" t="s">
        <v>33316</v>
      </c>
      <c r="W3911" s="5" t="s">
        <v>69</v>
      </c>
      <c r="X3911" s="5" t="s">
        <v>69</v>
      </c>
      <c r="Y3911" s="4">
        <v>383</v>
      </c>
      <c r="Z3911" s="4">
        <v>25</v>
      </c>
      <c r="AA3911" s="4">
        <v>26</v>
      </c>
      <c r="AB3911" s="4">
        <v>1</v>
      </c>
      <c r="AC3911" s="4">
        <v>2</v>
      </c>
      <c r="AD3911" s="4">
        <v>86</v>
      </c>
      <c r="AE3911" s="4">
        <v>87</v>
      </c>
      <c r="AF3911" s="4">
        <v>0</v>
      </c>
      <c r="AG3911" s="4">
        <v>1</v>
      </c>
      <c r="AH3911" s="4">
        <v>78</v>
      </c>
      <c r="AI3911" s="4">
        <v>78</v>
      </c>
      <c r="AJ3911" s="4">
        <v>10</v>
      </c>
      <c r="AK3911" s="4">
        <v>11</v>
      </c>
      <c r="AL3911" s="4">
        <v>45</v>
      </c>
      <c r="AM3911" s="4">
        <v>45</v>
      </c>
      <c r="AN3911" s="4">
        <v>0</v>
      </c>
      <c r="AO3911" s="4">
        <v>0</v>
      </c>
      <c r="AP3911" s="4">
        <v>15</v>
      </c>
      <c r="AQ3911" s="4">
        <v>15</v>
      </c>
      <c r="AR3911" s="3" t="s">
        <v>63</v>
      </c>
      <c r="AS3911" s="3" t="s">
        <v>63</v>
      </c>
      <c r="AT3911" s="3" t="s">
        <v>63</v>
      </c>
      <c r="AV3911" s="6" t="str">
        <f>HYPERLINK("http://mcgill.on.worldcat.org/oclc/707725676","Catalog Record")</f>
        <v>Catalog Record</v>
      </c>
      <c r="AW3911" s="6" t="str">
        <f>HYPERLINK("http://www.worldcat.org/oclc/707725676","WorldCat Record")</f>
        <v>WorldCat Record</v>
      </c>
      <c r="AX3911" s="3" t="s">
        <v>33317</v>
      </c>
      <c r="AY3911" s="3" t="s">
        <v>33318</v>
      </c>
      <c r="AZ3911" s="3" t="s">
        <v>33319</v>
      </c>
      <c r="BA3911" s="3" t="s">
        <v>33319</v>
      </c>
      <c r="BB3911" s="3" t="s">
        <v>33320</v>
      </c>
      <c r="BC3911" s="3" t="s">
        <v>82</v>
      </c>
      <c r="BD3911" s="3" t="s">
        <v>70</v>
      </c>
      <c r="BE3911" s="3" t="s">
        <v>33321</v>
      </c>
      <c r="BF3911" s="3" t="s">
        <v>33320</v>
      </c>
      <c r="BG3911" s="3" t="s">
        <v>33322</v>
      </c>
    </row>
    <row r="3912" spans="1:59" ht="60" x14ac:dyDescent="0.25">
      <c r="A3912" s="2" t="s">
        <v>59</v>
      </c>
      <c r="B3912" s="2" t="s">
        <v>60</v>
      </c>
      <c r="C3912" s="2" t="s">
        <v>33323</v>
      </c>
      <c r="D3912" s="2" t="s">
        <v>33324</v>
      </c>
      <c r="E3912" s="2" t="s">
        <v>33325</v>
      </c>
      <c r="G3912" s="3" t="s">
        <v>63</v>
      </c>
      <c r="I3912" s="3" t="s">
        <v>63</v>
      </c>
      <c r="J3912" s="3" t="s">
        <v>63</v>
      </c>
      <c r="K3912" s="3" t="s">
        <v>64</v>
      </c>
      <c r="M3912" s="2" t="s">
        <v>33326</v>
      </c>
      <c r="N3912" s="3" t="s">
        <v>2393</v>
      </c>
      <c r="P3912" s="3" t="s">
        <v>548</v>
      </c>
      <c r="Q3912" s="2" t="s">
        <v>33327</v>
      </c>
      <c r="R3912" s="3" t="s">
        <v>67</v>
      </c>
      <c r="S3912" s="4">
        <v>2</v>
      </c>
      <c r="T3912" s="4">
        <v>2</v>
      </c>
      <c r="U3912" s="5" t="s">
        <v>1309</v>
      </c>
      <c r="V3912" s="5" t="s">
        <v>1309</v>
      </c>
      <c r="W3912" s="5" t="s">
        <v>69</v>
      </c>
      <c r="X3912" s="5" t="s">
        <v>69</v>
      </c>
      <c r="Y3912" s="4">
        <v>33</v>
      </c>
      <c r="Z3912" s="4">
        <v>1</v>
      </c>
      <c r="AA3912" s="4">
        <v>9</v>
      </c>
      <c r="AB3912" s="4">
        <v>1</v>
      </c>
      <c r="AC3912" s="4">
        <v>4</v>
      </c>
      <c r="AD3912" s="4">
        <v>21</v>
      </c>
      <c r="AE3912" s="4">
        <v>27</v>
      </c>
      <c r="AF3912" s="4">
        <v>0</v>
      </c>
      <c r="AG3912" s="4">
        <v>2</v>
      </c>
      <c r="AH3912" s="4">
        <v>20</v>
      </c>
      <c r="AI3912" s="4">
        <v>23</v>
      </c>
      <c r="AJ3912" s="4">
        <v>0</v>
      </c>
      <c r="AK3912" s="4">
        <v>6</v>
      </c>
      <c r="AL3912" s="4">
        <v>16</v>
      </c>
      <c r="AM3912" s="4">
        <v>17</v>
      </c>
      <c r="AN3912" s="4">
        <v>0</v>
      </c>
      <c r="AO3912" s="4">
        <v>0</v>
      </c>
      <c r="AP3912" s="4">
        <v>0</v>
      </c>
      <c r="AQ3912" s="4">
        <v>4</v>
      </c>
      <c r="AR3912" s="3" t="s">
        <v>63</v>
      </c>
      <c r="AS3912" s="3" t="s">
        <v>63</v>
      </c>
      <c r="AT3912" s="3" t="s">
        <v>62</v>
      </c>
      <c r="AU3912" s="6" t="str">
        <f>HYPERLINK("http://catalog.hathitrust.org/Record/007325198","HathiTrust Record")</f>
        <v>HathiTrust Record</v>
      </c>
      <c r="AV3912" s="6" t="str">
        <f>HYPERLINK("http://mcgill.on.worldcat.org/oclc/1730455","Catalog Record")</f>
        <v>Catalog Record</v>
      </c>
      <c r="AW3912" s="6" t="str">
        <f>HYPERLINK("http://www.worldcat.org/oclc/1730455","WorldCat Record")</f>
        <v>WorldCat Record</v>
      </c>
      <c r="AX3912" s="3" t="s">
        <v>33328</v>
      </c>
      <c r="AY3912" s="3" t="s">
        <v>33329</v>
      </c>
      <c r="AZ3912" s="3" t="s">
        <v>33330</v>
      </c>
      <c r="BA3912" s="3" t="s">
        <v>33330</v>
      </c>
      <c r="BB3912" s="3" t="s">
        <v>33331</v>
      </c>
      <c r="BC3912" s="3" t="s">
        <v>82</v>
      </c>
      <c r="BD3912" s="3" t="s">
        <v>70</v>
      </c>
      <c r="BF3912" s="3" t="s">
        <v>33331</v>
      </c>
      <c r="BG3912" s="3" t="s">
        <v>33332</v>
      </c>
    </row>
    <row r="3913" spans="1:59" ht="60" x14ac:dyDescent="0.25">
      <c r="A3913" s="2" t="s">
        <v>59</v>
      </c>
      <c r="B3913" s="2" t="s">
        <v>60</v>
      </c>
      <c r="C3913" s="2" t="s">
        <v>33437</v>
      </c>
      <c r="D3913" s="2" t="s">
        <v>33438</v>
      </c>
      <c r="E3913" s="2" t="s">
        <v>33439</v>
      </c>
      <c r="F3913" s="3" t="s">
        <v>582</v>
      </c>
      <c r="G3913" s="3" t="s">
        <v>62</v>
      </c>
      <c r="I3913" s="3" t="s">
        <v>63</v>
      </c>
      <c r="J3913" s="3" t="s">
        <v>63</v>
      </c>
      <c r="K3913" s="3" t="s">
        <v>64</v>
      </c>
      <c r="L3913" s="2" t="s">
        <v>33367</v>
      </c>
      <c r="M3913" s="2" t="s">
        <v>33440</v>
      </c>
      <c r="N3913" s="3" t="s">
        <v>176</v>
      </c>
      <c r="P3913" s="3" t="s">
        <v>90</v>
      </c>
      <c r="R3913" s="3" t="s">
        <v>67</v>
      </c>
      <c r="S3913" s="4">
        <v>2</v>
      </c>
      <c r="T3913" s="4">
        <v>19</v>
      </c>
      <c r="U3913" s="5" t="s">
        <v>33441</v>
      </c>
      <c r="V3913" s="5" t="s">
        <v>16798</v>
      </c>
      <c r="W3913" s="5" t="s">
        <v>69</v>
      </c>
      <c r="X3913" s="5" t="s">
        <v>69</v>
      </c>
      <c r="Y3913" s="4">
        <v>92</v>
      </c>
      <c r="Z3913" s="4">
        <v>5</v>
      </c>
      <c r="AA3913" s="4">
        <v>6</v>
      </c>
      <c r="AB3913" s="4">
        <v>1</v>
      </c>
      <c r="AC3913" s="4">
        <v>1</v>
      </c>
      <c r="AD3913" s="4">
        <v>50</v>
      </c>
      <c r="AE3913" s="4">
        <v>50</v>
      </c>
      <c r="AF3913" s="4">
        <v>0</v>
      </c>
      <c r="AG3913" s="4">
        <v>0</v>
      </c>
      <c r="AH3913" s="4">
        <v>49</v>
      </c>
      <c r="AI3913" s="4">
        <v>49</v>
      </c>
      <c r="AJ3913" s="4">
        <v>3</v>
      </c>
      <c r="AK3913" s="4">
        <v>3</v>
      </c>
      <c r="AL3913" s="4">
        <v>38</v>
      </c>
      <c r="AM3913" s="4">
        <v>38</v>
      </c>
      <c r="AN3913" s="4">
        <v>0</v>
      </c>
      <c r="AO3913" s="4">
        <v>0</v>
      </c>
      <c r="AP3913" s="4">
        <v>3</v>
      </c>
      <c r="AQ3913" s="4">
        <v>3</v>
      </c>
      <c r="AR3913" s="3" t="s">
        <v>63</v>
      </c>
      <c r="AS3913" s="3" t="s">
        <v>63</v>
      </c>
      <c r="AT3913" s="3" t="s">
        <v>62</v>
      </c>
      <c r="AU3913" s="6" t="str">
        <f>HYPERLINK("http://catalog.hathitrust.org/Record/004015129","HathiTrust Record")</f>
        <v>HathiTrust Record</v>
      </c>
      <c r="AV3913" s="6" t="str">
        <f>HYPERLINK("http://mcgill.on.worldcat.org/oclc/40306615","Catalog Record")</f>
        <v>Catalog Record</v>
      </c>
      <c r="AW3913" s="6" t="str">
        <f>HYPERLINK("http://www.worldcat.org/oclc/40306615","WorldCat Record")</f>
        <v>WorldCat Record</v>
      </c>
      <c r="AX3913" s="3" t="s">
        <v>33442</v>
      </c>
      <c r="AY3913" s="3" t="s">
        <v>33443</v>
      </c>
      <c r="AZ3913" s="3" t="s">
        <v>33444</v>
      </c>
      <c r="BA3913" s="3" t="s">
        <v>33444</v>
      </c>
      <c r="BB3913" s="3" t="s">
        <v>33445</v>
      </c>
      <c r="BC3913" s="3" t="s">
        <v>82</v>
      </c>
      <c r="BD3913" s="3" t="s">
        <v>70</v>
      </c>
      <c r="BE3913" s="3" t="s">
        <v>33446</v>
      </c>
      <c r="BF3913" s="3" t="s">
        <v>33445</v>
      </c>
      <c r="BG3913" s="3" t="s">
        <v>33447</v>
      </c>
    </row>
    <row r="3914" spans="1:59" ht="60" x14ac:dyDescent="0.25">
      <c r="A3914" s="2" t="s">
        <v>59</v>
      </c>
      <c r="B3914" s="2" t="s">
        <v>60</v>
      </c>
      <c r="C3914" s="2" t="s">
        <v>33437</v>
      </c>
      <c r="D3914" s="2" t="s">
        <v>33438</v>
      </c>
      <c r="E3914" s="2" t="s">
        <v>33439</v>
      </c>
      <c r="F3914" s="3" t="s">
        <v>571</v>
      </c>
      <c r="G3914" s="3" t="s">
        <v>62</v>
      </c>
      <c r="I3914" s="3" t="s">
        <v>63</v>
      </c>
      <c r="J3914" s="3" t="s">
        <v>63</v>
      </c>
      <c r="K3914" s="3" t="s">
        <v>64</v>
      </c>
      <c r="L3914" s="2" t="s">
        <v>33367</v>
      </c>
      <c r="M3914" s="2" t="s">
        <v>33440</v>
      </c>
      <c r="N3914" s="3" t="s">
        <v>176</v>
      </c>
      <c r="P3914" s="3" t="s">
        <v>90</v>
      </c>
      <c r="R3914" s="3" t="s">
        <v>67</v>
      </c>
      <c r="S3914" s="4">
        <v>17</v>
      </c>
      <c r="T3914" s="4">
        <v>19</v>
      </c>
      <c r="U3914" s="5" t="s">
        <v>16798</v>
      </c>
      <c r="V3914" s="5" t="s">
        <v>16798</v>
      </c>
      <c r="W3914" s="5" t="s">
        <v>69</v>
      </c>
      <c r="X3914" s="5" t="s">
        <v>69</v>
      </c>
      <c r="Y3914" s="4">
        <v>92</v>
      </c>
      <c r="Z3914" s="4">
        <v>5</v>
      </c>
      <c r="AA3914" s="4">
        <v>6</v>
      </c>
      <c r="AB3914" s="4">
        <v>1</v>
      </c>
      <c r="AC3914" s="4">
        <v>1</v>
      </c>
      <c r="AD3914" s="4">
        <v>50</v>
      </c>
      <c r="AE3914" s="4">
        <v>50</v>
      </c>
      <c r="AF3914" s="4">
        <v>0</v>
      </c>
      <c r="AG3914" s="4">
        <v>0</v>
      </c>
      <c r="AH3914" s="4">
        <v>49</v>
      </c>
      <c r="AI3914" s="4">
        <v>49</v>
      </c>
      <c r="AJ3914" s="4">
        <v>3</v>
      </c>
      <c r="AK3914" s="4">
        <v>3</v>
      </c>
      <c r="AL3914" s="4">
        <v>38</v>
      </c>
      <c r="AM3914" s="4">
        <v>38</v>
      </c>
      <c r="AN3914" s="4">
        <v>0</v>
      </c>
      <c r="AO3914" s="4">
        <v>0</v>
      </c>
      <c r="AP3914" s="4">
        <v>3</v>
      </c>
      <c r="AQ3914" s="4">
        <v>3</v>
      </c>
      <c r="AR3914" s="3" t="s">
        <v>63</v>
      </c>
      <c r="AS3914" s="3" t="s">
        <v>63</v>
      </c>
      <c r="AT3914" s="3" t="s">
        <v>62</v>
      </c>
      <c r="AU3914" s="6" t="str">
        <f>HYPERLINK("http://catalog.hathitrust.org/Record/004015129","HathiTrust Record")</f>
        <v>HathiTrust Record</v>
      </c>
      <c r="AV3914" s="6" t="str">
        <f>HYPERLINK("http://mcgill.on.worldcat.org/oclc/40306615","Catalog Record")</f>
        <v>Catalog Record</v>
      </c>
      <c r="AW3914" s="6" t="str">
        <f>HYPERLINK("http://www.worldcat.org/oclc/40306615","WorldCat Record")</f>
        <v>WorldCat Record</v>
      </c>
      <c r="AX3914" s="3" t="s">
        <v>33442</v>
      </c>
      <c r="AY3914" s="3" t="s">
        <v>33443</v>
      </c>
      <c r="AZ3914" s="3" t="s">
        <v>33444</v>
      </c>
      <c r="BA3914" s="3" t="s">
        <v>33444</v>
      </c>
      <c r="BB3914" s="3" t="s">
        <v>33448</v>
      </c>
      <c r="BC3914" s="3" t="s">
        <v>82</v>
      </c>
      <c r="BD3914" s="3" t="s">
        <v>70</v>
      </c>
      <c r="BE3914" s="3" t="s">
        <v>33446</v>
      </c>
      <c r="BF3914" s="3" t="s">
        <v>33448</v>
      </c>
      <c r="BG3914" s="3" t="s">
        <v>33449</v>
      </c>
    </row>
    <row r="3915" spans="1:59" ht="60" x14ac:dyDescent="0.25">
      <c r="A3915" s="2" t="s">
        <v>59</v>
      </c>
      <c r="B3915" s="2" t="s">
        <v>60</v>
      </c>
      <c r="C3915" s="2" t="s">
        <v>33364</v>
      </c>
      <c r="D3915" s="2" t="s">
        <v>33365</v>
      </c>
      <c r="E3915" s="2" t="s">
        <v>33366</v>
      </c>
      <c r="G3915" s="3" t="s">
        <v>63</v>
      </c>
      <c r="I3915" s="3" t="s">
        <v>63</v>
      </c>
      <c r="J3915" s="3" t="s">
        <v>63</v>
      </c>
      <c r="K3915" s="3" t="s">
        <v>64</v>
      </c>
      <c r="L3915" s="2" t="s">
        <v>33367</v>
      </c>
      <c r="M3915" s="2" t="s">
        <v>33368</v>
      </c>
      <c r="N3915" s="3" t="s">
        <v>629</v>
      </c>
      <c r="P3915" s="3" t="s">
        <v>66</v>
      </c>
      <c r="Q3915" s="2" t="s">
        <v>20292</v>
      </c>
      <c r="R3915" s="3" t="s">
        <v>67</v>
      </c>
      <c r="S3915" s="4">
        <v>3</v>
      </c>
      <c r="T3915" s="4">
        <v>3</v>
      </c>
      <c r="U3915" s="5" t="s">
        <v>33369</v>
      </c>
      <c r="V3915" s="5" t="s">
        <v>33369</v>
      </c>
      <c r="W3915" s="5" t="s">
        <v>69</v>
      </c>
      <c r="X3915" s="5" t="s">
        <v>69</v>
      </c>
      <c r="Y3915" s="4">
        <v>305</v>
      </c>
      <c r="Z3915" s="4">
        <v>18</v>
      </c>
      <c r="AA3915" s="4">
        <v>23</v>
      </c>
      <c r="AB3915" s="4">
        <v>2</v>
      </c>
      <c r="AC3915" s="4">
        <v>4</v>
      </c>
      <c r="AD3915" s="4">
        <v>73</v>
      </c>
      <c r="AE3915" s="4">
        <v>74</v>
      </c>
      <c r="AF3915" s="4">
        <v>0</v>
      </c>
      <c r="AG3915" s="4">
        <v>1</v>
      </c>
      <c r="AH3915" s="4">
        <v>68</v>
      </c>
      <c r="AI3915" s="4">
        <v>69</v>
      </c>
      <c r="AJ3915" s="4">
        <v>10</v>
      </c>
      <c r="AK3915" s="4">
        <v>11</v>
      </c>
      <c r="AL3915" s="4">
        <v>40</v>
      </c>
      <c r="AM3915" s="4">
        <v>40</v>
      </c>
      <c r="AN3915" s="4">
        <v>0</v>
      </c>
      <c r="AO3915" s="4">
        <v>0</v>
      </c>
      <c r="AP3915" s="4">
        <v>10</v>
      </c>
      <c r="AQ3915" s="4">
        <v>11</v>
      </c>
      <c r="AR3915" s="3" t="s">
        <v>63</v>
      </c>
      <c r="AS3915" s="3" t="s">
        <v>63</v>
      </c>
      <c r="AT3915" s="3" t="s">
        <v>63</v>
      </c>
      <c r="AV3915" s="6" t="str">
        <f>HYPERLINK("http://mcgill.on.worldcat.org/oclc/639163152","Catalog Record")</f>
        <v>Catalog Record</v>
      </c>
      <c r="AW3915" s="6" t="str">
        <f>HYPERLINK("http://www.worldcat.org/oclc/639163152","WorldCat Record")</f>
        <v>WorldCat Record</v>
      </c>
      <c r="AX3915" s="3" t="s">
        <v>33370</v>
      </c>
      <c r="AY3915" s="3" t="s">
        <v>33371</v>
      </c>
      <c r="AZ3915" s="3" t="s">
        <v>33372</v>
      </c>
      <c r="BA3915" s="3" t="s">
        <v>33372</v>
      </c>
      <c r="BB3915" s="3" t="s">
        <v>33373</v>
      </c>
      <c r="BC3915" s="3" t="s">
        <v>82</v>
      </c>
      <c r="BD3915" s="3" t="s">
        <v>70</v>
      </c>
      <c r="BE3915" s="3" t="s">
        <v>33374</v>
      </c>
      <c r="BF3915" s="3" t="s">
        <v>33373</v>
      </c>
      <c r="BG3915" s="3" t="s">
        <v>33375</v>
      </c>
    </row>
    <row r="3916" spans="1:59" ht="60" x14ac:dyDescent="0.25">
      <c r="A3916" s="2" t="s">
        <v>59</v>
      </c>
      <c r="B3916" s="2" t="s">
        <v>60</v>
      </c>
      <c r="C3916" s="2" t="s">
        <v>33376</v>
      </c>
      <c r="D3916" s="2" t="s">
        <v>33377</v>
      </c>
      <c r="E3916" s="2" t="s">
        <v>33378</v>
      </c>
      <c r="G3916" s="3" t="s">
        <v>63</v>
      </c>
      <c r="I3916" s="3" t="s">
        <v>63</v>
      </c>
      <c r="J3916" s="3" t="s">
        <v>63</v>
      </c>
      <c r="K3916" s="3" t="s">
        <v>64</v>
      </c>
      <c r="L3916" s="2" t="s">
        <v>33379</v>
      </c>
      <c r="M3916" s="2" t="s">
        <v>33380</v>
      </c>
      <c r="N3916" s="3" t="s">
        <v>234</v>
      </c>
      <c r="P3916" s="3" t="s">
        <v>90</v>
      </c>
      <c r="R3916" s="3" t="s">
        <v>67</v>
      </c>
      <c r="S3916" s="4">
        <v>10</v>
      </c>
      <c r="T3916" s="4">
        <v>10</v>
      </c>
      <c r="U3916" s="5" t="s">
        <v>12637</v>
      </c>
      <c r="V3916" s="5" t="s">
        <v>12637</v>
      </c>
      <c r="W3916" s="5" t="s">
        <v>69</v>
      </c>
      <c r="X3916" s="5" t="s">
        <v>69</v>
      </c>
      <c r="Y3916" s="4">
        <v>73</v>
      </c>
      <c r="Z3916" s="4">
        <v>8</v>
      </c>
      <c r="AA3916" s="4">
        <v>8</v>
      </c>
      <c r="AB3916" s="4">
        <v>1</v>
      </c>
      <c r="AC3916" s="4">
        <v>1</v>
      </c>
      <c r="AD3916" s="4">
        <v>42</v>
      </c>
      <c r="AE3916" s="4">
        <v>42</v>
      </c>
      <c r="AF3916" s="4">
        <v>0</v>
      </c>
      <c r="AG3916" s="4">
        <v>0</v>
      </c>
      <c r="AH3916" s="4">
        <v>38</v>
      </c>
      <c r="AI3916" s="4">
        <v>38</v>
      </c>
      <c r="AJ3916" s="4">
        <v>5</v>
      </c>
      <c r="AK3916" s="4">
        <v>5</v>
      </c>
      <c r="AL3916" s="4">
        <v>34</v>
      </c>
      <c r="AM3916" s="4">
        <v>34</v>
      </c>
      <c r="AN3916" s="4">
        <v>0</v>
      </c>
      <c r="AO3916" s="4">
        <v>0</v>
      </c>
      <c r="AP3916" s="4">
        <v>5</v>
      </c>
      <c r="AQ3916" s="4">
        <v>5</v>
      </c>
      <c r="AR3916" s="3" t="s">
        <v>63</v>
      </c>
      <c r="AS3916" s="3" t="s">
        <v>63</v>
      </c>
      <c r="AT3916" s="3" t="s">
        <v>62</v>
      </c>
      <c r="AU3916" s="6" t="str">
        <f>HYPERLINK("http://catalog.hathitrust.org/Record/005374129","HathiTrust Record")</f>
        <v>HathiTrust Record</v>
      </c>
      <c r="AV3916" s="6" t="str">
        <f>HYPERLINK("http://mcgill.on.worldcat.org/oclc/63825753","Catalog Record")</f>
        <v>Catalog Record</v>
      </c>
      <c r="AW3916" s="6" t="str">
        <f>HYPERLINK("http://www.worldcat.org/oclc/63825753","WorldCat Record")</f>
        <v>WorldCat Record</v>
      </c>
      <c r="AX3916" s="3" t="s">
        <v>33381</v>
      </c>
      <c r="AY3916" s="3" t="s">
        <v>33382</v>
      </c>
      <c r="AZ3916" s="3" t="s">
        <v>33383</v>
      </c>
      <c r="BA3916" s="3" t="s">
        <v>33383</v>
      </c>
      <c r="BB3916" s="3" t="s">
        <v>33384</v>
      </c>
      <c r="BC3916" s="3" t="s">
        <v>82</v>
      </c>
      <c r="BD3916" s="3" t="s">
        <v>70</v>
      </c>
      <c r="BE3916" s="3" t="s">
        <v>33385</v>
      </c>
      <c r="BF3916" s="3" t="s">
        <v>33384</v>
      </c>
      <c r="BG3916" s="3" t="s">
        <v>33386</v>
      </c>
    </row>
    <row r="3917" spans="1:59" ht="60" x14ac:dyDescent="0.25">
      <c r="A3917" s="2" t="s">
        <v>59</v>
      </c>
      <c r="B3917" s="2" t="s">
        <v>60</v>
      </c>
      <c r="C3917" s="2" t="s">
        <v>33387</v>
      </c>
      <c r="D3917" s="2" t="s">
        <v>33388</v>
      </c>
      <c r="E3917" s="2" t="s">
        <v>33389</v>
      </c>
      <c r="G3917" s="3" t="s">
        <v>63</v>
      </c>
      <c r="I3917" s="3" t="s">
        <v>63</v>
      </c>
      <c r="J3917" s="3" t="s">
        <v>63</v>
      </c>
      <c r="K3917" s="3" t="s">
        <v>64</v>
      </c>
      <c r="L3917" s="2" t="s">
        <v>33379</v>
      </c>
      <c r="M3917" s="2" t="s">
        <v>33390</v>
      </c>
      <c r="N3917" s="3" t="s">
        <v>287</v>
      </c>
      <c r="P3917" s="3" t="s">
        <v>90</v>
      </c>
      <c r="R3917" s="3" t="s">
        <v>67</v>
      </c>
      <c r="S3917" s="4">
        <v>2</v>
      </c>
      <c r="T3917" s="4">
        <v>2</v>
      </c>
      <c r="U3917" s="5" t="s">
        <v>26057</v>
      </c>
      <c r="V3917" s="5" t="s">
        <v>26057</v>
      </c>
      <c r="W3917" s="5" t="s">
        <v>69</v>
      </c>
      <c r="X3917" s="5" t="s">
        <v>69</v>
      </c>
      <c r="Y3917" s="4">
        <v>61</v>
      </c>
      <c r="Z3917" s="4">
        <v>4</v>
      </c>
      <c r="AA3917" s="4">
        <v>4</v>
      </c>
      <c r="AB3917" s="4">
        <v>1</v>
      </c>
      <c r="AC3917" s="4">
        <v>1</v>
      </c>
      <c r="AD3917" s="4">
        <v>32</v>
      </c>
      <c r="AE3917" s="4">
        <v>32</v>
      </c>
      <c r="AF3917" s="4">
        <v>0</v>
      </c>
      <c r="AG3917" s="4">
        <v>0</v>
      </c>
      <c r="AH3917" s="4">
        <v>31</v>
      </c>
      <c r="AI3917" s="4">
        <v>31</v>
      </c>
      <c r="AJ3917" s="4">
        <v>1</v>
      </c>
      <c r="AK3917" s="4">
        <v>1</v>
      </c>
      <c r="AL3917" s="4">
        <v>25</v>
      </c>
      <c r="AM3917" s="4">
        <v>25</v>
      </c>
      <c r="AN3917" s="4">
        <v>0</v>
      </c>
      <c r="AO3917" s="4">
        <v>0</v>
      </c>
      <c r="AP3917" s="4">
        <v>1</v>
      </c>
      <c r="AQ3917" s="4">
        <v>1</v>
      </c>
      <c r="AR3917" s="3" t="s">
        <v>63</v>
      </c>
      <c r="AS3917" s="3" t="s">
        <v>63</v>
      </c>
      <c r="AT3917" s="3" t="s">
        <v>63</v>
      </c>
      <c r="AV3917" s="6" t="str">
        <f>HYPERLINK("http://mcgill.on.worldcat.org/oclc/1056251822","Catalog Record")</f>
        <v>Catalog Record</v>
      </c>
      <c r="AW3917" s="6" t="str">
        <f>HYPERLINK("http://www.worldcat.org/oclc/1056251822","WorldCat Record")</f>
        <v>WorldCat Record</v>
      </c>
      <c r="AX3917" s="3" t="s">
        <v>33391</v>
      </c>
      <c r="AY3917" s="3" t="s">
        <v>33392</v>
      </c>
      <c r="AZ3917" s="3" t="s">
        <v>33393</v>
      </c>
      <c r="BA3917" s="3" t="s">
        <v>33393</v>
      </c>
      <c r="BB3917" s="3" t="s">
        <v>33394</v>
      </c>
      <c r="BC3917" s="3" t="s">
        <v>82</v>
      </c>
      <c r="BD3917" s="3" t="s">
        <v>70</v>
      </c>
      <c r="BE3917" s="3" t="s">
        <v>33395</v>
      </c>
      <c r="BF3917" s="3" t="s">
        <v>33394</v>
      </c>
      <c r="BG3917" s="3" t="s">
        <v>33396</v>
      </c>
    </row>
    <row r="3918" spans="1:59" ht="75" x14ac:dyDescent="0.25">
      <c r="A3918" s="2" t="s">
        <v>59</v>
      </c>
      <c r="B3918" s="2" t="s">
        <v>60</v>
      </c>
      <c r="C3918" s="2" t="s">
        <v>33397</v>
      </c>
      <c r="D3918" s="2" t="s">
        <v>33398</v>
      </c>
      <c r="E3918" s="2" t="s">
        <v>33399</v>
      </c>
      <c r="G3918" s="3" t="s">
        <v>63</v>
      </c>
      <c r="I3918" s="3" t="s">
        <v>63</v>
      </c>
      <c r="J3918" s="3" t="s">
        <v>63</v>
      </c>
      <c r="K3918" s="3" t="s">
        <v>64</v>
      </c>
      <c r="L3918" s="2" t="s">
        <v>33367</v>
      </c>
      <c r="M3918" s="2" t="s">
        <v>33400</v>
      </c>
      <c r="N3918" s="3" t="s">
        <v>629</v>
      </c>
      <c r="O3918" s="2" t="s">
        <v>23323</v>
      </c>
      <c r="P3918" s="3" t="s">
        <v>66</v>
      </c>
      <c r="R3918" s="3" t="s">
        <v>67</v>
      </c>
      <c r="S3918" s="4">
        <v>5</v>
      </c>
      <c r="T3918" s="4">
        <v>5</v>
      </c>
      <c r="U3918" s="5" t="s">
        <v>33401</v>
      </c>
      <c r="V3918" s="5" t="s">
        <v>33401</v>
      </c>
      <c r="W3918" s="5" t="s">
        <v>69</v>
      </c>
      <c r="X3918" s="5" t="s">
        <v>69</v>
      </c>
      <c r="Y3918" s="4">
        <v>534</v>
      </c>
      <c r="Z3918" s="4">
        <v>29</v>
      </c>
      <c r="AA3918" s="4">
        <v>33</v>
      </c>
      <c r="AB3918" s="4">
        <v>2</v>
      </c>
      <c r="AC3918" s="4">
        <v>3</v>
      </c>
      <c r="AD3918" s="4">
        <v>86</v>
      </c>
      <c r="AE3918" s="4">
        <v>94</v>
      </c>
      <c r="AF3918" s="4">
        <v>0</v>
      </c>
      <c r="AG3918" s="4">
        <v>1</v>
      </c>
      <c r="AH3918" s="4">
        <v>78</v>
      </c>
      <c r="AI3918" s="4">
        <v>86</v>
      </c>
      <c r="AJ3918" s="4">
        <v>14</v>
      </c>
      <c r="AK3918" s="4">
        <v>16</v>
      </c>
      <c r="AL3918" s="4">
        <v>46</v>
      </c>
      <c r="AM3918" s="4">
        <v>48</v>
      </c>
      <c r="AN3918" s="4">
        <v>0</v>
      </c>
      <c r="AO3918" s="4">
        <v>0</v>
      </c>
      <c r="AP3918" s="4">
        <v>14</v>
      </c>
      <c r="AQ3918" s="4">
        <v>16</v>
      </c>
      <c r="AR3918" s="3" t="s">
        <v>63</v>
      </c>
      <c r="AS3918" s="3" t="s">
        <v>63</v>
      </c>
      <c r="AT3918" s="3" t="s">
        <v>63</v>
      </c>
      <c r="AV3918" s="6" t="str">
        <f>HYPERLINK("http://mcgill.on.worldcat.org/oclc/650212504","Catalog Record")</f>
        <v>Catalog Record</v>
      </c>
      <c r="AW3918" s="6" t="str">
        <f>HYPERLINK("http://www.worldcat.org/oclc/650212504","WorldCat Record")</f>
        <v>WorldCat Record</v>
      </c>
      <c r="AX3918" s="3" t="s">
        <v>33402</v>
      </c>
      <c r="AY3918" s="3" t="s">
        <v>33403</v>
      </c>
      <c r="AZ3918" s="3" t="s">
        <v>33404</v>
      </c>
      <c r="BA3918" s="3" t="s">
        <v>33404</v>
      </c>
      <c r="BB3918" s="3" t="s">
        <v>33405</v>
      </c>
      <c r="BC3918" s="3" t="s">
        <v>82</v>
      </c>
      <c r="BD3918" s="3" t="s">
        <v>70</v>
      </c>
      <c r="BE3918" s="3" t="s">
        <v>33406</v>
      </c>
      <c r="BF3918" s="3" t="s">
        <v>33405</v>
      </c>
      <c r="BG3918" s="3" t="s">
        <v>33407</v>
      </c>
    </row>
    <row r="3919" spans="1:59" ht="75" x14ac:dyDescent="0.25">
      <c r="A3919" s="2" t="s">
        <v>59</v>
      </c>
      <c r="B3919" s="2" t="s">
        <v>60</v>
      </c>
      <c r="C3919" s="2" t="s">
        <v>33408</v>
      </c>
      <c r="D3919" s="2" t="s">
        <v>33409</v>
      </c>
      <c r="E3919" s="2" t="s">
        <v>33410</v>
      </c>
      <c r="G3919" s="3" t="s">
        <v>63</v>
      </c>
      <c r="I3919" s="3" t="s">
        <v>63</v>
      </c>
      <c r="J3919" s="3" t="s">
        <v>63</v>
      </c>
      <c r="K3919" s="3" t="s">
        <v>64</v>
      </c>
      <c r="L3919" s="2" t="s">
        <v>33367</v>
      </c>
      <c r="M3919" s="2" t="s">
        <v>18633</v>
      </c>
      <c r="N3919" s="3" t="s">
        <v>313</v>
      </c>
      <c r="P3919" s="3" t="s">
        <v>90</v>
      </c>
      <c r="R3919" s="3" t="s">
        <v>67</v>
      </c>
      <c r="S3919" s="4">
        <v>1</v>
      </c>
      <c r="T3919" s="4">
        <v>1</v>
      </c>
      <c r="U3919" s="5" t="s">
        <v>29608</v>
      </c>
      <c r="V3919" s="5" t="s">
        <v>29608</v>
      </c>
      <c r="W3919" s="5" t="s">
        <v>69</v>
      </c>
      <c r="X3919" s="5" t="s">
        <v>69</v>
      </c>
      <c r="Y3919" s="4">
        <v>95</v>
      </c>
      <c r="Z3919" s="4">
        <v>6</v>
      </c>
      <c r="AA3919" s="4">
        <v>7</v>
      </c>
      <c r="AB3919" s="4">
        <v>2</v>
      </c>
      <c r="AC3919" s="4">
        <v>2</v>
      </c>
      <c r="AD3919" s="4">
        <v>48</v>
      </c>
      <c r="AE3919" s="4">
        <v>50</v>
      </c>
      <c r="AF3919" s="4">
        <v>0</v>
      </c>
      <c r="AG3919" s="4">
        <v>0</v>
      </c>
      <c r="AH3919" s="4">
        <v>47</v>
      </c>
      <c r="AI3919" s="4">
        <v>49</v>
      </c>
      <c r="AJ3919" s="4">
        <v>3</v>
      </c>
      <c r="AK3919" s="4">
        <v>4</v>
      </c>
      <c r="AL3919" s="4">
        <v>33</v>
      </c>
      <c r="AM3919" s="4">
        <v>34</v>
      </c>
      <c r="AN3919" s="4">
        <v>0</v>
      </c>
      <c r="AO3919" s="4">
        <v>0</v>
      </c>
      <c r="AP3919" s="4">
        <v>3</v>
      </c>
      <c r="AQ3919" s="4">
        <v>4</v>
      </c>
      <c r="AR3919" s="3" t="s">
        <v>63</v>
      </c>
      <c r="AS3919" s="3" t="s">
        <v>63</v>
      </c>
      <c r="AT3919" s="3" t="s">
        <v>63</v>
      </c>
      <c r="AV3919" s="6" t="str">
        <f>HYPERLINK("http://mcgill.on.worldcat.org/oclc/631741050","Catalog Record")</f>
        <v>Catalog Record</v>
      </c>
      <c r="AW3919" s="6" t="str">
        <f>HYPERLINK("http://www.worldcat.org/oclc/631741050","WorldCat Record")</f>
        <v>WorldCat Record</v>
      </c>
      <c r="AX3919" s="3" t="s">
        <v>33411</v>
      </c>
      <c r="AY3919" s="3" t="s">
        <v>33412</v>
      </c>
      <c r="AZ3919" s="3" t="s">
        <v>33413</v>
      </c>
      <c r="BA3919" s="3" t="s">
        <v>33413</v>
      </c>
      <c r="BB3919" s="3" t="s">
        <v>33414</v>
      </c>
      <c r="BC3919" s="3" t="s">
        <v>82</v>
      </c>
      <c r="BD3919" s="3" t="s">
        <v>70</v>
      </c>
      <c r="BE3919" s="3" t="s">
        <v>33415</v>
      </c>
      <c r="BF3919" s="3" t="s">
        <v>33414</v>
      </c>
      <c r="BG3919" s="3" t="s">
        <v>33416</v>
      </c>
    </row>
    <row r="3920" spans="1:59" ht="75" x14ac:dyDescent="0.25">
      <c r="A3920" s="2" t="s">
        <v>59</v>
      </c>
      <c r="B3920" s="2" t="s">
        <v>60</v>
      </c>
      <c r="C3920" s="2" t="s">
        <v>33417</v>
      </c>
      <c r="D3920" s="2" t="s">
        <v>33418</v>
      </c>
      <c r="E3920" s="2" t="s">
        <v>33419</v>
      </c>
      <c r="G3920" s="3" t="s">
        <v>63</v>
      </c>
      <c r="I3920" s="3" t="s">
        <v>63</v>
      </c>
      <c r="J3920" s="3" t="s">
        <v>63</v>
      </c>
      <c r="K3920" s="3" t="s">
        <v>64</v>
      </c>
      <c r="L3920" s="2" t="s">
        <v>33379</v>
      </c>
      <c r="M3920" s="2" t="s">
        <v>33038</v>
      </c>
      <c r="N3920" s="3" t="s">
        <v>2765</v>
      </c>
      <c r="O3920" s="2" t="s">
        <v>33420</v>
      </c>
      <c r="P3920" s="3" t="s">
        <v>66</v>
      </c>
      <c r="R3920" s="3" t="s">
        <v>67</v>
      </c>
      <c r="S3920" s="4">
        <v>0</v>
      </c>
      <c r="T3920" s="4">
        <v>0</v>
      </c>
      <c r="W3920" s="5" t="s">
        <v>69</v>
      </c>
      <c r="X3920" s="5" t="s">
        <v>69</v>
      </c>
      <c r="Y3920" s="4">
        <v>501</v>
      </c>
      <c r="Z3920" s="4">
        <v>22</v>
      </c>
      <c r="AA3920" s="4">
        <v>23</v>
      </c>
      <c r="AB3920" s="4">
        <v>1</v>
      </c>
      <c r="AC3920" s="4">
        <v>2</v>
      </c>
      <c r="AD3920" s="4">
        <v>73</v>
      </c>
      <c r="AE3920" s="4">
        <v>73</v>
      </c>
      <c r="AF3920" s="4">
        <v>0</v>
      </c>
      <c r="AG3920" s="4">
        <v>0</v>
      </c>
      <c r="AH3920" s="4">
        <v>69</v>
      </c>
      <c r="AI3920" s="4">
        <v>69</v>
      </c>
      <c r="AJ3920" s="4">
        <v>10</v>
      </c>
      <c r="AK3920" s="4">
        <v>10</v>
      </c>
      <c r="AL3920" s="4">
        <v>40</v>
      </c>
      <c r="AM3920" s="4">
        <v>40</v>
      </c>
      <c r="AN3920" s="4">
        <v>0</v>
      </c>
      <c r="AO3920" s="4">
        <v>0</v>
      </c>
      <c r="AP3920" s="4">
        <v>10</v>
      </c>
      <c r="AQ3920" s="4">
        <v>10</v>
      </c>
      <c r="AR3920" s="3" t="s">
        <v>63</v>
      </c>
      <c r="AS3920" s="3" t="s">
        <v>63</v>
      </c>
      <c r="AT3920" s="3" t="s">
        <v>63</v>
      </c>
      <c r="AV3920" s="6" t="str">
        <f>HYPERLINK("http://mcgill.on.worldcat.org/oclc/907585939","Catalog Record")</f>
        <v>Catalog Record</v>
      </c>
      <c r="AW3920" s="6" t="str">
        <f>HYPERLINK("http://www.worldcat.org/oclc/907585939","WorldCat Record")</f>
        <v>WorldCat Record</v>
      </c>
      <c r="AX3920" s="3" t="s">
        <v>33421</v>
      </c>
      <c r="AY3920" s="3" t="s">
        <v>33422</v>
      </c>
      <c r="AZ3920" s="3" t="s">
        <v>33423</v>
      </c>
      <c r="BA3920" s="3" t="s">
        <v>33423</v>
      </c>
      <c r="BB3920" s="3" t="s">
        <v>33424</v>
      </c>
      <c r="BC3920" s="3" t="s">
        <v>82</v>
      </c>
      <c r="BD3920" s="3" t="s">
        <v>70</v>
      </c>
      <c r="BE3920" s="3" t="s">
        <v>33425</v>
      </c>
      <c r="BF3920" s="3" t="s">
        <v>33424</v>
      </c>
      <c r="BG3920" s="3" t="s">
        <v>33426</v>
      </c>
    </row>
    <row r="3921" spans="1:59" ht="60" x14ac:dyDescent="0.25">
      <c r="A3921" s="2" t="s">
        <v>59</v>
      </c>
      <c r="B3921" s="2" t="s">
        <v>60</v>
      </c>
      <c r="C3921" s="2" t="s">
        <v>33427</v>
      </c>
      <c r="D3921" s="2" t="s">
        <v>33428</v>
      </c>
      <c r="E3921" s="2" t="s">
        <v>33429</v>
      </c>
      <c r="G3921" s="3" t="s">
        <v>63</v>
      </c>
      <c r="I3921" s="3" t="s">
        <v>63</v>
      </c>
      <c r="J3921" s="3" t="s">
        <v>63</v>
      </c>
      <c r="K3921" s="3" t="s">
        <v>64</v>
      </c>
      <c r="L3921" s="2" t="s">
        <v>33379</v>
      </c>
      <c r="M3921" s="2" t="s">
        <v>33430</v>
      </c>
      <c r="N3921" s="3" t="s">
        <v>130</v>
      </c>
      <c r="P3921" s="3" t="s">
        <v>90</v>
      </c>
      <c r="R3921" s="3" t="s">
        <v>67</v>
      </c>
      <c r="S3921" s="4">
        <v>1</v>
      </c>
      <c r="T3921" s="4">
        <v>1</v>
      </c>
      <c r="U3921" s="5" t="s">
        <v>30032</v>
      </c>
      <c r="V3921" s="5" t="s">
        <v>30032</v>
      </c>
      <c r="W3921" s="5" t="s">
        <v>69</v>
      </c>
      <c r="X3921" s="5" t="s">
        <v>69</v>
      </c>
      <c r="Y3921" s="4">
        <v>75</v>
      </c>
      <c r="Z3921" s="4">
        <v>6</v>
      </c>
      <c r="AA3921" s="4">
        <v>8</v>
      </c>
      <c r="AB3921" s="4">
        <v>1</v>
      </c>
      <c r="AC3921" s="4">
        <v>2</v>
      </c>
      <c r="AD3921" s="4">
        <v>36</v>
      </c>
      <c r="AE3921" s="4">
        <v>36</v>
      </c>
      <c r="AF3921" s="4">
        <v>0</v>
      </c>
      <c r="AG3921" s="4">
        <v>0</v>
      </c>
      <c r="AH3921" s="4">
        <v>35</v>
      </c>
      <c r="AI3921" s="4">
        <v>35</v>
      </c>
      <c r="AJ3921" s="4">
        <v>3</v>
      </c>
      <c r="AK3921" s="4">
        <v>3</v>
      </c>
      <c r="AL3921" s="4">
        <v>25</v>
      </c>
      <c r="AM3921" s="4">
        <v>25</v>
      </c>
      <c r="AN3921" s="4">
        <v>0</v>
      </c>
      <c r="AO3921" s="4">
        <v>0</v>
      </c>
      <c r="AP3921" s="4">
        <v>3</v>
      </c>
      <c r="AQ3921" s="4">
        <v>3</v>
      </c>
      <c r="AR3921" s="3" t="s">
        <v>63</v>
      </c>
      <c r="AS3921" s="3" t="s">
        <v>63</v>
      </c>
      <c r="AT3921" s="3" t="s">
        <v>63</v>
      </c>
      <c r="AV3921" s="6" t="str">
        <f>HYPERLINK("http://mcgill.on.worldcat.org/oclc/867177563","Catalog Record")</f>
        <v>Catalog Record</v>
      </c>
      <c r="AW3921" s="6" t="str">
        <f>HYPERLINK("http://www.worldcat.org/oclc/867177563","WorldCat Record")</f>
        <v>WorldCat Record</v>
      </c>
      <c r="AX3921" s="3" t="s">
        <v>33431</v>
      </c>
      <c r="AY3921" s="3" t="s">
        <v>33432</v>
      </c>
      <c r="AZ3921" s="3" t="s">
        <v>33433</v>
      </c>
      <c r="BA3921" s="3" t="s">
        <v>33433</v>
      </c>
      <c r="BB3921" s="3" t="s">
        <v>33434</v>
      </c>
      <c r="BC3921" s="3" t="s">
        <v>82</v>
      </c>
      <c r="BD3921" s="3" t="s">
        <v>70</v>
      </c>
      <c r="BE3921" s="3" t="s">
        <v>33435</v>
      </c>
      <c r="BF3921" s="3" t="s">
        <v>33434</v>
      </c>
      <c r="BG3921" s="3" t="s">
        <v>33436</v>
      </c>
    </row>
    <row r="3922" spans="1:59" ht="75" x14ac:dyDescent="0.25">
      <c r="A3922" s="2" t="s">
        <v>59</v>
      </c>
      <c r="B3922" s="2" t="s">
        <v>60</v>
      </c>
      <c r="C3922" s="2" t="s">
        <v>33450</v>
      </c>
      <c r="D3922" s="2" t="s">
        <v>33451</v>
      </c>
      <c r="E3922" s="2" t="s">
        <v>33452</v>
      </c>
      <c r="G3922" s="3" t="s">
        <v>63</v>
      </c>
      <c r="I3922" s="3" t="s">
        <v>63</v>
      </c>
      <c r="J3922" s="3" t="s">
        <v>63</v>
      </c>
      <c r="K3922" s="3" t="s">
        <v>64</v>
      </c>
      <c r="L3922" s="2" t="s">
        <v>33453</v>
      </c>
      <c r="M3922" s="2" t="s">
        <v>9631</v>
      </c>
      <c r="N3922" s="3" t="s">
        <v>106</v>
      </c>
      <c r="P3922" s="3" t="s">
        <v>90</v>
      </c>
      <c r="Q3922" s="2" t="s">
        <v>33454</v>
      </c>
      <c r="R3922" s="3" t="s">
        <v>67</v>
      </c>
      <c r="S3922" s="4">
        <v>2</v>
      </c>
      <c r="T3922" s="4">
        <v>2</v>
      </c>
      <c r="U3922" s="5" t="s">
        <v>26057</v>
      </c>
      <c r="V3922" s="5" t="s">
        <v>26057</v>
      </c>
      <c r="W3922" s="5" t="s">
        <v>69</v>
      </c>
      <c r="X3922" s="5" t="s">
        <v>69</v>
      </c>
      <c r="Y3922" s="4">
        <v>41</v>
      </c>
      <c r="Z3922" s="4">
        <v>1</v>
      </c>
      <c r="AA3922" s="4">
        <v>1</v>
      </c>
      <c r="AB3922" s="4">
        <v>1</v>
      </c>
      <c r="AC3922" s="4">
        <v>1</v>
      </c>
      <c r="AD3922" s="4">
        <v>16</v>
      </c>
      <c r="AE3922" s="4">
        <v>16</v>
      </c>
      <c r="AF3922" s="4">
        <v>0</v>
      </c>
      <c r="AG3922" s="4">
        <v>0</v>
      </c>
      <c r="AH3922" s="4">
        <v>15</v>
      </c>
      <c r="AI3922" s="4">
        <v>15</v>
      </c>
      <c r="AJ3922" s="4">
        <v>0</v>
      </c>
      <c r="AK3922" s="4">
        <v>0</v>
      </c>
      <c r="AL3922" s="4">
        <v>12</v>
      </c>
      <c r="AM3922" s="4">
        <v>12</v>
      </c>
      <c r="AN3922" s="4">
        <v>0</v>
      </c>
      <c r="AO3922" s="4">
        <v>0</v>
      </c>
      <c r="AP3922" s="4">
        <v>0</v>
      </c>
      <c r="AQ3922" s="4">
        <v>0</v>
      </c>
      <c r="AR3922" s="3" t="s">
        <v>63</v>
      </c>
      <c r="AS3922" s="3" t="s">
        <v>63</v>
      </c>
      <c r="AT3922" s="3" t="s">
        <v>63</v>
      </c>
      <c r="AV3922" s="6" t="str">
        <f>HYPERLINK("http://mcgill.on.worldcat.org/oclc/962417531","Catalog Record")</f>
        <v>Catalog Record</v>
      </c>
      <c r="AW3922" s="6" t="str">
        <f>HYPERLINK("http://www.worldcat.org/oclc/962417531","WorldCat Record")</f>
        <v>WorldCat Record</v>
      </c>
      <c r="AX3922" s="3" t="s">
        <v>33455</v>
      </c>
      <c r="AY3922" s="3" t="s">
        <v>33456</v>
      </c>
      <c r="AZ3922" s="3" t="s">
        <v>33457</v>
      </c>
      <c r="BA3922" s="3" t="s">
        <v>33457</v>
      </c>
      <c r="BB3922" s="3" t="s">
        <v>33458</v>
      </c>
      <c r="BC3922" s="3" t="s">
        <v>82</v>
      </c>
      <c r="BD3922" s="3" t="s">
        <v>70</v>
      </c>
      <c r="BE3922" s="3" t="s">
        <v>33459</v>
      </c>
      <c r="BF3922" s="3" t="s">
        <v>33458</v>
      </c>
      <c r="BG3922" s="3" t="s">
        <v>33460</v>
      </c>
    </row>
    <row r="3923" spans="1:59" ht="75" x14ac:dyDescent="0.25">
      <c r="A3923" s="2" t="s">
        <v>59</v>
      </c>
      <c r="B3923" s="2" t="s">
        <v>60</v>
      </c>
      <c r="C3923" s="2" t="s">
        <v>33461</v>
      </c>
      <c r="D3923" s="2" t="s">
        <v>33462</v>
      </c>
      <c r="E3923" s="2" t="s">
        <v>33463</v>
      </c>
      <c r="G3923" s="3" t="s">
        <v>63</v>
      </c>
      <c r="I3923" s="3" t="s">
        <v>63</v>
      </c>
      <c r="J3923" s="3" t="s">
        <v>63</v>
      </c>
      <c r="K3923" s="3" t="s">
        <v>64</v>
      </c>
      <c r="L3923" s="2" t="s">
        <v>33464</v>
      </c>
      <c r="M3923" s="2" t="s">
        <v>33465</v>
      </c>
      <c r="N3923" s="3" t="s">
        <v>130</v>
      </c>
      <c r="O3923" s="2" t="s">
        <v>33466</v>
      </c>
      <c r="P3923" s="3" t="s">
        <v>548</v>
      </c>
      <c r="Q3923" s="2" t="s">
        <v>33467</v>
      </c>
      <c r="R3923" s="3" t="s">
        <v>67</v>
      </c>
      <c r="S3923" s="4">
        <v>0</v>
      </c>
      <c r="T3923" s="4">
        <v>0</v>
      </c>
      <c r="W3923" s="5" t="s">
        <v>69</v>
      </c>
      <c r="X3923" s="5" t="s">
        <v>69</v>
      </c>
      <c r="Y3923" s="4">
        <v>3</v>
      </c>
      <c r="Z3923" s="4">
        <v>1</v>
      </c>
      <c r="AA3923" s="4">
        <v>4</v>
      </c>
      <c r="AB3923" s="4">
        <v>1</v>
      </c>
      <c r="AC3923" s="4">
        <v>3</v>
      </c>
      <c r="AD3923" s="4">
        <v>1</v>
      </c>
      <c r="AE3923" s="4">
        <v>3</v>
      </c>
      <c r="AF3923" s="4">
        <v>0</v>
      </c>
      <c r="AG3923" s="4">
        <v>1</v>
      </c>
      <c r="AH3923" s="4">
        <v>1</v>
      </c>
      <c r="AI3923" s="4">
        <v>2</v>
      </c>
      <c r="AJ3923" s="4">
        <v>0</v>
      </c>
      <c r="AK3923" s="4">
        <v>2</v>
      </c>
      <c r="AL3923" s="4">
        <v>1</v>
      </c>
      <c r="AM3923" s="4">
        <v>1</v>
      </c>
      <c r="AN3923" s="4">
        <v>0</v>
      </c>
      <c r="AO3923" s="4">
        <v>0</v>
      </c>
      <c r="AP3923" s="4">
        <v>0</v>
      </c>
      <c r="AQ3923" s="4">
        <v>1</v>
      </c>
      <c r="AR3923" s="3" t="s">
        <v>63</v>
      </c>
      <c r="AS3923" s="3" t="s">
        <v>63</v>
      </c>
      <c r="AT3923" s="3" t="s">
        <v>63</v>
      </c>
      <c r="AV3923" s="6" t="str">
        <f>HYPERLINK("http://mcgill.on.worldcat.org/oclc/883787768","Catalog Record")</f>
        <v>Catalog Record</v>
      </c>
      <c r="AW3923" s="6" t="str">
        <f>HYPERLINK("http://www.worldcat.org/oclc/883787768","WorldCat Record")</f>
        <v>WorldCat Record</v>
      </c>
      <c r="AX3923" s="3" t="s">
        <v>33468</v>
      </c>
      <c r="AY3923" s="3" t="s">
        <v>33469</v>
      </c>
      <c r="AZ3923" s="3" t="s">
        <v>33470</v>
      </c>
      <c r="BA3923" s="3" t="s">
        <v>33470</v>
      </c>
      <c r="BB3923" s="3" t="s">
        <v>33471</v>
      </c>
      <c r="BC3923" s="3" t="s">
        <v>82</v>
      </c>
      <c r="BD3923" s="3" t="s">
        <v>70</v>
      </c>
      <c r="BE3923" s="3" t="s">
        <v>33472</v>
      </c>
      <c r="BF3923" s="3" t="s">
        <v>33471</v>
      </c>
      <c r="BG3923" s="3" t="s">
        <v>33473</v>
      </c>
    </row>
    <row r="3924" spans="1:59" ht="75" x14ac:dyDescent="0.25">
      <c r="A3924" s="2" t="s">
        <v>59</v>
      </c>
      <c r="B3924" s="2" t="s">
        <v>60</v>
      </c>
      <c r="C3924" s="2" t="s">
        <v>33474</v>
      </c>
      <c r="D3924" s="2" t="s">
        <v>33475</v>
      </c>
      <c r="E3924" s="2" t="s">
        <v>33476</v>
      </c>
      <c r="G3924" s="3" t="s">
        <v>63</v>
      </c>
      <c r="I3924" s="3" t="s">
        <v>63</v>
      </c>
      <c r="J3924" s="3" t="s">
        <v>63</v>
      </c>
      <c r="K3924" s="3" t="s">
        <v>64</v>
      </c>
      <c r="L3924" s="2" t="s">
        <v>33477</v>
      </c>
      <c r="M3924" s="2" t="s">
        <v>33478</v>
      </c>
      <c r="N3924" s="3" t="s">
        <v>143</v>
      </c>
      <c r="P3924" s="3" t="s">
        <v>90</v>
      </c>
      <c r="R3924" s="3" t="s">
        <v>67</v>
      </c>
      <c r="S3924" s="4">
        <v>0</v>
      </c>
      <c r="T3924" s="4">
        <v>0</v>
      </c>
      <c r="W3924" s="5" t="s">
        <v>69</v>
      </c>
      <c r="X3924" s="5" t="s">
        <v>69</v>
      </c>
      <c r="Y3924" s="4">
        <v>31</v>
      </c>
      <c r="Z3924" s="4">
        <v>1</v>
      </c>
      <c r="AA3924" s="4">
        <v>1</v>
      </c>
      <c r="AB3924" s="4">
        <v>1</v>
      </c>
      <c r="AC3924" s="4">
        <v>1</v>
      </c>
      <c r="AD3924" s="4">
        <v>23</v>
      </c>
      <c r="AE3924" s="4">
        <v>23</v>
      </c>
      <c r="AF3924" s="4">
        <v>0</v>
      </c>
      <c r="AG3924" s="4">
        <v>0</v>
      </c>
      <c r="AH3924" s="4">
        <v>23</v>
      </c>
      <c r="AI3924" s="4">
        <v>23</v>
      </c>
      <c r="AJ3924" s="4">
        <v>0</v>
      </c>
      <c r="AK3924" s="4">
        <v>0</v>
      </c>
      <c r="AL3924" s="4">
        <v>16</v>
      </c>
      <c r="AM3924" s="4">
        <v>16</v>
      </c>
      <c r="AN3924" s="4">
        <v>0</v>
      </c>
      <c r="AO3924" s="4">
        <v>0</v>
      </c>
      <c r="AP3924" s="4">
        <v>0</v>
      </c>
      <c r="AQ3924" s="4">
        <v>0</v>
      </c>
      <c r="AR3924" s="3" t="s">
        <v>63</v>
      </c>
      <c r="AS3924" s="3" t="s">
        <v>63</v>
      </c>
      <c r="AT3924" s="3" t="s">
        <v>63</v>
      </c>
      <c r="AV3924" s="6" t="str">
        <f>HYPERLINK("http://mcgill.on.worldcat.org/oclc/887919776","Catalog Record")</f>
        <v>Catalog Record</v>
      </c>
      <c r="AW3924" s="6" t="str">
        <f>HYPERLINK("http://www.worldcat.org/oclc/887919776","WorldCat Record")</f>
        <v>WorldCat Record</v>
      </c>
      <c r="AX3924" s="3" t="s">
        <v>33479</v>
      </c>
      <c r="AY3924" s="3" t="s">
        <v>33480</v>
      </c>
      <c r="AZ3924" s="3" t="s">
        <v>33481</v>
      </c>
      <c r="BA3924" s="3" t="s">
        <v>33481</v>
      </c>
      <c r="BB3924" s="3" t="s">
        <v>33482</v>
      </c>
      <c r="BC3924" s="3" t="s">
        <v>82</v>
      </c>
      <c r="BD3924" s="3" t="s">
        <v>70</v>
      </c>
      <c r="BE3924" s="3" t="s">
        <v>33483</v>
      </c>
      <c r="BF3924" s="3" t="s">
        <v>33482</v>
      </c>
      <c r="BG3924" s="3" t="s">
        <v>33484</v>
      </c>
    </row>
    <row r="3925" spans="1:59" ht="60" x14ac:dyDescent="0.25">
      <c r="A3925" s="2" t="s">
        <v>59</v>
      </c>
      <c r="B3925" s="2" t="s">
        <v>60</v>
      </c>
      <c r="C3925" s="2" t="s">
        <v>33496</v>
      </c>
      <c r="D3925" s="2" t="s">
        <v>33497</v>
      </c>
      <c r="E3925" s="2" t="s">
        <v>33498</v>
      </c>
      <c r="F3925" s="3" t="s">
        <v>582</v>
      </c>
      <c r="G3925" s="3" t="s">
        <v>62</v>
      </c>
      <c r="I3925" s="3" t="s">
        <v>63</v>
      </c>
      <c r="J3925" s="3" t="s">
        <v>63</v>
      </c>
      <c r="K3925" s="3" t="s">
        <v>64</v>
      </c>
      <c r="L3925" s="2" t="s">
        <v>33499</v>
      </c>
      <c r="M3925" s="2" t="s">
        <v>33500</v>
      </c>
      <c r="N3925" s="3" t="s">
        <v>480</v>
      </c>
      <c r="P3925" s="3" t="s">
        <v>90</v>
      </c>
      <c r="R3925" s="3" t="s">
        <v>67</v>
      </c>
      <c r="S3925" s="4">
        <v>4</v>
      </c>
      <c r="T3925" s="4">
        <v>12</v>
      </c>
      <c r="U3925" s="5" t="s">
        <v>33501</v>
      </c>
      <c r="V3925" s="5" t="s">
        <v>2795</v>
      </c>
      <c r="W3925" s="5" t="s">
        <v>69</v>
      </c>
      <c r="X3925" s="5" t="s">
        <v>69</v>
      </c>
      <c r="Y3925" s="4">
        <v>26</v>
      </c>
      <c r="Z3925" s="4">
        <v>1</v>
      </c>
      <c r="AA3925" s="4">
        <v>2</v>
      </c>
      <c r="AB3925" s="4">
        <v>1</v>
      </c>
      <c r="AC3925" s="4">
        <v>1</v>
      </c>
      <c r="AD3925" s="4">
        <v>21</v>
      </c>
      <c r="AE3925" s="4">
        <v>22</v>
      </c>
      <c r="AF3925" s="4">
        <v>0</v>
      </c>
      <c r="AG3925" s="4">
        <v>0</v>
      </c>
      <c r="AH3925" s="4">
        <v>20</v>
      </c>
      <c r="AI3925" s="4">
        <v>21</v>
      </c>
      <c r="AJ3925" s="4">
        <v>0</v>
      </c>
      <c r="AK3925" s="4">
        <v>1</v>
      </c>
      <c r="AL3925" s="4">
        <v>16</v>
      </c>
      <c r="AM3925" s="4">
        <v>16</v>
      </c>
      <c r="AN3925" s="4">
        <v>0</v>
      </c>
      <c r="AO3925" s="4">
        <v>0</v>
      </c>
      <c r="AP3925" s="4">
        <v>0</v>
      </c>
      <c r="AQ3925" s="4">
        <v>1</v>
      </c>
      <c r="AR3925" s="3" t="s">
        <v>63</v>
      </c>
      <c r="AS3925" s="3" t="s">
        <v>63</v>
      </c>
      <c r="AT3925" s="3" t="s">
        <v>62</v>
      </c>
      <c r="AU3925" s="6" t="str">
        <f>HYPERLINK("http://catalog.hathitrust.org/Record/101939605","HathiTrust Record")</f>
        <v>HathiTrust Record</v>
      </c>
      <c r="AV3925" s="6" t="str">
        <f>HYPERLINK("http://mcgill.on.worldcat.org/oclc/28220198","Catalog Record")</f>
        <v>Catalog Record</v>
      </c>
      <c r="AW3925" s="6" t="str">
        <f>HYPERLINK("http://www.worldcat.org/oclc/28220198","WorldCat Record")</f>
        <v>WorldCat Record</v>
      </c>
      <c r="AX3925" s="3" t="s">
        <v>33502</v>
      </c>
      <c r="AY3925" s="3" t="s">
        <v>33503</v>
      </c>
      <c r="AZ3925" s="3" t="s">
        <v>33504</v>
      </c>
      <c r="BA3925" s="3" t="s">
        <v>33504</v>
      </c>
      <c r="BB3925" s="3" t="s">
        <v>33505</v>
      </c>
      <c r="BC3925" s="3" t="s">
        <v>82</v>
      </c>
      <c r="BD3925" s="3" t="s">
        <v>70</v>
      </c>
      <c r="BE3925" s="3" t="s">
        <v>33506</v>
      </c>
      <c r="BF3925" s="3" t="s">
        <v>33505</v>
      </c>
      <c r="BG3925" s="3" t="s">
        <v>33507</v>
      </c>
    </row>
    <row r="3926" spans="1:59" ht="60" x14ac:dyDescent="0.25">
      <c r="A3926" s="2" t="s">
        <v>59</v>
      </c>
      <c r="B3926" s="2" t="s">
        <v>60</v>
      </c>
      <c r="C3926" s="2" t="s">
        <v>33496</v>
      </c>
      <c r="D3926" s="2" t="s">
        <v>33497</v>
      </c>
      <c r="E3926" s="2" t="s">
        <v>33498</v>
      </c>
      <c r="F3926" s="3" t="s">
        <v>571</v>
      </c>
      <c r="G3926" s="3" t="s">
        <v>62</v>
      </c>
      <c r="I3926" s="3" t="s">
        <v>63</v>
      </c>
      <c r="J3926" s="3" t="s">
        <v>63</v>
      </c>
      <c r="K3926" s="3" t="s">
        <v>64</v>
      </c>
      <c r="L3926" s="2" t="s">
        <v>33499</v>
      </c>
      <c r="M3926" s="2" t="s">
        <v>33500</v>
      </c>
      <c r="N3926" s="3" t="s">
        <v>480</v>
      </c>
      <c r="P3926" s="3" t="s">
        <v>90</v>
      </c>
      <c r="R3926" s="3" t="s">
        <v>67</v>
      </c>
      <c r="S3926" s="4">
        <v>8</v>
      </c>
      <c r="T3926" s="4">
        <v>12</v>
      </c>
      <c r="U3926" s="5" t="s">
        <v>2795</v>
      </c>
      <c r="V3926" s="5" t="s">
        <v>2795</v>
      </c>
      <c r="W3926" s="5" t="s">
        <v>69</v>
      </c>
      <c r="X3926" s="5" t="s">
        <v>69</v>
      </c>
      <c r="Y3926" s="4">
        <v>26</v>
      </c>
      <c r="Z3926" s="4">
        <v>1</v>
      </c>
      <c r="AA3926" s="4">
        <v>2</v>
      </c>
      <c r="AB3926" s="4">
        <v>1</v>
      </c>
      <c r="AC3926" s="4">
        <v>1</v>
      </c>
      <c r="AD3926" s="4">
        <v>21</v>
      </c>
      <c r="AE3926" s="4">
        <v>22</v>
      </c>
      <c r="AF3926" s="4">
        <v>0</v>
      </c>
      <c r="AG3926" s="4">
        <v>0</v>
      </c>
      <c r="AH3926" s="4">
        <v>20</v>
      </c>
      <c r="AI3926" s="4">
        <v>21</v>
      </c>
      <c r="AJ3926" s="4">
        <v>0</v>
      </c>
      <c r="AK3926" s="4">
        <v>1</v>
      </c>
      <c r="AL3926" s="4">
        <v>16</v>
      </c>
      <c r="AM3926" s="4">
        <v>16</v>
      </c>
      <c r="AN3926" s="4">
        <v>0</v>
      </c>
      <c r="AO3926" s="4">
        <v>0</v>
      </c>
      <c r="AP3926" s="4">
        <v>0</v>
      </c>
      <c r="AQ3926" s="4">
        <v>1</v>
      </c>
      <c r="AR3926" s="3" t="s">
        <v>63</v>
      </c>
      <c r="AS3926" s="3" t="s">
        <v>63</v>
      </c>
      <c r="AT3926" s="3" t="s">
        <v>62</v>
      </c>
      <c r="AU3926" s="6" t="str">
        <f>HYPERLINK("http://catalog.hathitrust.org/Record/101939605","HathiTrust Record")</f>
        <v>HathiTrust Record</v>
      </c>
      <c r="AV3926" s="6" t="str">
        <f>HYPERLINK("http://mcgill.on.worldcat.org/oclc/28220198","Catalog Record")</f>
        <v>Catalog Record</v>
      </c>
      <c r="AW3926" s="6" t="str">
        <f>HYPERLINK("http://www.worldcat.org/oclc/28220198","WorldCat Record")</f>
        <v>WorldCat Record</v>
      </c>
      <c r="AX3926" s="3" t="s">
        <v>33502</v>
      </c>
      <c r="AY3926" s="3" t="s">
        <v>33503</v>
      </c>
      <c r="AZ3926" s="3" t="s">
        <v>33504</v>
      </c>
      <c r="BA3926" s="3" t="s">
        <v>33504</v>
      </c>
      <c r="BB3926" s="3" t="s">
        <v>33508</v>
      </c>
      <c r="BC3926" s="3" t="s">
        <v>82</v>
      </c>
      <c r="BD3926" s="3" t="s">
        <v>70</v>
      </c>
      <c r="BE3926" s="3" t="s">
        <v>33506</v>
      </c>
      <c r="BF3926" s="3" t="s">
        <v>33508</v>
      </c>
      <c r="BG3926" s="3" t="s">
        <v>33509</v>
      </c>
    </row>
    <row r="3927" spans="1:59" ht="60" x14ac:dyDescent="0.25">
      <c r="A3927" s="2" t="s">
        <v>59</v>
      </c>
      <c r="B3927" s="2" t="s">
        <v>60</v>
      </c>
      <c r="C3927" s="2" t="s">
        <v>33496</v>
      </c>
      <c r="D3927" s="2" t="s">
        <v>33497</v>
      </c>
      <c r="E3927" s="2" t="s">
        <v>33498</v>
      </c>
      <c r="F3927" s="3" t="s">
        <v>4437</v>
      </c>
      <c r="G3927" s="3" t="s">
        <v>62</v>
      </c>
      <c r="I3927" s="3" t="s">
        <v>63</v>
      </c>
      <c r="J3927" s="3" t="s">
        <v>63</v>
      </c>
      <c r="K3927" s="3" t="s">
        <v>64</v>
      </c>
      <c r="L3927" s="2" t="s">
        <v>33499</v>
      </c>
      <c r="M3927" s="2" t="s">
        <v>33500</v>
      </c>
      <c r="N3927" s="3" t="s">
        <v>480</v>
      </c>
      <c r="P3927" s="3" t="s">
        <v>90</v>
      </c>
      <c r="R3927" s="3" t="s">
        <v>67</v>
      </c>
      <c r="S3927" s="4">
        <v>0</v>
      </c>
      <c r="T3927" s="4">
        <v>12</v>
      </c>
      <c r="V3927" s="5" t="s">
        <v>2795</v>
      </c>
      <c r="W3927" s="5" t="s">
        <v>69</v>
      </c>
      <c r="X3927" s="5" t="s">
        <v>69</v>
      </c>
      <c r="Y3927" s="4">
        <v>26</v>
      </c>
      <c r="Z3927" s="4">
        <v>1</v>
      </c>
      <c r="AA3927" s="4">
        <v>2</v>
      </c>
      <c r="AB3927" s="4">
        <v>1</v>
      </c>
      <c r="AC3927" s="4">
        <v>1</v>
      </c>
      <c r="AD3927" s="4">
        <v>21</v>
      </c>
      <c r="AE3927" s="4">
        <v>22</v>
      </c>
      <c r="AF3927" s="4">
        <v>0</v>
      </c>
      <c r="AG3927" s="4">
        <v>0</v>
      </c>
      <c r="AH3927" s="4">
        <v>20</v>
      </c>
      <c r="AI3927" s="4">
        <v>21</v>
      </c>
      <c r="AJ3927" s="4">
        <v>0</v>
      </c>
      <c r="AK3927" s="4">
        <v>1</v>
      </c>
      <c r="AL3927" s="4">
        <v>16</v>
      </c>
      <c r="AM3927" s="4">
        <v>16</v>
      </c>
      <c r="AN3927" s="4">
        <v>0</v>
      </c>
      <c r="AO3927" s="4">
        <v>0</v>
      </c>
      <c r="AP3927" s="4">
        <v>0</v>
      </c>
      <c r="AQ3927" s="4">
        <v>1</v>
      </c>
      <c r="AR3927" s="3" t="s">
        <v>63</v>
      </c>
      <c r="AS3927" s="3" t="s">
        <v>63</v>
      </c>
      <c r="AT3927" s="3" t="s">
        <v>62</v>
      </c>
      <c r="AU3927" s="6" t="str">
        <f>HYPERLINK("http://catalog.hathitrust.org/Record/101939605","HathiTrust Record")</f>
        <v>HathiTrust Record</v>
      </c>
      <c r="AV3927" s="6" t="str">
        <f>HYPERLINK("http://mcgill.on.worldcat.org/oclc/28220198","Catalog Record")</f>
        <v>Catalog Record</v>
      </c>
      <c r="AW3927" s="6" t="str">
        <f>HYPERLINK("http://www.worldcat.org/oclc/28220198","WorldCat Record")</f>
        <v>WorldCat Record</v>
      </c>
      <c r="AX3927" s="3" t="s">
        <v>33502</v>
      </c>
      <c r="AY3927" s="3" t="s">
        <v>33503</v>
      </c>
      <c r="AZ3927" s="3" t="s">
        <v>33504</v>
      </c>
      <c r="BA3927" s="3" t="s">
        <v>33504</v>
      </c>
      <c r="BB3927" s="3" t="s">
        <v>33510</v>
      </c>
      <c r="BC3927" s="3" t="s">
        <v>82</v>
      </c>
      <c r="BD3927" s="3" t="s">
        <v>70</v>
      </c>
      <c r="BE3927" s="3" t="s">
        <v>33506</v>
      </c>
      <c r="BF3927" s="3" t="s">
        <v>33510</v>
      </c>
      <c r="BG3927" s="3" t="s">
        <v>33511</v>
      </c>
    </row>
    <row r="3928" spans="1:59" ht="60" x14ac:dyDescent="0.25">
      <c r="A3928" s="2" t="s">
        <v>59</v>
      </c>
      <c r="B3928" s="2" t="s">
        <v>60</v>
      </c>
      <c r="C3928" s="2" t="s">
        <v>33485</v>
      </c>
      <c r="D3928" s="2" t="s">
        <v>33486</v>
      </c>
      <c r="E3928" s="2" t="s">
        <v>33487</v>
      </c>
      <c r="G3928" s="3" t="s">
        <v>63</v>
      </c>
      <c r="I3928" s="3" t="s">
        <v>63</v>
      </c>
      <c r="J3928" s="3" t="s">
        <v>63</v>
      </c>
      <c r="K3928" s="3" t="s">
        <v>64</v>
      </c>
      <c r="L3928" s="2" t="s">
        <v>33488</v>
      </c>
      <c r="M3928" s="2" t="s">
        <v>33489</v>
      </c>
      <c r="N3928" s="3" t="s">
        <v>143</v>
      </c>
      <c r="P3928" s="3" t="s">
        <v>66</v>
      </c>
      <c r="R3928" s="3" t="s">
        <v>67</v>
      </c>
      <c r="S3928" s="4">
        <v>3</v>
      </c>
      <c r="T3928" s="4">
        <v>3</v>
      </c>
      <c r="U3928" s="5" t="s">
        <v>5165</v>
      </c>
      <c r="V3928" s="5" t="s">
        <v>5165</v>
      </c>
      <c r="W3928" s="5" t="s">
        <v>69</v>
      </c>
      <c r="X3928" s="5" t="s">
        <v>69</v>
      </c>
      <c r="Y3928" s="4">
        <v>21</v>
      </c>
      <c r="Z3928" s="4">
        <v>2</v>
      </c>
      <c r="AA3928" s="4">
        <v>2</v>
      </c>
      <c r="AB3928" s="4">
        <v>1</v>
      </c>
      <c r="AC3928" s="4">
        <v>1</v>
      </c>
      <c r="AD3928" s="4">
        <v>9</v>
      </c>
      <c r="AE3928" s="4">
        <v>9</v>
      </c>
      <c r="AF3928" s="4">
        <v>0</v>
      </c>
      <c r="AG3928" s="4">
        <v>0</v>
      </c>
      <c r="AH3928" s="4">
        <v>8</v>
      </c>
      <c r="AI3928" s="4">
        <v>8</v>
      </c>
      <c r="AJ3928" s="4">
        <v>0</v>
      </c>
      <c r="AK3928" s="4">
        <v>0</v>
      </c>
      <c r="AL3928" s="4">
        <v>7</v>
      </c>
      <c r="AM3928" s="4">
        <v>7</v>
      </c>
      <c r="AN3928" s="4">
        <v>0</v>
      </c>
      <c r="AO3928" s="4">
        <v>0</v>
      </c>
      <c r="AP3928" s="4">
        <v>0</v>
      </c>
      <c r="AQ3928" s="4">
        <v>0</v>
      </c>
      <c r="AR3928" s="3" t="s">
        <v>63</v>
      </c>
      <c r="AS3928" s="3" t="s">
        <v>63</v>
      </c>
      <c r="AT3928" s="3" t="s">
        <v>63</v>
      </c>
      <c r="AV3928" s="6" t="str">
        <f>HYPERLINK("http://mcgill.on.worldcat.org/oclc/883426554","Catalog Record")</f>
        <v>Catalog Record</v>
      </c>
      <c r="AW3928" s="6" t="str">
        <f>HYPERLINK("http://www.worldcat.org/oclc/883426554","WorldCat Record")</f>
        <v>WorldCat Record</v>
      </c>
      <c r="AX3928" s="3" t="s">
        <v>33490</v>
      </c>
      <c r="AY3928" s="3" t="s">
        <v>33491</v>
      </c>
      <c r="AZ3928" s="3" t="s">
        <v>33492</v>
      </c>
      <c r="BA3928" s="3" t="s">
        <v>33492</v>
      </c>
      <c r="BB3928" s="3" t="s">
        <v>33493</v>
      </c>
      <c r="BC3928" s="3" t="s">
        <v>82</v>
      </c>
      <c r="BD3928" s="3" t="s">
        <v>70</v>
      </c>
      <c r="BE3928" s="3" t="s">
        <v>33494</v>
      </c>
      <c r="BF3928" s="3" t="s">
        <v>33493</v>
      </c>
      <c r="BG3928" s="3" t="s">
        <v>33495</v>
      </c>
    </row>
    <row r="3929" spans="1:59" ht="60" x14ac:dyDescent="0.25">
      <c r="A3929" s="2" t="s">
        <v>59</v>
      </c>
      <c r="B3929" s="2" t="s">
        <v>60</v>
      </c>
      <c r="C3929" s="2" t="s">
        <v>33512</v>
      </c>
      <c r="D3929" s="2" t="s">
        <v>33513</v>
      </c>
      <c r="E3929" s="2" t="s">
        <v>33514</v>
      </c>
      <c r="G3929" s="3" t="s">
        <v>63</v>
      </c>
      <c r="I3929" s="3" t="s">
        <v>63</v>
      </c>
      <c r="J3929" s="3" t="s">
        <v>63</v>
      </c>
      <c r="K3929" s="3" t="s">
        <v>64</v>
      </c>
      <c r="L3929" s="2" t="s">
        <v>33515</v>
      </c>
      <c r="M3929" s="2" t="s">
        <v>33516</v>
      </c>
      <c r="N3929" s="3" t="s">
        <v>1113</v>
      </c>
      <c r="P3929" s="3" t="s">
        <v>90</v>
      </c>
      <c r="Q3929" s="2" t="s">
        <v>33517</v>
      </c>
      <c r="R3929" s="3" t="s">
        <v>67</v>
      </c>
      <c r="S3929" s="4">
        <v>5</v>
      </c>
      <c r="T3929" s="4">
        <v>5</v>
      </c>
      <c r="U3929" s="5" t="s">
        <v>16671</v>
      </c>
      <c r="V3929" s="5" t="s">
        <v>16671</v>
      </c>
      <c r="W3929" s="5" t="s">
        <v>69</v>
      </c>
      <c r="X3929" s="5" t="s">
        <v>69</v>
      </c>
      <c r="Y3929" s="4">
        <v>55</v>
      </c>
      <c r="Z3929" s="4">
        <v>5</v>
      </c>
      <c r="AA3929" s="4">
        <v>5</v>
      </c>
      <c r="AB3929" s="4">
        <v>1</v>
      </c>
      <c r="AC3929" s="4">
        <v>1</v>
      </c>
      <c r="AD3929" s="4">
        <v>38</v>
      </c>
      <c r="AE3929" s="4">
        <v>38</v>
      </c>
      <c r="AF3929" s="4">
        <v>0</v>
      </c>
      <c r="AG3929" s="4">
        <v>0</v>
      </c>
      <c r="AH3929" s="4">
        <v>38</v>
      </c>
      <c r="AI3929" s="4">
        <v>38</v>
      </c>
      <c r="AJ3929" s="4">
        <v>3</v>
      </c>
      <c r="AK3929" s="4">
        <v>3</v>
      </c>
      <c r="AL3929" s="4">
        <v>29</v>
      </c>
      <c r="AM3929" s="4">
        <v>29</v>
      </c>
      <c r="AN3929" s="4">
        <v>0</v>
      </c>
      <c r="AO3929" s="4">
        <v>0</v>
      </c>
      <c r="AP3929" s="4">
        <v>3</v>
      </c>
      <c r="AQ3929" s="4">
        <v>3</v>
      </c>
      <c r="AR3929" s="3" t="s">
        <v>63</v>
      </c>
      <c r="AS3929" s="3" t="s">
        <v>63</v>
      </c>
      <c r="AT3929" s="3" t="s">
        <v>62</v>
      </c>
      <c r="AU3929" s="6" t="str">
        <f>HYPERLINK("http://catalog.hathitrust.org/Record/003269809","HathiTrust Record")</f>
        <v>HathiTrust Record</v>
      </c>
      <c r="AV3929" s="6" t="str">
        <f>HYPERLINK("http://mcgill.on.worldcat.org/oclc/37160507","Catalog Record")</f>
        <v>Catalog Record</v>
      </c>
      <c r="AW3929" s="6" t="str">
        <f>HYPERLINK("http://www.worldcat.org/oclc/37160507","WorldCat Record")</f>
        <v>WorldCat Record</v>
      </c>
      <c r="AX3929" s="3" t="s">
        <v>33518</v>
      </c>
      <c r="AY3929" s="3" t="s">
        <v>33519</v>
      </c>
      <c r="AZ3929" s="3" t="s">
        <v>33520</v>
      </c>
      <c r="BA3929" s="3" t="s">
        <v>33520</v>
      </c>
      <c r="BB3929" s="3" t="s">
        <v>33521</v>
      </c>
      <c r="BC3929" s="3" t="s">
        <v>82</v>
      </c>
      <c r="BD3929" s="3" t="s">
        <v>70</v>
      </c>
      <c r="BE3929" s="3" t="s">
        <v>33522</v>
      </c>
      <c r="BF3929" s="3" t="s">
        <v>33521</v>
      </c>
      <c r="BG3929" s="3" t="s">
        <v>33523</v>
      </c>
    </row>
    <row r="3930" spans="1:59" ht="75" x14ac:dyDescent="0.25">
      <c r="A3930" s="2" t="s">
        <v>59</v>
      </c>
      <c r="B3930" s="2" t="s">
        <v>60</v>
      </c>
      <c r="C3930" s="2" t="s">
        <v>33524</v>
      </c>
      <c r="D3930" s="2" t="s">
        <v>33525</v>
      </c>
      <c r="E3930" s="2" t="s">
        <v>33526</v>
      </c>
      <c r="G3930" s="3" t="s">
        <v>63</v>
      </c>
      <c r="I3930" s="3" t="s">
        <v>63</v>
      </c>
      <c r="J3930" s="3" t="s">
        <v>63</v>
      </c>
      <c r="K3930" s="3" t="s">
        <v>64</v>
      </c>
      <c r="L3930" s="2" t="s">
        <v>33527</v>
      </c>
      <c r="M3930" s="2" t="s">
        <v>33528</v>
      </c>
      <c r="N3930" s="3" t="s">
        <v>234</v>
      </c>
      <c r="P3930" s="3" t="s">
        <v>90</v>
      </c>
      <c r="R3930" s="3" t="s">
        <v>67</v>
      </c>
      <c r="S3930" s="4">
        <v>2</v>
      </c>
      <c r="T3930" s="4">
        <v>2</v>
      </c>
      <c r="U3930" s="5" t="s">
        <v>12050</v>
      </c>
      <c r="V3930" s="5" t="s">
        <v>12050</v>
      </c>
      <c r="W3930" s="5" t="s">
        <v>69</v>
      </c>
      <c r="X3930" s="5" t="s">
        <v>69</v>
      </c>
      <c r="Y3930" s="4">
        <v>51</v>
      </c>
      <c r="Z3930" s="4">
        <v>5</v>
      </c>
      <c r="AA3930" s="4">
        <v>5</v>
      </c>
      <c r="AB3930" s="4">
        <v>1</v>
      </c>
      <c r="AC3930" s="4">
        <v>1</v>
      </c>
      <c r="AD3930" s="4">
        <v>38</v>
      </c>
      <c r="AE3930" s="4">
        <v>38</v>
      </c>
      <c r="AF3930" s="4">
        <v>0</v>
      </c>
      <c r="AG3930" s="4">
        <v>0</v>
      </c>
      <c r="AH3930" s="4">
        <v>36</v>
      </c>
      <c r="AI3930" s="4">
        <v>36</v>
      </c>
      <c r="AJ3930" s="4">
        <v>2</v>
      </c>
      <c r="AK3930" s="4">
        <v>2</v>
      </c>
      <c r="AL3930" s="4">
        <v>30</v>
      </c>
      <c r="AM3930" s="4">
        <v>30</v>
      </c>
      <c r="AN3930" s="4">
        <v>0</v>
      </c>
      <c r="AO3930" s="4">
        <v>0</v>
      </c>
      <c r="AP3930" s="4">
        <v>2</v>
      </c>
      <c r="AQ3930" s="4">
        <v>2</v>
      </c>
      <c r="AR3930" s="3" t="s">
        <v>63</v>
      </c>
      <c r="AS3930" s="3" t="s">
        <v>63</v>
      </c>
      <c r="AT3930" s="3" t="s">
        <v>63</v>
      </c>
      <c r="AV3930" s="6" t="str">
        <f>HYPERLINK("http://mcgill.on.worldcat.org/oclc/70329630","Catalog Record")</f>
        <v>Catalog Record</v>
      </c>
      <c r="AW3930" s="6" t="str">
        <f>HYPERLINK("http://www.worldcat.org/oclc/70329630","WorldCat Record")</f>
        <v>WorldCat Record</v>
      </c>
      <c r="AX3930" s="3" t="s">
        <v>33529</v>
      </c>
      <c r="AY3930" s="3" t="s">
        <v>33530</v>
      </c>
      <c r="AZ3930" s="3" t="s">
        <v>33531</v>
      </c>
      <c r="BA3930" s="3" t="s">
        <v>33531</v>
      </c>
      <c r="BB3930" s="3" t="s">
        <v>33532</v>
      </c>
      <c r="BC3930" s="3" t="s">
        <v>82</v>
      </c>
      <c r="BD3930" s="3" t="s">
        <v>70</v>
      </c>
      <c r="BE3930" s="3" t="s">
        <v>33533</v>
      </c>
      <c r="BF3930" s="3" t="s">
        <v>33532</v>
      </c>
      <c r="BG3930" s="3" t="s">
        <v>33534</v>
      </c>
    </row>
    <row r="3931" spans="1:59" ht="75" x14ac:dyDescent="0.25">
      <c r="A3931" s="2" t="s">
        <v>59</v>
      </c>
      <c r="B3931" s="2" t="s">
        <v>60</v>
      </c>
      <c r="C3931" s="2" t="s">
        <v>33535</v>
      </c>
      <c r="D3931" s="2" t="s">
        <v>33536</v>
      </c>
      <c r="E3931" s="2" t="s">
        <v>33537</v>
      </c>
      <c r="G3931" s="3" t="s">
        <v>63</v>
      </c>
      <c r="I3931" s="3" t="s">
        <v>63</v>
      </c>
      <c r="J3931" s="3" t="s">
        <v>63</v>
      </c>
      <c r="K3931" s="3" t="s">
        <v>64</v>
      </c>
      <c r="L3931" s="2" t="s">
        <v>33538</v>
      </c>
      <c r="M3931" s="2" t="s">
        <v>33539</v>
      </c>
      <c r="N3931" s="3" t="s">
        <v>287</v>
      </c>
      <c r="P3931" s="3" t="s">
        <v>90</v>
      </c>
      <c r="R3931" s="3" t="s">
        <v>67</v>
      </c>
      <c r="S3931" s="4">
        <v>1</v>
      </c>
      <c r="T3931" s="4">
        <v>1</v>
      </c>
      <c r="U3931" s="5" t="s">
        <v>26057</v>
      </c>
      <c r="V3931" s="5" t="s">
        <v>26057</v>
      </c>
      <c r="W3931" s="5" t="s">
        <v>9728</v>
      </c>
      <c r="X3931" s="5" t="s">
        <v>9728</v>
      </c>
      <c r="Y3931" s="4">
        <v>44</v>
      </c>
      <c r="Z3931" s="4">
        <v>2</v>
      </c>
      <c r="AA3931" s="4">
        <v>2</v>
      </c>
      <c r="AB3931" s="4">
        <v>1</v>
      </c>
      <c r="AC3931" s="4">
        <v>1</v>
      </c>
      <c r="AD3931" s="4">
        <v>13</v>
      </c>
      <c r="AE3931" s="4">
        <v>13</v>
      </c>
      <c r="AF3931" s="4">
        <v>0</v>
      </c>
      <c r="AG3931" s="4">
        <v>0</v>
      </c>
      <c r="AH3931" s="4">
        <v>12</v>
      </c>
      <c r="AI3931" s="4">
        <v>12</v>
      </c>
      <c r="AJ3931" s="4">
        <v>0</v>
      </c>
      <c r="AK3931" s="4">
        <v>0</v>
      </c>
      <c r="AL3931" s="4">
        <v>9</v>
      </c>
      <c r="AM3931" s="4">
        <v>9</v>
      </c>
      <c r="AN3931" s="4">
        <v>0</v>
      </c>
      <c r="AO3931" s="4">
        <v>0</v>
      </c>
      <c r="AP3931" s="4">
        <v>0</v>
      </c>
      <c r="AQ3931" s="4">
        <v>0</v>
      </c>
      <c r="AR3931" s="3" t="s">
        <v>63</v>
      </c>
      <c r="AS3931" s="3" t="s">
        <v>63</v>
      </c>
      <c r="AT3931" s="3" t="s">
        <v>63</v>
      </c>
      <c r="AV3931" s="6" t="str">
        <f>HYPERLINK("http://mcgill.on.worldcat.org/oclc/1079896418","Catalog Record")</f>
        <v>Catalog Record</v>
      </c>
      <c r="AW3931" s="6" t="str">
        <f>HYPERLINK("http://www.worldcat.org/oclc/1079896418","WorldCat Record")</f>
        <v>WorldCat Record</v>
      </c>
      <c r="AX3931" s="3" t="s">
        <v>33540</v>
      </c>
      <c r="AY3931" s="3" t="s">
        <v>33541</v>
      </c>
      <c r="AZ3931" s="3" t="s">
        <v>33542</v>
      </c>
      <c r="BA3931" s="3" t="s">
        <v>33542</v>
      </c>
      <c r="BB3931" s="3" t="s">
        <v>33543</v>
      </c>
      <c r="BC3931" s="3" t="s">
        <v>82</v>
      </c>
      <c r="BD3931" s="3" t="s">
        <v>70</v>
      </c>
      <c r="BE3931" s="3" t="s">
        <v>33544</v>
      </c>
      <c r="BF3931" s="3" t="s">
        <v>33543</v>
      </c>
      <c r="BG3931" s="3" t="s">
        <v>33545</v>
      </c>
    </row>
    <row r="3932" spans="1:59" ht="60" x14ac:dyDescent="0.25">
      <c r="A3932" s="2" t="s">
        <v>59</v>
      </c>
      <c r="B3932" s="2" t="s">
        <v>60</v>
      </c>
      <c r="C3932" s="2" t="s">
        <v>33546</v>
      </c>
      <c r="D3932" s="2" t="s">
        <v>33547</v>
      </c>
      <c r="E3932" s="2" t="s">
        <v>33548</v>
      </c>
      <c r="G3932" s="3" t="s">
        <v>63</v>
      </c>
      <c r="I3932" s="3" t="s">
        <v>63</v>
      </c>
      <c r="J3932" s="3" t="s">
        <v>63</v>
      </c>
      <c r="K3932" s="3" t="s">
        <v>64</v>
      </c>
      <c r="L3932" s="2" t="s">
        <v>33549</v>
      </c>
      <c r="M3932" s="2" t="s">
        <v>33550</v>
      </c>
      <c r="N3932" s="3" t="s">
        <v>204</v>
      </c>
      <c r="P3932" s="3" t="s">
        <v>90</v>
      </c>
      <c r="R3932" s="3" t="s">
        <v>67</v>
      </c>
      <c r="S3932" s="4">
        <v>11</v>
      </c>
      <c r="T3932" s="4">
        <v>11</v>
      </c>
      <c r="U3932" s="5" t="s">
        <v>11793</v>
      </c>
      <c r="V3932" s="5" t="s">
        <v>11793</v>
      </c>
      <c r="W3932" s="5" t="s">
        <v>69</v>
      </c>
      <c r="X3932" s="5" t="s">
        <v>69</v>
      </c>
      <c r="Y3932" s="4">
        <v>14</v>
      </c>
      <c r="Z3932" s="4">
        <v>2</v>
      </c>
      <c r="AA3932" s="4">
        <v>9</v>
      </c>
      <c r="AB3932" s="4">
        <v>1</v>
      </c>
      <c r="AC3932" s="4">
        <v>1</v>
      </c>
      <c r="AD3932" s="4">
        <v>10</v>
      </c>
      <c r="AE3932" s="4">
        <v>26</v>
      </c>
      <c r="AF3932" s="4">
        <v>0</v>
      </c>
      <c r="AG3932" s="4">
        <v>0</v>
      </c>
      <c r="AH3932" s="4">
        <v>10</v>
      </c>
      <c r="AI3932" s="4">
        <v>25</v>
      </c>
      <c r="AJ3932" s="4">
        <v>1</v>
      </c>
      <c r="AK3932" s="4">
        <v>5</v>
      </c>
      <c r="AL3932" s="4">
        <v>7</v>
      </c>
      <c r="AM3932" s="4">
        <v>19</v>
      </c>
      <c r="AN3932" s="4">
        <v>0</v>
      </c>
      <c r="AO3932" s="4">
        <v>0</v>
      </c>
      <c r="AP3932" s="4">
        <v>1</v>
      </c>
      <c r="AQ3932" s="4">
        <v>5</v>
      </c>
      <c r="AR3932" s="3" t="s">
        <v>63</v>
      </c>
      <c r="AS3932" s="3" t="s">
        <v>63</v>
      </c>
      <c r="AT3932" s="3" t="s">
        <v>62</v>
      </c>
      <c r="AU3932" s="6" t="str">
        <f>HYPERLINK("http://catalog.hathitrust.org/Record/003269761","HathiTrust Record")</f>
        <v>HathiTrust Record</v>
      </c>
      <c r="AV3932" s="6" t="str">
        <f>HYPERLINK("http://mcgill.on.worldcat.org/oclc/36660620","Catalog Record")</f>
        <v>Catalog Record</v>
      </c>
      <c r="AW3932" s="6" t="str">
        <f>HYPERLINK("http://www.worldcat.org/oclc/36660620","WorldCat Record")</f>
        <v>WorldCat Record</v>
      </c>
      <c r="AX3932" s="3" t="s">
        <v>33551</v>
      </c>
      <c r="AY3932" s="3" t="s">
        <v>33552</v>
      </c>
      <c r="AZ3932" s="3" t="s">
        <v>33553</v>
      </c>
      <c r="BA3932" s="3" t="s">
        <v>33553</v>
      </c>
      <c r="BB3932" s="3" t="s">
        <v>33554</v>
      </c>
      <c r="BC3932" s="3" t="s">
        <v>82</v>
      </c>
      <c r="BD3932" s="3" t="s">
        <v>538</v>
      </c>
      <c r="BE3932" s="3" t="s">
        <v>33555</v>
      </c>
      <c r="BF3932" s="3" t="s">
        <v>33554</v>
      </c>
      <c r="BG3932" s="3" t="s">
        <v>33556</v>
      </c>
    </row>
    <row r="3933" spans="1:59" ht="75" x14ac:dyDescent="0.25">
      <c r="A3933" s="2" t="s">
        <v>59</v>
      </c>
      <c r="B3933" s="2" t="s">
        <v>60</v>
      </c>
      <c r="C3933" s="2" t="s">
        <v>33557</v>
      </c>
      <c r="D3933" s="2" t="s">
        <v>33558</v>
      </c>
      <c r="E3933" s="2" t="s">
        <v>33559</v>
      </c>
      <c r="G3933" s="3" t="s">
        <v>63</v>
      </c>
      <c r="I3933" s="3" t="s">
        <v>63</v>
      </c>
      <c r="J3933" s="3" t="s">
        <v>63</v>
      </c>
      <c r="K3933" s="3" t="s">
        <v>64</v>
      </c>
      <c r="L3933" s="2" t="s">
        <v>28497</v>
      </c>
      <c r="M3933" s="2" t="s">
        <v>33560</v>
      </c>
      <c r="N3933" s="3" t="s">
        <v>261</v>
      </c>
      <c r="P3933" s="3" t="s">
        <v>66</v>
      </c>
      <c r="Q3933" s="2" t="s">
        <v>20292</v>
      </c>
      <c r="R3933" s="3" t="s">
        <v>67</v>
      </c>
      <c r="S3933" s="4">
        <v>17</v>
      </c>
      <c r="T3933" s="4">
        <v>17</v>
      </c>
      <c r="U3933" s="5" t="s">
        <v>17281</v>
      </c>
      <c r="V3933" s="5" t="s">
        <v>17281</v>
      </c>
      <c r="W3933" s="5" t="s">
        <v>69</v>
      </c>
      <c r="X3933" s="5" t="s">
        <v>69</v>
      </c>
      <c r="Y3933" s="4">
        <v>414</v>
      </c>
      <c r="Z3933" s="4">
        <v>21</v>
      </c>
      <c r="AA3933" s="4">
        <v>23</v>
      </c>
      <c r="AB3933" s="4">
        <v>3</v>
      </c>
      <c r="AC3933" s="4">
        <v>4</v>
      </c>
      <c r="AD3933" s="4">
        <v>76</v>
      </c>
      <c r="AE3933" s="4">
        <v>76</v>
      </c>
      <c r="AF3933" s="4">
        <v>0</v>
      </c>
      <c r="AG3933" s="4">
        <v>0</v>
      </c>
      <c r="AH3933" s="4">
        <v>71</v>
      </c>
      <c r="AI3933" s="4">
        <v>71</v>
      </c>
      <c r="AJ3933" s="4">
        <v>11</v>
      </c>
      <c r="AK3933" s="4">
        <v>11</v>
      </c>
      <c r="AL3933" s="4">
        <v>42</v>
      </c>
      <c r="AM3933" s="4">
        <v>42</v>
      </c>
      <c r="AN3933" s="4">
        <v>0</v>
      </c>
      <c r="AO3933" s="4">
        <v>0</v>
      </c>
      <c r="AP3933" s="4">
        <v>11</v>
      </c>
      <c r="AQ3933" s="4">
        <v>11</v>
      </c>
      <c r="AR3933" s="3" t="s">
        <v>63</v>
      </c>
      <c r="AS3933" s="3" t="s">
        <v>63</v>
      </c>
      <c r="AT3933" s="3" t="s">
        <v>63</v>
      </c>
      <c r="AV3933" s="6" t="str">
        <f>HYPERLINK("http://mcgill.on.worldcat.org/oclc/82473736","Catalog Record")</f>
        <v>Catalog Record</v>
      </c>
      <c r="AW3933" s="6" t="str">
        <f>HYPERLINK("http://www.worldcat.org/oclc/82473736","WorldCat Record")</f>
        <v>WorldCat Record</v>
      </c>
      <c r="AX3933" s="3" t="s">
        <v>33561</v>
      </c>
      <c r="AY3933" s="3" t="s">
        <v>33562</v>
      </c>
      <c r="AZ3933" s="3" t="s">
        <v>33563</v>
      </c>
      <c r="BA3933" s="3" t="s">
        <v>33563</v>
      </c>
      <c r="BB3933" s="3" t="s">
        <v>33564</v>
      </c>
      <c r="BC3933" s="3" t="s">
        <v>82</v>
      </c>
      <c r="BD3933" s="3" t="s">
        <v>538</v>
      </c>
      <c r="BE3933" s="3" t="s">
        <v>33565</v>
      </c>
      <c r="BF3933" s="3" t="s">
        <v>33564</v>
      </c>
      <c r="BG3933" s="3" t="s">
        <v>33566</v>
      </c>
    </row>
    <row r="3934" spans="1:59" ht="75" x14ac:dyDescent="0.25">
      <c r="A3934" s="2" t="s">
        <v>59</v>
      </c>
      <c r="B3934" s="2" t="s">
        <v>60</v>
      </c>
      <c r="C3934" s="2" t="s">
        <v>33567</v>
      </c>
      <c r="D3934" s="2" t="s">
        <v>33568</v>
      </c>
      <c r="E3934" s="2" t="s">
        <v>33569</v>
      </c>
      <c r="G3934" s="3" t="s">
        <v>63</v>
      </c>
      <c r="I3934" s="3" t="s">
        <v>62</v>
      </c>
      <c r="J3934" s="3" t="s">
        <v>63</v>
      </c>
      <c r="K3934" s="3" t="s">
        <v>64</v>
      </c>
      <c r="L3934" s="2" t="s">
        <v>28538</v>
      </c>
      <c r="M3934" s="2" t="s">
        <v>33570</v>
      </c>
      <c r="N3934" s="3" t="s">
        <v>287</v>
      </c>
      <c r="O3934" s="2" t="s">
        <v>1605</v>
      </c>
      <c r="P3934" s="3" t="s">
        <v>66</v>
      </c>
      <c r="R3934" s="3" t="s">
        <v>67</v>
      </c>
      <c r="S3934" s="4">
        <v>3</v>
      </c>
      <c r="T3934" s="4">
        <v>3</v>
      </c>
      <c r="U3934" s="5" t="s">
        <v>11733</v>
      </c>
      <c r="V3934" s="5" t="s">
        <v>11733</v>
      </c>
      <c r="W3934" s="5" t="s">
        <v>69</v>
      </c>
      <c r="X3934" s="5" t="s">
        <v>12326</v>
      </c>
      <c r="Y3934" s="4">
        <v>450</v>
      </c>
      <c r="Z3934" s="4">
        <v>13</v>
      </c>
      <c r="AA3934" s="4">
        <v>18</v>
      </c>
      <c r="AB3934" s="4">
        <v>3</v>
      </c>
      <c r="AC3934" s="4">
        <v>6</v>
      </c>
      <c r="AD3934" s="4">
        <v>70</v>
      </c>
      <c r="AE3934" s="4">
        <v>73</v>
      </c>
      <c r="AF3934" s="4">
        <v>0</v>
      </c>
      <c r="AG3934" s="4">
        <v>0</v>
      </c>
      <c r="AH3934" s="4">
        <v>65</v>
      </c>
      <c r="AI3934" s="4">
        <v>67</v>
      </c>
      <c r="AJ3934" s="4">
        <v>8</v>
      </c>
      <c r="AK3934" s="4">
        <v>8</v>
      </c>
      <c r="AL3934" s="4">
        <v>42</v>
      </c>
      <c r="AM3934" s="4">
        <v>44</v>
      </c>
      <c r="AN3934" s="4">
        <v>0</v>
      </c>
      <c r="AO3934" s="4">
        <v>0</v>
      </c>
      <c r="AP3934" s="4">
        <v>8</v>
      </c>
      <c r="AQ3934" s="4">
        <v>9</v>
      </c>
      <c r="AR3934" s="3" t="s">
        <v>63</v>
      </c>
      <c r="AS3934" s="3" t="s">
        <v>63</v>
      </c>
      <c r="AT3934" s="3" t="s">
        <v>63</v>
      </c>
      <c r="AV3934" s="6" t="str">
        <f>HYPERLINK("http://mcgill.on.worldcat.org/oclc/992221742","Catalog Record")</f>
        <v>Catalog Record</v>
      </c>
      <c r="AW3934" s="6" t="str">
        <f>HYPERLINK("http://www.worldcat.org/oclc/992221742","WorldCat Record")</f>
        <v>WorldCat Record</v>
      </c>
      <c r="AX3934" s="3" t="s">
        <v>33571</v>
      </c>
      <c r="AY3934" s="3" t="s">
        <v>33572</v>
      </c>
      <c r="AZ3934" s="3" t="s">
        <v>33573</v>
      </c>
      <c r="BA3934" s="3" t="s">
        <v>33573</v>
      </c>
      <c r="BB3934" s="3" t="s">
        <v>33574</v>
      </c>
      <c r="BC3934" s="3" t="s">
        <v>82</v>
      </c>
      <c r="BD3934" s="3" t="s">
        <v>70</v>
      </c>
      <c r="BE3934" s="3" t="s">
        <v>33575</v>
      </c>
      <c r="BF3934" s="3" t="s">
        <v>33574</v>
      </c>
      <c r="BG3934" s="3" t="s">
        <v>33576</v>
      </c>
    </row>
    <row r="3935" spans="1:59" ht="60" x14ac:dyDescent="0.25">
      <c r="A3935" s="2" t="s">
        <v>59</v>
      </c>
      <c r="B3935" s="2" t="s">
        <v>60</v>
      </c>
      <c r="C3935" s="2" t="s">
        <v>33580</v>
      </c>
      <c r="D3935" s="2" t="s">
        <v>33581</v>
      </c>
      <c r="E3935" s="2" t="s">
        <v>33582</v>
      </c>
      <c r="G3935" s="3" t="s">
        <v>63</v>
      </c>
      <c r="I3935" s="3" t="s">
        <v>63</v>
      </c>
      <c r="J3935" s="3" t="s">
        <v>63</v>
      </c>
      <c r="K3935" s="3" t="s">
        <v>64</v>
      </c>
      <c r="L3935" s="2" t="s">
        <v>28538</v>
      </c>
      <c r="M3935" s="2" t="s">
        <v>33583</v>
      </c>
      <c r="N3935" s="3" t="s">
        <v>2765</v>
      </c>
      <c r="P3935" s="3" t="s">
        <v>90</v>
      </c>
      <c r="Q3935" s="2" t="s">
        <v>33584</v>
      </c>
      <c r="R3935" s="3" t="s">
        <v>67</v>
      </c>
      <c r="S3935" s="4">
        <v>2</v>
      </c>
      <c r="T3935" s="4">
        <v>2</v>
      </c>
      <c r="U3935" s="5" t="s">
        <v>23747</v>
      </c>
      <c r="V3935" s="5" t="s">
        <v>23747</v>
      </c>
      <c r="W3935" s="5" t="s">
        <v>69</v>
      </c>
      <c r="X3935" s="5" t="s">
        <v>69</v>
      </c>
      <c r="Y3935" s="4">
        <v>12</v>
      </c>
      <c r="Z3935" s="4">
        <v>3</v>
      </c>
      <c r="AA3935" s="4">
        <v>9</v>
      </c>
      <c r="AB3935" s="4">
        <v>1</v>
      </c>
      <c r="AC3935" s="4">
        <v>1</v>
      </c>
      <c r="AD3935" s="4">
        <v>5</v>
      </c>
      <c r="AE3935" s="4">
        <v>43</v>
      </c>
      <c r="AF3935" s="4">
        <v>0</v>
      </c>
      <c r="AG3935" s="4">
        <v>0</v>
      </c>
      <c r="AH3935" s="4">
        <v>5</v>
      </c>
      <c r="AI3935" s="4">
        <v>43</v>
      </c>
      <c r="AJ3935" s="4">
        <v>1</v>
      </c>
      <c r="AK3935" s="4">
        <v>4</v>
      </c>
      <c r="AL3935" s="4">
        <v>2</v>
      </c>
      <c r="AM3935" s="4">
        <v>29</v>
      </c>
      <c r="AN3935" s="4">
        <v>0</v>
      </c>
      <c r="AO3935" s="4">
        <v>0</v>
      </c>
      <c r="AP3935" s="4">
        <v>1</v>
      </c>
      <c r="AQ3935" s="4">
        <v>4</v>
      </c>
      <c r="AR3935" s="3" t="s">
        <v>63</v>
      </c>
      <c r="AS3935" s="3" t="s">
        <v>63</v>
      </c>
      <c r="AT3935" s="3" t="s">
        <v>63</v>
      </c>
      <c r="AV3935" s="6" t="str">
        <f>HYPERLINK("http://mcgill.on.worldcat.org/oclc/902634316","Catalog Record")</f>
        <v>Catalog Record</v>
      </c>
      <c r="AW3935" s="6" t="str">
        <f>HYPERLINK("http://www.worldcat.org/oclc/902634316","WorldCat Record")</f>
        <v>WorldCat Record</v>
      </c>
      <c r="AX3935" s="3" t="s">
        <v>33585</v>
      </c>
      <c r="AY3935" s="3" t="s">
        <v>33586</v>
      </c>
      <c r="AZ3935" s="3" t="s">
        <v>33587</v>
      </c>
      <c r="BA3935" s="3" t="s">
        <v>33587</v>
      </c>
      <c r="BB3935" s="3" t="s">
        <v>33588</v>
      </c>
      <c r="BC3935" s="3" t="s">
        <v>82</v>
      </c>
      <c r="BD3935" s="3" t="s">
        <v>70</v>
      </c>
      <c r="BE3935" s="3" t="s">
        <v>33589</v>
      </c>
      <c r="BF3935" s="3" t="s">
        <v>33588</v>
      </c>
      <c r="BG3935" s="3" t="s">
        <v>33590</v>
      </c>
    </row>
    <row r="3936" spans="1:59" ht="60" x14ac:dyDescent="0.25">
      <c r="A3936" s="2" t="s">
        <v>59</v>
      </c>
      <c r="B3936" s="2" t="s">
        <v>60</v>
      </c>
      <c r="C3936" s="2" t="s">
        <v>33591</v>
      </c>
      <c r="D3936" s="2" t="s">
        <v>33592</v>
      </c>
      <c r="E3936" s="2" t="s">
        <v>33593</v>
      </c>
      <c r="G3936" s="3" t="s">
        <v>63</v>
      </c>
      <c r="I3936" s="3" t="s">
        <v>63</v>
      </c>
      <c r="J3936" s="3" t="s">
        <v>63</v>
      </c>
      <c r="K3936" s="3" t="s">
        <v>64</v>
      </c>
      <c r="L3936" s="2" t="s">
        <v>28538</v>
      </c>
      <c r="M3936" s="2" t="s">
        <v>29530</v>
      </c>
      <c r="N3936" s="3" t="s">
        <v>2765</v>
      </c>
      <c r="P3936" s="3" t="s">
        <v>90</v>
      </c>
      <c r="R3936" s="3" t="s">
        <v>67</v>
      </c>
      <c r="S3936" s="4">
        <v>2</v>
      </c>
      <c r="T3936" s="4">
        <v>2</v>
      </c>
      <c r="U3936" s="5" t="s">
        <v>24669</v>
      </c>
      <c r="V3936" s="5" t="s">
        <v>24669</v>
      </c>
      <c r="W3936" s="5" t="s">
        <v>69</v>
      </c>
      <c r="X3936" s="5" t="s">
        <v>69</v>
      </c>
      <c r="Y3936" s="4">
        <v>85</v>
      </c>
      <c r="Z3936" s="4">
        <v>5</v>
      </c>
      <c r="AA3936" s="4">
        <v>5</v>
      </c>
      <c r="AB3936" s="4">
        <v>1</v>
      </c>
      <c r="AC3936" s="4">
        <v>1</v>
      </c>
      <c r="AD3936" s="4">
        <v>27</v>
      </c>
      <c r="AE3936" s="4">
        <v>27</v>
      </c>
      <c r="AF3936" s="4">
        <v>0</v>
      </c>
      <c r="AG3936" s="4">
        <v>0</v>
      </c>
      <c r="AH3936" s="4">
        <v>26</v>
      </c>
      <c r="AI3936" s="4">
        <v>26</v>
      </c>
      <c r="AJ3936" s="4">
        <v>1</v>
      </c>
      <c r="AK3936" s="4">
        <v>1</v>
      </c>
      <c r="AL3936" s="4">
        <v>18</v>
      </c>
      <c r="AM3936" s="4">
        <v>18</v>
      </c>
      <c r="AN3936" s="4">
        <v>0</v>
      </c>
      <c r="AO3936" s="4">
        <v>0</v>
      </c>
      <c r="AP3936" s="4">
        <v>1</v>
      </c>
      <c r="AQ3936" s="4">
        <v>1</v>
      </c>
      <c r="AR3936" s="3" t="s">
        <v>63</v>
      </c>
      <c r="AS3936" s="3" t="s">
        <v>63</v>
      </c>
      <c r="AT3936" s="3" t="s">
        <v>63</v>
      </c>
      <c r="AV3936" s="6" t="str">
        <f>HYPERLINK("http://mcgill.on.worldcat.org/oclc/911270410","Catalog Record")</f>
        <v>Catalog Record</v>
      </c>
      <c r="AW3936" s="6" t="str">
        <f>HYPERLINK("http://www.worldcat.org/oclc/911270410","WorldCat Record")</f>
        <v>WorldCat Record</v>
      </c>
      <c r="AX3936" s="3" t="s">
        <v>33594</v>
      </c>
      <c r="AY3936" s="3" t="s">
        <v>33595</v>
      </c>
      <c r="AZ3936" s="3" t="s">
        <v>33596</v>
      </c>
      <c r="BA3936" s="3" t="s">
        <v>33596</v>
      </c>
      <c r="BB3936" s="3" t="s">
        <v>33597</v>
      </c>
      <c r="BC3936" s="3" t="s">
        <v>82</v>
      </c>
      <c r="BD3936" s="3" t="s">
        <v>70</v>
      </c>
      <c r="BE3936" s="3" t="s">
        <v>33598</v>
      </c>
      <c r="BF3936" s="3" t="s">
        <v>33597</v>
      </c>
      <c r="BG3936" s="3" t="s">
        <v>33599</v>
      </c>
    </row>
    <row r="3937" spans="1:59" ht="60" x14ac:dyDescent="0.25">
      <c r="A3937" s="2" t="s">
        <v>59</v>
      </c>
      <c r="B3937" s="2" t="s">
        <v>60</v>
      </c>
      <c r="C3937" s="2" t="s">
        <v>33600</v>
      </c>
      <c r="D3937" s="2" t="s">
        <v>33601</v>
      </c>
      <c r="E3937" s="2" t="s">
        <v>33602</v>
      </c>
      <c r="G3937" s="3" t="s">
        <v>63</v>
      </c>
      <c r="I3937" s="3" t="s">
        <v>63</v>
      </c>
      <c r="J3937" s="3" t="s">
        <v>63</v>
      </c>
      <c r="K3937" s="3" t="s">
        <v>64</v>
      </c>
      <c r="L3937" s="2" t="s">
        <v>33603</v>
      </c>
      <c r="M3937" s="2" t="s">
        <v>33604</v>
      </c>
      <c r="N3937" s="3" t="s">
        <v>1916</v>
      </c>
      <c r="P3937" s="3" t="s">
        <v>66</v>
      </c>
      <c r="R3937" s="3" t="s">
        <v>67</v>
      </c>
      <c r="S3937" s="4">
        <v>30</v>
      </c>
      <c r="T3937" s="4">
        <v>30</v>
      </c>
      <c r="U3937" s="5" t="s">
        <v>31343</v>
      </c>
      <c r="V3937" s="5" t="s">
        <v>31343</v>
      </c>
      <c r="W3937" s="5" t="s">
        <v>69</v>
      </c>
      <c r="X3937" s="5" t="s">
        <v>69</v>
      </c>
      <c r="Y3937" s="4">
        <v>27</v>
      </c>
      <c r="Z3937" s="4">
        <v>2</v>
      </c>
      <c r="AA3937" s="4">
        <v>2</v>
      </c>
      <c r="AB3937" s="4">
        <v>1</v>
      </c>
      <c r="AC3937" s="4">
        <v>1</v>
      </c>
      <c r="AD3937" s="4">
        <v>2</v>
      </c>
      <c r="AE3937" s="4">
        <v>2</v>
      </c>
      <c r="AF3937" s="4">
        <v>0</v>
      </c>
      <c r="AG3937" s="4">
        <v>0</v>
      </c>
      <c r="AH3937" s="4">
        <v>1</v>
      </c>
      <c r="AI3937" s="4">
        <v>1</v>
      </c>
      <c r="AJ3937" s="4">
        <v>1</v>
      </c>
      <c r="AK3937" s="4">
        <v>1</v>
      </c>
      <c r="AL3937" s="4">
        <v>1</v>
      </c>
      <c r="AM3937" s="4">
        <v>1</v>
      </c>
      <c r="AN3937" s="4">
        <v>0</v>
      </c>
      <c r="AO3937" s="4">
        <v>0</v>
      </c>
      <c r="AP3937" s="4">
        <v>1</v>
      </c>
      <c r="AQ3937" s="4">
        <v>1</v>
      </c>
      <c r="AR3937" s="3" t="s">
        <v>63</v>
      </c>
      <c r="AS3937" s="3" t="s">
        <v>63</v>
      </c>
      <c r="AT3937" s="3" t="s">
        <v>63</v>
      </c>
      <c r="AV3937" s="6" t="str">
        <f>HYPERLINK("http://mcgill.on.worldcat.org/oclc/13413973","Catalog Record")</f>
        <v>Catalog Record</v>
      </c>
      <c r="AW3937" s="6" t="str">
        <f>HYPERLINK("http://www.worldcat.org/oclc/13413973","WorldCat Record")</f>
        <v>WorldCat Record</v>
      </c>
      <c r="AX3937" s="3" t="s">
        <v>33605</v>
      </c>
      <c r="AY3937" s="3" t="s">
        <v>33606</v>
      </c>
      <c r="AZ3937" s="3" t="s">
        <v>33607</v>
      </c>
      <c r="BA3937" s="3" t="s">
        <v>33607</v>
      </c>
      <c r="BB3937" s="3" t="s">
        <v>33608</v>
      </c>
      <c r="BC3937" s="3" t="s">
        <v>82</v>
      </c>
      <c r="BD3937" s="3" t="s">
        <v>70</v>
      </c>
      <c r="BE3937" s="3" t="s">
        <v>33609</v>
      </c>
      <c r="BF3937" s="3" t="s">
        <v>33608</v>
      </c>
      <c r="BG3937" s="3" t="s">
        <v>33610</v>
      </c>
    </row>
    <row r="3938" spans="1:59" ht="75" x14ac:dyDescent="0.25">
      <c r="A3938" s="2" t="s">
        <v>59</v>
      </c>
      <c r="B3938" s="2" t="s">
        <v>60</v>
      </c>
      <c r="C3938" s="2" t="s">
        <v>33611</v>
      </c>
      <c r="D3938" s="2" t="s">
        <v>33612</v>
      </c>
      <c r="E3938" s="2" t="s">
        <v>33613</v>
      </c>
      <c r="G3938" s="3" t="s">
        <v>63</v>
      </c>
      <c r="I3938" s="3" t="s">
        <v>63</v>
      </c>
      <c r="J3938" s="3" t="s">
        <v>63</v>
      </c>
      <c r="K3938" s="3" t="s">
        <v>64</v>
      </c>
      <c r="L3938" s="2" t="s">
        <v>33603</v>
      </c>
      <c r="M3938" s="2" t="s">
        <v>4635</v>
      </c>
      <c r="N3938" s="3" t="s">
        <v>274</v>
      </c>
      <c r="P3938" s="3" t="s">
        <v>66</v>
      </c>
      <c r="Q3938" s="2" t="s">
        <v>8874</v>
      </c>
      <c r="R3938" s="3" t="s">
        <v>67</v>
      </c>
      <c r="S3938" s="4">
        <v>14</v>
      </c>
      <c r="T3938" s="4">
        <v>14</v>
      </c>
      <c r="U3938" s="5" t="s">
        <v>33614</v>
      </c>
      <c r="V3938" s="5" t="s">
        <v>33614</v>
      </c>
      <c r="W3938" s="5" t="s">
        <v>69</v>
      </c>
      <c r="X3938" s="5" t="s">
        <v>69</v>
      </c>
      <c r="Y3938" s="4">
        <v>78</v>
      </c>
      <c r="Z3938" s="4">
        <v>5</v>
      </c>
      <c r="AA3938" s="4">
        <v>32</v>
      </c>
      <c r="AB3938" s="4">
        <v>1</v>
      </c>
      <c r="AC3938" s="4">
        <v>1</v>
      </c>
      <c r="AD3938" s="4">
        <v>19</v>
      </c>
      <c r="AE3938" s="4">
        <v>118</v>
      </c>
      <c r="AF3938" s="4">
        <v>0</v>
      </c>
      <c r="AG3938" s="4">
        <v>0</v>
      </c>
      <c r="AH3938" s="4">
        <v>17</v>
      </c>
      <c r="AI3938" s="4">
        <v>101</v>
      </c>
      <c r="AJ3938" s="4">
        <v>2</v>
      </c>
      <c r="AK3938" s="4">
        <v>18</v>
      </c>
      <c r="AL3938" s="4">
        <v>13</v>
      </c>
      <c r="AM3938" s="4">
        <v>59</v>
      </c>
      <c r="AN3938" s="4">
        <v>0</v>
      </c>
      <c r="AO3938" s="4">
        <v>2</v>
      </c>
      <c r="AP3938" s="4">
        <v>2</v>
      </c>
      <c r="AQ3938" s="4">
        <v>21</v>
      </c>
      <c r="AR3938" s="3" t="s">
        <v>63</v>
      </c>
      <c r="AS3938" s="3" t="s">
        <v>63</v>
      </c>
      <c r="AT3938" s="3" t="s">
        <v>63</v>
      </c>
      <c r="AV3938" s="6" t="str">
        <f>HYPERLINK("http://mcgill.on.worldcat.org/oclc/42022359","Catalog Record")</f>
        <v>Catalog Record</v>
      </c>
      <c r="AW3938" s="6" t="str">
        <f>HYPERLINK("http://www.worldcat.org/oclc/42022359","WorldCat Record")</f>
        <v>WorldCat Record</v>
      </c>
      <c r="AX3938" s="3" t="s">
        <v>33615</v>
      </c>
      <c r="AY3938" s="3" t="s">
        <v>33616</v>
      </c>
      <c r="AZ3938" s="3" t="s">
        <v>33617</v>
      </c>
      <c r="BA3938" s="3" t="s">
        <v>33617</v>
      </c>
      <c r="BB3938" s="3" t="s">
        <v>33618</v>
      </c>
      <c r="BC3938" s="3" t="s">
        <v>82</v>
      </c>
      <c r="BD3938" s="3" t="s">
        <v>70</v>
      </c>
      <c r="BE3938" s="3" t="s">
        <v>33619</v>
      </c>
      <c r="BF3938" s="3" t="s">
        <v>33618</v>
      </c>
      <c r="BG3938" s="3" t="s">
        <v>33620</v>
      </c>
    </row>
    <row r="3939" spans="1:59" ht="60" x14ac:dyDescent="0.25">
      <c r="A3939" s="2" t="s">
        <v>59</v>
      </c>
      <c r="B3939" s="2" t="s">
        <v>60</v>
      </c>
      <c r="C3939" s="2" t="s">
        <v>33621</v>
      </c>
      <c r="D3939" s="2" t="s">
        <v>33622</v>
      </c>
      <c r="E3939" s="2" t="s">
        <v>33623</v>
      </c>
      <c r="G3939" s="3" t="s">
        <v>63</v>
      </c>
      <c r="I3939" s="3" t="s">
        <v>63</v>
      </c>
      <c r="J3939" s="3" t="s">
        <v>63</v>
      </c>
      <c r="K3939" s="3" t="s">
        <v>64</v>
      </c>
      <c r="L3939" s="2" t="s">
        <v>33603</v>
      </c>
      <c r="M3939" s="2" t="s">
        <v>33624</v>
      </c>
      <c r="N3939" s="3" t="s">
        <v>274</v>
      </c>
      <c r="P3939" s="3" t="s">
        <v>90</v>
      </c>
      <c r="Q3939" s="2" t="s">
        <v>33625</v>
      </c>
      <c r="R3939" s="3" t="s">
        <v>67</v>
      </c>
      <c r="S3939" s="4">
        <v>7</v>
      </c>
      <c r="T3939" s="4">
        <v>7</v>
      </c>
      <c r="U3939" s="5" t="s">
        <v>31267</v>
      </c>
      <c r="V3939" s="5" t="s">
        <v>31267</v>
      </c>
      <c r="W3939" s="5" t="s">
        <v>69</v>
      </c>
      <c r="X3939" s="5" t="s">
        <v>69</v>
      </c>
      <c r="Y3939" s="4">
        <v>26</v>
      </c>
      <c r="Z3939" s="4">
        <v>3</v>
      </c>
      <c r="AA3939" s="4">
        <v>4</v>
      </c>
      <c r="AB3939" s="4">
        <v>1</v>
      </c>
      <c r="AC3939" s="4">
        <v>1</v>
      </c>
      <c r="AD3939" s="4">
        <v>14</v>
      </c>
      <c r="AE3939" s="4">
        <v>25</v>
      </c>
      <c r="AF3939" s="4">
        <v>0</v>
      </c>
      <c r="AG3939" s="4">
        <v>0</v>
      </c>
      <c r="AH3939" s="4">
        <v>13</v>
      </c>
      <c r="AI3939" s="4">
        <v>23</v>
      </c>
      <c r="AJ3939" s="4">
        <v>2</v>
      </c>
      <c r="AK3939" s="4">
        <v>3</v>
      </c>
      <c r="AL3939" s="4">
        <v>7</v>
      </c>
      <c r="AM3939" s="4">
        <v>16</v>
      </c>
      <c r="AN3939" s="4">
        <v>0</v>
      </c>
      <c r="AO3939" s="4">
        <v>0</v>
      </c>
      <c r="AP3939" s="4">
        <v>2</v>
      </c>
      <c r="AQ3939" s="4">
        <v>3</v>
      </c>
      <c r="AR3939" s="3" t="s">
        <v>63</v>
      </c>
      <c r="AS3939" s="3" t="s">
        <v>63</v>
      </c>
      <c r="AT3939" s="3" t="s">
        <v>62</v>
      </c>
      <c r="AU3939" s="6" t="str">
        <f>HYPERLINK("http://catalog.hathitrust.org/Record/004074925","HathiTrust Record")</f>
        <v>HathiTrust Record</v>
      </c>
      <c r="AV3939" s="6" t="str">
        <f>HYPERLINK("http://mcgill.on.worldcat.org/oclc/43867813","Catalog Record")</f>
        <v>Catalog Record</v>
      </c>
      <c r="AW3939" s="6" t="str">
        <f>HYPERLINK("http://www.worldcat.org/oclc/43867813","WorldCat Record")</f>
        <v>WorldCat Record</v>
      </c>
      <c r="AX3939" s="3" t="s">
        <v>33626</v>
      </c>
      <c r="AY3939" s="3" t="s">
        <v>33627</v>
      </c>
      <c r="AZ3939" s="3" t="s">
        <v>33628</v>
      </c>
      <c r="BA3939" s="3" t="s">
        <v>33628</v>
      </c>
      <c r="BB3939" s="3" t="s">
        <v>33629</v>
      </c>
      <c r="BC3939" s="3" t="s">
        <v>82</v>
      </c>
      <c r="BD3939" s="3" t="s">
        <v>70</v>
      </c>
      <c r="BE3939" s="3" t="s">
        <v>33630</v>
      </c>
      <c r="BF3939" s="3" t="s">
        <v>33629</v>
      </c>
      <c r="BG3939" s="3" t="s">
        <v>33631</v>
      </c>
    </row>
    <row r="3940" spans="1:59" ht="60" x14ac:dyDescent="0.25">
      <c r="A3940" s="2" t="s">
        <v>59</v>
      </c>
      <c r="B3940" s="2" t="s">
        <v>60</v>
      </c>
      <c r="C3940" s="2" t="s">
        <v>33632</v>
      </c>
      <c r="D3940" s="2" t="s">
        <v>33633</v>
      </c>
      <c r="E3940" s="2" t="s">
        <v>33634</v>
      </c>
      <c r="G3940" s="3" t="s">
        <v>63</v>
      </c>
      <c r="I3940" s="3" t="s">
        <v>63</v>
      </c>
      <c r="J3940" s="3" t="s">
        <v>63</v>
      </c>
      <c r="K3940" s="3" t="s">
        <v>64</v>
      </c>
      <c r="L3940" s="2" t="s">
        <v>33603</v>
      </c>
      <c r="M3940" s="2" t="s">
        <v>20459</v>
      </c>
      <c r="N3940" s="3" t="s">
        <v>427</v>
      </c>
      <c r="P3940" s="3" t="s">
        <v>90</v>
      </c>
      <c r="R3940" s="3" t="s">
        <v>67</v>
      </c>
      <c r="S3940" s="4">
        <v>11</v>
      </c>
      <c r="T3940" s="4">
        <v>11</v>
      </c>
      <c r="U3940" s="5" t="s">
        <v>14260</v>
      </c>
      <c r="V3940" s="5" t="s">
        <v>14260</v>
      </c>
      <c r="W3940" s="5" t="s">
        <v>69</v>
      </c>
      <c r="X3940" s="5" t="s">
        <v>69</v>
      </c>
      <c r="Y3940" s="4">
        <v>92</v>
      </c>
      <c r="Z3940" s="4">
        <v>6</v>
      </c>
      <c r="AA3940" s="4">
        <v>6</v>
      </c>
      <c r="AB3940" s="4">
        <v>1</v>
      </c>
      <c r="AC3940" s="4">
        <v>1</v>
      </c>
      <c r="AD3940" s="4">
        <v>56</v>
      </c>
      <c r="AE3940" s="4">
        <v>56</v>
      </c>
      <c r="AF3940" s="4">
        <v>0</v>
      </c>
      <c r="AG3940" s="4">
        <v>0</v>
      </c>
      <c r="AH3940" s="4">
        <v>54</v>
      </c>
      <c r="AI3940" s="4">
        <v>54</v>
      </c>
      <c r="AJ3940" s="4">
        <v>4</v>
      </c>
      <c r="AK3940" s="4">
        <v>4</v>
      </c>
      <c r="AL3940" s="4">
        <v>40</v>
      </c>
      <c r="AM3940" s="4">
        <v>40</v>
      </c>
      <c r="AN3940" s="4">
        <v>0</v>
      </c>
      <c r="AO3940" s="4">
        <v>0</v>
      </c>
      <c r="AP3940" s="4">
        <v>4</v>
      </c>
      <c r="AQ3940" s="4">
        <v>4</v>
      </c>
      <c r="AR3940" s="3" t="s">
        <v>63</v>
      </c>
      <c r="AS3940" s="3" t="s">
        <v>63</v>
      </c>
      <c r="AT3940" s="3" t="s">
        <v>62</v>
      </c>
      <c r="AU3940" s="6" t="str">
        <f>HYPERLINK("http://catalog.hathitrust.org/Record/001083245","HathiTrust Record")</f>
        <v>HathiTrust Record</v>
      </c>
      <c r="AV3940" s="6" t="str">
        <f>HYPERLINK("http://mcgill.on.worldcat.org/oclc/19335161","Catalog Record")</f>
        <v>Catalog Record</v>
      </c>
      <c r="AW3940" s="6" t="str">
        <f>HYPERLINK("http://www.worldcat.org/oclc/19335161","WorldCat Record")</f>
        <v>WorldCat Record</v>
      </c>
      <c r="AX3940" s="3" t="s">
        <v>33635</v>
      </c>
      <c r="AY3940" s="3" t="s">
        <v>33636</v>
      </c>
      <c r="AZ3940" s="3" t="s">
        <v>33637</v>
      </c>
      <c r="BA3940" s="3" t="s">
        <v>33637</v>
      </c>
      <c r="BB3940" s="3" t="s">
        <v>33638</v>
      </c>
      <c r="BC3940" s="3" t="s">
        <v>82</v>
      </c>
      <c r="BD3940" s="3" t="s">
        <v>70</v>
      </c>
      <c r="BE3940" s="3" t="s">
        <v>33639</v>
      </c>
      <c r="BF3940" s="3" t="s">
        <v>33638</v>
      </c>
      <c r="BG3940" s="3" t="s">
        <v>33640</v>
      </c>
    </row>
    <row r="3941" spans="1:59" ht="60" x14ac:dyDescent="0.25">
      <c r="A3941" s="2" t="s">
        <v>59</v>
      </c>
      <c r="B3941" s="2" t="s">
        <v>60</v>
      </c>
      <c r="C3941" s="2" t="s">
        <v>33641</v>
      </c>
      <c r="D3941" s="2" t="s">
        <v>33642</v>
      </c>
      <c r="E3941" s="2" t="s">
        <v>33643</v>
      </c>
      <c r="G3941" s="3" t="s">
        <v>63</v>
      </c>
      <c r="I3941" s="3" t="s">
        <v>63</v>
      </c>
      <c r="J3941" s="3" t="s">
        <v>63</v>
      </c>
      <c r="K3941" s="3" t="s">
        <v>64</v>
      </c>
      <c r="L3941" s="2" t="s">
        <v>33603</v>
      </c>
      <c r="M3941" s="2" t="s">
        <v>33644</v>
      </c>
      <c r="N3941" s="3" t="s">
        <v>849</v>
      </c>
      <c r="P3941" s="3" t="s">
        <v>90</v>
      </c>
      <c r="Q3941" s="2" t="s">
        <v>33645</v>
      </c>
      <c r="R3941" s="3" t="s">
        <v>67</v>
      </c>
      <c r="S3941" s="4">
        <v>9</v>
      </c>
      <c r="T3941" s="4">
        <v>9</v>
      </c>
      <c r="U3941" s="5" t="s">
        <v>14260</v>
      </c>
      <c r="V3941" s="5" t="s">
        <v>14260</v>
      </c>
      <c r="W3941" s="5" t="s">
        <v>69</v>
      </c>
      <c r="X3941" s="5" t="s">
        <v>69</v>
      </c>
      <c r="Y3941" s="4">
        <v>46</v>
      </c>
      <c r="Z3941" s="4">
        <v>3</v>
      </c>
      <c r="AA3941" s="4">
        <v>3</v>
      </c>
      <c r="AB3941" s="4">
        <v>1</v>
      </c>
      <c r="AC3941" s="4">
        <v>1</v>
      </c>
      <c r="AD3941" s="4">
        <v>29</v>
      </c>
      <c r="AE3941" s="4">
        <v>29</v>
      </c>
      <c r="AF3941" s="4">
        <v>0</v>
      </c>
      <c r="AG3941" s="4">
        <v>0</v>
      </c>
      <c r="AH3941" s="4">
        <v>27</v>
      </c>
      <c r="AI3941" s="4">
        <v>27</v>
      </c>
      <c r="AJ3941" s="4">
        <v>1</v>
      </c>
      <c r="AK3941" s="4">
        <v>1</v>
      </c>
      <c r="AL3941" s="4">
        <v>16</v>
      </c>
      <c r="AM3941" s="4">
        <v>16</v>
      </c>
      <c r="AN3941" s="4">
        <v>0</v>
      </c>
      <c r="AO3941" s="4">
        <v>0</v>
      </c>
      <c r="AP3941" s="4">
        <v>2</v>
      </c>
      <c r="AQ3941" s="4">
        <v>2</v>
      </c>
      <c r="AR3941" s="3" t="s">
        <v>63</v>
      </c>
      <c r="AS3941" s="3" t="s">
        <v>63</v>
      </c>
      <c r="AT3941" s="3" t="s">
        <v>62</v>
      </c>
      <c r="AU3941" s="6" t="str">
        <f>HYPERLINK("http://catalog.hathitrust.org/Record/000183275","HathiTrust Record")</f>
        <v>HathiTrust Record</v>
      </c>
      <c r="AV3941" s="6" t="str">
        <f>HYPERLINK("http://mcgill.on.worldcat.org/oclc/6027099","Catalog Record")</f>
        <v>Catalog Record</v>
      </c>
      <c r="AW3941" s="6" t="str">
        <f>HYPERLINK("http://www.worldcat.org/oclc/6027099","WorldCat Record")</f>
        <v>WorldCat Record</v>
      </c>
      <c r="AX3941" s="3" t="s">
        <v>33646</v>
      </c>
      <c r="AY3941" s="3" t="s">
        <v>33647</v>
      </c>
      <c r="AZ3941" s="3" t="s">
        <v>33648</v>
      </c>
      <c r="BA3941" s="3" t="s">
        <v>33648</v>
      </c>
      <c r="BB3941" s="3" t="s">
        <v>33649</v>
      </c>
      <c r="BC3941" s="3" t="s">
        <v>82</v>
      </c>
      <c r="BD3941" s="3" t="s">
        <v>70</v>
      </c>
      <c r="BF3941" s="3" t="s">
        <v>33649</v>
      </c>
      <c r="BG3941" s="3" t="s">
        <v>33650</v>
      </c>
    </row>
    <row r="3942" spans="1:59" ht="60" x14ac:dyDescent="0.25">
      <c r="A3942" s="2" t="s">
        <v>59</v>
      </c>
      <c r="B3942" s="2" t="s">
        <v>60</v>
      </c>
      <c r="C3942" s="2" t="s">
        <v>33651</v>
      </c>
      <c r="D3942" s="2" t="s">
        <v>33652</v>
      </c>
      <c r="E3942" s="2" t="s">
        <v>33653</v>
      </c>
      <c r="G3942" s="3" t="s">
        <v>63</v>
      </c>
      <c r="I3942" s="3" t="s">
        <v>63</v>
      </c>
      <c r="J3942" s="3" t="s">
        <v>63</v>
      </c>
      <c r="K3942" s="3" t="s">
        <v>64</v>
      </c>
      <c r="L3942" s="2" t="s">
        <v>33654</v>
      </c>
      <c r="M3942" s="2" t="s">
        <v>33655</v>
      </c>
      <c r="N3942" s="3" t="s">
        <v>362</v>
      </c>
      <c r="P3942" s="3" t="s">
        <v>66</v>
      </c>
      <c r="R3942" s="3" t="s">
        <v>67</v>
      </c>
      <c r="S3942" s="4">
        <v>19</v>
      </c>
      <c r="T3942" s="4">
        <v>19</v>
      </c>
      <c r="U3942" s="5" t="s">
        <v>9202</v>
      </c>
      <c r="V3942" s="5" t="s">
        <v>9202</v>
      </c>
      <c r="W3942" s="5" t="s">
        <v>69</v>
      </c>
      <c r="X3942" s="5" t="s">
        <v>69</v>
      </c>
      <c r="Y3942" s="4">
        <v>488</v>
      </c>
      <c r="Z3942" s="4">
        <v>21</v>
      </c>
      <c r="AA3942" s="4">
        <v>31</v>
      </c>
      <c r="AB3942" s="4">
        <v>5</v>
      </c>
      <c r="AC3942" s="4">
        <v>5</v>
      </c>
      <c r="AD3942" s="4">
        <v>68</v>
      </c>
      <c r="AE3942" s="4">
        <v>104</v>
      </c>
      <c r="AF3942" s="4">
        <v>1</v>
      </c>
      <c r="AG3942" s="4">
        <v>1</v>
      </c>
      <c r="AH3942" s="4">
        <v>63</v>
      </c>
      <c r="AI3942" s="4">
        <v>93</v>
      </c>
      <c r="AJ3942" s="4">
        <v>7</v>
      </c>
      <c r="AK3942" s="4">
        <v>14</v>
      </c>
      <c r="AL3942" s="4">
        <v>35</v>
      </c>
      <c r="AM3942" s="4">
        <v>57</v>
      </c>
      <c r="AN3942" s="4">
        <v>0</v>
      </c>
      <c r="AO3942" s="4">
        <v>0</v>
      </c>
      <c r="AP3942" s="4">
        <v>8</v>
      </c>
      <c r="AQ3942" s="4">
        <v>15</v>
      </c>
      <c r="AR3942" s="3" t="s">
        <v>63</v>
      </c>
      <c r="AS3942" s="3" t="s">
        <v>63</v>
      </c>
      <c r="AT3942" s="3" t="s">
        <v>63</v>
      </c>
      <c r="AV3942" s="6" t="str">
        <f>HYPERLINK("http://mcgill.on.worldcat.org/oclc/46872324","Catalog Record")</f>
        <v>Catalog Record</v>
      </c>
      <c r="AW3942" s="6" t="str">
        <f>HYPERLINK("http://www.worldcat.org/oclc/46872324","WorldCat Record")</f>
        <v>WorldCat Record</v>
      </c>
      <c r="AX3942" s="3" t="s">
        <v>33656</v>
      </c>
      <c r="AY3942" s="3" t="s">
        <v>33657</v>
      </c>
      <c r="AZ3942" s="3" t="s">
        <v>33658</v>
      </c>
      <c r="BA3942" s="3" t="s">
        <v>33658</v>
      </c>
      <c r="BB3942" s="3" t="s">
        <v>33659</v>
      </c>
      <c r="BC3942" s="3" t="s">
        <v>82</v>
      </c>
      <c r="BD3942" s="3" t="s">
        <v>70</v>
      </c>
      <c r="BE3942" s="3" t="s">
        <v>33660</v>
      </c>
      <c r="BF3942" s="3" t="s">
        <v>33659</v>
      </c>
      <c r="BG3942" s="3" t="s">
        <v>33661</v>
      </c>
    </row>
    <row r="3943" spans="1:59" ht="60" x14ac:dyDescent="0.25">
      <c r="A3943" s="2" t="s">
        <v>59</v>
      </c>
      <c r="B3943" s="2" t="s">
        <v>60</v>
      </c>
      <c r="C3943" s="2" t="s">
        <v>33662</v>
      </c>
      <c r="D3943" s="2" t="s">
        <v>33663</v>
      </c>
      <c r="E3943" s="2" t="s">
        <v>33664</v>
      </c>
      <c r="G3943" s="3" t="s">
        <v>63</v>
      </c>
      <c r="I3943" s="3" t="s">
        <v>63</v>
      </c>
      <c r="J3943" s="3" t="s">
        <v>63</v>
      </c>
      <c r="K3943" s="3" t="s">
        <v>64</v>
      </c>
      <c r="L3943" s="2" t="s">
        <v>33665</v>
      </c>
      <c r="M3943" s="2" t="s">
        <v>33666</v>
      </c>
      <c r="N3943" s="3" t="s">
        <v>1557</v>
      </c>
      <c r="P3943" s="3" t="s">
        <v>90</v>
      </c>
      <c r="R3943" s="3" t="s">
        <v>67</v>
      </c>
      <c r="S3943" s="4">
        <v>0</v>
      </c>
      <c r="T3943" s="4">
        <v>0</v>
      </c>
      <c r="W3943" s="5" t="s">
        <v>69</v>
      </c>
      <c r="X3943" s="5" t="s">
        <v>69</v>
      </c>
      <c r="Y3943" s="4">
        <v>5</v>
      </c>
      <c r="Z3943" s="4">
        <v>1</v>
      </c>
      <c r="AA3943" s="4">
        <v>1</v>
      </c>
      <c r="AB3943" s="4">
        <v>1</v>
      </c>
      <c r="AC3943" s="4">
        <v>1</v>
      </c>
      <c r="AD3943" s="4">
        <v>4</v>
      </c>
      <c r="AE3943" s="4">
        <v>4</v>
      </c>
      <c r="AF3943" s="4">
        <v>0</v>
      </c>
      <c r="AG3943" s="4">
        <v>0</v>
      </c>
      <c r="AH3943" s="4">
        <v>3</v>
      </c>
      <c r="AI3943" s="4">
        <v>3</v>
      </c>
      <c r="AJ3943" s="4">
        <v>0</v>
      </c>
      <c r="AK3943" s="4">
        <v>0</v>
      </c>
      <c r="AL3943" s="4">
        <v>4</v>
      </c>
      <c r="AM3943" s="4">
        <v>4</v>
      </c>
      <c r="AN3943" s="4">
        <v>0</v>
      </c>
      <c r="AO3943" s="4">
        <v>0</v>
      </c>
      <c r="AP3943" s="4">
        <v>0</v>
      </c>
      <c r="AQ3943" s="4">
        <v>0</v>
      </c>
      <c r="AR3943" s="3" t="s">
        <v>63</v>
      </c>
      <c r="AS3943" s="3" t="s">
        <v>63</v>
      </c>
      <c r="AT3943" s="3" t="s">
        <v>63</v>
      </c>
      <c r="AV3943" s="6" t="str">
        <f>HYPERLINK("http://mcgill.on.worldcat.org/oclc/1004965925","Catalog Record")</f>
        <v>Catalog Record</v>
      </c>
      <c r="AW3943" s="6" t="str">
        <f>HYPERLINK("http://www.worldcat.org/oclc/1004965925","WorldCat Record")</f>
        <v>WorldCat Record</v>
      </c>
      <c r="AX3943" s="3" t="s">
        <v>33667</v>
      </c>
      <c r="AY3943" s="3" t="s">
        <v>33668</v>
      </c>
      <c r="AZ3943" s="3" t="s">
        <v>33669</v>
      </c>
      <c r="BA3943" s="3" t="s">
        <v>33669</v>
      </c>
      <c r="BB3943" s="3" t="s">
        <v>33670</v>
      </c>
      <c r="BC3943" s="3" t="s">
        <v>82</v>
      </c>
      <c r="BD3943" s="3" t="s">
        <v>70</v>
      </c>
      <c r="BE3943" s="3" t="s">
        <v>33671</v>
      </c>
      <c r="BF3943" s="3" t="s">
        <v>33670</v>
      </c>
      <c r="BG3943" s="3" t="s">
        <v>33672</v>
      </c>
    </row>
    <row r="3944" spans="1:59" ht="60" x14ac:dyDescent="0.25">
      <c r="A3944" s="2" t="s">
        <v>59</v>
      </c>
      <c r="B3944" s="2" t="s">
        <v>60</v>
      </c>
      <c r="C3944" s="2" t="s">
        <v>33673</v>
      </c>
      <c r="D3944" s="2" t="s">
        <v>33674</v>
      </c>
      <c r="E3944" s="2" t="s">
        <v>33675</v>
      </c>
      <c r="G3944" s="3" t="s">
        <v>63</v>
      </c>
      <c r="I3944" s="3" t="s">
        <v>63</v>
      </c>
      <c r="J3944" s="3" t="s">
        <v>63</v>
      </c>
      <c r="K3944" s="3" t="s">
        <v>64</v>
      </c>
      <c r="L3944" s="2" t="s">
        <v>33676</v>
      </c>
      <c r="M3944" s="2" t="s">
        <v>10896</v>
      </c>
      <c r="N3944" s="3" t="s">
        <v>2459</v>
      </c>
      <c r="P3944" s="3" t="s">
        <v>90</v>
      </c>
      <c r="Q3944" s="2" t="s">
        <v>33677</v>
      </c>
      <c r="R3944" s="3" t="s">
        <v>67</v>
      </c>
      <c r="S3944" s="4">
        <v>1</v>
      </c>
      <c r="T3944" s="4">
        <v>1</v>
      </c>
      <c r="U3944" s="5" t="s">
        <v>24669</v>
      </c>
      <c r="V3944" s="5" t="s">
        <v>24669</v>
      </c>
      <c r="W3944" s="5" t="s">
        <v>69</v>
      </c>
      <c r="X3944" s="5" t="s">
        <v>69</v>
      </c>
      <c r="Y3944" s="4">
        <v>1</v>
      </c>
      <c r="Z3944" s="4">
        <v>1</v>
      </c>
      <c r="AA3944" s="4">
        <v>1</v>
      </c>
      <c r="AB3944" s="4">
        <v>1</v>
      </c>
      <c r="AC3944" s="4">
        <v>1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3" t="s">
        <v>63</v>
      </c>
      <c r="AS3944" s="3" t="s">
        <v>63</v>
      </c>
      <c r="AT3944" s="3" t="s">
        <v>63</v>
      </c>
      <c r="AV3944" s="6" t="str">
        <f>HYPERLINK("http://mcgill.on.worldcat.org/oclc/728222616","Catalog Record")</f>
        <v>Catalog Record</v>
      </c>
      <c r="AW3944" s="6" t="str">
        <f>HYPERLINK("http://www.worldcat.org/oclc/728222616","WorldCat Record")</f>
        <v>WorldCat Record</v>
      </c>
      <c r="AX3944" s="3" t="s">
        <v>33678</v>
      </c>
      <c r="AY3944" s="3" t="s">
        <v>33679</v>
      </c>
      <c r="AZ3944" s="3" t="s">
        <v>33680</v>
      </c>
      <c r="BA3944" s="3" t="s">
        <v>33680</v>
      </c>
      <c r="BB3944" s="3" t="s">
        <v>33681</v>
      </c>
      <c r="BC3944" s="3" t="s">
        <v>82</v>
      </c>
      <c r="BD3944" s="3" t="s">
        <v>70</v>
      </c>
      <c r="BE3944" s="3" t="s">
        <v>33682</v>
      </c>
      <c r="BF3944" s="3" t="s">
        <v>33681</v>
      </c>
      <c r="BG3944" s="3" t="s">
        <v>33683</v>
      </c>
    </row>
    <row r="3945" spans="1:59" ht="60" x14ac:dyDescent="0.25">
      <c r="A3945" s="2" t="s">
        <v>59</v>
      </c>
      <c r="B3945" s="2" t="s">
        <v>60</v>
      </c>
      <c r="C3945" s="2" t="s">
        <v>33684</v>
      </c>
      <c r="D3945" s="2" t="s">
        <v>33685</v>
      </c>
      <c r="E3945" s="2" t="s">
        <v>33686</v>
      </c>
      <c r="G3945" s="3" t="s">
        <v>63</v>
      </c>
      <c r="I3945" s="3" t="s">
        <v>63</v>
      </c>
      <c r="J3945" s="3" t="s">
        <v>63</v>
      </c>
      <c r="K3945" s="3" t="s">
        <v>64</v>
      </c>
      <c r="L3945" s="2" t="s">
        <v>33687</v>
      </c>
      <c r="M3945" s="2" t="s">
        <v>33688</v>
      </c>
      <c r="N3945" s="3" t="s">
        <v>190</v>
      </c>
      <c r="P3945" s="3" t="s">
        <v>66</v>
      </c>
      <c r="R3945" s="3" t="s">
        <v>67</v>
      </c>
      <c r="S3945" s="4">
        <v>10</v>
      </c>
      <c r="T3945" s="4">
        <v>10</v>
      </c>
      <c r="U3945" s="5" t="s">
        <v>33614</v>
      </c>
      <c r="V3945" s="5" t="s">
        <v>33614</v>
      </c>
      <c r="W3945" s="5" t="s">
        <v>69</v>
      </c>
      <c r="X3945" s="5" t="s">
        <v>69</v>
      </c>
      <c r="Y3945" s="4">
        <v>285</v>
      </c>
      <c r="Z3945" s="4">
        <v>16</v>
      </c>
      <c r="AA3945" s="4">
        <v>17</v>
      </c>
      <c r="AB3945" s="4">
        <v>2</v>
      </c>
      <c r="AC3945" s="4">
        <v>3</v>
      </c>
      <c r="AD3945" s="4">
        <v>79</v>
      </c>
      <c r="AE3945" s="4">
        <v>79</v>
      </c>
      <c r="AF3945" s="4">
        <v>0</v>
      </c>
      <c r="AG3945" s="4">
        <v>0</v>
      </c>
      <c r="AH3945" s="4">
        <v>73</v>
      </c>
      <c r="AI3945" s="4">
        <v>73</v>
      </c>
      <c r="AJ3945" s="4">
        <v>8</v>
      </c>
      <c r="AK3945" s="4">
        <v>8</v>
      </c>
      <c r="AL3945" s="4">
        <v>47</v>
      </c>
      <c r="AM3945" s="4">
        <v>47</v>
      </c>
      <c r="AN3945" s="4">
        <v>0</v>
      </c>
      <c r="AO3945" s="4">
        <v>0</v>
      </c>
      <c r="AP3945" s="4">
        <v>8</v>
      </c>
      <c r="AQ3945" s="4">
        <v>8</v>
      </c>
      <c r="AR3945" s="3" t="s">
        <v>63</v>
      </c>
      <c r="AS3945" s="3" t="s">
        <v>63</v>
      </c>
      <c r="AT3945" s="3" t="s">
        <v>63</v>
      </c>
      <c r="AV3945" s="6" t="str">
        <f>HYPERLINK("http://mcgill.on.worldcat.org/oclc/56876578","Catalog Record")</f>
        <v>Catalog Record</v>
      </c>
      <c r="AW3945" s="6" t="str">
        <f>HYPERLINK("http://www.worldcat.org/oclc/56876578","WorldCat Record")</f>
        <v>WorldCat Record</v>
      </c>
      <c r="AX3945" s="3" t="s">
        <v>33689</v>
      </c>
      <c r="AY3945" s="3" t="s">
        <v>33690</v>
      </c>
      <c r="AZ3945" s="3" t="s">
        <v>33691</v>
      </c>
      <c r="BA3945" s="3" t="s">
        <v>33691</v>
      </c>
      <c r="BB3945" s="3" t="s">
        <v>33692</v>
      </c>
      <c r="BC3945" s="3" t="s">
        <v>82</v>
      </c>
      <c r="BD3945" s="3" t="s">
        <v>70</v>
      </c>
      <c r="BE3945" s="3" t="s">
        <v>33693</v>
      </c>
      <c r="BF3945" s="3" t="s">
        <v>33692</v>
      </c>
      <c r="BG3945" s="3" t="s">
        <v>33694</v>
      </c>
    </row>
    <row r="3946" spans="1:59" ht="60" x14ac:dyDescent="0.25">
      <c r="A3946" s="2" t="s">
        <v>59</v>
      </c>
      <c r="B3946" s="2" t="s">
        <v>60</v>
      </c>
      <c r="C3946" s="2" t="s">
        <v>33695</v>
      </c>
      <c r="D3946" s="2" t="s">
        <v>33696</v>
      </c>
      <c r="E3946" s="2" t="s">
        <v>33697</v>
      </c>
      <c r="G3946" s="3" t="s">
        <v>63</v>
      </c>
      <c r="I3946" s="3" t="s">
        <v>63</v>
      </c>
      <c r="J3946" s="3" t="s">
        <v>63</v>
      </c>
      <c r="K3946" s="3" t="s">
        <v>64</v>
      </c>
      <c r="L3946" s="2" t="s">
        <v>33698</v>
      </c>
      <c r="M3946" s="2" t="s">
        <v>33699</v>
      </c>
      <c r="N3946" s="3" t="s">
        <v>106</v>
      </c>
      <c r="P3946" s="3" t="s">
        <v>90</v>
      </c>
      <c r="Q3946" s="2" t="s">
        <v>33700</v>
      </c>
      <c r="R3946" s="3" t="s">
        <v>67</v>
      </c>
      <c r="S3946" s="4">
        <v>2</v>
      </c>
      <c r="T3946" s="4">
        <v>2</v>
      </c>
      <c r="U3946" s="5" t="s">
        <v>33701</v>
      </c>
      <c r="V3946" s="5" t="s">
        <v>33701</v>
      </c>
      <c r="W3946" s="5" t="s">
        <v>69</v>
      </c>
      <c r="X3946" s="5" t="s">
        <v>69</v>
      </c>
      <c r="Y3946" s="4">
        <v>37</v>
      </c>
      <c r="Z3946" s="4">
        <v>3</v>
      </c>
      <c r="AA3946" s="4">
        <v>3</v>
      </c>
      <c r="AB3946" s="4">
        <v>1</v>
      </c>
      <c r="AC3946" s="4">
        <v>1</v>
      </c>
      <c r="AD3946" s="4">
        <v>21</v>
      </c>
      <c r="AE3946" s="4">
        <v>21</v>
      </c>
      <c r="AF3946" s="4">
        <v>0</v>
      </c>
      <c r="AG3946" s="4">
        <v>0</v>
      </c>
      <c r="AH3946" s="4">
        <v>21</v>
      </c>
      <c r="AI3946" s="4">
        <v>21</v>
      </c>
      <c r="AJ3946" s="4">
        <v>1</v>
      </c>
      <c r="AK3946" s="4">
        <v>1</v>
      </c>
      <c r="AL3946" s="4">
        <v>14</v>
      </c>
      <c r="AM3946" s="4">
        <v>14</v>
      </c>
      <c r="AN3946" s="4">
        <v>0</v>
      </c>
      <c r="AO3946" s="4">
        <v>0</v>
      </c>
      <c r="AP3946" s="4">
        <v>1</v>
      </c>
      <c r="AQ3946" s="4">
        <v>1</v>
      </c>
      <c r="AR3946" s="3" t="s">
        <v>63</v>
      </c>
      <c r="AS3946" s="3" t="s">
        <v>63</v>
      </c>
      <c r="AT3946" s="3" t="s">
        <v>63</v>
      </c>
      <c r="AV3946" s="6" t="str">
        <f>HYPERLINK("http://mcgill.on.worldcat.org/oclc/953697598","Catalog Record")</f>
        <v>Catalog Record</v>
      </c>
      <c r="AW3946" s="6" t="str">
        <f>HYPERLINK("http://www.worldcat.org/oclc/953697598","WorldCat Record")</f>
        <v>WorldCat Record</v>
      </c>
      <c r="AX3946" s="3" t="s">
        <v>33702</v>
      </c>
      <c r="AY3946" s="3" t="s">
        <v>33703</v>
      </c>
      <c r="AZ3946" s="3" t="s">
        <v>33704</v>
      </c>
      <c r="BA3946" s="3" t="s">
        <v>33704</v>
      </c>
      <c r="BB3946" s="3" t="s">
        <v>33705</v>
      </c>
      <c r="BC3946" s="3" t="s">
        <v>82</v>
      </c>
      <c r="BD3946" s="3" t="s">
        <v>70</v>
      </c>
      <c r="BE3946" s="3" t="s">
        <v>33706</v>
      </c>
      <c r="BF3946" s="3" t="s">
        <v>33705</v>
      </c>
      <c r="BG3946" s="3" t="s">
        <v>33707</v>
      </c>
    </row>
    <row r="3947" spans="1:59" ht="60" x14ac:dyDescent="0.25">
      <c r="A3947" s="2" t="s">
        <v>59</v>
      </c>
      <c r="B3947" s="2" t="s">
        <v>60</v>
      </c>
      <c r="C3947" s="2" t="s">
        <v>33708</v>
      </c>
      <c r="D3947" s="2" t="s">
        <v>33709</v>
      </c>
      <c r="E3947" s="2" t="s">
        <v>33710</v>
      </c>
      <c r="G3947" s="3" t="s">
        <v>63</v>
      </c>
      <c r="I3947" s="3" t="s">
        <v>63</v>
      </c>
      <c r="J3947" s="3" t="s">
        <v>63</v>
      </c>
      <c r="K3947" s="3" t="s">
        <v>64</v>
      </c>
      <c r="L3947" s="2" t="s">
        <v>33687</v>
      </c>
      <c r="M3947" s="2" t="s">
        <v>33711</v>
      </c>
      <c r="N3947" s="3" t="s">
        <v>629</v>
      </c>
      <c r="P3947" s="3" t="s">
        <v>66</v>
      </c>
      <c r="R3947" s="3" t="s">
        <v>67</v>
      </c>
      <c r="S3947" s="4">
        <v>4</v>
      </c>
      <c r="T3947" s="4">
        <v>4</v>
      </c>
      <c r="U3947" s="5" t="s">
        <v>23422</v>
      </c>
      <c r="V3947" s="5" t="s">
        <v>23422</v>
      </c>
      <c r="W3947" s="5" t="s">
        <v>69</v>
      </c>
      <c r="X3947" s="5" t="s">
        <v>69</v>
      </c>
      <c r="Y3947" s="4">
        <v>368</v>
      </c>
      <c r="Z3947" s="4">
        <v>18</v>
      </c>
      <c r="AA3947" s="4">
        <v>23</v>
      </c>
      <c r="AB3947" s="4">
        <v>2</v>
      </c>
      <c r="AC3947" s="4">
        <v>3</v>
      </c>
      <c r="AD3947" s="4">
        <v>73</v>
      </c>
      <c r="AE3947" s="4">
        <v>84</v>
      </c>
      <c r="AF3947" s="4">
        <v>0</v>
      </c>
      <c r="AG3947" s="4">
        <v>0</v>
      </c>
      <c r="AH3947" s="4">
        <v>65</v>
      </c>
      <c r="AI3947" s="4">
        <v>76</v>
      </c>
      <c r="AJ3947" s="4">
        <v>12</v>
      </c>
      <c r="AK3947" s="4">
        <v>12</v>
      </c>
      <c r="AL3947" s="4">
        <v>39</v>
      </c>
      <c r="AM3947" s="4">
        <v>46</v>
      </c>
      <c r="AN3947" s="4">
        <v>0</v>
      </c>
      <c r="AO3947" s="4">
        <v>0</v>
      </c>
      <c r="AP3947" s="4">
        <v>12</v>
      </c>
      <c r="AQ3947" s="4">
        <v>12</v>
      </c>
      <c r="AR3947" s="3" t="s">
        <v>63</v>
      </c>
      <c r="AS3947" s="3" t="s">
        <v>63</v>
      </c>
      <c r="AT3947" s="3" t="s">
        <v>63</v>
      </c>
      <c r="AV3947" s="6" t="str">
        <f>HYPERLINK("http://mcgill.on.worldcat.org/oclc/644664990","Catalog Record")</f>
        <v>Catalog Record</v>
      </c>
      <c r="AW3947" s="6" t="str">
        <f>HYPERLINK("http://www.worldcat.org/oclc/644664990","WorldCat Record")</f>
        <v>WorldCat Record</v>
      </c>
      <c r="AX3947" s="3" t="s">
        <v>33712</v>
      </c>
      <c r="AY3947" s="3" t="s">
        <v>33713</v>
      </c>
      <c r="AZ3947" s="3" t="s">
        <v>33714</v>
      </c>
      <c r="BA3947" s="3" t="s">
        <v>33714</v>
      </c>
      <c r="BB3947" s="3" t="s">
        <v>33715</v>
      </c>
      <c r="BC3947" s="3" t="s">
        <v>82</v>
      </c>
      <c r="BD3947" s="3" t="s">
        <v>70</v>
      </c>
      <c r="BE3947" s="3" t="s">
        <v>33716</v>
      </c>
      <c r="BF3947" s="3" t="s">
        <v>33715</v>
      </c>
      <c r="BG3947" s="3" t="s">
        <v>33717</v>
      </c>
    </row>
    <row r="3948" spans="1:59" ht="60" x14ac:dyDescent="0.25">
      <c r="A3948" s="2" t="s">
        <v>59</v>
      </c>
      <c r="B3948" s="2" t="s">
        <v>60</v>
      </c>
      <c r="C3948" s="2" t="s">
        <v>33718</v>
      </c>
      <c r="D3948" s="2" t="s">
        <v>33719</v>
      </c>
      <c r="E3948" s="2" t="s">
        <v>33720</v>
      </c>
      <c r="G3948" s="3" t="s">
        <v>63</v>
      </c>
      <c r="I3948" s="3" t="s">
        <v>63</v>
      </c>
      <c r="J3948" s="3" t="s">
        <v>63</v>
      </c>
      <c r="K3948" s="3" t="s">
        <v>64</v>
      </c>
      <c r="L3948" s="2" t="s">
        <v>33698</v>
      </c>
      <c r="M3948" s="2" t="s">
        <v>33721</v>
      </c>
      <c r="N3948" s="3" t="s">
        <v>106</v>
      </c>
      <c r="P3948" s="3" t="s">
        <v>66</v>
      </c>
      <c r="R3948" s="3" t="s">
        <v>67</v>
      </c>
      <c r="S3948" s="4">
        <v>0</v>
      </c>
      <c r="T3948" s="4">
        <v>0</v>
      </c>
      <c r="W3948" s="5" t="s">
        <v>69</v>
      </c>
      <c r="X3948" s="5" t="s">
        <v>69</v>
      </c>
      <c r="Y3948" s="4">
        <v>218</v>
      </c>
      <c r="Z3948" s="4">
        <v>12</v>
      </c>
      <c r="AA3948" s="4">
        <v>12</v>
      </c>
      <c r="AB3948" s="4">
        <v>1</v>
      </c>
      <c r="AC3948" s="4">
        <v>1</v>
      </c>
      <c r="AD3948" s="4">
        <v>64</v>
      </c>
      <c r="AE3948" s="4">
        <v>64</v>
      </c>
      <c r="AF3948" s="4">
        <v>0</v>
      </c>
      <c r="AG3948" s="4">
        <v>0</v>
      </c>
      <c r="AH3948" s="4">
        <v>61</v>
      </c>
      <c r="AI3948" s="4">
        <v>61</v>
      </c>
      <c r="AJ3948" s="4">
        <v>7</v>
      </c>
      <c r="AK3948" s="4">
        <v>7</v>
      </c>
      <c r="AL3948" s="4">
        <v>41</v>
      </c>
      <c r="AM3948" s="4">
        <v>41</v>
      </c>
      <c r="AN3948" s="4">
        <v>0</v>
      </c>
      <c r="AO3948" s="4">
        <v>0</v>
      </c>
      <c r="AP3948" s="4">
        <v>7</v>
      </c>
      <c r="AQ3948" s="4">
        <v>7</v>
      </c>
      <c r="AR3948" s="3" t="s">
        <v>63</v>
      </c>
      <c r="AS3948" s="3" t="s">
        <v>63</v>
      </c>
      <c r="AT3948" s="3" t="s">
        <v>63</v>
      </c>
      <c r="AV3948" s="6" t="str">
        <f>HYPERLINK("http://mcgill.on.worldcat.org/oclc/922729072","Catalog Record")</f>
        <v>Catalog Record</v>
      </c>
      <c r="AW3948" s="6" t="str">
        <f>HYPERLINK("http://www.worldcat.org/oclc/922729072","WorldCat Record")</f>
        <v>WorldCat Record</v>
      </c>
      <c r="AX3948" s="3" t="s">
        <v>33722</v>
      </c>
      <c r="AY3948" s="3" t="s">
        <v>33723</v>
      </c>
      <c r="AZ3948" s="3" t="s">
        <v>33724</v>
      </c>
      <c r="BA3948" s="3" t="s">
        <v>33724</v>
      </c>
      <c r="BB3948" s="3" t="s">
        <v>33725</v>
      </c>
      <c r="BC3948" s="3" t="s">
        <v>82</v>
      </c>
      <c r="BD3948" s="3" t="s">
        <v>70</v>
      </c>
      <c r="BE3948" s="3" t="s">
        <v>33726</v>
      </c>
      <c r="BF3948" s="3" t="s">
        <v>33725</v>
      </c>
      <c r="BG3948" s="3" t="s">
        <v>33727</v>
      </c>
    </row>
    <row r="3949" spans="1:59" ht="60" x14ac:dyDescent="0.25">
      <c r="A3949" s="2" t="s">
        <v>59</v>
      </c>
      <c r="B3949" s="2" t="s">
        <v>60</v>
      </c>
      <c r="C3949" s="2" t="s">
        <v>33728</v>
      </c>
      <c r="D3949" s="2" t="s">
        <v>33729</v>
      </c>
      <c r="E3949" s="2" t="s">
        <v>33730</v>
      </c>
      <c r="G3949" s="3" t="s">
        <v>63</v>
      </c>
      <c r="I3949" s="3" t="s">
        <v>63</v>
      </c>
      <c r="J3949" s="3" t="s">
        <v>63</v>
      </c>
      <c r="K3949" s="3" t="s">
        <v>64</v>
      </c>
      <c r="L3949" s="2" t="s">
        <v>33687</v>
      </c>
      <c r="M3949" s="2" t="s">
        <v>33731</v>
      </c>
      <c r="N3949" s="3" t="s">
        <v>2103</v>
      </c>
      <c r="P3949" s="3" t="s">
        <v>66</v>
      </c>
      <c r="R3949" s="3" t="s">
        <v>67</v>
      </c>
      <c r="S3949" s="4">
        <v>10</v>
      </c>
      <c r="T3949" s="4">
        <v>10</v>
      </c>
      <c r="U3949" s="5" t="s">
        <v>3628</v>
      </c>
      <c r="V3949" s="5" t="s">
        <v>3628</v>
      </c>
      <c r="W3949" s="5" t="s">
        <v>69</v>
      </c>
      <c r="X3949" s="5" t="s">
        <v>69</v>
      </c>
      <c r="Y3949" s="4">
        <v>343</v>
      </c>
      <c r="Z3949" s="4">
        <v>17</v>
      </c>
      <c r="AA3949" s="4">
        <v>19</v>
      </c>
      <c r="AB3949" s="4">
        <v>2</v>
      </c>
      <c r="AC3949" s="4">
        <v>3</v>
      </c>
      <c r="AD3949" s="4">
        <v>95</v>
      </c>
      <c r="AE3949" s="4">
        <v>96</v>
      </c>
      <c r="AF3949" s="4">
        <v>0</v>
      </c>
      <c r="AG3949" s="4">
        <v>0</v>
      </c>
      <c r="AH3949" s="4">
        <v>89</v>
      </c>
      <c r="AI3949" s="4">
        <v>90</v>
      </c>
      <c r="AJ3949" s="4">
        <v>8</v>
      </c>
      <c r="AK3949" s="4">
        <v>8</v>
      </c>
      <c r="AL3949" s="4">
        <v>53</v>
      </c>
      <c r="AM3949" s="4">
        <v>53</v>
      </c>
      <c r="AN3949" s="4">
        <v>0</v>
      </c>
      <c r="AO3949" s="4">
        <v>0</v>
      </c>
      <c r="AP3949" s="4">
        <v>8</v>
      </c>
      <c r="AQ3949" s="4">
        <v>8</v>
      </c>
      <c r="AR3949" s="3" t="s">
        <v>63</v>
      </c>
      <c r="AS3949" s="3" t="s">
        <v>63</v>
      </c>
      <c r="AT3949" s="3" t="s">
        <v>62</v>
      </c>
      <c r="AU3949" s="6" t="str">
        <f>HYPERLINK("http://catalog.hathitrust.org/Record/004300297","HathiTrust Record")</f>
        <v>HathiTrust Record</v>
      </c>
      <c r="AV3949" s="6" t="str">
        <f>HYPERLINK("http://mcgill.on.worldcat.org/oclc/49821380","Catalog Record")</f>
        <v>Catalog Record</v>
      </c>
      <c r="AW3949" s="6" t="str">
        <f>HYPERLINK("http://www.worldcat.org/oclc/49821380","WorldCat Record")</f>
        <v>WorldCat Record</v>
      </c>
      <c r="AX3949" s="3" t="s">
        <v>33732</v>
      </c>
      <c r="AY3949" s="3" t="s">
        <v>33733</v>
      </c>
      <c r="AZ3949" s="3" t="s">
        <v>33734</v>
      </c>
      <c r="BA3949" s="3" t="s">
        <v>33734</v>
      </c>
      <c r="BB3949" s="3" t="s">
        <v>33735</v>
      </c>
      <c r="BC3949" s="3" t="s">
        <v>82</v>
      </c>
      <c r="BD3949" s="3" t="s">
        <v>538</v>
      </c>
      <c r="BE3949" s="3" t="s">
        <v>33736</v>
      </c>
      <c r="BF3949" s="3" t="s">
        <v>33735</v>
      </c>
      <c r="BG3949" s="3" t="s">
        <v>33737</v>
      </c>
    </row>
    <row r="3950" spans="1:59" ht="60" x14ac:dyDescent="0.25">
      <c r="A3950" s="2" t="s">
        <v>59</v>
      </c>
      <c r="B3950" s="2" t="s">
        <v>60</v>
      </c>
      <c r="C3950" s="2" t="s">
        <v>33738</v>
      </c>
      <c r="D3950" s="2" t="s">
        <v>33739</v>
      </c>
      <c r="E3950" s="2" t="s">
        <v>33740</v>
      </c>
      <c r="G3950" s="3" t="s">
        <v>63</v>
      </c>
      <c r="I3950" s="3" t="s">
        <v>63</v>
      </c>
      <c r="J3950" s="3" t="s">
        <v>62</v>
      </c>
      <c r="K3950" s="3" t="s">
        <v>64</v>
      </c>
      <c r="L3950" s="2" t="s">
        <v>33698</v>
      </c>
      <c r="M3950" s="2" t="s">
        <v>29170</v>
      </c>
      <c r="N3950" s="3" t="s">
        <v>76</v>
      </c>
      <c r="P3950" s="3" t="s">
        <v>90</v>
      </c>
      <c r="R3950" s="3" t="s">
        <v>67</v>
      </c>
      <c r="S3950" s="4">
        <v>1</v>
      </c>
      <c r="T3950" s="4">
        <v>1</v>
      </c>
      <c r="U3950" s="5" t="s">
        <v>15042</v>
      </c>
      <c r="V3950" s="5" t="s">
        <v>15042</v>
      </c>
      <c r="W3950" s="5" t="s">
        <v>69</v>
      </c>
      <c r="X3950" s="5" t="s">
        <v>69</v>
      </c>
      <c r="Y3950" s="4">
        <v>90</v>
      </c>
      <c r="Z3950" s="4">
        <v>5</v>
      </c>
      <c r="AA3950" s="4">
        <v>5</v>
      </c>
      <c r="AB3950" s="4">
        <v>1</v>
      </c>
      <c r="AC3950" s="4">
        <v>1</v>
      </c>
      <c r="AD3950" s="4">
        <v>25</v>
      </c>
      <c r="AE3950" s="4">
        <v>34</v>
      </c>
      <c r="AF3950" s="4">
        <v>0</v>
      </c>
      <c r="AG3950" s="4">
        <v>0</v>
      </c>
      <c r="AH3950" s="4">
        <v>24</v>
      </c>
      <c r="AI3950" s="4">
        <v>33</v>
      </c>
      <c r="AJ3950" s="4">
        <v>0</v>
      </c>
      <c r="AK3950" s="4">
        <v>0</v>
      </c>
      <c r="AL3950" s="4">
        <v>20</v>
      </c>
      <c r="AM3950" s="4">
        <v>26</v>
      </c>
      <c r="AN3950" s="4">
        <v>0</v>
      </c>
      <c r="AO3950" s="4">
        <v>0</v>
      </c>
      <c r="AP3950" s="4">
        <v>0</v>
      </c>
      <c r="AQ3950" s="4">
        <v>0</v>
      </c>
      <c r="AR3950" s="3" t="s">
        <v>63</v>
      </c>
      <c r="AS3950" s="3" t="s">
        <v>63</v>
      </c>
      <c r="AT3950" s="3" t="s">
        <v>63</v>
      </c>
      <c r="AV3950" s="6" t="str">
        <f>HYPERLINK("http://mcgill.on.worldcat.org/oclc/819592954","Catalog Record")</f>
        <v>Catalog Record</v>
      </c>
      <c r="AW3950" s="6" t="str">
        <f>HYPERLINK("http://www.worldcat.org/oclc/819592954","WorldCat Record")</f>
        <v>WorldCat Record</v>
      </c>
      <c r="AX3950" s="3" t="s">
        <v>33741</v>
      </c>
      <c r="AY3950" s="3" t="s">
        <v>33742</v>
      </c>
      <c r="AZ3950" s="3" t="s">
        <v>33743</v>
      </c>
      <c r="BA3950" s="3" t="s">
        <v>33743</v>
      </c>
      <c r="BB3950" s="3" t="s">
        <v>33744</v>
      </c>
      <c r="BC3950" s="3" t="s">
        <v>82</v>
      </c>
      <c r="BD3950" s="3" t="s">
        <v>70</v>
      </c>
      <c r="BE3950" s="3" t="s">
        <v>33745</v>
      </c>
      <c r="BF3950" s="3" t="s">
        <v>33744</v>
      </c>
      <c r="BG3950" s="3" t="s">
        <v>33746</v>
      </c>
    </row>
    <row r="3951" spans="1:59" ht="60" x14ac:dyDescent="0.25">
      <c r="A3951" s="2" t="s">
        <v>59</v>
      </c>
      <c r="B3951" s="2" t="s">
        <v>60</v>
      </c>
      <c r="C3951" s="2" t="s">
        <v>33747</v>
      </c>
      <c r="D3951" s="2" t="s">
        <v>33748</v>
      </c>
      <c r="E3951" s="2" t="s">
        <v>33749</v>
      </c>
      <c r="G3951" s="3" t="s">
        <v>63</v>
      </c>
      <c r="I3951" s="3" t="s">
        <v>63</v>
      </c>
      <c r="J3951" s="3" t="s">
        <v>62</v>
      </c>
      <c r="K3951" s="3" t="s">
        <v>64</v>
      </c>
      <c r="L3951" s="2" t="s">
        <v>33698</v>
      </c>
      <c r="M3951" s="2" t="s">
        <v>33750</v>
      </c>
      <c r="N3951" s="3" t="s">
        <v>143</v>
      </c>
      <c r="P3951" s="3" t="s">
        <v>90</v>
      </c>
      <c r="R3951" s="3" t="s">
        <v>67</v>
      </c>
      <c r="S3951" s="4">
        <v>0</v>
      </c>
      <c r="T3951" s="4">
        <v>0</v>
      </c>
      <c r="W3951" s="5" t="s">
        <v>69</v>
      </c>
      <c r="X3951" s="5" t="s">
        <v>69</v>
      </c>
      <c r="Y3951" s="4">
        <v>2</v>
      </c>
      <c r="Z3951" s="4">
        <v>1</v>
      </c>
      <c r="AA3951" s="4">
        <v>5</v>
      </c>
      <c r="AB3951" s="4">
        <v>1</v>
      </c>
      <c r="AC3951" s="4">
        <v>1</v>
      </c>
      <c r="AD3951" s="4">
        <v>0</v>
      </c>
      <c r="AE3951" s="4">
        <v>34</v>
      </c>
      <c r="AF3951" s="4">
        <v>0</v>
      </c>
      <c r="AG3951" s="4">
        <v>0</v>
      </c>
      <c r="AH3951" s="4">
        <v>0</v>
      </c>
      <c r="AI3951" s="4">
        <v>33</v>
      </c>
      <c r="AJ3951" s="4">
        <v>0</v>
      </c>
      <c r="AK3951" s="4">
        <v>0</v>
      </c>
      <c r="AL3951" s="4">
        <v>0</v>
      </c>
      <c r="AM3951" s="4">
        <v>26</v>
      </c>
      <c r="AN3951" s="4">
        <v>0</v>
      </c>
      <c r="AO3951" s="4">
        <v>0</v>
      </c>
      <c r="AP3951" s="4">
        <v>0</v>
      </c>
      <c r="AQ3951" s="4">
        <v>0</v>
      </c>
      <c r="AR3951" s="3" t="s">
        <v>63</v>
      </c>
      <c r="AS3951" s="3" t="s">
        <v>63</v>
      </c>
      <c r="AT3951" s="3" t="s">
        <v>63</v>
      </c>
      <c r="AV3951" s="6" t="str">
        <f>HYPERLINK("http://mcgill.on.worldcat.org/oclc/873559082","Catalog Record")</f>
        <v>Catalog Record</v>
      </c>
      <c r="AW3951" s="6" t="str">
        <f>HYPERLINK("http://www.worldcat.org/oclc/873559082","WorldCat Record")</f>
        <v>WorldCat Record</v>
      </c>
      <c r="AX3951" s="3" t="s">
        <v>33741</v>
      </c>
      <c r="AY3951" s="3" t="s">
        <v>33751</v>
      </c>
      <c r="AZ3951" s="3" t="s">
        <v>33752</v>
      </c>
      <c r="BA3951" s="3" t="s">
        <v>33752</v>
      </c>
      <c r="BB3951" s="3" t="s">
        <v>33753</v>
      </c>
      <c r="BC3951" s="3" t="s">
        <v>82</v>
      </c>
      <c r="BD3951" s="3" t="s">
        <v>70</v>
      </c>
      <c r="BE3951" s="3" t="s">
        <v>33754</v>
      </c>
      <c r="BF3951" s="3" t="s">
        <v>33753</v>
      </c>
      <c r="BG3951" s="3" t="s">
        <v>33755</v>
      </c>
    </row>
    <row r="3952" spans="1:59" ht="75" x14ac:dyDescent="0.25">
      <c r="A3952" s="2" t="s">
        <v>59</v>
      </c>
      <c r="B3952" s="2" t="s">
        <v>60</v>
      </c>
      <c r="C3952" s="2" t="s">
        <v>33756</v>
      </c>
      <c r="D3952" s="2" t="s">
        <v>33757</v>
      </c>
      <c r="E3952" s="2" t="s">
        <v>33758</v>
      </c>
      <c r="G3952" s="3" t="s">
        <v>63</v>
      </c>
      <c r="I3952" s="3" t="s">
        <v>63</v>
      </c>
      <c r="J3952" s="3" t="s">
        <v>63</v>
      </c>
      <c r="K3952" s="3" t="s">
        <v>64</v>
      </c>
      <c r="L3952" s="2" t="s">
        <v>33687</v>
      </c>
      <c r="M3952" s="2" t="s">
        <v>33731</v>
      </c>
      <c r="N3952" s="3" t="s">
        <v>2103</v>
      </c>
      <c r="O3952" s="2" t="s">
        <v>33759</v>
      </c>
      <c r="P3952" s="3" t="s">
        <v>66</v>
      </c>
      <c r="R3952" s="3" t="s">
        <v>67</v>
      </c>
      <c r="S3952" s="4">
        <v>5</v>
      </c>
      <c r="T3952" s="4">
        <v>5</v>
      </c>
      <c r="U3952" s="5" t="s">
        <v>10434</v>
      </c>
      <c r="V3952" s="5" t="s">
        <v>10434</v>
      </c>
      <c r="W3952" s="5" t="s">
        <v>69</v>
      </c>
      <c r="X3952" s="5" t="s">
        <v>69</v>
      </c>
      <c r="Y3952" s="4">
        <v>72</v>
      </c>
      <c r="Z3952" s="4">
        <v>4</v>
      </c>
      <c r="AA3952" s="4">
        <v>27</v>
      </c>
      <c r="AB3952" s="4">
        <v>2</v>
      </c>
      <c r="AC3952" s="4">
        <v>3</v>
      </c>
      <c r="AD3952" s="4">
        <v>6</v>
      </c>
      <c r="AE3952" s="4">
        <v>100</v>
      </c>
      <c r="AF3952" s="4">
        <v>0</v>
      </c>
      <c r="AG3952" s="4">
        <v>0</v>
      </c>
      <c r="AH3952" s="4">
        <v>6</v>
      </c>
      <c r="AI3952" s="4">
        <v>94</v>
      </c>
      <c r="AJ3952" s="4">
        <v>0</v>
      </c>
      <c r="AK3952" s="4">
        <v>10</v>
      </c>
      <c r="AL3952" s="4">
        <v>5</v>
      </c>
      <c r="AM3952" s="4">
        <v>53</v>
      </c>
      <c r="AN3952" s="4">
        <v>0</v>
      </c>
      <c r="AO3952" s="4">
        <v>0</v>
      </c>
      <c r="AP3952" s="4">
        <v>0</v>
      </c>
      <c r="AQ3952" s="4">
        <v>11</v>
      </c>
      <c r="AR3952" s="3" t="s">
        <v>63</v>
      </c>
      <c r="AS3952" s="3" t="s">
        <v>63</v>
      </c>
      <c r="AT3952" s="3" t="s">
        <v>63</v>
      </c>
      <c r="AV3952" s="6" t="str">
        <f>HYPERLINK("http://mcgill.on.worldcat.org/oclc/57226755","Catalog Record")</f>
        <v>Catalog Record</v>
      </c>
      <c r="AW3952" s="6" t="str">
        <f>HYPERLINK("http://www.worldcat.org/oclc/57226755","WorldCat Record")</f>
        <v>WorldCat Record</v>
      </c>
      <c r="AX3952" s="3" t="s">
        <v>33760</v>
      </c>
      <c r="AY3952" s="3" t="s">
        <v>33761</v>
      </c>
      <c r="AZ3952" s="3" t="s">
        <v>33762</v>
      </c>
      <c r="BA3952" s="3" t="s">
        <v>33762</v>
      </c>
      <c r="BB3952" s="3" t="s">
        <v>33763</v>
      </c>
      <c r="BC3952" s="3" t="s">
        <v>82</v>
      </c>
      <c r="BD3952" s="3" t="s">
        <v>70</v>
      </c>
      <c r="BE3952" s="3" t="s">
        <v>33764</v>
      </c>
      <c r="BF3952" s="3" t="s">
        <v>33763</v>
      </c>
      <c r="BG3952" s="3" t="s">
        <v>33765</v>
      </c>
    </row>
    <row r="3953" spans="1:59" ht="60" x14ac:dyDescent="0.25">
      <c r="A3953" s="2" t="s">
        <v>59</v>
      </c>
      <c r="B3953" s="2" t="s">
        <v>60</v>
      </c>
      <c r="C3953" s="2" t="s">
        <v>33766</v>
      </c>
      <c r="D3953" s="2" t="s">
        <v>33767</v>
      </c>
      <c r="E3953" s="2" t="s">
        <v>33768</v>
      </c>
      <c r="G3953" s="3" t="s">
        <v>63</v>
      </c>
      <c r="I3953" s="3" t="s">
        <v>63</v>
      </c>
      <c r="J3953" s="3" t="s">
        <v>63</v>
      </c>
      <c r="K3953" s="3" t="s">
        <v>64</v>
      </c>
      <c r="L3953" s="2" t="s">
        <v>33687</v>
      </c>
      <c r="M3953" s="2" t="s">
        <v>33038</v>
      </c>
      <c r="N3953" s="3" t="s">
        <v>2765</v>
      </c>
      <c r="O3953" s="2" t="s">
        <v>33420</v>
      </c>
      <c r="P3953" s="3" t="s">
        <v>66</v>
      </c>
      <c r="R3953" s="3" t="s">
        <v>67</v>
      </c>
      <c r="S3953" s="4">
        <v>3</v>
      </c>
      <c r="T3953" s="4">
        <v>3</v>
      </c>
      <c r="U3953" s="5" t="s">
        <v>1229</v>
      </c>
      <c r="V3953" s="5" t="s">
        <v>1229</v>
      </c>
      <c r="W3953" s="5" t="s">
        <v>69</v>
      </c>
      <c r="X3953" s="5" t="s">
        <v>69</v>
      </c>
      <c r="Y3953" s="4">
        <v>779</v>
      </c>
      <c r="Z3953" s="4">
        <v>25</v>
      </c>
      <c r="AA3953" s="4">
        <v>29</v>
      </c>
      <c r="AB3953" s="4">
        <v>3</v>
      </c>
      <c r="AC3953" s="4">
        <v>5</v>
      </c>
      <c r="AD3953" s="4">
        <v>73</v>
      </c>
      <c r="AE3953" s="4">
        <v>74</v>
      </c>
      <c r="AF3953" s="4">
        <v>0</v>
      </c>
      <c r="AG3953" s="4">
        <v>0</v>
      </c>
      <c r="AH3953" s="4">
        <v>71</v>
      </c>
      <c r="AI3953" s="4">
        <v>72</v>
      </c>
      <c r="AJ3953" s="4">
        <v>7</v>
      </c>
      <c r="AK3953" s="4">
        <v>7</v>
      </c>
      <c r="AL3953" s="4">
        <v>43</v>
      </c>
      <c r="AM3953" s="4">
        <v>44</v>
      </c>
      <c r="AN3953" s="4">
        <v>0</v>
      </c>
      <c r="AO3953" s="4">
        <v>0</v>
      </c>
      <c r="AP3953" s="4">
        <v>7</v>
      </c>
      <c r="AQ3953" s="4">
        <v>7</v>
      </c>
      <c r="AR3953" s="3" t="s">
        <v>63</v>
      </c>
      <c r="AS3953" s="3" t="s">
        <v>63</v>
      </c>
      <c r="AT3953" s="3" t="s">
        <v>63</v>
      </c>
      <c r="AV3953" s="6" t="str">
        <f>HYPERLINK("http://mcgill.on.worldcat.org/oclc/869263715","Catalog Record")</f>
        <v>Catalog Record</v>
      </c>
      <c r="AW3953" s="6" t="str">
        <f>HYPERLINK("http://www.worldcat.org/oclc/869263715","WorldCat Record")</f>
        <v>WorldCat Record</v>
      </c>
      <c r="AX3953" s="3" t="s">
        <v>33769</v>
      </c>
      <c r="AY3953" s="3" t="s">
        <v>33770</v>
      </c>
      <c r="AZ3953" s="3" t="s">
        <v>33771</v>
      </c>
      <c r="BA3953" s="3" t="s">
        <v>33771</v>
      </c>
      <c r="BB3953" s="3" t="s">
        <v>33772</v>
      </c>
      <c r="BC3953" s="3" t="s">
        <v>82</v>
      </c>
      <c r="BD3953" s="3" t="s">
        <v>70</v>
      </c>
      <c r="BE3953" s="3" t="s">
        <v>33773</v>
      </c>
      <c r="BF3953" s="3" t="s">
        <v>33772</v>
      </c>
      <c r="BG3953" s="3" t="s">
        <v>33774</v>
      </c>
    </row>
    <row r="3954" spans="1:59" ht="60" x14ac:dyDescent="0.25">
      <c r="A3954" s="2" t="s">
        <v>59</v>
      </c>
      <c r="B3954" s="2" t="s">
        <v>60</v>
      </c>
      <c r="C3954" s="2" t="s">
        <v>33775</v>
      </c>
      <c r="D3954" s="2" t="s">
        <v>33776</v>
      </c>
      <c r="E3954" s="2" t="s">
        <v>33777</v>
      </c>
      <c r="G3954" s="3" t="s">
        <v>63</v>
      </c>
      <c r="I3954" s="3" t="s">
        <v>63</v>
      </c>
      <c r="J3954" s="3" t="s">
        <v>63</v>
      </c>
      <c r="K3954" s="3" t="s">
        <v>64</v>
      </c>
      <c r="L3954" s="2" t="s">
        <v>33778</v>
      </c>
      <c r="M3954" s="2" t="s">
        <v>33779</v>
      </c>
      <c r="N3954" s="3" t="s">
        <v>313</v>
      </c>
      <c r="P3954" s="3" t="s">
        <v>90</v>
      </c>
      <c r="R3954" s="3" t="s">
        <v>67</v>
      </c>
      <c r="S3954" s="4">
        <v>2</v>
      </c>
      <c r="T3954" s="4">
        <v>2</v>
      </c>
      <c r="U3954" s="5" t="s">
        <v>33780</v>
      </c>
      <c r="V3954" s="5" t="s">
        <v>33780</v>
      </c>
      <c r="W3954" s="5" t="s">
        <v>69</v>
      </c>
      <c r="X3954" s="5" t="s">
        <v>69</v>
      </c>
      <c r="Y3954" s="4">
        <v>37</v>
      </c>
      <c r="Z3954" s="4">
        <v>1</v>
      </c>
      <c r="AA3954" s="4">
        <v>2</v>
      </c>
      <c r="AB3954" s="4">
        <v>1</v>
      </c>
      <c r="AC3954" s="4">
        <v>1</v>
      </c>
      <c r="AD3954" s="4">
        <v>21</v>
      </c>
      <c r="AE3954" s="4">
        <v>24</v>
      </c>
      <c r="AF3954" s="4">
        <v>0</v>
      </c>
      <c r="AG3954" s="4">
        <v>0</v>
      </c>
      <c r="AH3954" s="4">
        <v>20</v>
      </c>
      <c r="AI3954" s="4">
        <v>23</v>
      </c>
      <c r="AJ3954" s="4">
        <v>0</v>
      </c>
      <c r="AK3954" s="4">
        <v>1</v>
      </c>
      <c r="AL3954" s="4">
        <v>16</v>
      </c>
      <c r="AM3954" s="4">
        <v>17</v>
      </c>
      <c r="AN3954" s="4">
        <v>0</v>
      </c>
      <c r="AO3954" s="4">
        <v>0</v>
      </c>
      <c r="AP3954" s="4">
        <v>0</v>
      </c>
      <c r="AQ3954" s="4">
        <v>1</v>
      </c>
      <c r="AR3954" s="3" t="s">
        <v>63</v>
      </c>
      <c r="AS3954" s="3" t="s">
        <v>63</v>
      </c>
      <c r="AT3954" s="3" t="s">
        <v>63</v>
      </c>
      <c r="AV3954" s="6" t="str">
        <f>HYPERLINK("http://mcgill.on.worldcat.org/oclc/593265386","Catalog Record")</f>
        <v>Catalog Record</v>
      </c>
      <c r="AW3954" s="6" t="str">
        <f>HYPERLINK("http://www.worldcat.org/oclc/593265386","WorldCat Record")</f>
        <v>WorldCat Record</v>
      </c>
      <c r="AX3954" s="3" t="s">
        <v>33781</v>
      </c>
      <c r="AY3954" s="3" t="s">
        <v>33782</v>
      </c>
      <c r="AZ3954" s="3" t="s">
        <v>33783</v>
      </c>
      <c r="BA3954" s="3" t="s">
        <v>33783</v>
      </c>
      <c r="BB3954" s="3" t="s">
        <v>33784</v>
      </c>
      <c r="BC3954" s="3" t="s">
        <v>82</v>
      </c>
      <c r="BD3954" s="3" t="s">
        <v>70</v>
      </c>
      <c r="BE3954" s="3" t="s">
        <v>33785</v>
      </c>
      <c r="BF3954" s="3" t="s">
        <v>33784</v>
      </c>
      <c r="BG3954" s="3" t="s">
        <v>33786</v>
      </c>
    </row>
    <row r="3955" spans="1:59" ht="60" x14ac:dyDescent="0.25">
      <c r="A3955" s="2" t="s">
        <v>59</v>
      </c>
      <c r="B3955" s="2" t="s">
        <v>60</v>
      </c>
      <c r="C3955" s="2" t="s">
        <v>33787</v>
      </c>
      <c r="D3955" s="2" t="s">
        <v>33788</v>
      </c>
      <c r="E3955" s="2" t="s">
        <v>33789</v>
      </c>
      <c r="G3955" s="3" t="s">
        <v>63</v>
      </c>
      <c r="I3955" s="3" t="s">
        <v>63</v>
      </c>
      <c r="J3955" s="3" t="s">
        <v>63</v>
      </c>
      <c r="K3955" s="3" t="s">
        <v>64</v>
      </c>
      <c r="L3955" s="2" t="s">
        <v>33790</v>
      </c>
      <c r="M3955" s="2" t="s">
        <v>33791</v>
      </c>
      <c r="N3955" s="3" t="s">
        <v>274</v>
      </c>
      <c r="P3955" s="3" t="s">
        <v>90</v>
      </c>
      <c r="R3955" s="3" t="s">
        <v>67</v>
      </c>
      <c r="S3955" s="4">
        <v>7</v>
      </c>
      <c r="T3955" s="4">
        <v>7</v>
      </c>
      <c r="U3955" s="5" t="s">
        <v>6344</v>
      </c>
      <c r="V3955" s="5" t="s">
        <v>6344</v>
      </c>
      <c r="W3955" s="5" t="s">
        <v>69</v>
      </c>
      <c r="X3955" s="5" t="s">
        <v>69</v>
      </c>
      <c r="Y3955" s="4">
        <v>92</v>
      </c>
      <c r="Z3955" s="4">
        <v>7</v>
      </c>
      <c r="AA3955" s="4">
        <v>8</v>
      </c>
      <c r="AB3955" s="4">
        <v>1</v>
      </c>
      <c r="AC3955" s="4">
        <v>2</v>
      </c>
      <c r="AD3955" s="4">
        <v>44</v>
      </c>
      <c r="AE3955" s="4">
        <v>45</v>
      </c>
      <c r="AF3955" s="4">
        <v>0</v>
      </c>
      <c r="AG3955" s="4">
        <v>1</v>
      </c>
      <c r="AH3955" s="4">
        <v>44</v>
      </c>
      <c r="AI3955" s="4">
        <v>44</v>
      </c>
      <c r="AJ3955" s="4">
        <v>4</v>
      </c>
      <c r="AK3955" s="4">
        <v>5</v>
      </c>
      <c r="AL3955" s="4">
        <v>33</v>
      </c>
      <c r="AM3955" s="4">
        <v>33</v>
      </c>
      <c r="AN3955" s="4">
        <v>0</v>
      </c>
      <c r="AO3955" s="4">
        <v>0</v>
      </c>
      <c r="AP3955" s="4">
        <v>4</v>
      </c>
      <c r="AQ3955" s="4">
        <v>4</v>
      </c>
      <c r="AR3955" s="3" t="s">
        <v>63</v>
      </c>
      <c r="AS3955" s="3" t="s">
        <v>63</v>
      </c>
      <c r="AT3955" s="3" t="s">
        <v>62</v>
      </c>
      <c r="AU3955" s="6" t="str">
        <f>HYPERLINK("http://catalog.hathitrust.org/Record/004046923","HathiTrust Record")</f>
        <v>HathiTrust Record</v>
      </c>
      <c r="AV3955" s="6" t="str">
        <f>HYPERLINK("http://mcgill.on.worldcat.org/oclc/41913792","Catalog Record")</f>
        <v>Catalog Record</v>
      </c>
      <c r="AW3955" s="6" t="str">
        <f>HYPERLINK("http://www.worldcat.org/oclc/41913792","WorldCat Record")</f>
        <v>WorldCat Record</v>
      </c>
      <c r="AX3955" s="3" t="s">
        <v>33792</v>
      </c>
      <c r="AY3955" s="3" t="s">
        <v>33793</v>
      </c>
      <c r="AZ3955" s="3" t="s">
        <v>33794</v>
      </c>
      <c r="BA3955" s="3" t="s">
        <v>33794</v>
      </c>
      <c r="BB3955" s="3" t="s">
        <v>33795</v>
      </c>
      <c r="BC3955" s="3" t="s">
        <v>82</v>
      </c>
      <c r="BD3955" s="3" t="s">
        <v>70</v>
      </c>
      <c r="BE3955" s="3" t="s">
        <v>33796</v>
      </c>
      <c r="BF3955" s="3" t="s">
        <v>33795</v>
      </c>
      <c r="BG3955" s="3" t="s">
        <v>33797</v>
      </c>
    </row>
    <row r="3956" spans="1:59" ht="75" x14ac:dyDescent="0.25">
      <c r="A3956" s="2" t="s">
        <v>59</v>
      </c>
      <c r="B3956" s="2" t="s">
        <v>60</v>
      </c>
      <c r="C3956" s="2" t="s">
        <v>33798</v>
      </c>
      <c r="D3956" s="2" t="s">
        <v>33799</v>
      </c>
      <c r="E3956" s="2" t="s">
        <v>33800</v>
      </c>
      <c r="G3956" s="3" t="s">
        <v>63</v>
      </c>
      <c r="I3956" s="3" t="s">
        <v>63</v>
      </c>
      <c r="J3956" s="3" t="s">
        <v>63</v>
      </c>
      <c r="K3956" s="3" t="s">
        <v>64</v>
      </c>
      <c r="L3956" s="2" t="s">
        <v>33801</v>
      </c>
      <c r="M3956" s="2" t="s">
        <v>23679</v>
      </c>
      <c r="N3956" s="3" t="s">
        <v>2765</v>
      </c>
      <c r="P3956" s="3" t="s">
        <v>90</v>
      </c>
      <c r="Q3956" s="2" t="s">
        <v>29510</v>
      </c>
      <c r="R3956" s="3" t="s">
        <v>67</v>
      </c>
      <c r="S3956" s="4">
        <v>1</v>
      </c>
      <c r="T3956" s="4">
        <v>1</v>
      </c>
      <c r="U3956" s="5" t="s">
        <v>31790</v>
      </c>
      <c r="V3956" s="5" t="s">
        <v>31790</v>
      </c>
      <c r="W3956" s="5" t="s">
        <v>69</v>
      </c>
      <c r="X3956" s="5" t="s">
        <v>69</v>
      </c>
      <c r="Y3956" s="4">
        <v>31</v>
      </c>
      <c r="Z3956" s="4">
        <v>1</v>
      </c>
      <c r="AA3956" s="4">
        <v>6</v>
      </c>
      <c r="AB3956" s="4">
        <v>1</v>
      </c>
      <c r="AC3956" s="4">
        <v>1</v>
      </c>
      <c r="AD3956" s="4">
        <v>2</v>
      </c>
      <c r="AE3956" s="4">
        <v>39</v>
      </c>
      <c r="AF3956" s="4">
        <v>0</v>
      </c>
      <c r="AG3956" s="4">
        <v>0</v>
      </c>
      <c r="AH3956" s="4">
        <v>2</v>
      </c>
      <c r="AI3956" s="4">
        <v>38</v>
      </c>
      <c r="AJ3956" s="4">
        <v>0</v>
      </c>
      <c r="AK3956" s="4">
        <v>3</v>
      </c>
      <c r="AL3956" s="4">
        <v>2</v>
      </c>
      <c r="AM3956" s="4">
        <v>28</v>
      </c>
      <c r="AN3956" s="4">
        <v>0</v>
      </c>
      <c r="AO3956" s="4">
        <v>0</v>
      </c>
      <c r="AP3956" s="4">
        <v>0</v>
      </c>
      <c r="AQ3956" s="4">
        <v>3</v>
      </c>
      <c r="AR3956" s="3" t="s">
        <v>63</v>
      </c>
      <c r="AS3956" s="3" t="s">
        <v>63</v>
      </c>
      <c r="AT3956" s="3" t="s">
        <v>63</v>
      </c>
      <c r="AV3956" s="6" t="str">
        <f>HYPERLINK("http://mcgill.on.worldcat.org/oclc/928929651","Catalog Record")</f>
        <v>Catalog Record</v>
      </c>
      <c r="AW3956" s="6" t="str">
        <f>HYPERLINK("http://www.worldcat.org/oclc/928929651","WorldCat Record")</f>
        <v>WorldCat Record</v>
      </c>
      <c r="AX3956" s="3" t="s">
        <v>33802</v>
      </c>
      <c r="AY3956" s="3" t="s">
        <v>33803</v>
      </c>
      <c r="AZ3956" s="3" t="s">
        <v>33804</v>
      </c>
      <c r="BA3956" s="3" t="s">
        <v>33804</v>
      </c>
      <c r="BB3956" s="3" t="s">
        <v>33805</v>
      </c>
      <c r="BC3956" s="3" t="s">
        <v>82</v>
      </c>
      <c r="BD3956" s="3" t="s">
        <v>70</v>
      </c>
      <c r="BE3956" s="3" t="s">
        <v>33806</v>
      </c>
      <c r="BF3956" s="3" t="s">
        <v>33805</v>
      </c>
      <c r="BG3956" s="3" t="s">
        <v>33807</v>
      </c>
    </row>
    <row r="3957" spans="1:59" ht="75" x14ac:dyDescent="0.25">
      <c r="A3957" s="2" t="s">
        <v>59</v>
      </c>
      <c r="B3957" s="2" t="s">
        <v>60</v>
      </c>
      <c r="C3957" s="2" t="s">
        <v>33808</v>
      </c>
      <c r="D3957" s="2" t="s">
        <v>33809</v>
      </c>
      <c r="E3957" s="2" t="s">
        <v>33810</v>
      </c>
      <c r="G3957" s="3" t="s">
        <v>63</v>
      </c>
      <c r="I3957" s="3" t="s">
        <v>63</v>
      </c>
      <c r="J3957" s="3" t="s">
        <v>63</v>
      </c>
      <c r="K3957" s="3" t="s">
        <v>64</v>
      </c>
      <c r="L3957" s="2" t="s">
        <v>33811</v>
      </c>
      <c r="M3957" s="2" t="s">
        <v>22532</v>
      </c>
      <c r="N3957" s="3" t="s">
        <v>629</v>
      </c>
      <c r="P3957" s="3" t="s">
        <v>90</v>
      </c>
      <c r="Q3957" s="2" t="s">
        <v>33812</v>
      </c>
      <c r="R3957" s="3" t="s">
        <v>67</v>
      </c>
      <c r="S3957" s="4">
        <v>2</v>
      </c>
      <c r="T3957" s="4">
        <v>2</v>
      </c>
      <c r="U3957" s="5" t="s">
        <v>33813</v>
      </c>
      <c r="V3957" s="5" t="s">
        <v>33813</v>
      </c>
      <c r="W3957" s="5" t="s">
        <v>69</v>
      </c>
      <c r="X3957" s="5" t="s">
        <v>69</v>
      </c>
      <c r="Y3957" s="4">
        <v>36</v>
      </c>
      <c r="Z3957" s="4">
        <v>5</v>
      </c>
      <c r="AA3957" s="4">
        <v>5</v>
      </c>
      <c r="AB3957" s="4">
        <v>1</v>
      </c>
      <c r="AC3957" s="4">
        <v>1</v>
      </c>
      <c r="AD3957" s="4">
        <v>30</v>
      </c>
      <c r="AE3957" s="4">
        <v>30</v>
      </c>
      <c r="AF3957" s="4">
        <v>0</v>
      </c>
      <c r="AG3957" s="4">
        <v>0</v>
      </c>
      <c r="AH3957" s="4">
        <v>28</v>
      </c>
      <c r="AI3957" s="4">
        <v>28</v>
      </c>
      <c r="AJ3957" s="4">
        <v>3</v>
      </c>
      <c r="AK3957" s="4">
        <v>3</v>
      </c>
      <c r="AL3957" s="4">
        <v>23</v>
      </c>
      <c r="AM3957" s="4">
        <v>23</v>
      </c>
      <c r="AN3957" s="4">
        <v>0</v>
      </c>
      <c r="AO3957" s="4">
        <v>0</v>
      </c>
      <c r="AP3957" s="4">
        <v>3</v>
      </c>
      <c r="AQ3957" s="4">
        <v>3</v>
      </c>
      <c r="AR3957" s="3" t="s">
        <v>63</v>
      </c>
      <c r="AS3957" s="3" t="s">
        <v>63</v>
      </c>
      <c r="AT3957" s="3" t="s">
        <v>63</v>
      </c>
      <c r="AV3957" s="6" t="str">
        <f>HYPERLINK("http://mcgill.on.worldcat.org/oclc/739837680","Catalog Record")</f>
        <v>Catalog Record</v>
      </c>
      <c r="AW3957" s="6" t="str">
        <f>HYPERLINK("http://www.worldcat.org/oclc/739837680","WorldCat Record")</f>
        <v>WorldCat Record</v>
      </c>
      <c r="AX3957" s="3" t="s">
        <v>33814</v>
      </c>
      <c r="AY3957" s="3" t="s">
        <v>33815</v>
      </c>
      <c r="AZ3957" s="3" t="s">
        <v>33816</v>
      </c>
      <c r="BA3957" s="3" t="s">
        <v>33816</v>
      </c>
      <c r="BB3957" s="3" t="s">
        <v>33817</v>
      </c>
      <c r="BC3957" s="3" t="s">
        <v>82</v>
      </c>
      <c r="BD3957" s="3" t="s">
        <v>70</v>
      </c>
      <c r="BE3957" s="3" t="s">
        <v>33818</v>
      </c>
      <c r="BF3957" s="3" t="s">
        <v>33817</v>
      </c>
      <c r="BG3957" s="3" t="s">
        <v>33819</v>
      </c>
    </row>
    <row r="3958" spans="1:59" ht="75" x14ac:dyDescent="0.25">
      <c r="A3958" s="2" t="s">
        <v>59</v>
      </c>
      <c r="B3958" s="2" t="s">
        <v>60</v>
      </c>
      <c r="C3958" s="2" t="s">
        <v>33820</v>
      </c>
      <c r="D3958" s="2" t="s">
        <v>33821</v>
      </c>
      <c r="E3958" s="2" t="s">
        <v>33822</v>
      </c>
      <c r="G3958" s="3" t="s">
        <v>63</v>
      </c>
      <c r="I3958" s="3" t="s">
        <v>63</v>
      </c>
      <c r="J3958" s="3" t="s">
        <v>63</v>
      </c>
      <c r="K3958" s="3" t="s">
        <v>64</v>
      </c>
      <c r="M3958" s="2" t="s">
        <v>33823</v>
      </c>
      <c r="N3958" s="3" t="s">
        <v>2765</v>
      </c>
      <c r="P3958" s="3" t="s">
        <v>90</v>
      </c>
      <c r="R3958" s="3" t="s">
        <v>67</v>
      </c>
      <c r="S3958" s="4">
        <v>0</v>
      </c>
      <c r="T3958" s="4">
        <v>0</v>
      </c>
      <c r="W3958" s="5" t="s">
        <v>69</v>
      </c>
      <c r="X3958" s="5" t="s">
        <v>69</v>
      </c>
      <c r="Y3958" s="4">
        <v>25</v>
      </c>
      <c r="Z3958" s="4">
        <v>2</v>
      </c>
      <c r="AA3958" s="4">
        <v>2</v>
      </c>
      <c r="AB3958" s="4">
        <v>1</v>
      </c>
      <c r="AC3958" s="4">
        <v>1</v>
      </c>
      <c r="AD3958" s="4">
        <v>19</v>
      </c>
      <c r="AE3958" s="4">
        <v>19</v>
      </c>
      <c r="AF3958" s="4">
        <v>0</v>
      </c>
      <c r="AG3958" s="4">
        <v>0</v>
      </c>
      <c r="AH3958" s="4">
        <v>18</v>
      </c>
      <c r="AI3958" s="4">
        <v>18</v>
      </c>
      <c r="AJ3958" s="4">
        <v>1</v>
      </c>
      <c r="AK3958" s="4">
        <v>1</v>
      </c>
      <c r="AL3958" s="4">
        <v>15</v>
      </c>
      <c r="AM3958" s="4">
        <v>15</v>
      </c>
      <c r="AN3958" s="4">
        <v>0</v>
      </c>
      <c r="AO3958" s="4">
        <v>0</v>
      </c>
      <c r="AP3958" s="4">
        <v>1</v>
      </c>
      <c r="AQ3958" s="4">
        <v>1</v>
      </c>
      <c r="AR3958" s="3" t="s">
        <v>63</v>
      </c>
      <c r="AS3958" s="3" t="s">
        <v>63</v>
      </c>
      <c r="AT3958" s="3" t="s">
        <v>63</v>
      </c>
      <c r="AV3958" s="6" t="str">
        <f>HYPERLINK("http://mcgill.on.worldcat.org/oclc/945897298","Catalog Record")</f>
        <v>Catalog Record</v>
      </c>
      <c r="AW3958" s="6" t="str">
        <f>HYPERLINK("http://www.worldcat.org/oclc/945897298","WorldCat Record")</f>
        <v>WorldCat Record</v>
      </c>
      <c r="AX3958" s="3" t="s">
        <v>33824</v>
      </c>
      <c r="AY3958" s="3" t="s">
        <v>33825</v>
      </c>
      <c r="AZ3958" s="3" t="s">
        <v>33826</v>
      </c>
      <c r="BA3958" s="3" t="s">
        <v>33826</v>
      </c>
      <c r="BB3958" s="3" t="s">
        <v>33827</v>
      </c>
      <c r="BC3958" s="3" t="s">
        <v>82</v>
      </c>
      <c r="BD3958" s="3" t="s">
        <v>70</v>
      </c>
      <c r="BE3958" s="3" t="s">
        <v>33828</v>
      </c>
      <c r="BF3958" s="3" t="s">
        <v>33827</v>
      </c>
      <c r="BG3958" s="3" t="s">
        <v>33829</v>
      </c>
    </row>
    <row r="3959" spans="1:59" ht="60" x14ac:dyDescent="0.25">
      <c r="A3959" s="2" t="s">
        <v>59</v>
      </c>
      <c r="B3959" s="2" t="s">
        <v>60</v>
      </c>
      <c r="C3959" s="2" t="s">
        <v>33830</v>
      </c>
      <c r="D3959" s="2" t="s">
        <v>33831</v>
      </c>
      <c r="E3959" s="2" t="s">
        <v>33832</v>
      </c>
      <c r="G3959" s="3" t="s">
        <v>63</v>
      </c>
      <c r="I3959" s="3" t="s">
        <v>63</v>
      </c>
      <c r="J3959" s="3" t="s">
        <v>63</v>
      </c>
      <c r="K3959" s="3" t="s">
        <v>64</v>
      </c>
      <c r="L3959" s="2" t="s">
        <v>33833</v>
      </c>
      <c r="M3959" s="2" t="s">
        <v>9631</v>
      </c>
      <c r="N3959" s="3" t="s">
        <v>106</v>
      </c>
      <c r="P3959" s="3" t="s">
        <v>90</v>
      </c>
      <c r="Q3959" s="2" t="s">
        <v>33834</v>
      </c>
      <c r="R3959" s="3" t="s">
        <v>67</v>
      </c>
      <c r="S3959" s="4">
        <v>1</v>
      </c>
      <c r="T3959" s="4">
        <v>1</v>
      </c>
      <c r="U3959" s="5" t="s">
        <v>21373</v>
      </c>
      <c r="V3959" s="5" t="s">
        <v>21373</v>
      </c>
      <c r="W3959" s="5" t="s">
        <v>69</v>
      </c>
      <c r="X3959" s="5" t="s">
        <v>69</v>
      </c>
      <c r="Y3959" s="4">
        <v>96</v>
      </c>
      <c r="Z3959" s="4">
        <v>11</v>
      </c>
      <c r="AA3959" s="4">
        <v>11</v>
      </c>
      <c r="AB3959" s="4">
        <v>1</v>
      </c>
      <c r="AC3959" s="4">
        <v>1</v>
      </c>
      <c r="AD3959" s="4">
        <v>34</v>
      </c>
      <c r="AE3959" s="4">
        <v>35</v>
      </c>
      <c r="AF3959" s="4">
        <v>0</v>
      </c>
      <c r="AG3959" s="4">
        <v>0</v>
      </c>
      <c r="AH3959" s="4">
        <v>33</v>
      </c>
      <c r="AI3959" s="4">
        <v>34</v>
      </c>
      <c r="AJ3959" s="4">
        <v>4</v>
      </c>
      <c r="AK3959" s="4">
        <v>4</v>
      </c>
      <c r="AL3959" s="4">
        <v>22</v>
      </c>
      <c r="AM3959" s="4">
        <v>23</v>
      </c>
      <c r="AN3959" s="4">
        <v>0</v>
      </c>
      <c r="AO3959" s="4">
        <v>0</v>
      </c>
      <c r="AP3959" s="4">
        <v>4</v>
      </c>
      <c r="AQ3959" s="4">
        <v>4</v>
      </c>
      <c r="AR3959" s="3" t="s">
        <v>63</v>
      </c>
      <c r="AS3959" s="3" t="s">
        <v>63</v>
      </c>
      <c r="AT3959" s="3" t="s">
        <v>63</v>
      </c>
      <c r="AV3959" s="6" t="str">
        <f>HYPERLINK("http://mcgill.on.worldcat.org/oclc/951223792","Catalog Record")</f>
        <v>Catalog Record</v>
      </c>
      <c r="AW3959" s="6" t="str">
        <f>HYPERLINK("http://www.worldcat.org/oclc/951223792","WorldCat Record")</f>
        <v>WorldCat Record</v>
      </c>
      <c r="AX3959" s="3" t="s">
        <v>33835</v>
      </c>
      <c r="AY3959" s="3" t="s">
        <v>33836</v>
      </c>
      <c r="AZ3959" s="3" t="s">
        <v>33837</v>
      </c>
      <c r="BA3959" s="3" t="s">
        <v>33837</v>
      </c>
      <c r="BB3959" s="3" t="s">
        <v>33838</v>
      </c>
      <c r="BC3959" s="3" t="s">
        <v>82</v>
      </c>
      <c r="BD3959" s="3" t="s">
        <v>70</v>
      </c>
      <c r="BE3959" s="3" t="s">
        <v>33839</v>
      </c>
      <c r="BF3959" s="3" t="s">
        <v>33838</v>
      </c>
      <c r="BG3959" s="3" t="s">
        <v>33840</v>
      </c>
    </row>
    <row r="3960" spans="1:59" ht="60" x14ac:dyDescent="0.25">
      <c r="A3960" s="2" t="s">
        <v>59</v>
      </c>
      <c r="B3960" s="2" t="s">
        <v>60</v>
      </c>
      <c r="C3960" s="2" t="s">
        <v>33841</v>
      </c>
      <c r="D3960" s="2" t="s">
        <v>33842</v>
      </c>
      <c r="E3960" s="2" t="s">
        <v>33843</v>
      </c>
      <c r="G3960" s="3" t="s">
        <v>63</v>
      </c>
      <c r="I3960" s="3" t="s">
        <v>63</v>
      </c>
      <c r="J3960" s="3" t="s">
        <v>63</v>
      </c>
      <c r="K3960" s="3" t="s">
        <v>64</v>
      </c>
      <c r="L3960" s="2" t="s">
        <v>33833</v>
      </c>
      <c r="M3960" s="2" t="s">
        <v>33844</v>
      </c>
      <c r="N3960" s="3" t="s">
        <v>1557</v>
      </c>
      <c r="P3960" s="3" t="s">
        <v>90</v>
      </c>
      <c r="Q3960" s="2" t="s">
        <v>33834</v>
      </c>
      <c r="R3960" s="3" t="s">
        <v>67</v>
      </c>
      <c r="S3960" s="4">
        <v>1</v>
      </c>
      <c r="T3960" s="4">
        <v>1</v>
      </c>
      <c r="U3960" s="5" t="s">
        <v>2795</v>
      </c>
      <c r="V3960" s="5" t="s">
        <v>2795</v>
      </c>
      <c r="W3960" s="5" t="s">
        <v>69</v>
      </c>
      <c r="X3960" s="5" t="s">
        <v>69</v>
      </c>
      <c r="Y3960" s="4">
        <v>63</v>
      </c>
      <c r="Z3960" s="4">
        <v>3</v>
      </c>
      <c r="AA3960" s="4">
        <v>3</v>
      </c>
      <c r="AB3960" s="4">
        <v>1</v>
      </c>
      <c r="AC3960" s="4">
        <v>1</v>
      </c>
      <c r="AD3960" s="4">
        <v>26</v>
      </c>
      <c r="AE3960" s="4">
        <v>26</v>
      </c>
      <c r="AF3960" s="4">
        <v>0</v>
      </c>
      <c r="AG3960" s="4">
        <v>0</v>
      </c>
      <c r="AH3960" s="4">
        <v>25</v>
      </c>
      <c r="AI3960" s="4">
        <v>25</v>
      </c>
      <c r="AJ3960" s="4">
        <v>0</v>
      </c>
      <c r="AK3960" s="4">
        <v>0</v>
      </c>
      <c r="AL3960" s="4">
        <v>21</v>
      </c>
      <c r="AM3960" s="4">
        <v>21</v>
      </c>
      <c r="AN3960" s="4">
        <v>0</v>
      </c>
      <c r="AO3960" s="4">
        <v>0</v>
      </c>
      <c r="AP3960" s="4">
        <v>0</v>
      </c>
      <c r="AQ3960" s="4">
        <v>0</v>
      </c>
      <c r="AR3960" s="3" t="s">
        <v>63</v>
      </c>
      <c r="AS3960" s="3" t="s">
        <v>63</v>
      </c>
      <c r="AT3960" s="3" t="s">
        <v>63</v>
      </c>
      <c r="AV3960" s="6" t="str">
        <f>HYPERLINK("http://mcgill.on.worldcat.org/oclc/1008995973","Catalog Record")</f>
        <v>Catalog Record</v>
      </c>
      <c r="AW3960" s="6" t="str">
        <f>HYPERLINK("http://www.worldcat.org/oclc/1008995973","WorldCat Record")</f>
        <v>WorldCat Record</v>
      </c>
      <c r="AX3960" s="3" t="s">
        <v>33845</v>
      </c>
      <c r="AY3960" s="3" t="s">
        <v>33846</v>
      </c>
      <c r="AZ3960" s="3" t="s">
        <v>33847</v>
      </c>
      <c r="BA3960" s="3" t="s">
        <v>33847</v>
      </c>
      <c r="BB3960" s="3" t="s">
        <v>33848</v>
      </c>
      <c r="BC3960" s="3" t="s">
        <v>82</v>
      </c>
      <c r="BD3960" s="3" t="s">
        <v>70</v>
      </c>
      <c r="BE3960" s="3" t="s">
        <v>33849</v>
      </c>
      <c r="BF3960" s="3" t="s">
        <v>33848</v>
      </c>
      <c r="BG3960" s="3" t="s">
        <v>33850</v>
      </c>
    </row>
    <row r="3961" spans="1:59" ht="75" x14ac:dyDescent="0.25">
      <c r="A3961" s="2" t="s">
        <v>59</v>
      </c>
      <c r="B3961" s="2" t="s">
        <v>60</v>
      </c>
      <c r="C3961" s="2" t="s">
        <v>33851</v>
      </c>
      <c r="D3961" s="2" t="s">
        <v>33852</v>
      </c>
      <c r="E3961" s="2" t="s">
        <v>33853</v>
      </c>
      <c r="G3961" s="3" t="s">
        <v>63</v>
      </c>
      <c r="I3961" s="3" t="s">
        <v>63</v>
      </c>
      <c r="J3961" s="3" t="s">
        <v>63</v>
      </c>
      <c r="K3961" s="3" t="s">
        <v>64</v>
      </c>
      <c r="L3961" s="2" t="s">
        <v>33854</v>
      </c>
      <c r="M3961" s="2" t="s">
        <v>1284</v>
      </c>
      <c r="N3961" s="3" t="s">
        <v>76</v>
      </c>
      <c r="P3961" s="3" t="s">
        <v>66</v>
      </c>
      <c r="R3961" s="3" t="s">
        <v>67</v>
      </c>
      <c r="S3961" s="4">
        <v>0</v>
      </c>
      <c r="T3961" s="4">
        <v>0</v>
      </c>
      <c r="W3961" s="5" t="s">
        <v>69</v>
      </c>
      <c r="X3961" s="5" t="s">
        <v>69</v>
      </c>
      <c r="Y3961" s="4">
        <v>143</v>
      </c>
      <c r="Z3961" s="4">
        <v>14</v>
      </c>
      <c r="AA3961" s="4">
        <v>14</v>
      </c>
      <c r="AB3961" s="4">
        <v>1</v>
      </c>
      <c r="AC3961" s="4">
        <v>1</v>
      </c>
      <c r="AD3961" s="4">
        <v>69</v>
      </c>
      <c r="AE3961" s="4">
        <v>69</v>
      </c>
      <c r="AF3961" s="4">
        <v>0</v>
      </c>
      <c r="AG3961" s="4">
        <v>0</v>
      </c>
      <c r="AH3961" s="4">
        <v>65</v>
      </c>
      <c r="AI3961" s="4">
        <v>65</v>
      </c>
      <c r="AJ3961" s="4">
        <v>9</v>
      </c>
      <c r="AK3961" s="4">
        <v>9</v>
      </c>
      <c r="AL3961" s="4">
        <v>40</v>
      </c>
      <c r="AM3961" s="4">
        <v>40</v>
      </c>
      <c r="AN3961" s="4">
        <v>0</v>
      </c>
      <c r="AO3961" s="4">
        <v>0</v>
      </c>
      <c r="AP3961" s="4">
        <v>9</v>
      </c>
      <c r="AQ3961" s="4">
        <v>9</v>
      </c>
      <c r="AR3961" s="3" t="s">
        <v>63</v>
      </c>
      <c r="AS3961" s="3" t="s">
        <v>63</v>
      </c>
      <c r="AT3961" s="3" t="s">
        <v>63</v>
      </c>
      <c r="AV3961" s="6" t="str">
        <f>HYPERLINK("http://mcgill.on.worldcat.org/oclc/761853068","Catalog Record")</f>
        <v>Catalog Record</v>
      </c>
      <c r="AW3961" s="6" t="str">
        <f>HYPERLINK("http://www.worldcat.org/oclc/761853068","WorldCat Record")</f>
        <v>WorldCat Record</v>
      </c>
      <c r="AX3961" s="3" t="s">
        <v>33855</v>
      </c>
      <c r="AY3961" s="3" t="s">
        <v>33856</v>
      </c>
      <c r="AZ3961" s="3" t="s">
        <v>33857</v>
      </c>
      <c r="BA3961" s="3" t="s">
        <v>33857</v>
      </c>
      <c r="BB3961" s="3" t="s">
        <v>33858</v>
      </c>
      <c r="BC3961" s="3" t="s">
        <v>82</v>
      </c>
      <c r="BD3961" s="3" t="s">
        <v>70</v>
      </c>
      <c r="BE3961" s="3" t="s">
        <v>33859</v>
      </c>
      <c r="BF3961" s="3" t="s">
        <v>33858</v>
      </c>
      <c r="BG3961" s="3" t="s">
        <v>33860</v>
      </c>
    </row>
    <row r="3962" spans="1:59" ht="60" x14ac:dyDescent="0.25">
      <c r="A3962" s="2" t="s">
        <v>59</v>
      </c>
      <c r="B3962" s="2" t="s">
        <v>60</v>
      </c>
      <c r="C3962" s="2" t="s">
        <v>33861</v>
      </c>
      <c r="D3962" s="2" t="s">
        <v>33862</v>
      </c>
      <c r="E3962" s="2" t="s">
        <v>33863</v>
      </c>
      <c r="G3962" s="3" t="s">
        <v>63</v>
      </c>
      <c r="I3962" s="3" t="s">
        <v>63</v>
      </c>
      <c r="J3962" s="3" t="s">
        <v>63</v>
      </c>
      <c r="K3962" s="3" t="s">
        <v>64</v>
      </c>
      <c r="L3962" s="2" t="s">
        <v>33854</v>
      </c>
      <c r="M3962" s="2" t="s">
        <v>28908</v>
      </c>
      <c r="N3962" s="3" t="s">
        <v>313</v>
      </c>
      <c r="P3962" s="3" t="s">
        <v>90</v>
      </c>
      <c r="R3962" s="3" t="s">
        <v>67</v>
      </c>
      <c r="S3962" s="4">
        <v>2</v>
      </c>
      <c r="T3962" s="4">
        <v>2</v>
      </c>
      <c r="U3962" s="5" t="s">
        <v>33864</v>
      </c>
      <c r="V3962" s="5" t="s">
        <v>33864</v>
      </c>
      <c r="W3962" s="5" t="s">
        <v>69</v>
      </c>
      <c r="X3962" s="5" t="s">
        <v>69</v>
      </c>
      <c r="Y3962" s="4">
        <v>73</v>
      </c>
      <c r="Z3962" s="4">
        <v>8</v>
      </c>
      <c r="AA3962" s="4">
        <v>9</v>
      </c>
      <c r="AB3962" s="4">
        <v>1</v>
      </c>
      <c r="AC3962" s="4">
        <v>1</v>
      </c>
      <c r="AD3962" s="4">
        <v>38</v>
      </c>
      <c r="AE3962" s="4">
        <v>43</v>
      </c>
      <c r="AF3962" s="4">
        <v>0</v>
      </c>
      <c r="AG3962" s="4">
        <v>0</v>
      </c>
      <c r="AH3962" s="4">
        <v>37</v>
      </c>
      <c r="AI3962" s="4">
        <v>42</v>
      </c>
      <c r="AJ3962" s="4">
        <v>3</v>
      </c>
      <c r="AK3962" s="4">
        <v>4</v>
      </c>
      <c r="AL3962" s="4">
        <v>30</v>
      </c>
      <c r="AM3962" s="4">
        <v>32</v>
      </c>
      <c r="AN3962" s="4">
        <v>0</v>
      </c>
      <c r="AO3962" s="4">
        <v>0</v>
      </c>
      <c r="AP3962" s="4">
        <v>3</v>
      </c>
      <c r="AQ3962" s="4">
        <v>4</v>
      </c>
      <c r="AR3962" s="3" t="s">
        <v>63</v>
      </c>
      <c r="AS3962" s="3" t="s">
        <v>63</v>
      </c>
      <c r="AT3962" s="3" t="s">
        <v>63</v>
      </c>
      <c r="AV3962" s="6" t="str">
        <f>HYPERLINK("http://mcgill.on.worldcat.org/oclc/529438442","Catalog Record")</f>
        <v>Catalog Record</v>
      </c>
      <c r="AW3962" s="6" t="str">
        <f>HYPERLINK("http://www.worldcat.org/oclc/529438442","WorldCat Record")</f>
        <v>WorldCat Record</v>
      </c>
      <c r="AX3962" s="3" t="s">
        <v>33865</v>
      </c>
      <c r="AY3962" s="3" t="s">
        <v>33866</v>
      </c>
      <c r="AZ3962" s="3" t="s">
        <v>33867</v>
      </c>
      <c r="BA3962" s="3" t="s">
        <v>33867</v>
      </c>
      <c r="BB3962" s="3" t="s">
        <v>33868</v>
      </c>
      <c r="BC3962" s="3" t="s">
        <v>82</v>
      </c>
      <c r="BD3962" s="3" t="s">
        <v>70</v>
      </c>
      <c r="BE3962" s="3" t="s">
        <v>33869</v>
      </c>
      <c r="BF3962" s="3" t="s">
        <v>33868</v>
      </c>
      <c r="BG3962" s="3" t="s">
        <v>33870</v>
      </c>
    </row>
    <row r="3963" spans="1:59" ht="60" x14ac:dyDescent="0.25">
      <c r="A3963" s="2" t="s">
        <v>59</v>
      </c>
      <c r="B3963" s="2" t="s">
        <v>60</v>
      </c>
      <c r="C3963" s="2" t="s">
        <v>33871</v>
      </c>
      <c r="D3963" s="2" t="s">
        <v>33872</v>
      </c>
      <c r="E3963" s="2" t="s">
        <v>33873</v>
      </c>
      <c r="G3963" s="3" t="s">
        <v>63</v>
      </c>
      <c r="I3963" s="3" t="s">
        <v>62</v>
      </c>
      <c r="J3963" s="3" t="s">
        <v>63</v>
      </c>
      <c r="K3963" s="3" t="s">
        <v>64</v>
      </c>
      <c r="L3963" s="2" t="s">
        <v>33833</v>
      </c>
      <c r="M3963" s="2" t="s">
        <v>33874</v>
      </c>
      <c r="N3963" s="3" t="s">
        <v>65</v>
      </c>
      <c r="O3963" s="2" t="s">
        <v>1605</v>
      </c>
      <c r="P3963" s="3" t="s">
        <v>66</v>
      </c>
      <c r="R3963" s="3" t="s">
        <v>67</v>
      </c>
      <c r="S3963" s="4">
        <v>18</v>
      </c>
      <c r="T3963" s="4">
        <v>18</v>
      </c>
      <c r="U3963" s="5" t="s">
        <v>33875</v>
      </c>
      <c r="V3963" s="5" t="s">
        <v>33875</v>
      </c>
      <c r="W3963" s="5" t="s">
        <v>69</v>
      </c>
      <c r="X3963" s="5" t="s">
        <v>69</v>
      </c>
      <c r="Y3963" s="4">
        <v>785</v>
      </c>
      <c r="Z3963" s="4">
        <v>30</v>
      </c>
      <c r="AA3963" s="4">
        <v>45</v>
      </c>
      <c r="AB3963" s="4">
        <v>2</v>
      </c>
      <c r="AC3963" s="4">
        <v>4</v>
      </c>
      <c r="AD3963" s="4">
        <v>114</v>
      </c>
      <c r="AE3963" s="4">
        <v>132</v>
      </c>
      <c r="AF3963" s="4">
        <v>1</v>
      </c>
      <c r="AG3963" s="4">
        <v>2</v>
      </c>
      <c r="AH3963" s="4">
        <v>97</v>
      </c>
      <c r="AI3963" s="4">
        <v>109</v>
      </c>
      <c r="AJ3963" s="4">
        <v>14</v>
      </c>
      <c r="AK3963" s="4">
        <v>18</v>
      </c>
      <c r="AL3963" s="4">
        <v>53</v>
      </c>
      <c r="AM3963" s="4">
        <v>59</v>
      </c>
      <c r="AN3963" s="4">
        <v>0</v>
      </c>
      <c r="AO3963" s="4">
        <v>0</v>
      </c>
      <c r="AP3963" s="4">
        <v>22</v>
      </c>
      <c r="AQ3963" s="4">
        <v>29</v>
      </c>
      <c r="AR3963" s="3" t="s">
        <v>63</v>
      </c>
      <c r="AS3963" s="3" t="s">
        <v>63</v>
      </c>
      <c r="AT3963" s="3" t="s">
        <v>62</v>
      </c>
      <c r="AU3963" s="6" t="str">
        <f>HYPERLINK("http://catalog.hathitrust.org/Record/000084254","HathiTrust Record")</f>
        <v>HathiTrust Record</v>
      </c>
      <c r="AV3963" s="6" t="str">
        <f>HYPERLINK("http://mcgill.on.worldcat.org/oclc/2523479","Catalog Record")</f>
        <v>Catalog Record</v>
      </c>
      <c r="AW3963" s="6" t="str">
        <f>HYPERLINK("http://www.worldcat.org/oclc/2523479","WorldCat Record")</f>
        <v>WorldCat Record</v>
      </c>
      <c r="AX3963" s="3" t="s">
        <v>33876</v>
      </c>
      <c r="AY3963" s="3" t="s">
        <v>33877</v>
      </c>
      <c r="AZ3963" s="3" t="s">
        <v>33878</v>
      </c>
      <c r="BA3963" s="3" t="s">
        <v>33878</v>
      </c>
      <c r="BB3963" s="3" t="s">
        <v>33879</v>
      </c>
      <c r="BC3963" s="3" t="s">
        <v>82</v>
      </c>
      <c r="BD3963" s="3" t="s">
        <v>70</v>
      </c>
      <c r="BE3963" s="3" t="s">
        <v>33880</v>
      </c>
      <c r="BF3963" s="3" t="s">
        <v>33879</v>
      </c>
      <c r="BG3963" s="3" t="s">
        <v>33881</v>
      </c>
    </row>
    <row r="3964" spans="1:59" ht="60" x14ac:dyDescent="0.25">
      <c r="A3964" s="2" t="s">
        <v>59</v>
      </c>
      <c r="B3964" s="2" t="s">
        <v>60</v>
      </c>
      <c r="C3964" s="2" t="s">
        <v>33882</v>
      </c>
      <c r="D3964" s="2" t="s">
        <v>33883</v>
      </c>
      <c r="E3964" s="2" t="s">
        <v>33884</v>
      </c>
      <c r="G3964" s="3" t="s">
        <v>63</v>
      </c>
      <c r="I3964" s="3" t="s">
        <v>63</v>
      </c>
      <c r="J3964" s="3" t="s">
        <v>63</v>
      </c>
      <c r="K3964" s="3" t="s">
        <v>64</v>
      </c>
      <c r="L3964" s="2" t="s">
        <v>33885</v>
      </c>
      <c r="M3964" s="2" t="s">
        <v>33886</v>
      </c>
      <c r="N3964" s="3" t="s">
        <v>362</v>
      </c>
      <c r="P3964" s="3" t="s">
        <v>66</v>
      </c>
      <c r="Q3964" s="2" t="s">
        <v>33887</v>
      </c>
      <c r="R3964" s="3" t="s">
        <v>67</v>
      </c>
      <c r="S3964" s="4">
        <v>2</v>
      </c>
      <c r="T3964" s="4">
        <v>2</v>
      </c>
      <c r="U3964" s="5" t="s">
        <v>33888</v>
      </c>
      <c r="V3964" s="5" t="s">
        <v>33888</v>
      </c>
      <c r="W3964" s="5" t="s">
        <v>69</v>
      </c>
      <c r="X3964" s="5" t="s">
        <v>69</v>
      </c>
      <c r="Y3964" s="4">
        <v>158</v>
      </c>
      <c r="Z3964" s="4">
        <v>4</v>
      </c>
      <c r="AA3964" s="4">
        <v>4</v>
      </c>
      <c r="AB3964" s="4">
        <v>1</v>
      </c>
      <c r="AC3964" s="4">
        <v>1</v>
      </c>
      <c r="AD3964" s="4">
        <v>67</v>
      </c>
      <c r="AE3964" s="4">
        <v>67</v>
      </c>
      <c r="AF3964" s="4">
        <v>0</v>
      </c>
      <c r="AG3964" s="4">
        <v>0</v>
      </c>
      <c r="AH3964" s="4">
        <v>66</v>
      </c>
      <c r="AI3964" s="4">
        <v>66</v>
      </c>
      <c r="AJ3964" s="4">
        <v>2</v>
      </c>
      <c r="AK3964" s="4">
        <v>2</v>
      </c>
      <c r="AL3964" s="4">
        <v>39</v>
      </c>
      <c r="AM3964" s="4">
        <v>39</v>
      </c>
      <c r="AN3964" s="4">
        <v>0</v>
      </c>
      <c r="AO3964" s="4">
        <v>0</v>
      </c>
      <c r="AP3964" s="4">
        <v>2</v>
      </c>
      <c r="AQ3964" s="4">
        <v>2</v>
      </c>
      <c r="AR3964" s="3" t="s">
        <v>63</v>
      </c>
      <c r="AS3964" s="3" t="s">
        <v>63</v>
      </c>
      <c r="AT3964" s="3" t="s">
        <v>63</v>
      </c>
      <c r="AV3964" s="6" t="str">
        <f>HYPERLINK("http://mcgill.on.worldcat.org/oclc/47789250","Catalog Record")</f>
        <v>Catalog Record</v>
      </c>
      <c r="AW3964" s="6" t="str">
        <f>HYPERLINK("http://www.worldcat.org/oclc/47789250","WorldCat Record")</f>
        <v>WorldCat Record</v>
      </c>
      <c r="AX3964" s="3" t="s">
        <v>33889</v>
      </c>
      <c r="AY3964" s="3" t="s">
        <v>33890</v>
      </c>
      <c r="AZ3964" s="3" t="s">
        <v>33891</v>
      </c>
      <c r="BA3964" s="3" t="s">
        <v>33891</v>
      </c>
      <c r="BB3964" s="3" t="s">
        <v>33892</v>
      </c>
      <c r="BC3964" s="3" t="s">
        <v>82</v>
      </c>
      <c r="BD3964" s="3" t="s">
        <v>70</v>
      </c>
      <c r="BE3964" s="3" t="s">
        <v>33893</v>
      </c>
      <c r="BF3964" s="3" t="s">
        <v>33892</v>
      </c>
      <c r="BG3964" s="3" t="s">
        <v>33894</v>
      </c>
    </row>
    <row r="3965" spans="1:59" ht="60" x14ac:dyDescent="0.25">
      <c r="A3965" s="2" t="s">
        <v>59</v>
      </c>
      <c r="B3965" s="2" t="s">
        <v>60</v>
      </c>
      <c r="C3965" s="2" t="s">
        <v>33895</v>
      </c>
      <c r="D3965" s="2" t="s">
        <v>33896</v>
      </c>
      <c r="E3965" s="2" t="s">
        <v>33897</v>
      </c>
      <c r="G3965" s="3" t="s">
        <v>63</v>
      </c>
      <c r="I3965" s="3" t="s">
        <v>63</v>
      </c>
      <c r="J3965" s="3" t="s">
        <v>63</v>
      </c>
      <c r="K3965" s="3" t="s">
        <v>64</v>
      </c>
      <c r="L3965" s="2" t="s">
        <v>33898</v>
      </c>
      <c r="M3965" s="2" t="s">
        <v>33899</v>
      </c>
      <c r="N3965" s="3" t="s">
        <v>143</v>
      </c>
      <c r="P3965" s="3" t="s">
        <v>90</v>
      </c>
      <c r="R3965" s="3" t="s">
        <v>67</v>
      </c>
      <c r="S3965" s="4">
        <v>3</v>
      </c>
      <c r="T3965" s="4">
        <v>3</v>
      </c>
      <c r="U3965" s="5" t="s">
        <v>2731</v>
      </c>
      <c r="V3965" s="5" t="s">
        <v>2731</v>
      </c>
      <c r="W3965" s="5" t="s">
        <v>69</v>
      </c>
      <c r="X3965" s="5" t="s">
        <v>69</v>
      </c>
      <c r="Y3965" s="4">
        <v>55</v>
      </c>
      <c r="Z3965" s="4">
        <v>6</v>
      </c>
      <c r="AA3965" s="4">
        <v>6</v>
      </c>
      <c r="AB3965" s="4">
        <v>1</v>
      </c>
      <c r="AC3965" s="4">
        <v>1</v>
      </c>
      <c r="AD3965" s="4">
        <v>30</v>
      </c>
      <c r="AE3965" s="4">
        <v>30</v>
      </c>
      <c r="AF3965" s="4">
        <v>0</v>
      </c>
      <c r="AG3965" s="4">
        <v>0</v>
      </c>
      <c r="AH3965" s="4">
        <v>29</v>
      </c>
      <c r="AI3965" s="4">
        <v>29</v>
      </c>
      <c r="AJ3965" s="4">
        <v>3</v>
      </c>
      <c r="AK3965" s="4">
        <v>3</v>
      </c>
      <c r="AL3965" s="4">
        <v>24</v>
      </c>
      <c r="AM3965" s="4">
        <v>24</v>
      </c>
      <c r="AN3965" s="4">
        <v>0</v>
      </c>
      <c r="AO3965" s="4">
        <v>0</v>
      </c>
      <c r="AP3965" s="4">
        <v>3</v>
      </c>
      <c r="AQ3965" s="4">
        <v>3</v>
      </c>
      <c r="AR3965" s="3" t="s">
        <v>63</v>
      </c>
      <c r="AS3965" s="3" t="s">
        <v>63</v>
      </c>
      <c r="AT3965" s="3" t="s">
        <v>63</v>
      </c>
      <c r="AV3965" s="6" t="str">
        <f>HYPERLINK("http://mcgill.on.worldcat.org/oclc/879571828","Catalog Record")</f>
        <v>Catalog Record</v>
      </c>
      <c r="AW3965" s="6" t="str">
        <f>HYPERLINK("http://www.worldcat.org/oclc/879571828","WorldCat Record")</f>
        <v>WorldCat Record</v>
      </c>
      <c r="AX3965" s="3" t="s">
        <v>33900</v>
      </c>
      <c r="AY3965" s="3" t="s">
        <v>33901</v>
      </c>
      <c r="AZ3965" s="3" t="s">
        <v>33902</v>
      </c>
      <c r="BA3965" s="3" t="s">
        <v>33902</v>
      </c>
      <c r="BB3965" s="3" t="s">
        <v>33903</v>
      </c>
      <c r="BC3965" s="3" t="s">
        <v>82</v>
      </c>
      <c r="BD3965" s="3" t="s">
        <v>70</v>
      </c>
      <c r="BE3965" s="3" t="s">
        <v>33904</v>
      </c>
      <c r="BF3965" s="3" t="s">
        <v>33903</v>
      </c>
      <c r="BG3965" s="3" t="s">
        <v>33905</v>
      </c>
    </row>
    <row r="3966" spans="1:59" ht="60" x14ac:dyDescent="0.25">
      <c r="A3966" s="2" t="s">
        <v>59</v>
      </c>
      <c r="B3966" s="2" t="s">
        <v>60</v>
      </c>
      <c r="C3966" s="2" t="s">
        <v>33906</v>
      </c>
      <c r="D3966" s="2" t="s">
        <v>33907</v>
      </c>
      <c r="E3966" s="2" t="s">
        <v>33908</v>
      </c>
      <c r="G3966" s="3" t="s">
        <v>63</v>
      </c>
      <c r="I3966" s="3" t="s">
        <v>63</v>
      </c>
      <c r="J3966" s="3" t="s">
        <v>63</v>
      </c>
      <c r="K3966" s="3" t="s">
        <v>64</v>
      </c>
      <c r="L3966" s="2" t="s">
        <v>33909</v>
      </c>
      <c r="M3966" s="2" t="s">
        <v>33910</v>
      </c>
      <c r="N3966" s="3" t="s">
        <v>1418</v>
      </c>
      <c r="P3966" s="3" t="s">
        <v>66</v>
      </c>
      <c r="R3966" s="3" t="s">
        <v>67</v>
      </c>
      <c r="S3966" s="4">
        <v>5</v>
      </c>
      <c r="T3966" s="4">
        <v>5</v>
      </c>
      <c r="U3966" s="5" t="s">
        <v>3523</v>
      </c>
      <c r="V3966" s="5" t="s">
        <v>3523</v>
      </c>
      <c r="W3966" s="5" t="s">
        <v>69</v>
      </c>
      <c r="X3966" s="5" t="s">
        <v>69</v>
      </c>
      <c r="Y3966" s="4">
        <v>127</v>
      </c>
      <c r="Z3966" s="4">
        <v>14</v>
      </c>
      <c r="AA3966" s="4">
        <v>16</v>
      </c>
      <c r="AB3966" s="4">
        <v>3</v>
      </c>
      <c r="AC3966" s="4">
        <v>3</v>
      </c>
      <c r="AD3966" s="4">
        <v>62</v>
      </c>
      <c r="AE3966" s="4">
        <v>69</v>
      </c>
      <c r="AF3966" s="4">
        <v>1</v>
      </c>
      <c r="AG3966" s="4">
        <v>1</v>
      </c>
      <c r="AH3966" s="4">
        <v>57</v>
      </c>
      <c r="AI3966" s="4">
        <v>64</v>
      </c>
      <c r="AJ3966" s="4">
        <v>10</v>
      </c>
      <c r="AK3966" s="4">
        <v>11</v>
      </c>
      <c r="AL3966" s="4">
        <v>35</v>
      </c>
      <c r="AM3966" s="4">
        <v>40</v>
      </c>
      <c r="AN3966" s="4">
        <v>5</v>
      </c>
      <c r="AO3966" s="4">
        <v>9</v>
      </c>
      <c r="AP3966" s="4">
        <v>10</v>
      </c>
      <c r="AQ3966" s="4">
        <v>11</v>
      </c>
      <c r="AR3966" s="3" t="s">
        <v>63</v>
      </c>
      <c r="AS3966" s="3" t="s">
        <v>63</v>
      </c>
      <c r="AT3966" s="3" t="s">
        <v>62</v>
      </c>
      <c r="AU3966" s="6" t="str">
        <f>HYPERLINK("http://catalog.hathitrust.org/Record/006226215","HathiTrust Record")</f>
        <v>HathiTrust Record</v>
      </c>
      <c r="AV3966" s="6" t="str">
        <f>HYPERLINK("http://mcgill.on.worldcat.org/oclc/20593590","Catalog Record")</f>
        <v>Catalog Record</v>
      </c>
      <c r="AW3966" s="6" t="str">
        <f>HYPERLINK("http://www.worldcat.org/oclc/20593590","WorldCat Record")</f>
        <v>WorldCat Record</v>
      </c>
      <c r="AX3966" s="3" t="s">
        <v>33911</v>
      </c>
      <c r="AY3966" s="3" t="s">
        <v>33912</v>
      </c>
      <c r="AZ3966" s="3" t="s">
        <v>33913</v>
      </c>
      <c r="BA3966" s="3" t="s">
        <v>33913</v>
      </c>
      <c r="BB3966" s="3" t="s">
        <v>33914</v>
      </c>
      <c r="BC3966" s="3" t="s">
        <v>82</v>
      </c>
      <c r="BD3966" s="3" t="s">
        <v>70</v>
      </c>
      <c r="BE3966" s="3" t="s">
        <v>33915</v>
      </c>
      <c r="BF3966" s="3" t="s">
        <v>33914</v>
      </c>
      <c r="BG3966" s="3" t="s">
        <v>33916</v>
      </c>
    </row>
    <row r="3967" spans="1:59" ht="60" x14ac:dyDescent="0.25">
      <c r="A3967" s="2" t="s">
        <v>59</v>
      </c>
      <c r="B3967" s="2" t="s">
        <v>60</v>
      </c>
      <c r="C3967" s="2" t="s">
        <v>33917</v>
      </c>
      <c r="D3967" s="2" t="s">
        <v>33918</v>
      </c>
      <c r="E3967" s="2" t="s">
        <v>33919</v>
      </c>
      <c r="G3967" s="3" t="s">
        <v>63</v>
      </c>
      <c r="I3967" s="3" t="s">
        <v>63</v>
      </c>
      <c r="J3967" s="3" t="s">
        <v>63</v>
      </c>
      <c r="K3967" s="3" t="s">
        <v>64</v>
      </c>
      <c r="L3967" s="2" t="s">
        <v>33920</v>
      </c>
      <c r="M3967" s="2" t="s">
        <v>28908</v>
      </c>
      <c r="N3967" s="3" t="s">
        <v>313</v>
      </c>
      <c r="P3967" s="3" t="s">
        <v>90</v>
      </c>
      <c r="Q3967" s="2" t="s">
        <v>33921</v>
      </c>
      <c r="R3967" s="3" t="s">
        <v>67</v>
      </c>
      <c r="S3967" s="4">
        <v>4</v>
      </c>
      <c r="T3967" s="4">
        <v>4</v>
      </c>
      <c r="U3967" s="5" t="s">
        <v>15578</v>
      </c>
      <c r="V3967" s="5" t="s">
        <v>15578</v>
      </c>
      <c r="W3967" s="5" t="s">
        <v>69</v>
      </c>
      <c r="X3967" s="5" t="s">
        <v>69</v>
      </c>
      <c r="Y3967" s="4">
        <v>13</v>
      </c>
      <c r="Z3967" s="4">
        <v>1</v>
      </c>
      <c r="AA3967" s="4">
        <v>2</v>
      </c>
      <c r="AB3967" s="4">
        <v>1</v>
      </c>
      <c r="AC3967" s="4">
        <v>1</v>
      </c>
      <c r="AD3967" s="4">
        <v>7</v>
      </c>
      <c r="AE3967" s="4">
        <v>8</v>
      </c>
      <c r="AF3967" s="4">
        <v>0</v>
      </c>
      <c r="AG3967" s="4">
        <v>0</v>
      </c>
      <c r="AH3967" s="4">
        <v>7</v>
      </c>
      <c r="AI3967" s="4">
        <v>8</v>
      </c>
      <c r="AJ3967" s="4">
        <v>0</v>
      </c>
      <c r="AK3967" s="4">
        <v>1</v>
      </c>
      <c r="AL3967" s="4">
        <v>4</v>
      </c>
      <c r="AM3967" s="4">
        <v>4</v>
      </c>
      <c r="AN3967" s="4">
        <v>0</v>
      </c>
      <c r="AO3967" s="4">
        <v>0</v>
      </c>
      <c r="AP3967" s="4">
        <v>0</v>
      </c>
      <c r="AQ3967" s="4">
        <v>1</v>
      </c>
      <c r="AR3967" s="3" t="s">
        <v>63</v>
      </c>
      <c r="AS3967" s="3" t="s">
        <v>63</v>
      </c>
      <c r="AT3967" s="3" t="s">
        <v>63</v>
      </c>
      <c r="AV3967" s="6" t="str">
        <f>HYPERLINK("http://mcgill.on.worldcat.org/oclc/670280719","Catalog Record")</f>
        <v>Catalog Record</v>
      </c>
      <c r="AW3967" s="6" t="str">
        <f>HYPERLINK("http://www.worldcat.org/oclc/670280719","WorldCat Record")</f>
        <v>WorldCat Record</v>
      </c>
      <c r="AX3967" s="3" t="s">
        <v>33922</v>
      </c>
      <c r="AY3967" s="3" t="s">
        <v>33923</v>
      </c>
      <c r="AZ3967" s="3" t="s">
        <v>33924</v>
      </c>
      <c r="BA3967" s="3" t="s">
        <v>33924</v>
      </c>
      <c r="BB3967" s="3" t="s">
        <v>33925</v>
      </c>
      <c r="BC3967" s="3" t="s">
        <v>82</v>
      </c>
      <c r="BD3967" s="3" t="s">
        <v>70</v>
      </c>
      <c r="BE3967" s="3" t="s">
        <v>33926</v>
      </c>
      <c r="BF3967" s="3" t="s">
        <v>33925</v>
      </c>
      <c r="BG3967" s="3" t="s">
        <v>33927</v>
      </c>
    </row>
    <row r="3968" spans="1:59" ht="60" x14ac:dyDescent="0.25">
      <c r="A3968" s="2" t="s">
        <v>59</v>
      </c>
      <c r="B3968" s="2" t="s">
        <v>60</v>
      </c>
      <c r="C3968" s="2" t="s">
        <v>33928</v>
      </c>
      <c r="D3968" s="2" t="s">
        <v>33929</v>
      </c>
      <c r="E3968" s="2" t="s">
        <v>33930</v>
      </c>
      <c r="G3968" s="3" t="s">
        <v>63</v>
      </c>
      <c r="I3968" s="3" t="s">
        <v>63</v>
      </c>
      <c r="J3968" s="3" t="s">
        <v>63</v>
      </c>
      <c r="K3968" s="3" t="s">
        <v>64</v>
      </c>
      <c r="L3968" s="2" t="s">
        <v>33931</v>
      </c>
      <c r="M3968" s="2" t="s">
        <v>5236</v>
      </c>
      <c r="N3968" s="3" t="s">
        <v>106</v>
      </c>
      <c r="P3968" s="3" t="s">
        <v>90</v>
      </c>
      <c r="Q3968" s="2" t="s">
        <v>33932</v>
      </c>
      <c r="R3968" s="3" t="s">
        <v>67</v>
      </c>
      <c r="S3968" s="4">
        <v>1</v>
      </c>
      <c r="T3968" s="4">
        <v>1</v>
      </c>
      <c r="U3968" s="5" t="s">
        <v>7107</v>
      </c>
      <c r="V3968" s="5" t="s">
        <v>7107</v>
      </c>
      <c r="W3968" s="5" t="s">
        <v>69</v>
      </c>
      <c r="X3968" s="5" t="s">
        <v>69</v>
      </c>
      <c r="Y3968" s="4">
        <v>46</v>
      </c>
      <c r="Z3968" s="4">
        <v>4</v>
      </c>
      <c r="AA3968" s="4">
        <v>4</v>
      </c>
      <c r="AB3968" s="4">
        <v>1</v>
      </c>
      <c r="AC3968" s="4">
        <v>1</v>
      </c>
      <c r="AD3968" s="4">
        <v>36</v>
      </c>
      <c r="AE3968" s="4">
        <v>36</v>
      </c>
      <c r="AF3968" s="4">
        <v>0</v>
      </c>
      <c r="AG3968" s="4">
        <v>0</v>
      </c>
      <c r="AH3968" s="4">
        <v>35</v>
      </c>
      <c r="AI3968" s="4">
        <v>35</v>
      </c>
      <c r="AJ3968" s="4">
        <v>3</v>
      </c>
      <c r="AK3968" s="4">
        <v>3</v>
      </c>
      <c r="AL3968" s="4">
        <v>26</v>
      </c>
      <c r="AM3968" s="4">
        <v>26</v>
      </c>
      <c r="AN3968" s="4">
        <v>0</v>
      </c>
      <c r="AO3968" s="4">
        <v>0</v>
      </c>
      <c r="AP3968" s="4">
        <v>3</v>
      </c>
      <c r="AQ3968" s="4">
        <v>3</v>
      </c>
      <c r="AR3968" s="3" t="s">
        <v>63</v>
      </c>
      <c r="AS3968" s="3" t="s">
        <v>63</v>
      </c>
      <c r="AT3968" s="3" t="s">
        <v>63</v>
      </c>
      <c r="AV3968" s="6" t="str">
        <f>HYPERLINK("http://mcgill.on.worldcat.org/oclc/959295092","Catalog Record")</f>
        <v>Catalog Record</v>
      </c>
      <c r="AW3968" s="6" t="str">
        <f>HYPERLINK("http://www.worldcat.org/oclc/959295092","WorldCat Record")</f>
        <v>WorldCat Record</v>
      </c>
      <c r="AX3968" s="3" t="s">
        <v>33933</v>
      </c>
      <c r="AY3968" s="3" t="s">
        <v>33934</v>
      </c>
      <c r="AZ3968" s="3" t="s">
        <v>33935</v>
      </c>
      <c r="BA3968" s="3" t="s">
        <v>33935</v>
      </c>
      <c r="BB3968" s="3" t="s">
        <v>33936</v>
      </c>
      <c r="BC3968" s="3" t="s">
        <v>82</v>
      </c>
      <c r="BD3968" s="3" t="s">
        <v>70</v>
      </c>
      <c r="BE3968" s="3" t="s">
        <v>33937</v>
      </c>
      <c r="BF3968" s="3" t="s">
        <v>33936</v>
      </c>
      <c r="BG3968" s="3" t="s">
        <v>33938</v>
      </c>
    </row>
    <row r="3969" spans="1:59" ht="60" x14ac:dyDescent="0.25">
      <c r="A3969" s="2" t="s">
        <v>59</v>
      </c>
      <c r="B3969" s="2" t="s">
        <v>60</v>
      </c>
      <c r="C3969" s="2" t="s">
        <v>33939</v>
      </c>
      <c r="D3969" s="2" t="s">
        <v>33940</v>
      </c>
      <c r="E3969" s="2" t="s">
        <v>33941</v>
      </c>
      <c r="F3969" s="3" t="s">
        <v>571</v>
      </c>
      <c r="G3969" s="3" t="s">
        <v>62</v>
      </c>
      <c r="I3969" s="3" t="s">
        <v>63</v>
      </c>
      <c r="J3969" s="3" t="s">
        <v>63</v>
      </c>
      <c r="K3969" s="3" t="s">
        <v>64</v>
      </c>
      <c r="L3969" s="2" t="s">
        <v>33942</v>
      </c>
      <c r="M3969" s="2" t="s">
        <v>6355</v>
      </c>
      <c r="N3969" s="3" t="s">
        <v>2765</v>
      </c>
      <c r="P3969" s="3" t="s">
        <v>90</v>
      </c>
      <c r="Q3969" s="2" t="s">
        <v>29586</v>
      </c>
      <c r="R3969" s="3" t="s">
        <v>67</v>
      </c>
      <c r="S3969" s="4">
        <v>1</v>
      </c>
      <c r="T3969" s="4">
        <v>2</v>
      </c>
      <c r="U3969" s="5" t="s">
        <v>29654</v>
      </c>
      <c r="V3969" s="5" t="s">
        <v>29654</v>
      </c>
      <c r="W3969" s="5" t="s">
        <v>69</v>
      </c>
      <c r="X3969" s="5" t="s">
        <v>69</v>
      </c>
      <c r="Y3969" s="4">
        <v>35</v>
      </c>
      <c r="Z3969" s="4">
        <v>4</v>
      </c>
      <c r="AA3969" s="4">
        <v>5</v>
      </c>
      <c r="AB3969" s="4">
        <v>1</v>
      </c>
      <c r="AC3969" s="4">
        <v>1</v>
      </c>
      <c r="AD3969" s="4">
        <v>21</v>
      </c>
      <c r="AE3969" s="4">
        <v>33</v>
      </c>
      <c r="AF3969" s="4">
        <v>0</v>
      </c>
      <c r="AG3969" s="4">
        <v>0</v>
      </c>
      <c r="AH3969" s="4">
        <v>20</v>
      </c>
      <c r="AI3969" s="4">
        <v>32</v>
      </c>
      <c r="AJ3969" s="4">
        <v>1</v>
      </c>
      <c r="AK3969" s="4">
        <v>2</v>
      </c>
      <c r="AL3969" s="4">
        <v>18</v>
      </c>
      <c r="AM3969" s="4">
        <v>27</v>
      </c>
      <c r="AN3969" s="4">
        <v>0</v>
      </c>
      <c r="AO3969" s="4">
        <v>0</v>
      </c>
      <c r="AP3969" s="4">
        <v>1</v>
      </c>
      <c r="AQ3969" s="4">
        <v>2</v>
      </c>
      <c r="AR3969" s="3" t="s">
        <v>63</v>
      </c>
      <c r="AS3969" s="3" t="s">
        <v>63</v>
      </c>
      <c r="AT3969" s="3" t="s">
        <v>63</v>
      </c>
      <c r="AV3969" s="6" t="str">
        <f>HYPERLINK("http://mcgill.on.worldcat.org/oclc/904804422","Catalog Record")</f>
        <v>Catalog Record</v>
      </c>
      <c r="AW3969" s="6" t="str">
        <f>HYPERLINK("http://www.worldcat.org/oclc/904804422","WorldCat Record")</f>
        <v>WorldCat Record</v>
      </c>
      <c r="AX3969" s="3" t="s">
        <v>33943</v>
      </c>
      <c r="AY3969" s="3" t="s">
        <v>33944</v>
      </c>
      <c r="AZ3969" s="3" t="s">
        <v>33945</v>
      </c>
      <c r="BA3969" s="3" t="s">
        <v>33945</v>
      </c>
      <c r="BB3969" s="3" t="s">
        <v>33946</v>
      </c>
      <c r="BC3969" s="3" t="s">
        <v>82</v>
      </c>
      <c r="BD3969" s="3" t="s">
        <v>70</v>
      </c>
      <c r="BE3969" s="3" t="s">
        <v>33947</v>
      </c>
      <c r="BF3969" s="3" t="s">
        <v>33946</v>
      </c>
      <c r="BG3969" s="3" t="s">
        <v>33948</v>
      </c>
    </row>
    <row r="3970" spans="1:59" ht="60" x14ac:dyDescent="0.25">
      <c r="A3970" s="2" t="s">
        <v>59</v>
      </c>
      <c r="B3970" s="2" t="s">
        <v>60</v>
      </c>
      <c r="C3970" s="2" t="s">
        <v>33939</v>
      </c>
      <c r="D3970" s="2" t="s">
        <v>33940</v>
      </c>
      <c r="E3970" s="2" t="s">
        <v>33941</v>
      </c>
      <c r="F3970" s="3" t="s">
        <v>582</v>
      </c>
      <c r="G3970" s="3" t="s">
        <v>62</v>
      </c>
      <c r="I3970" s="3" t="s">
        <v>63</v>
      </c>
      <c r="J3970" s="3" t="s">
        <v>63</v>
      </c>
      <c r="K3970" s="3" t="s">
        <v>64</v>
      </c>
      <c r="L3970" s="2" t="s">
        <v>33942</v>
      </c>
      <c r="M3970" s="2" t="s">
        <v>6355</v>
      </c>
      <c r="N3970" s="3" t="s">
        <v>2765</v>
      </c>
      <c r="P3970" s="3" t="s">
        <v>90</v>
      </c>
      <c r="Q3970" s="2" t="s">
        <v>29586</v>
      </c>
      <c r="R3970" s="3" t="s">
        <v>67</v>
      </c>
      <c r="S3970" s="4">
        <v>1</v>
      </c>
      <c r="T3970" s="4">
        <v>2</v>
      </c>
      <c r="U3970" s="5" t="s">
        <v>29654</v>
      </c>
      <c r="V3970" s="5" t="s">
        <v>29654</v>
      </c>
      <c r="W3970" s="5" t="s">
        <v>69</v>
      </c>
      <c r="X3970" s="5" t="s">
        <v>69</v>
      </c>
      <c r="Y3970" s="4">
        <v>35</v>
      </c>
      <c r="Z3970" s="4">
        <v>4</v>
      </c>
      <c r="AA3970" s="4">
        <v>5</v>
      </c>
      <c r="AB3970" s="4">
        <v>1</v>
      </c>
      <c r="AC3970" s="4">
        <v>1</v>
      </c>
      <c r="AD3970" s="4">
        <v>21</v>
      </c>
      <c r="AE3970" s="4">
        <v>33</v>
      </c>
      <c r="AF3970" s="4">
        <v>0</v>
      </c>
      <c r="AG3970" s="4">
        <v>0</v>
      </c>
      <c r="AH3970" s="4">
        <v>20</v>
      </c>
      <c r="AI3970" s="4">
        <v>32</v>
      </c>
      <c r="AJ3970" s="4">
        <v>1</v>
      </c>
      <c r="AK3970" s="4">
        <v>2</v>
      </c>
      <c r="AL3970" s="4">
        <v>18</v>
      </c>
      <c r="AM3970" s="4">
        <v>27</v>
      </c>
      <c r="AN3970" s="4">
        <v>0</v>
      </c>
      <c r="AO3970" s="4">
        <v>0</v>
      </c>
      <c r="AP3970" s="4">
        <v>1</v>
      </c>
      <c r="AQ3970" s="4">
        <v>2</v>
      </c>
      <c r="AR3970" s="3" t="s">
        <v>63</v>
      </c>
      <c r="AS3970" s="3" t="s">
        <v>63</v>
      </c>
      <c r="AT3970" s="3" t="s">
        <v>63</v>
      </c>
      <c r="AV3970" s="6" t="str">
        <f>HYPERLINK("http://mcgill.on.worldcat.org/oclc/904804422","Catalog Record")</f>
        <v>Catalog Record</v>
      </c>
      <c r="AW3970" s="6" t="str">
        <f>HYPERLINK("http://www.worldcat.org/oclc/904804422","WorldCat Record")</f>
        <v>WorldCat Record</v>
      </c>
      <c r="AX3970" s="3" t="s">
        <v>33943</v>
      </c>
      <c r="AY3970" s="3" t="s">
        <v>33944</v>
      </c>
      <c r="AZ3970" s="3" t="s">
        <v>33945</v>
      </c>
      <c r="BA3970" s="3" t="s">
        <v>33945</v>
      </c>
      <c r="BB3970" s="3" t="s">
        <v>33949</v>
      </c>
      <c r="BC3970" s="3" t="s">
        <v>82</v>
      </c>
      <c r="BD3970" s="3" t="s">
        <v>70</v>
      </c>
      <c r="BE3970" s="3" t="s">
        <v>33947</v>
      </c>
      <c r="BF3970" s="3" t="s">
        <v>33949</v>
      </c>
      <c r="BG3970" s="3" t="s">
        <v>33950</v>
      </c>
    </row>
    <row r="3971" spans="1:59" ht="75" x14ac:dyDescent="0.25">
      <c r="A3971" s="2" t="s">
        <v>59</v>
      </c>
      <c r="B3971" s="2" t="s">
        <v>60</v>
      </c>
      <c r="C3971" s="2" t="s">
        <v>33577</v>
      </c>
      <c r="D3971" s="2" t="s">
        <v>33568</v>
      </c>
      <c r="E3971" s="2" t="s">
        <v>33569</v>
      </c>
      <c r="G3971" s="3" t="s">
        <v>63</v>
      </c>
      <c r="H3971" s="3" t="s">
        <v>215</v>
      </c>
      <c r="I3971" s="3" t="s">
        <v>62</v>
      </c>
      <c r="J3971" s="3" t="s">
        <v>63</v>
      </c>
      <c r="K3971" s="3" t="s">
        <v>64</v>
      </c>
      <c r="L3971" s="2" t="s">
        <v>28538</v>
      </c>
      <c r="M3971" s="2" t="s">
        <v>33570</v>
      </c>
      <c r="N3971" s="3" t="s">
        <v>287</v>
      </c>
      <c r="O3971" s="2" t="s">
        <v>1605</v>
      </c>
      <c r="P3971" s="3" t="s">
        <v>66</v>
      </c>
      <c r="R3971" s="3" t="s">
        <v>67</v>
      </c>
      <c r="S3971" s="4">
        <v>0</v>
      </c>
      <c r="T3971" s="4">
        <v>3</v>
      </c>
      <c r="V3971" s="5" t="s">
        <v>11733</v>
      </c>
      <c r="W3971" s="5" t="s">
        <v>12326</v>
      </c>
      <c r="X3971" s="5" t="s">
        <v>12326</v>
      </c>
      <c r="Y3971" s="4">
        <v>450</v>
      </c>
      <c r="Z3971" s="4">
        <v>13</v>
      </c>
      <c r="AA3971" s="4">
        <v>18</v>
      </c>
      <c r="AB3971" s="4">
        <v>3</v>
      </c>
      <c r="AC3971" s="4">
        <v>6</v>
      </c>
      <c r="AD3971" s="4">
        <v>70</v>
      </c>
      <c r="AE3971" s="4">
        <v>73</v>
      </c>
      <c r="AF3971" s="4">
        <v>0</v>
      </c>
      <c r="AG3971" s="4">
        <v>0</v>
      </c>
      <c r="AH3971" s="4">
        <v>65</v>
      </c>
      <c r="AI3971" s="4">
        <v>67</v>
      </c>
      <c r="AJ3971" s="4">
        <v>8</v>
      </c>
      <c r="AK3971" s="4">
        <v>8</v>
      </c>
      <c r="AL3971" s="4">
        <v>42</v>
      </c>
      <c r="AM3971" s="4">
        <v>44</v>
      </c>
      <c r="AN3971" s="4">
        <v>0</v>
      </c>
      <c r="AO3971" s="4">
        <v>0</v>
      </c>
      <c r="AP3971" s="4">
        <v>8</v>
      </c>
      <c r="AQ3971" s="4">
        <v>9</v>
      </c>
      <c r="AR3971" s="3" t="s">
        <v>63</v>
      </c>
      <c r="AS3971" s="3" t="s">
        <v>63</v>
      </c>
      <c r="AT3971" s="3" t="s">
        <v>63</v>
      </c>
      <c r="AV3971" s="6" t="str">
        <f>HYPERLINK("http://mcgill.on.worldcat.org/oclc/992221742","Catalog Record")</f>
        <v>Catalog Record</v>
      </c>
      <c r="AW3971" s="6" t="str">
        <f>HYPERLINK("http://www.worldcat.org/oclc/992221742","WorldCat Record")</f>
        <v>WorldCat Record</v>
      </c>
      <c r="AX3971" s="3" t="s">
        <v>33571</v>
      </c>
      <c r="AY3971" s="3" t="s">
        <v>33572</v>
      </c>
      <c r="AZ3971" s="3" t="s">
        <v>33573</v>
      </c>
      <c r="BA3971" s="3" t="s">
        <v>33573</v>
      </c>
      <c r="BB3971" s="3" t="s">
        <v>33578</v>
      </c>
      <c r="BC3971" s="3" t="s">
        <v>82</v>
      </c>
      <c r="BD3971" s="3" t="s">
        <v>70</v>
      </c>
      <c r="BE3971" s="3" t="s">
        <v>33575</v>
      </c>
      <c r="BF3971" s="3" t="s">
        <v>33578</v>
      </c>
      <c r="BG3971" s="3" t="s">
        <v>33579</v>
      </c>
    </row>
    <row r="3972" spans="1:59" ht="60" x14ac:dyDescent="0.25">
      <c r="A3972" s="2" t="s">
        <v>59</v>
      </c>
      <c r="B3972" s="2" t="s">
        <v>60</v>
      </c>
      <c r="C3972" s="2" t="s">
        <v>33951</v>
      </c>
      <c r="D3972" s="2" t="s">
        <v>33952</v>
      </c>
      <c r="E3972" s="2" t="s">
        <v>33953</v>
      </c>
      <c r="G3972" s="3" t="s">
        <v>63</v>
      </c>
      <c r="I3972" s="3" t="s">
        <v>63</v>
      </c>
      <c r="J3972" s="3" t="s">
        <v>63</v>
      </c>
      <c r="K3972" s="3" t="s">
        <v>64</v>
      </c>
      <c r="L3972" s="2" t="s">
        <v>33954</v>
      </c>
      <c r="M3972" s="2" t="s">
        <v>33955</v>
      </c>
      <c r="N3972" s="3" t="s">
        <v>2043</v>
      </c>
      <c r="P3972" s="3" t="s">
        <v>90</v>
      </c>
      <c r="R3972" s="3" t="s">
        <v>67</v>
      </c>
      <c r="S3972" s="4">
        <v>4</v>
      </c>
      <c r="T3972" s="4">
        <v>4</v>
      </c>
      <c r="U3972" s="5" t="s">
        <v>32705</v>
      </c>
      <c r="V3972" s="5" t="s">
        <v>32705</v>
      </c>
      <c r="W3972" s="5" t="s">
        <v>69</v>
      </c>
      <c r="X3972" s="5" t="s">
        <v>69</v>
      </c>
      <c r="Y3972" s="4">
        <v>153</v>
      </c>
      <c r="Z3972" s="4">
        <v>12</v>
      </c>
      <c r="AA3972" s="4">
        <v>12</v>
      </c>
      <c r="AB3972" s="4">
        <v>1</v>
      </c>
      <c r="AC3972" s="4">
        <v>1</v>
      </c>
      <c r="AD3972" s="4">
        <v>76</v>
      </c>
      <c r="AE3972" s="4">
        <v>76</v>
      </c>
      <c r="AF3972" s="4">
        <v>0</v>
      </c>
      <c r="AG3972" s="4">
        <v>0</v>
      </c>
      <c r="AH3972" s="4">
        <v>70</v>
      </c>
      <c r="AI3972" s="4">
        <v>70</v>
      </c>
      <c r="AJ3972" s="4">
        <v>10</v>
      </c>
      <c r="AK3972" s="4">
        <v>10</v>
      </c>
      <c r="AL3972" s="4">
        <v>46</v>
      </c>
      <c r="AM3972" s="4">
        <v>46</v>
      </c>
      <c r="AN3972" s="4">
        <v>0</v>
      </c>
      <c r="AO3972" s="4">
        <v>0</v>
      </c>
      <c r="AP3972" s="4">
        <v>10</v>
      </c>
      <c r="AQ3972" s="4">
        <v>10</v>
      </c>
      <c r="AR3972" s="3" t="s">
        <v>63</v>
      </c>
      <c r="AS3972" s="3" t="s">
        <v>63</v>
      </c>
      <c r="AT3972" s="3" t="s">
        <v>62</v>
      </c>
      <c r="AU3972" s="6" t="str">
        <f>HYPERLINK("http://catalog.hathitrust.org/Record/000223357","HathiTrust Record")</f>
        <v>HathiTrust Record</v>
      </c>
      <c r="AV3972" s="6" t="str">
        <f>HYPERLINK("http://mcgill.on.worldcat.org/oclc/7614280","Catalog Record")</f>
        <v>Catalog Record</v>
      </c>
      <c r="AW3972" s="6" t="str">
        <f>HYPERLINK("http://www.worldcat.org/oclc/7614280","WorldCat Record")</f>
        <v>WorldCat Record</v>
      </c>
      <c r="AX3972" s="3" t="s">
        <v>33956</v>
      </c>
      <c r="AY3972" s="3" t="s">
        <v>33957</v>
      </c>
      <c r="AZ3972" s="3" t="s">
        <v>33958</v>
      </c>
      <c r="BA3972" s="3" t="s">
        <v>33958</v>
      </c>
      <c r="BB3972" s="3" t="s">
        <v>33959</v>
      </c>
      <c r="BC3972" s="3" t="s">
        <v>82</v>
      </c>
      <c r="BD3972" s="3" t="s">
        <v>70</v>
      </c>
      <c r="BE3972" s="3" t="s">
        <v>33960</v>
      </c>
      <c r="BF3972" s="3" t="s">
        <v>33959</v>
      </c>
      <c r="BG3972" s="3" t="s">
        <v>33961</v>
      </c>
    </row>
    <row r="3973" spans="1:59" ht="60" x14ac:dyDescent="0.25">
      <c r="A3973" s="2" t="s">
        <v>59</v>
      </c>
      <c r="B3973" s="2" t="s">
        <v>60</v>
      </c>
      <c r="C3973" s="2" t="s">
        <v>33962</v>
      </c>
      <c r="D3973" s="2" t="s">
        <v>33963</v>
      </c>
      <c r="E3973" s="2" t="s">
        <v>33964</v>
      </c>
      <c r="G3973" s="3" t="s">
        <v>63</v>
      </c>
      <c r="I3973" s="3" t="s">
        <v>63</v>
      </c>
      <c r="J3973" s="3" t="s">
        <v>63</v>
      </c>
      <c r="K3973" s="3" t="s">
        <v>64</v>
      </c>
      <c r="L3973" s="2" t="s">
        <v>33965</v>
      </c>
      <c r="M3973" s="2" t="s">
        <v>33966</v>
      </c>
      <c r="N3973" s="3" t="s">
        <v>326</v>
      </c>
      <c r="P3973" s="3" t="s">
        <v>90</v>
      </c>
      <c r="R3973" s="3" t="s">
        <v>67</v>
      </c>
      <c r="S3973" s="4">
        <v>4</v>
      </c>
      <c r="T3973" s="4">
        <v>4</v>
      </c>
      <c r="U3973" s="5" t="s">
        <v>33967</v>
      </c>
      <c r="V3973" s="5" t="s">
        <v>33967</v>
      </c>
      <c r="W3973" s="5" t="s">
        <v>69</v>
      </c>
      <c r="X3973" s="5" t="s">
        <v>69</v>
      </c>
      <c r="Y3973" s="4">
        <v>10</v>
      </c>
      <c r="Z3973" s="4">
        <v>1</v>
      </c>
      <c r="AA3973" s="4">
        <v>1</v>
      </c>
      <c r="AB3973" s="4">
        <v>1</v>
      </c>
      <c r="AC3973" s="4">
        <v>1</v>
      </c>
      <c r="AD3973" s="4">
        <v>8</v>
      </c>
      <c r="AE3973" s="4">
        <v>8</v>
      </c>
      <c r="AF3973" s="4">
        <v>0</v>
      </c>
      <c r="AG3973" s="4">
        <v>0</v>
      </c>
      <c r="AH3973" s="4">
        <v>7</v>
      </c>
      <c r="AI3973" s="4">
        <v>7</v>
      </c>
      <c r="AJ3973" s="4">
        <v>0</v>
      </c>
      <c r="AK3973" s="4">
        <v>0</v>
      </c>
      <c r="AL3973" s="4">
        <v>6</v>
      </c>
      <c r="AM3973" s="4">
        <v>6</v>
      </c>
      <c r="AN3973" s="4">
        <v>0</v>
      </c>
      <c r="AO3973" s="4">
        <v>0</v>
      </c>
      <c r="AP3973" s="4">
        <v>0</v>
      </c>
      <c r="AQ3973" s="4">
        <v>0</v>
      </c>
      <c r="AR3973" s="3" t="s">
        <v>63</v>
      </c>
      <c r="AS3973" s="3" t="s">
        <v>63</v>
      </c>
      <c r="AT3973" s="3" t="s">
        <v>63</v>
      </c>
      <c r="AV3973" s="6" t="str">
        <f>HYPERLINK("http://mcgill.on.worldcat.org/oclc/569385431","Catalog Record")</f>
        <v>Catalog Record</v>
      </c>
      <c r="AW3973" s="6" t="str">
        <f>HYPERLINK("http://www.worldcat.org/oclc/569385431","WorldCat Record")</f>
        <v>WorldCat Record</v>
      </c>
      <c r="AX3973" s="3" t="s">
        <v>33968</v>
      </c>
      <c r="AY3973" s="3" t="s">
        <v>33969</v>
      </c>
      <c r="AZ3973" s="3" t="s">
        <v>33970</v>
      </c>
      <c r="BA3973" s="3" t="s">
        <v>33970</v>
      </c>
      <c r="BB3973" s="3" t="s">
        <v>33971</v>
      </c>
      <c r="BC3973" s="3" t="s">
        <v>82</v>
      </c>
      <c r="BD3973" s="3" t="s">
        <v>70</v>
      </c>
      <c r="BE3973" s="3" t="s">
        <v>33972</v>
      </c>
      <c r="BF3973" s="3" t="s">
        <v>33971</v>
      </c>
      <c r="BG3973" s="3" t="s">
        <v>33973</v>
      </c>
    </row>
    <row r="3974" spans="1:59" ht="60" x14ac:dyDescent="0.25">
      <c r="A3974" s="2" t="s">
        <v>59</v>
      </c>
      <c r="B3974" s="2" t="s">
        <v>60</v>
      </c>
      <c r="C3974" s="2" t="s">
        <v>33974</v>
      </c>
      <c r="D3974" s="2" t="s">
        <v>33975</v>
      </c>
      <c r="E3974" s="2" t="s">
        <v>33976</v>
      </c>
      <c r="G3974" s="3" t="s">
        <v>63</v>
      </c>
      <c r="I3974" s="3" t="s">
        <v>63</v>
      </c>
      <c r="J3974" s="3" t="s">
        <v>63</v>
      </c>
      <c r="K3974" s="3" t="s">
        <v>64</v>
      </c>
      <c r="L3974" s="2" t="s">
        <v>33965</v>
      </c>
      <c r="M3974" s="2" t="s">
        <v>33977</v>
      </c>
      <c r="N3974" s="3" t="s">
        <v>247</v>
      </c>
      <c r="P3974" s="3" t="s">
        <v>90</v>
      </c>
      <c r="R3974" s="3" t="s">
        <v>67</v>
      </c>
      <c r="S3974" s="4">
        <v>8</v>
      </c>
      <c r="T3974" s="4">
        <v>8</v>
      </c>
      <c r="U3974" s="5" t="s">
        <v>33967</v>
      </c>
      <c r="V3974" s="5" t="s">
        <v>33967</v>
      </c>
      <c r="W3974" s="5" t="s">
        <v>69</v>
      </c>
      <c r="X3974" s="5" t="s">
        <v>69</v>
      </c>
      <c r="Y3974" s="4">
        <v>121</v>
      </c>
      <c r="Z3974" s="4">
        <v>10</v>
      </c>
      <c r="AA3974" s="4">
        <v>11</v>
      </c>
      <c r="AB3974" s="4">
        <v>1</v>
      </c>
      <c r="AC3974" s="4">
        <v>2</v>
      </c>
      <c r="AD3974" s="4">
        <v>56</v>
      </c>
      <c r="AE3974" s="4">
        <v>59</v>
      </c>
      <c r="AF3974" s="4">
        <v>0</v>
      </c>
      <c r="AG3974" s="4">
        <v>1</v>
      </c>
      <c r="AH3974" s="4">
        <v>53</v>
      </c>
      <c r="AI3974" s="4">
        <v>55</v>
      </c>
      <c r="AJ3974" s="4">
        <v>7</v>
      </c>
      <c r="AK3974" s="4">
        <v>8</v>
      </c>
      <c r="AL3974" s="4">
        <v>34</v>
      </c>
      <c r="AM3974" s="4">
        <v>34</v>
      </c>
      <c r="AN3974" s="4">
        <v>0</v>
      </c>
      <c r="AO3974" s="4">
        <v>0</v>
      </c>
      <c r="AP3974" s="4">
        <v>7</v>
      </c>
      <c r="AQ3974" s="4">
        <v>7</v>
      </c>
      <c r="AR3974" s="3" t="s">
        <v>63</v>
      </c>
      <c r="AS3974" s="3" t="s">
        <v>63</v>
      </c>
      <c r="AT3974" s="3" t="s">
        <v>62</v>
      </c>
      <c r="AU3974" s="6" t="str">
        <f>HYPERLINK("http://catalog.hathitrust.org/Record/000307985","HathiTrust Record")</f>
        <v>HathiTrust Record</v>
      </c>
      <c r="AV3974" s="6" t="str">
        <f>HYPERLINK("http://mcgill.on.worldcat.org/oclc/9022241","Catalog Record")</f>
        <v>Catalog Record</v>
      </c>
      <c r="AW3974" s="6" t="str">
        <f>HYPERLINK("http://www.worldcat.org/oclc/9022241","WorldCat Record")</f>
        <v>WorldCat Record</v>
      </c>
      <c r="AX3974" s="3" t="s">
        <v>33978</v>
      </c>
      <c r="AY3974" s="3" t="s">
        <v>33979</v>
      </c>
      <c r="AZ3974" s="3" t="s">
        <v>33980</v>
      </c>
      <c r="BA3974" s="3" t="s">
        <v>33980</v>
      </c>
      <c r="BB3974" s="3" t="s">
        <v>33981</v>
      </c>
      <c r="BC3974" s="3" t="s">
        <v>82</v>
      </c>
      <c r="BD3974" s="3" t="s">
        <v>70</v>
      </c>
      <c r="BF3974" s="3" t="s">
        <v>33981</v>
      </c>
      <c r="BG3974" s="3" t="s">
        <v>33982</v>
      </c>
    </row>
    <row r="3975" spans="1:59" ht="75" x14ac:dyDescent="0.25">
      <c r="A3975" s="2" t="s">
        <v>59</v>
      </c>
      <c r="B3975" s="2" t="s">
        <v>60</v>
      </c>
      <c r="C3975" s="2" t="s">
        <v>33983</v>
      </c>
      <c r="D3975" s="2" t="s">
        <v>33984</v>
      </c>
      <c r="E3975" s="2" t="s">
        <v>33985</v>
      </c>
      <c r="G3975" s="3" t="s">
        <v>63</v>
      </c>
      <c r="I3975" s="3" t="s">
        <v>63</v>
      </c>
      <c r="J3975" s="3" t="s">
        <v>63</v>
      </c>
      <c r="K3975" s="3" t="s">
        <v>64</v>
      </c>
      <c r="L3975" s="2" t="s">
        <v>33965</v>
      </c>
      <c r="M3975" s="2" t="s">
        <v>33986</v>
      </c>
      <c r="N3975" s="3" t="s">
        <v>1916</v>
      </c>
      <c r="P3975" s="3" t="s">
        <v>66</v>
      </c>
      <c r="R3975" s="3" t="s">
        <v>67</v>
      </c>
      <c r="S3975" s="4">
        <v>26</v>
      </c>
      <c r="T3975" s="4">
        <v>26</v>
      </c>
      <c r="U3975" s="5" t="s">
        <v>1037</v>
      </c>
      <c r="V3975" s="5" t="s">
        <v>1037</v>
      </c>
      <c r="W3975" s="5" t="s">
        <v>69</v>
      </c>
      <c r="X3975" s="5" t="s">
        <v>69</v>
      </c>
      <c r="Y3975" s="4">
        <v>174</v>
      </c>
      <c r="Z3975" s="4">
        <v>14</v>
      </c>
      <c r="AA3975" s="4">
        <v>19</v>
      </c>
      <c r="AB3975" s="4">
        <v>1</v>
      </c>
      <c r="AC3975" s="4">
        <v>2</v>
      </c>
      <c r="AD3975" s="4">
        <v>67</v>
      </c>
      <c r="AE3975" s="4">
        <v>86</v>
      </c>
      <c r="AF3975" s="4">
        <v>0</v>
      </c>
      <c r="AG3975" s="4">
        <v>0</v>
      </c>
      <c r="AH3975" s="4">
        <v>62</v>
      </c>
      <c r="AI3975" s="4">
        <v>79</v>
      </c>
      <c r="AJ3975" s="4">
        <v>10</v>
      </c>
      <c r="AK3975" s="4">
        <v>12</v>
      </c>
      <c r="AL3975" s="4">
        <v>37</v>
      </c>
      <c r="AM3975" s="4">
        <v>47</v>
      </c>
      <c r="AN3975" s="4">
        <v>0</v>
      </c>
      <c r="AO3975" s="4">
        <v>1</v>
      </c>
      <c r="AP3975" s="4">
        <v>10</v>
      </c>
      <c r="AQ3975" s="4">
        <v>13</v>
      </c>
      <c r="AR3975" s="3" t="s">
        <v>63</v>
      </c>
      <c r="AS3975" s="3" t="s">
        <v>63</v>
      </c>
      <c r="AT3975" s="3" t="s">
        <v>63</v>
      </c>
      <c r="AV3975" s="6" t="str">
        <f>HYPERLINK("http://mcgill.on.worldcat.org/oclc/12475261","Catalog Record")</f>
        <v>Catalog Record</v>
      </c>
      <c r="AW3975" s="6" t="str">
        <f>HYPERLINK("http://www.worldcat.org/oclc/12475261","WorldCat Record")</f>
        <v>WorldCat Record</v>
      </c>
      <c r="AX3975" s="3" t="s">
        <v>33987</v>
      </c>
      <c r="AY3975" s="3" t="s">
        <v>33988</v>
      </c>
      <c r="AZ3975" s="3" t="s">
        <v>33989</v>
      </c>
      <c r="BA3975" s="3" t="s">
        <v>33989</v>
      </c>
      <c r="BB3975" s="3" t="s">
        <v>33990</v>
      </c>
      <c r="BC3975" s="3" t="s">
        <v>82</v>
      </c>
      <c r="BD3975" s="3" t="s">
        <v>70</v>
      </c>
      <c r="BE3975" s="3" t="s">
        <v>33991</v>
      </c>
      <c r="BF3975" s="3" t="s">
        <v>33990</v>
      </c>
      <c r="BG3975" s="3" t="s">
        <v>33992</v>
      </c>
    </row>
    <row r="3976" spans="1:59" ht="75" x14ac:dyDescent="0.25">
      <c r="A3976" s="2" t="s">
        <v>59</v>
      </c>
      <c r="B3976" s="2" t="s">
        <v>60</v>
      </c>
      <c r="C3976" s="2" t="s">
        <v>33993</v>
      </c>
      <c r="D3976" s="2" t="s">
        <v>33994</v>
      </c>
      <c r="E3976" s="2" t="s">
        <v>33995</v>
      </c>
      <c r="G3976" s="3" t="s">
        <v>63</v>
      </c>
      <c r="I3976" s="3" t="s">
        <v>63</v>
      </c>
      <c r="J3976" s="3" t="s">
        <v>63</v>
      </c>
      <c r="K3976" s="3" t="s">
        <v>64</v>
      </c>
      <c r="L3976" s="2" t="s">
        <v>33965</v>
      </c>
      <c r="M3976" s="2" t="s">
        <v>33996</v>
      </c>
      <c r="N3976" s="3" t="s">
        <v>531</v>
      </c>
      <c r="P3976" s="3" t="s">
        <v>66</v>
      </c>
      <c r="R3976" s="3" t="s">
        <v>67</v>
      </c>
      <c r="S3976" s="4">
        <v>5</v>
      </c>
      <c r="T3976" s="4">
        <v>5</v>
      </c>
      <c r="U3976" s="5" t="s">
        <v>11927</v>
      </c>
      <c r="V3976" s="5" t="s">
        <v>11927</v>
      </c>
      <c r="W3976" s="5" t="s">
        <v>69</v>
      </c>
      <c r="X3976" s="5" t="s">
        <v>69</v>
      </c>
      <c r="Y3976" s="4">
        <v>134</v>
      </c>
      <c r="Z3976" s="4">
        <v>16</v>
      </c>
      <c r="AA3976" s="4">
        <v>16</v>
      </c>
      <c r="AB3976" s="4">
        <v>2</v>
      </c>
      <c r="AC3976" s="4">
        <v>2</v>
      </c>
      <c r="AD3976" s="4">
        <v>64</v>
      </c>
      <c r="AE3976" s="4">
        <v>64</v>
      </c>
      <c r="AF3976" s="4">
        <v>0</v>
      </c>
      <c r="AG3976" s="4">
        <v>0</v>
      </c>
      <c r="AH3976" s="4">
        <v>60</v>
      </c>
      <c r="AI3976" s="4">
        <v>60</v>
      </c>
      <c r="AJ3976" s="4">
        <v>11</v>
      </c>
      <c r="AK3976" s="4">
        <v>11</v>
      </c>
      <c r="AL3976" s="4">
        <v>39</v>
      </c>
      <c r="AM3976" s="4">
        <v>39</v>
      </c>
      <c r="AN3976" s="4">
        <v>0</v>
      </c>
      <c r="AO3976" s="4">
        <v>0</v>
      </c>
      <c r="AP3976" s="4">
        <v>11</v>
      </c>
      <c r="AQ3976" s="4">
        <v>11</v>
      </c>
      <c r="AR3976" s="3" t="s">
        <v>63</v>
      </c>
      <c r="AS3976" s="3" t="s">
        <v>63</v>
      </c>
      <c r="AT3976" s="3" t="s">
        <v>62</v>
      </c>
      <c r="AU3976" s="6" t="str">
        <f>HYPERLINK("http://catalog.hathitrust.org/Record/004547148","HathiTrust Record")</f>
        <v>HathiTrust Record</v>
      </c>
      <c r="AV3976" s="6" t="str">
        <f>HYPERLINK("http://mcgill.on.worldcat.org/oclc/27935092","Catalog Record")</f>
        <v>Catalog Record</v>
      </c>
      <c r="AW3976" s="6" t="str">
        <f>HYPERLINK("http://www.worldcat.org/oclc/27935092","WorldCat Record")</f>
        <v>WorldCat Record</v>
      </c>
      <c r="AX3976" s="3" t="s">
        <v>33997</v>
      </c>
      <c r="AY3976" s="3" t="s">
        <v>33998</v>
      </c>
      <c r="AZ3976" s="3" t="s">
        <v>33999</v>
      </c>
      <c r="BA3976" s="3" t="s">
        <v>33999</v>
      </c>
      <c r="BB3976" s="3" t="s">
        <v>34000</v>
      </c>
      <c r="BC3976" s="3" t="s">
        <v>82</v>
      </c>
      <c r="BD3976" s="3" t="s">
        <v>70</v>
      </c>
      <c r="BE3976" s="3" t="s">
        <v>34001</v>
      </c>
      <c r="BF3976" s="3" t="s">
        <v>34000</v>
      </c>
      <c r="BG3976" s="3" t="s">
        <v>34002</v>
      </c>
    </row>
    <row r="3977" spans="1:59" ht="60" x14ac:dyDescent="0.25">
      <c r="A3977" s="2" t="s">
        <v>59</v>
      </c>
      <c r="B3977" s="2" t="s">
        <v>60</v>
      </c>
      <c r="C3977" s="2" t="s">
        <v>34003</v>
      </c>
      <c r="D3977" s="2" t="s">
        <v>34004</v>
      </c>
      <c r="E3977" s="2" t="s">
        <v>34005</v>
      </c>
      <c r="G3977" s="3" t="s">
        <v>63</v>
      </c>
      <c r="I3977" s="3" t="s">
        <v>63</v>
      </c>
      <c r="J3977" s="3" t="s">
        <v>63</v>
      </c>
      <c r="K3977" s="3" t="s">
        <v>64</v>
      </c>
      <c r="L3977" s="2" t="s">
        <v>34006</v>
      </c>
      <c r="M3977" s="2" t="s">
        <v>34007</v>
      </c>
      <c r="N3977" s="3" t="s">
        <v>2951</v>
      </c>
      <c r="O3977" s="2" t="s">
        <v>34008</v>
      </c>
      <c r="P3977" s="3" t="s">
        <v>66</v>
      </c>
      <c r="R3977" s="3" t="s">
        <v>67</v>
      </c>
      <c r="S3977" s="4">
        <v>4</v>
      </c>
      <c r="T3977" s="4">
        <v>4</v>
      </c>
      <c r="U3977" s="5" t="s">
        <v>5934</v>
      </c>
      <c r="V3977" s="5" t="s">
        <v>5934</v>
      </c>
      <c r="W3977" s="5" t="s">
        <v>69</v>
      </c>
      <c r="X3977" s="5" t="s">
        <v>69</v>
      </c>
      <c r="Y3977" s="4">
        <v>424</v>
      </c>
      <c r="Z3977" s="4">
        <v>17</v>
      </c>
      <c r="AA3977" s="4">
        <v>30</v>
      </c>
      <c r="AB3977" s="4">
        <v>1</v>
      </c>
      <c r="AC3977" s="4">
        <v>2</v>
      </c>
      <c r="AD3977" s="4">
        <v>93</v>
      </c>
      <c r="AE3977" s="4">
        <v>110</v>
      </c>
      <c r="AF3977" s="4">
        <v>0</v>
      </c>
      <c r="AG3977" s="4">
        <v>1</v>
      </c>
      <c r="AH3977" s="4">
        <v>82</v>
      </c>
      <c r="AI3977" s="4">
        <v>95</v>
      </c>
      <c r="AJ3977" s="4">
        <v>10</v>
      </c>
      <c r="AK3977" s="4">
        <v>17</v>
      </c>
      <c r="AL3977" s="4">
        <v>47</v>
      </c>
      <c r="AM3977" s="4">
        <v>53</v>
      </c>
      <c r="AN3977" s="4">
        <v>0</v>
      </c>
      <c r="AO3977" s="4">
        <v>0</v>
      </c>
      <c r="AP3977" s="4">
        <v>14</v>
      </c>
      <c r="AQ3977" s="4">
        <v>21</v>
      </c>
      <c r="AR3977" s="3" t="s">
        <v>63</v>
      </c>
      <c r="AS3977" s="3" t="s">
        <v>63</v>
      </c>
      <c r="AT3977" s="3" t="s">
        <v>62</v>
      </c>
      <c r="AU3977" s="6" t="str">
        <f>HYPERLINK("http://catalog.hathitrust.org/Record/000263357","HathiTrust Record")</f>
        <v>HathiTrust Record</v>
      </c>
      <c r="AV3977" s="6" t="str">
        <f>HYPERLINK("http://mcgill.on.worldcat.org/oclc/6420622","Catalog Record")</f>
        <v>Catalog Record</v>
      </c>
      <c r="AW3977" s="6" t="str">
        <f>HYPERLINK("http://www.worldcat.org/oclc/6420622","WorldCat Record")</f>
        <v>WorldCat Record</v>
      </c>
      <c r="AX3977" s="3" t="s">
        <v>34009</v>
      </c>
      <c r="AY3977" s="3" t="s">
        <v>34010</v>
      </c>
      <c r="AZ3977" s="3" t="s">
        <v>34011</v>
      </c>
      <c r="BA3977" s="3" t="s">
        <v>34011</v>
      </c>
      <c r="BB3977" s="3" t="s">
        <v>34012</v>
      </c>
      <c r="BC3977" s="3" t="s">
        <v>82</v>
      </c>
      <c r="BD3977" s="3" t="s">
        <v>70</v>
      </c>
      <c r="BE3977" s="3" t="s">
        <v>34013</v>
      </c>
      <c r="BF3977" s="3" t="s">
        <v>34012</v>
      </c>
      <c r="BG3977" s="3" t="s">
        <v>34014</v>
      </c>
    </row>
    <row r="3978" spans="1:59" ht="60" x14ac:dyDescent="0.25">
      <c r="A3978" s="2" t="s">
        <v>59</v>
      </c>
      <c r="B3978" s="2" t="s">
        <v>60</v>
      </c>
      <c r="C3978" s="2" t="s">
        <v>34015</v>
      </c>
      <c r="D3978" s="2" t="s">
        <v>34016</v>
      </c>
      <c r="E3978" s="2" t="s">
        <v>34017</v>
      </c>
      <c r="G3978" s="3" t="s">
        <v>63</v>
      </c>
      <c r="I3978" s="3" t="s">
        <v>63</v>
      </c>
      <c r="J3978" s="3" t="s">
        <v>63</v>
      </c>
      <c r="K3978" s="3" t="s">
        <v>64</v>
      </c>
      <c r="M3978" s="2" t="s">
        <v>7813</v>
      </c>
      <c r="N3978" s="3" t="s">
        <v>427</v>
      </c>
      <c r="P3978" s="3" t="s">
        <v>66</v>
      </c>
      <c r="R3978" s="3" t="s">
        <v>67</v>
      </c>
      <c r="S3978" s="4">
        <v>5</v>
      </c>
      <c r="T3978" s="4">
        <v>5</v>
      </c>
      <c r="U3978" s="5" t="s">
        <v>4911</v>
      </c>
      <c r="V3978" s="5" t="s">
        <v>4911</v>
      </c>
      <c r="W3978" s="5" t="s">
        <v>69</v>
      </c>
      <c r="X3978" s="5" t="s">
        <v>69</v>
      </c>
      <c r="Y3978" s="4">
        <v>99</v>
      </c>
      <c r="Z3978" s="4">
        <v>9</v>
      </c>
      <c r="AA3978" s="4">
        <v>17</v>
      </c>
      <c r="AB3978" s="4">
        <v>1</v>
      </c>
      <c r="AC3978" s="4">
        <v>2</v>
      </c>
      <c r="AD3978" s="4">
        <v>48</v>
      </c>
      <c r="AE3978" s="4">
        <v>92</v>
      </c>
      <c r="AF3978" s="4">
        <v>0</v>
      </c>
      <c r="AG3978" s="4">
        <v>0</v>
      </c>
      <c r="AH3978" s="4">
        <v>44</v>
      </c>
      <c r="AI3978" s="4">
        <v>85</v>
      </c>
      <c r="AJ3978" s="4">
        <v>7</v>
      </c>
      <c r="AK3978" s="4">
        <v>14</v>
      </c>
      <c r="AL3978" s="4">
        <v>30</v>
      </c>
      <c r="AM3978" s="4">
        <v>51</v>
      </c>
      <c r="AN3978" s="4">
        <v>0</v>
      </c>
      <c r="AO3978" s="4">
        <v>0</v>
      </c>
      <c r="AP3978" s="4">
        <v>7</v>
      </c>
      <c r="AQ3978" s="4">
        <v>14</v>
      </c>
      <c r="AR3978" s="3" t="s">
        <v>63</v>
      </c>
      <c r="AS3978" s="3" t="s">
        <v>63</v>
      </c>
      <c r="AT3978" s="3" t="s">
        <v>62</v>
      </c>
      <c r="AU3978" s="6" t="str">
        <f>HYPERLINK("http://catalog.hathitrust.org/Record/000910031","HathiTrust Record")</f>
        <v>HathiTrust Record</v>
      </c>
      <c r="AV3978" s="6" t="str">
        <f>HYPERLINK("http://mcgill.on.worldcat.org/oclc/15593669","Catalog Record")</f>
        <v>Catalog Record</v>
      </c>
      <c r="AW3978" s="6" t="str">
        <f>HYPERLINK("http://www.worldcat.org/oclc/15593669","WorldCat Record")</f>
        <v>WorldCat Record</v>
      </c>
      <c r="AX3978" s="3" t="s">
        <v>34018</v>
      </c>
      <c r="AY3978" s="3" t="s">
        <v>34019</v>
      </c>
      <c r="AZ3978" s="3" t="s">
        <v>34020</v>
      </c>
      <c r="BA3978" s="3" t="s">
        <v>34020</v>
      </c>
      <c r="BB3978" s="3" t="s">
        <v>34021</v>
      </c>
      <c r="BC3978" s="3" t="s">
        <v>82</v>
      </c>
      <c r="BD3978" s="3" t="s">
        <v>70</v>
      </c>
      <c r="BE3978" s="3" t="s">
        <v>34022</v>
      </c>
      <c r="BF3978" s="3" t="s">
        <v>34021</v>
      </c>
      <c r="BG3978" s="3" t="s">
        <v>34023</v>
      </c>
    </row>
    <row r="3979" spans="1:59" ht="60" x14ac:dyDescent="0.25">
      <c r="A3979" s="2" t="s">
        <v>59</v>
      </c>
      <c r="B3979" s="2" t="s">
        <v>60</v>
      </c>
      <c r="C3979" s="2" t="s">
        <v>34024</v>
      </c>
      <c r="D3979" s="2" t="s">
        <v>34025</v>
      </c>
      <c r="E3979" s="2" t="s">
        <v>34026</v>
      </c>
      <c r="G3979" s="3" t="s">
        <v>63</v>
      </c>
      <c r="I3979" s="3" t="s">
        <v>63</v>
      </c>
      <c r="J3979" s="3" t="s">
        <v>63</v>
      </c>
      <c r="K3979" s="3" t="s">
        <v>64</v>
      </c>
      <c r="L3979" s="2" t="s">
        <v>34027</v>
      </c>
      <c r="M3979" s="2" t="s">
        <v>34028</v>
      </c>
      <c r="N3979" s="3" t="s">
        <v>220</v>
      </c>
      <c r="P3979" s="3" t="s">
        <v>66</v>
      </c>
      <c r="R3979" s="3" t="s">
        <v>67</v>
      </c>
      <c r="S3979" s="4">
        <v>6</v>
      </c>
      <c r="T3979" s="4">
        <v>6</v>
      </c>
      <c r="U3979" s="5" t="s">
        <v>4911</v>
      </c>
      <c r="V3979" s="5" t="s">
        <v>4911</v>
      </c>
      <c r="W3979" s="5" t="s">
        <v>69</v>
      </c>
      <c r="X3979" s="5" t="s">
        <v>69</v>
      </c>
      <c r="Y3979" s="4">
        <v>97</v>
      </c>
      <c r="Z3979" s="4">
        <v>13</v>
      </c>
      <c r="AA3979" s="4">
        <v>16</v>
      </c>
      <c r="AB3979" s="4">
        <v>1</v>
      </c>
      <c r="AC3979" s="4">
        <v>3</v>
      </c>
      <c r="AD3979" s="4">
        <v>49</v>
      </c>
      <c r="AE3979" s="4">
        <v>51</v>
      </c>
      <c r="AF3979" s="4">
        <v>0</v>
      </c>
      <c r="AG3979" s="4">
        <v>1</v>
      </c>
      <c r="AH3979" s="4">
        <v>46</v>
      </c>
      <c r="AI3979" s="4">
        <v>46</v>
      </c>
      <c r="AJ3979" s="4">
        <v>10</v>
      </c>
      <c r="AK3979" s="4">
        <v>12</v>
      </c>
      <c r="AL3979" s="4">
        <v>27</v>
      </c>
      <c r="AM3979" s="4">
        <v>27</v>
      </c>
      <c r="AN3979" s="4">
        <v>0</v>
      </c>
      <c r="AO3979" s="4">
        <v>0</v>
      </c>
      <c r="AP3979" s="4">
        <v>10</v>
      </c>
      <c r="AQ3979" s="4">
        <v>11</v>
      </c>
      <c r="AR3979" s="3" t="s">
        <v>63</v>
      </c>
      <c r="AS3979" s="3" t="s">
        <v>63</v>
      </c>
      <c r="AT3979" s="3" t="s">
        <v>63</v>
      </c>
      <c r="AV3979" s="6" t="str">
        <f>HYPERLINK("http://mcgill.on.worldcat.org/oclc/28182968","Catalog Record")</f>
        <v>Catalog Record</v>
      </c>
      <c r="AW3979" s="6" t="str">
        <f>HYPERLINK("http://www.worldcat.org/oclc/28182968","WorldCat Record")</f>
        <v>WorldCat Record</v>
      </c>
      <c r="AX3979" s="3" t="s">
        <v>34029</v>
      </c>
      <c r="AY3979" s="3" t="s">
        <v>34030</v>
      </c>
      <c r="AZ3979" s="3" t="s">
        <v>34031</v>
      </c>
      <c r="BA3979" s="3" t="s">
        <v>34031</v>
      </c>
      <c r="BB3979" s="3" t="s">
        <v>34032</v>
      </c>
      <c r="BC3979" s="3" t="s">
        <v>82</v>
      </c>
      <c r="BD3979" s="3" t="s">
        <v>70</v>
      </c>
      <c r="BE3979" s="3" t="s">
        <v>34033</v>
      </c>
      <c r="BF3979" s="3" t="s">
        <v>34032</v>
      </c>
      <c r="BG3979" s="3" t="s">
        <v>34034</v>
      </c>
    </row>
    <row r="3980" spans="1:59" ht="60" x14ac:dyDescent="0.25">
      <c r="A3980" s="2" t="s">
        <v>59</v>
      </c>
      <c r="B3980" s="2" t="s">
        <v>60</v>
      </c>
      <c r="C3980" s="2" t="s">
        <v>34035</v>
      </c>
      <c r="D3980" s="2" t="s">
        <v>34036</v>
      </c>
      <c r="E3980" s="2" t="s">
        <v>34037</v>
      </c>
      <c r="G3980" s="3" t="s">
        <v>63</v>
      </c>
      <c r="I3980" s="3" t="s">
        <v>63</v>
      </c>
      <c r="J3980" s="3" t="s">
        <v>63</v>
      </c>
      <c r="K3980" s="3" t="s">
        <v>64</v>
      </c>
      <c r="L3980" s="2" t="s">
        <v>34038</v>
      </c>
      <c r="M3980" s="2" t="s">
        <v>9716</v>
      </c>
      <c r="N3980" s="3" t="s">
        <v>143</v>
      </c>
      <c r="P3980" s="3" t="s">
        <v>90</v>
      </c>
      <c r="Q3980" s="2" t="s">
        <v>30181</v>
      </c>
      <c r="R3980" s="3" t="s">
        <v>67</v>
      </c>
      <c r="S3980" s="4">
        <v>1</v>
      </c>
      <c r="T3980" s="4">
        <v>1</v>
      </c>
      <c r="U3980" s="5" t="s">
        <v>21334</v>
      </c>
      <c r="V3980" s="5" t="s">
        <v>21334</v>
      </c>
      <c r="W3980" s="5" t="s">
        <v>69</v>
      </c>
      <c r="X3980" s="5" t="s">
        <v>69</v>
      </c>
      <c r="Y3980" s="4">
        <v>27</v>
      </c>
      <c r="Z3980" s="4">
        <v>4</v>
      </c>
      <c r="AA3980" s="4">
        <v>4</v>
      </c>
      <c r="AB3980" s="4">
        <v>1</v>
      </c>
      <c r="AC3980" s="4">
        <v>1</v>
      </c>
      <c r="AD3980" s="4">
        <v>21</v>
      </c>
      <c r="AE3980" s="4">
        <v>21</v>
      </c>
      <c r="AF3980" s="4">
        <v>0</v>
      </c>
      <c r="AG3980" s="4">
        <v>0</v>
      </c>
      <c r="AH3980" s="4">
        <v>21</v>
      </c>
      <c r="AI3980" s="4">
        <v>21</v>
      </c>
      <c r="AJ3980" s="4">
        <v>2</v>
      </c>
      <c r="AK3980" s="4">
        <v>2</v>
      </c>
      <c r="AL3980" s="4">
        <v>15</v>
      </c>
      <c r="AM3980" s="4">
        <v>15</v>
      </c>
      <c r="AN3980" s="4">
        <v>0</v>
      </c>
      <c r="AO3980" s="4">
        <v>0</v>
      </c>
      <c r="AP3980" s="4">
        <v>2</v>
      </c>
      <c r="AQ3980" s="4">
        <v>2</v>
      </c>
      <c r="AR3980" s="3" t="s">
        <v>63</v>
      </c>
      <c r="AS3980" s="3" t="s">
        <v>63</v>
      </c>
      <c r="AT3980" s="3" t="s">
        <v>63</v>
      </c>
      <c r="AV3980" s="6" t="str">
        <f>HYPERLINK("http://mcgill.on.worldcat.org/oclc/891088765","Catalog Record")</f>
        <v>Catalog Record</v>
      </c>
      <c r="AW3980" s="6" t="str">
        <f>HYPERLINK("http://www.worldcat.org/oclc/891088765","WorldCat Record")</f>
        <v>WorldCat Record</v>
      </c>
      <c r="AX3980" s="3" t="s">
        <v>34039</v>
      </c>
      <c r="AY3980" s="3" t="s">
        <v>34040</v>
      </c>
      <c r="AZ3980" s="3" t="s">
        <v>34041</v>
      </c>
      <c r="BA3980" s="3" t="s">
        <v>34041</v>
      </c>
      <c r="BB3980" s="3" t="s">
        <v>34042</v>
      </c>
      <c r="BC3980" s="3" t="s">
        <v>82</v>
      </c>
      <c r="BD3980" s="3" t="s">
        <v>70</v>
      </c>
      <c r="BE3980" s="3" t="s">
        <v>34043</v>
      </c>
      <c r="BF3980" s="3" t="s">
        <v>34042</v>
      </c>
      <c r="BG3980" s="3" t="s">
        <v>34044</v>
      </c>
    </row>
    <row r="3981" spans="1:59" ht="60" x14ac:dyDescent="0.25">
      <c r="A3981" s="2" t="s">
        <v>59</v>
      </c>
      <c r="B3981" s="2" t="s">
        <v>60</v>
      </c>
      <c r="C3981" s="2" t="s">
        <v>34045</v>
      </c>
      <c r="D3981" s="2" t="s">
        <v>34046</v>
      </c>
      <c r="E3981" s="2" t="s">
        <v>34047</v>
      </c>
      <c r="G3981" s="3" t="s">
        <v>63</v>
      </c>
      <c r="I3981" s="3" t="s">
        <v>63</v>
      </c>
      <c r="J3981" s="3" t="s">
        <v>63</v>
      </c>
      <c r="K3981" s="3" t="s">
        <v>64</v>
      </c>
      <c r="L3981" s="2" t="s">
        <v>34048</v>
      </c>
      <c r="M3981" s="2" t="s">
        <v>34049</v>
      </c>
      <c r="N3981" s="3" t="s">
        <v>161</v>
      </c>
      <c r="O3981" s="2" t="s">
        <v>5446</v>
      </c>
      <c r="P3981" s="3" t="s">
        <v>90</v>
      </c>
      <c r="Q3981" s="2" t="s">
        <v>34050</v>
      </c>
      <c r="R3981" s="3" t="s">
        <v>67</v>
      </c>
      <c r="S3981" s="4">
        <v>1</v>
      </c>
      <c r="T3981" s="4">
        <v>1</v>
      </c>
      <c r="U3981" s="5" t="s">
        <v>19517</v>
      </c>
      <c r="V3981" s="5" t="s">
        <v>19517</v>
      </c>
      <c r="W3981" s="5" t="s">
        <v>69</v>
      </c>
      <c r="X3981" s="5" t="s">
        <v>69</v>
      </c>
      <c r="Y3981" s="4">
        <v>13</v>
      </c>
      <c r="Z3981" s="4">
        <v>1</v>
      </c>
      <c r="AA3981" s="4">
        <v>4</v>
      </c>
      <c r="AB3981" s="4">
        <v>1</v>
      </c>
      <c r="AC3981" s="4">
        <v>1</v>
      </c>
      <c r="AD3981" s="4">
        <v>8</v>
      </c>
      <c r="AE3981" s="4">
        <v>24</v>
      </c>
      <c r="AF3981" s="4">
        <v>0</v>
      </c>
      <c r="AG3981" s="4">
        <v>0</v>
      </c>
      <c r="AH3981" s="4">
        <v>7</v>
      </c>
      <c r="AI3981" s="4">
        <v>22</v>
      </c>
      <c r="AJ3981" s="4">
        <v>0</v>
      </c>
      <c r="AK3981" s="4">
        <v>2</v>
      </c>
      <c r="AL3981" s="4">
        <v>6</v>
      </c>
      <c r="AM3981" s="4">
        <v>19</v>
      </c>
      <c r="AN3981" s="4">
        <v>0</v>
      </c>
      <c r="AO3981" s="4">
        <v>0</v>
      </c>
      <c r="AP3981" s="4">
        <v>0</v>
      </c>
      <c r="AQ3981" s="4">
        <v>2</v>
      </c>
      <c r="AR3981" s="3" t="s">
        <v>63</v>
      </c>
      <c r="AS3981" s="3" t="s">
        <v>63</v>
      </c>
      <c r="AT3981" s="3" t="s">
        <v>63</v>
      </c>
      <c r="AV3981" s="6" t="str">
        <f>HYPERLINK("http://mcgill.on.worldcat.org/oclc/23805907","Catalog Record")</f>
        <v>Catalog Record</v>
      </c>
      <c r="AW3981" s="6" t="str">
        <f>HYPERLINK("http://www.worldcat.org/oclc/23805907","WorldCat Record")</f>
        <v>WorldCat Record</v>
      </c>
      <c r="AX3981" s="3" t="s">
        <v>34051</v>
      </c>
      <c r="AY3981" s="3" t="s">
        <v>34052</v>
      </c>
      <c r="AZ3981" s="3" t="s">
        <v>34053</v>
      </c>
      <c r="BA3981" s="3" t="s">
        <v>34053</v>
      </c>
      <c r="BB3981" s="3" t="s">
        <v>34054</v>
      </c>
      <c r="BC3981" s="3" t="s">
        <v>82</v>
      </c>
      <c r="BD3981" s="3" t="s">
        <v>70</v>
      </c>
      <c r="BF3981" s="3" t="s">
        <v>34054</v>
      </c>
      <c r="BG3981" s="3" t="s">
        <v>34055</v>
      </c>
    </row>
    <row r="3982" spans="1:59" ht="60" x14ac:dyDescent="0.25">
      <c r="A3982" s="2" t="s">
        <v>59</v>
      </c>
      <c r="B3982" s="2" t="s">
        <v>60</v>
      </c>
      <c r="C3982" s="2" t="s">
        <v>34056</v>
      </c>
      <c r="D3982" s="2" t="s">
        <v>34057</v>
      </c>
      <c r="E3982" s="2" t="s">
        <v>34058</v>
      </c>
      <c r="G3982" s="3" t="s">
        <v>63</v>
      </c>
      <c r="I3982" s="3" t="s">
        <v>63</v>
      </c>
      <c r="J3982" s="3" t="s">
        <v>63</v>
      </c>
      <c r="K3982" s="3" t="s">
        <v>64</v>
      </c>
      <c r="L3982" s="2" t="s">
        <v>34059</v>
      </c>
      <c r="M3982" s="2" t="s">
        <v>34060</v>
      </c>
      <c r="N3982" s="3" t="s">
        <v>2765</v>
      </c>
      <c r="P3982" s="3" t="s">
        <v>90</v>
      </c>
      <c r="Q3982" s="2" t="s">
        <v>6422</v>
      </c>
      <c r="R3982" s="3" t="s">
        <v>67</v>
      </c>
      <c r="S3982" s="4">
        <v>1</v>
      </c>
      <c r="T3982" s="4">
        <v>1</v>
      </c>
      <c r="U3982" s="5" t="s">
        <v>29654</v>
      </c>
      <c r="V3982" s="5" t="s">
        <v>29654</v>
      </c>
      <c r="W3982" s="5" t="s">
        <v>69</v>
      </c>
      <c r="X3982" s="5" t="s">
        <v>69</v>
      </c>
      <c r="Y3982" s="4">
        <v>15</v>
      </c>
      <c r="Z3982" s="4">
        <v>3</v>
      </c>
      <c r="AA3982" s="4">
        <v>3</v>
      </c>
      <c r="AB3982" s="4">
        <v>1</v>
      </c>
      <c r="AC3982" s="4">
        <v>1</v>
      </c>
      <c r="AD3982" s="4">
        <v>11</v>
      </c>
      <c r="AE3982" s="4">
        <v>19</v>
      </c>
      <c r="AF3982" s="4">
        <v>0</v>
      </c>
      <c r="AG3982" s="4">
        <v>0</v>
      </c>
      <c r="AH3982" s="4">
        <v>11</v>
      </c>
      <c r="AI3982" s="4">
        <v>19</v>
      </c>
      <c r="AJ3982" s="4">
        <v>1</v>
      </c>
      <c r="AK3982" s="4">
        <v>1</v>
      </c>
      <c r="AL3982" s="4">
        <v>10</v>
      </c>
      <c r="AM3982" s="4">
        <v>16</v>
      </c>
      <c r="AN3982" s="4">
        <v>0</v>
      </c>
      <c r="AO3982" s="4">
        <v>0</v>
      </c>
      <c r="AP3982" s="4">
        <v>1</v>
      </c>
      <c r="AQ3982" s="4">
        <v>1</v>
      </c>
      <c r="AR3982" s="3" t="s">
        <v>63</v>
      </c>
      <c r="AS3982" s="3" t="s">
        <v>63</v>
      </c>
      <c r="AT3982" s="3" t="s">
        <v>63</v>
      </c>
      <c r="AV3982" s="6" t="str">
        <f>HYPERLINK("http://mcgill.on.worldcat.org/oclc/962417512","Catalog Record")</f>
        <v>Catalog Record</v>
      </c>
      <c r="AW3982" s="6" t="str">
        <f>HYPERLINK("http://www.worldcat.org/oclc/962417512","WorldCat Record")</f>
        <v>WorldCat Record</v>
      </c>
      <c r="AX3982" s="3" t="s">
        <v>34061</v>
      </c>
      <c r="AY3982" s="3" t="s">
        <v>34062</v>
      </c>
      <c r="AZ3982" s="3" t="s">
        <v>34063</v>
      </c>
      <c r="BA3982" s="3" t="s">
        <v>34063</v>
      </c>
      <c r="BB3982" s="3" t="s">
        <v>34064</v>
      </c>
      <c r="BC3982" s="3" t="s">
        <v>82</v>
      </c>
      <c r="BD3982" s="3" t="s">
        <v>70</v>
      </c>
      <c r="BE3982" s="3" t="s">
        <v>34065</v>
      </c>
      <c r="BF3982" s="3" t="s">
        <v>34064</v>
      </c>
      <c r="BG3982" s="3" t="s">
        <v>34066</v>
      </c>
    </row>
    <row r="3983" spans="1:59" ht="60" x14ac:dyDescent="0.25">
      <c r="A3983" s="2" t="s">
        <v>59</v>
      </c>
      <c r="B3983" s="2" t="s">
        <v>60</v>
      </c>
      <c r="C3983" s="2" t="s">
        <v>34067</v>
      </c>
      <c r="D3983" s="2" t="s">
        <v>34068</v>
      </c>
      <c r="E3983" s="2" t="s">
        <v>34069</v>
      </c>
      <c r="G3983" s="3" t="s">
        <v>63</v>
      </c>
      <c r="I3983" s="3" t="s">
        <v>63</v>
      </c>
      <c r="J3983" s="3" t="s">
        <v>63</v>
      </c>
      <c r="K3983" s="3" t="s">
        <v>64</v>
      </c>
      <c r="L3983" s="2" t="s">
        <v>34070</v>
      </c>
      <c r="M3983" s="2" t="s">
        <v>30137</v>
      </c>
      <c r="N3983" s="3" t="s">
        <v>143</v>
      </c>
      <c r="P3983" s="3" t="s">
        <v>90</v>
      </c>
      <c r="R3983" s="3" t="s">
        <v>67</v>
      </c>
      <c r="S3983" s="4">
        <v>4</v>
      </c>
      <c r="T3983" s="4">
        <v>4</v>
      </c>
      <c r="U3983" s="5" t="s">
        <v>4911</v>
      </c>
      <c r="V3983" s="5" t="s">
        <v>4911</v>
      </c>
      <c r="W3983" s="5" t="s">
        <v>69</v>
      </c>
      <c r="X3983" s="5" t="s">
        <v>69</v>
      </c>
      <c r="Y3983" s="4">
        <v>33</v>
      </c>
      <c r="Z3983" s="4">
        <v>3</v>
      </c>
      <c r="AA3983" s="4">
        <v>4</v>
      </c>
      <c r="AB3983" s="4">
        <v>1</v>
      </c>
      <c r="AC3983" s="4">
        <v>1</v>
      </c>
      <c r="AD3983" s="4">
        <v>12</v>
      </c>
      <c r="AE3983" s="4">
        <v>13</v>
      </c>
      <c r="AF3983" s="4">
        <v>0</v>
      </c>
      <c r="AG3983" s="4">
        <v>0</v>
      </c>
      <c r="AH3983" s="4">
        <v>11</v>
      </c>
      <c r="AI3983" s="4">
        <v>12</v>
      </c>
      <c r="AJ3983" s="4">
        <v>0</v>
      </c>
      <c r="AK3983" s="4">
        <v>1</v>
      </c>
      <c r="AL3983" s="4">
        <v>8</v>
      </c>
      <c r="AM3983" s="4">
        <v>8</v>
      </c>
      <c r="AN3983" s="4">
        <v>0</v>
      </c>
      <c r="AO3983" s="4">
        <v>0</v>
      </c>
      <c r="AP3983" s="4">
        <v>0</v>
      </c>
      <c r="AQ3983" s="4">
        <v>1</v>
      </c>
      <c r="AR3983" s="3" t="s">
        <v>63</v>
      </c>
      <c r="AS3983" s="3" t="s">
        <v>63</v>
      </c>
      <c r="AT3983" s="3" t="s">
        <v>63</v>
      </c>
      <c r="AV3983" s="6" t="str">
        <f>HYPERLINK("http://mcgill.on.worldcat.org/oclc/876296811","Catalog Record")</f>
        <v>Catalog Record</v>
      </c>
      <c r="AW3983" s="6" t="str">
        <f>HYPERLINK("http://www.worldcat.org/oclc/876296811","WorldCat Record")</f>
        <v>WorldCat Record</v>
      </c>
      <c r="AX3983" s="3" t="s">
        <v>34071</v>
      </c>
      <c r="AY3983" s="3" t="s">
        <v>34072</v>
      </c>
      <c r="AZ3983" s="3" t="s">
        <v>34073</v>
      </c>
      <c r="BA3983" s="3" t="s">
        <v>34073</v>
      </c>
      <c r="BB3983" s="3" t="s">
        <v>34074</v>
      </c>
      <c r="BC3983" s="3" t="s">
        <v>82</v>
      </c>
      <c r="BD3983" s="3" t="s">
        <v>538</v>
      </c>
      <c r="BE3983" s="3" t="s">
        <v>34075</v>
      </c>
      <c r="BF3983" s="3" t="s">
        <v>34074</v>
      </c>
      <c r="BG3983" s="3" t="s">
        <v>34076</v>
      </c>
    </row>
    <row r="3984" spans="1:59" ht="60" x14ac:dyDescent="0.25">
      <c r="A3984" s="2" t="s">
        <v>59</v>
      </c>
      <c r="B3984" s="2" t="s">
        <v>60</v>
      </c>
      <c r="C3984" s="2" t="s">
        <v>34077</v>
      </c>
      <c r="D3984" s="2" t="s">
        <v>34078</v>
      </c>
      <c r="E3984" s="2" t="s">
        <v>34079</v>
      </c>
      <c r="G3984" s="3" t="s">
        <v>63</v>
      </c>
      <c r="I3984" s="3" t="s">
        <v>63</v>
      </c>
      <c r="J3984" s="3" t="s">
        <v>63</v>
      </c>
      <c r="K3984" s="3" t="s">
        <v>64</v>
      </c>
      <c r="L3984" s="2" t="s">
        <v>34080</v>
      </c>
      <c r="M3984" s="2" t="s">
        <v>34081</v>
      </c>
      <c r="N3984" s="3" t="s">
        <v>143</v>
      </c>
      <c r="P3984" s="3" t="s">
        <v>90</v>
      </c>
      <c r="R3984" s="3" t="s">
        <v>67</v>
      </c>
      <c r="S3984" s="4">
        <v>1</v>
      </c>
      <c r="T3984" s="4">
        <v>1</v>
      </c>
      <c r="U3984" s="5" t="s">
        <v>15042</v>
      </c>
      <c r="V3984" s="5" t="s">
        <v>15042</v>
      </c>
      <c r="W3984" s="5" t="s">
        <v>69</v>
      </c>
      <c r="X3984" s="5" t="s">
        <v>69</v>
      </c>
      <c r="Y3984" s="4">
        <v>20</v>
      </c>
      <c r="Z3984" s="4">
        <v>3</v>
      </c>
      <c r="AA3984" s="4">
        <v>3</v>
      </c>
      <c r="AB3984" s="4">
        <v>1</v>
      </c>
      <c r="AC3984" s="4">
        <v>1</v>
      </c>
      <c r="AD3984" s="4">
        <v>7</v>
      </c>
      <c r="AE3984" s="4">
        <v>13</v>
      </c>
      <c r="AF3984" s="4">
        <v>0</v>
      </c>
      <c r="AG3984" s="4">
        <v>0</v>
      </c>
      <c r="AH3984" s="4">
        <v>7</v>
      </c>
      <c r="AI3984" s="4">
        <v>13</v>
      </c>
      <c r="AJ3984" s="4">
        <v>0</v>
      </c>
      <c r="AK3984" s="4">
        <v>0</v>
      </c>
      <c r="AL3984" s="4">
        <v>4</v>
      </c>
      <c r="AM3984" s="4">
        <v>8</v>
      </c>
      <c r="AN3984" s="4">
        <v>0</v>
      </c>
      <c r="AO3984" s="4">
        <v>0</v>
      </c>
      <c r="AP3984" s="4">
        <v>0</v>
      </c>
      <c r="AQ3984" s="4">
        <v>0</v>
      </c>
      <c r="AR3984" s="3" t="s">
        <v>63</v>
      </c>
      <c r="AS3984" s="3" t="s">
        <v>63</v>
      </c>
      <c r="AT3984" s="3" t="s">
        <v>63</v>
      </c>
      <c r="AV3984" s="6" t="str">
        <f>HYPERLINK("http://mcgill.on.worldcat.org/oclc/768248084","Catalog Record")</f>
        <v>Catalog Record</v>
      </c>
      <c r="AW3984" s="6" t="str">
        <f>HYPERLINK("http://www.worldcat.org/oclc/768248084","WorldCat Record")</f>
        <v>WorldCat Record</v>
      </c>
      <c r="AX3984" s="3" t="s">
        <v>34082</v>
      </c>
      <c r="AY3984" s="3" t="s">
        <v>34083</v>
      </c>
      <c r="AZ3984" s="3" t="s">
        <v>34084</v>
      </c>
      <c r="BA3984" s="3" t="s">
        <v>34084</v>
      </c>
      <c r="BB3984" s="3" t="s">
        <v>34085</v>
      </c>
      <c r="BC3984" s="3" t="s">
        <v>82</v>
      </c>
      <c r="BD3984" s="3" t="s">
        <v>70</v>
      </c>
      <c r="BE3984" s="3" t="s">
        <v>34086</v>
      </c>
      <c r="BF3984" s="3" t="s">
        <v>34085</v>
      </c>
      <c r="BG3984" s="3" t="s">
        <v>34087</v>
      </c>
    </row>
    <row r="3985" spans="1:59" ht="60" x14ac:dyDescent="0.25">
      <c r="A3985" s="2" t="s">
        <v>59</v>
      </c>
      <c r="B3985" s="2" t="s">
        <v>60</v>
      </c>
      <c r="C3985" s="2" t="s">
        <v>34088</v>
      </c>
      <c r="D3985" s="2" t="s">
        <v>34089</v>
      </c>
      <c r="E3985" s="2" t="s">
        <v>34090</v>
      </c>
      <c r="G3985" s="3" t="s">
        <v>63</v>
      </c>
      <c r="I3985" s="3" t="s">
        <v>63</v>
      </c>
      <c r="J3985" s="3" t="s">
        <v>63</v>
      </c>
      <c r="K3985" s="3" t="s">
        <v>64</v>
      </c>
      <c r="L3985" s="2" t="s">
        <v>34070</v>
      </c>
      <c r="M3985" s="2" t="s">
        <v>34091</v>
      </c>
      <c r="N3985" s="3" t="s">
        <v>106</v>
      </c>
      <c r="P3985" s="3" t="s">
        <v>90</v>
      </c>
      <c r="R3985" s="3" t="s">
        <v>67</v>
      </c>
      <c r="S3985" s="4">
        <v>0</v>
      </c>
      <c r="T3985" s="4">
        <v>0</v>
      </c>
      <c r="W3985" s="5" t="s">
        <v>69</v>
      </c>
      <c r="X3985" s="5" t="s">
        <v>69</v>
      </c>
      <c r="Y3985" s="4">
        <v>53</v>
      </c>
      <c r="Z3985" s="4">
        <v>4</v>
      </c>
      <c r="AA3985" s="4">
        <v>4</v>
      </c>
      <c r="AB3985" s="4">
        <v>1</v>
      </c>
      <c r="AC3985" s="4">
        <v>1</v>
      </c>
      <c r="AD3985" s="4">
        <v>29</v>
      </c>
      <c r="AE3985" s="4">
        <v>29</v>
      </c>
      <c r="AF3985" s="4">
        <v>0</v>
      </c>
      <c r="AG3985" s="4">
        <v>0</v>
      </c>
      <c r="AH3985" s="4">
        <v>28</v>
      </c>
      <c r="AI3985" s="4">
        <v>28</v>
      </c>
      <c r="AJ3985" s="4">
        <v>1</v>
      </c>
      <c r="AK3985" s="4">
        <v>1</v>
      </c>
      <c r="AL3985" s="4">
        <v>21</v>
      </c>
      <c r="AM3985" s="4">
        <v>21</v>
      </c>
      <c r="AN3985" s="4">
        <v>0</v>
      </c>
      <c r="AO3985" s="4">
        <v>0</v>
      </c>
      <c r="AP3985" s="4">
        <v>1</v>
      </c>
      <c r="AQ3985" s="4">
        <v>1</v>
      </c>
      <c r="AR3985" s="3" t="s">
        <v>63</v>
      </c>
      <c r="AS3985" s="3" t="s">
        <v>63</v>
      </c>
      <c r="AT3985" s="3" t="s">
        <v>63</v>
      </c>
      <c r="AV3985" s="6" t="str">
        <f>HYPERLINK("http://mcgill.on.worldcat.org/oclc/956451716","Catalog Record")</f>
        <v>Catalog Record</v>
      </c>
      <c r="AW3985" s="6" t="str">
        <f>HYPERLINK("http://www.worldcat.org/oclc/956451716","WorldCat Record")</f>
        <v>WorldCat Record</v>
      </c>
      <c r="AX3985" s="3" t="s">
        <v>34092</v>
      </c>
      <c r="AY3985" s="3" t="s">
        <v>34093</v>
      </c>
      <c r="AZ3985" s="3" t="s">
        <v>34094</v>
      </c>
      <c r="BA3985" s="3" t="s">
        <v>34094</v>
      </c>
      <c r="BB3985" s="3" t="s">
        <v>34095</v>
      </c>
      <c r="BC3985" s="3" t="s">
        <v>82</v>
      </c>
      <c r="BD3985" s="3" t="s">
        <v>70</v>
      </c>
      <c r="BE3985" s="3" t="s">
        <v>34096</v>
      </c>
      <c r="BF3985" s="3" t="s">
        <v>34095</v>
      </c>
      <c r="BG3985" s="3" t="s">
        <v>34097</v>
      </c>
    </row>
    <row r="3986" spans="1:59" ht="60" x14ac:dyDescent="0.25">
      <c r="A3986" s="2" t="s">
        <v>59</v>
      </c>
      <c r="B3986" s="2" t="s">
        <v>60</v>
      </c>
      <c r="C3986" s="2" t="s">
        <v>34098</v>
      </c>
      <c r="D3986" s="2" t="s">
        <v>34099</v>
      </c>
      <c r="E3986" s="2" t="s">
        <v>34100</v>
      </c>
      <c r="G3986" s="3" t="s">
        <v>63</v>
      </c>
      <c r="I3986" s="3" t="s">
        <v>63</v>
      </c>
      <c r="J3986" s="3" t="s">
        <v>63</v>
      </c>
      <c r="K3986" s="3" t="s">
        <v>64</v>
      </c>
      <c r="L3986" s="2" t="s">
        <v>34101</v>
      </c>
      <c r="M3986" s="2" t="s">
        <v>34102</v>
      </c>
      <c r="N3986" s="3" t="s">
        <v>76</v>
      </c>
      <c r="P3986" s="3" t="s">
        <v>90</v>
      </c>
      <c r="R3986" s="3" t="s">
        <v>67</v>
      </c>
      <c r="S3986" s="4">
        <v>4</v>
      </c>
      <c r="T3986" s="4">
        <v>4</v>
      </c>
      <c r="U3986" s="5" t="s">
        <v>32705</v>
      </c>
      <c r="V3986" s="5" t="s">
        <v>32705</v>
      </c>
      <c r="W3986" s="5" t="s">
        <v>69</v>
      </c>
      <c r="X3986" s="5" t="s">
        <v>69</v>
      </c>
      <c r="Y3986" s="4">
        <v>5</v>
      </c>
      <c r="Z3986" s="4">
        <v>3</v>
      </c>
      <c r="AA3986" s="4">
        <v>3</v>
      </c>
      <c r="AB3986" s="4">
        <v>1</v>
      </c>
      <c r="AC3986" s="4">
        <v>1</v>
      </c>
      <c r="AD3986" s="4">
        <v>3</v>
      </c>
      <c r="AE3986" s="4">
        <v>3</v>
      </c>
      <c r="AF3986" s="4">
        <v>0</v>
      </c>
      <c r="AG3986" s="4">
        <v>0</v>
      </c>
      <c r="AH3986" s="4">
        <v>3</v>
      </c>
      <c r="AI3986" s="4">
        <v>3</v>
      </c>
      <c r="AJ3986" s="4">
        <v>1</v>
      </c>
      <c r="AK3986" s="4">
        <v>1</v>
      </c>
      <c r="AL3986" s="4">
        <v>3</v>
      </c>
      <c r="AM3986" s="4">
        <v>3</v>
      </c>
      <c r="AN3986" s="4">
        <v>0</v>
      </c>
      <c r="AO3986" s="4">
        <v>0</v>
      </c>
      <c r="AP3986" s="4">
        <v>1</v>
      </c>
      <c r="AQ3986" s="4">
        <v>1</v>
      </c>
      <c r="AR3986" s="3" t="s">
        <v>63</v>
      </c>
      <c r="AS3986" s="3" t="s">
        <v>63</v>
      </c>
      <c r="AT3986" s="3" t="s">
        <v>63</v>
      </c>
      <c r="AV3986" s="6" t="str">
        <f>HYPERLINK("http://mcgill.on.worldcat.org/oclc/813222667","Catalog Record")</f>
        <v>Catalog Record</v>
      </c>
      <c r="AW3986" s="6" t="str">
        <f>HYPERLINK("http://www.worldcat.org/oclc/813222667","WorldCat Record")</f>
        <v>WorldCat Record</v>
      </c>
      <c r="AX3986" s="3" t="s">
        <v>34103</v>
      </c>
      <c r="AY3986" s="3" t="s">
        <v>34104</v>
      </c>
      <c r="AZ3986" s="3" t="s">
        <v>34105</v>
      </c>
      <c r="BA3986" s="3" t="s">
        <v>34105</v>
      </c>
      <c r="BB3986" s="3" t="s">
        <v>34106</v>
      </c>
      <c r="BC3986" s="3" t="s">
        <v>82</v>
      </c>
      <c r="BD3986" s="3" t="s">
        <v>70</v>
      </c>
      <c r="BE3986" s="3" t="s">
        <v>34107</v>
      </c>
      <c r="BF3986" s="3" t="s">
        <v>34106</v>
      </c>
      <c r="BG3986" s="3" t="s">
        <v>34108</v>
      </c>
    </row>
    <row r="3987" spans="1:59" ht="75" x14ac:dyDescent="0.25">
      <c r="A3987" s="2" t="s">
        <v>59</v>
      </c>
      <c r="B3987" s="2" t="s">
        <v>60</v>
      </c>
      <c r="C3987" s="2" t="s">
        <v>34109</v>
      </c>
      <c r="D3987" s="2" t="s">
        <v>34110</v>
      </c>
      <c r="E3987" s="2" t="s">
        <v>34111</v>
      </c>
      <c r="G3987" s="3" t="s">
        <v>63</v>
      </c>
      <c r="I3987" s="3" t="s">
        <v>63</v>
      </c>
      <c r="J3987" s="3" t="s">
        <v>63</v>
      </c>
      <c r="K3987" s="3" t="s">
        <v>64</v>
      </c>
      <c r="L3987" s="2" t="s">
        <v>34112</v>
      </c>
      <c r="M3987" s="2" t="s">
        <v>34113</v>
      </c>
      <c r="N3987" s="3" t="s">
        <v>1752</v>
      </c>
      <c r="P3987" s="3" t="s">
        <v>90</v>
      </c>
      <c r="Q3987" s="2" t="s">
        <v>31592</v>
      </c>
      <c r="R3987" s="3" t="s">
        <v>67</v>
      </c>
      <c r="S3987" s="4">
        <v>1</v>
      </c>
      <c r="T3987" s="4">
        <v>1</v>
      </c>
      <c r="U3987" s="5" t="s">
        <v>13807</v>
      </c>
      <c r="V3987" s="5" t="s">
        <v>13807</v>
      </c>
      <c r="W3987" s="5" t="s">
        <v>9728</v>
      </c>
      <c r="X3987" s="5" t="s">
        <v>9728</v>
      </c>
      <c r="Y3987" s="4">
        <v>9</v>
      </c>
      <c r="Z3987" s="4">
        <v>1</v>
      </c>
      <c r="AA3987" s="4">
        <v>2</v>
      </c>
      <c r="AB3987" s="4">
        <v>1</v>
      </c>
      <c r="AC3987" s="4">
        <v>1</v>
      </c>
      <c r="AD3987" s="4">
        <v>6</v>
      </c>
      <c r="AE3987" s="4">
        <v>24</v>
      </c>
      <c r="AF3987" s="4">
        <v>0</v>
      </c>
      <c r="AG3987" s="4">
        <v>0</v>
      </c>
      <c r="AH3987" s="4">
        <v>6</v>
      </c>
      <c r="AI3987" s="4">
        <v>23</v>
      </c>
      <c r="AJ3987" s="4">
        <v>0</v>
      </c>
      <c r="AK3987" s="4">
        <v>1</v>
      </c>
      <c r="AL3987" s="4">
        <v>5</v>
      </c>
      <c r="AM3987" s="4">
        <v>17</v>
      </c>
      <c r="AN3987" s="4">
        <v>0</v>
      </c>
      <c r="AO3987" s="4">
        <v>0</v>
      </c>
      <c r="AP3987" s="4">
        <v>0</v>
      </c>
      <c r="AQ3987" s="4">
        <v>1</v>
      </c>
      <c r="AR3987" s="3" t="s">
        <v>63</v>
      </c>
      <c r="AS3987" s="3" t="s">
        <v>63</v>
      </c>
      <c r="AT3987" s="3" t="s">
        <v>63</v>
      </c>
      <c r="AV3987" s="6" t="str">
        <f>HYPERLINK("http://mcgill.on.worldcat.org/oclc/1084655533","Catalog Record")</f>
        <v>Catalog Record</v>
      </c>
      <c r="AW3987" s="6" t="str">
        <f>HYPERLINK("http://www.worldcat.org/oclc/1084655533","WorldCat Record")</f>
        <v>WorldCat Record</v>
      </c>
      <c r="AX3987" s="3" t="s">
        <v>34114</v>
      </c>
      <c r="AY3987" s="3" t="s">
        <v>34115</v>
      </c>
      <c r="AZ3987" s="3" t="s">
        <v>34116</v>
      </c>
      <c r="BA3987" s="3" t="s">
        <v>34116</v>
      </c>
      <c r="BB3987" s="3" t="s">
        <v>34117</v>
      </c>
      <c r="BC3987" s="3" t="s">
        <v>82</v>
      </c>
      <c r="BD3987" s="3" t="s">
        <v>70</v>
      </c>
      <c r="BE3987" s="3" t="s">
        <v>34118</v>
      </c>
      <c r="BF3987" s="3" t="s">
        <v>34117</v>
      </c>
      <c r="BG3987" s="3" t="s">
        <v>34119</v>
      </c>
    </row>
    <row r="3988" spans="1:59" ht="60" x14ac:dyDescent="0.25">
      <c r="A3988" s="2" t="s">
        <v>59</v>
      </c>
      <c r="B3988" s="2" t="s">
        <v>60</v>
      </c>
      <c r="C3988" s="2" t="s">
        <v>34120</v>
      </c>
      <c r="D3988" s="2" t="s">
        <v>34121</v>
      </c>
      <c r="E3988" s="2" t="s">
        <v>34122</v>
      </c>
      <c r="G3988" s="3" t="s">
        <v>63</v>
      </c>
      <c r="I3988" s="3" t="s">
        <v>63</v>
      </c>
      <c r="J3988" s="3" t="s">
        <v>63</v>
      </c>
      <c r="K3988" s="3" t="s">
        <v>64</v>
      </c>
      <c r="L3988" s="2" t="s">
        <v>34123</v>
      </c>
      <c r="M3988" s="2" t="s">
        <v>34124</v>
      </c>
      <c r="N3988" s="3" t="s">
        <v>106</v>
      </c>
      <c r="P3988" s="3" t="s">
        <v>90</v>
      </c>
      <c r="R3988" s="3" t="s">
        <v>67</v>
      </c>
      <c r="S3988" s="4">
        <v>1</v>
      </c>
      <c r="T3988" s="4">
        <v>1</v>
      </c>
      <c r="U3988" s="5" t="s">
        <v>7212</v>
      </c>
      <c r="V3988" s="5" t="s">
        <v>7212</v>
      </c>
      <c r="W3988" s="5" t="s">
        <v>69</v>
      </c>
      <c r="X3988" s="5" t="s">
        <v>69</v>
      </c>
      <c r="Y3988" s="4">
        <v>16</v>
      </c>
      <c r="Z3988" s="4">
        <v>1</v>
      </c>
      <c r="AA3988" s="4">
        <v>1</v>
      </c>
      <c r="AB3988" s="4">
        <v>1</v>
      </c>
      <c r="AC3988" s="4">
        <v>1</v>
      </c>
      <c r="AD3988" s="4">
        <v>12</v>
      </c>
      <c r="AE3988" s="4">
        <v>12</v>
      </c>
      <c r="AF3988" s="4">
        <v>0</v>
      </c>
      <c r="AG3988" s="4">
        <v>0</v>
      </c>
      <c r="AH3988" s="4">
        <v>12</v>
      </c>
      <c r="AI3988" s="4">
        <v>12</v>
      </c>
      <c r="AJ3988" s="4">
        <v>0</v>
      </c>
      <c r="AK3988" s="4">
        <v>0</v>
      </c>
      <c r="AL3988" s="4">
        <v>8</v>
      </c>
      <c r="AM3988" s="4">
        <v>8</v>
      </c>
      <c r="AN3988" s="4">
        <v>0</v>
      </c>
      <c r="AO3988" s="4">
        <v>0</v>
      </c>
      <c r="AP3988" s="4">
        <v>0</v>
      </c>
      <c r="AQ3988" s="4">
        <v>0</v>
      </c>
      <c r="AR3988" s="3" t="s">
        <v>63</v>
      </c>
      <c r="AS3988" s="3" t="s">
        <v>63</v>
      </c>
      <c r="AT3988" s="3" t="s">
        <v>63</v>
      </c>
      <c r="AV3988" s="6" t="str">
        <f>HYPERLINK("http://mcgill.on.worldcat.org/oclc/950969727","Catalog Record")</f>
        <v>Catalog Record</v>
      </c>
      <c r="AW3988" s="6" t="str">
        <f>HYPERLINK("http://www.worldcat.org/oclc/950969727","WorldCat Record")</f>
        <v>WorldCat Record</v>
      </c>
      <c r="AX3988" s="3" t="s">
        <v>34125</v>
      </c>
      <c r="AY3988" s="3" t="s">
        <v>34126</v>
      </c>
      <c r="AZ3988" s="3" t="s">
        <v>34127</v>
      </c>
      <c r="BA3988" s="3" t="s">
        <v>34127</v>
      </c>
      <c r="BB3988" s="3" t="s">
        <v>34128</v>
      </c>
      <c r="BC3988" s="3" t="s">
        <v>82</v>
      </c>
      <c r="BD3988" s="3" t="s">
        <v>70</v>
      </c>
      <c r="BE3988" s="3" t="s">
        <v>34129</v>
      </c>
      <c r="BF3988" s="3" t="s">
        <v>34128</v>
      </c>
      <c r="BG3988" s="3" t="s">
        <v>34130</v>
      </c>
    </row>
    <row r="3989" spans="1:59" ht="75" x14ac:dyDescent="0.25">
      <c r="A3989" s="2" t="s">
        <v>59</v>
      </c>
      <c r="B3989" s="2" t="s">
        <v>60</v>
      </c>
      <c r="C3989" s="2" t="s">
        <v>34131</v>
      </c>
      <c r="D3989" s="2" t="s">
        <v>34132</v>
      </c>
      <c r="E3989" s="2" t="s">
        <v>34133</v>
      </c>
      <c r="G3989" s="3" t="s">
        <v>63</v>
      </c>
      <c r="I3989" s="3" t="s">
        <v>63</v>
      </c>
      <c r="J3989" s="3" t="s">
        <v>63</v>
      </c>
      <c r="K3989" s="3" t="s">
        <v>64</v>
      </c>
      <c r="L3989" s="2" t="s">
        <v>34134</v>
      </c>
      <c r="M3989" s="2" t="s">
        <v>34135</v>
      </c>
      <c r="N3989" s="3" t="s">
        <v>130</v>
      </c>
      <c r="P3989" s="3" t="s">
        <v>66</v>
      </c>
      <c r="Q3989" s="2" t="s">
        <v>34136</v>
      </c>
      <c r="R3989" s="3" t="s">
        <v>67</v>
      </c>
      <c r="S3989" s="4">
        <v>0</v>
      </c>
      <c r="T3989" s="4">
        <v>0</v>
      </c>
      <c r="W3989" s="5" t="s">
        <v>69</v>
      </c>
      <c r="X3989" s="5" t="s">
        <v>69</v>
      </c>
      <c r="Y3989" s="4">
        <v>64</v>
      </c>
      <c r="Z3989" s="4">
        <v>5</v>
      </c>
      <c r="AA3989" s="4">
        <v>11</v>
      </c>
      <c r="AB3989" s="4">
        <v>1</v>
      </c>
      <c r="AC3989" s="4">
        <v>1</v>
      </c>
      <c r="AD3989" s="4">
        <v>38</v>
      </c>
      <c r="AE3989" s="4">
        <v>58</v>
      </c>
      <c r="AF3989" s="4">
        <v>0</v>
      </c>
      <c r="AG3989" s="4">
        <v>0</v>
      </c>
      <c r="AH3989" s="4">
        <v>37</v>
      </c>
      <c r="AI3989" s="4">
        <v>55</v>
      </c>
      <c r="AJ3989" s="4">
        <v>2</v>
      </c>
      <c r="AK3989" s="4">
        <v>7</v>
      </c>
      <c r="AL3989" s="4">
        <v>27</v>
      </c>
      <c r="AM3989" s="4">
        <v>38</v>
      </c>
      <c r="AN3989" s="4">
        <v>0</v>
      </c>
      <c r="AO3989" s="4">
        <v>0</v>
      </c>
      <c r="AP3989" s="4">
        <v>2</v>
      </c>
      <c r="AQ3989" s="4">
        <v>7</v>
      </c>
      <c r="AR3989" s="3" t="s">
        <v>63</v>
      </c>
      <c r="AS3989" s="3" t="s">
        <v>63</v>
      </c>
      <c r="AT3989" s="3" t="s">
        <v>63</v>
      </c>
      <c r="AV3989" s="6" t="str">
        <f>HYPERLINK("http://mcgill.on.worldcat.org/oclc/870971666","Catalog Record")</f>
        <v>Catalog Record</v>
      </c>
      <c r="AW3989" s="6" t="str">
        <f>HYPERLINK("http://www.worldcat.org/oclc/870971666","WorldCat Record")</f>
        <v>WorldCat Record</v>
      </c>
      <c r="AX3989" s="3" t="s">
        <v>34137</v>
      </c>
      <c r="AY3989" s="3" t="s">
        <v>34138</v>
      </c>
      <c r="AZ3989" s="3" t="s">
        <v>34139</v>
      </c>
      <c r="BA3989" s="3" t="s">
        <v>34139</v>
      </c>
      <c r="BB3989" s="3" t="s">
        <v>34140</v>
      </c>
      <c r="BC3989" s="3" t="s">
        <v>82</v>
      </c>
      <c r="BD3989" s="3" t="s">
        <v>70</v>
      </c>
      <c r="BE3989" s="3" t="s">
        <v>34141</v>
      </c>
      <c r="BF3989" s="3" t="s">
        <v>34140</v>
      </c>
      <c r="BG3989" s="3" t="s">
        <v>34142</v>
      </c>
    </row>
    <row r="3990" spans="1:59" ht="75" x14ac:dyDescent="0.25">
      <c r="A3990" s="2" t="s">
        <v>59</v>
      </c>
      <c r="B3990" s="2" t="s">
        <v>60</v>
      </c>
      <c r="C3990" s="2" t="s">
        <v>34143</v>
      </c>
      <c r="D3990" s="2" t="s">
        <v>34144</v>
      </c>
      <c r="E3990" s="2" t="s">
        <v>34145</v>
      </c>
      <c r="G3990" s="3" t="s">
        <v>63</v>
      </c>
      <c r="I3990" s="3" t="s">
        <v>63</v>
      </c>
      <c r="J3990" s="3" t="s">
        <v>63</v>
      </c>
      <c r="K3990" s="3" t="s">
        <v>64</v>
      </c>
      <c r="L3990" s="2" t="s">
        <v>34146</v>
      </c>
      <c r="M3990" s="2" t="s">
        <v>34147</v>
      </c>
      <c r="N3990" s="3" t="s">
        <v>76</v>
      </c>
      <c r="P3990" s="3" t="s">
        <v>90</v>
      </c>
      <c r="R3990" s="3" t="s">
        <v>67</v>
      </c>
      <c r="S3990" s="4">
        <v>2</v>
      </c>
      <c r="T3990" s="4">
        <v>2</v>
      </c>
      <c r="U3990" s="5" t="s">
        <v>33813</v>
      </c>
      <c r="V3990" s="5" t="s">
        <v>33813</v>
      </c>
      <c r="W3990" s="5" t="s">
        <v>69</v>
      </c>
      <c r="X3990" s="5" t="s">
        <v>69</v>
      </c>
      <c r="Y3990" s="4">
        <v>5</v>
      </c>
      <c r="Z3990" s="4">
        <v>3</v>
      </c>
      <c r="AA3990" s="4">
        <v>3</v>
      </c>
      <c r="AB3990" s="4">
        <v>1</v>
      </c>
      <c r="AC3990" s="4">
        <v>1</v>
      </c>
      <c r="AD3990" s="4">
        <v>2</v>
      </c>
      <c r="AE3990" s="4">
        <v>2</v>
      </c>
      <c r="AF3990" s="4">
        <v>0</v>
      </c>
      <c r="AG3990" s="4">
        <v>0</v>
      </c>
      <c r="AH3990" s="4">
        <v>2</v>
      </c>
      <c r="AI3990" s="4">
        <v>2</v>
      </c>
      <c r="AJ3990" s="4">
        <v>1</v>
      </c>
      <c r="AK3990" s="4">
        <v>1</v>
      </c>
      <c r="AL3990" s="4">
        <v>2</v>
      </c>
      <c r="AM3990" s="4">
        <v>2</v>
      </c>
      <c r="AN3990" s="4">
        <v>0</v>
      </c>
      <c r="AO3990" s="4">
        <v>0</v>
      </c>
      <c r="AP3990" s="4">
        <v>1</v>
      </c>
      <c r="AQ3990" s="4">
        <v>1</v>
      </c>
      <c r="AR3990" s="3" t="s">
        <v>63</v>
      </c>
      <c r="AS3990" s="3" t="s">
        <v>63</v>
      </c>
      <c r="AT3990" s="3" t="s">
        <v>63</v>
      </c>
      <c r="AV3990" s="6" t="str">
        <f>HYPERLINK("http://mcgill.on.worldcat.org/oclc/826031657","Catalog Record")</f>
        <v>Catalog Record</v>
      </c>
      <c r="AW3990" s="6" t="str">
        <f>HYPERLINK("http://www.worldcat.org/oclc/826031657","WorldCat Record")</f>
        <v>WorldCat Record</v>
      </c>
      <c r="AX3990" s="3" t="s">
        <v>34148</v>
      </c>
      <c r="AY3990" s="3" t="s">
        <v>34149</v>
      </c>
      <c r="AZ3990" s="3" t="s">
        <v>34150</v>
      </c>
      <c r="BA3990" s="3" t="s">
        <v>34150</v>
      </c>
      <c r="BB3990" s="3" t="s">
        <v>34151</v>
      </c>
      <c r="BC3990" s="3" t="s">
        <v>82</v>
      </c>
      <c r="BD3990" s="3" t="s">
        <v>70</v>
      </c>
      <c r="BE3990" s="3" t="s">
        <v>34152</v>
      </c>
      <c r="BF3990" s="3" t="s">
        <v>34151</v>
      </c>
      <c r="BG3990" s="3" t="s">
        <v>34153</v>
      </c>
    </row>
    <row r="3991" spans="1:59" ht="60" x14ac:dyDescent="0.25">
      <c r="A3991" s="2" t="s">
        <v>59</v>
      </c>
      <c r="B3991" s="2" t="s">
        <v>60</v>
      </c>
      <c r="C3991" s="2" t="s">
        <v>34154</v>
      </c>
      <c r="D3991" s="2" t="s">
        <v>34155</v>
      </c>
      <c r="E3991" s="2" t="s">
        <v>34156</v>
      </c>
      <c r="G3991" s="3" t="s">
        <v>63</v>
      </c>
      <c r="I3991" s="3" t="s">
        <v>63</v>
      </c>
      <c r="J3991" s="3" t="s">
        <v>63</v>
      </c>
      <c r="K3991" s="3" t="s">
        <v>64</v>
      </c>
      <c r="L3991" s="2" t="s">
        <v>34157</v>
      </c>
      <c r="M3991" s="2" t="s">
        <v>34158</v>
      </c>
      <c r="N3991" s="3" t="s">
        <v>130</v>
      </c>
      <c r="P3991" s="3" t="s">
        <v>90</v>
      </c>
      <c r="R3991" s="3" t="s">
        <v>67</v>
      </c>
      <c r="S3991" s="4">
        <v>2</v>
      </c>
      <c r="T3991" s="4">
        <v>2</v>
      </c>
      <c r="U3991" s="5" t="s">
        <v>30932</v>
      </c>
      <c r="V3991" s="5" t="s">
        <v>30932</v>
      </c>
      <c r="W3991" s="5" t="s">
        <v>69</v>
      </c>
      <c r="X3991" s="5" t="s">
        <v>69</v>
      </c>
      <c r="Y3991" s="4">
        <v>14</v>
      </c>
      <c r="Z3991" s="4">
        <v>3</v>
      </c>
      <c r="AA3991" s="4">
        <v>3</v>
      </c>
      <c r="AB3991" s="4">
        <v>1</v>
      </c>
      <c r="AC3991" s="4">
        <v>1</v>
      </c>
      <c r="AD3991" s="4">
        <v>6</v>
      </c>
      <c r="AE3991" s="4">
        <v>7</v>
      </c>
      <c r="AF3991" s="4">
        <v>0</v>
      </c>
      <c r="AG3991" s="4">
        <v>0</v>
      </c>
      <c r="AH3991" s="4">
        <v>6</v>
      </c>
      <c r="AI3991" s="4">
        <v>7</v>
      </c>
      <c r="AJ3991" s="4">
        <v>1</v>
      </c>
      <c r="AK3991" s="4">
        <v>1</v>
      </c>
      <c r="AL3991" s="4">
        <v>6</v>
      </c>
      <c r="AM3991" s="4">
        <v>6</v>
      </c>
      <c r="AN3991" s="4">
        <v>0</v>
      </c>
      <c r="AO3991" s="4">
        <v>0</v>
      </c>
      <c r="AP3991" s="4">
        <v>1</v>
      </c>
      <c r="AQ3991" s="4">
        <v>1</v>
      </c>
      <c r="AR3991" s="3" t="s">
        <v>63</v>
      </c>
      <c r="AS3991" s="3" t="s">
        <v>63</v>
      </c>
      <c r="AT3991" s="3" t="s">
        <v>63</v>
      </c>
      <c r="AV3991" s="6" t="str">
        <f>HYPERLINK("http://mcgill.on.worldcat.org/oclc/847141245","Catalog Record")</f>
        <v>Catalog Record</v>
      </c>
      <c r="AW3991" s="6" t="str">
        <f>HYPERLINK("http://www.worldcat.org/oclc/847141245","WorldCat Record")</f>
        <v>WorldCat Record</v>
      </c>
      <c r="AX3991" s="3" t="s">
        <v>34159</v>
      </c>
      <c r="AY3991" s="3" t="s">
        <v>34160</v>
      </c>
      <c r="AZ3991" s="3" t="s">
        <v>34161</v>
      </c>
      <c r="BA3991" s="3" t="s">
        <v>34161</v>
      </c>
      <c r="BB3991" s="3" t="s">
        <v>34162</v>
      </c>
      <c r="BC3991" s="3" t="s">
        <v>82</v>
      </c>
      <c r="BD3991" s="3" t="s">
        <v>70</v>
      </c>
      <c r="BE3991" s="3" t="s">
        <v>34163</v>
      </c>
      <c r="BF3991" s="3" t="s">
        <v>34162</v>
      </c>
      <c r="BG3991" s="3" t="s">
        <v>34164</v>
      </c>
    </row>
    <row r="3992" spans="1:59" ht="60" x14ac:dyDescent="0.25">
      <c r="A3992" s="2" t="s">
        <v>59</v>
      </c>
      <c r="B3992" s="2" t="s">
        <v>60</v>
      </c>
      <c r="C3992" s="2" t="s">
        <v>34165</v>
      </c>
      <c r="D3992" s="2" t="s">
        <v>34166</v>
      </c>
      <c r="E3992" s="2" t="s">
        <v>34167</v>
      </c>
      <c r="G3992" s="3" t="s">
        <v>63</v>
      </c>
      <c r="I3992" s="3" t="s">
        <v>63</v>
      </c>
      <c r="J3992" s="3" t="s">
        <v>63</v>
      </c>
      <c r="K3992" s="3" t="s">
        <v>64</v>
      </c>
      <c r="L3992" s="2" t="s">
        <v>34168</v>
      </c>
      <c r="M3992" s="2" t="s">
        <v>31040</v>
      </c>
      <c r="N3992" s="3" t="s">
        <v>2765</v>
      </c>
      <c r="P3992" s="3" t="s">
        <v>90</v>
      </c>
      <c r="Q3992" s="2" t="s">
        <v>30181</v>
      </c>
      <c r="R3992" s="3" t="s">
        <v>67</v>
      </c>
      <c r="S3992" s="4">
        <v>1</v>
      </c>
      <c r="T3992" s="4">
        <v>1</v>
      </c>
      <c r="U3992" s="5" t="s">
        <v>32705</v>
      </c>
      <c r="V3992" s="5" t="s">
        <v>32705</v>
      </c>
      <c r="W3992" s="5" t="s">
        <v>69</v>
      </c>
      <c r="X3992" s="5" t="s">
        <v>69</v>
      </c>
      <c r="Y3992" s="4">
        <v>40</v>
      </c>
      <c r="Z3992" s="4">
        <v>3</v>
      </c>
      <c r="AA3992" s="4">
        <v>3</v>
      </c>
      <c r="AB3992" s="4">
        <v>1</v>
      </c>
      <c r="AC3992" s="4">
        <v>1</v>
      </c>
      <c r="AD3992" s="4">
        <v>30</v>
      </c>
      <c r="AE3992" s="4">
        <v>30</v>
      </c>
      <c r="AF3992" s="4">
        <v>0</v>
      </c>
      <c r="AG3992" s="4">
        <v>0</v>
      </c>
      <c r="AH3992" s="4">
        <v>30</v>
      </c>
      <c r="AI3992" s="4">
        <v>30</v>
      </c>
      <c r="AJ3992" s="4">
        <v>1</v>
      </c>
      <c r="AK3992" s="4">
        <v>1</v>
      </c>
      <c r="AL3992" s="4">
        <v>23</v>
      </c>
      <c r="AM3992" s="4">
        <v>23</v>
      </c>
      <c r="AN3992" s="4">
        <v>0</v>
      </c>
      <c r="AO3992" s="4">
        <v>0</v>
      </c>
      <c r="AP3992" s="4">
        <v>1</v>
      </c>
      <c r="AQ3992" s="4">
        <v>1</v>
      </c>
      <c r="AR3992" s="3" t="s">
        <v>63</v>
      </c>
      <c r="AS3992" s="3" t="s">
        <v>63</v>
      </c>
      <c r="AT3992" s="3" t="s">
        <v>63</v>
      </c>
      <c r="AV3992" s="6" t="str">
        <f>HYPERLINK("http://mcgill.on.worldcat.org/oclc/931094686","Catalog Record")</f>
        <v>Catalog Record</v>
      </c>
      <c r="AW3992" s="6" t="str">
        <f>HYPERLINK("http://www.worldcat.org/oclc/931094686","WorldCat Record")</f>
        <v>WorldCat Record</v>
      </c>
      <c r="AX3992" s="3" t="s">
        <v>34169</v>
      </c>
      <c r="AY3992" s="3" t="s">
        <v>34170</v>
      </c>
      <c r="AZ3992" s="3" t="s">
        <v>34171</v>
      </c>
      <c r="BA3992" s="3" t="s">
        <v>34171</v>
      </c>
      <c r="BB3992" s="3" t="s">
        <v>34172</v>
      </c>
      <c r="BC3992" s="3" t="s">
        <v>82</v>
      </c>
      <c r="BD3992" s="3" t="s">
        <v>70</v>
      </c>
      <c r="BE3992" s="3" t="s">
        <v>34173</v>
      </c>
      <c r="BF3992" s="3" t="s">
        <v>34172</v>
      </c>
      <c r="BG3992" s="3" t="s">
        <v>34174</v>
      </c>
    </row>
    <row r="3993" spans="1:59" ht="60" x14ac:dyDescent="0.25">
      <c r="A3993" s="2" t="s">
        <v>59</v>
      </c>
      <c r="B3993" s="2" t="s">
        <v>60</v>
      </c>
      <c r="C3993" s="2" t="s">
        <v>34175</v>
      </c>
      <c r="D3993" s="2" t="s">
        <v>34176</v>
      </c>
      <c r="E3993" s="2" t="s">
        <v>34177</v>
      </c>
      <c r="G3993" s="3" t="s">
        <v>63</v>
      </c>
      <c r="I3993" s="3" t="s">
        <v>63</v>
      </c>
      <c r="J3993" s="3" t="s">
        <v>63</v>
      </c>
      <c r="K3993" s="3" t="s">
        <v>64</v>
      </c>
      <c r="L3993" s="2" t="s">
        <v>34178</v>
      </c>
      <c r="M3993" s="2" t="s">
        <v>5236</v>
      </c>
      <c r="N3993" s="3" t="s">
        <v>106</v>
      </c>
      <c r="P3993" s="3" t="s">
        <v>90</v>
      </c>
      <c r="Q3993" s="2" t="s">
        <v>29586</v>
      </c>
      <c r="R3993" s="3" t="s">
        <v>67</v>
      </c>
      <c r="S3993" s="4">
        <v>1</v>
      </c>
      <c r="T3993" s="4">
        <v>1</v>
      </c>
      <c r="U3993" s="5" t="s">
        <v>31790</v>
      </c>
      <c r="V3993" s="5" t="s">
        <v>31790</v>
      </c>
      <c r="W3993" s="5" t="s">
        <v>69</v>
      </c>
      <c r="X3993" s="5" t="s">
        <v>69</v>
      </c>
      <c r="Y3993" s="4">
        <v>36</v>
      </c>
      <c r="Z3993" s="4">
        <v>3</v>
      </c>
      <c r="AA3993" s="4">
        <v>3</v>
      </c>
      <c r="AB3993" s="4">
        <v>1</v>
      </c>
      <c r="AC3993" s="4">
        <v>1</v>
      </c>
      <c r="AD3993" s="4">
        <v>29</v>
      </c>
      <c r="AE3993" s="4">
        <v>29</v>
      </c>
      <c r="AF3993" s="4">
        <v>0</v>
      </c>
      <c r="AG3993" s="4">
        <v>0</v>
      </c>
      <c r="AH3993" s="4">
        <v>28</v>
      </c>
      <c r="AI3993" s="4">
        <v>28</v>
      </c>
      <c r="AJ3993" s="4">
        <v>1</v>
      </c>
      <c r="AK3993" s="4">
        <v>1</v>
      </c>
      <c r="AL3993" s="4">
        <v>23</v>
      </c>
      <c r="AM3993" s="4">
        <v>23</v>
      </c>
      <c r="AN3993" s="4">
        <v>0</v>
      </c>
      <c r="AO3993" s="4">
        <v>0</v>
      </c>
      <c r="AP3993" s="4">
        <v>1</v>
      </c>
      <c r="AQ3993" s="4">
        <v>1</v>
      </c>
      <c r="AR3993" s="3" t="s">
        <v>63</v>
      </c>
      <c r="AS3993" s="3" t="s">
        <v>63</v>
      </c>
      <c r="AT3993" s="3" t="s">
        <v>63</v>
      </c>
      <c r="AV3993" s="6" t="str">
        <f>HYPERLINK("http://mcgill.on.worldcat.org/oclc/936376543","Catalog Record")</f>
        <v>Catalog Record</v>
      </c>
      <c r="AW3993" s="6" t="str">
        <f>HYPERLINK("http://www.worldcat.org/oclc/936376543","WorldCat Record")</f>
        <v>WorldCat Record</v>
      </c>
      <c r="AX3993" s="3" t="s">
        <v>34179</v>
      </c>
      <c r="AY3993" s="3" t="s">
        <v>34180</v>
      </c>
      <c r="AZ3993" s="3" t="s">
        <v>34181</v>
      </c>
      <c r="BA3993" s="3" t="s">
        <v>34181</v>
      </c>
      <c r="BB3993" s="3" t="s">
        <v>34182</v>
      </c>
      <c r="BC3993" s="3" t="s">
        <v>82</v>
      </c>
      <c r="BD3993" s="3" t="s">
        <v>70</v>
      </c>
      <c r="BE3993" s="3" t="s">
        <v>34183</v>
      </c>
      <c r="BF3993" s="3" t="s">
        <v>34182</v>
      </c>
      <c r="BG3993" s="3" t="s">
        <v>34184</v>
      </c>
    </row>
    <row r="3994" spans="1:59" ht="60" x14ac:dyDescent="0.25">
      <c r="A3994" s="2" t="s">
        <v>59</v>
      </c>
      <c r="B3994" s="2" t="s">
        <v>60</v>
      </c>
      <c r="C3994" s="2" t="s">
        <v>34185</v>
      </c>
      <c r="D3994" s="2" t="s">
        <v>34186</v>
      </c>
      <c r="E3994" s="2" t="s">
        <v>34187</v>
      </c>
      <c r="G3994" s="3" t="s">
        <v>63</v>
      </c>
      <c r="I3994" s="3" t="s">
        <v>63</v>
      </c>
      <c r="J3994" s="3" t="s">
        <v>63</v>
      </c>
      <c r="K3994" s="3" t="s">
        <v>64</v>
      </c>
      <c r="L3994" s="2" t="s">
        <v>34188</v>
      </c>
      <c r="M3994" s="2" t="s">
        <v>34189</v>
      </c>
      <c r="N3994" s="3" t="s">
        <v>629</v>
      </c>
      <c r="P3994" s="3" t="s">
        <v>90</v>
      </c>
      <c r="R3994" s="3" t="s">
        <v>67</v>
      </c>
      <c r="S3994" s="4">
        <v>2</v>
      </c>
      <c r="T3994" s="4">
        <v>2</v>
      </c>
      <c r="U3994" s="5" t="s">
        <v>33813</v>
      </c>
      <c r="V3994" s="5" t="s">
        <v>33813</v>
      </c>
      <c r="W3994" s="5" t="s">
        <v>69</v>
      </c>
      <c r="X3994" s="5" t="s">
        <v>69</v>
      </c>
      <c r="Y3994" s="4">
        <v>10</v>
      </c>
      <c r="Z3994" s="4">
        <v>3</v>
      </c>
      <c r="AA3994" s="4">
        <v>3</v>
      </c>
      <c r="AB3994" s="4">
        <v>1</v>
      </c>
      <c r="AC3994" s="4">
        <v>1</v>
      </c>
      <c r="AD3994" s="4">
        <v>8</v>
      </c>
      <c r="AE3994" s="4">
        <v>8</v>
      </c>
      <c r="AF3994" s="4">
        <v>0</v>
      </c>
      <c r="AG3994" s="4">
        <v>0</v>
      </c>
      <c r="AH3994" s="4">
        <v>7</v>
      </c>
      <c r="AI3994" s="4">
        <v>7</v>
      </c>
      <c r="AJ3994" s="4">
        <v>1</v>
      </c>
      <c r="AK3994" s="4">
        <v>1</v>
      </c>
      <c r="AL3994" s="4">
        <v>8</v>
      </c>
      <c r="AM3994" s="4">
        <v>8</v>
      </c>
      <c r="AN3994" s="4">
        <v>0</v>
      </c>
      <c r="AO3994" s="4">
        <v>0</v>
      </c>
      <c r="AP3994" s="4">
        <v>1</v>
      </c>
      <c r="AQ3994" s="4">
        <v>1</v>
      </c>
      <c r="AR3994" s="3" t="s">
        <v>63</v>
      </c>
      <c r="AS3994" s="3" t="s">
        <v>63</v>
      </c>
      <c r="AT3994" s="3" t="s">
        <v>63</v>
      </c>
      <c r="AV3994" s="6" t="str">
        <f>HYPERLINK("http://mcgill.on.worldcat.org/oclc/807216184","Catalog Record")</f>
        <v>Catalog Record</v>
      </c>
      <c r="AW3994" s="6" t="str">
        <f>HYPERLINK("http://www.worldcat.org/oclc/807216184","WorldCat Record")</f>
        <v>WorldCat Record</v>
      </c>
      <c r="AX3994" s="3" t="s">
        <v>34190</v>
      </c>
      <c r="AY3994" s="3" t="s">
        <v>34191</v>
      </c>
      <c r="AZ3994" s="3" t="s">
        <v>34192</v>
      </c>
      <c r="BA3994" s="3" t="s">
        <v>34192</v>
      </c>
      <c r="BB3994" s="3" t="s">
        <v>34193</v>
      </c>
      <c r="BC3994" s="3" t="s">
        <v>82</v>
      </c>
      <c r="BD3994" s="3" t="s">
        <v>70</v>
      </c>
      <c r="BE3994" s="3" t="s">
        <v>34194</v>
      </c>
      <c r="BF3994" s="3" t="s">
        <v>34193</v>
      </c>
      <c r="BG3994" s="3" t="s">
        <v>34195</v>
      </c>
    </row>
    <row r="3995" spans="1:59" ht="60" x14ac:dyDescent="0.25">
      <c r="A3995" s="2" t="s">
        <v>59</v>
      </c>
      <c r="B3995" s="2" t="s">
        <v>60</v>
      </c>
      <c r="C3995" s="2" t="s">
        <v>34196</v>
      </c>
      <c r="D3995" s="2" t="s">
        <v>34197</v>
      </c>
      <c r="E3995" s="2" t="s">
        <v>34198</v>
      </c>
      <c r="G3995" s="3" t="s">
        <v>63</v>
      </c>
      <c r="I3995" s="3" t="s">
        <v>63</v>
      </c>
      <c r="J3995" s="3" t="s">
        <v>63</v>
      </c>
      <c r="K3995" s="3" t="s">
        <v>64</v>
      </c>
      <c r="L3995" s="2" t="s">
        <v>34199</v>
      </c>
      <c r="M3995" s="2" t="s">
        <v>34200</v>
      </c>
      <c r="N3995" s="3" t="s">
        <v>2765</v>
      </c>
      <c r="P3995" s="3" t="s">
        <v>90</v>
      </c>
      <c r="Q3995" s="2" t="s">
        <v>34201</v>
      </c>
      <c r="R3995" s="3" t="s">
        <v>67</v>
      </c>
      <c r="S3995" s="4">
        <v>0</v>
      </c>
      <c r="T3995" s="4">
        <v>0</v>
      </c>
      <c r="W3995" s="5" t="s">
        <v>69</v>
      </c>
      <c r="X3995" s="5" t="s">
        <v>69</v>
      </c>
      <c r="Y3995" s="4">
        <v>25</v>
      </c>
      <c r="Z3995" s="4">
        <v>3</v>
      </c>
      <c r="AA3995" s="4">
        <v>3</v>
      </c>
      <c r="AB3995" s="4">
        <v>1</v>
      </c>
      <c r="AC3995" s="4">
        <v>1</v>
      </c>
      <c r="AD3995" s="4">
        <v>18</v>
      </c>
      <c r="AE3995" s="4">
        <v>18</v>
      </c>
      <c r="AF3995" s="4">
        <v>0</v>
      </c>
      <c r="AG3995" s="4">
        <v>0</v>
      </c>
      <c r="AH3995" s="4">
        <v>18</v>
      </c>
      <c r="AI3995" s="4">
        <v>18</v>
      </c>
      <c r="AJ3995" s="4">
        <v>1</v>
      </c>
      <c r="AK3995" s="4">
        <v>1</v>
      </c>
      <c r="AL3995" s="4">
        <v>15</v>
      </c>
      <c r="AM3995" s="4">
        <v>15</v>
      </c>
      <c r="AN3995" s="4">
        <v>0</v>
      </c>
      <c r="AO3995" s="4">
        <v>0</v>
      </c>
      <c r="AP3995" s="4">
        <v>1</v>
      </c>
      <c r="AQ3995" s="4">
        <v>1</v>
      </c>
      <c r="AR3995" s="3" t="s">
        <v>63</v>
      </c>
      <c r="AS3995" s="3" t="s">
        <v>63</v>
      </c>
      <c r="AT3995" s="3" t="s">
        <v>63</v>
      </c>
      <c r="AV3995" s="6" t="str">
        <f>HYPERLINK("http://mcgill.on.worldcat.org/oclc/909811283","Catalog Record")</f>
        <v>Catalog Record</v>
      </c>
      <c r="AW3995" s="6" t="str">
        <f>HYPERLINK("http://www.worldcat.org/oclc/909811283","WorldCat Record")</f>
        <v>WorldCat Record</v>
      </c>
      <c r="AX3995" s="3" t="s">
        <v>34202</v>
      </c>
      <c r="AY3995" s="3" t="s">
        <v>34203</v>
      </c>
      <c r="AZ3995" s="3" t="s">
        <v>34204</v>
      </c>
      <c r="BA3995" s="3" t="s">
        <v>34204</v>
      </c>
      <c r="BB3995" s="3" t="s">
        <v>34205</v>
      </c>
      <c r="BC3995" s="3" t="s">
        <v>82</v>
      </c>
      <c r="BD3995" s="3" t="s">
        <v>70</v>
      </c>
      <c r="BE3995" s="3" t="s">
        <v>34206</v>
      </c>
      <c r="BF3995" s="3" t="s">
        <v>34205</v>
      </c>
      <c r="BG3995" s="3" t="s">
        <v>34207</v>
      </c>
    </row>
    <row r="3996" spans="1:59" ht="60" x14ac:dyDescent="0.25">
      <c r="A3996" s="2" t="s">
        <v>59</v>
      </c>
      <c r="B3996" s="2" t="s">
        <v>60</v>
      </c>
      <c r="C3996" s="2" t="s">
        <v>34208</v>
      </c>
      <c r="D3996" s="2" t="s">
        <v>34209</v>
      </c>
      <c r="E3996" s="2" t="s">
        <v>34210</v>
      </c>
      <c r="G3996" s="3" t="s">
        <v>63</v>
      </c>
      <c r="I3996" s="3" t="s">
        <v>63</v>
      </c>
      <c r="J3996" s="3" t="s">
        <v>63</v>
      </c>
      <c r="K3996" s="3" t="s">
        <v>64</v>
      </c>
      <c r="L3996" s="2" t="s">
        <v>34211</v>
      </c>
      <c r="M3996" s="2" t="s">
        <v>34212</v>
      </c>
      <c r="N3996" s="3" t="s">
        <v>2765</v>
      </c>
      <c r="P3996" s="3" t="s">
        <v>90</v>
      </c>
      <c r="Q3996" s="2" t="s">
        <v>34213</v>
      </c>
      <c r="R3996" s="3" t="s">
        <v>67</v>
      </c>
      <c r="S3996" s="4">
        <v>1</v>
      </c>
      <c r="T3996" s="4">
        <v>1</v>
      </c>
      <c r="U3996" s="5" t="s">
        <v>31790</v>
      </c>
      <c r="V3996" s="5" t="s">
        <v>31790</v>
      </c>
      <c r="W3996" s="5" t="s">
        <v>69</v>
      </c>
      <c r="X3996" s="5" t="s">
        <v>69</v>
      </c>
      <c r="Y3996" s="4">
        <v>41</v>
      </c>
      <c r="Z3996" s="4">
        <v>4</v>
      </c>
      <c r="AA3996" s="4">
        <v>4</v>
      </c>
      <c r="AB3996" s="4">
        <v>1</v>
      </c>
      <c r="AC3996" s="4">
        <v>1</v>
      </c>
      <c r="AD3996" s="4">
        <v>27</v>
      </c>
      <c r="AE3996" s="4">
        <v>27</v>
      </c>
      <c r="AF3996" s="4">
        <v>0</v>
      </c>
      <c r="AG3996" s="4">
        <v>0</v>
      </c>
      <c r="AH3996" s="4">
        <v>26</v>
      </c>
      <c r="AI3996" s="4">
        <v>26</v>
      </c>
      <c r="AJ3996" s="4">
        <v>1</v>
      </c>
      <c r="AK3996" s="4">
        <v>1</v>
      </c>
      <c r="AL3996" s="4">
        <v>20</v>
      </c>
      <c r="AM3996" s="4">
        <v>20</v>
      </c>
      <c r="AN3996" s="4">
        <v>0</v>
      </c>
      <c r="AO3996" s="4">
        <v>0</v>
      </c>
      <c r="AP3996" s="4">
        <v>1</v>
      </c>
      <c r="AQ3996" s="4">
        <v>1</v>
      </c>
      <c r="AR3996" s="3" t="s">
        <v>63</v>
      </c>
      <c r="AS3996" s="3" t="s">
        <v>63</v>
      </c>
      <c r="AT3996" s="3" t="s">
        <v>63</v>
      </c>
      <c r="AV3996" s="6" t="str">
        <f>HYPERLINK("http://mcgill.on.worldcat.org/oclc/922008301","Catalog Record")</f>
        <v>Catalog Record</v>
      </c>
      <c r="AW3996" s="6" t="str">
        <f>HYPERLINK("http://www.worldcat.org/oclc/922008301","WorldCat Record")</f>
        <v>WorldCat Record</v>
      </c>
      <c r="AX3996" s="3" t="s">
        <v>34214</v>
      </c>
      <c r="AY3996" s="3" t="s">
        <v>34215</v>
      </c>
      <c r="AZ3996" s="3" t="s">
        <v>34216</v>
      </c>
      <c r="BA3996" s="3" t="s">
        <v>34216</v>
      </c>
      <c r="BB3996" s="3" t="s">
        <v>34217</v>
      </c>
      <c r="BC3996" s="3" t="s">
        <v>82</v>
      </c>
      <c r="BD3996" s="3" t="s">
        <v>70</v>
      </c>
      <c r="BE3996" s="3" t="s">
        <v>34218</v>
      </c>
      <c r="BF3996" s="3" t="s">
        <v>34217</v>
      </c>
      <c r="BG3996" s="3" t="s">
        <v>34219</v>
      </c>
    </row>
    <row r="3997" spans="1:59" ht="60" x14ac:dyDescent="0.25">
      <c r="A3997" s="2" t="s">
        <v>59</v>
      </c>
      <c r="B3997" s="2" t="s">
        <v>60</v>
      </c>
      <c r="C3997" s="2" t="s">
        <v>34220</v>
      </c>
      <c r="D3997" s="2" t="s">
        <v>34221</v>
      </c>
      <c r="E3997" s="2" t="s">
        <v>34222</v>
      </c>
      <c r="G3997" s="3" t="s">
        <v>63</v>
      </c>
      <c r="I3997" s="3" t="s">
        <v>63</v>
      </c>
      <c r="J3997" s="3" t="s">
        <v>63</v>
      </c>
      <c r="K3997" s="3" t="s">
        <v>64</v>
      </c>
      <c r="L3997" s="2" t="s">
        <v>34223</v>
      </c>
      <c r="M3997" s="2" t="s">
        <v>34135</v>
      </c>
      <c r="N3997" s="3" t="s">
        <v>130</v>
      </c>
      <c r="P3997" s="3" t="s">
        <v>66</v>
      </c>
      <c r="Q3997" s="2" t="s">
        <v>34224</v>
      </c>
      <c r="R3997" s="3" t="s">
        <v>67</v>
      </c>
      <c r="S3997" s="4">
        <v>0</v>
      </c>
      <c r="T3997" s="4">
        <v>0</v>
      </c>
      <c r="U3997" s="5" t="s">
        <v>24495</v>
      </c>
      <c r="V3997" s="5" t="s">
        <v>24495</v>
      </c>
      <c r="W3997" s="5" t="s">
        <v>69</v>
      </c>
      <c r="X3997" s="5" t="s">
        <v>69</v>
      </c>
      <c r="Y3997" s="4">
        <v>99</v>
      </c>
      <c r="Z3997" s="4">
        <v>7</v>
      </c>
      <c r="AA3997" s="4">
        <v>9</v>
      </c>
      <c r="AB3997" s="4">
        <v>1</v>
      </c>
      <c r="AC3997" s="4">
        <v>3</v>
      </c>
      <c r="AD3997" s="4">
        <v>50</v>
      </c>
      <c r="AE3997" s="4">
        <v>52</v>
      </c>
      <c r="AF3997" s="4">
        <v>0</v>
      </c>
      <c r="AG3997" s="4">
        <v>0</v>
      </c>
      <c r="AH3997" s="4">
        <v>48</v>
      </c>
      <c r="AI3997" s="4">
        <v>49</v>
      </c>
      <c r="AJ3997" s="4">
        <v>5</v>
      </c>
      <c r="AK3997" s="4">
        <v>5</v>
      </c>
      <c r="AL3997" s="4">
        <v>34</v>
      </c>
      <c r="AM3997" s="4">
        <v>36</v>
      </c>
      <c r="AN3997" s="4">
        <v>0</v>
      </c>
      <c r="AO3997" s="4">
        <v>0</v>
      </c>
      <c r="AP3997" s="4">
        <v>5</v>
      </c>
      <c r="AQ3997" s="4">
        <v>5</v>
      </c>
      <c r="AR3997" s="3" t="s">
        <v>63</v>
      </c>
      <c r="AS3997" s="3" t="s">
        <v>63</v>
      </c>
      <c r="AT3997" s="3" t="s">
        <v>63</v>
      </c>
      <c r="AV3997" s="6" t="str">
        <f>HYPERLINK("http://mcgill.on.worldcat.org/oclc/812258554","Catalog Record")</f>
        <v>Catalog Record</v>
      </c>
      <c r="AW3997" s="6" t="str">
        <f>HYPERLINK("http://www.worldcat.org/oclc/812258554","WorldCat Record")</f>
        <v>WorldCat Record</v>
      </c>
      <c r="AX3997" s="3" t="s">
        <v>34225</v>
      </c>
      <c r="AY3997" s="3" t="s">
        <v>34226</v>
      </c>
      <c r="AZ3997" s="3" t="s">
        <v>34227</v>
      </c>
      <c r="BA3997" s="3" t="s">
        <v>34227</v>
      </c>
      <c r="BB3997" s="3" t="s">
        <v>34228</v>
      </c>
      <c r="BC3997" s="3" t="s">
        <v>82</v>
      </c>
      <c r="BD3997" s="3" t="s">
        <v>70</v>
      </c>
      <c r="BE3997" s="3" t="s">
        <v>34229</v>
      </c>
      <c r="BF3997" s="3" t="s">
        <v>34228</v>
      </c>
      <c r="BG3997" s="3" t="s">
        <v>34230</v>
      </c>
    </row>
    <row r="3998" spans="1:59" ht="60" x14ac:dyDescent="0.25">
      <c r="A3998" s="2" t="s">
        <v>59</v>
      </c>
      <c r="B3998" s="2" t="s">
        <v>60</v>
      </c>
      <c r="C3998" s="2" t="s">
        <v>34231</v>
      </c>
      <c r="D3998" s="2" t="s">
        <v>34232</v>
      </c>
      <c r="E3998" s="2" t="s">
        <v>34233</v>
      </c>
      <c r="G3998" s="3" t="s">
        <v>63</v>
      </c>
      <c r="I3998" s="3" t="s">
        <v>63</v>
      </c>
      <c r="J3998" s="3" t="s">
        <v>63</v>
      </c>
      <c r="K3998" s="3" t="s">
        <v>64</v>
      </c>
      <c r="L3998" s="2" t="s">
        <v>34223</v>
      </c>
      <c r="M3998" s="2" t="s">
        <v>34234</v>
      </c>
      <c r="N3998" s="3" t="s">
        <v>106</v>
      </c>
      <c r="P3998" s="3" t="s">
        <v>90</v>
      </c>
      <c r="Q3998" s="2" t="s">
        <v>34235</v>
      </c>
      <c r="R3998" s="3" t="s">
        <v>67</v>
      </c>
      <c r="S3998" s="4">
        <v>3</v>
      </c>
      <c r="T3998" s="4">
        <v>3</v>
      </c>
      <c r="U3998" s="5" t="s">
        <v>6011</v>
      </c>
      <c r="V3998" s="5" t="s">
        <v>6011</v>
      </c>
      <c r="W3998" s="5" t="s">
        <v>69</v>
      </c>
      <c r="X3998" s="5" t="s">
        <v>69</v>
      </c>
      <c r="Y3998" s="4">
        <v>20</v>
      </c>
      <c r="Z3998" s="4">
        <v>2</v>
      </c>
      <c r="AA3998" s="4">
        <v>2</v>
      </c>
      <c r="AB3998" s="4">
        <v>1</v>
      </c>
      <c r="AC3998" s="4">
        <v>1</v>
      </c>
      <c r="AD3998" s="4">
        <v>15</v>
      </c>
      <c r="AE3998" s="4">
        <v>15</v>
      </c>
      <c r="AF3998" s="4">
        <v>0</v>
      </c>
      <c r="AG3998" s="4">
        <v>0</v>
      </c>
      <c r="AH3998" s="4">
        <v>15</v>
      </c>
      <c r="AI3998" s="4">
        <v>15</v>
      </c>
      <c r="AJ3998" s="4">
        <v>0</v>
      </c>
      <c r="AK3998" s="4">
        <v>0</v>
      </c>
      <c r="AL3998" s="4">
        <v>11</v>
      </c>
      <c r="AM3998" s="4">
        <v>11</v>
      </c>
      <c r="AN3998" s="4">
        <v>0</v>
      </c>
      <c r="AO3998" s="4">
        <v>0</v>
      </c>
      <c r="AP3998" s="4">
        <v>0</v>
      </c>
      <c r="AQ3998" s="4">
        <v>0</v>
      </c>
      <c r="AR3998" s="3" t="s">
        <v>63</v>
      </c>
      <c r="AS3998" s="3" t="s">
        <v>63</v>
      </c>
      <c r="AT3998" s="3" t="s">
        <v>63</v>
      </c>
      <c r="AV3998" s="6" t="str">
        <f>HYPERLINK("http://mcgill.on.worldcat.org/oclc/962069098","Catalog Record")</f>
        <v>Catalog Record</v>
      </c>
      <c r="AW3998" s="6" t="str">
        <f>HYPERLINK("http://www.worldcat.org/oclc/962069098","WorldCat Record")</f>
        <v>WorldCat Record</v>
      </c>
      <c r="AX3998" s="3" t="s">
        <v>34236</v>
      </c>
      <c r="AY3998" s="3" t="s">
        <v>34237</v>
      </c>
      <c r="AZ3998" s="3" t="s">
        <v>34238</v>
      </c>
      <c r="BA3998" s="3" t="s">
        <v>34238</v>
      </c>
      <c r="BB3998" s="3" t="s">
        <v>34239</v>
      </c>
      <c r="BC3998" s="3" t="s">
        <v>82</v>
      </c>
      <c r="BD3998" s="3" t="s">
        <v>70</v>
      </c>
      <c r="BE3998" s="3" t="s">
        <v>34240</v>
      </c>
      <c r="BF3998" s="3" t="s">
        <v>34239</v>
      </c>
      <c r="BG3998" s="3" t="s">
        <v>34241</v>
      </c>
    </row>
    <row r="3999" spans="1:59" ht="60" x14ac:dyDescent="0.25">
      <c r="A3999" s="2" t="s">
        <v>59</v>
      </c>
      <c r="B3999" s="2" t="s">
        <v>60</v>
      </c>
      <c r="C3999" s="2" t="s">
        <v>34242</v>
      </c>
      <c r="D3999" s="2" t="s">
        <v>34243</v>
      </c>
      <c r="E3999" s="2" t="s">
        <v>34244</v>
      </c>
      <c r="G3999" s="3" t="s">
        <v>63</v>
      </c>
      <c r="I3999" s="3" t="s">
        <v>63</v>
      </c>
      <c r="J3999" s="3" t="s">
        <v>63</v>
      </c>
      <c r="K3999" s="3" t="s">
        <v>64</v>
      </c>
      <c r="L3999" s="2" t="s">
        <v>5186</v>
      </c>
      <c r="M3999" s="2" t="s">
        <v>33583</v>
      </c>
      <c r="N3999" s="3" t="s">
        <v>2765</v>
      </c>
      <c r="P3999" s="3" t="s">
        <v>90</v>
      </c>
      <c r="Q3999" s="2" t="s">
        <v>34245</v>
      </c>
      <c r="R3999" s="3" t="s">
        <v>67</v>
      </c>
      <c r="S3999" s="4">
        <v>2</v>
      </c>
      <c r="T3999" s="4">
        <v>2</v>
      </c>
      <c r="U3999" s="5" t="s">
        <v>22637</v>
      </c>
      <c r="V3999" s="5" t="s">
        <v>22637</v>
      </c>
      <c r="W3999" s="5" t="s">
        <v>69</v>
      </c>
      <c r="X3999" s="5" t="s">
        <v>69</v>
      </c>
      <c r="Y3999" s="4">
        <v>49</v>
      </c>
      <c r="Z3999" s="4">
        <v>8</v>
      </c>
      <c r="AA3999" s="4">
        <v>8</v>
      </c>
      <c r="AB3999" s="4">
        <v>1</v>
      </c>
      <c r="AC3999" s="4">
        <v>1</v>
      </c>
      <c r="AD3999" s="4">
        <v>29</v>
      </c>
      <c r="AE3999" s="4">
        <v>29</v>
      </c>
      <c r="AF3999" s="4">
        <v>0</v>
      </c>
      <c r="AG3999" s="4">
        <v>0</v>
      </c>
      <c r="AH3999" s="4">
        <v>28</v>
      </c>
      <c r="AI3999" s="4">
        <v>28</v>
      </c>
      <c r="AJ3999" s="4">
        <v>4</v>
      </c>
      <c r="AK3999" s="4">
        <v>4</v>
      </c>
      <c r="AL3999" s="4">
        <v>19</v>
      </c>
      <c r="AM3999" s="4">
        <v>19</v>
      </c>
      <c r="AN3999" s="4">
        <v>0</v>
      </c>
      <c r="AO3999" s="4">
        <v>0</v>
      </c>
      <c r="AP3999" s="4">
        <v>4</v>
      </c>
      <c r="AQ3999" s="4">
        <v>4</v>
      </c>
      <c r="AR3999" s="3" t="s">
        <v>63</v>
      </c>
      <c r="AS3999" s="3" t="s">
        <v>63</v>
      </c>
      <c r="AT3999" s="3" t="s">
        <v>63</v>
      </c>
      <c r="AV3999" s="6" t="str">
        <f>HYPERLINK("http://mcgill.on.worldcat.org/oclc/905853065","Catalog Record")</f>
        <v>Catalog Record</v>
      </c>
      <c r="AW3999" s="6" t="str">
        <f>HYPERLINK("http://www.worldcat.org/oclc/905853065","WorldCat Record")</f>
        <v>WorldCat Record</v>
      </c>
      <c r="AX3999" s="3" t="s">
        <v>34246</v>
      </c>
      <c r="AY3999" s="3" t="s">
        <v>34247</v>
      </c>
      <c r="AZ3999" s="3" t="s">
        <v>34248</v>
      </c>
      <c r="BA3999" s="3" t="s">
        <v>34248</v>
      </c>
      <c r="BB3999" s="3" t="s">
        <v>34249</v>
      </c>
      <c r="BC3999" s="3" t="s">
        <v>82</v>
      </c>
      <c r="BD3999" s="3" t="s">
        <v>70</v>
      </c>
      <c r="BE3999" s="3" t="s">
        <v>34250</v>
      </c>
      <c r="BF3999" s="3" t="s">
        <v>34249</v>
      </c>
      <c r="BG3999" s="3" t="s">
        <v>34251</v>
      </c>
    </row>
    <row r="4000" spans="1:59" ht="60" x14ac:dyDescent="0.25">
      <c r="A4000" s="2" t="s">
        <v>59</v>
      </c>
      <c r="B4000" s="2" t="s">
        <v>60</v>
      </c>
      <c r="C4000" s="2" t="s">
        <v>34252</v>
      </c>
      <c r="D4000" s="2" t="s">
        <v>34253</v>
      </c>
      <c r="E4000" s="2" t="s">
        <v>34254</v>
      </c>
      <c r="G4000" s="3" t="s">
        <v>63</v>
      </c>
      <c r="I4000" s="3" t="s">
        <v>63</v>
      </c>
      <c r="J4000" s="3" t="s">
        <v>63</v>
      </c>
      <c r="K4000" s="3" t="s">
        <v>64</v>
      </c>
      <c r="L4000" s="2" t="s">
        <v>6341</v>
      </c>
      <c r="M4000" s="2" t="s">
        <v>34255</v>
      </c>
      <c r="N4000" s="3" t="s">
        <v>2459</v>
      </c>
      <c r="P4000" s="3" t="s">
        <v>90</v>
      </c>
      <c r="R4000" s="3" t="s">
        <v>67</v>
      </c>
      <c r="S4000" s="4">
        <v>1</v>
      </c>
      <c r="T4000" s="4">
        <v>1</v>
      </c>
      <c r="U4000" s="5" t="s">
        <v>19517</v>
      </c>
      <c r="V4000" s="5" t="s">
        <v>19517</v>
      </c>
      <c r="W4000" s="5" t="s">
        <v>69</v>
      </c>
      <c r="X4000" s="5" t="s">
        <v>69</v>
      </c>
      <c r="Y4000" s="4">
        <v>56</v>
      </c>
      <c r="Z4000" s="4">
        <v>5</v>
      </c>
      <c r="AA4000" s="4">
        <v>5</v>
      </c>
      <c r="AB4000" s="4">
        <v>1</v>
      </c>
      <c r="AC4000" s="4">
        <v>1</v>
      </c>
      <c r="AD4000" s="4">
        <v>33</v>
      </c>
      <c r="AE4000" s="4">
        <v>33</v>
      </c>
      <c r="AF4000" s="4">
        <v>0</v>
      </c>
      <c r="AG4000" s="4">
        <v>0</v>
      </c>
      <c r="AH4000" s="4">
        <v>31</v>
      </c>
      <c r="AI4000" s="4">
        <v>31</v>
      </c>
      <c r="AJ4000" s="4">
        <v>2</v>
      </c>
      <c r="AK4000" s="4">
        <v>2</v>
      </c>
      <c r="AL4000" s="4">
        <v>28</v>
      </c>
      <c r="AM4000" s="4">
        <v>28</v>
      </c>
      <c r="AN4000" s="4">
        <v>0</v>
      </c>
      <c r="AO4000" s="4">
        <v>0</v>
      </c>
      <c r="AP4000" s="4">
        <v>2</v>
      </c>
      <c r="AQ4000" s="4">
        <v>2</v>
      </c>
      <c r="AR4000" s="3" t="s">
        <v>63</v>
      </c>
      <c r="AS4000" s="3" t="s">
        <v>63</v>
      </c>
      <c r="AT4000" s="3" t="s">
        <v>62</v>
      </c>
      <c r="AU4000" s="6" t="str">
        <f>HYPERLINK("http://catalog.hathitrust.org/Record/005985280","HathiTrust Record")</f>
        <v>HathiTrust Record</v>
      </c>
      <c r="AV4000" s="6" t="str">
        <f>HYPERLINK("http://mcgill.on.worldcat.org/oclc/244441090","Catalog Record")</f>
        <v>Catalog Record</v>
      </c>
      <c r="AW4000" s="6" t="str">
        <f>HYPERLINK("http://www.worldcat.org/oclc/244441090","WorldCat Record")</f>
        <v>WorldCat Record</v>
      </c>
      <c r="AX4000" s="3" t="s">
        <v>34256</v>
      </c>
      <c r="AY4000" s="3" t="s">
        <v>34257</v>
      </c>
      <c r="AZ4000" s="3" t="s">
        <v>34258</v>
      </c>
      <c r="BA4000" s="3" t="s">
        <v>34258</v>
      </c>
      <c r="BB4000" s="3" t="s">
        <v>34259</v>
      </c>
      <c r="BC4000" s="3" t="s">
        <v>82</v>
      </c>
      <c r="BD4000" s="3" t="s">
        <v>70</v>
      </c>
      <c r="BE4000" s="3" t="s">
        <v>34260</v>
      </c>
      <c r="BF4000" s="3" t="s">
        <v>34259</v>
      </c>
      <c r="BG4000" s="3" t="s">
        <v>34261</v>
      </c>
    </row>
    <row r="4001" spans="1:59" ht="60" x14ac:dyDescent="0.25">
      <c r="A4001" s="2" t="s">
        <v>59</v>
      </c>
      <c r="B4001" s="2" t="s">
        <v>60</v>
      </c>
      <c r="C4001" s="2" t="s">
        <v>34262</v>
      </c>
      <c r="D4001" s="2" t="s">
        <v>34263</v>
      </c>
      <c r="E4001" s="2" t="s">
        <v>34264</v>
      </c>
      <c r="G4001" s="3" t="s">
        <v>63</v>
      </c>
      <c r="I4001" s="3" t="s">
        <v>63</v>
      </c>
      <c r="J4001" s="3" t="s">
        <v>63</v>
      </c>
      <c r="K4001" s="3" t="s">
        <v>64</v>
      </c>
      <c r="L4001" s="2" t="s">
        <v>34265</v>
      </c>
      <c r="M4001" s="2" t="s">
        <v>20033</v>
      </c>
      <c r="N4001" s="3" t="s">
        <v>130</v>
      </c>
      <c r="P4001" s="3" t="s">
        <v>90</v>
      </c>
      <c r="Q4001" s="2" t="s">
        <v>29586</v>
      </c>
      <c r="R4001" s="3" t="s">
        <v>67</v>
      </c>
      <c r="S4001" s="4">
        <v>1</v>
      </c>
      <c r="T4001" s="4">
        <v>1</v>
      </c>
      <c r="U4001" s="5" t="s">
        <v>15404</v>
      </c>
      <c r="V4001" s="5" t="s">
        <v>15404</v>
      </c>
      <c r="W4001" s="5" t="s">
        <v>69</v>
      </c>
      <c r="X4001" s="5" t="s">
        <v>69</v>
      </c>
      <c r="Y4001" s="4">
        <v>43</v>
      </c>
      <c r="Z4001" s="4">
        <v>4</v>
      </c>
      <c r="AA4001" s="4">
        <v>4</v>
      </c>
      <c r="AB4001" s="4">
        <v>1</v>
      </c>
      <c r="AC4001" s="4">
        <v>1</v>
      </c>
      <c r="AD4001" s="4">
        <v>29</v>
      </c>
      <c r="AE4001" s="4">
        <v>29</v>
      </c>
      <c r="AF4001" s="4">
        <v>0</v>
      </c>
      <c r="AG4001" s="4">
        <v>0</v>
      </c>
      <c r="AH4001" s="4">
        <v>28</v>
      </c>
      <c r="AI4001" s="4">
        <v>28</v>
      </c>
      <c r="AJ4001" s="4">
        <v>1</v>
      </c>
      <c r="AK4001" s="4">
        <v>1</v>
      </c>
      <c r="AL4001" s="4">
        <v>23</v>
      </c>
      <c r="AM4001" s="4">
        <v>23</v>
      </c>
      <c r="AN4001" s="4">
        <v>0</v>
      </c>
      <c r="AO4001" s="4">
        <v>0</v>
      </c>
      <c r="AP4001" s="4">
        <v>1</v>
      </c>
      <c r="AQ4001" s="4">
        <v>1</v>
      </c>
      <c r="AR4001" s="3" t="s">
        <v>63</v>
      </c>
      <c r="AS4001" s="3" t="s">
        <v>63</v>
      </c>
      <c r="AT4001" s="3" t="s">
        <v>63</v>
      </c>
      <c r="AV4001" s="6" t="str">
        <f>HYPERLINK("http://mcgill.on.worldcat.org/oclc/852786355","Catalog Record")</f>
        <v>Catalog Record</v>
      </c>
      <c r="AW4001" s="6" t="str">
        <f>HYPERLINK("http://www.worldcat.org/oclc/852786355","WorldCat Record")</f>
        <v>WorldCat Record</v>
      </c>
      <c r="AX4001" s="3" t="s">
        <v>34266</v>
      </c>
      <c r="AY4001" s="3" t="s">
        <v>34267</v>
      </c>
      <c r="AZ4001" s="3" t="s">
        <v>34268</v>
      </c>
      <c r="BA4001" s="3" t="s">
        <v>34268</v>
      </c>
      <c r="BB4001" s="3" t="s">
        <v>34269</v>
      </c>
      <c r="BC4001" s="3" t="s">
        <v>82</v>
      </c>
      <c r="BD4001" s="3" t="s">
        <v>70</v>
      </c>
      <c r="BE4001" s="3" t="s">
        <v>34270</v>
      </c>
      <c r="BF4001" s="3" t="s">
        <v>34269</v>
      </c>
      <c r="BG4001" s="3" t="s">
        <v>34271</v>
      </c>
    </row>
    <row r="4002" spans="1:59" ht="60" x14ac:dyDescent="0.25">
      <c r="A4002" s="2" t="s">
        <v>59</v>
      </c>
      <c r="B4002" s="2" t="s">
        <v>60</v>
      </c>
      <c r="C4002" s="2" t="s">
        <v>34272</v>
      </c>
      <c r="D4002" s="2" t="s">
        <v>34273</v>
      </c>
      <c r="E4002" s="2" t="s">
        <v>34274</v>
      </c>
      <c r="G4002" s="3" t="s">
        <v>63</v>
      </c>
      <c r="I4002" s="3" t="s">
        <v>63</v>
      </c>
      <c r="J4002" s="3" t="s">
        <v>63</v>
      </c>
      <c r="K4002" s="3" t="s">
        <v>64</v>
      </c>
      <c r="L4002" s="2" t="s">
        <v>34275</v>
      </c>
      <c r="M4002" s="2" t="s">
        <v>30180</v>
      </c>
      <c r="N4002" s="3" t="s">
        <v>130</v>
      </c>
      <c r="P4002" s="3" t="s">
        <v>90</v>
      </c>
      <c r="Q4002" s="2" t="s">
        <v>29653</v>
      </c>
      <c r="R4002" s="3" t="s">
        <v>67</v>
      </c>
      <c r="S4002" s="4">
        <v>1</v>
      </c>
      <c r="T4002" s="4">
        <v>1</v>
      </c>
      <c r="U4002" s="5" t="s">
        <v>21334</v>
      </c>
      <c r="V4002" s="5" t="s">
        <v>21334</v>
      </c>
      <c r="W4002" s="5" t="s">
        <v>69</v>
      </c>
      <c r="X4002" s="5" t="s">
        <v>69</v>
      </c>
      <c r="Y4002" s="4">
        <v>32</v>
      </c>
      <c r="Z4002" s="4">
        <v>4</v>
      </c>
      <c r="AA4002" s="4">
        <v>4</v>
      </c>
      <c r="AB4002" s="4">
        <v>1</v>
      </c>
      <c r="AC4002" s="4">
        <v>1</v>
      </c>
      <c r="AD4002" s="4">
        <v>21</v>
      </c>
      <c r="AE4002" s="4">
        <v>21</v>
      </c>
      <c r="AF4002" s="4">
        <v>0</v>
      </c>
      <c r="AG4002" s="4">
        <v>0</v>
      </c>
      <c r="AH4002" s="4">
        <v>20</v>
      </c>
      <c r="AI4002" s="4">
        <v>20</v>
      </c>
      <c r="AJ4002" s="4">
        <v>1</v>
      </c>
      <c r="AK4002" s="4">
        <v>1</v>
      </c>
      <c r="AL4002" s="4">
        <v>16</v>
      </c>
      <c r="AM4002" s="4">
        <v>16</v>
      </c>
      <c r="AN4002" s="4">
        <v>0</v>
      </c>
      <c r="AO4002" s="4">
        <v>0</v>
      </c>
      <c r="AP4002" s="4">
        <v>1</v>
      </c>
      <c r="AQ4002" s="4">
        <v>1</v>
      </c>
      <c r="AR4002" s="3" t="s">
        <v>63</v>
      </c>
      <c r="AS4002" s="3" t="s">
        <v>63</v>
      </c>
      <c r="AT4002" s="3" t="s">
        <v>63</v>
      </c>
      <c r="AV4002" s="6" t="str">
        <f>HYPERLINK("http://mcgill.on.worldcat.org/oclc/871205215","Catalog Record")</f>
        <v>Catalog Record</v>
      </c>
      <c r="AW4002" s="6" t="str">
        <f>HYPERLINK("http://www.worldcat.org/oclc/871205215","WorldCat Record")</f>
        <v>WorldCat Record</v>
      </c>
      <c r="AX4002" s="3" t="s">
        <v>34276</v>
      </c>
      <c r="AY4002" s="3" t="s">
        <v>34277</v>
      </c>
      <c r="AZ4002" s="3" t="s">
        <v>34278</v>
      </c>
      <c r="BA4002" s="3" t="s">
        <v>34278</v>
      </c>
      <c r="BB4002" s="3" t="s">
        <v>34279</v>
      </c>
      <c r="BC4002" s="3" t="s">
        <v>82</v>
      </c>
      <c r="BD4002" s="3" t="s">
        <v>70</v>
      </c>
      <c r="BE4002" s="3" t="s">
        <v>34280</v>
      </c>
      <c r="BF4002" s="3" t="s">
        <v>34279</v>
      </c>
      <c r="BG4002" s="3" t="s">
        <v>34281</v>
      </c>
    </row>
    <row r="4003" spans="1:59" ht="60" x14ac:dyDescent="0.25">
      <c r="A4003" s="2" t="s">
        <v>59</v>
      </c>
      <c r="B4003" s="2" t="s">
        <v>60</v>
      </c>
      <c r="C4003" s="2" t="s">
        <v>34282</v>
      </c>
      <c r="D4003" s="2" t="s">
        <v>34283</v>
      </c>
      <c r="E4003" s="2" t="s">
        <v>34284</v>
      </c>
      <c r="G4003" s="3" t="s">
        <v>63</v>
      </c>
      <c r="I4003" s="3" t="s">
        <v>63</v>
      </c>
      <c r="J4003" s="3" t="s">
        <v>63</v>
      </c>
      <c r="K4003" s="3" t="s">
        <v>64</v>
      </c>
      <c r="L4003" s="2" t="s">
        <v>34285</v>
      </c>
      <c r="M4003" s="2" t="s">
        <v>4552</v>
      </c>
      <c r="N4003" s="3" t="s">
        <v>313</v>
      </c>
      <c r="P4003" s="3" t="s">
        <v>90</v>
      </c>
      <c r="Q4003" s="2" t="s">
        <v>28975</v>
      </c>
      <c r="R4003" s="3" t="s">
        <v>67</v>
      </c>
      <c r="S4003" s="4">
        <v>1</v>
      </c>
      <c r="T4003" s="4">
        <v>1</v>
      </c>
      <c r="U4003" s="5" t="s">
        <v>30857</v>
      </c>
      <c r="V4003" s="5" t="s">
        <v>30857</v>
      </c>
      <c r="W4003" s="5" t="s">
        <v>69</v>
      </c>
      <c r="X4003" s="5" t="s">
        <v>69</v>
      </c>
      <c r="Y4003" s="4">
        <v>22</v>
      </c>
      <c r="Z4003" s="4">
        <v>2</v>
      </c>
      <c r="AA4003" s="4">
        <v>4</v>
      </c>
      <c r="AB4003" s="4">
        <v>1</v>
      </c>
      <c r="AC4003" s="4">
        <v>2</v>
      </c>
      <c r="AD4003" s="4">
        <v>15</v>
      </c>
      <c r="AE4003" s="4">
        <v>15</v>
      </c>
      <c r="AF4003" s="4">
        <v>0</v>
      </c>
      <c r="AG4003" s="4">
        <v>0</v>
      </c>
      <c r="AH4003" s="4">
        <v>14</v>
      </c>
      <c r="AI4003" s="4">
        <v>14</v>
      </c>
      <c r="AJ4003" s="4">
        <v>1</v>
      </c>
      <c r="AK4003" s="4">
        <v>1</v>
      </c>
      <c r="AL4003" s="4">
        <v>12</v>
      </c>
      <c r="AM4003" s="4">
        <v>12</v>
      </c>
      <c r="AN4003" s="4">
        <v>0</v>
      </c>
      <c r="AO4003" s="4">
        <v>0</v>
      </c>
      <c r="AP4003" s="4">
        <v>1</v>
      </c>
      <c r="AQ4003" s="4">
        <v>1</v>
      </c>
      <c r="AR4003" s="3" t="s">
        <v>63</v>
      </c>
      <c r="AS4003" s="3" t="s">
        <v>63</v>
      </c>
      <c r="AT4003" s="3" t="s">
        <v>63</v>
      </c>
      <c r="AV4003" s="6" t="str">
        <f>HYPERLINK("http://mcgill.on.worldcat.org/oclc/663975241","Catalog Record")</f>
        <v>Catalog Record</v>
      </c>
      <c r="AW4003" s="6" t="str">
        <f>HYPERLINK("http://www.worldcat.org/oclc/663975241","WorldCat Record")</f>
        <v>WorldCat Record</v>
      </c>
      <c r="AX4003" s="3" t="s">
        <v>34286</v>
      </c>
      <c r="AY4003" s="3" t="s">
        <v>34287</v>
      </c>
      <c r="AZ4003" s="3" t="s">
        <v>34288</v>
      </c>
      <c r="BA4003" s="3" t="s">
        <v>34288</v>
      </c>
      <c r="BB4003" s="3" t="s">
        <v>34289</v>
      </c>
      <c r="BC4003" s="3" t="s">
        <v>82</v>
      </c>
      <c r="BD4003" s="3" t="s">
        <v>70</v>
      </c>
      <c r="BE4003" s="3" t="s">
        <v>34290</v>
      </c>
      <c r="BF4003" s="3" t="s">
        <v>34289</v>
      </c>
      <c r="BG4003" s="3" t="s">
        <v>34291</v>
      </c>
    </row>
    <row r="4004" spans="1:59" ht="60" x14ac:dyDescent="0.25">
      <c r="A4004" s="2" t="s">
        <v>59</v>
      </c>
      <c r="B4004" s="2" t="s">
        <v>60</v>
      </c>
      <c r="C4004" s="2" t="s">
        <v>34292</v>
      </c>
      <c r="D4004" s="2" t="s">
        <v>34293</v>
      </c>
      <c r="E4004" s="2" t="s">
        <v>34294</v>
      </c>
      <c r="G4004" s="3" t="s">
        <v>63</v>
      </c>
      <c r="I4004" s="3" t="s">
        <v>63</v>
      </c>
      <c r="J4004" s="3" t="s">
        <v>63</v>
      </c>
      <c r="K4004" s="3" t="s">
        <v>64</v>
      </c>
      <c r="L4004" s="2" t="s">
        <v>34285</v>
      </c>
      <c r="M4004" s="2" t="s">
        <v>22532</v>
      </c>
      <c r="N4004" s="3" t="s">
        <v>629</v>
      </c>
      <c r="P4004" s="3" t="s">
        <v>90</v>
      </c>
      <c r="R4004" s="3" t="s">
        <v>67</v>
      </c>
      <c r="S4004" s="4">
        <v>2</v>
      </c>
      <c r="T4004" s="4">
        <v>2</v>
      </c>
      <c r="U4004" s="5" t="s">
        <v>12567</v>
      </c>
      <c r="V4004" s="5" t="s">
        <v>12567</v>
      </c>
      <c r="W4004" s="5" t="s">
        <v>69</v>
      </c>
      <c r="X4004" s="5" t="s">
        <v>69</v>
      </c>
      <c r="Y4004" s="4">
        <v>52</v>
      </c>
      <c r="Z4004" s="4">
        <v>5</v>
      </c>
      <c r="AA4004" s="4">
        <v>5</v>
      </c>
      <c r="AB4004" s="4">
        <v>1</v>
      </c>
      <c r="AC4004" s="4">
        <v>1</v>
      </c>
      <c r="AD4004" s="4">
        <v>38</v>
      </c>
      <c r="AE4004" s="4">
        <v>38</v>
      </c>
      <c r="AF4004" s="4">
        <v>0</v>
      </c>
      <c r="AG4004" s="4">
        <v>0</v>
      </c>
      <c r="AH4004" s="4">
        <v>37</v>
      </c>
      <c r="AI4004" s="4">
        <v>37</v>
      </c>
      <c r="AJ4004" s="4">
        <v>3</v>
      </c>
      <c r="AK4004" s="4">
        <v>3</v>
      </c>
      <c r="AL4004" s="4">
        <v>28</v>
      </c>
      <c r="AM4004" s="4">
        <v>28</v>
      </c>
      <c r="AN4004" s="4">
        <v>0</v>
      </c>
      <c r="AO4004" s="4">
        <v>0</v>
      </c>
      <c r="AP4004" s="4">
        <v>3</v>
      </c>
      <c r="AQ4004" s="4">
        <v>3</v>
      </c>
      <c r="AR4004" s="3" t="s">
        <v>63</v>
      </c>
      <c r="AS4004" s="3" t="s">
        <v>63</v>
      </c>
      <c r="AT4004" s="3" t="s">
        <v>63</v>
      </c>
      <c r="AV4004" s="6" t="str">
        <f>HYPERLINK("http://mcgill.on.worldcat.org/oclc/746464004","Catalog Record")</f>
        <v>Catalog Record</v>
      </c>
      <c r="AW4004" s="6" t="str">
        <f>HYPERLINK("http://www.worldcat.org/oclc/746464004","WorldCat Record")</f>
        <v>WorldCat Record</v>
      </c>
      <c r="AX4004" s="3" t="s">
        <v>34295</v>
      </c>
      <c r="AY4004" s="3" t="s">
        <v>34296</v>
      </c>
      <c r="AZ4004" s="3" t="s">
        <v>34297</v>
      </c>
      <c r="BA4004" s="3" t="s">
        <v>34297</v>
      </c>
      <c r="BB4004" s="3" t="s">
        <v>34298</v>
      </c>
      <c r="BC4004" s="3" t="s">
        <v>82</v>
      </c>
      <c r="BD4004" s="3" t="s">
        <v>70</v>
      </c>
      <c r="BE4004" s="3" t="s">
        <v>34299</v>
      </c>
      <c r="BF4004" s="3" t="s">
        <v>34298</v>
      </c>
      <c r="BG4004" s="3" t="s">
        <v>34300</v>
      </c>
    </row>
    <row r="4005" spans="1:59" ht="60" x14ac:dyDescent="0.25">
      <c r="A4005" s="2" t="s">
        <v>59</v>
      </c>
      <c r="B4005" s="2" t="s">
        <v>60</v>
      </c>
      <c r="C4005" s="2" t="s">
        <v>34301</v>
      </c>
      <c r="D4005" s="2" t="s">
        <v>34302</v>
      </c>
      <c r="E4005" s="2" t="s">
        <v>34303</v>
      </c>
      <c r="G4005" s="3" t="s">
        <v>63</v>
      </c>
      <c r="I4005" s="3" t="s">
        <v>63</v>
      </c>
      <c r="J4005" s="3" t="s">
        <v>63</v>
      </c>
      <c r="K4005" s="3" t="s">
        <v>64</v>
      </c>
      <c r="L4005" s="2" t="s">
        <v>34304</v>
      </c>
      <c r="M4005" s="2" t="s">
        <v>5236</v>
      </c>
      <c r="N4005" s="3" t="s">
        <v>106</v>
      </c>
      <c r="P4005" s="3" t="s">
        <v>90</v>
      </c>
      <c r="Q4005" s="2" t="s">
        <v>28975</v>
      </c>
      <c r="R4005" s="3" t="s">
        <v>67</v>
      </c>
      <c r="S4005" s="4">
        <v>2</v>
      </c>
      <c r="T4005" s="4">
        <v>2</v>
      </c>
      <c r="U4005" s="5" t="s">
        <v>15943</v>
      </c>
      <c r="V4005" s="5" t="s">
        <v>15943</v>
      </c>
      <c r="W4005" s="5" t="s">
        <v>69</v>
      </c>
      <c r="X4005" s="5" t="s">
        <v>69</v>
      </c>
      <c r="Y4005" s="4">
        <v>20</v>
      </c>
      <c r="Z4005" s="4">
        <v>2</v>
      </c>
      <c r="AA4005" s="4">
        <v>2</v>
      </c>
      <c r="AB4005" s="4">
        <v>1</v>
      </c>
      <c r="AC4005" s="4">
        <v>1</v>
      </c>
      <c r="AD4005" s="4">
        <v>17</v>
      </c>
      <c r="AE4005" s="4">
        <v>17</v>
      </c>
      <c r="AF4005" s="4">
        <v>0</v>
      </c>
      <c r="AG4005" s="4">
        <v>0</v>
      </c>
      <c r="AH4005" s="4">
        <v>16</v>
      </c>
      <c r="AI4005" s="4">
        <v>16</v>
      </c>
      <c r="AJ4005" s="4">
        <v>1</v>
      </c>
      <c r="AK4005" s="4">
        <v>1</v>
      </c>
      <c r="AL4005" s="4">
        <v>13</v>
      </c>
      <c r="AM4005" s="4">
        <v>13</v>
      </c>
      <c r="AN4005" s="4">
        <v>0</v>
      </c>
      <c r="AO4005" s="4">
        <v>0</v>
      </c>
      <c r="AP4005" s="4">
        <v>1</v>
      </c>
      <c r="AQ4005" s="4">
        <v>1</v>
      </c>
      <c r="AR4005" s="3" t="s">
        <v>63</v>
      </c>
      <c r="AS4005" s="3" t="s">
        <v>63</v>
      </c>
      <c r="AT4005" s="3" t="s">
        <v>63</v>
      </c>
      <c r="AV4005" s="6" t="str">
        <f>HYPERLINK("http://mcgill.on.worldcat.org/oclc/964571109","Catalog Record")</f>
        <v>Catalog Record</v>
      </c>
      <c r="AW4005" s="6" t="str">
        <f>HYPERLINK("http://www.worldcat.org/oclc/964571109","WorldCat Record")</f>
        <v>WorldCat Record</v>
      </c>
      <c r="AX4005" s="3" t="s">
        <v>34305</v>
      </c>
      <c r="AY4005" s="3" t="s">
        <v>34306</v>
      </c>
      <c r="AZ4005" s="3" t="s">
        <v>34307</v>
      </c>
      <c r="BA4005" s="3" t="s">
        <v>34307</v>
      </c>
      <c r="BB4005" s="3" t="s">
        <v>34308</v>
      </c>
      <c r="BC4005" s="3" t="s">
        <v>82</v>
      </c>
      <c r="BD4005" s="3" t="s">
        <v>70</v>
      </c>
      <c r="BE4005" s="3" t="s">
        <v>34309</v>
      </c>
      <c r="BF4005" s="3" t="s">
        <v>34308</v>
      </c>
      <c r="BG4005" s="3" t="s">
        <v>34310</v>
      </c>
    </row>
    <row r="4006" spans="1:59" ht="60" x14ac:dyDescent="0.25">
      <c r="A4006" s="2" t="s">
        <v>59</v>
      </c>
      <c r="B4006" s="2" t="s">
        <v>60</v>
      </c>
      <c r="C4006" s="2" t="s">
        <v>34311</v>
      </c>
      <c r="D4006" s="2" t="s">
        <v>34312</v>
      </c>
      <c r="E4006" s="2" t="s">
        <v>34313</v>
      </c>
      <c r="G4006" s="3" t="s">
        <v>63</v>
      </c>
      <c r="I4006" s="3" t="s">
        <v>63</v>
      </c>
      <c r="J4006" s="3" t="s">
        <v>63</v>
      </c>
      <c r="K4006" s="3" t="s">
        <v>64</v>
      </c>
      <c r="L4006" s="2" t="s">
        <v>34314</v>
      </c>
      <c r="M4006" s="2" t="s">
        <v>9716</v>
      </c>
      <c r="N4006" s="3" t="s">
        <v>143</v>
      </c>
      <c r="P4006" s="3" t="s">
        <v>90</v>
      </c>
      <c r="Q4006" s="2" t="s">
        <v>34315</v>
      </c>
      <c r="R4006" s="3" t="s">
        <v>67</v>
      </c>
      <c r="S4006" s="4">
        <v>1</v>
      </c>
      <c r="T4006" s="4">
        <v>1</v>
      </c>
      <c r="U4006" s="5" t="s">
        <v>21334</v>
      </c>
      <c r="V4006" s="5" t="s">
        <v>21334</v>
      </c>
      <c r="W4006" s="5" t="s">
        <v>69</v>
      </c>
      <c r="X4006" s="5" t="s">
        <v>69</v>
      </c>
      <c r="Y4006" s="4">
        <v>24</v>
      </c>
      <c r="Z4006" s="4">
        <v>5</v>
      </c>
      <c r="AA4006" s="4">
        <v>5</v>
      </c>
      <c r="AB4006" s="4">
        <v>1</v>
      </c>
      <c r="AC4006" s="4">
        <v>1</v>
      </c>
      <c r="AD4006" s="4">
        <v>12</v>
      </c>
      <c r="AE4006" s="4">
        <v>25</v>
      </c>
      <c r="AF4006" s="4">
        <v>0</v>
      </c>
      <c r="AG4006" s="4">
        <v>0</v>
      </c>
      <c r="AH4006" s="4">
        <v>12</v>
      </c>
      <c r="AI4006" s="4">
        <v>24</v>
      </c>
      <c r="AJ4006" s="4">
        <v>1</v>
      </c>
      <c r="AK4006" s="4">
        <v>1</v>
      </c>
      <c r="AL4006" s="4">
        <v>10</v>
      </c>
      <c r="AM4006" s="4">
        <v>21</v>
      </c>
      <c r="AN4006" s="4">
        <v>0</v>
      </c>
      <c r="AO4006" s="4">
        <v>0</v>
      </c>
      <c r="AP4006" s="4">
        <v>1</v>
      </c>
      <c r="AQ4006" s="4">
        <v>1</v>
      </c>
      <c r="AR4006" s="3" t="s">
        <v>63</v>
      </c>
      <c r="AS4006" s="3" t="s">
        <v>63</v>
      </c>
      <c r="AT4006" s="3" t="s">
        <v>63</v>
      </c>
      <c r="AV4006" s="6" t="str">
        <f>HYPERLINK("http://mcgill.on.worldcat.org/oclc/876052665","Catalog Record")</f>
        <v>Catalog Record</v>
      </c>
      <c r="AW4006" s="6" t="str">
        <f>HYPERLINK("http://www.worldcat.org/oclc/876052665","WorldCat Record")</f>
        <v>WorldCat Record</v>
      </c>
      <c r="AX4006" s="3" t="s">
        <v>34316</v>
      </c>
      <c r="AY4006" s="3" t="s">
        <v>34317</v>
      </c>
      <c r="AZ4006" s="3" t="s">
        <v>34318</v>
      </c>
      <c r="BA4006" s="3" t="s">
        <v>34318</v>
      </c>
      <c r="BB4006" s="3" t="s">
        <v>34319</v>
      </c>
      <c r="BC4006" s="3" t="s">
        <v>82</v>
      </c>
      <c r="BD4006" s="3" t="s">
        <v>70</v>
      </c>
      <c r="BE4006" s="3" t="s">
        <v>34320</v>
      </c>
      <c r="BF4006" s="3" t="s">
        <v>34319</v>
      </c>
      <c r="BG4006" s="3" t="s">
        <v>34321</v>
      </c>
    </row>
    <row r="4007" spans="1:59" ht="60" x14ac:dyDescent="0.25">
      <c r="A4007" s="2" t="s">
        <v>59</v>
      </c>
      <c r="B4007" s="2" t="s">
        <v>60</v>
      </c>
      <c r="C4007" s="2" t="s">
        <v>34322</v>
      </c>
      <c r="D4007" s="2" t="s">
        <v>34323</v>
      </c>
      <c r="E4007" s="2" t="s">
        <v>34324</v>
      </c>
      <c r="G4007" s="3" t="s">
        <v>63</v>
      </c>
      <c r="I4007" s="3" t="s">
        <v>63</v>
      </c>
      <c r="J4007" s="3" t="s">
        <v>63</v>
      </c>
      <c r="K4007" s="3" t="s">
        <v>64</v>
      </c>
      <c r="L4007" s="2" t="s">
        <v>34325</v>
      </c>
      <c r="M4007" s="2" t="s">
        <v>6355</v>
      </c>
      <c r="N4007" s="3" t="s">
        <v>2765</v>
      </c>
      <c r="P4007" s="3" t="s">
        <v>90</v>
      </c>
      <c r="Q4007" s="2" t="s">
        <v>34326</v>
      </c>
      <c r="R4007" s="3" t="s">
        <v>67</v>
      </c>
      <c r="S4007" s="4">
        <v>1</v>
      </c>
      <c r="T4007" s="4">
        <v>1</v>
      </c>
      <c r="U4007" s="5" t="s">
        <v>31593</v>
      </c>
      <c r="V4007" s="5" t="s">
        <v>31593</v>
      </c>
      <c r="W4007" s="5" t="s">
        <v>69</v>
      </c>
      <c r="X4007" s="5" t="s">
        <v>69</v>
      </c>
      <c r="Y4007" s="4">
        <v>26</v>
      </c>
      <c r="Z4007" s="4">
        <v>3</v>
      </c>
      <c r="AA4007" s="4">
        <v>3</v>
      </c>
      <c r="AB4007" s="4">
        <v>1</v>
      </c>
      <c r="AC4007" s="4">
        <v>1</v>
      </c>
      <c r="AD4007" s="4">
        <v>21</v>
      </c>
      <c r="AE4007" s="4">
        <v>21</v>
      </c>
      <c r="AF4007" s="4">
        <v>0</v>
      </c>
      <c r="AG4007" s="4">
        <v>0</v>
      </c>
      <c r="AH4007" s="4">
        <v>20</v>
      </c>
      <c r="AI4007" s="4">
        <v>20</v>
      </c>
      <c r="AJ4007" s="4">
        <v>1</v>
      </c>
      <c r="AK4007" s="4">
        <v>1</v>
      </c>
      <c r="AL4007" s="4">
        <v>17</v>
      </c>
      <c r="AM4007" s="4">
        <v>17</v>
      </c>
      <c r="AN4007" s="4">
        <v>0</v>
      </c>
      <c r="AO4007" s="4">
        <v>0</v>
      </c>
      <c r="AP4007" s="4">
        <v>1</v>
      </c>
      <c r="AQ4007" s="4">
        <v>1</v>
      </c>
      <c r="AR4007" s="3" t="s">
        <v>63</v>
      </c>
      <c r="AS4007" s="3" t="s">
        <v>63</v>
      </c>
      <c r="AT4007" s="3" t="s">
        <v>63</v>
      </c>
      <c r="AV4007" s="6" t="str">
        <f>HYPERLINK("http://mcgill.on.worldcat.org/oclc/923747218","Catalog Record")</f>
        <v>Catalog Record</v>
      </c>
      <c r="AW4007" s="6" t="str">
        <f>HYPERLINK("http://www.worldcat.org/oclc/923747218","WorldCat Record")</f>
        <v>WorldCat Record</v>
      </c>
      <c r="AX4007" s="3" t="s">
        <v>34327</v>
      </c>
      <c r="AY4007" s="3" t="s">
        <v>34328</v>
      </c>
      <c r="AZ4007" s="3" t="s">
        <v>34329</v>
      </c>
      <c r="BA4007" s="3" t="s">
        <v>34329</v>
      </c>
      <c r="BB4007" s="3" t="s">
        <v>34330</v>
      </c>
      <c r="BC4007" s="3" t="s">
        <v>82</v>
      </c>
      <c r="BD4007" s="3" t="s">
        <v>70</v>
      </c>
      <c r="BE4007" s="3" t="s">
        <v>34331</v>
      </c>
      <c r="BF4007" s="3" t="s">
        <v>34330</v>
      </c>
      <c r="BG4007" s="3" t="s">
        <v>34332</v>
      </c>
    </row>
    <row r="4008" spans="1:59" ht="75" x14ac:dyDescent="0.25">
      <c r="A4008" s="2" t="s">
        <v>59</v>
      </c>
      <c r="B4008" s="2" t="s">
        <v>60</v>
      </c>
      <c r="C4008" s="2" t="s">
        <v>34333</v>
      </c>
      <c r="D4008" s="2" t="s">
        <v>34334</v>
      </c>
      <c r="E4008" s="2" t="s">
        <v>34335</v>
      </c>
      <c r="G4008" s="3" t="s">
        <v>63</v>
      </c>
      <c r="I4008" s="3" t="s">
        <v>63</v>
      </c>
      <c r="J4008" s="3" t="s">
        <v>63</v>
      </c>
      <c r="K4008" s="3" t="s">
        <v>64</v>
      </c>
      <c r="L4008" s="2" t="s">
        <v>34336</v>
      </c>
      <c r="M4008" s="2" t="s">
        <v>22532</v>
      </c>
      <c r="N4008" s="3" t="s">
        <v>629</v>
      </c>
      <c r="P4008" s="3" t="s">
        <v>90</v>
      </c>
      <c r="R4008" s="3" t="s">
        <v>67</v>
      </c>
      <c r="S4008" s="4">
        <v>4</v>
      </c>
      <c r="T4008" s="4">
        <v>4</v>
      </c>
      <c r="U4008" s="5" t="s">
        <v>30072</v>
      </c>
      <c r="V4008" s="5" t="s">
        <v>30072</v>
      </c>
      <c r="W4008" s="5" t="s">
        <v>69</v>
      </c>
      <c r="X4008" s="5" t="s">
        <v>69</v>
      </c>
      <c r="Y4008" s="4">
        <v>23</v>
      </c>
      <c r="Z4008" s="4">
        <v>1</v>
      </c>
      <c r="AA4008" s="4">
        <v>1</v>
      </c>
      <c r="AB4008" s="4">
        <v>1</v>
      </c>
      <c r="AC4008" s="4">
        <v>1</v>
      </c>
      <c r="AD4008" s="4">
        <v>13</v>
      </c>
      <c r="AE4008" s="4">
        <v>13</v>
      </c>
      <c r="AF4008" s="4">
        <v>0</v>
      </c>
      <c r="AG4008" s="4">
        <v>0</v>
      </c>
      <c r="AH4008" s="4">
        <v>13</v>
      </c>
      <c r="AI4008" s="4">
        <v>13</v>
      </c>
      <c r="AJ4008" s="4">
        <v>0</v>
      </c>
      <c r="AK4008" s="4">
        <v>0</v>
      </c>
      <c r="AL4008" s="4">
        <v>10</v>
      </c>
      <c r="AM4008" s="4">
        <v>10</v>
      </c>
      <c r="AN4008" s="4">
        <v>0</v>
      </c>
      <c r="AO4008" s="4">
        <v>0</v>
      </c>
      <c r="AP4008" s="4">
        <v>0</v>
      </c>
      <c r="AQ4008" s="4">
        <v>0</v>
      </c>
      <c r="AR4008" s="3" t="s">
        <v>63</v>
      </c>
      <c r="AS4008" s="3" t="s">
        <v>63</v>
      </c>
      <c r="AT4008" s="3" t="s">
        <v>63</v>
      </c>
      <c r="AV4008" s="6" t="str">
        <f>HYPERLINK("http://mcgill.on.worldcat.org/oclc/783148718","Catalog Record")</f>
        <v>Catalog Record</v>
      </c>
      <c r="AW4008" s="6" t="str">
        <f>HYPERLINK("http://www.worldcat.org/oclc/783148718","WorldCat Record")</f>
        <v>WorldCat Record</v>
      </c>
      <c r="AX4008" s="3" t="s">
        <v>34337</v>
      </c>
      <c r="AY4008" s="3" t="s">
        <v>34338</v>
      </c>
      <c r="AZ4008" s="3" t="s">
        <v>34339</v>
      </c>
      <c r="BA4008" s="3" t="s">
        <v>34339</v>
      </c>
      <c r="BB4008" s="3" t="s">
        <v>34340</v>
      </c>
      <c r="BC4008" s="3" t="s">
        <v>82</v>
      </c>
      <c r="BD4008" s="3" t="s">
        <v>70</v>
      </c>
      <c r="BE4008" s="3" t="s">
        <v>34341</v>
      </c>
      <c r="BF4008" s="3" t="s">
        <v>34340</v>
      </c>
      <c r="BG4008" s="3" t="s">
        <v>34342</v>
      </c>
    </row>
    <row r="4009" spans="1:59" ht="60" x14ac:dyDescent="0.25">
      <c r="A4009" s="2" t="s">
        <v>59</v>
      </c>
      <c r="B4009" s="2" t="s">
        <v>60</v>
      </c>
      <c r="C4009" s="2" t="s">
        <v>34343</v>
      </c>
      <c r="D4009" s="2" t="s">
        <v>34344</v>
      </c>
      <c r="E4009" s="2" t="s">
        <v>34345</v>
      </c>
      <c r="G4009" s="3" t="s">
        <v>63</v>
      </c>
      <c r="I4009" s="3" t="s">
        <v>63</v>
      </c>
      <c r="J4009" s="3" t="s">
        <v>63</v>
      </c>
      <c r="K4009" s="3" t="s">
        <v>64</v>
      </c>
      <c r="L4009" s="2" t="s">
        <v>34346</v>
      </c>
      <c r="M4009" s="2" t="s">
        <v>5236</v>
      </c>
      <c r="N4009" s="3" t="s">
        <v>106</v>
      </c>
      <c r="P4009" s="3" t="s">
        <v>90</v>
      </c>
      <c r="Q4009" s="2" t="s">
        <v>28975</v>
      </c>
      <c r="R4009" s="3" t="s">
        <v>67</v>
      </c>
      <c r="S4009" s="4">
        <v>1</v>
      </c>
      <c r="T4009" s="4">
        <v>1</v>
      </c>
      <c r="U4009" s="5" t="s">
        <v>19517</v>
      </c>
      <c r="V4009" s="5" t="s">
        <v>19517</v>
      </c>
      <c r="W4009" s="5" t="s">
        <v>69</v>
      </c>
      <c r="X4009" s="5" t="s">
        <v>69</v>
      </c>
      <c r="Y4009" s="4">
        <v>18</v>
      </c>
      <c r="Z4009" s="4">
        <v>1</v>
      </c>
      <c r="AA4009" s="4">
        <v>1</v>
      </c>
      <c r="AB4009" s="4">
        <v>1</v>
      </c>
      <c r="AC4009" s="4">
        <v>1</v>
      </c>
      <c r="AD4009" s="4">
        <v>12</v>
      </c>
      <c r="AE4009" s="4">
        <v>12</v>
      </c>
      <c r="AF4009" s="4">
        <v>0</v>
      </c>
      <c r="AG4009" s="4">
        <v>0</v>
      </c>
      <c r="AH4009" s="4">
        <v>12</v>
      </c>
      <c r="AI4009" s="4">
        <v>12</v>
      </c>
      <c r="AJ4009" s="4">
        <v>0</v>
      </c>
      <c r="AK4009" s="4">
        <v>0</v>
      </c>
      <c r="AL4009" s="4">
        <v>8</v>
      </c>
      <c r="AM4009" s="4">
        <v>8</v>
      </c>
      <c r="AN4009" s="4">
        <v>0</v>
      </c>
      <c r="AO4009" s="4">
        <v>0</v>
      </c>
      <c r="AP4009" s="4">
        <v>0</v>
      </c>
      <c r="AQ4009" s="4">
        <v>0</v>
      </c>
      <c r="AR4009" s="3" t="s">
        <v>63</v>
      </c>
      <c r="AS4009" s="3" t="s">
        <v>63</v>
      </c>
      <c r="AT4009" s="3" t="s">
        <v>63</v>
      </c>
      <c r="AV4009" s="6" t="str">
        <f>HYPERLINK("http://mcgill.on.worldcat.org/oclc/950002825","Catalog Record")</f>
        <v>Catalog Record</v>
      </c>
      <c r="AW4009" s="6" t="str">
        <f>HYPERLINK("http://www.worldcat.org/oclc/950002825","WorldCat Record")</f>
        <v>WorldCat Record</v>
      </c>
      <c r="AX4009" s="3" t="s">
        <v>34347</v>
      </c>
      <c r="AY4009" s="3" t="s">
        <v>34348</v>
      </c>
      <c r="AZ4009" s="3" t="s">
        <v>34349</v>
      </c>
      <c r="BA4009" s="3" t="s">
        <v>34349</v>
      </c>
      <c r="BB4009" s="3" t="s">
        <v>34350</v>
      </c>
      <c r="BC4009" s="3" t="s">
        <v>82</v>
      </c>
      <c r="BD4009" s="3" t="s">
        <v>70</v>
      </c>
      <c r="BE4009" s="3" t="s">
        <v>34351</v>
      </c>
      <c r="BF4009" s="3" t="s">
        <v>34350</v>
      </c>
      <c r="BG4009" s="3" t="s">
        <v>34352</v>
      </c>
    </row>
    <row r="4010" spans="1:59" ht="60" x14ac:dyDescent="0.25">
      <c r="A4010" s="2" t="s">
        <v>59</v>
      </c>
      <c r="B4010" s="2" t="s">
        <v>60</v>
      </c>
      <c r="C4010" s="2" t="s">
        <v>34353</v>
      </c>
      <c r="D4010" s="2" t="s">
        <v>34354</v>
      </c>
      <c r="E4010" s="2" t="s">
        <v>34355</v>
      </c>
      <c r="G4010" s="3" t="s">
        <v>63</v>
      </c>
      <c r="I4010" s="3" t="s">
        <v>63</v>
      </c>
      <c r="J4010" s="3" t="s">
        <v>63</v>
      </c>
      <c r="K4010" s="3" t="s">
        <v>64</v>
      </c>
      <c r="L4010" s="2" t="s">
        <v>34356</v>
      </c>
      <c r="M4010" s="2" t="s">
        <v>34357</v>
      </c>
      <c r="N4010" s="3" t="s">
        <v>143</v>
      </c>
      <c r="P4010" s="3" t="s">
        <v>90</v>
      </c>
      <c r="R4010" s="3" t="s">
        <v>67</v>
      </c>
      <c r="S4010" s="4">
        <v>0</v>
      </c>
      <c r="T4010" s="4">
        <v>0</v>
      </c>
      <c r="W4010" s="5" t="s">
        <v>69</v>
      </c>
      <c r="X4010" s="5" t="s">
        <v>69</v>
      </c>
      <c r="Y4010" s="4">
        <v>80</v>
      </c>
      <c r="Z4010" s="4">
        <v>7</v>
      </c>
      <c r="AA4010" s="4">
        <v>7</v>
      </c>
      <c r="AB4010" s="4">
        <v>1</v>
      </c>
      <c r="AC4010" s="4">
        <v>1</v>
      </c>
      <c r="AD4010" s="4">
        <v>35</v>
      </c>
      <c r="AE4010" s="4">
        <v>35</v>
      </c>
      <c r="AF4010" s="4">
        <v>0</v>
      </c>
      <c r="AG4010" s="4">
        <v>0</v>
      </c>
      <c r="AH4010" s="4">
        <v>34</v>
      </c>
      <c r="AI4010" s="4">
        <v>34</v>
      </c>
      <c r="AJ4010" s="4">
        <v>3</v>
      </c>
      <c r="AK4010" s="4">
        <v>3</v>
      </c>
      <c r="AL4010" s="4">
        <v>27</v>
      </c>
      <c r="AM4010" s="4">
        <v>27</v>
      </c>
      <c r="AN4010" s="4">
        <v>0</v>
      </c>
      <c r="AO4010" s="4">
        <v>0</v>
      </c>
      <c r="AP4010" s="4">
        <v>3</v>
      </c>
      <c r="AQ4010" s="4">
        <v>3</v>
      </c>
      <c r="AR4010" s="3" t="s">
        <v>63</v>
      </c>
      <c r="AS4010" s="3" t="s">
        <v>63</v>
      </c>
      <c r="AT4010" s="3" t="s">
        <v>63</v>
      </c>
      <c r="AV4010" s="6" t="str">
        <f>HYPERLINK("http://mcgill.on.worldcat.org/oclc/871003078","Catalog Record")</f>
        <v>Catalog Record</v>
      </c>
      <c r="AW4010" s="6" t="str">
        <f>HYPERLINK("http://www.worldcat.org/oclc/871003078","WorldCat Record")</f>
        <v>WorldCat Record</v>
      </c>
      <c r="AX4010" s="3" t="s">
        <v>34358</v>
      </c>
      <c r="AY4010" s="3" t="s">
        <v>34359</v>
      </c>
      <c r="AZ4010" s="3" t="s">
        <v>34360</v>
      </c>
      <c r="BA4010" s="3" t="s">
        <v>34360</v>
      </c>
      <c r="BB4010" s="3" t="s">
        <v>34361</v>
      </c>
      <c r="BC4010" s="3" t="s">
        <v>82</v>
      </c>
      <c r="BD4010" s="3" t="s">
        <v>70</v>
      </c>
      <c r="BE4010" s="3" t="s">
        <v>34361</v>
      </c>
      <c r="BF4010" s="3" t="s">
        <v>34361</v>
      </c>
      <c r="BG4010" s="3" t="s">
        <v>34362</v>
      </c>
    </row>
    <row r="4011" spans="1:59" ht="75" x14ac:dyDescent="0.25">
      <c r="A4011" s="2" t="s">
        <v>59</v>
      </c>
      <c r="B4011" s="2" t="s">
        <v>60</v>
      </c>
      <c r="C4011" s="2" t="s">
        <v>34363</v>
      </c>
      <c r="D4011" s="2" t="s">
        <v>34364</v>
      </c>
      <c r="E4011" s="2" t="s">
        <v>34365</v>
      </c>
      <c r="G4011" s="3" t="s">
        <v>63</v>
      </c>
      <c r="I4011" s="3" t="s">
        <v>63</v>
      </c>
      <c r="J4011" s="3" t="s">
        <v>63</v>
      </c>
      <c r="K4011" s="3" t="s">
        <v>64</v>
      </c>
      <c r="L4011" s="2" t="s">
        <v>34366</v>
      </c>
      <c r="M4011" s="2" t="s">
        <v>34367</v>
      </c>
      <c r="N4011" s="3" t="s">
        <v>76</v>
      </c>
      <c r="P4011" s="3" t="s">
        <v>90</v>
      </c>
      <c r="R4011" s="3" t="s">
        <v>67</v>
      </c>
      <c r="S4011" s="4">
        <v>3</v>
      </c>
      <c r="T4011" s="4">
        <v>3</v>
      </c>
      <c r="U4011" s="5" t="s">
        <v>33813</v>
      </c>
      <c r="V4011" s="5" t="s">
        <v>33813</v>
      </c>
      <c r="W4011" s="5" t="s">
        <v>69</v>
      </c>
      <c r="X4011" s="5" t="s">
        <v>69</v>
      </c>
      <c r="Y4011" s="4">
        <v>18</v>
      </c>
      <c r="Z4011" s="4">
        <v>1</v>
      </c>
      <c r="AA4011" s="4">
        <v>1</v>
      </c>
      <c r="AB4011" s="4">
        <v>1</v>
      </c>
      <c r="AC4011" s="4">
        <v>1</v>
      </c>
      <c r="AD4011" s="4">
        <v>16</v>
      </c>
      <c r="AE4011" s="4">
        <v>16</v>
      </c>
      <c r="AF4011" s="4">
        <v>0</v>
      </c>
      <c r="AG4011" s="4">
        <v>0</v>
      </c>
      <c r="AH4011" s="4">
        <v>16</v>
      </c>
      <c r="AI4011" s="4">
        <v>16</v>
      </c>
      <c r="AJ4011" s="4">
        <v>0</v>
      </c>
      <c r="AK4011" s="4">
        <v>0</v>
      </c>
      <c r="AL4011" s="4">
        <v>13</v>
      </c>
      <c r="AM4011" s="4">
        <v>13</v>
      </c>
      <c r="AN4011" s="4">
        <v>0</v>
      </c>
      <c r="AO4011" s="4">
        <v>0</v>
      </c>
      <c r="AP4011" s="4">
        <v>0</v>
      </c>
      <c r="AQ4011" s="4">
        <v>0</v>
      </c>
      <c r="AR4011" s="3" t="s">
        <v>63</v>
      </c>
      <c r="AS4011" s="3" t="s">
        <v>63</v>
      </c>
      <c r="AT4011" s="3" t="s">
        <v>63</v>
      </c>
      <c r="AV4011" s="6" t="str">
        <f>HYPERLINK("http://mcgill.on.worldcat.org/oclc/816554631","Catalog Record")</f>
        <v>Catalog Record</v>
      </c>
      <c r="AW4011" s="6" t="str">
        <f>HYPERLINK("http://www.worldcat.org/oclc/816554631","WorldCat Record")</f>
        <v>WorldCat Record</v>
      </c>
      <c r="AX4011" s="3" t="s">
        <v>34368</v>
      </c>
      <c r="AY4011" s="3" t="s">
        <v>34369</v>
      </c>
      <c r="AZ4011" s="3" t="s">
        <v>34370</v>
      </c>
      <c r="BA4011" s="3" t="s">
        <v>34370</v>
      </c>
      <c r="BB4011" s="3" t="s">
        <v>34371</v>
      </c>
      <c r="BC4011" s="3" t="s">
        <v>82</v>
      </c>
      <c r="BD4011" s="3" t="s">
        <v>70</v>
      </c>
      <c r="BE4011" s="3" t="s">
        <v>34372</v>
      </c>
      <c r="BF4011" s="3" t="s">
        <v>34371</v>
      </c>
      <c r="BG4011" s="3" t="s">
        <v>34373</v>
      </c>
    </row>
    <row r="4012" spans="1:59" ht="75" x14ac:dyDescent="0.25">
      <c r="A4012" s="2" t="s">
        <v>59</v>
      </c>
      <c r="B4012" s="2" t="s">
        <v>60</v>
      </c>
      <c r="C4012" s="2" t="s">
        <v>34374</v>
      </c>
      <c r="D4012" s="2" t="s">
        <v>34375</v>
      </c>
      <c r="E4012" s="2" t="s">
        <v>34376</v>
      </c>
      <c r="G4012" s="3" t="s">
        <v>63</v>
      </c>
      <c r="I4012" s="3" t="s">
        <v>63</v>
      </c>
      <c r="J4012" s="3" t="s">
        <v>63</v>
      </c>
      <c r="K4012" s="3" t="s">
        <v>64</v>
      </c>
      <c r="L4012" s="2" t="s">
        <v>34377</v>
      </c>
      <c r="M4012" s="2" t="s">
        <v>30137</v>
      </c>
      <c r="N4012" s="3" t="s">
        <v>143</v>
      </c>
      <c r="P4012" s="3" t="s">
        <v>90</v>
      </c>
      <c r="Q4012" s="2" t="s">
        <v>34378</v>
      </c>
      <c r="R4012" s="3" t="s">
        <v>67</v>
      </c>
      <c r="S4012" s="4">
        <v>1</v>
      </c>
      <c r="T4012" s="4">
        <v>1</v>
      </c>
      <c r="U4012" s="5" t="s">
        <v>15137</v>
      </c>
      <c r="V4012" s="5" t="s">
        <v>15137</v>
      </c>
      <c r="W4012" s="5" t="s">
        <v>69</v>
      </c>
      <c r="X4012" s="5" t="s">
        <v>69</v>
      </c>
      <c r="Y4012" s="4">
        <v>83</v>
      </c>
      <c r="Z4012" s="4">
        <v>7</v>
      </c>
      <c r="AA4012" s="4">
        <v>7</v>
      </c>
      <c r="AB4012" s="4">
        <v>1</v>
      </c>
      <c r="AC4012" s="4">
        <v>1</v>
      </c>
      <c r="AD4012" s="4">
        <v>35</v>
      </c>
      <c r="AE4012" s="4">
        <v>35</v>
      </c>
      <c r="AF4012" s="4">
        <v>0</v>
      </c>
      <c r="AG4012" s="4">
        <v>0</v>
      </c>
      <c r="AH4012" s="4">
        <v>34</v>
      </c>
      <c r="AI4012" s="4">
        <v>34</v>
      </c>
      <c r="AJ4012" s="4">
        <v>3</v>
      </c>
      <c r="AK4012" s="4">
        <v>3</v>
      </c>
      <c r="AL4012" s="4">
        <v>26</v>
      </c>
      <c r="AM4012" s="4">
        <v>26</v>
      </c>
      <c r="AN4012" s="4">
        <v>0</v>
      </c>
      <c r="AO4012" s="4">
        <v>0</v>
      </c>
      <c r="AP4012" s="4">
        <v>3</v>
      </c>
      <c r="AQ4012" s="4">
        <v>3</v>
      </c>
      <c r="AR4012" s="3" t="s">
        <v>63</v>
      </c>
      <c r="AS4012" s="3" t="s">
        <v>63</v>
      </c>
      <c r="AT4012" s="3" t="s">
        <v>63</v>
      </c>
      <c r="AV4012" s="6" t="str">
        <f>HYPERLINK("http://mcgill.on.worldcat.org/oclc/889407256","Catalog Record")</f>
        <v>Catalog Record</v>
      </c>
      <c r="AW4012" s="6" t="str">
        <f>HYPERLINK("http://www.worldcat.org/oclc/889407256","WorldCat Record")</f>
        <v>WorldCat Record</v>
      </c>
      <c r="AX4012" s="3" t="s">
        <v>34379</v>
      </c>
      <c r="AY4012" s="3" t="s">
        <v>34380</v>
      </c>
      <c r="AZ4012" s="3" t="s">
        <v>34381</v>
      </c>
      <c r="BA4012" s="3" t="s">
        <v>34381</v>
      </c>
      <c r="BB4012" s="3" t="s">
        <v>34382</v>
      </c>
      <c r="BC4012" s="3" t="s">
        <v>82</v>
      </c>
      <c r="BD4012" s="3" t="s">
        <v>70</v>
      </c>
      <c r="BE4012" s="3" t="s">
        <v>34383</v>
      </c>
      <c r="BF4012" s="3" t="s">
        <v>34382</v>
      </c>
      <c r="BG4012" s="3" t="s">
        <v>34384</v>
      </c>
    </row>
    <row r="4013" spans="1:59" ht="60" x14ac:dyDescent="0.25">
      <c r="A4013" s="2" t="s">
        <v>59</v>
      </c>
      <c r="B4013" s="2" t="s">
        <v>60</v>
      </c>
      <c r="C4013" s="2" t="s">
        <v>34385</v>
      </c>
      <c r="D4013" s="2" t="s">
        <v>34386</v>
      </c>
      <c r="E4013" s="2" t="s">
        <v>34387</v>
      </c>
      <c r="G4013" s="3" t="s">
        <v>63</v>
      </c>
      <c r="I4013" s="3" t="s">
        <v>63</v>
      </c>
      <c r="J4013" s="3" t="s">
        <v>63</v>
      </c>
      <c r="K4013" s="3" t="s">
        <v>64</v>
      </c>
      <c r="L4013" s="2" t="s">
        <v>34377</v>
      </c>
      <c r="M4013" s="2" t="s">
        <v>34388</v>
      </c>
      <c r="N4013" s="3" t="s">
        <v>76</v>
      </c>
      <c r="P4013" s="3" t="s">
        <v>90</v>
      </c>
      <c r="Q4013" s="2" t="s">
        <v>31592</v>
      </c>
      <c r="R4013" s="3" t="s">
        <v>67</v>
      </c>
      <c r="S4013" s="4">
        <v>2</v>
      </c>
      <c r="T4013" s="4">
        <v>2</v>
      </c>
      <c r="U4013" s="5" t="s">
        <v>10635</v>
      </c>
      <c r="V4013" s="5" t="s">
        <v>10635</v>
      </c>
      <c r="W4013" s="5" t="s">
        <v>69</v>
      </c>
      <c r="X4013" s="5" t="s">
        <v>69</v>
      </c>
      <c r="Y4013" s="4">
        <v>13</v>
      </c>
      <c r="Z4013" s="4">
        <v>3</v>
      </c>
      <c r="AA4013" s="4">
        <v>8</v>
      </c>
      <c r="AB4013" s="4">
        <v>1</v>
      </c>
      <c r="AC4013" s="4">
        <v>1</v>
      </c>
      <c r="AD4013" s="4">
        <v>9</v>
      </c>
      <c r="AE4013" s="4">
        <v>37</v>
      </c>
      <c r="AF4013" s="4">
        <v>0</v>
      </c>
      <c r="AG4013" s="4">
        <v>0</v>
      </c>
      <c r="AH4013" s="4">
        <v>9</v>
      </c>
      <c r="AI4013" s="4">
        <v>36</v>
      </c>
      <c r="AJ4013" s="4">
        <v>2</v>
      </c>
      <c r="AK4013" s="4">
        <v>4</v>
      </c>
      <c r="AL4013" s="4">
        <v>5</v>
      </c>
      <c r="AM4013" s="4">
        <v>27</v>
      </c>
      <c r="AN4013" s="4">
        <v>0</v>
      </c>
      <c r="AO4013" s="4">
        <v>0</v>
      </c>
      <c r="AP4013" s="4">
        <v>2</v>
      </c>
      <c r="AQ4013" s="4">
        <v>4</v>
      </c>
      <c r="AR4013" s="3" t="s">
        <v>63</v>
      </c>
      <c r="AS4013" s="3" t="s">
        <v>63</v>
      </c>
      <c r="AT4013" s="3" t="s">
        <v>63</v>
      </c>
      <c r="AV4013" s="6" t="str">
        <f>HYPERLINK("http://mcgill.on.worldcat.org/oclc/805364512","Catalog Record")</f>
        <v>Catalog Record</v>
      </c>
      <c r="AW4013" s="6" t="str">
        <f>HYPERLINK("http://www.worldcat.org/oclc/805364512","WorldCat Record")</f>
        <v>WorldCat Record</v>
      </c>
      <c r="AX4013" s="3" t="s">
        <v>34389</v>
      </c>
      <c r="AY4013" s="3" t="s">
        <v>34390</v>
      </c>
      <c r="AZ4013" s="3" t="s">
        <v>34391</v>
      </c>
      <c r="BA4013" s="3" t="s">
        <v>34391</v>
      </c>
      <c r="BB4013" s="3" t="s">
        <v>34392</v>
      </c>
      <c r="BC4013" s="3" t="s">
        <v>82</v>
      </c>
      <c r="BD4013" s="3" t="s">
        <v>70</v>
      </c>
      <c r="BE4013" s="3" t="s">
        <v>34393</v>
      </c>
      <c r="BF4013" s="3" t="s">
        <v>34392</v>
      </c>
      <c r="BG4013" s="3" t="s">
        <v>34394</v>
      </c>
    </row>
    <row r="4014" spans="1:59" ht="75" x14ac:dyDescent="0.25">
      <c r="A4014" s="2" t="s">
        <v>59</v>
      </c>
      <c r="B4014" s="2" t="s">
        <v>60</v>
      </c>
      <c r="C4014" s="2" t="s">
        <v>34395</v>
      </c>
      <c r="D4014" s="2" t="s">
        <v>34396</v>
      </c>
      <c r="E4014" s="2" t="s">
        <v>34397</v>
      </c>
      <c r="G4014" s="3" t="s">
        <v>63</v>
      </c>
      <c r="I4014" s="3" t="s">
        <v>63</v>
      </c>
      <c r="J4014" s="3" t="s">
        <v>63</v>
      </c>
      <c r="K4014" s="3" t="s">
        <v>64</v>
      </c>
      <c r="L4014" s="2" t="s">
        <v>34398</v>
      </c>
      <c r="M4014" s="2" t="s">
        <v>18633</v>
      </c>
      <c r="N4014" s="3" t="s">
        <v>313</v>
      </c>
      <c r="P4014" s="3" t="s">
        <v>90</v>
      </c>
      <c r="Q4014" s="2" t="s">
        <v>30787</v>
      </c>
      <c r="R4014" s="3" t="s">
        <v>67</v>
      </c>
      <c r="S4014" s="4">
        <v>4</v>
      </c>
      <c r="T4014" s="4">
        <v>4</v>
      </c>
      <c r="U4014" s="5" t="s">
        <v>33813</v>
      </c>
      <c r="V4014" s="5" t="s">
        <v>33813</v>
      </c>
      <c r="W4014" s="5" t="s">
        <v>69</v>
      </c>
      <c r="X4014" s="5" t="s">
        <v>69</v>
      </c>
      <c r="Y4014" s="4">
        <v>103</v>
      </c>
      <c r="Z4014" s="4">
        <v>10</v>
      </c>
      <c r="AA4014" s="4">
        <v>11</v>
      </c>
      <c r="AB4014" s="4">
        <v>2</v>
      </c>
      <c r="AC4014" s="4">
        <v>2</v>
      </c>
      <c r="AD4014" s="4">
        <v>43</v>
      </c>
      <c r="AE4014" s="4">
        <v>44</v>
      </c>
      <c r="AF4014" s="4">
        <v>0</v>
      </c>
      <c r="AG4014" s="4">
        <v>0</v>
      </c>
      <c r="AH4014" s="4">
        <v>42</v>
      </c>
      <c r="AI4014" s="4">
        <v>43</v>
      </c>
      <c r="AJ4014" s="4">
        <v>4</v>
      </c>
      <c r="AK4014" s="4">
        <v>4</v>
      </c>
      <c r="AL4014" s="4">
        <v>31</v>
      </c>
      <c r="AM4014" s="4">
        <v>32</v>
      </c>
      <c r="AN4014" s="4">
        <v>0</v>
      </c>
      <c r="AO4014" s="4">
        <v>0</v>
      </c>
      <c r="AP4014" s="4">
        <v>4</v>
      </c>
      <c r="AQ4014" s="4">
        <v>4</v>
      </c>
      <c r="AR4014" s="3" t="s">
        <v>63</v>
      </c>
      <c r="AS4014" s="3" t="s">
        <v>63</v>
      </c>
      <c r="AT4014" s="3" t="s">
        <v>63</v>
      </c>
      <c r="AV4014" s="6" t="str">
        <f>HYPERLINK("http://mcgill.on.worldcat.org/oclc/639620750","Catalog Record")</f>
        <v>Catalog Record</v>
      </c>
      <c r="AW4014" s="6" t="str">
        <f>HYPERLINK("http://www.worldcat.org/oclc/639620750","WorldCat Record")</f>
        <v>WorldCat Record</v>
      </c>
      <c r="AX4014" s="3" t="s">
        <v>34399</v>
      </c>
      <c r="AY4014" s="3" t="s">
        <v>34400</v>
      </c>
      <c r="AZ4014" s="3" t="s">
        <v>34401</v>
      </c>
      <c r="BA4014" s="3" t="s">
        <v>34401</v>
      </c>
      <c r="BB4014" s="3" t="s">
        <v>34402</v>
      </c>
      <c r="BC4014" s="3" t="s">
        <v>82</v>
      </c>
      <c r="BD4014" s="3" t="s">
        <v>70</v>
      </c>
      <c r="BE4014" s="3" t="s">
        <v>34403</v>
      </c>
      <c r="BF4014" s="3" t="s">
        <v>34402</v>
      </c>
      <c r="BG4014" s="3" t="s">
        <v>34404</v>
      </c>
    </row>
    <row r="4015" spans="1:59" ht="75" x14ac:dyDescent="0.25">
      <c r="A4015" s="2" t="s">
        <v>59</v>
      </c>
      <c r="B4015" s="2" t="s">
        <v>60</v>
      </c>
      <c r="C4015" s="2" t="s">
        <v>34405</v>
      </c>
      <c r="D4015" s="2" t="s">
        <v>34406</v>
      </c>
      <c r="E4015" s="2" t="s">
        <v>34407</v>
      </c>
      <c r="G4015" s="3" t="s">
        <v>63</v>
      </c>
      <c r="I4015" s="3" t="s">
        <v>63</v>
      </c>
      <c r="J4015" s="3" t="s">
        <v>63</v>
      </c>
      <c r="K4015" s="3" t="s">
        <v>64</v>
      </c>
      <c r="L4015" s="2" t="s">
        <v>34408</v>
      </c>
      <c r="M4015" s="2" t="s">
        <v>28908</v>
      </c>
      <c r="N4015" s="3" t="s">
        <v>313</v>
      </c>
      <c r="P4015" s="3" t="s">
        <v>90</v>
      </c>
      <c r="R4015" s="3" t="s">
        <v>67</v>
      </c>
      <c r="S4015" s="4">
        <v>2</v>
      </c>
      <c r="T4015" s="4">
        <v>2</v>
      </c>
      <c r="U4015" s="5" t="s">
        <v>9168</v>
      </c>
      <c r="V4015" s="5" t="s">
        <v>9168</v>
      </c>
      <c r="W4015" s="5" t="s">
        <v>69</v>
      </c>
      <c r="X4015" s="5" t="s">
        <v>69</v>
      </c>
      <c r="Y4015" s="4">
        <v>60</v>
      </c>
      <c r="Z4015" s="4">
        <v>5</v>
      </c>
      <c r="AA4015" s="4">
        <v>5</v>
      </c>
      <c r="AB4015" s="4">
        <v>1</v>
      </c>
      <c r="AC4015" s="4">
        <v>1</v>
      </c>
      <c r="AD4015" s="4">
        <v>30</v>
      </c>
      <c r="AE4015" s="4">
        <v>30</v>
      </c>
      <c r="AF4015" s="4">
        <v>0</v>
      </c>
      <c r="AG4015" s="4">
        <v>0</v>
      </c>
      <c r="AH4015" s="4">
        <v>29</v>
      </c>
      <c r="AI4015" s="4">
        <v>29</v>
      </c>
      <c r="AJ4015" s="4">
        <v>3</v>
      </c>
      <c r="AK4015" s="4">
        <v>3</v>
      </c>
      <c r="AL4015" s="4">
        <v>23</v>
      </c>
      <c r="AM4015" s="4">
        <v>23</v>
      </c>
      <c r="AN4015" s="4">
        <v>0</v>
      </c>
      <c r="AO4015" s="4">
        <v>0</v>
      </c>
      <c r="AP4015" s="4">
        <v>3</v>
      </c>
      <c r="AQ4015" s="4">
        <v>3</v>
      </c>
      <c r="AR4015" s="3" t="s">
        <v>63</v>
      </c>
      <c r="AS4015" s="3" t="s">
        <v>63</v>
      </c>
      <c r="AT4015" s="3" t="s">
        <v>63</v>
      </c>
      <c r="AV4015" s="6" t="str">
        <f>HYPERLINK("http://mcgill.on.worldcat.org/oclc/673636559","Catalog Record")</f>
        <v>Catalog Record</v>
      </c>
      <c r="AW4015" s="6" t="str">
        <f>HYPERLINK("http://www.worldcat.org/oclc/673636559","WorldCat Record")</f>
        <v>WorldCat Record</v>
      </c>
      <c r="AX4015" s="3" t="s">
        <v>34409</v>
      </c>
      <c r="AY4015" s="3" t="s">
        <v>34410</v>
      </c>
      <c r="AZ4015" s="3" t="s">
        <v>34411</v>
      </c>
      <c r="BA4015" s="3" t="s">
        <v>34411</v>
      </c>
      <c r="BB4015" s="3" t="s">
        <v>34412</v>
      </c>
      <c r="BC4015" s="3" t="s">
        <v>82</v>
      </c>
      <c r="BD4015" s="3" t="s">
        <v>70</v>
      </c>
      <c r="BE4015" s="3" t="s">
        <v>34413</v>
      </c>
      <c r="BF4015" s="3" t="s">
        <v>34412</v>
      </c>
      <c r="BG4015" s="3" t="s">
        <v>34414</v>
      </c>
    </row>
    <row r="4016" spans="1:59" ht="60" x14ac:dyDescent="0.25">
      <c r="A4016" s="2" t="s">
        <v>59</v>
      </c>
      <c r="B4016" s="2" t="s">
        <v>60</v>
      </c>
      <c r="C4016" s="2" t="s">
        <v>34415</v>
      </c>
      <c r="D4016" s="2" t="s">
        <v>34416</v>
      </c>
      <c r="E4016" s="2" t="s">
        <v>34417</v>
      </c>
      <c r="G4016" s="3" t="s">
        <v>63</v>
      </c>
      <c r="I4016" s="3" t="s">
        <v>63</v>
      </c>
      <c r="J4016" s="3" t="s">
        <v>63</v>
      </c>
      <c r="K4016" s="3" t="s">
        <v>64</v>
      </c>
      <c r="L4016" s="2" t="s">
        <v>34408</v>
      </c>
      <c r="M4016" s="2" t="s">
        <v>29170</v>
      </c>
      <c r="N4016" s="3" t="s">
        <v>76</v>
      </c>
      <c r="P4016" s="3" t="s">
        <v>90</v>
      </c>
      <c r="R4016" s="3" t="s">
        <v>67</v>
      </c>
      <c r="S4016" s="4">
        <v>0</v>
      </c>
      <c r="T4016" s="4">
        <v>0</v>
      </c>
      <c r="W4016" s="5" t="s">
        <v>69</v>
      </c>
      <c r="X4016" s="5" t="s">
        <v>69</v>
      </c>
      <c r="Y4016" s="4">
        <v>29</v>
      </c>
      <c r="Z4016" s="4">
        <v>1</v>
      </c>
      <c r="AA4016" s="4">
        <v>1</v>
      </c>
      <c r="AB4016" s="4">
        <v>1</v>
      </c>
      <c r="AC4016" s="4">
        <v>1</v>
      </c>
      <c r="AD4016" s="4">
        <v>20</v>
      </c>
      <c r="AE4016" s="4">
        <v>20</v>
      </c>
      <c r="AF4016" s="4">
        <v>0</v>
      </c>
      <c r="AG4016" s="4">
        <v>0</v>
      </c>
      <c r="AH4016" s="4">
        <v>19</v>
      </c>
      <c r="AI4016" s="4">
        <v>19</v>
      </c>
      <c r="AJ4016" s="4">
        <v>0</v>
      </c>
      <c r="AK4016" s="4">
        <v>0</v>
      </c>
      <c r="AL4016" s="4">
        <v>15</v>
      </c>
      <c r="AM4016" s="4">
        <v>15</v>
      </c>
      <c r="AN4016" s="4">
        <v>0</v>
      </c>
      <c r="AO4016" s="4">
        <v>0</v>
      </c>
      <c r="AP4016" s="4">
        <v>0</v>
      </c>
      <c r="AQ4016" s="4">
        <v>0</v>
      </c>
      <c r="AR4016" s="3" t="s">
        <v>63</v>
      </c>
      <c r="AS4016" s="3" t="s">
        <v>63</v>
      </c>
      <c r="AT4016" s="3" t="s">
        <v>63</v>
      </c>
      <c r="AV4016" s="6" t="str">
        <f>HYPERLINK("http://mcgill.on.worldcat.org/oclc/817893223","Catalog Record")</f>
        <v>Catalog Record</v>
      </c>
      <c r="AW4016" s="6" t="str">
        <f>HYPERLINK("http://www.worldcat.org/oclc/817893223","WorldCat Record")</f>
        <v>WorldCat Record</v>
      </c>
      <c r="AX4016" s="3" t="s">
        <v>34418</v>
      </c>
      <c r="AY4016" s="3" t="s">
        <v>34419</v>
      </c>
      <c r="AZ4016" s="3" t="s">
        <v>34420</v>
      </c>
      <c r="BA4016" s="3" t="s">
        <v>34420</v>
      </c>
      <c r="BB4016" s="3" t="s">
        <v>34421</v>
      </c>
      <c r="BC4016" s="3" t="s">
        <v>82</v>
      </c>
      <c r="BD4016" s="3" t="s">
        <v>70</v>
      </c>
      <c r="BE4016" s="3" t="s">
        <v>34422</v>
      </c>
      <c r="BF4016" s="3" t="s">
        <v>34421</v>
      </c>
      <c r="BG4016" s="3" t="s">
        <v>34423</v>
      </c>
    </row>
    <row r="4017" spans="1:59" ht="60" x14ac:dyDescent="0.25">
      <c r="A4017" s="2" t="s">
        <v>59</v>
      </c>
      <c r="B4017" s="2" t="s">
        <v>60</v>
      </c>
      <c r="C4017" s="2" t="s">
        <v>34424</v>
      </c>
      <c r="D4017" s="2" t="s">
        <v>34425</v>
      </c>
      <c r="E4017" s="2" t="s">
        <v>34426</v>
      </c>
      <c r="G4017" s="3" t="s">
        <v>63</v>
      </c>
      <c r="I4017" s="3" t="s">
        <v>63</v>
      </c>
      <c r="J4017" s="3" t="s">
        <v>63</v>
      </c>
      <c r="K4017" s="3" t="s">
        <v>64</v>
      </c>
      <c r="L4017" s="2" t="s">
        <v>34427</v>
      </c>
      <c r="M4017" s="2" t="s">
        <v>34428</v>
      </c>
      <c r="N4017" s="3" t="s">
        <v>130</v>
      </c>
      <c r="P4017" s="3" t="s">
        <v>90</v>
      </c>
      <c r="R4017" s="3" t="s">
        <v>67</v>
      </c>
      <c r="S4017" s="4">
        <v>1</v>
      </c>
      <c r="T4017" s="4">
        <v>1</v>
      </c>
      <c r="U4017" s="5" t="s">
        <v>30932</v>
      </c>
      <c r="V4017" s="5" t="s">
        <v>30932</v>
      </c>
      <c r="W4017" s="5" t="s">
        <v>69</v>
      </c>
      <c r="X4017" s="5" t="s">
        <v>69</v>
      </c>
      <c r="Y4017" s="4">
        <v>8</v>
      </c>
      <c r="Z4017" s="4">
        <v>3</v>
      </c>
      <c r="AA4017" s="4">
        <v>3</v>
      </c>
      <c r="AB4017" s="4">
        <v>1</v>
      </c>
      <c r="AC4017" s="4">
        <v>1</v>
      </c>
      <c r="AD4017" s="4">
        <v>5</v>
      </c>
      <c r="AE4017" s="4">
        <v>5</v>
      </c>
      <c r="AF4017" s="4">
        <v>0</v>
      </c>
      <c r="AG4017" s="4">
        <v>0</v>
      </c>
      <c r="AH4017" s="4">
        <v>5</v>
      </c>
      <c r="AI4017" s="4">
        <v>5</v>
      </c>
      <c r="AJ4017" s="4">
        <v>1</v>
      </c>
      <c r="AK4017" s="4">
        <v>1</v>
      </c>
      <c r="AL4017" s="4">
        <v>4</v>
      </c>
      <c r="AM4017" s="4">
        <v>4</v>
      </c>
      <c r="AN4017" s="4">
        <v>0</v>
      </c>
      <c r="AO4017" s="4">
        <v>0</v>
      </c>
      <c r="AP4017" s="4">
        <v>1</v>
      </c>
      <c r="AQ4017" s="4">
        <v>1</v>
      </c>
      <c r="AR4017" s="3" t="s">
        <v>63</v>
      </c>
      <c r="AS4017" s="3" t="s">
        <v>63</v>
      </c>
      <c r="AT4017" s="3" t="s">
        <v>63</v>
      </c>
      <c r="AV4017" s="6" t="str">
        <f>HYPERLINK("http://mcgill.on.worldcat.org/oclc/873561106","Catalog Record")</f>
        <v>Catalog Record</v>
      </c>
      <c r="AW4017" s="6" t="str">
        <f>HYPERLINK("http://www.worldcat.org/oclc/873561106","WorldCat Record")</f>
        <v>WorldCat Record</v>
      </c>
      <c r="AX4017" s="3" t="s">
        <v>34429</v>
      </c>
      <c r="AY4017" s="3" t="s">
        <v>34430</v>
      </c>
      <c r="AZ4017" s="3" t="s">
        <v>34431</v>
      </c>
      <c r="BA4017" s="3" t="s">
        <v>34431</v>
      </c>
      <c r="BB4017" s="3" t="s">
        <v>34432</v>
      </c>
      <c r="BC4017" s="3" t="s">
        <v>82</v>
      </c>
      <c r="BD4017" s="3" t="s">
        <v>70</v>
      </c>
      <c r="BE4017" s="3" t="s">
        <v>34433</v>
      </c>
      <c r="BF4017" s="3" t="s">
        <v>34432</v>
      </c>
      <c r="BG4017" s="3" t="s">
        <v>34434</v>
      </c>
    </row>
    <row r="4018" spans="1:59" ht="75" x14ac:dyDescent="0.25">
      <c r="A4018" s="2" t="s">
        <v>59</v>
      </c>
      <c r="B4018" s="2" t="s">
        <v>60</v>
      </c>
      <c r="C4018" s="2" t="s">
        <v>34435</v>
      </c>
      <c r="D4018" s="2" t="s">
        <v>34436</v>
      </c>
      <c r="E4018" s="2" t="s">
        <v>34437</v>
      </c>
      <c r="G4018" s="3" t="s">
        <v>63</v>
      </c>
      <c r="I4018" s="3" t="s">
        <v>63</v>
      </c>
      <c r="J4018" s="3" t="s">
        <v>63</v>
      </c>
      <c r="K4018" s="3" t="s">
        <v>64</v>
      </c>
      <c r="L4018" s="2" t="s">
        <v>34438</v>
      </c>
      <c r="M4018" s="2" t="s">
        <v>34439</v>
      </c>
      <c r="N4018" s="3" t="s">
        <v>2765</v>
      </c>
      <c r="P4018" s="3" t="s">
        <v>90</v>
      </c>
      <c r="Q4018" s="2" t="s">
        <v>34440</v>
      </c>
      <c r="R4018" s="3" t="s">
        <v>67</v>
      </c>
      <c r="S4018" s="4">
        <v>2</v>
      </c>
      <c r="T4018" s="4">
        <v>2</v>
      </c>
      <c r="U4018" s="5" t="s">
        <v>7212</v>
      </c>
      <c r="V4018" s="5" t="s">
        <v>7212</v>
      </c>
      <c r="W4018" s="5" t="s">
        <v>69</v>
      </c>
      <c r="X4018" s="5" t="s">
        <v>69</v>
      </c>
      <c r="Y4018" s="4">
        <v>15</v>
      </c>
      <c r="Z4018" s="4">
        <v>2</v>
      </c>
      <c r="AA4018" s="4">
        <v>2</v>
      </c>
      <c r="AB4018" s="4">
        <v>1</v>
      </c>
      <c r="AC4018" s="4">
        <v>1</v>
      </c>
      <c r="AD4018" s="4">
        <v>8</v>
      </c>
      <c r="AE4018" s="4">
        <v>18</v>
      </c>
      <c r="AF4018" s="4">
        <v>0</v>
      </c>
      <c r="AG4018" s="4">
        <v>0</v>
      </c>
      <c r="AH4018" s="4">
        <v>8</v>
      </c>
      <c r="AI4018" s="4">
        <v>18</v>
      </c>
      <c r="AJ4018" s="4">
        <v>0</v>
      </c>
      <c r="AK4018" s="4">
        <v>0</v>
      </c>
      <c r="AL4018" s="4">
        <v>6</v>
      </c>
      <c r="AM4018" s="4">
        <v>13</v>
      </c>
      <c r="AN4018" s="4">
        <v>0</v>
      </c>
      <c r="AO4018" s="4">
        <v>0</v>
      </c>
      <c r="AP4018" s="4">
        <v>0</v>
      </c>
      <c r="AQ4018" s="4">
        <v>0</v>
      </c>
      <c r="AR4018" s="3" t="s">
        <v>63</v>
      </c>
      <c r="AS4018" s="3" t="s">
        <v>63</v>
      </c>
      <c r="AT4018" s="3" t="s">
        <v>63</v>
      </c>
      <c r="AV4018" s="6" t="str">
        <f>HYPERLINK("http://mcgill.on.worldcat.org/oclc/945572189","Catalog Record")</f>
        <v>Catalog Record</v>
      </c>
      <c r="AW4018" s="6" t="str">
        <f>HYPERLINK("http://www.worldcat.org/oclc/945572189","WorldCat Record")</f>
        <v>WorldCat Record</v>
      </c>
      <c r="AX4018" s="3" t="s">
        <v>34441</v>
      </c>
      <c r="AY4018" s="3" t="s">
        <v>34442</v>
      </c>
      <c r="AZ4018" s="3" t="s">
        <v>34443</v>
      </c>
      <c r="BA4018" s="3" t="s">
        <v>34443</v>
      </c>
      <c r="BB4018" s="3" t="s">
        <v>34444</v>
      </c>
      <c r="BC4018" s="3" t="s">
        <v>82</v>
      </c>
      <c r="BD4018" s="3" t="s">
        <v>70</v>
      </c>
      <c r="BE4018" s="3" t="s">
        <v>34445</v>
      </c>
      <c r="BF4018" s="3" t="s">
        <v>34444</v>
      </c>
      <c r="BG4018" s="3" t="s">
        <v>34446</v>
      </c>
    </row>
    <row r="4019" spans="1:59" ht="60" x14ac:dyDescent="0.25">
      <c r="A4019" s="2" t="s">
        <v>59</v>
      </c>
      <c r="B4019" s="2" t="s">
        <v>60</v>
      </c>
      <c r="C4019" s="2" t="s">
        <v>34447</v>
      </c>
      <c r="D4019" s="2" t="s">
        <v>34448</v>
      </c>
      <c r="E4019" s="2" t="s">
        <v>34449</v>
      </c>
      <c r="G4019" s="3" t="s">
        <v>63</v>
      </c>
      <c r="I4019" s="3" t="s">
        <v>63</v>
      </c>
      <c r="J4019" s="3" t="s">
        <v>63</v>
      </c>
      <c r="K4019" s="3" t="s">
        <v>64</v>
      </c>
      <c r="L4019" s="2" t="s">
        <v>34450</v>
      </c>
      <c r="M4019" s="2" t="s">
        <v>34451</v>
      </c>
      <c r="N4019" s="3" t="s">
        <v>313</v>
      </c>
      <c r="P4019" s="3" t="s">
        <v>90</v>
      </c>
      <c r="Q4019" s="2" t="s">
        <v>34452</v>
      </c>
      <c r="R4019" s="3" t="s">
        <v>67</v>
      </c>
      <c r="S4019" s="4">
        <v>3</v>
      </c>
      <c r="T4019" s="4">
        <v>3</v>
      </c>
      <c r="U4019" s="5" t="s">
        <v>9168</v>
      </c>
      <c r="V4019" s="5" t="s">
        <v>9168</v>
      </c>
      <c r="W4019" s="5" t="s">
        <v>69</v>
      </c>
      <c r="X4019" s="5" t="s">
        <v>69</v>
      </c>
      <c r="Y4019" s="4">
        <v>15</v>
      </c>
      <c r="Z4019" s="4">
        <v>3</v>
      </c>
      <c r="AA4019" s="4">
        <v>3</v>
      </c>
      <c r="AB4019" s="4">
        <v>1</v>
      </c>
      <c r="AC4019" s="4">
        <v>1</v>
      </c>
      <c r="AD4019" s="4">
        <v>9</v>
      </c>
      <c r="AE4019" s="4">
        <v>9</v>
      </c>
      <c r="AF4019" s="4">
        <v>0</v>
      </c>
      <c r="AG4019" s="4">
        <v>0</v>
      </c>
      <c r="AH4019" s="4">
        <v>9</v>
      </c>
      <c r="AI4019" s="4">
        <v>9</v>
      </c>
      <c r="AJ4019" s="4">
        <v>1</v>
      </c>
      <c r="AK4019" s="4">
        <v>1</v>
      </c>
      <c r="AL4019" s="4">
        <v>5</v>
      </c>
      <c r="AM4019" s="4">
        <v>5</v>
      </c>
      <c r="AN4019" s="4">
        <v>0</v>
      </c>
      <c r="AO4019" s="4">
        <v>0</v>
      </c>
      <c r="AP4019" s="4">
        <v>1</v>
      </c>
      <c r="AQ4019" s="4">
        <v>1</v>
      </c>
      <c r="AR4019" s="3" t="s">
        <v>63</v>
      </c>
      <c r="AS4019" s="3" t="s">
        <v>63</v>
      </c>
      <c r="AT4019" s="3" t="s">
        <v>63</v>
      </c>
      <c r="AV4019" s="6" t="str">
        <f>HYPERLINK("http://mcgill.on.worldcat.org/oclc/688607856","Catalog Record")</f>
        <v>Catalog Record</v>
      </c>
      <c r="AW4019" s="6" t="str">
        <f>HYPERLINK("http://www.worldcat.org/oclc/688607856","WorldCat Record")</f>
        <v>WorldCat Record</v>
      </c>
      <c r="AX4019" s="3" t="s">
        <v>34453</v>
      </c>
      <c r="AY4019" s="3" t="s">
        <v>34454</v>
      </c>
      <c r="AZ4019" s="3" t="s">
        <v>34455</v>
      </c>
      <c r="BA4019" s="3" t="s">
        <v>34455</v>
      </c>
      <c r="BB4019" s="3" t="s">
        <v>34456</v>
      </c>
      <c r="BC4019" s="3" t="s">
        <v>82</v>
      </c>
      <c r="BD4019" s="3" t="s">
        <v>70</v>
      </c>
      <c r="BE4019" s="3" t="s">
        <v>34457</v>
      </c>
      <c r="BF4019" s="3" t="s">
        <v>34456</v>
      </c>
      <c r="BG4019" s="3" t="s">
        <v>34458</v>
      </c>
    </row>
    <row r="4020" spans="1:59" ht="60" x14ac:dyDescent="0.25">
      <c r="A4020" s="2" t="s">
        <v>59</v>
      </c>
      <c r="B4020" s="2" t="s">
        <v>60</v>
      </c>
      <c r="C4020" s="2" t="s">
        <v>34459</v>
      </c>
      <c r="D4020" s="2" t="s">
        <v>34460</v>
      </c>
      <c r="E4020" s="2" t="s">
        <v>34461</v>
      </c>
      <c r="G4020" s="3" t="s">
        <v>63</v>
      </c>
      <c r="I4020" s="3" t="s">
        <v>63</v>
      </c>
      <c r="J4020" s="3" t="s">
        <v>63</v>
      </c>
      <c r="K4020" s="3" t="s">
        <v>64</v>
      </c>
      <c r="L4020" s="2" t="s">
        <v>34462</v>
      </c>
      <c r="M4020" s="2" t="s">
        <v>30257</v>
      </c>
      <c r="N4020" s="3" t="s">
        <v>76</v>
      </c>
      <c r="P4020" s="3" t="s">
        <v>90</v>
      </c>
      <c r="Q4020" s="2" t="s">
        <v>28975</v>
      </c>
      <c r="R4020" s="3" t="s">
        <v>67</v>
      </c>
      <c r="S4020" s="4">
        <v>4</v>
      </c>
      <c r="T4020" s="4">
        <v>4</v>
      </c>
      <c r="U4020" s="5" t="s">
        <v>4911</v>
      </c>
      <c r="V4020" s="5" t="s">
        <v>4911</v>
      </c>
      <c r="W4020" s="5" t="s">
        <v>69</v>
      </c>
      <c r="X4020" s="5" t="s">
        <v>69</v>
      </c>
      <c r="Y4020" s="4">
        <v>39</v>
      </c>
      <c r="Z4020" s="4">
        <v>4</v>
      </c>
      <c r="AA4020" s="4">
        <v>4</v>
      </c>
      <c r="AB4020" s="4">
        <v>1</v>
      </c>
      <c r="AC4020" s="4">
        <v>1</v>
      </c>
      <c r="AD4020" s="4">
        <v>25</v>
      </c>
      <c r="AE4020" s="4">
        <v>25</v>
      </c>
      <c r="AF4020" s="4">
        <v>0</v>
      </c>
      <c r="AG4020" s="4">
        <v>0</v>
      </c>
      <c r="AH4020" s="4">
        <v>24</v>
      </c>
      <c r="AI4020" s="4">
        <v>24</v>
      </c>
      <c r="AJ4020" s="4">
        <v>2</v>
      </c>
      <c r="AK4020" s="4">
        <v>2</v>
      </c>
      <c r="AL4020" s="4">
        <v>19</v>
      </c>
      <c r="AM4020" s="4">
        <v>19</v>
      </c>
      <c r="AN4020" s="4">
        <v>0</v>
      </c>
      <c r="AO4020" s="4">
        <v>0</v>
      </c>
      <c r="AP4020" s="4">
        <v>2</v>
      </c>
      <c r="AQ4020" s="4">
        <v>2</v>
      </c>
      <c r="AR4020" s="3" t="s">
        <v>63</v>
      </c>
      <c r="AS4020" s="3" t="s">
        <v>63</v>
      </c>
      <c r="AT4020" s="3" t="s">
        <v>63</v>
      </c>
      <c r="AV4020" s="6" t="str">
        <f>HYPERLINK("http://mcgill.on.worldcat.org/oclc/816498337","Catalog Record")</f>
        <v>Catalog Record</v>
      </c>
      <c r="AW4020" s="6" t="str">
        <f>HYPERLINK("http://www.worldcat.org/oclc/816498337","WorldCat Record")</f>
        <v>WorldCat Record</v>
      </c>
      <c r="AX4020" s="3" t="s">
        <v>34463</v>
      </c>
      <c r="AY4020" s="3" t="s">
        <v>34464</v>
      </c>
      <c r="AZ4020" s="3" t="s">
        <v>34465</v>
      </c>
      <c r="BA4020" s="3" t="s">
        <v>34465</v>
      </c>
      <c r="BB4020" s="3" t="s">
        <v>34466</v>
      </c>
      <c r="BC4020" s="3" t="s">
        <v>82</v>
      </c>
      <c r="BD4020" s="3" t="s">
        <v>70</v>
      </c>
      <c r="BE4020" s="3" t="s">
        <v>34467</v>
      </c>
      <c r="BF4020" s="3" t="s">
        <v>34466</v>
      </c>
      <c r="BG4020" s="3" t="s">
        <v>34468</v>
      </c>
    </row>
    <row r="4021" spans="1:59" ht="60" x14ac:dyDescent="0.25">
      <c r="A4021" s="2" t="s">
        <v>59</v>
      </c>
      <c r="B4021" s="2" t="s">
        <v>60</v>
      </c>
      <c r="C4021" s="2" t="s">
        <v>34469</v>
      </c>
      <c r="D4021" s="2" t="s">
        <v>34470</v>
      </c>
      <c r="E4021" s="2" t="s">
        <v>34471</v>
      </c>
      <c r="G4021" s="3" t="s">
        <v>63</v>
      </c>
      <c r="I4021" s="3" t="s">
        <v>63</v>
      </c>
      <c r="J4021" s="3" t="s">
        <v>63</v>
      </c>
      <c r="K4021" s="3" t="s">
        <v>64</v>
      </c>
      <c r="L4021" s="2" t="s">
        <v>34472</v>
      </c>
      <c r="M4021" s="2" t="s">
        <v>34473</v>
      </c>
      <c r="N4021" s="3" t="s">
        <v>629</v>
      </c>
      <c r="P4021" s="3" t="s">
        <v>90</v>
      </c>
      <c r="R4021" s="3" t="s">
        <v>67</v>
      </c>
      <c r="S4021" s="4">
        <v>1</v>
      </c>
      <c r="T4021" s="4">
        <v>1</v>
      </c>
      <c r="U4021" s="5" t="s">
        <v>15042</v>
      </c>
      <c r="V4021" s="5" t="s">
        <v>15042</v>
      </c>
      <c r="W4021" s="5" t="s">
        <v>69</v>
      </c>
      <c r="X4021" s="5" t="s">
        <v>69</v>
      </c>
      <c r="Y4021" s="4">
        <v>49</v>
      </c>
      <c r="Z4021" s="4">
        <v>4</v>
      </c>
      <c r="AA4021" s="4">
        <v>5</v>
      </c>
      <c r="AB4021" s="4">
        <v>1</v>
      </c>
      <c r="AC4021" s="4">
        <v>2</v>
      </c>
      <c r="AD4021" s="4">
        <v>33</v>
      </c>
      <c r="AE4021" s="4">
        <v>33</v>
      </c>
      <c r="AF4021" s="4">
        <v>0</v>
      </c>
      <c r="AG4021" s="4">
        <v>0</v>
      </c>
      <c r="AH4021" s="4">
        <v>32</v>
      </c>
      <c r="AI4021" s="4">
        <v>32</v>
      </c>
      <c r="AJ4021" s="4">
        <v>2</v>
      </c>
      <c r="AK4021" s="4">
        <v>2</v>
      </c>
      <c r="AL4021" s="4">
        <v>26</v>
      </c>
      <c r="AM4021" s="4">
        <v>26</v>
      </c>
      <c r="AN4021" s="4">
        <v>0</v>
      </c>
      <c r="AO4021" s="4">
        <v>0</v>
      </c>
      <c r="AP4021" s="4">
        <v>2</v>
      </c>
      <c r="AQ4021" s="4">
        <v>2</v>
      </c>
      <c r="AR4021" s="3" t="s">
        <v>63</v>
      </c>
      <c r="AS4021" s="3" t="s">
        <v>63</v>
      </c>
      <c r="AT4021" s="3" t="s">
        <v>63</v>
      </c>
      <c r="AV4021" s="6" t="str">
        <f>HYPERLINK("http://mcgill.on.worldcat.org/oclc/761046290","Catalog Record")</f>
        <v>Catalog Record</v>
      </c>
      <c r="AW4021" s="6" t="str">
        <f>HYPERLINK("http://www.worldcat.org/oclc/761046290","WorldCat Record")</f>
        <v>WorldCat Record</v>
      </c>
      <c r="AX4021" s="3" t="s">
        <v>34474</v>
      </c>
      <c r="AY4021" s="3" t="s">
        <v>34475</v>
      </c>
      <c r="AZ4021" s="3" t="s">
        <v>34476</v>
      </c>
      <c r="BA4021" s="3" t="s">
        <v>34476</v>
      </c>
      <c r="BB4021" s="3" t="s">
        <v>34477</v>
      </c>
      <c r="BC4021" s="3" t="s">
        <v>82</v>
      </c>
      <c r="BD4021" s="3" t="s">
        <v>70</v>
      </c>
      <c r="BE4021" s="3" t="s">
        <v>34478</v>
      </c>
      <c r="BF4021" s="3" t="s">
        <v>34477</v>
      </c>
      <c r="BG4021" s="3" t="s">
        <v>34479</v>
      </c>
    </row>
    <row r="4022" spans="1:59" ht="60" x14ac:dyDescent="0.25">
      <c r="A4022" s="2" t="s">
        <v>59</v>
      </c>
      <c r="B4022" s="2" t="s">
        <v>60</v>
      </c>
      <c r="C4022" s="2" t="s">
        <v>34480</v>
      </c>
      <c r="D4022" s="2" t="s">
        <v>34481</v>
      </c>
      <c r="E4022" s="2" t="s">
        <v>34482</v>
      </c>
      <c r="G4022" s="3" t="s">
        <v>63</v>
      </c>
      <c r="I4022" s="3" t="s">
        <v>63</v>
      </c>
      <c r="J4022" s="3" t="s">
        <v>63</v>
      </c>
      <c r="K4022" s="3" t="s">
        <v>64</v>
      </c>
      <c r="L4022" s="2" t="s">
        <v>34483</v>
      </c>
      <c r="M4022" s="2" t="s">
        <v>34060</v>
      </c>
      <c r="N4022" s="3" t="s">
        <v>2765</v>
      </c>
      <c r="P4022" s="3" t="s">
        <v>90</v>
      </c>
      <c r="Q4022" s="2" t="s">
        <v>34484</v>
      </c>
      <c r="R4022" s="3" t="s">
        <v>67</v>
      </c>
      <c r="S4022" s="4">
        <v>0</v>
      </c>
      <c r="T4022" s="4">
        <v>0</v>
      </c>
      <c r="W4022" s="5" t="s">
        <v>69</v>
      </c>
      <c r="X4022" s="5" t="s">
        <v>69</v>
      </c>
      <c r="Y4022" s="4">
        <v>22</v>
      </c>
      <c r="Z4022" s="4">
        <v>3</v>
      </c>
      <c r="AA4022" s="4">
        <v>3</v>
      </c>
      <c r="AB4022" s="4">
        <v>1</v>
      </c>
      <c r="AC4022" s="4">
        <v>1</v>
      </c>
      <c r="AD4022" s="4">
        <v>18</v>
      </c>
      <c r="AE4022" s="4">
        <v>18</v>
      </c>
      <c r="AF4022" s="4">
        <v>0</v>
      </c>
      <c r="AG4022" s="4">
        <v>0</v>
      </c>
      <c r="AH4022" s="4">
        <v>18</v>
      </c>
      <c r="AI4022" s="4">
        <v>18</v>
      </c>
      <c r="AJ4022" s="4">
        <v>1</v>
      </c>
      <c r="AK4022" s="4">
        <v>1</v>
      </c>
      <c r="AL4022" s="4">
        <v>15</v>
      </c>
      <c r="AM4022" s="4">
        <v>15</v>
      </c>
      <c r="AN4022" s="4">
        <v>0</v>
      </c>
      <c r="AO4022" s="4">
        <v>0</v>
      </c>
      <c r="AP4022" s="4">
        <v>1</v>
      </c>
      <c r="AQ4022" s="4">
        <v>1</v>
      </c>
      <c r="AR4022" s="3" t="s">
        <v>63</v>
      </c>
      <c r="AS4022" s="3" t="s">
        <v>63</v>
      </c>
      <c r="AT4022" s="3" t="s">
        <v>63</v>
      </c>
      <c r="AV4022" s="6" t="str">
        <f>HYPERLINK("http://mcgill.on.worldcat.org/oclc/930488353","Catalog Record")</f>
        <v>Catalog Record</v>
      </c>
      <c r="AW4022" s="6" t="str">
        <f>HYPERLINK("http://www.worldcat.org/oclc/930488353","WorldCat Record")</f>
        <v>WorldCat Record</v>
      </c>
      <c r="AX4022" s="3" t="s">
        <v>34485</v>
      </c>
      <c r="AY4022" s="3" t="s">
        <v>34486</v>
      </c>
      <c r="AZ4022" s="3" t="s">
        <v>34487</v>
      </c>
      <c r="BA4022" s="3" t="s">
        <v>34487</v>
      </c>
      <c r="BB4022" s="3" t="s">
        <v>34488</v>
      </c>
      <c r="BC4022" s="3" t="s">
        <v>82</v>
      </c>
      <c r="BD4022" s="3" t="s">
        <v>70</v>
      </c>
      <c r="BE4022" s="3" t="s">
        <v>34489</v>
      </c>
      <c r="BF4022" s="3" t="s">
        <v>34488</v>
      </c>
      <c r="BG4022" s="3" t="s">
        <v>34490</v>
      </c>
    </row>
    <row r="4023" spans="1:59" ht="60" x14ac:dyDescent="0.25">
      <c r="A4023" s="2" t="s">
        <v>59</v>
      </c>
      <c r="B4023" s="2" t="s">
        <v>60</v>
      </c>
      <c r="C4023" s="2" t="s">
        <v>34491</v>
      </c>
      <c r="D4023" s="2" t="s">
        <v>34492</v>
      </c>
      <c r="E4023" s="2" t="s">
        <v>34493</v>
      </c>
      <c r="G4023" s="3" t="s">
        <v>63</v>
      </c>
      <c r="I4023" s="3" t="s">
        <v>63</v>
      </c>
      <c r="J4023" s="3" t="s">
        <v>63</v>
      </c>
      <c r="K4023" s="3" t="s">
        <v>64</v>
      </c>
      <c r="L4023" s="2" t="s">
        <v>34483</v>
      </c>
      <c r="M4023" s="2" t="s">
        <v>6421</v>
      </c>
      <c r="N4023" s="3" t="s">
        <v>2765</v>
      </c>
      <c r="P4023" s="3" t="s">
        <v>90</v>
      </c>
      <c r="Q4023" s="2" t="s">
        <v>34494</v>
      </c>
      <c r="R4023" s="3" t="s">
        <v>67</v>
      </c>
      <c r="S4023" s="4">
        <v>1</v>
      </c>
      <c r="T4023" s="4">
        <v>1</v>
      </c>
      <c r="U4023" s="5" t="s">
        <v>34495</v>
      </c>
      <c r="V4023" s="5" t="s">
        <v>34495</v>
      </c>
      <c r="W4023" s="5" t="s">
        <v>69</v>
      </c>
      <c r="X4023" s="5" t="s">
        <v>69</v>
      </c>
      <c r="Y4023" s="4">
        <v>31</v>
      </c>
      <c r="Z4023" s="4">
        <v>2</v>
      </c>
      <c r="AA4023" s="4">
        <v>2</v>
      </c>
      <c r="AB4023" s="4">
        <v>1</v>
      </c>
      <c r="AC4023" s="4">
        <v>1</v>
      </c>
      <c r="AD4023" s="4">
        <v>20</v>
      </c>
      <c r="AE4023" s="4">
        <v>20</v>
      </c>
      <c r="AF4023" s="4">
        <v>0</v>
      </c>
      <c r="AG4023" s="4">
        <v>0</v>
      </c>
      <c r="AH4023" s="4">
        <v>19</v>
      </c>
      <c r="AI4023" s="4">
        <v>19</v>
      </c>
      <c r="AJ4023" s="4">
        <v>0</v>
      </c>
      <c r="AK4023" s="4">
        <v>0</v>
      </c>
      <c r="AL4023" s="4">
        <v>16</v>
      </c>
      <c r="AM4023" s="4">
        <v>16</v>
      </c>
      <c r="AN4023" s="4">
        <v>0</v>
      </c>
      <c r="AO4023" s="4">
        <v>0</v>
      </c>
      <c r="AP4023" s="4">
        <v>0</v>
      </c>
      <c r="AQ4023" s="4">
        <v>0</v>
      </c>
      <c r="AR4023" s="3" t="s">
        <v>63</v>
      </c>
      <c r="AS4023" s="3" t="s">
        <v>63</v>
      </c>
      <c r="AT4023" s="3" t="s">
        <v>63</v>
      </c>
      <c r="AV4023" s="6" t="str">
        <f>HYPERLINK("http://mcgill.on.worldcat.org/oclc/904050690","Catalog Record")</f>
        <v>Catalog Record</v>
      </c>
      <c r="AW4023" s="6" t="str">
        <f>HYPERLINK("http://www.worldcat.org/oclc/904050690","WorldCat Record")</f>
        <v>WorldCat Record</v>
      </c>
      <c r="AX4023" s="3" t="s">
        <v>34496</v>
      </c>
      <c r="AY4023" s="3" t="s">
        <v>34497</v>
      </c>
      <c r="AZ4023" s="3" t="s">
        <v>34498</v>
      </c>
      <c r="BA4023" s="3" t="s">
        <v>34498</v>
      </c>
      <c r="BB4023" s="3" t="s">
        <v>34499</v>
      </c>
      <c r="BC4023" s="3" t="s">
        <v>82</v>
      </c>
      <c r="BD4023" s="3" t="s">
        <v>70</v>
      </c>
      <c r="BE4023" s="3" t="s">
        <v>34500</v>
      </c>
      <c r="BF4023" s="3" t="s">
        <v>34499</v>
      </c>
      <c r="BG4023" s="3" t="s">
        <v>34501</v>
      </c>
    </row>
    <row r="4024" spans="1:59" ht="60" x14ac:dyDescent="0.25">
      <c r="A4024" s="2" t="s">
        <v>59</v>
      </c>
      <c r="B4024" s="2" t="s">
        <v>60</v>
      </c>
      <c r="C4024" s="2" t="s">
        <v>34502</v>
      </c>
      <c r="D4024" s="2" t="s">
        <v>34503</v>
      </c>
      <c r="E4024" s="2" t="s">
        <v>34504</v>
      </c>
      <c r="G4024" s="3" t="s">
        <v>63</v>
      </c>
      <c r="I4024" s="3" t="s">
        <v>63</v>
      </c>
      <c r="J4024" s="3" t="s">
        <v>63</v>
      </c>
      <c r="K4024" s="3" t="s">
        <v>64</v>
      </c>
      <c r="L4024" s="2" t="s">
        <v>34483</v>
      </c>
      <c r="M4024" s="2" t="s">
        <v>34505</v>
      </c>
      <c r="N4024" s="3" t="s">
        <v>287</v>
      </c>
      <c r="P4024" s="3" t="s">
        <v>90</v>
      </c>
      <c r="Q4024" s="2" t="s">
        <v>34506</v>
      </c>
      <c r="R4024" s="3" t="s">
        <v>67</v>
      </c>
      <c r="S4024" s="4">
        <v>1</v>
      </c>
      <c r="T4024" s="4">
        <v>1</v>
      </c>
      <c r="U4024" s="5" t="s">
        <v>13807</v>
      </c>
      <c r="V4024" s="5" t="s">
        <v>13807</v>
      </c>
      <c r="W4024" s="5" t="s">
        <v>9728</v>
      </c>
      <c r="X4024" s="5" t="s">
        <v>9728</v>
      </c>
      <c r="Y4024" s="4">
        <v>37</v>
      </c>
      <c r="Z4024" s="4">
        <v>2</v>
      </c>
      <c r="AA4024" s="4">
        <v>2</v>
      </c>
      <c r="AB4024" s="4">
        <v>1</v>
      </c>
      <c r="AC4024" s="4">
        <v>1</v>
      </c>
      <c r="AD4024" s="4">
        <v>27</v>
      </c>
      <c r="AE4024" s="4">
        <v>27</v>
      </c>
      <c r="AF4024" s="4">
        <v>0</v>
      </c>
      <c r="AG4024" s="4">
        <v>0</v>
      </c>
      <c r="AH4024" s="4">
        <v>26</v>
      </c>
      <c r="AI4024" s="4">
        <v>26</v>
      </c>
      <c r="AJ4024" s="4">
        <v>0</v>
      </c>
      <c r="AK4024" s="4">
        <v>0</v>
      </c>
      <c r="AL4024" s="4">
        <v>22</v>
      </c>
      <c r="AM4024" s="4">
        <v>22</v>
      </c>
      <c r="AN4024" s="4">
        <v>0</v>
      </c>
      <c r="AO4024" s="4">
        <v>0</v>
      </c>
      <c r="AP4024" s="4">
        <v>0</v>
      </c>
      <c r="AQ4024" s="4">
        <v>0</v>
      </c>
      <c r="AR4024" s="3" t="s">
        <v>63</v>
      </c>
      <c r="AS4024" s="3" t="s">
        <v>63</v>
      </c>
      <c r="AT4024" s="3" t="s">
        <v>63</v>
      </c>
      <c r="AV4024" s="6" t="str">
        <f>HYPERLINK("http://mcgill.on.worldcat.org/oclc/1019611907","Catalog Record")</f>
        <v>Catalog Record</v>
      </c>
      <c r="AW4024" s="6" t="str">
        <f>HYPERLINK("http://www.worldcat.org/oclc/1019611907","WorldCat Record")</f>
        <v>WorldCat Record</v>
      </c>
      <c r="AX4024" s="3" t="s">
        <v>34507</v>
      </c>
      <c r="AY4024" s="3" t="s">
        <v>34508</v>
      </c>
      <c r="AZ4024" s="3" t="s">
        <v>34509</v>
      </c>
      <c r="BA4024" s="3" t="s">
        <v>34509</v>
      </c>
      <c r="BB4024" s="3" t="s">
        <v>34510</v>
      </c>
      <c r="BC4024" s="3" t="s">
        <v>82</v>
      </c>
      <c r="BD4024" s="3" t="s">
        <v>70</v>
      </c>
      <c r="BE4024" s="3" t="s">
        <v>34511</v>
      </c>
      <c r="BF4024" s="3" t="s">
        <v>34510</v>
      </c>
      <c r="BG4024" s="3" t="s">
        <v>34512</v>
      </c>
    </row>
    <row r="4025" spans="1:59" ht="60" x14ac:dyDescent="0.25">
      <c r="A4025" s="2" t="s">
        <v>59</v>
      </c>
      <c r="B4025" s="2" t="s">
        <v>60</v>
      </c>
      <c r="C4025" s="2" t="s">
        <v>34513</v>
      </c>
      <c r="D4025" s="2" t="s">
        <v>34514</v>
      </c>
      <c r="E4025" s="2" t="s">
        <v>34515</v>
      </c>
      <c r="G4025" s="3" t="s">
        <v>63</v>
      </c>
      <c r="I4025" s="3" t="s">
        <v>63</v>
      </c>
      <c r="J4025" s="3" t="s">
        <v>63</v>
      </c>
      <c r="K4025" s="3" t="s">
        <v>64</v>
      </c>
      <c r="L4025" s="2" t="s">
        <v>34516</v>
      </c>
      <c r="M4025" s="2" t="s">
        <v>5846</v>
      </c>
      <c r="N4025" s="3" t="s">
        <v>629</v>
      </c>
      <c r="P4025" s="3" t="s">
        <v>90</v>
      </c>
      <c r="R4025" s="3" t="s">
        <v>67</v>
      </c>
      <c r="S4025" s="4">
        <v>4</v>
      </c>
      <c r="T4025" s="4">
        <v>4</v>
      </c>
      <c r="U4025" s="5" t="s">
        <v>34517</v>
      </c>
      <c r="V4025" s="5" t="s">
        <v>34517</v>
      </c>
      <c r="W4025" s="5" t="s">
        <v>69</v>
      </c>
      <c r="X4025" s="5" t="s">
        <v>69</v>
      </c>
      <c r="Y4025" s="4">
        <v>7</v>
      </c>
      <c r="Z4025" s="4">
        <v>1</v>
      </c>
      <c r="AA4025" s="4">
        <v>1</v>
      </c>
      <c r="AB4025" s="4">
        <v>1</v>
      </c>
      <c r="AC4025" s="4">
        <v>1</v>
      </c>
      <c r="AD4025" s="4">
        <v>5</v>
      </c>
      <c r="AE4025" s="4">
        <v>5</v>
      </c>
      <c r="AF4025" s="4">
        <v>0</v>
      </c>
      <c r="AG4025" s="4">
        <v>0</v>
      </c>
      <c r="AH4025" s="4">
        <v>5</v>
      </c>
      <c r="AI4025" s="4">
        <v>5</v>
      </c>
      <c r="AJ4025" s="4">
        <v>0</v>
      </c>
      <c r="AK4025" s="4">
        <v>0</v>
      </c>
      <c r="AL4025" s="4">
        <v>3</v>
      </c>
      <c r="AM4025" s="4">
        <v>3</v>
      </c>
      <c r="AN4025" s="4">
        <v>0</v>
      </c>
      <c r="AO4025" s="4">
        <v>0</v>
      </c>
      <c r="AP4025" s="4">
        <v>0</v>
      </c>
      <c r="AQ4025" s="4">
        <v>0</v>
      </c>
      <c r="AR4025" s="3" t="s">
        <v>63</v>
      </c>
      <c r="AS4025" s="3" t="s">
        <v>63</v>
      </c>
      <c r="AT4025" s="3" t="s">
        <v>63</v>
      </c>
      <c r="AV4025" s="6" t="str">
        <f>HYPERLINK("http://mcgill.on.worldcat.org/oclc/746464097","Catalog Record")</f>
        <v>Catalog Record</v>
      </c>
      <c r="AW4025" s="6" t="str">
        <f>HYPERLINK("http://www.worldcat.org/oclc/746464097","WorldCat Record")</f>
        <v>WorldCat Record</v>
      </c>
      <c r="AX4025" s="3" t="s">
        <v>34518</v>
      </c>
      <c r="AY4025" s="3" t="s">
        <v>34519</v>
      </c>
      <c r="AZ4025" s="3" t="s">
        <v>34520</v>
      </c>
      <c r="BA4025" s="3" t="s">
        <v>34520</v>
      </c>
      <c r="BB4025" s="3" t="s">
        <v>34521</v>
      </c>
      <c r="BC4025" s="3" t="s">
        <v>82</v>
      </c>
      <c r="BD4025" s="3" t="s">
        <v>70</v>
      </c>
      <c r="BE4025" s="3" t="s">
        <v>34522</v>
      </c>
      <c r="BF4025" s="3" t="s">
        <v>34521</v>
      </c>
      <c r="BG4025" s="3" t="s">
        <v>34523</v>
      </c>
    </row>
    <row r="4026" spans="1:59" ht="75" x14ac:dyDescent="0.25">
      <c r="A4026" s="2" t="s">
        <v>59</v>
      </c>
      <c r="B4026" s="2" t="s">
        <v>60</v>
      </c>
      <c r="C4026" s="2" t="s">
        <v>34524</v>
      </c>
      <c r="D4026" s="2" t="s">
        <v>34525</v>
      </c>
      <c r="E4026" s="2" t="s">
        <v>34526</v>
      </c>
      <c r="G4026" s="3" t="s">
        <v>63</v>
      </c>
      <c r="I4026" s="3" t="s">
        <v>63</v>
      </c>
      <c r="J4026" s="3" t="s">
        <v>63</v>
      </c>
      <c r="K4026" s="3" t="s">
        <v>64</v>
      </c>
      <c r="L4026" s="2" t="s">
        <v>34527</v>
      </c>
      <c r="M4026" s="2" t="s">
        <v>29585</v>
      </c>
      <c r="N4026" s="3" t="s">
        <v>1557</v>
      </c>
      <c r="P4026" s="3" t="s">
        <v>90</v>
      </c>
      <c r="Q4026" s="2" t="s">
        <v>28975</v>
      </c>
      <c r="R4026" s="3" t="s">
        <v>67</v>
      </c>
      <c r="S4026" s="4">
        <v>1</v>
      </c>
      <c r="T4026" s="4">
        <v>1</v>
      </c>
      <c r="U4026" s="5" t="s">
        <v>34517</v>
      </c>
      <c r="V4026" s="5" t="s">
        <v>34517</v>
      </c>
      <c r="W4026" s="5" t="s">
        <v>69</v>
      </c>
      <c r="X4026" s="5" t="s">
        <v>69</v>
      </c>
      <c r="Y4026" s="4">
        <v>53</v>
      </c>
      <c r="Z4026" s="4">
        <v>5</v>
      </c>
      <c r="AA4026" s="4">
        <v>5</v>
      </c>
      <c r="AB4026" s="4">
        <v>1</v>
      </c>
      <c r="AC4026" s="4">
        <v>1</v>
      </c>
      <c r="AD4026" s="4">
        <v>39</v>
      </c>
      <c r="AE4026" s="4">
        <v>39</v>
      </c>
      <c r="AF4026" s="4">
        <v>0</v>
      </c>
      <c r="AG4026" s="4">
        <v>0</v>
      </c>
      <c r="AH4026" s="4">
        <v>38</v>
      </c>
      <c r="AI4026" s="4">
        <v>38</v>
      </c>
      <c r="AJ4026" s="4">
        <v>3</v>
      </c>
      <c r="AK4026" s="4">
        <v>3</v>
      </c>
      <c r="AL4026" s="4">
        <v>29</v>
      </c>
      <c r="AM4026" s="4">
        <v>29</v>
      </c>
      <c r="AN4026" s="4">
        <v>0</v>
      </c>
      <c r="AO4026" s="4">
        <v>0</v>
      </c>
      <c r="AP4026" s="4">
        <v>3</v>
      </c>
      <c r="AQ4026" s="4">
        <v>3</v>
      </c>
      <c r="AR4026" s="3" t="s">
        <v>63</v>
      </c>
      <c r="AS4026" s="3" t="s">
        <v>63</v>
      </c>
      <c r="AT4026" s="3" t="s">
        <v>63</v>
      </c>
      <c r="AV4026" s="6" t="str">
        <f>HYPERLINK("http://mcgill.on.worldcat.org/oclc/990791929","Catalog Record")</f>
        <v>Catalog Record</v>
      </c>
      <c r="AW4026" s="6" t="str">
        <f>HYPERLINK("http://www.worldcat.org/oclc/990791929","WorldCat Record")</f>
        <v>WorldCat Record</v>
      </c>
      <c r="AX4026" s="3" t="s">
        <v>34528</v>
      </c>
      <c r="AY4026" s="3" t="s">
        <v>34529</v>
      </c>
      <c r="AZ4026" s="3" t="s">
        <v>34530</v>
      </c>
      <c r="BA4026" s="3" t="s">
        <v>34530</v>
      </c>
      <c r="BB4026" s="3" t="s">
        <v>34531</v>
      </c>
      <c r="BC4026" s="3" t="s">
        <v>82</v>
      </c>
      <c r="BD4026" s="3" t="s">
        <v>70</v>
      </c>
      <c r="BE4026" s="3" t="s">
        <v>34532</v>
      </c>
      <c r="BF4026" s="3" t="s">
        <v>34531</v>
      </c>
      <c r="BG4026" s="3" t="s">
        <v>34533</v>
      </c>
    </row>
    <row r="4027" spans="1:59" ht="75" x14ac:dyDescent="0.25">
      <c r="A4027" s="2" t="s">
        <v>59</v>
      </c>
      <c r="B4027" s="2" t="s">
        <v>60</v>
      </c>
      <c r="C4027" s="2" t="s">
        <v>34534</v>
      </c>
      <c r="D4027" s="2" t="s">
        <v>34535</v>
      </c>
      <c r="E4027" s="2" t="s">
        <v>34536</v>
      </c>
      <c r="G4027" s="3" t="s">
        <v>63</v>
      </c>
      <c r="I4027" s="3" t="s">
        <v>63</v>
      </c>
      <c r="J4027" s="3" t="s">
        <v>63</v>
      </c>
      <c r="K4027" s="3" t="s">
        <v>64</v>
      </c>
      <c r="L4027" s="2" t="s">
        <v>34527</v>
      </c>
      <c r="M4027" s="2" t="s">
        <v>29585</v>
      </c>
      <c r="N4027" s="3" t="s">
        <v>1557</v>
      </c>
      <c r="P4027" s="3" t="s">
        <v>90</v>
      </c>
      <c r="Q4027" s="2" t="s">
        <v>28975</v>
      </c>
      <c r="R4027" s="3" t="s">
        <v>67</v>
      </c>
      <c r="S4027" s="4">
        <v>2</v>
      </c>
      <c r="T4027" s="4">
        <v>2</v>
      </c>
      <c r="U4027" s="5" t="s">
        <v>34517</v>
      </c>
      <c r="V4027" s="5" t="s">
        <v>34517</v>
      </c>
      <c r="W4027" s="5" t="s">
        <v>69</v>
      </c>
      <c r="X4027" s="5" t="s">
        <v>69</v>
      </c>
      <c r="Y4027" s="4">
        <v>9</v>
      </c>
      <c r="Z4027" s="4">
        <v>1</v>
      </c>
      <c r="AA4027" s="4">
        <v>4</v>
      </c>
      <c r="AB4027" s="4">
        <v>1</v>
      </c>
      <c r="AC4027" s="4">
        <v>1</v>
      </c>
      <c r="AD4027" s="4">
        <v>7</v>
      </c>
      <c r="AE4027" s="4">
        <v>30</v>
      </c>
      <c r="AF4027" s="4">
        <v>0</v>
      </c>
      <c r="AG4027" s="4">
        <v>0</v>
      </c>
      <c r="AH4027" s="4">
        <v>6</v>
      </c>
      <c r="AI4027" s="4">
        <v>29</v>
      </c>
      <c r="AJ4027" s="4">
        <v>0</v>
      </c>
      <c r="AK4027" s="4">
        <v>1</v>
      </c>
      <c r="AL4027" s="4">
        <v>5</v>
      </c>
      <c r="AM4027" s="4">
        <v>23</v>
      </c>
      <c r="AN4027" s="4">
        <v>0</v>
      </c>
      <c r="AO4027" s="4">
        <v>0</v>
      </c>
      <c r="AP4027" s="4">
        <v>0</v>
      </c>
      <c r="AQ4027" s="4">
        <v>1</v>
      </c>
      <c r="AR4027" s="3" t="s">
        <v>63</v>
      </c>
      <c r="AS4027" s="3" t="s">
        <v>63</v>
      </c>
      <c r="AT4027" s="3" t="s">
        <v>63</v>
      </c>
      <c r="AV4027" s="6" t="str">
        <f>HYPERLINK("http://mcgill.on.worldcat.org/oclc/990145309","Catalog Record")</f>
        <v>Catalog Record</v>
      </c>
      <c r="AW4027" s="6" t="str">
        <f>HYPERLINK("http://www.worldcat.org/oclc/990145309","WorldCat Record")</f>
        <v>WorldCat Record</v>
      </c>
      <c r="AX4027" s="3" t="s">
        <v>34537</v>
      </c>
      <c r="AY4027" s="3" t="s">
        <v>34538</v>
      </c>
      <c r="AZ4027" s="3" t="s">
        <v>34539</v>
      </c>
      <c r="BA4027" s="3" t="s">
        <v>34539</v>
      </c>
      <c r="BB4027" s="3" t="s">
        <v>34540</v>
      </c>
      <c r="BC4027" s="3" t="s">
        <v>82</v>
      </c>
      <c r="BD4027" s="3" t="s">
        <v>70</v>
      </c>
      <c r="BE4027" s="3" t="s">
        <v>34541</v>
      </c>
      <c r="BF4027" s="3" t="s">
        <v>34540</v>
      </c>
      <c r="BG4027" s="3" t="s">
        <v>34542</v>
      </c>
    </row>
    <row r="4028" spans="1:59" ht="60" x14ac:dyDescent="0.25">
      <c r="A4028" s="2" t="s">
        <v>59</v>
      </c>
      <c r="B4028" s="2" t="s">
        <v>60</v>
      </c>
      <c r="C4028" s="2" t="s">
        <v>34543</v>
      </c>
      <c r="D4028" s="2" t="s">
        <v>34544</v>
      </c>
      <c r="E4028" s="2" t="s">
        <v>34545</v>
      </c>
      <c r="G4028" s="3" t="s">
        <v>63</v>
      </c>
      <c r="I4028" s="3" t="s">
        <v>63</v>
      </c>
      <c r="J4028" s="3" t="s">
        <v>63</v>
      </c>
      <c r="K4028" s="3" t="s">
        <v>64</v>
      </c>
      <c r="L4028" s="2" t="s">
        <v>34527</v>
      </c>
      <c r="M4028" s="2" t="s">
        <v>6355</v>
      </c>
      <c r="N4028" s="3" t="s">
        <v>2765</v>
      </c>
      <c r="P4028" s="3" t="s">
        <v>90</v>
      </c>
      <c r="Q4028" s="2" t="s">
        <v>28975</v>
      </c>
      <c r="R4028" s="3" t="s">
        <v>67</v>
      </c>
      <c r="S4028" s="4">
        <v>2</v>
      </c>
      <c r="T4028" s="4">
        <v>2</v>
      </c>
      <c r="U4028" s="5" t="s">
        <v>34517</v>
      </c>
      <c r="V4028" s="5" t="s">
        <v>34517</v>
      </c>
      <c r="W4028" s="5" t="s">
        <v>69</v>
      </c>
      <c r="X4028" s="5" t="s">
        <v>69</v>
      </c>
      <c r="Y4028" s="4">
        <v>61</v>
      </c>
      <c r="Z4028" s="4">
        <v>5</v>
      </c>
      <c r="AA4028" s="4">
        <v>5</v>
      </c>
      <c r="AB4028" s="4">
        <v>1</v>
      </c>
      <c r="AC4028" s="4">
        <v>1</v>
      </c>
      <c r="AD4028" s="4">
        <v>29</v>
      </c>
      <c r="AE4028" s="4">
        <v>29</v>
      </c>
      <c r="AF4028" s="4">
        <v>0</v>
      </c>
      <c r="AG4028" s="4">
        <v>0</v>
      </c>
      <c r="AH4028" s="4">
        <v>28</v>
      </c>
      <c r="AI4028" s="4">
        <v>28</v>
      </c>
      <c r="AJ4028" s="4">
        <v>2</v>
      </c>
      <c r="AK4028" s="4">
        <v>2</v>
      </c>
      <c r="AL4028" s="4">
        <v>22</v>
      </c>
      <c r="AM4028" s="4">
        <v>22</v>
      </c>
      <c r="AN4028" s="4">
        <v>0</v>
      </c>
      <c r="AO4028" s="4">
        <v>0</v>
      </c>
      <c r="AP4028" s="4">
        <v>2</v>
      </c>
      <c r="AQ4028" s="4">
        <v>2</v>
      </c>
      <c r="AR4028" s="3" t="s">
        <v>63</v>
      </c>
      <c r="AS4028" s="3" t="s">
        <v>63</v>
      </c>
      <c r="AT4028" s="3" t="s">
        <v>63</v>
      </c>
      <c r="AV4028" s="6" t="str">
        <f>HYPERLINK("http://mcgill.on.worldcat.org/oclc/906052385","Catalog Record")</f>
        <v>Catalog Record</v>
      </c>
      <c r="AW4028" s="6" t="str">
        <f>HYPERLINK("http://www.worldcat.org/oclc/906052385","WorldCat Record")</f>
        <v>WorldCat Record</v>
      </c>
      <c r="AX4028" s="3" t="s">
        <v>34546</v>
      </c>
      <c r="AY4028" s="3" t="s">
        <v>34547</v>
      </c>
      <c r="AZ4028" s="3" t="s">
        <v>34548</v>
      </c>
      <c r="BA4028" s="3" t="s">
        <v>34548</v>
      </c>
      <c r="BB4028" s="3" t="s">
        <v>34549</v>
      </c>
      <c r="BC4028" s="3" t="s">
        <v>82</v>
      </c>
      <c r="BD4028" s="3" t="s">
        <v>70</v>
      </c>
      <c r="BE4028" s="3" t="s">
        <v>34550</v>
      </c>
      <c r="BF4028" s="3" t="s">
        <v>34549</v>
      </c>
      <c r="BG4028" s="3" t="s">
        <v>34551</v>
      </c>
    </row>
    <row r="4029" spans="1:59" ht="75" x14ac:dyDescent="0.25">
      <c r="A4029" s="2" t="s">
        <v>59</v>
      </c>
      <c r="B4029" s="2" t="s">
        <v>60</v>
      </c>
      <c r="C4029" s="2" t="s">
        <v>34552</v>
      </c>
      <c r="D4029" s="2" t="s">
        <v>34553</v>
      </c>
      <c r="E4029" s="2" t="s">
        <v>34554</v>
      </c>
      <c r="G4029" s="3" t="s">
        <v>63</v>
      </c>
      <c r="I4029" s="3" t="s">
        <v>63</v>
      </c>
      <c r="J4029" s="3" t="s">
        <v>63</v>
      </c>
      <c r="K4029" s="3" t="s">
        <v>64</v>
      </c>
      <c r="L4029" s="2" t="s">
        <v>34555</v>
      </c>
      <c r="M4029" s="2" t="s">
        <v>5846</v>
      </c>
      <c r="N4029" s="3" t="s">
        <v>629</v>
      </c>
      <c r="P4029" s="3" t="s">
        <v>90</v>
      </c>
      <c r="R4029" s="3" t="s">
        <v>67</v>
      </c>
      <c r="S4029" s="4">
        <v>1</v>
      </c>
      <c r="T4029" s="4">
        <v>1</v>
      </c>
      <c r="U4029" s="5" t="s">
        <v>27622</v>
      </c>
      <c r="V4029" s="5" t="s">
        <v>27622</v>
      </c>
      <c r="W4029" s="5" t="s">
        <v>69</v>
      </c>
      <c r="X4029" s="5" t="s">
        <v>69</v>
      </c>
      <c r="Y4029" s="4">
        <v>13</v>
      </c>
      <c r="Z4029" s="4">
        <v>1</v>
      </c>
      <c r="AA4029" s="4">
        <v>1</v>
      </c>
      <c r="AB4029" s="4">
        <v>1</v>
      </c>
      <c r="AC4029" s="4">
        <v>1</v>
      </c>
      <c r="AD4029" s="4">
        <v>11</v>
      </c>
      <c r="AE4029" s="4">
        <v>11</v>
      </c>
      <c r="AF4029" s="4">
        <v>0</v>
      </c>
      <c r="AG4029" s="4">
        <v>0</v>
      </c>
      <c r="AH4029" s="4">
        <v>11</v>
      </c>
      <c r="AI4029" s="4">
        <v>11</v>
      </c>
      <c r="AJ4029" s="4">
        <v>0</v>
      </c>
      <c r="AK4029" s="4">
        <v>0</v>
      </c>
      <c r="AL4029" s="4">
        <v>9</v>
      </c>
      <c r="AM4029" s="4">
        <v>9</v>
      </c>
      <c r="AN4029" s="4">
        <v>0</v>
      </c>
      <c r="AO4029" s="4">
        <v>0</v>
      </c>
      <c r="AP4029" s="4">
        <v>0</v>
      </c>
      <c r="AQ4029" s="4">
        <v>0</v>
      </c>
      <c r="AR4029" s="3" t="s">
        <v>63</v>
      </c>
      <c r="AS4029" s="3" t="s">
        <v>63</v>
      </c>
      <c r="AT4029" s="3" t="s">
        <v>63</v>
      </c>
      <c r="AV4029" s="6" t="str">
        <f>HYPERLINK("http://mcgill.on.worldcat.org/oclc/746464095","Catalog Record")</f>
        <v>Catalog Record</v>
      </c>
      <c r="AW4029" s="6" t="str">
        <f>HYPERLINK("http://www.worldcat.org/oclc/746464095","WorldCat Record")</f>
        <v>WorldCat Record</v>
      </c>
      <c r="AX4029" s="3" t="s">
        <v>34556</v>
      </c>
      <c r="AY4029" s="3" t="s">
        <v>34557</v>
      </c>
      <c r="AZ4029" s="3" t="s">
        <v>34558</v>
      </c>
      <c r="BA4029" s="3" t="s">
        <v>34558</v>
      </c>
      <c r="BB4029" s="3" t="s">
        <v>34559</v>
      </c>
      <c r="BC4029" s="3" t="s">
        <v>82</v>
      </c>
      <c r="BD4029" s="3" t="s">
        <v>70</v>
      </c>
      <c r="BE4029" s="3" t="s">
        <v>34560</v>
      </c>
      <c r="BF4029" s="3" t="s">
        <v>34559</v>
      </c>
      <c r="BG4029" s="3" t="s">
        <v>34561</v>
      </c>
    </row>
    <row r="4030" spans="1:59" ht="75" x14ac:dyDescent="0.25">
      <c r="A4030" s="2" t="s">
        <v>59</v>
      </c>
      <c r="B4030" s="2" t="s">
        <v>60</v>
      </c>
      <c r="C4030" s="2" t="s">
        <v>34562</v>
      </c>
      <c r="D4030" s="2" t="s">
        <v>34563</v>
      </c>
      <c r="E4030" s="2" t="s">
        <v>34564</v>
      </c>
      <c r="G4030" s="3" t="s">
        <v>63</v>
      </c>
      <c r="I4030" s="3" t="s">
        <v>63</v>
      </c>
      <c r="J4030" s="3" t="s">
        <v>63</v>
      </c>
      <c r="K4030" s="3" t="s">
        <v>64</v>
      </c>
      <c r="L4030" s="2" t="s">
        <v>34565</v>
      </c>
      <c r="M4030" s="2" t="s">
        <v>34566</v>
      </c>
      <c r="N4030" s="3" t="s">
        <v>106</v>
      </c>
      <c r="P4030" s="3" t="s">
        <v>90</v>
      </c>
      <c r="R4030" s="3" t="s">
        <v>67</v>
      </c>
      <c r="S4030" s="4">
        <v>0</v>
      </c>
      <c r="T4030" s="4">
        <v>0</v>
      </c>
      <c r="W4030" s="5" t="s">
        <v>69</v>
      </c>
      <c r="X4030" s="5" t="s">
        <v>69</v>
      </c>
      <c r="Y4030" s="4">
        <v>7</v>
      </c>
      <c r="Z4030" s="4">
        <v>1</v>
      </c>
      <c r="AA4030" s="4">
        <v>1</v>
      </c>
      <c r="AB4030" s="4">
        <v>1</v>
      </c>
      <c r="AC4030" s="4">
        <v>1</v>
      </c>
      <c r="AD4030" s="4">
        <v>4</v>
      </c>
      <c r="AE4030" s="4">
        <v>4</v>
      </c>
      <c r="AF4030" s="4">
        <v>0</v>
      </c>
      <c r="AG4030" s="4">
        <v>0</v>
      </c>
      <c r="AH4030" s="4">
        <v>4</v>
      </c>
      <c r="AI4030" s="4">
        <v>4</v>
      </c>
      <c r="AJ4030" s="4">
        <v>0</v>
      </c>
      <c r="AK4030" s="4">
        <v>0</v>
      </c>
      <c r="AL4030" s="4">
        <v>4</v>
      </c>
      <c r="AM4030" s="4">
        <v>4</v>
      </c>
      <c r="AN4030" s="4">
        <v>0</v>
      </c>
      <c r="AO4030" s="4">
        <v>0</v>
      </c>
      <c r="AP4030" s="4">
        <v>0</v>
      </c>
      <c r="AQ4030" s="4">
        <v>0</v>
      </c>
      <c r="AR4030" s="3" t="s">
        <v>63</v>
      </c>
      <c r="AS4030" s="3" t="s">
        <v>63</v>
      </c>
      <c r="AT4030" s="3" t="s">
        <v>63</v>
      </c>
      <c r="AV4030" s="6" t="str">
        <f>HYPERLINK("http://mcgill.on.worldcat.org/oclc/958391243","Catalog Record")</f>
        <v>Catalog Record</v>
      </c>
      <c r="AW4030" s="6" t="str">
        <f>HYPERLINK("http://www.worldcat.org/oclc/958391243","WorldCat Record")</f>
        <v>WorldCat Record</v>
      </c>
      <c r="AX4030" s="3" t="s">
        <v>34567</v>
      </c>
      <c r="AY4030" s="3" t="s">
        <v>34568</v>
      </c>
      <c r="AZ4030" s="3" t="s">
        <v>34569</v>
      </c>
      <c r="BA4030" s="3" t="s">
        <v>34569</v>
      </c>
      <c r="BB4030" s="3" t="s">
        <v>34570</v>
      </c>
      <c r="BC4030" s="3" t="s">
        <v>82</v>
      </c>
      <c r="BD4030" s="3" t="s">
        <v>70</v>
      </c>
      <c r="BE4030" s="3" t="s">
        <v>34571</v>
      </c>
      <c r="BF4030" s="3" t="s">
        <v>34570</v>
      </c>
      <c r="BG4030" s="3" t="s">
        <v>34572</v>
      </c>
    </row>
    <row r="4031" spans="1:59" ht="60" x14ac:dyDescent="0.25">
      <c r="A4031" s="2" t="s">
        <v>59</v>
      </c>
      <c r="B4031" s="2" t="s">
        <v>60</v>
      </c>
      <c r="C4031" s="2" t="s">
        <v>34573</v>
      </c>
      <c r="D4031" s="2" t="s">
        <v>34574</v>
      </c>
      <c r="E4031" s="2" t="s">
        <v>34575</v>
      </c>
      <c r="G4031" s="3" t="s">
        <v>63</v>
      </c>
      <c r="I4031" s="3" t="s">
        <v>63</v>
      </c>
      <c r="J4031" s="3" t="s">
        <v>63</v>
      </c>
      <c r="K4031" s="3" t="s">
        <v>64</v>
      </c>
      <c r="L4031" s="2" t="s">
        <v>34576</v>
      </c>
      <c r="M4031" s="2" t="s">
        <v>34577</v>
      </c>
      <c r="N4031" s="3" t="s">
        <v>143</v>
      </c>
      <c r="P4031" s="3" t="s">
        <v>90</v>
      </c>
      <c r="R4031" s="3" t="s">
        <v>67</v>
      </c>
      <c r="S4031" s="4">
        <v>1</v>
      </c>
      <c r="T4031" s="4">
        <v>1</v>
      </c>
      <c r="U4031" s="5" t="s">
        <v>7107</v>
      </c>
      <c r="V4031" s="5" t="s">
        <v>7107</v>
      </c>
      <c r="W4031" s="5" t="s">
        <v>69</v>
      </c>
      <c r="X4031" s="5" t="s">
        <v>69</v>
      </c>
      <c r="Y4031" s="4">
        <v>21</v>
      </c>
      <c r="Z4031" s="4">
        <v>3</v>
      </c>
      <c r="AA4031" s="4">
        <v>3</v>
      </c>
      <c r="AB4031" s="4">
        <v>1</v>
      </c>
      <c r="AC4031" s="4">
        <v>1</v>
      </c>
      <c r="AD4031" s="4">
        <v>17</v>
      </c>
      <c r="AE4031" s="4">
        <v>17</v>
      </c>
      <c r="AF4031" s="4">
        <v>0</v>
      </c>
      <c r="AG4031" s="4">
        <v>0</v>
      </c>
      <c r="AH4031" s="4">
        <v>16</v>
      </c>
      <c r="AI4031" s="4">
        <v>16</v>
      </c>
      <c r="AJ4031" s="4">
        <v>1</v>
      </c>
      <c r="AK4031" s="4">
        <v>1</v>
      </c>
      <c r="AL4031" s="4">
        <v>15</v>
      </c>
      <c r="AM4031" s="4">
        <v>15</v>
      </c>
      <c r="AN4031" s="4">
        <v>0</v>
      </c>
      <c r="AO4031" s="4">
        <v>0</v>
      </c>
      <c r="AP4031" s="4">
        <v>1</v>
      </c>
      <c r="AQ4031" s="4">
        <v>1</v>
      </c>
      <c r="AR4031" s="3" t="s">
        <v>63</v>
      </c>
      <c r="AS4031" s="3" t="s">
        <v>63</v>
      </c>
      <c r="AT4031" s="3" t="s">
        <v>63</v>
      </c>
      <c r="AV4031" s="6" t="str">
        <f>HYPERLINK("http://mcgill.on.worldcat.org/oclc/890858648","Catalog Record")</f>
        <v>Catalog Record</v>
      </c>
      <c r="AW4031" s="6" t="str">
        <f>HYPERLINK("http://www.worldcat.org/oclc/890858648","WorldCat Record")</f>
        <v>WorldCat Record</v>
      </c>
      <c r="AX4031" s="3" t="s">
        <v>34578</v>
      </c>
      <c r="AY4031" s="3" t="s">
        <v>34579</v>
      </c>
      <c r="AZ4031" s="3" t="s">
        <v>34580</v>
      </c>
      <c r="BA4031" s="3" t="s">
        <v>34580</v>
      </c>
      <c r="BB4031" s="3" t="s">
        <v>34581</v>
      </c>
      <c r="BC4031" s="3" t="s">
        <v>82</v>
      </c>
      <c r="BD4031" s="3" t="s">
        <v>70</v>
      </c>
      <c r="BE4031" s="3" t="s">
        <v>34582</v>
      </c>
      <c r="BF4031" s="3" t="s">
        <v>34581</v>
      </c>
      <c r="BG4031" s="3" t="s">
        <v>34583</v>
      </c>
    </row>
    <row r="4032" spans="1:59" ht="75" x14ac:dyDescent="0.25">
      <c r="A4032" s="2" t="s">
        <v>59</v>
      </c>
      <c r="B4032" s="2" t="s">
        <v>60</v>
      </c>
      <c r="C4032" s="2" t="s">
        <v>34584</v>
      </c>
      <c r="D4032" s="2" t="s">
        <v>34585</v>
      </c>
      <c r="E4032" s="2" t="s">
        <v>34586</v>
      </c>
      <c r="G4032" s="3" t="s">
        <v>63</v>
      </c>
      <c r="I4032" s="3" t="s">
        <v>63</v>
      </c>
      <c r="J4032" s="3" t="s">
        <v>63</v>
      </c>
      <c r="K4032" s="3" t="s">
        <v>64</v>
      </c>
      <c r="L4032" s="2" t="s">
        <v>34587</v>
      </c>
      <c r="M4032" s="2" t="s">
        <v>34588</v>
      </c>
      <c r="N4032" s="3" t="s">
        <v>287</v>
      </c>
      <c r="P4032" s="3" t="s">
        <v>90</v>
      </c>
      <c r="Q4032" s="2" t="s">
        <v>34589</v>
      </c>
      <c r="R4032" s="3" t="s">
        <v>67</v>
      </c>
      <c r="S4032" s="4">
        <v>2</v>
      </c>
      <c r="T4032" s="4">
        <v>2</v>
      </c>
      <c r="U4032" s="5" t="s">
        <v>13807</v>
      </c>
      <c r="V4032" s="5" t="s">
        <v>13807</v>
      </c>
      <c r="W4032" s="5" t="s">
        <v>69</v>
      </c>
      <c r="X4032" s="5" t="s">
        <v>69</v>
      </c>
      <c r="Y4032" s="4">
        <v>57</v>
      </c>
      <c r="Z4032" s="4">
        <v>2</v>
      </c>
      <c r="AA4032" s="4">
        <v>2</v>
      </c>
      <c r="AB4032" s="4">
        <v>1</v>
      </c>
      <c r="AC4032" s="4">
        <v>1</v>
      </c>
      <c r="AD4032" s="4">
        <v>35</v>
      </c>
      <c r="AE4032" s="4">
        <v>35</v>
      </c>
      <c r="AF4032" s="4">
        <v>0</v>
      </c>
      <c r="AG4032" s="4">
        <v>0</v>
      </c>
      <c r="AH4032" s="4">
        <v>34</v>
      </c>
      <c r="AI4032" s="4">
        <v>34</v>
      </c>
      <c r="AJ4032" s="4">
        <v>1</v>
      </c>
      <c r="AK4032" s="4">
        <v>1</v>
      </c>
      <c r="AL4032" s="4">
        <v>28</v>
      </c>
      <c r="AM4032" s="4">
        <v>28</v>
      </c>
      <c r="AN4032" s="4">
        <v>0</v>
      </c>
      <c r="AO4032" s="4">
        <v>0</v>
      </c>
      <c r="AP4032" s="4">
        <v>1</v>
      </c>
      <c r="AQ4032" s="4">
        <v>1</v>
      </c>
      <c r="AR4032" s="3" t="s">
        <v>63</v>
      </c>
      <c r="AS4032" s="3" t="s">
        <v>63</v>
      </c>
      <c r="AT4032" s="3" t="s">
        <v>63</v>
      </c>
      <c r="AV4032" s="6" t="str">
        <f>HYPERLINK("http://mcgill.on.worldcat.org/oclc/1062364001","Catalog Record")</f>
        <v>Catalog Record</v>
      </c>
      <c r="AW4032" s="6" t="str">
        <f>HYPERLINK("http://www.worldcat.org/oclc/1062364001","WorldCat Record")</f>
        <v>WorldCat Record</v>
      </c>
      <c r="AX4032" s="3" t="s">
        <v>34590</v>
      </c>
      <c r="AY4032" s="3" t="s">
        <v>34591</v>
      </c>
      <c r="AZ4032" s="3" t="s">
        <v>34592</v>
      </c>
      <c r="BA4032" s="3" t="s">
        <v>34592</v>
      </c>
      <c r="BB4032" s="3" t="s">
        <v>34593</v>
      </c>
      <c r="BC4032" s="3" t="s">
        <v>82</v>
      </c>
      <c r="BD4032" s="3" t="s">
        <v>70</v>
      </c>
      <c r="BE4032" s="3" t="s">
        <v>34594</v>
      </c>
      <c r="BF4032" s="3" t="s">
        <v>34593</v>
      </c>
      <c r="BG4032" s="3" t="s">
        <v>34595</v>
      </c>
    </row>
    <row r="4033" spans="1:59" ht="75" x14ac:dyDescent="0.25">
      <c r="A4033" s="2" t="s">
        <v>59</v>
      </c>
      <c r="B4033" s="2" t="s">
        <v>60</v>
      </c>
      <c r="C4033" s="2" t="s">
        <v>34596</v>
      </c>
      <c r="D4033" s="2" t="s">
        <v>34597</v>
      </c>
      <c r="E4033" s="2" t="s">
        <v>34598</v>
      </c>
      <c r="G4033" s="3" t="s">
        <v>63</v>
      </c>
      <c r="I4033" s="3" t="s">
        <v>63</v>
      </c>
      <c r="J4033" s="3" t="s">
        <v>63</v>
      </c>
      <c r="K4033" s="3" t="s">
        <v>64</v>
      </c>
      <c r="L4033" s="2" t="s">
        <v>34599</v>
      </c>
      <c r="M4033" s="2" t="s">
        <v>34600</v>
      </c>
      <c r="N4033" s="3" t="s">
        <v>76</v>
      </c>
      <c r="P4033" s="3" t="s">
        <v>90</v>
      </c>
      <c r="R4033" s="3" t="s">
        <v>67</v>
      </c>
      <c r="S4033" s="4">
        <v>1</v>
      </c>
      <c r="T4033" s="4">
        <v>1</v>
      </c>
      <c r="U4033" s="5" t="s">
        <v>9168</v>
      </c>
      <c r="V4033" s="5" t="s">
        <v>9168</v>
      </c>
      <c r="W4033" s="5" t="s">
        <v>69</v>
      </c>
      <c r="X4033" s="5" t="s">
        <v>69</v>
      </c>
      <c r="Y4033" s="4">
        <v>42</v>
      </c>
      <c r="Z4033" s="4">
        <v>6</v>
      </c>
      <c r="AA4033" s="4">
        <v>6</v>
      </c>
      <c r="AB4033" s="4">
        <v>1</v>
      </c>
      <c r="AC4033" s="4">
        <v>1</v>
      </c>
      <c r="AD4033" s="4">
        <v>33</v>
      </c>
      <c r="AE4033" s="4">
        <v>33</v>
      </c>
      <c r="AF4033" s="4">
        <v>0</v>
      </c>
      <c r="AG4033" s="4">
        <v>0</v>
      </c>
      <c r="AH4033" s="4">
        <v>32</v>
      </c>
      <c r="AI4033" s="4">
        <v>32</v>
      </c>
      <c r="AJ4033" s="4">
        <v>2</v>
      </c>
      <c r="AK4033" s="4">
        <v>2</v>
      </c>
      <c r="AL4033" s="4">
        <v>26</v>
      </c>
      <c r="AM4033" s="4">
        <v>26</v>
      </c>
      <c r="AN4033" s="4">
        <v>0</v>
      </c>
      <c r="AO4033" s="4">
        <v>0</v>
      </c>
      <c r="AP4033" s="4">
        <v>2</v>
      </c>
      <c r="AQ4033" s="4">
        <v>2</v>
      </c>
      <c r="AR4033" s="3" t="s">
        <v>63</v>
      </c>
      <c r="AS4033" s="3" t="s">
        <v>63</v>
      </c>
      <c r="AT4033" s="3" t="s">
        <v>63</v>
      </c>
      <c r="AV4033" s="6" t="str">
        <f>HYPERLINK("http://mcgill.on.worldcat.org/oclc/821049129","Catalog Record")</f>
        <v>Catalog Record</v>
      </c>
      <c r="AW4033" s="6" t="str">
        <f>HYPERLINK("http://www.worldcat.org/oclc/821049129","WorldCat Record")</f>
        <v>WorldCat Record</v>
      </c>
      <c r="AX4033" s="3" t="s">
        <v>34601</v>
      </c>
      <c r="AY4033" s="3" t="s">
        <v>34602</v>
      </c>
      <c r="AZ4033" s="3" t="s">
        <v>34603</v>
      </c>
      <c r="BA4033" s="3" t="s">
        <v>34603</v>
      </c>
      <c r="BB4033" s="3" t="s">
        <v>34604</v>
      </c>
      <c r="BC4033" s="3" t="s">
        <v>82</v>
      </c>
      <c r="BD4033" s="3" t="s">
        <v>70</v>
      </c>
      <c r="BE4033" s="3" t="s">
        <v>34605</v>
      </c>
      <c r="BF4033" s="3" t="s">
        <v>34604</v>
      </c>
      <c r="BG4033" s="3" t="s">
        <v>34606</v>
      </c>
    </row>
    <row r="4034" spans="1:59" ht="60" x14ac:dyDescent="0.25">
      <c r="A4034" s="2" t="s">
        <v>59</v>
      </c>
      <c r="B4034" s="2" t="s">
        <v>60</v>
      </c>
      <c r="C4034" s="2" t="s">
        <v>34607</v>
      </c>
      <c r="D4034" s="2" t="s">
        <v>34608</v>
      </c>
      <c r="E4034" s="2" t="s">
        <v>34609</v>
      </c>
      <c r="G4034" s="3" t="s">
        <v>63</v>
      </c>
      <c r="I4034" s="3" t="s">
        <v>63</v>
      </c>
      <c r="J4034" s="3" t="s">
        <v>63</v>
      </c>
      <c r="K4034" s="3" t="s">
        <v>64</v>
      </c>
      <c r="L4034" s="2" t="s">
        <v>34599</v>
      </c>
      <c r="M4034" s="2" t="s">
        <v>18633</v>
      </c>
      <c r="N4034" s="3" t="s">
        <v>313</v>
      </c>
      <c r="P4034" s="3" t="s">
        <v>90</v>
      </c>
      <c r="R4034" s="3" t="s">
        <v>67</v>
      </c>
      <c r="S4034" s="4">
        <v>2</v>
      </c>
      <c r="T4034" s="4">
        <v>2</v>
      </c>
      <c r="U4034" s="5" t="s">
        <v>34610</v>
      </c>
      <c r="V4034" s="5" t="s">
        <v>34610</v>
      </c>
      <c r="W4034" s="5" t="s">
        <v>69</v>
      </c>
      <c r="X4034" s="5" t="s">
        <v>69</v>
      </c>
      <c r="Y4034" s="4">
        <v>10</v>
      </c>
      <c r="Z4034" s="4">
        <v>4</v>
      </c>
      <c r="AA4034" s="4">
        <v>4</v>
      </c>
      <c r="AB4034" s="4">
        <v>1</v>
      </c>
      <c r="AC4034" s="4">
        <v>1</v>
      </c>
      <c r="AD4034" s="4">
        <v>4</v>
      </c>
      <c r="AE4034" s="4">
        <v>22</v>
      </c>
      <c r="AF4034" s="4">
        <v>0</v>
      </c>
      <c r="AG4034" s="4">
        <v>0</v>
      </c>
      <c r="AH4034" s="4">
        <v>4</v>
      </c>
      <c r="AI4034" s="4">
        <v>21</v>
      </c>
      <c r="AJ4034" s="4">
        <v>2</v>
      </c>
      <c r="AK4034" s="4">
        <v>2</v>
      </c>
      <c r="AL4034" s="4">
        <v>2</v>
      </c>
      <c r="AM4034" s="4">
        <v>17</v>
      </c>
      <c r="AN4034" s="4">
        <v>0</v>
      </c>
      <c r="AO4034" s="4">
        <v>0</v>
      </c>
      <c r="AP4034" s="4">
        <v>2</v>
      </c>
      <c r="AQ4034" s="4">
        <v>2</v>
      </c>
      <c r="AR4034" s="3" t="s">
        <v>63</v>
      </c>
      <c r="AS4034" s="3" t="s">
        <v>63</v>
      </c>
      <c r="AT4034" s="3" t="s">
        <v>63</v>
      </c>
      <c r="AV4034" s="6" t="str">
        <f>HYPERLINK("http://mcgill.on.worldcat.org/oclc/716076542","Catalog Record")</f>
        <v>Catalog Record</v>
      </c>
      <c r="AW4034" s="6" t="str">
        <f>HYPERLINK("http://www.worldcat.org/oclc/716076542","WorldCat Record")</f>
        <v>WorldCat Record</v>
      </c>
      <c r="AX4034" s="3" t="s">
        <v>34611</v>
      </c>
      <c r="AY4034" s="3" t="s">
        <v>34612</v>
      </c>
      <c r="AZ4034" s="3" t="s">
        <v>34613</v>
      </c>
      <c r="BA4034" s="3" t="s">
        <v>34613</v>
      </c>
      <c r="BB4034" s="3" t="s">
        <v>34614</v>
      </c>
      <c r="BC4034" s="3" t="s">
        <v>82</v>
      </c>
      <c r="BD4034" s="3" t="s">
        <v>70</v>
      </c>
      <c r="BE4034" s="3" t="s">
        <v>34615</v>
      </c>
      <c r="BF4034" s="3" t="s">
        <v>34614</v>
      </c>
      <c r="BG4034" s="3" t="s">
        <v>34616</v>
      </c>
    </row>
    <row r="4035" spans="1:59" ht="60" x14ac:dyDescent="0.25">
      <c r="A4035" s="2" t="s">
        <v>59</v>
      </c>
      <c r="B4035" s="2" t="s">
        <v>60</v>
      </c>
      <c r="C4035" s="2" t="s">
        <v>34617</v>
      </c>
      <c r="D4035" s="2" t="s">
        <v>34618</v>
      </c>
      <c r="E4035" s="2" t="s">
        <v>34619</v>
      </c>
      <c r="G4035" s="3" t="s">
        <v>63</v>
      </c>
      <c r="I4035" s="3" t="s">
        <v>63</v>
      </c>
      <c r="J4035" s="3" t="s">
        <v>63</v>
      </c>
      <c r="K4035" s="3" t="s">
        <v>64</v>
      </c>
      <c r="L4035" s="2" t="s">
        <v>34587</v>
      </c>
      <c r="M4035" s="2" t="s">
        <v>23679</v>
      </c>
      <c r="N4035" s="3" t="s">
        <v>2765</v>
      </c>
      <c r="P4035" s="3" t="s">
        <v>90</v>
      </c>
      <c r="Q4035" s="2" t="s">
        <v>34620</v>
      </c>
      <c r="R4035" s="3" t="s">
        <v>67</v>
      </c>
      <c r="S4035" s="4">
        <v>3</v>
      </c>
      <c r="T4035" s="4">
        <v>3</v>
      </c>
      <c r="U4035" s="5" t="s">
        <v>29654</v>
      </c>
      <c r="V4035" s="5" t="s">
        <v>29654</v>
      </c>
      <c r="W4035" s="5" t="s">
        <v>69</v>
      </c>
      <c r="X4035" s="5" t="s">
        <v>69</v>
      </c>
      <c r="Y4035" s="4">
        <v>65</v>
      </c>
      <c r="Z4035" s="4">
        <v>8</v>
      </c>
      <c r="AA4035" s="4">
        <v>8</v>
      </c>
      <c r="AB4035" s="4">
        <v>1</v>
      </c>
      <c r="AC4035" s="4">
        <v>1</v>
      </c>
      <c r="AD4035" s="4">
        <v>32</v>
      </c>
      <c r="AE4035" s="4">
        <v>34</v>
      </c>
      <c r="AF4035" s="4">
        <v>0</v>
      </c>
      <c r="AG4035" s="4">
        <v>0</v>
      </c>
      <c r="AH4035" s="4">
        <v>31</v>
      </c>
      <c r="AI4035" s="4">
        <v>33</v>
      </c>
      <c r="AJ4035" s="4">
        <v>4</v>
      </c>
      <c r="AK4035" s="4">
        <v>4</v>
      </c>
      <c r="AL4035" s="4">
        <v>22</v>
      </c>
      <c r="AM4035" s="4">
        <v>24</v>
      </c>
      <c r="AN4035" s="4">
        <v>0</v>
      </c>
      <c r="AO4035" s="4">
        <v>0</v>
      </c>
      <c r="AP4035" s="4">
        <v>4</v>
      </c>
      <c r="AQ4035" s="4">
        <v>4</v>
      </c>
      <c r="AR4035" s="3" t="s">
        <v>63</v>
      </c>
      <c r="AS4035" s="3" t="s">
        <v>63</v>
      </c>
      <c r="AT4035" s="3" t="s">
        <v>63</v>
      </c>
      <c r="AV4035" s="6" t="str">
        <f>HYPERLINK("http://mcgill.on.worldcat.org/oclc/910319683","Catalog Record")</f>
        <v>Catalog Record</v>
      </c>
      <c r="AW4035" s="6" t="str">
        <f>HYPERLINK("http://www.worldcat.org/oclc/910319683","WorldCat Record")</f>
        <v>WorldCat Record</v>
      </c>
      <c r="AX4035" s="3" t="s">
        <v>34621</v>
      </c>
      <c r="AY4035" s="3" t="s">
        <v>34622</v>
      </c>
      <c r="AZ4035" s="3" t="s">
        <v>34623</v>
      </c>
      <c r="BA4035" s="3" t="s">
        <v>34623</v>
      </c>
      <c r="BB4035" s="3" t="s">
        <v>34624</v>
      </c>
      <c r="BC4035" s="3" t="s">
        <v>82</v>
      </c>
      <c r="BD4035" s="3" t="s">
        <v>70</v>
      </c>
      <c r="BE4035" s="3" t="s">
        <v>34625</v>
      </c>
      <c r="BF4035" s="3" t="s">
        <v>34624</v>
      </c>
      <c r="BG4035" s="3" t="s">
        <v>34626</v>
      </c>
    </row>
    <row r="4036" spans="1:59" ht="60" x14ac:dyDescent="0.25">
      <c r="A4036" s="2" t="s">
        <v>59</v>
      </c>
      <c r="B4036" s="2" t="s">
        <v>60</v>
      </c>
      <c r="C4036" s="2" t="s">
        <v>34627</v>
      </c>
      <c r="D4036" s="2" t="s">
        <v>34628</v>
      </c>
      <c r="E4036" s="2" t="s">
        <v>34629</v>
      </c>
      <c r="G4036" s="3" t="s">
        <v>63</v>
      </c>
      <c r="I4036" s="3" t="s">
        <v>63</v>
      </c>
      <c r="J4036" s="3" t="s">
        <v>63</v>
      </c>
      <c r="K4036" s="3" t="s">
        <v>64</v>
      </c>
      <c r="L4036" s="2" t="s">
        <v>34630</v>
      </c>
      <c r="M4036" s="2" t="s">
        <v>34631</v>
      </c>
      <c r="N4036" s="3" t="s">
        <v>2765</v>
      </c>
      <c r="P4036" s="3" t="s">
        <v>90</v>
      </c>
      <c r="Q4036" s="2" t="s">
        <v>34632</v>
      </c>
      <c r="R4036" s="3" t="s">
        <v>67</v>
      </c>
      <c r="S4036" s="4">
        <v>3</v>
      </c>
      <c r="T4036" s="4">
        <v>3</v>
      </c>
      <c r="U4036" s="5" t="s">
        <v>7107</v>
      </c>
      <c r="V4036" s="5" t="s">
        <v>7107</v>
      </c>
      <c r="W4036" s="5" t="s">
        <v>69</v>
      </c>
      <c r="X4036" s="5" t="s">
        <v>69</v>
      </c>
      <c r="Y4036" s="4">
        <v>49</v>
      </c>
      <c r="Z4036" s="4">
        <v>1</v>
      </c>
      <c r="AA4036" s="4">
        <v>1</v>
      </c>
      <c r="AB4036" s="4">
        <v>1</v>
      </c>
      <c r="AC4036" s="4">
        <v>1</v>
      </c>
      <c r="AD4036" s="4">
        <v>19</v>
      </c>
      <c r="AE4036" s="4">
        <v>19</v>
      </c>
      <c r="AF4036" s="4">
        <v>0</v>
      </c>
      <c r="AG4036" s="4">
        <v>0</v>
      </c>
      <c r="AH4036" s="4">
        <v>18</v>
      </c>
      <c r="AI4036" s="4">
        <v>18</v>
      </c>
      <c r="AJ4036" s="4">
        <v>0</v>
      </c>
      <c r="AK4036" s="4">
        <v>0</v>
      </c>
      <c r="AL4036" s="4">
        <v>15</v>
      </c>
      <c r="AM4036" s="4">
        <v>15</v>
      </c>
      <c r="AN4036" s="4">
        <v>0</v>
      </c>
      <c r="AO4036" s="4">
        <v>0</v>
      </c>
      <c r="AP4036" s="4">
        <v>0</v>
      </c>
      <c r="AQ4036" s="4">
        <v>0</v>
      </c>
      <c r="AR4036" s="3" t="s">
        <v>63</v>
      </c>
      <c r="AS4036" s="3" t="s">
        <v>63</v>
      </c>
      <c r="AT4036" s="3" t="s">
        <v>63</v>
      </c>
      <c r="AV4036" s="6" t="str">
        <f>HYPERLINK("http://mcgill.on.worldcat.org/oclc/927114762","Catalog Record")</f>
        <v>Catalog Record</v>
      </c>
      <c r="AW4036" s="6" t="str">
        <f>HYPERLINK("http://www.worldcat.org/oclc/927114762","WorldCat Record")</f>
        <v>WorldCat Record</v>
      </c>
      <c r="AX4036" s="3" t="s">
        <v>34633</v>
      </c>
      <c r="AY4036" s="3" t="s">
        <v>34634</v>
      </c>
      <c r="AZ4036" s="3" t="s">
        <v>34635</v>
      </c>
      <c r="BA4036" s="3" t="s">
        <v>34635</v>
      </c>
      <c r="BB4036" s="3" t="s">
        <v>34636</v>
      </c>
      <c r="BC4036" s="3" t="s">
        <v>82</v>
      </c>
      <c r="BD4036" s="3" t="s">
        <v>70</v>
      </c>
      <c r="BE4036" s="3" t="s">
        <v>34637</v>
      </c>
      <c r="BF4036" s="3" t="s">
        <v>34636</v>
      </c>
      <c r="BG4036" s="3" t="s">
        <v>34638</v>
      </c>
    </row>
    <row r="4037" spans="1:59" ht="60" x14ac:dyDescent="0.25">
      <c r="A4037" s="2" t="s">
        <v>59</v>
      </c>
      <c r="B4037" s="2" t="s">
        <v>60</v>
      </c>
      <c r="C4037" s="2" t="s">
        <v>34639</v>
      </c>
      <c r="D4037" s="2" t="s">
        <v>34640</v>
      </c>
      <c r="E4037" s="2" t="s">
        <v>34641</v>
      </c>
      <c r="G4037" s="3" t="s">
        <v>63</v>
      </c>
      <c r="I4037" s="3" t="s">
        <v>63</v>
      </c>
      <c r="J4037" s="3" t="s">
        <v>63</v>
      </c>
      <c r="K4037" s="3" t="s">
        <v>64</v>
      </c>
      <c r="L4037" s="2" t="s">
        <v>34642</v>
      </c>
      <c r="M4037" s="2" t="s">
        <v>34643</v>
      </c>
      <c r="N4037" s="3" t="s">
        <v>313</v>
      </c>
      <c r="P4037" s="3" t="s">
        <v>90</v>
      </c>
      <c r="Q4037" s="2" t="s">
        <v>30181</v>
      </c>
      <c r="R4037" s="3" t="s">
        <v>67</v>
      </c>
      <c r="S4037" s="4">
        <v>2</v>
      </c>
      <c r="T4037" s="4">
        <v>2</v>
      </c>
      <c r="U4037" s="5" t="s">
        <v>34644</v>
      </c>
      <c r="V4037" s="5" t="s">
        <v>34644</v>
      </c>
      <c r="W4037" s="5" t="s">
        <v>69</v>
      </c>
      <c r="X4037" s="5" t="s">
        <v>69</v>
      </c>
      <c r="Y4037" s="4">
        <v>19</v>
      </c>
      <c r="Z4037" s="4">
        <v>3</v>
      </c>
      <c r="AA4037" s="4">
        <v>9</v>
      </c>
      <c r="AB4037" s="4">
        <v>2</v>
      </c>
      <c r="AC4037" s="4">
        <v>2</v>
      </c>
      <c r="AD4037" s="4">
        <v>10</v>
      </c>
      <c r="AE4037" s="4">
        <v>34</v>
      </c>
      <c r="AF4037" s="4">
        <v>0</v>
      </c>
      <c r="AG4037" s="4">
        <v>0</v>
      </c>
      <c r="AH4037" s="4">
        <v>10</v>
      </c>
      <c r="AI4037" s="4">
        <v>33</v>
      </c>
      <c r="AJ4037" s="4">
        <v>1</v>
      </c>
      <c r="AK4037" s="4">
        <v>5</v>
      </c>
      <c r="AL4037" s="4">
        <v>7</v>
      </c>
      <c r="AM4037" s="4">
        <v>25</v>
      </c>
      <c r="AN4037" s="4">
        <v>0</v>
      </c>
      <c r="AO4037" s="4">
        <v>0</v>
      </c>
      <c r="AP4037" s="4">
        <v>1</v>
      </c>
      <c r="AQ4037" s="4">
        <v>5</v>
      </c>
      <c r="AR4037" s="3" t="s">
        <v>63</v>
      </c>
      <c r="AS4037" s="3" t="s">
        <v>63</v>
      </c>
      <c r="AT4037" s="3" t="s">
        <v>63</v>
      </c>
      <c r="AV4037" s="6" t="str">
        <f>HYPERLINK("http://mcgill.on.worldcat.org/oclc/635864801","Catalog Record")</f>
        <v>Catalog Record</v>
      </c>
      <c r="AW4037" s="6" t="str">
        <f>HYPERLINK("http://www.worldcat.org/oclc/635864801","WorldCat Record")</f>
        <v>WorldCat Record</v>
      </c>
      <c r="AX4037" s="3" t="s">
        <v>34645</v>
      </c>
      <c r="AY4037" s="3" t="s">
        <v>34646</v>
      </c>
      <c r="AZ4037" s="3" t="s">
        <v>34647</v>
      </c>
      <c r="BA4037" s="3" t="s">
        <v>34647</v>
      </c>
      <c r="BB4037" s="3" t="s">
        <v>34648</v>
      </c>
      <c r="BC4037" s="3" t="s">
        <v>82</v>
      </c>
      <c r="BD4037" s="3" t="s">
        <v>70</v>
      </c>
      <c r="BE4037" s="3" t="s">
        <v>34649</v>
      </c>
      <c r="BF4037" s="3" t="s">
        <v>34648</v>
      </c>
      <c r="BG4037" s="3" t="s">
        <v>34650</v>
      </c>
    </row>
    <row r="4038" spans="1:59" ht="75" x14ac:dyDescent="0.25">
      <c r="A4038" s="2" t="s">
        <v>59</v>
      </c>
      <c r="B4038" s="2" t="s">
        <v>60</v>
      </c>
      <c r="C4038" s="2" t="s">
        <v>34651</v>
      </c>
      <c r="D4038" s="2" t="s">
        <v>34652</v>
      </c>
      <c r="E4038" s="2" t="s">
        <v>34653</v>
      </c>
      <c r="G4038" s="3" t="s">
        <v>63</v>
      </c>
      <c r="I4038" s="3" t="s">
        <v>63</v>
      </c>
      <c r="J4038" s="3" t="s">
        <v>63</v>
      </c>
      <c r="K4038" s="3" t="s">
        <v>64</v>
      </c>
      <c r="L4038" s="2" t="s">
        <v>34654</v>
      </c>
      <c r="M4038" s="2" t="s">
        <v>30280</v>
      </c>
      <c r="N4038" s="3" t="s">
        <v>287</v>
      </c>
      <c r="P4038" s="3" t="s">
        <v>90</v>
      </c>
      <c r="Q4038" s="2" t="s">
        <v>29586</v>
      </c>
      <c r="R4038" s="3" t="s">
        <v>67</v>
      </c>
      <c r="S4038" s="4">
        <v>1</v>
      </c>
      <c r="T4038" s="4">
        <v>1</v>
      </c>
      <c r="U4038" s="5" t="s">
        <v>26057</v>
      </c>
      <c r="V4038" s="5" t="s">
        <v>26057</v>
      </c>
      <c r="W4038" s="5" t="s">
        <v>69</v>
      </c>
      <c r="X4038" s="5" t="s">
        <v>69</v>
      </c>
      <c r="Y4038" s="4">
        <v>16</v>
      </c>
      <c r="Z4038" s="4">
        <v>1</v>
      </c>
      <c r="AA4038" s="4">
        <v>1</v>
      </c>
      <c r="AB4038" s="4">
        <v>1</v>
      </c>
      <c r="AC4038" s="4">
        <v>1</v>
      </c>
      <c r="AD4038" s="4">
        <v>15</v>
      </c>
      <c r="AE4038" s="4">
        <v>15</v>
      </c>
      <c r="AF4038" s="4">
        <v>0</v>
      </c>
      <c r="AG4038" s="4">
        <v>0</v>
      </c>
      <c r="AH4038" s="4">
        <v>14</v>
      </c>
      <c r="AI4038" s="4">
        <v>14</v>
      </c>
      <c r="AJ4038" s="4">
        <v>0</v>
      </c>
      <c r="AK4038" s="4">
        <v>0</v>
      </c>
      <c r="AL4038" s="4">
        <v>14</v>
      </c>
      <c r="AM4038" s="4">
        <v>14</v>
      </c>
      <c r="AN4038" s="4">
        <v>0</v>
      </c>
      <c r="AO4038" s="4">
        <v>0</v>
      </c>
      <c r="AP4038" s="4">
        <v>0</v>
      </c>
      <c r="AQ4038" s="4">
        <v>0</v>
      </c>
      <c r="AR4038" s="3" t="s">
        <v>63</v>
      </c>
      <c r="AS4038" s="3" t="s">
        <v>63</v>
      </c>
      <c r="AT4038" s="3" t="s">
        <v>63</v>
      </c>
      <c r="AV4038" s="6" t="str">
        <f>HYPERLINK("http://mcgill.on.worldcat.org/oclc/1057443192","Catalog Record")</f>
        <v>Catalog Record</v>
      </c>
      <c r="AW4038" s="6" t="str">
        <f>HYPERLINK("http://www.worldcat.org/oclc/1057443192","WorldCat Record")</f>
        <v>WorldCat Record</v>
      </c>
      <c r="AX4038" s="3" t="s">
        <v>34655</v>
      </c>
      <c r="AY4038" s="3" t="s">
        <v>34656</v>
      </c>
      <c r="AZ4038" s="3" t="s">
        <v>34657</v>
      </c>
      <c r="BA4038" s="3" t="s">
        <v>34657</v>
      </c>
      <c r="BB4038" s="3" t="s">
        <v>34658</v>
      </c>
      <c r="BC4038" s="3" t="s">
        <v>82</v>
      </c>
      <c r="BD4038" s="3" t="s">
        <v>70</v>
      </c>
      <c r="BE4038" s="3" t="s">
        <v>34659</v>
      </c>
      <c r="BF4038" s="3" t="s">
        <v>34658</v>
      </c>
      <c r="BG4038" s="3" t="s">
        <v>34660</v>
      </c>
    </row>
    <row r="4039" spans="1:59" ht="60" x14ac:dyDescent="0.25">
      <c r="A4039" s="2" t="s">
        <v>59</v>
      </c>
      <c r="B4039" s="2" t="s">
        <v>60</v>
      </c>
      <c r="C4039" s="2" t="s">
        <v>34661</v>
      </c>
      <c r="D4039" s="2" t="s">
        <v>34662</v>
      </c>
      <c r="E4039" s="2" t="s">
        <v>34663</v>
      </c>
      <c r="G4039" s="3" t="s">
        <v>63</v>
      </c>
      <c r="I4039" s="3" t="s">
        <v>63</v>
      </c>
      <c r="J4039" s="3" t="s">
        <v>63</v>
      </c>
      <c r="K4039" s="3" t="s">
        <v>64</v>
      </c>
      <c r="L4039" s="2" t="s">
        <v>34664</v>
      </c>
      <c r="M4039" s="2" t="s">
        <v>34665</v>
      </c>
      <c r="N4039" s="3" t="s">
        <v>143</v>
      </c>
      <c r="P4039" s="3" t="s">
        <v>90</v>
      </c>
      <c r="R4039" s="3" t="s">
        <v>67</v>
      </c>
      <c r="S4039" s="4">
        <v>2</v>
      </c>
      <c r="T4039" s="4">
        <v>2</v>
      </c>
      <c r="U4039" s="5" t="s">
        <v>26057</v>
      </c>
      <c r="V4039" s="5" t="s">
        <v>26057</v>
      </c>
      <c r="W4039" s="5" t="s">
        <v>69</v>
      </c>
      <c r="X4039" s="5" t="s">
        <v>69</v>
      </c>
      <c r="Y4039" s="4">
        <v>19</v>
      </c>
      <c r="Z4039" s="4">
        <v>3</v>
      </c>
      <c r="AA4039" s="4">
        <v>3</v>
      </c>
      <c r="AB4039" s="4">
        <v>1</v>
      </c>
      <c r="AC4039" s="4">
        <v>1</v>
      </c>
      <c r="AD4039" s="4">
        <v>15</v>
      </c>
      <c r="AE4039" s="4">
        <v>15</v>
      </c>
      <c r="AF4039" s="4">
        <v>0</v>
      </c>
      <c r="AG4039" s="4">
        <v>0</v>
      </c>
      <c r="AH4039" s="4">
        <v>15</v>
      </c>
      <c r="AI4039" s="4">
        <v>15</v>
      </c>
      <c r="AJ4039" s="4">
        <v>1</v>
      </c>
      <c r="AK4039" s="4">
        <v>1</v>
      </c>
      <c r="AL4039" s="4">
        <v>11</v>
      </c>
      <c r="AM4039" s="4">
        <v>11</v>
      </c>
      <c r="AN4039" s="4">
        <v>0</v>
      </c>
      <c r="AO4039" s="4">
        <v>0</v>
      </c>
      <c r="AP4039" s="4">
        <v>1</v>
      </c>
      <c r="AQ4039" s="4">
        <v>1</v>
      </c>
      <c r="AR4039" s="3" t="s">
        <v>63</v>
      </c>
      <c r="AS4039" s="3" t="s">
        <v>63</v>
      </c>
      <c r="AT4039" s="3" t="s">
        <v>63</v>
      </c>
      <c r="AV4039" s="6" t="str">
        <f>HYPERLINK("http://mcgill.on.worldcat.org/oclc/898186425","Catalog Record")</f>
        <v>Catalog Record</v>
      </c>
      <c r="AW4039" s="6" t="str">
        <f>HYPERLINK("http://www.worldcat.org/oclc/898186425","WorldCat Record")</f>
        <v>WorldCat Record</v>
      </c>
      <c r="AX4039" s="3" t="s">
        <v>34666</v>
      </c>
      <c r="AY4039" s="3" t="s">
        <v>34667</v>
      </c>
      <c r="AZ4039" s="3" t="s">
        <v>34668</v>
      </c>
      <c r="BA4039" s="3" t="s">
        <v>34668</v>
      </c>
      <c r="BB4039" s="3" t="s">
        <v>34669</v>
      </c>
      <c r="BC4039" s="3" t="s">
        <v>82</v>
      </c>
      <c r="BD4039" s="3" t="s">
        <v>70</v>
      </c>
      <c r="BE4039" s="3" t="s">
        <v>34670</v>
      </c>
      <c r="BF4039" s="3" t="s">
        <v>34669</v>
      </c>
      <c r="BG4039" s="3" t="s">
        <v>34671</v>
      </c>
    </row>
    <row r="4040" spans="1:59" ht="75" x14ac:dyDescent="0.25">
      <c r="A4040" s="2" t="s">
        <v>59</v>
      </c>
      <c r="B4040" s="2" t="s">
        <v>60</v>
      </c>
      <c r="C4040" s="2" t="s">
        <v>34672</v>
      </c>
      <c r="D4040" s="2" t="s">
        <v>34673</v>
      </c>
      <c r="E4040" s="2" t="s">
        <v>34674</v>
      </c>
      <c r="G4040" s="3" t="s">
        <v>63</v>
      </c>
      <c r="I4040" s="3" t="s">
        <v>63</v>
      </c>
      <c r="J4040" s="3" t="s">
        <v>63</v>
      </c>
      <c r="K4040" s="3" t="s">
        <v>64</v>
      </c>
      <c r="L4040" s="2" t="s">
        <v>34675</v>
      </c>
      <c r="M4040" s="2" t="s">
        <v>32106</v>
      </c>
      <c r="N4040" s="3" t="s">
        <v>106</v>
      </c>
      <c r="P4040" s="3" t="s">
        <v>90</v>
      </c>
      <c r="Q4040" s="2" t="s">
        <v>34676</v>
      </c>
      <c r="R4040" s="3" t="s">
        <v>67</v>
      </c>
      <c r="S4040" s="4">
        <v>0</v>
      </c>
      <c r="T4040" s="4">
        <v>0</v>
      </c>
      <c r="W4040" s="5" t="s">
        <v>69</v>
      </c>
      <c r="X4040" s="5" t="s">
        <v>69</v>
      </c>
      <c r="Y4040" s="4">
        <v>22</v>
      </c>
      <c r="Z4040" s="4">
        <v>2</v>
      </c>
      <c r="AA4040" s="4">
        <v>2</v>
      </c>
      <c r="AB4040" s="4">
        <v>1</v>
      </c>
      <c r="AC4040" s="4">
        <v>1</v>
      </c>
      <c r="AD4040" s="4">
        <v>17</v>
      </c>
      <c r="AE4040" s="4">
        <v>17</v>
      </c>
      <c r="AF4040" s="4">
        <v>0</v>
      </c>
      <c r="AG4040" s="4">
        <v>0</v>
      </c>
      <c r="AH4040" s="4">
        <v>16</v>
      </c>
      <c r="AI4040" s="4">
        <v>16</v>
      </c>
      <c r="AJ4040" s="4">
        <v>1</v>
      </c>
      <c r="AK4040" s="4">
        <v>1</v>
      </c>
      <c r="AL4040" s="4">
        <v>14</v>
      </c>
      <c r="AM4040" s="4">
        <v>14</v>
      </c>
      <c r="AN4040" s="4">
        <v>0</v>
      </c>
      <c r="AO4040" s="4">
        <v>0</v>
      </c>
      <c r="AP4040" s="4">
        <v>1</v>
      </c>
      <c r="AQ4040" s="4">
        <v>1</v>
      </c>
      <c r="AR4040" s="3" t="s">
        <v>63</v>
      </c>
      <c r="AS4040" s="3" t="s">
        <v>63</v>
      </c>
      <c r="AT4040" s="3" t="s">
        <v>63</v>
      </c>
      <c r="AV4040" s="6" t="str">
        <f>HYPERLINK("http://mcgill.on.worldcat.org/oclc/956644525","Catalog Record")</f>
        <v>Catalog Record</v>
      </c>
      <c r="AW4040" s="6" t="str">
        <f>HYPERLINK("http://www.worldcat.org/oclc/956644525","WorldCat Record")</f>
        <v>WorldCat Record</v>
      </c>
      <c r="AX4040" s="3" t="s">
        <v>34677</v>
      </c>
      <c r="AY4040" s="3" t="s">
        <v>34678</v>
      </c>
      <c r="AZ4040" s="3" t="s">
        <v>34679</v>
      </c>
      <c r="BA4040" s="3" t="s">
        <v>34679</v>
      </c>
      <c r="BB4040" s="3" t="s">
        <v>34680</v>
      </c>
      <c r="BC4040" s="3" t="s">
        <v>82</v>
      </c>
      <c r="BD4040" s="3" t="s">
        <v>70</v>
      </c>
      <c r="BE4040" s="3" t="s">
        <v>34681</v>
      </c>
      <c r="BF4040" s="3" t="s">
        <v>34680</v>
      </c>
      <c r="BG4040" s="3" t="s">
        <v>34682</v>
      </c>
    </row>
    <row r="4041" spans="1:59" ht="75" x14ac:dyDescent="0.25">
      <c r="A4041" s="2" t="s">
        <v>59</v>
      </c>
      <c r="B4041" s="2" t="s">
        <v>60</v>
      </c>
      <c r="C4041" s="2" t="s">
        <v>34683</v>
      </c>
      <c r="D4041" s="2" t="s">
        <v>34684</v>
      </c>
      <c r="E4041" s="2" t="s">
        <v>34685</v>
      </c>
      <c r="G4041" s="3" t="s">
        <v>63</v>
      </c>
      <c r="I4041" s="3" t="s">
        <v>63</v>
      </c>
      <c r="J4041" s="3" t="s">
        <v>63</v>
      </c>
      <c r="K4041" s="3" t="s">
        <v>64</v>
      </c>
      <c r="L4041" s="2" t="s">
        <v>34686</v>
      </c>
      <c r="M4041" s="2" t="s">
        <v>34687</v>
      </c>
      <c r="N4041" s="3" t="s">
        <v>629</v>
      </c>
      <c r="P4041" s="3" t="s">
        <v>90</v>
      </c>
      <c r="R4041" s="3" t="s">
        <v>67</v>
      </c>
      <c r="S4041" s="4">
        <v>0</v>
      </c>
      <c r="T4041" s="4">
        <v>0</v>
      </c>
      <c r="W4041" s="5" t="s">
        <v>69</v>
      </c>
      <c r="X4041" s="5" t="s">
        <v>69</v>
      </c>
      <c r="Y4041" s="4">
        <v>25</v>
      </c>
      <c r="Z4041" s="4">
        <v>1</v>
      </c>
      <c r="AA4041" s="4">
        <v>1</v>
      </c>
      <c r="AB4041" s="4">
        <v>1</v>
      </c>
      <c r="AC4041" s="4">
        <v>1</v>
      </c>
      <c r="AD4041" s="4">
        <v>17</v>
      </c>
      <c r="AE4041" s="4">
        <v>17</v>
      </c>
      <c r="AF4041" s="4">
        <v>0</v>
      </c>
      <c r="AG4041" s="4">
        <v>0</v>
      </c>
      <c r="AH4041" s="4">
        <v>16</v>
      </c>
      <c r="AI4041" s="4">
        <v>16</v>
      </c>
      <c r="AJ4041" s="4">
        <v>0</v>
      </c>
      <c r="AK4041" s="4">
        <v>0</v>
      </c>
      <c r="AL4041" s="4">
        <v>13</v>
      </c>
      <c r="AM4041" s="4">
        <v>13</v>
      </c>
      <c r="AN4041" s="4">
        <v>0</v>
      </c>
      <c r="AO4041" s="4">
        <v>0</v>
      </c>
      <c r="AP4041" s="4">
        <v>0</v>
      </c>
      <c r="AQ4041" s="4">
        <v>0</v>
      </c>
      <c r="AR4041" s="3" t="s">
        <v>63</v>
      </c>
      <c r="AS4041" s="3" t="s">
        <v>63</v>
      </c>
      <c r="AT4041" s="3" t="s">
        <v>63</v>
      </c>
      <c r="AV4041" s="6" t="str">
        <f>HYPERLINK("http://mcgill.on.worldcat.org/oclc/772585499","Catalog Record")</f>
        <v>Catalog Record</v>
      </c>
      <c r="AW4041" s="6" t="str">
        <f>HYPERLINK("http://www.worldcat.org/oclc/772585499","WorldCat Record")</f>
        <v>WorldCat Record</v>
      </c>
      <c r="AX4041" s="3" t="s">
        <v>34688</v>
      </c>
      <c r="AY4041" s="3" t="s">
        <v>34689</v>
      </c>
      <c r="AZ4041" s="3" t="s">
        <v>34690</v>
      </c>
      <c r="BA4041" s="3" t="s">
        <v>34690</v>
      </c>
      <c r="BB4041" s="3" t="s">
        <v>34691</v>
      </c>
      <c r="BC4041" s="3" t="s">
        <v>82</v>
      </c>
      <c r="BD4041" s="3" t="s">
        <v>70</v>
      </c>
      <c r="BE4041" s="3" t="s">
        <v>34692</v>
      </c>
      <c r="BF4041" s="3" t="s">
        <v>34691</v>
      </c>
      <c r="BG4041" s="3" t="s">
        <v>34693</v>
      </c>
    </row>
    <row r="4042" spans="1:59" ht="60" x14ac:dyDescent="0.25">
      <c r="A4042" s="2" t="s">
        <v>59</v>
      </c>
      <c r="B4042" s="2" t="s">
        <v>60</v>
      </c>
      <c r="C4042" s="2" t="s">
        <v>34694</v>
      </c>
      <c r="D4042" s="2" t="s">
        <v>34695</v>
      </c>
      <c r="E4042" s="2" t="s">
        <v>34696</v>
      </c>
      <c r="G4042" s="3" t="s">
        <v>63</v>
      </c>
      <c r="I4042" s="3" t="s">
        <v>63</v>
      </c>
      <c r="J4042" s="3" t="s">
        <v>63</v>
      </c>
      <c r="K4042" s="3" t="s">
        <v>64</v>
      </c>
      <c r="L4042" s="2" t="s">
        <v>34697</v>
      </c>
      <c r="M4042" s="2" t="s">
        <v>23679</v>
      </c>
      <c r="N4042" s="3" t="s">
        <v>2765</v>
      </c>
      <c r="P4042" s="3" t="s">
        <v>90</v>
      </c>
      <c r="Q4042" s="2" t="s">
        <v>31592</v>
      </c>
      <c r="R4042" s="3" t="s">
        <v>67</v>
      </c>
      <c r="S4042" s="4">
        <v>1</v>
      </c>
      <c r="T4042" s="4">
        <v>1</v>
      </c>
      <c r="U4042" s="5" t="s">
        <v>11535</v>
      </c>
      <c r="V4042" s="5" t="s">
        <v>11535</v>
      </c>
      <c r="W4042" s="5" t="s">
        <v>69</v>
      </c>
      <c r="X4042" s="5" t="s">
        <v>69</v>
      </c>
      <c r="Y4042" s="4">
        <v>120</v>
      </c>
      <c r="Z4042" s="4">
        <v>8</v>
      </c>
      <c r="AA4042" s="4">
        <v>11</v>
      </c>
      <c r="AB4042" s="4">
        <v>1</v>
      </c>
      <c r="AC4042" s="4">
        <v>2</v>
      </c>
      <c r="AD4042" s="4">
        <v>41</v>
      </c>
      <c r="AE4042" s="4">
        <v>44</v>
      </c>
      <c r="AF4042" s="4">
        <v>0</v>
      </c>
      <c r="AG4042" s="4">
        <v>0</v>
      </c>
      <c r="AH4042" s="4">
        <v>40</v>
      </c>
      <c r="AI4042" s="4">
        <v>43</v>
      </c>
      <c r="AJ4042" s="4">
        <v>4</v>
      </c>
      <c r="AK4042" s="4">
        <v>4</v>
      </c>
      <c r="AL4042" s="4">
        <v>28</v>
      </c>
      <c r="AM4042" s="4">
        <v>30</v>
      </c>
      <c r="AN4042" s="4">
        <v>0</v>
      </c>
      <c r="AO4042" s="4">
        <v>0</v>
      </c>
      <c r="AP4042" s="4">
        <v>4</v>
      </c>
      <c r="AQ4042" s="4">
        <v>4</v>
      </c>
      <c r="AR4042" s="3" t="s">
        <v>63</v>
      </c>
      <c r="AS4042" s="3" t="s">
        <v>63</v>
      </c>
      <c r="AT4042" s="3" t="s">
        <v>63</v>
      </c>
      <c r="AV4042" s="6" t="str">
        <f>HYPERLINK("http://mcgill.on.worldcat.org/oclc/910951362","Catalog Record")</f>
        <v>Catalog Record</v>
      </c>
      <c r="AW4042" s="6" t="str">
        <f>HYPERLINK("http://www.worldcat.org/oclc/910951362","WorldCat Record")</f>
        <v>WorldCat Record</v>
      </c>
      <c r="AX4042" s="3" t="s">
        <v>34698</v>
      </c>
      <c r="AY4042" s="3" t="s">
        <v>34699</v>
      </c>
      <c r="AZ4042" s="3" t="s">
        <v>34700</v>
      </c>
      <c r="BA4042" s="3" t="s">
        <v>34700</v>
      </c>
      <c r="BB4042" s="3" t="s">
        <v>34701</v>
      </c>
      <c r="BC4042" s="3" t="s">
        <v>82</v>
      </c>
      <c r="BD4042" s="3" t="s">
        <v>70</v>
      </c>
      <c r="BE4042" s="3" t="s">
        <v>34702</v>
      </c>
      <c r="BF4042" s="3" t="s">
        <v>34701</v>
      </c>
      <c r="BG4042" s="3" t="s">
        <v>34703</v>
      </c>
    </row>
    <row r="4043" spans="1:59" ht="60" x14ac:dyDescent="0.25">
      <c r="A4043" s="2" t="s">
        <v>59</v>
      </c>
      <c r="B4043" s="2" t="s">
        <v>60</v>
      </c>
      <c r="C4043" s="2" t="s">
        <v>34704</v>
      </c>
      <c r="D4043" s="2" t="s">
        <v>34705</v>
      </c>
      <c r="E4043" s="2" t="s">
        <v>34706</v>
      </c>
      <c r="G4043" s="3" t="s">
        <v>63</v>
      </c>
      <c r="I4043" s="3" t="s">
        <v>63</v>
      </c>
      <c r="J4043" s="3" t="s">
        <v>63</v>
      </c>
      <c r="K4043" s="3" t="s">
        <v>64</v>
      </c>
      <c r="L4043" s="2" t="s">
        <v>34707</v>
      </c>
      <c r="M4043" s="2" t="s">
        <v>29770</v>
      </c>
      <c r="N4043" s="3" t="s">
        <v>287</v>
      </c>
      <c r="P4043" s="3" t="s">
        <v>90</v>
      </c>
      <c r="Q4043" s="2" t="s">
        <v>29771</v>
      </c>
      <c r="R4043" s="3" t="s">
        <v>67</v>
      </c>
      <c r="S4043" s="4">
        <v>1</v>
      </c>
      <c r="T4043" s="4">
        <v>1</v>
      </c>
      <c r="U4043" s="5" t="s">
        <v>26057</v>
      </c>
      <c r="V4043" s="5" t="s">
        <v>26057</v>
      </c>
      <c r="W4043" s="5" t="s">
        <v>9728</v>
      </c>
      <c r="X4043" s="5" t="s">
        <v>9728</v>
      </c>
      <c r="Y4043" s="4">
        <v>30</v>
      </c>
      <c r="Z4043" s="4">
        <v>2</v>
      </c>
      <c r="AA4043" s="4">
        <v>2</v>
      </c>
      <c r="AB4043" s="4">
        <v>1</v>
      </c>
      <c r="AC4043" s="4">
        <v>1</v>
      </c>
      <c r="AD4043" s="4">
        <v>13</v>
      </c>
      <c r="AE4043" s="4">
        <v>13</v>
      </c>
      <c r="AF4043" s="4">
        <v>0</v>
      </c>
      <c r="AG4043" s="4">
        <v>0</v>
      </c>
      <c r="AH4043" s="4">
        <v>13</v>
      </c>
      <c r="AI4043" s="4">
        <v>13</v>
      </c>
      <c r="AJ4043" s="4">
        <v>0</v>
      </c>
      <c r="AK4043" s="4">
        <v>0</v>
      </c>
      <c r="AL4043" s="4">
        <v>10</v>
      </c>
      <c r="AM4043" s="4">
        <v>10</v>
      </c>
      <c r="AN4043" s="4">
        <v>0</v>
      </c>
      <c r="AO4043" s="4">
        <v>0</v>
      </c>
      <c r="AP4043" s="4">
        <v>0</v>
      </c>
      <c r="AQ4043" s="4">
        <v>0</v>
      </c>
      <c r="AR4043" s="3" t="s">
        <v>63</v>
      </c>
      <c r="AS4043" s="3" t="s">
        <v>63</v>
      </c>
      <c r="AT4043" s="3" t="s">
        <v>63</v>
      </c>
      <c r="AV4043" s="6" t="str">
        <f>HYPERLINK("http://mcgill.on.worldcat.org/oclc/1044748564","Catalog Record")</f>
        <v>Catalog Record</v>
      </c>
      <c r="AW4043" s="6" t="str">
        <f>HYPERLINK("http://www.worldcat.org/oclc/1044748564","WorldCat Record")</f>
        <v>WorldCat Record</v>
      </c>
      <c r="AX4043" s="3" t="s">
        <v>34708</v>
      </c>
      <c r="AY4043" s="3" t="s">
        <v>34709</v>
      </c>
      <c r="AZ4043" s="3" t="s">
        <v>34710</v>
      </c>
      <c r="BA4043" s="3" t="s">
        <v>34710</v>
      </c>
      <c r="BB4043" s="3" t="s">
        <v>34711</v>
      </c>
      <c r="BC4043" s="3" t="s">
        <v>82</v>
      </c>
      <c r="BD4043" s="3" t="s">
        <v>70</v>
      </c>
      <c r="BE4043" s="3" t="s">
        <v>34712</v>
      </c>
      <c r="BF4043" s="3" t="s">
        <v>34711</v>
      </c>
      <c r="BG4043" s="3" t="s">
        <v>34713</v>
      </c>
    </row>
    <row r="4044" spans="1:59" ht="75" x14ac:dyDescent="0.25">
      <c r="A4044" s="2" t="s">
        <v>59</v>
      </c>
      <c r="B4044" s="2" t="s">
        <v>60</v>
      </c>
      <c r="C4044" s="2" t="s">
        <v>34714</v>
      </c>
      <c r="D4044" s="2" t="s">
        <v>34715</v>
      </c>
      <c r="E4044" s="2" t="s">
        <v>34716</v>
      </c>
      <c r="G4044" s="3" t="s">
        <v>63</v>
      </c>
      <c r="I4044" s="3" t="s">
        <v>63</v>
      </c>
      <c r="J4044" s="3" t="s">
        <v>62</v>
      </c>
      <c r="K4044" s="3" t="s">
        <v>64</v>
      </c>
      <c r="L4044" s="2" t="s">
        <v>34717</v>
      </c>
      <c r="M4044" s="2" t="s">
        <v>34718</v>
      </c>
      <c r="N4044" s="3" t="s">
        <v>143</v>
      </c>
      <c r="P4044" s="3" t="s">
        <v>90</v>
      </c>
      <c r="R4044" s="3" t="s">
        <v>67</v>
      </c>
      <c r="S4044" s="4">
        <v>0</v>
      </c>
      <c r="T4044" s="4">
        <v>0</v>
      </c>
      <c r="W4044" s="5" t="s">
        <v>69</v>
      </c>
      <c r="X4044" s="5" t="s">
        <v>69</v>
      </c>
      <c r="Y4044" s="4">
        <v>7</v>
      </c>
      <c r="Z4044" s="4">
        <v>1</v>
      </c>
      <c r="AA4044" s="4">
        <v>3</v>
      </c>
      <c r="AB4044" s="4">
        <v>1</v>
      </c>
      <c r="AC4044" s="4">
        <v>1</v>
      </c>
      <c r="AD4044" s="4">
        <v>4</v>
      </c>
      <c r="AE4044" s="4">
        <v>37</v>
      </c>
      <c r="AF4044" s="4">
        <v>0</v>
      </c>
      <c r="AG4044" s="4">
        <v>0</v>
      </c>
      <c r="AH4044" s="4">
        <v>4</v>
      </c>
      <c r="AI4044" s="4">
        <v>36</v>
      </c>
      <c r="AJ4044" s="4">
        <v>0</v>
      </c>
      <c r="AK4044" s="4">
        <v>1</v>
      </c>
      <c r="AL4044" s="4">
        <v>2</v>
      </c>
      <c r="AM4044" s="4">
        <v>28</v>
      </c>
      <c r="AN4044" s="4">
        <v>0</v>
      </c>
      <c r="AO4044" s="4">
        <v>0</v>
      </c>
      <c r="AP4044" s="4">
        <v>0</v>
      </c>
      <c r="AQ4044" s="4">
        <v>1</v>
      </c>
      <c r="AR4044" s="3" t="s">
        <v>63</v>
      </c>
      <c r="AS4044" s="3" t="s">
        <v>63</v>
      </c>
      <c r="AT4044" s="3" t="s">
        <v>63</v>
      </c>
      <c r="AV4044" s="6" t="str">
        <f>HYPERLINK("http://mcgill.on.worldcat.org/oclc/897142944","Catalog Record")</f>
        <v>Catalog Record</v>
      </c>
      <c r="AW4044" s="6" t="str">
        <f>HYPERLINK("http://www.worldcat.org/oclc/897142944","WorldCat Record")</f>
        <v>WorldCat Record</v>
      </c>
      <c r="AX4044" s="3" t="s">
        <v>34719</v>
      </c>
      <c r="AY4044" s="3" t="s">
        <v>34720</v>
      </c>
      <c r="AZ4044" s="3" t="s">
        <v>34721</v>
      </c>
      <c r="BA4044" s="3" t="s">
        <v>34721</v>
      </c>
      <c r="BB4044" s="3" t="s">
        <v>34722</v>
      </c>
      <c r="BC4044" s="3" t="s">
        <v>82</v>
      </c>
      <c r="BD4044" s="3" t="s">
        <v>70</v>
      </c>
      <c r="BE4044" s="3" t="s">
        <v>34723</v>
      </c>
      <c r="BF4044" s="3" t="s">
        <v>34722</v>
      </c>
      <c r="BG4044" s="3" t="s">
        <v>34724</v>
      </c>
    </row>
    <row r="4045" spans="1:59" ht="75" x14ac:dyDescent="0.25">
      <c r="A4045" s="2" t="s">
        <v>59</v>
      </c>
      <c r="B4045" s="2" t="s">
        <v>60</v>
      </c>
      <c r="C4045" s="2" t="s">
        <v>34725</v>
      </c>
      <c r="D4045" s="2" t="s">
        <v>34726</v>
      </c>
      <c r="E4045" s="2" t="s">
        <v>34727</v>
      </c>
      <c r="G4045" s="3" t="s">
        <v>63</v>
      </c>
      <c r="I4045" s="3" t="s">
        <v>63</v>
      </c>
      <c r="J4045" s="3" t="s">
        <v>63</v>
      </c>
      <c r="K4045" s="3" t="s">
        <v>64</v>
      </c>
      <c r="L4045" s="2" t="s">
        <v>34728</v>
      </c>
      <c r="M4045" s="2" t="s">
        <v>34729</v>
      </c>
      <c r="N4045" s="3" t="s">
        <v>287</v>
      </c>
      <c r="P4045" s="3" t="s">
        <v>90</v>
      </c>
      <c r="Q4045" s="2" t="s">
        <v>34730</v>
      </c>
      <c r="R4045" s="3" t="s">
        <v>67</v>
      </c>
      <c r="S4045" s="4">
        <v>1</v>
      </c>
      <c r="T4045" s="4">
        <v>1</v>
      </c>
      <c r="U4045" s="5" t="s">
        <v>26057</v>
      </c>
      <c r="V4045" s="5" t="s">
        <v>26057</v>
      </c>
      <c r="W4045" s="5" t="s">
        <v>9728</v>
      </c>
      <c r="X4045" s="5" t="s">
        <v>9728</v>
      </c>
      <c r="Y4045" s="4">
        <v>43</v>
      </c>
      <c r="Z4045" s="4">
        <v>2</v>
      </c>
      <c r="AA4045" s="4">
        <v>2</v>
      </c>
      <c r="AB4045" s="4">
        <v>1</v>
      </c>
      <c r="AC4045" s="4">
        <v>1</v>
      </c>
      <c r="AD4045" s="4">
        <v>21</v>
      </c>
      <c r="AE4045" s="4">
        <v>21</v>
      </c>
      <c r="AF4045" s="4">
        <v>0</v>
      </c>
      <c r="AG4045" s="4">
        <v>0</v>
      </c>
      <c r="AH4045" s="4">
        <v>21</v>
      </c>
      <c r="AI4045" s="4">
        <v>21</v>
      </c>
      <c r="AJ4045" s="4">
        <v>0</v>
      </c>
      <c r="AK4045" s="4">
        <v>0</v>
      </c>
      <c r="AL4045" s="4">
        <v>17</v>
      </c>
      <c r="AM4045" s="4">
        <v>17</v>
      </c>
      <c r="AN4045" s="4">
        <v>0</v>
      </c>
      <c r="AO4045" s="4">
        <v>0</v>
      </c>
      <c r="AP4045" s="4">
        <v>0</v>
      </c>
      <c r="AQ4045" s="4">
        <v>0</v>
      </c>
      <c r="AR4045" s="3" t="s">
        <v>63</v>
      </c>
      <c r="AS4045" s="3" t="s">
        <v>63</v>
      </c>
      <c r="AT4045" s="3" t="s">
        <v>63</v>
      </c>
      <c r="AV4045" s="6" t="str">
        <f>HYPERLINK("http://mcgill.on.worldcat.org/oclc/1042341188","Catalog Record")</f>
        <v>Catalog Record</v>
      </c>
      <c r="AW4045" s="6" t="str">
        <f>HYPERLINK("http://www.worldcat.org/oclc/1042341188","WorldCat Record")</f>
        <v>WorldCat Record</v>
      </c>
      <c r="AX4045" s="3" t="s">
        <v>34731</v>
      </c>
      <c r="AY4045" s="3" t="s">
        <v>34732</v>
      </c>
      <c r="AZ4045" s="3" t="s">
        <v>34733</v>
      </c>
      <c r="BA4045" s="3" t="s">
        <v>34733</v>
      </c>
      <c r="BB4045" s="3" t="s">
        <v>34734</v>
      </c>
      <c r="BC4045" s="3" t="s">
        <v>82</v>
      </c>
      <c r="BD4045" s="3" t="s">
        <v>70</v>
      </c>
      <c r="BE4045" s="3" t="s">
        <v>34735</v>
      </c>
      <c r="BF4045" s="3" t="s">
        <v>34734</v>
      </c>
      <c r="BG4045" s="3" t="s">
        <v>34736</v>
      </c>
    </row>
    <row r="4046" spans="1:59" ht="60" x14ac:dyDescent="0.25">
      <c r="A4046" s="2" t="s">
        <v>59</v>
      </c>
      <c r="B4046" s="2" t="s">
        <v>60</v>
      </c>
      <c r="C4046" s="2" t="s">
        <v>34737</v>
      </c>
      <c r="D4046" s="2" t="s">
        <v>34738</v>
      </c>
      <c r="E4046" s="2" t="s">
        <v>34739</v>
      </c>
      <c r="G4046" s="3" t="s">
        <v>63</v>
      </c>
      <c r="I4046" s="3" t="s">
        <v>63</v>
      </c>
      <c r="J4046" s="3" t="s">
        <v>63</v>
      </c>
      <c r="K4046" s="3" t="s">
        <v>64</v>
      </c>
      <c r="L4046" s="2" t="s">
        <v>34728</v>
      </c>
      <c r="M4046" s="2" t="s">
        <v>23679</v>
      </c>
      <c r="N4046" s="3" t="s">
        <v>2765</v>
      </c>
      <c r="P4046" s="3" t="s">
        <v>90</v>
      </c>
      <c r="R4046" s="3" t="s">
        <v>67</v>
      </c>
      <c r="S4046" s="4">
        <v>2</v>
      </c>
      <c r="T4046" s="4">
        <v>2</v>
      </c>
      <c r="U4046" s="5" t="s">
        <v>34517</v>
      </c>
      <c r="V4046" s="5" t="s">
        <v>34517</v>
      </c>
      <c r="W4046" s="5" t="s">
        <v>69</v>
      </c>
      <c r="X4046" s="5" t="s">
        <v>69</v>
      </c>
      <c r="Y4046" s="4">
        <v>44</v>
      </c>
      <c r="Z4046" s="4">
        <v>7</v>
      </c>
      <c r="AA4046" s="4">
        <v>7</v>
      </c>
      <c r="AB4046" s="4">
        <v>1</v>
      </c>
      <c r="AC4046" s="4">
        <v>1</v>
      </c>
      <c r="AD4046" s="4">
        <v>32</v>
      </c>
      <c r="AE4046" s="4">
        <v>32</v>
      </c>
      <c r="AF4046" s="4">
        <v>0</v>
      </c>
      <c r="AG4046" s="4">
        <v>0</v>
      </c>
      <c r="AH4046" s="4">
        <v>31</v>
      </c>
      <c r="AI4046" s="4">
        <v>31</v>
      </c>
      <c r="AJ4046" s="4">
        <v>3</v>
      </c>
      <c r="AK4046" s="4">
        <v>3</v>
      </c>
      <c r="AL4046" s="4">
        <v>25</v>
      </c>
      <c r="AM4046" s="4">
        <v>25</v>
      </c>
      <c r="AN4046" s="4">
        <v>0</v>
      </c>
      <c r="AO4046" s="4">
        <v>0</v>
      </c>
      <c r="AP4046" s="4">
        <v>3</v>
      </c>
      <c r="AQ4046" s="4">
        <v>3</v>
      </c>
      <c r="AR4046" s="3" t="s">
        <v>63</v>
      </c>
      <c r="AS4046" s="3" t="s">
        <v>63</v>
      </c>
      <c r="AT4046" s="3" t="s">
        <v>63</v>
      </c>
      <c r="AV4046" s="6" t="str">
        <f>HYPERLINK("http://mcgill.on.worldcat.org/oclc/913346169","Catalog Record")</f>
        <v>Catalog Record</v>
      </c>
      <c r="AW4046" s="6" t="str">
        <f>HYPERLINK("http://www.worldcat.org/oclc/913346169","WorldCat Record")</f>
        <v>WorldCat Record</v>
      </c>
      <c r="AX4046" s="3" t="s">
        <v>34740</v>
      </c>
      <c r="AY4046" s="3" t="s">
        <v>34741</v>
      </c>
      <c r="AZ4046" s="3" t="s">
        <v>34742</v>
      </c>
      <c r="BA4046" s="3" t="s">
        <v>34742</v>
      </c>
      <c r="BB4046" s="3" t="s">
        <v>34743</v>
      </c>
      <c r="BC4046" s="3" t="s">
        <v>82</v>
      </c>
      <c r="BD4046" s="3" t="s">
        <v>70</v>
      </c>
      <c r="BE4046" s="3" t="s">
        <v>34744</v>
      </c>
      <c r="BF4046" s="3" t="s">
        <v>34743</v>
      </c>
      <c r="BG4046" s="3" t="s">
        <v>34745</v>
      </c>
    </row>
    <row r="4047" spans="1:59" ht="75" x14ac:dyDescent="0.25">
      <c r="A4047" s="2" t="s">
        <v>59</v>
      </c>
      <c r="B4047" s="2" t="s">
        <v>60</v>
      </c>
      <c r="C4047" s="2" t="s">
        <v>34746</v>
      </c>
      <c r="D4047" s="2" t="s">
        <v>34747</v>
      </c>
      <c r="E4047" s="2" t="s">
        <v>34748</v>
      </c>
      <c r="G4047" s="3" t="s">
        <v>63</v>
      </c>
      <c r="I4047" s="3" t="s">
        <v>63</v>
      </c>
      <c r="J4047" s="3" t="s">
        <v>63</v>
      </c>
      <c r="K4047" s="3" t="s">
        <v>64</v>
      </c>
      <c r="L4047" s="2" t="s">
        <v>34728</v>
      </c>
      <c r="M4047" s="2" t="s">
        <v>5187</v>
      </c>
      <c r="N4047" s="3" t="s">
        <v>143</v>
      </c>
      <c r="P4047" s="3" t="s">
        <v>90</v>
      </c>
      <c r="R4047" s="3" t="s">
        <v>67</v>
      </c>
      <c r="S4047" s="4">
        <v>1</v>
      </c>
      <c r="T4047" s="4">
        <v>1</v>
      </c>
      <c r="U4047" s="5" t="s">
        <v>30032</v>
      </c>
      <c r="V4047" s="5" t="s">
        <v>30032</v>
      </c>
      <c r="W4047" s="5" t="s">
        <v>69</v>
      </c>
      <c r="X4047" s="5" t="s">
        <v>69</v>
      </c>
      <c r="Y4047" s="4">
        <v>12</v>
      </c>
      <c r="Z4047" s="4">
        <v>2</v>
      </c>
      <c r="AA4047" s="4">
        <v>3</v>
      </c>
      <c r="AB4047" s="4">
        <v>1</v>
      </c>
      <c r="AC4047" s="4">
        <v>1</v>
      </c>
      <c r="AD4047" s="4">
        <v>7</v>
      </c>
      <c r="AE4047" s="4">
        <v>13</v>
      </c>
      <c r="AF4047" s="4">
        <v>0</v>
      </c>
      <c r="AG4047" s="4">
        <v>0</v>
      </c>
      <c r="AH4047" s="4">
        <v>7</v>
      </c>
      <c r="AI4047" s="4">
        <v>13</v>
      </c>
      <c r="AJ4047" s="4">
        <v>0</v>
      </c>
      <c r="AK4047" s="4">
        <v>0</v>
      </c>
      <c r="AL4047" s="4">
        <v>5</v>
      </c>
      <c r="AM4047" s="4">
        <v>11</v>
      </c>
      <c r="AN4047" s="4">
        <v>0</v>
      </c>
      <c r="AO4047" s="4">
        <v>0</v>
      </c>
      <c r="AP4047" s="4">
        <v>0</v>
      </c>
      <c r="AQ4047" s="4">
        <v>0</v>
      </c>
      <c r="AR4047" s="3" t="s">
        <v>63</v>
      </c>
      <c r="AS4047" s="3" t="s">
        <v>63</v>
      </c>
      <c r="AT4047" s="3" t="s">
        <v>63</v>
      </c>
      <c r="AV4047" s="6" t="str">
        <f>HYPERLINK("http://mcgill.on.worldcat.org/oclc/879579881","Catalog Record")</f>
        <v>Catalog Record</v>
      </c>
      <c r="AW4047" s="6" t="str">
        <f>HYPERLINK("http://www.worldcat.org/oclc/879579881","WorldCat Record")</f>
        <v>WorldCat Record</v>
      </c>
      <c r="AX4047" s="3" t="s">
        <v>34749</v>
      </c>
      <c r="AY4047" s="3" t="s">
        <v>34750</v>
      </c>
      <c r="AZ4047" s="3" t="s">
        <v>34751</v>
      </c>
      <c r="BA4047" s="3" t="s">
        <v>34751</v>
      </c>
      <c r="BB4047" s="3" t="s">
        <v>34752</v>
      </c>
      <c r="BC4047" s="3" t="s">
        <v>82</v>
      </c>
      <c r="BD4047" s="3" t="s">
        <v>70</v>
      </c>
      <c r="BE4047" s="3" t="s">
        <v>34753</v>
      </c>
      <c r="BF4047" s="3" t="s">
        <v>34752</v>
      </c>
      <c r="BG4047" s="3" t="s">
        <v>34754</v>
      </c>
    </row>
    <row r="4048" spans="1:59" ht="60" x14ac:dyDescent="0.25">
      <c r="A4048" s="2" t="s">
        <v>59</v>
      </c>
      <c r="B4048" s="2" t="s">
        <v>60</v>
      </c>
      <c r="C4048" s="2" t="s">
        <v>34755</v>
      </c>
      <c r="D4048" s="2" t="s">
        <v>34756</v>
      </c>
      <c r="E4048" s="2" t="s">
        <v>34757</v>
      </c>
      <c r="G4048" s="3" t="s">
        <v>63</v>
      </c>
      <c r="I4048" s="3" t="s">
        <v>63</v>
      </c>
      <c r="J4048" s="3" t="s">
        <v>63</v>
      </c>
      <c r="K4048" s="3" t="s">
        <v>64</v>
      </c>
      <c r="L4048" s="2" t="s">
        <v>34758</v>
      </c>
      <c r="M4048" s="2" t="s">
        <v>30989</v>
      </c>
      <c r="N4048" s="3" t="s">
        <v>2765</v>
      </c>
      <c r="P4048" s="3" t="s">
        <v>90</v>
      </c>
      <c r="Q4048" s="2" t="s">
        <v>6422</v>
      </c>
      <c r="R4048" s="3" t="s">
        <v>67</v>
      </c>
      <c r="S4048" s="4">
        <v>2</v>
      </c>
      <c r="T4048" s="4">
        <v>2</v>
      </c>
      <c r="U4048" s="5" t="s">
        <v>15943</v>
      </c>
      <c r="V4048" s="5" t="s">
        <v>15943</v>
      </c>
      <c r="W4048" s="5" t="s">
        <v>69</v>
      </c>
      <c r="X4048" s="5" t="s">
        <v>69</v>
      </c>
      <c r="Y4048" s="4">
        <v>30</v>
      </c>
      <c r="Z4048" s="4">
        <v>2</v>
      </c>
      <c r="AA4048" s="4">
        <v>2</v>
      </c>
      <c r="AB4048" s="4">
        <v>1</v>
      </c>
      <c r="AC4048" s="4">
        <v>1</v>
      </c>
      <c r="AD4048" s="4">
        <v>8</v>
      </c>
      <c r="AE4048" s="4">
        <v>8</v>
      </c>
      <c r="AF4048" s="4">
        <v>0</v>
      </c>
      <c r="AG4048" s="4">
        <v>0</v>
      </c>
      <c r="AH4048" s="4">
        <v>8</v>
      </c>
      <c r="AI4048" s="4">
        <v>8</v>
      </c>
      <c r="AJ4048" s="4">
        <v>0</v>
      </c>
      <c r="AK4048" s="4">
        <v>0</v>
      </c>
      <c r="AL4048" s="4">
        <v>7</v>
      </c>
      <c r="AM4048" s="4">
        <v>7</v>
      </c>
      <c r="AN4048" s="4">
        <v>0</v>
      </c>
      <c r="AO4048" s="4">
        <v>0</v>
      </c>
      <c r="AP4048" s="4">
        <v>0</v>
      </c>
      <c r="AQ4048" s="4">
        <v>0</v>
      </c>
      <c r="AR4048" s="3" t="s">
        <v>63</v>
      </c>
      <c r="AS4048" s="3" t="s">
        <v>63</v>
      </c>
      <c r="AT4048" s="3" t="s">
        <v>63</v>
      </c>
      <c r="AV4048" s="6" t="str">
        <f>HYPERLINK("http://mcgill.on.worldcat.org/oclc/943019501","Catalog Record")</f>
        <v>Catalog Record</v>
      </c>
      <c r="AW4048" s="6" t="str">
        <f>HYPERLINK("http://www.worldcat.org/oclc/943019501","WorldCat Record")</f>
        <v>WorldCat Record</v>
      </c>
      <c r="AX4048" s="3" t="s">
        <v>34759</v>
      </c>
      <c r="AY4048" s="3" t="s">
        <v>34760</v>
      </c>
      <c r="AZ4048" s="3" t="s">
        <v>34761</v>
      </c>
      <c r="BA4048" s="3" t="s">
        <v>34761</v>
      </c>
      <c r="BB4048" s="3" t="s">
        <v>34762</v>
      </c>
      <c r="BC4048" s="3" t="s">
        <v>82</v>
      </c>
      <c r="BD4048" s="3" t="s">
        <v>70</v>
      </c>
      <c r="BE4048" s="3" t="s">
        <v>34763</v>
      </c>
      <c r="BF4048" s="3" t="s">
        <v>34762</v>
      </c>
      <c r="BG4048" s="3" t="s">
        <v>34764</v>
      </c>
    </row>
    <row r="4049" spans="1:59" ht="75" x14ac:dyDescent="0.25">
      <c r="A4049" s="2" t="s">
        <v>59</v>
      </c>
      <c r="B4049" s="2" t="s">
        <v>60</v>
      </c>
      <c r="C4049" s="2" t="s">
        <v>34765</v>
      </c>
      <c r="D4049" s="2" t="s">
        <v>34766</v>
      </c>
      <c r="E4049" s="2" t="s">
        <v>34767</v>
      </c>
      <c r="G4049" s="3" t="s">
        <v>63</v>
      </c>
      <c r="I4049" s="3" t="s">
        <v>63</v>
      </c>
      <c r="J4049" s="3" t="s">
        <v>63</v>
      </c>
      <c r="K4049" s="3" t="s">
        <v>64</v>
      </c>
      <c r="L4049" s="2" t="s">
        <v>34768</v>
      </c>
      <c r="M4049" s="2" t="s">
        <v>29585</v>
      </c>
      <c r="N4049" s="3" t="s">
        <v>1557</v>
      </c>
      <c r="P4049" s="3" t="s">
        <v>90</v>
      </c>
      <c r="Q4049" s="2" t="s">
        <v>28975</v>
      </c>
      <c r="R4049" s="3" t="s">
        <v>67</v>
      </c>
      <c r="S4049" s="4">
        <v>1</v>
      </c>
      <c r="T4049" s="4">
        <v>1</v>
      </c>
      <c r="U4049" s="5" t="s">
        <v>34517</v>
      </c>
      <c r="V4049" s="5" t="s">
        <v>34517</v>
      </c>
      <c r="W4049" s="5" t="s">
        <v>69</v>
      </c>
      <c r="X4049" s="5" t="s">
        <v>69</v>
      </c>
      <c r="Y4049" s="4">
        <v>14</v>
      </c>
      <c r="Z4049" s="4">
        <v>1</v>
      </c>
      <c r="AA4049" s="4">
        <v>1</v>
      </c>
      <c r="AB4049" s="4">
        <v>1</v>
      </c>
      <c r="AC4049" s="4">
        <v>1</v>
      </c>
      <c r="AD4049" s="4">
        <v>12</v>
      </c>
      <c r="AE4049" s="4">
        <v>12</v>
      </c>
      <c r="AF4049" s="4">
        <v>0</v>
      </c>
      <c r="AG4049" s="4">
        <v>0</v>
      </c>
      <c r="AH4049" s="4">
        <v>11</v>
      </c>
      <c r="AI4049" s="4">
        <v>11</v>
      </c>
      <c r="AJ4049" s="4">
        <v>0</v>
      </c>
      <c r="AK4049" s="4">
        <v>0</v>
      </c>
      <c r="AL4049" s="4">
        <v>10</v>
      </c>
      <c r="AM4049" s="4">
        <v>10</v>
      </c>
      <c r="AN4049" s="4">
        <v>0</v>
      </c>
      <c r="AO4049" s="4">
        <v>0</v>
      </c>
      <c r="AP4049" s="4">
        <v>0</v>
      </c>
      <c r="AQ4049" s="4">
        <v>0</v>
      </c>
      <c r="AR4049" s="3" t="s">
        <v>63</v>
      </c>
      <c r="AS4049" s="3" t="s">
        <v>63</v>
      </c>
      <c r="AT4049" s="3" t="s">
        <v>63</v>
      </c>
      <c r="AV4049" s="6" t="str">
        <f>HYPERLINK("http://mcgill.on.worldcat.org/oclc/979550124","Catalog Record")</f>
        <v>Catalog Record</v>
      </c>
      <c r="AW4049" s="6" t="str">
        <f>HYPERLINK("http://www.worldcat.org/oclc/979550124","WorldCat Record")</f>
        <v>WorldCat Record</v>
      </c>
      <c r="AX4049" s="3" t="s">
        <v>34769</v>
      </c>
      <c r="AY4049" s="3" t="s">
        <v>34770</v>
      </c>
      <c r="AZ4049" s="3" t="s">
        <v>34771</v>
      </c>
      <c r="BA4049" s="3" t="s">
        <v>34771</v>
      </c>
      <c r="BB4049" s="3" t="s">
        <v>34772</v>
      </c>
      <c r="BC4049" s="3" t="s">
        <v>82</v>
      </c>
      <c r="BD4049" s="3" t="s">
        <v>70</v>
      </c>
      <c r="BE4049" s="3" t="s">
        <v>34773</v>
      </c>
      <c r="BF4049" s="3" t="s">
        <v>34772</v>
      </c>
      <c r="BG4049" s="3" t="s">
        <v>34774</v>
      </c>
    </row>
    <row r="4050" spans="1:59" ht="60" x14ac:dyDescent="0.25">
      <c r="A4050" s="2" t="s">
        <v>59</v>
      </c>
      <c r="B4050" s="2" t="s">
        <v>60</v>
      </c>
      <c r="C4050" s="2" t="s">
        <v>34775</v>
      </c>
      <c r="D4050" s="2" t="s">
        <v>34776</v>
      </c>
      <c r="E4050" s="2" t="s">
        <v>34777</v>
      </c>
      <c r="G4050" s="3" t="s">
        <v>63</v>
      </c>
      <c r="I4050" s="3" t="s">
        <v>62</v>
      </c>
      <c r="J4050" s="3" t="s">
        <v>63</v>
      </c>
      <c r="K4050" s="3" t="s">
        <v>64</v>
      </c>
      <c r="L4050" s="2" t="s">
        <v>34778</v>
      </c>
      <c r="M4050" s="2" t="s">
        <v>34779</v>
      </c>
      <c r="N4050" s="3" t="s">
        <v>313</v>
      </c>
      <c r="P4050" s="3" t="s">
        <v>90</v>
      </c>
      <c r="R4050" s="3" t="s">
        <v>67</v>
      </c>
      <c r="S4050" s="4">
        <v>1</v>
      </c>
      <c r="T4050" s="4">
        <v>1</v>
      </c>
      <c r="U4050" s="5" t="s">
        <v>34780</v>
      </c>
      <c r="V4050" s="5" t="s">
        <v>34780</v>
      </c>
      <c r="W4050" s="5" t="s">
        <v>69</v>
      </c>
      <c r="X4050" s="5" t="s">
        <v>69</v>
      </c>
      <c r="Y4050" s="4">
        <v>13</v>
      </c>
      <c r="Z4050" s="4">
        <v>1</v>
      </c>
      <c r="AA4050" s="4">
        <v>1</v>
      </c>
      <c r="AB4050" s="4">
        <v>1</v>
      </c>
      <c r="AC4050" s="4">
        <v>1</v>
      </c>
      <c r="AD4050" s="4">
        <v>6</v>
      </c>
      <c r="AE4050" s="4">
        <v>6</v>
      </c>
      <c r="AF4050" s="4">
        <v>0</v>
      </c>
      <c r="AG4050" s="4">
        <v>0</v>
      </c>
      <c r="AH4050" s="4">
        <v>5</v>
      </c>
      <c r="AI4050" s="4">
        <v>5</v>
      </c>
      <c r="AJ4050" s="4">
        <v>0</v>
      </c>
      <c r="AK4050" s="4">
        <v>0</v>
      </c>
      <c r="AL4050" s="4">
        <v>5</v>
      </c>
      <c r="AM4050" s="4">
        <v>5</v>
      </c>
      <c r="AN4050" s="4">
        <v>0</v>
      </c>
      <c r="AO4050" s="4">
        <v>0</v>
      </c>
      <c r="AP4050" s="4">
        <v>0</v>
      </c>
      <c r="AQ4050" s="4">
        <v>0</v>
      </c>
      <c r="AR4050" s="3" t="s">
        <v>63</v>
      </c>
      <c r="AS4050" s="3" t="s">
        <v>63</v>
      </c>
      <c r="AT4050" s="3" t="s">
        <v>63</v>
      </c>
      <c r="AV4050" s="6" t="str">
        <f>HYPERLINK("http://mcgill.on.worldcat.org/oclc/701316594","Catalog Record")</f>
        <v>Catalog Record</v>
      </c>
      <c r="AW4050" s="6" t="str">
        <f>HYPERLINK("http://www.worldcat.org/oclc/701316594","WorldCat Record")</f>
        <v>WorldCat Record</v>
      </c>
      <c r="AX4050" s="3" t="s">
        <v>34781</v>
      </c>
      <c r="AY4050" s="3" t="s">
        <v>34782</v>
      </c>
      <c r="AZ4050" s="3" t="s">
        <v>34783</v>
      </c>
      <c r="BA4050" s="3" t="s">
        <v>34783</v>
      </c>
      <c r="BB4050" s="3" t="s">
        <v>34784</v>
      </c>
      <c r="BC4050" s="3" t="s">
        <v>82</v>
      </c>
      <c r="BD4050" s="3" t="s">
        <v>70</v>
      </c>
      <c r="BE4050" s="3" t="s">
        <v>34785</v>
      </c>
      <c r="BF4050" s="3" t="s">
        <v>34784</v>
      </c>
      <c r="BG4050" s="3" t="s">
        <v>34786</v>
      </c>
    </row>
    <row r="4051" spans="1:59" ht="60" x14ac:dyDescent="0.25">
      <c r="A4051" s="2" t="s">
        <v>59</v>
      </c>
      <c r="B4051" s="2" t="s">
        <v>60</v>
      </c>
      <c r="C4051" s="2" t="s">
        <v>34775</v>
      </c>
      <c r="D4051" s="2" t="s">
        <v>34776</v>
      </c>
      <c r="E4051" s="2" t="s">
        <v>34777</v>
      </c>
      <c r="G4051" s="3" t="s">
        <v>63</v>
      </c>
      <c r="I4051" s="3" t="s">
        <v>62</v>
      </c>
      <c r="J4051" s="3" t="s">
        <v>63</v>
      </c>
      <c r="K4051" s="3" t="s">
        <v>64</v>
      </c>
      <c r="L4051" s="2" t="s">
        <v>34778</v>
      </c>
      <c r="M4051" s="2" t="s">
        <v>34779</v>
      </c>
      <c r="N4051" s="3" t="s">
        <v>313</v>
      </c>
      <c r="P4051" s="3" t="s">
        <v>90</v>
      </c>
      <c r="R4051" s="3" t="s">
        <v>67</v>
      </c>
      <c r="S4051" s="4">
        <v>0</v>
      </c>
      <c r="T4051" s="4">
        <v>1</v>
      </c>
      <c r="V4051" s="5" t="s">
        <v>34780</v>
      </c>
      <c r="W4051" s="5" t="s">
        <v>69</v>
      </c>
      <c r="X4051" s="5" t="s">
        <v>69</v>
      </c>
      <c r="Y4051" s="4">
        <v>13</v>
      </c>
      <c r="Z4051" s="4">
        <v>1</v>
      </c>
      <c r="AA4051" s="4">
        <v>1</v>
      </c>
      <c r="AB4051" s="4">
        <v>1</v>
      </c>
      <c r="AC4051" s="4">
        <v>1</v>
      </c>
      <c r="AD4051" s="4">
        <v>6</v>
      </c>
      <c r="AE4051" s="4">
        <v>6</v>
      </c>
      <c r="AF4051" s="4">
        <v>0</v>
      </c>
      <c r="AG4051" s="4">
        <v>0</v>
      </c>
      <c r="AH4051" s="4">
        <v>5</v>
      </c>
      <c r="AI4051" s="4">
        <v>5</v>
      </c>
      <c r="AJ4051" s="4">
        <v>0</v>
      </c>
      <c r="AK4051" s="4">
        <v>0</v>
      </c>
      <c r="AL4051" s="4">
        <v>5</v>
      </c>
      <c r="AM4051" s="4">
        <v>5</v>
      </c>
      <c r="AN4051" s="4">
        <v>0</v>
      </c>
      <c r="AO4051" s="4">
        <v>0</v>
      </c>
      <c r="AP4051" s="4">
        <v>0</v>
      </c>
      <c r="AQ4051" s="4">
        <v>0</v>
      </c>
      <c r="AR4051" s="3" t="s">
        <v>63</v>
      </c>
      <c r="AS4051" s="3" t="s">
        <v>63</v>
      </c>
      <c r="AT4051" s="3" t="s">
        <v>63</v>
      </c>
      <c r="AV4051" s="6" t="str">
        <f>HYPERLINK("http://mcgill.on.worldcat.org/oclc/701316594","Catalog Record")</f>
        <v>Catalog Record</v>
      </c>
      <c r="AW4051" s="6" t="str">
        <f>HYPERLINK("http://www.worldcat.org/oclc/701316594","WorldCat Record")</f>
        <v>WorldCat Record</v>
      </c>
      <c r="AX4051" s="3" t="s">
        <v>34781</v>
      </c>
      <c r="AY4051" s="3" t="s">
        <v>34782</v>
      </c>
      <c r="AZ4051" s="3" t="s">
        <v>34783</v>
      </c>
      <c r="BA4051" s="3" t="s">
        <v>34783</v>
      </c>
      <c r="BB4051" s="3" t="s">
        <v>34787</v>
      </c>
      <c r="BC4051" s="3" t="s">
        <v>82</v>
      </c>
      <c r="BD4051" s="3" t="s">
        <v>70</v>
      </c>
      <c r="BE4051" s="3" t="s">
        <v>34785</v>
      </c>
      <c r="BF4051" s="3" t="s">
        <v>34787</v>
      </c>
      <c r="BG4051" s="3" t="s">
        <v>34788</v>
      </c>
    </row>
    <row r="4052" spans="1:59" ht="60" x14ac:dyDescent="0.25">
      <c r="A4052" s="2" t="s">
        <v>59</v>
      </c>
      <c r="B4052" s="2" t="s">
        <v>60</v>
      </c>
      <c r="C4052" s="2" t="s">
        <v>34789</v>
      </c>
      <c r="D4052" s="2" t="s">
        <v>34790</v>
      </c>
      <c r="E4052" s="2" t="s">
        <v>34791</v>
      </c>
      <c r="G4052" s="3" t="s">
        <v>63</v>
      </c>
      <c r="I4052" s="3" t="s">
        <v>63</v>
      </c>
      <c r="J4052" s="3" t="s">
        <v>63</v>
      </c>
      <c r="K4052" s="3" t="s">
        <v>64</v>
      </c>
      <c r="L4052" s="2" t="s">
        <v>34792</v>
      </c>
      <c r="M4052" s="2" t="s">
        <v>30280</v>
      </c>
      <c r="N4052" s="3" t="s">
        <v>287</v>
      </c>
      <c r="P4052" s="3" t="s">
        <v>90</v>
      </c>
      <c r="Q4052" s="2" t="s">
        <v>29586</v>
      </c>
      <c r="R4052" s="3" t="s">
        <v>67</v>
      </c>
      <c r="S4052" s="4">
        <v>1</v>
      </c>
      <c r="T4052" s="4">
        <v>1</v>
      </c>
      <c r="U4052" s="5" t="s">
        <v>2795</v>
      </c>
      <c r="V4052" s="5" t="s">
        <v>2795</v>
      </c>
      <c r="W4052" s="5" t="s">
        <v>69</v>
      </c>
      <c r="X4052" s="5" t="s">
        <v>69</v>
      </c>
      <c r="Y4052" s="4">
        <v>27</v>
      </c>
      <c r="Z4052" s="4">
        <v>1</v>
      </c>
      <c r="AA4052" s="4">
        <v>1</v>
      </c>
      <c r="AB4052" s="4">
        <v>1</v>
      </c>
      <c r="AC4052" s="4">
        <v>1</v>
      </c>
      <c r="AD4052" s="4">
        <v>22</v>
      </c>
      <c r="AE4052" s="4">
        <v>22</v>
      </c>
      <c r="AF4052" s="4">
        <v>0</v>
      </c>
      <c r="AG4052" s="4">
        <v>0</v>
      </c>
      <c r="AH4052" s="4">
        <v>21</v>
      </c>
      <c r="AI4052" s="4">
        <v>21</v>
      </c>
      <c r="AJ4052" s="4">
        <v>0</v>
      </c>
      <c r="AK4052" s="4">
        <v>0</v>
      </c>
      <c r="AL4052" s="4">
        <v>18</v>
      </c>
      <c r="AM4052" s="4">
        <v>18</v>
      </c>
      <c r="AN4052" s="4">
        <v>0</v>
      </c>
      <c r="AO4052" s="4">
        <v>0</v>
      </c>
      <c r="AP4052" s="4">
        <v>0</v>
      </c>
      <c r="AQ4052" s="4">
        <v>0</v>
      </c>
      <c r="AR4052" s="3" t="s">
        <v>63</v>
      </c>
      <c r="AS4052" s="3" t="s">
        <v>63</v>
      </c>
      <c r="AT4052" s="3" t="s">
        <v>63</v>
      </c>
      <c r="AV4052" s="6" t="str">
        <f>HYPERLINK("http://mcgill.on.worldcat.org/oclc/1019585925","Catalog Record")</f>
        <v>Catalog Record</v>
      </c>
      <c r="AW4052" s="6" t="str">
        <f>HYPERLINK("http://www.worldcat.org/oclc/1019585925","WorldCat Record")</f>
        <v>WorldCat Record</v>
      </c>
      <c r="AX4052" s="3" t="s">
        <v>34793</v>
      </c>
      <c r="AY4052" s="3" t="s">
        <v>34794</v>
      </c>
      <c r="AZ4052" s="3" t="s">
        <v>34795</v>
      </c>
      <c r="BA4052" s="3" t="s">
        <v>34795</v>
      </c>
      <c r="BB4052" s="3" t="s">
        <v>34796</v>
      </c>
      <c r="BC4052" s="3" t="s">
        <v>82</v>
      </c>
      <c r="BD4052" s="3" t="s">
        <v>70</v>
      </c>
      <c r="BE4052" s="3" t="s">
        <v>34797</v>
      </c>
      <c r="BF4052" s="3" t="s">
        <v>34796</v>
      </c>
      <c r="BG4052" s="3" t="s">
        <v>34798</v>
      </c>
    </row>
    <row r="4053" spans="1:59" ht="75" x14ac:dyDescent="0.25">
      <c r="A4053" s="2" t="s">
        <v>59</v>
      </c>
      <c r="B4053" s="2" t="s">
        <v>60</v>
      </c>
      <c r="C4053" s="2" t="s">
        <v>34799</v>
      </c>
      <c r="D4053" s="2" t="s">
        <v>34800</v>
      </c>
      <c r="E4053" s="2" t="s">
        <v>34801</v>
      </c>
      <c r="G4053" s="3" t="s">
        <v>63</v>
      </c>
      <c r="I4053" s="3" t="s">
        <v>63</v>
      </c>
      <c r="J4053" s="3" t="s">
        <v>63</v>
      </c>
      <c r="K4053" s="3" t="s">
        <v>64</v>
      </c>
      <c r="L4053" s="2" t="s">
        <v>34802</v>
      </c>
      <c r="M4053" s="2" t="s">
        <v>34803</v>
      </c>
      <c r="N4053" s="3" t="s">
        <v>2765</v>
      </c>
      <c r="P4053" s="3" t="s">
        <v>90</v>
      </c>
      <c r="R4053" s="3" t="s">
        <v>67</v>
      </c>
      <c r="S4053" s="4">
        <v>1</v>
      </c>
      <c r="T4053" s="4">
        <v>1</v>
      </c>
      <c r="U4053" s="5" t="s">
        <v>34517</v>
      </c>
      <c r="V4053" s="5" t="s">
        <v>34517</v>
      </c>
      <c r="W4053" s="5" t="s">
        <v>69</v>
      </c>
      <c r="X4053" s="5" t="s">
        <v>69</v>
      </c>
      <c r="Y4053" s="4">
        <v>29</v>
      </c>
      <c r="Z4053" s="4">
        <v>3</v>
      </c>
      <c r="AA4053" s="4">
        <v>3</v>
      </c>
      <c r="AB4053" s="4">
        <v>1</v>
      </c>
      <c r="AC4053" s="4">
        <v>1</v>
      </c>
      <c r="AD4053" s="4">
        <v>23</v>
      </c>
      <c r="AE4053" s="4">
        <v>23</v>
      </c>
      <c r="AF4053" s="4">
        <v>0</v>
      </c>
      <c r="AG4053" s="4">
        <v>0</v>
      </c>
      <c r="AH4053" s="4">
        <v>23</v>
      </c>
      <c r="AI4053" s="4">
        <v>23</v>
      </c>
      <c r="AJ4053" s="4">
        <v>1</v>
      </c>
      <c r="AK4053" s="4">
        <v>1</v>
      </c>
      <c r="AL4053" s="4">
        <v>19</v>
      </c>
      <c r="AM4053" s="4">
        <v>19</v>
      </c>
      <c r="AN4053" s="4">
        <v>0</v>
      </c>
      <c r="AO4053" s="4">
        <v>0</v>
      </c>
      <c r="AP4053" s="4">
        <v>1</v>
      </c>
      <c r="AQ4053" s="4">
        <v>1</v>
      </c>
      <c r="AR4053" s="3" t="s">
        <v>63</v>
      </c>
      <c r="AS4053" s="3" t="s">
        <v>63</v>
      </c>
      <c r="AT4053" s="3" t="s">
        <v>63</v>
      </c>
      <c r="AV4053" s="6" t="str">
        <f>HYPERLINK("http://mcgill.on.worldcat.org/oclc/930846378","Catalog Record")</f>
        <v>Catalog Record</v>
      </c>
      <c r="AW4053" s="6" t="str">
        <f>HYPERLINK("http://www.worldcat.org/oclc/930846378","WorldCat Record")</f>
        <v>WorldCat Record</v>
      </c>
      <c r="AX4053" s="3" t="s">
        <v>34804</v>
      </c>
      <c r="AY4053" s="3" t="s">
        <v>34805</v>
      </c>
      <c r="AZ4053" s="3" t="s">
        <v>34806</v>
      </c>
      <c r="BA4053" s="3" t="s">
        <v>34806</v>
      </c>
      <c r="BB4053" s="3" t="s">
        <v>34807</v>
      </c>
      <c r="BC4053" s="3" t="s">
        <v>82</v>
      </c>
      <c r="BD4053" s="3" t="s">
        <v>70</v>
      </c>
      <c r="BE4053" s="3" t="s">
        <v>34808</v>
      </c>
      <c r="BF4053" s="3" t="s">
        <v>34807</v>
      </c>
      <c r="BG4053" s="3" t="s">
        <v>34809</v>
      </c>
    </row>
    <row r="4054" spans="1:59" ht="60" x14ac:dyDescent="0.25">
      <c r="A4054" s="2" t="s">
        <v>59</v>
      </c>
      <c r="B4054" s="2" t="s">
        <v>60</v>
      </c>
      <c r="C4054" s="2" t="s">
        <v>34810</v>
      </c>
      <c r="D4054" s="2" t="s">
        <v>34811</v>
      </c>
      <c r="E4054" s="2" t="s">
        <v>34812</v>
      </c>
      <c r="G4054" s="3" t="s">
        <v>63</v>
      </c>
      <c r="I4054" s="3" t="s">
        <v>63</v>
      </c>
      <c r="J4054" s="3" t="s">
        <v>63</v>
      </c>
      <c r="K4054" s="3" t="s">
        <v>64</v>
      </c>
      <c r="L4054" s="2" t="s">
        <v>34813</v>
      </c>
      <c r="M4054" s="2" t="s">
        <v>7442</v>
      </c>
      <c r="N4054" s="3" t="s">
        <v>629</v>
      </c>
      <c r="P4054" s="3" t="s">
        <v>90</v>
      </c>
      <c r="Q4054" s="2" t="s">
        <v>28975</v>
      </c>
      <c r="R4054" s="3" t="s">
        <v>67</v>
      </c>
      <c r="S4054" s="4">
        <v>1</v>
      </c>
      <c r="T4054" s="4">
        <v>1</v>
      </c>
      <c r="U4054" s="5" t="s">
        <v>18991</v>
      </c>
      <c r="V4054" s="5" t="s">
        <v>18991</v>
      </c>
      <c r="W4054" s="5" t="s">
        <v>69</v>
      </c>
      <c r="X4054" s="5" t="s">
        <v>69</v>
      </c>
      <c r="Y4054" s="4">
        <v>35</v>
      </c>
      <c r="Z4054" s="4">
        <v>5</v>
      </c>
      <c r="AA4054" s="4">
        <v>5</v>
      </c>
      <c r="AB4054" s="4">
        <v>1</v>
      </c>
      <c r="AC4054" s="4">
        <v>1</v>
      </c>
      <c r="AD4054" s="4">
        <v>29</v>
      </c>
      <c r="AE4054" s="4">
        <v>29</v>
      </c>
      <c r="AF4054" s="4">
        <v>0</v>
      </c>
      <c r="AG4054" s="4">
        <v>0</v>
      </c>
      <c r="AH4054" s="4">
        <v>28</v>
      </c>
      <c r="AI4054" s="4">
        <v>28</v>
      </c>
      <c r="AJ4054" s="4">
        <v>3</v>
      </c>
      <c r="AK4054" s="4">
        <v>3</v>
      </c>
      <c r="AL4054" s="4">
        <v>21</v>
      </c>
      <c r="AM4054" s="4">
        <v>21</v>
      </c>
      <c r="AN4054" s="4">
        <v>0</v>
      </c>
      <c r="AO4054" s="4">
        <v>0</v>
      </c>
      <c r="AP4054" s="4">
        <v>3</v>
      </c>
      <c r="AQ4054" s="4">
        <v>3</v>
      </c>
      <c r="AR4054" s="3" t="s">
        <v>63</v>
      </c>
      <c r="AS4054" s="3" t="s">
        <v>63</v>
      </c>
      <c r="AT4054" s="3" t="s">
        <v>63</v>
      </c>
      <c r="AV4054" s="6" t="str">
        <f>HYPERLINK("http://mcgill.on.worldcat.org/oclc/739837830","Catalog Record")</f>
        <v>Catalog Record</v>
      </c>
      <c r="AW4054" s="6" t="str">
        <f>HYPERLINK("http://www.worldcat.org/oclc/739837830","WorldCat Record")</f>
        <v>WorldCat Record</v>
      </c>
      <c r="AX4054" s="3" t="s">
        <v>34814</v>
      </c>
      <c r="AY4054" s="3" t="s">
        <v>34815</v>
      </c>
      <c r="AZ4054" s="3" t="s">
        <v>34816</v>
      </c>
      <c r="BA4054" s="3" t="s">
        <v>34816</v>
      </c>
      <c r="BB4054" s="3" t="s">
        <v>34817</v>
      </c>
      <c r="BC4054" s="3" t="s">
        <v>82</v>
      </c>
      <c r="BD4054" s="3" t="s">
        <v>70</v>
      </c>
      <c r="BE4054" s="3" t="s">
        <v>34818</v>
      </c>
      <c r="BF4054" s="3" t="s">
        <v>34817</v>
      </c>
      <c r="BG4054" s="3" t="s">
        <v>34819</v>
      </c>
    </row>
    <row r="4055" spans="1:59" ht="60" x14ac:dyDescent="0.25">
      <c r="A4055" s="2" t="s">
        <v>59</v>
      </c>
      <c r="B4055" s="2" t="s">
        <v>60</v>
      </c>
      <c r="C4055" s="2" t="s">
        <v>34820</v>
      </c>
      <c r="D4055" s="2" t="s">
        <v>34821</v>
      </c>
      <c r="E4055" s="2" t="s">
        <v>34822</v>
      </c>
      <c r="G4055" s="3" t="s">
        <v>63</v>
      </c>
      <c r="I4055" s="3" t="s">
        <v>63</v>
      </c>
      <c r="J4055" s="3" t="s">
        <v>63</v>
      </c>
      <c r="K4055" s="3" t="s">
        <v>64</v>
      </c>
      <c r="L4055" s="2" t="s">
        <v>34823</v>
      </c>
      <c r="M4055" s="2" t="s">
        <v>30856</v>
      </c>
      <c r="N4055" s="3" t="s">
        <v>313</v>
      </c>
      <c r="P4055" s="3" t="s">
        <v>90</v>
      </c>
      <c r="Q4055" s="2" t="s">
        <v>30787</v>
      </c>
      <c r="R4055" s="3" t="s">
        <v>67</v>
      </c>
      <c r="S4055" s="4">
        <v>2</v>
      </c>
      <c r="T4055" s="4">
        <v>2</v>
      </c>
      <c r="U4055" s="5" t="s">
        <v>34824</v>
      </c>
      <c r="V4055" s="5" t="s">
        <v>34824</v>
      </c>
      <c r="W4055" s="5" t="s">
        <v>69</v>
      </c>
      <c r="X4055" s="5" t="s">
        <v>69</v>
      </c>
      <c r="Y4055" s="4">
        <v>28</v>
      </c>
      <c r="Z4055" s="4">
        <v>3</v>
      </c>
      <c r="AA4055" s="4">
        <v>6</v>
      </c>
      <c r="AB4055" s="4">
        <v>1</v>
      </c>
      <c r="AC4055" s="4">
        <v>1</v>
      </c>
      <c r="AD4055" s="4">
        <v>20</v>
      </c>
      <c r="AE4055" s="4">
        <v>30</v>
      </c>
      <c r="AF4055" s="4">
        <v>0</v>
      </c>
      <c r="AG4055" s="4">
        <v>0</v>
      </c>
      <c r="AH4055" s="4">
        <v>19</v>
      </c>
      <c r="AI4055" s="4">
        <v>29</v>
      </c>
      <c r="AJ4055" s="4">
        <v>2</v>
      </c>
      <c r="AK4055" s="4">
        <v>4</v>
      </c>
      <c r="AL4055" s="4">
        <v>14</v>
      </c>
      <c r="AM4055" s="4">
        <v>21</v>
      </c>
      <c r="AN4055" s="4">
        <v>0</v>
      </c>
      <c r="AO4055" s="4">
        <v>0</v>
      </c>
      <c r="AP4055" s="4">
        <v>2</v>
      </c>
      <c r="AQ4055" s="4">
        <v>4</v>
      </c>
      <c r="AR4055" s="3" t="s">
        <v>63</v>
      </c>
      <c r="AS4055" s="3" t="s">
        <v>63</v>
      </c>
      <c r="AT4055" s="3" t="s">
        <v>63</v>
      </c>
      <c r="AV4055" s="6" t="str">
        <f>HYPERLINK("http://mcgill.on.worldcat.org/oclc/663741605","Catalog Record")</f>
        <v>Catalog Record</v>
      </c>
      <c r="AW4055" s="6" t="str">
        <f>HYPERLINK("http://www.worldcat.org/oclc/663741605","WorldCat Record")</f>
        <v>WorldCat Record</v>
      </c>
      <c r="AX4055" s="3" t="s">
        <v>34825</v>
      </c>
      <c r="AY4055" s="3" t="s">
        <v>34826</v>
      </c>
      <c r="AZ4055" s="3" t="s">
        <v>34827</v>
      </c>
      <c r="BA4055" s="3" t="s">
        <v>34827</v>
      </c>
      <c r="BB4055" s="3" t="s">
        <v>34828</v>
      </c>
      <c r="BC4055" s="3" t="s">
        <v>82</v>
      </c>
      <c r="BD4055" s="3" t="s">
        <v>70</v>
      </c>
      <c r="BE4055" s="3" t="s">
        <v>34829</v>
      </c>
      <c r="BF4055" s="3" t="s">
        <v>34828</v>
      </c>
      <c r="BG4055" s="3" t="s">
        <v>34830</v>
      </c>
    </row>
    <row r="4056" spans="1:59" ht="60" x14ac:dyDescent="0.25">
      <c r="A4056" s="2" t="s">
        <v>59</v>
      </c>
      <c r="B4056" s="2" t="s">
        <v>60</v>
      </c>
      <c r="C4056" s="2" t="s">
        <v>34831</v>
      </c>
      <c r="D4056" s="2" t="s">
        <v>34832</v>
      </c>
      <c r="E4056" s="2" t="s">
        <v>34833</v>
      </c>
      <c r="G4056" s="3" t="s">
        <v>63</v>
      </c>
      <c r="I4056" s="3" t="s">
        <v>63</v>
      </c>
      <c r="J4056" s="3" t="s">
        <v>63</v>
      </c>
      <c r="K4056" s="3" t="s">
        <v>64</v>
      </c>
      <c r="L4056" s="2" t="s">
        <v>34834</v>
      </c>
      <c r="M4056" s="2" t="s">
        <v>30451</v>
      </c>
      <c r="N4056" s="3" t="s">
        <v>106</v>
      </c>
      <c r="P4056" s="3" t="s">
        <v>90</v>
      </c>
      <c r="Q4056" s="2" t="s">
        <v>30269</v>
      </c>
      <c r="R4056" s="3" t="s">
        <v>67</v>
      </c>
      <c r="S4056" s="4">
        <v>2</v>
      </c>
      <c r="T4056" s="4">
        <v>2</v>
      </c>
      <c r="U4056" s="5" t="s">
        <v>2795</v>
      </c>
      <c r="V4056" s="5" t="s">
        <v>2795</v>
      </c>
      <c r="W4056" s="5" t="s">
        <v>69</v>
      </c>
      <c r="X4056" s="5" t="s">
        <v>69</v>
      </c>
      <c r="Y4056" s="4">
        <v>17</v>
      </c>
      <c r="Z4056" s="4">
        <v>1</v>
      </c>
      <c r="AA4056" s="4">
        <v>1</v>
      </c>
      <c r="AB4056" s="4">
        <v>1</v>
      </c>
      <c r="AC4056" s="4">
        <v>1</v>
      </c>
      <c r="AD4056" s="4">
        <v>12</v>
      </c>
      <c r="AE4056" s="4">
        <v>12</v>
      </c>
      <c r="AF4056" s="4">
        <v>0</v>
      </c>
      <c r="AG4056" s="4">
        <v>0</v>
      </c>
      <c r="AH4056" s="4">
        <v>12</v>
      </c>
      <c r="AI4056" s="4">
        <v>12</v>
      </c>
      <c r="AJ4056" s="4">
        <v>0</v>
      </c>
      <c r="AK4056" s="4">
        <v>0</v>
      </c>
      <c r="AL4056" s="4">
        <v>9</v>
      </c>
      <c r="AM4056" s="4">
        <v>9</v>
      </c>
      <c r="AN4056" s="4">
        <v>0</v>
      </c>
      <c r="AO4056" s="4">
        <v>0</v>
      </c>
      <c r="AP4056" s="4">
        <v>0</v>
      </c>
      <c r="AQ4056" s="4">
        <v>0</v>
      </c>
      <c r="AR4056" s="3" t="s">
        <v>63</v>
      </c>
      <c r="AS4056" s="3" t="s">
        <v>63</v>
      </c>
      <c r="AT4056" s="3" t="s">
        <v>63</v>
      </c>
      <c r="AV4056" s="6" t="str">
        <f>HYPERLINK("http://mcgill.on.worldcat.org/oclc/984129983","Catalog Record")</f>
        <v>Catalog Record</v>
      </c>
      <c r="AW4056" s="6" t="str">
        <f>HYPERLINK("http://www.worldcat.org/oclc/984129983","WorldCat Record")</f>
        <v>WorldCat Record</v>
      </c>
      <c r="AX4056" s="3" t="s">
        <v>34835</v>
      </c>
      <c r="AY4056" s="3" t="s">
        <v>34836</v>
      </c>
      <c r="AZ4056" s="3" t="s">
        <v>34837</v>
      </c>
      <c r="BA4056" s="3" t="s">
        <v>34837</v>
      </c>
      <c r="BB4056" s="3" t="s">
        <v>34838</v>
      </c>
      <c r="BC4056" s="3" t="s">
        <v>82</v>
      </c>
      <c r="BD4056" s="3" t="s">
        <v>70</v>
      </c>
      <c r="BE4056" s="3" t="s">
        <v>34839</v>
      </c>
      <c r="BF4056" s="3" t="s">
        <v>34838</v>
      </c>
      <c r="BG4056" s="3" t="s">
        <v>34840</v>
      </c>
    </row>
    <row r="4057" spans="1:59" ht="75" x14ac:dyDescent="0.25">
      <c r="A4057" s="2" t="s">
        <v>59</v>
      </c>
      <c r="B4057" s="2" t="s">
        <v>60</v>
      </c>
      <c r="C4057" s="2" t="s">
        <v>34841</v>
      </c>
      <c r="D4057" s="2" t="s">
        <v>34842</v>
      </c>
      <c r="E4057" s="2" t="s">
        <v>34843</v>
      </c>
      <c r="G4057" s="3" t="s">
        <v>63</v>
      </c>
      <c r="I4057" s="3" t="s">
        <v>63</v>
      </c>
      <c r="J4057" s="3" t="s">
        <v>63</v>
      </c>
      <c r="K4057" s="3" t="s">
        <v>64</v>
      </c>
      <c r="L4057" s="2" t="s">
        <v>34844</v>
      </c>
      <c r="M4057" s="2" t="s">
        <v>6355</v>
      </c>
      <c r="N4057" s="3" t="s">
        <v>2765</v>
      </c>
      <c r="P4057" s="3" t="s">
        <v>90</v>
      </c>
      <c r="Q4057" s="2" t="s">
        <v>33932</v>
      </c>
      <c r="R4057" s="3" t="s">
        <v>67</v>
      </c>
      <c r="S4057" s="4">
        <v>2</v>
      </c>
      <c r="T4057" s="4">
        <v>2</v>
      </c>
      <c r="U4057" s="5" t="s">
        <v>15943</v>
      </c>
      <c r="V4057" s="5" t="s">
        <v>15943</v>
      </c>
      <c r="W4057" s="5" t="s">
        <v>69</v>
      </c>
      <c r="X4057" s="5" t="s">
        <v>69</v>
      </c>
      <c r="Y4057" s="4">
        <v>30</v>
      </c>
      <c r="Z4057" s="4">
        <v>3</v>
      </c>
      <c r="AA4057" s="4">
        <v>3</v>
      </c>
      <c r="AB4057" s="4">
        <v>1</v>
      </c>
      <c r="AC4057" s="4">
        <v>1</v>
      </c>
      <c r="AD4057" s="4">
        <v>23</v>
      </c>
      <c r="AE4057" s="4">
        <v>23</v>
      </c>
      <c r="AF4057" s="4">
        <v>0</v>
      </c>
      <c r="AG4057" s="4">
        <v>0</v>
      </c>
      <c r="AH4057" s="4">
        <v>22</v>
      </c>
      <c r="AI4057" s="4">
        <v>22</v>
      </c>
      <c r="AJ4057" s="4">
        <v>1</v>
      </c>
      <c r="AK4057" s="4">
        <v>1</v>
      </c>
      <c r="AL4057" s="4">
        <v>19</v>
      </c>
      <c r="AM4057" s="4">
        <v>19</v>
      </c>
      <c r="AN4057" s="4">
        <v>0</v>
      </c>
      <c r="AO4057" s="4">
        <v>0</v>
      </c>
      <c r="AP4057" s="4">
        <v>1</v>
      </c>
      <c r="AQ4057" s="4">
        <v>1</v>
      </c>
      <c r="AR4057" s="3" t="s">
        <v>63</v>
      </c>
      <c r="AS4057" s="3" t="s">
        <v>63</v>
      </c>
      <c r="AT4057" s="3" t="s">
        <v>63</v>
      </c>
      <c r="AV4057" s="6" t="str">
        <f>HYPERLINK("http://mcgill.on.worldcat.org/oclc/904800404","Catalog Record")</f>
        <v>Catalog Record</v>
      </c>
      <c r="AW4057" s="6" t="str">
        <f>HYPERLINK("http://www.worldcat.org/oclc/904800404","WorldCat Record")</f>
        <v>WorldCat Record</v>
      </c>
      <c r="AX4057" s="3" t="s">
        <v>34845</v>
      </c>
      <c r="AY4057" s="3" t="s">
        <v>34846</v>
      </c>
      <c r="AZ4057" s="3" t="s">
        <v>34847</v>
      </c>
      <c r="BA4057" s="3" t="s">
        <v>34847</v>
      </c>
      <c r="BB4057" s="3" t="s">
        <v>34848</v>
      </c>
      <c r="BC4057" s="3" t="s">
        <v>82</v>
      </c>
      <c r="BD4057" s="3" t="s">
        <v>70</v>
      </c>
      <c r="BE4057" s="3" t="s">
        <v>34849</v>
      </c>
      <c r="BF4057" s="3" t="s">
        <v>34848</v>
      </c>
      <c r="BG4057" s="3" t="s">
        <v>34850</v>
      </c>
    </row>
    <row r="4058" spans="1:59" ht="60" x14ac:dyDescent="0.25">
      <c r="A4058" s="2" t="s">
        <v>59</v>
      </c>
      <c r="B4058" s="2" t="s">
        <v>60</v>
      </c>
      <c r="C4058" s="2" t="s">
        <v>34851</v>
      </c>
      <c r="D4058" s="2" t="s">
        <v>34852</v>
      </c>
      <c r="E4058" s="2" t="s">
        <v>34853</v>
      </c>
      <c r="G4058" s="3" t="s">
        <v>63</v>
      </c>
      <c r="I4058" s="3" t="s">
        <v>63</v>
      </c>
      <c r="J4058" s="3" t="s">
        <v>63</v>
      </c>
      <c r="K4058" s="3" t="s">
        <v>64</v>
      </c>
      <c r="L4058" s="2" t="s">
        <v>34854</v>
      </c>
      <c r="M4058" s="2" t="s">
        <v>34855</v>
      </c>
      <c r="N4058" s="3" t="s">
        <v>287</v>
      </c>
      <c r="P4058" s="3" t="s">
        <v>90</v>
      </c>
      <c r="Q4058" s="2" t="s">
        <v>29771</v>
      </c>
      <c r="R4058" s="3" t="s">
        <v>67</v>
      </c>
      <c r="S4058" s="4">
        <v>0</v>
      </c>
      <c r="T4058" s="4">
        <v>0</v>
      </c>
      <c r="W4058" s="5" t="s">
        <v>9728</v>
      </c>
      <c r="X4058" s="5" t="s">
        <v>9728</v>
      </c>
      <c r="Y4058" s="4">
        <v>10</v>
      </c>
      <c r="Z4058" s="4">
        <v>1</v>
      </c>
      <c r="AA4058" s="4">
        <v>1</v>
      </c>
      <c r="AB4058" s="4">
        <v>1</v>
      </c>
      <c r="AC4058" s="4">
        <v>1</v>
      </c>
      <c r="AD4058" s="4">
        <v>9</v>
      </c>
      <c r="AE4058" s="4">
        <v>9</v>
      </c>
      <c r="AF4058" s="4">
        <v>0</v>
      </c>
      <c r="AG4058" s="4">
        <v>0</v>
      </c>
      <c r="AH4058" s="4">
        <v>9</v>
      </c>
      <c r="AI4058" s="4">
        <v>9</v>
      </c>
      <c r="AJ4058" s="4">
        <v>0</v>
      </c>
      <c r="AK4058" s="4">
        <v>0</v>
      </c>
      <c r="AL4058" s="4">
        <v>6</v>
      </c>
      <c r="AM4058" s="4">
        <v>6</v>
      </c>
      <c r="AN4058" s="4">
        <v>0</v>
      </c>
      <c r="AO4058" s="4">
        <v>0</v>
      </c>
      <c r="AP4058" s="4">
        <v>0</v>
      </c>
      <c r="AQ4058" s="4">
        <v>0</v>
      </c>
      <c r="AR4058" s="3" t="s">
        <v>63</v>
      </c>
      <c r="AS4058" s="3" t="s">
        <v>63</v>
      </c>
      <c r="AT4058" s="3" t="s">
        <v>63</v>
      </c>
      <c r="AV4058" s="6" t="str">
        <f>HYPERLINK("http://mcgill.on.worldcat.org/oclc/1076547452","Catalog Record")</f>
        <v>Catalog Record</v>
      </c>
      <c r="AW4058" s="6" t="str">
        <f>HYPERLINK("http://www.worldcat.org/oclc/1076547452","WorldCat Record")</f>
        <v>WorldCat Record</v>
      </c>
      <c r="AX4058" s="3" t="s">
        <v>34856</v>
      </c>
      <c r="AY4058" s="3" t="s">
        <v>34857</v>
      </c>
      <c r="AZ4058" s="3" t="s">
        <v>34858</v>
      </c>
      <c r="BA4058" s="3" t="s">
        <v>34858</v>
      </c>
      <c r="BB4058" s="3" t="s">
        <v>34859</v>
      </c>
      <c r="BC4058" s="3" t="s">
        <v>82</v>
      </c>
      <c r="BD4058" s="3" t="s">
        <v>70</v>
      </c>
      <c r="BE4058" s="3" t="s">
        <v>34860</v>
      </c>
      <c r="BF4058" s="3" t="s">
        <v>34859</v>
      </c>
      <c r="BG4058" s="3" t="s">
        <v>34861</v>
      </c>
    </row>
    <row r="4059" spans="1:59" ht="60" x14ac:dyDescent="0.25">
      <c r="A4059" s="2" t="s">
        <v>59</v>
      </c>
      <c r="B4059" s="2" t="s">
        <v>60</v>
      </c>
      <c r="C4059" s="2" t="s">
        <v>34862</v>
      </c>
      <c r="D4059" s="2" t="s">
        <v>34863</v>
      </c>
      <c r="E4059" s="2" t="s">
        <v>34864</v>
      </c>
      <c r="G4059" s="3" t="s">
        <v>63</v>
      </c>
      <c r="I4059" s="3" t="s">
        <v>63</v>
      </c>
      <c r="J4059" s="3" t="s">
        <v>63</v>
      </c>
      <c r="K4059" s="3" t="s">
        <v>64</v>
      </c>
      <c r="L4059" s="2" t="s">
        <v>34865</v>
      </c>
      <c r="M4059" s="2" t="s">
        <v>32206</v>
      </c>
      <c r="N4059" s="3" t="s">
        <v>629</v>
      </c>
      <c r="P4059" s="3" t="s">
        <v>90</v>
      </c>
      <c r="R4059" s="3" t="s">
        <v>67</v>
      </c>
      <c r="S4059" s="4">
        <v>1</v>
      </c>
      <c r="T4059" s="4">
        <v>1</v>
      </c>
      <c r="U4059" s="5" t="s">
        <v>18991</v>
      </c>
      <c r="V4059" s="5" t="s">
        <v>18991</v>
      </c>
      <c r="W4059" s="5" t="s">
        <v>69</v>
      </c>
      <c r="X4059" s="5" t="s">
        <v>69</v>
      </c>
      <c r="Y4059" s="4">
        <v>78</v>
      </c>
      <c r="Z4059" s="4">
        <v>7</v>
      </c>
      <c r="AA4059" s="4">
        <v>7</v>
      </c>
      <c r="AB4059" s="4">
        <v>1</v>
      </c>
      <c r="AC4059" s="4">
        <v>1</v>
      </c>
      <c r="AD4059" s="4">
        <v>37</v>
      </c>
      <c r="AE4059" s="4">
        <v>37</v>
      </c>
      <c r="AF4059" s="4">
        <v>0</v>
      </c>
      <c r="AG4059" s="4">
        <v>0</v>
      </c>
      <c r="AH4059" s="4">
        <v>36</v>
      </c>
      <c r="AI4059" s="4">
        <v>36</v>
      </c>
      <c r="AJ4059" s="4">
        <v>4</v>
      </c>
      <c r="AK4059" s="4">
        <v>4</v>
      </c>
      <c r="AL4059" s="4">
        <v>27</v>
      </c>
      <c r="AM4059" s="4">
        <v>27</v>
      </c>
      <c r="AN4059" s="4">
        <v>0</v>
      </c>
      <c r="AO4059" s="4">
        <v>0</v>
      </c>
      <c r="AP4059" s="4">
        <v>4</v>
      </c>
      <c r="AQ4059" s="4">
        <v>4</v>
      </c>
      <c r="AR4059" s="3" t="s">
        <v>63</v>
      </c>
      <c r="AS4059" s="3" t="s">
        <v>63</v>
      </c>
      <c r="AT4059" s="3" t="s">
        <v>63</v>
      </c>
      <c r="AV4059" s="6" t="str">
        <f>HYPERLINK("http://mcgill.on.worldcat.org/oclc/703435143","Catalog Record")</f>
        <v>Catalog Record</v>
      </c>
      <c r="AW4059" s="6" t="str">
        <f>HYPERLINK("http://www.worldcat.org/oclc/703435143","WorldCat Record")</f>
        <v>WorldCat Record</v>
      </c>
      <c r="AX4059" s="3" t="s">
        <v>34866</v>
      </c>
      <c r="AY4059" s="3" t="s">
        <v>34867</v>
      </c>
      <c r="AZ4059" s="3" t="s">
        <v>34868</v>
      </c>
      <c r="BA4059" s="3" t="s">
        <v>34868</v>
      </c>
      <c r="BB4059" s="3" t="s">
        <v>34869</v>
      </c>
      <c r="BC4059" s="3" t="s">
        <v>82</v>
      </c>
      <c r="BD4059" s="3" t="s">
        <v>70</v>
      </c>
      <c r="BE4059" s="3" t="s">
        <v>34870</v>
      </c>
      <c r="BF4059" s="3" t="s">
        <v>34869</v>
      </c>
      <c r="BG4059" s="3" t="s">
        <v>34871</v>
      </c>
    </row>
    <row r="4060" spans="1:59" ht="60" x14ac:dyDescent="0.25">
      <c r="A4060" s="2" t="s">
        <v>59</v>
      </c>
      <c r="B4060" s="2" t="s">
        <v>60</v>
      </c>
      <c r="C4060" s="2" t="s">
        <v>34872</v>
      </c>
      <c r="D4060" s="2" t="s">
        <v>34873</v>
      </c>
      <c r="E4060" s="2" t="s">
        <v>34874</v>
      </c>
      <c r="G4060" s="3" t="s">
        <v>63</v>
      </c>
      <c r="I4060" s="3" t="s">
        <v>63</v>
      </c>
      <c r="J4060" s="3" t="s">
        <v>63</v>
      </c>
      <c r="K4060" s="3" t="s">
        <v>64</v>
      </c>
      <c r="L4060" s="2" t="s">
        <v>34875</v>
      </c>
      <c r="M4060" s="2" t="s">
        <v>34876</v>
      </c>
      <c r="N4060" s="3" t="s">
        <v>313</v>
      </c>
      <c r="P4060" s="3" t="s">
        <v>90</v>
      </c>
      <c r="R4060" s="3" t="s">
        <v>67</v>
      </c>
      <c r="S4060" s="4">
        <v>0</v>
      </c>
      <c r="T4060" s="4">
        <v>0</v>
      </c>
      <c r="W4060" s="5" t="s">
        <v>69</v>
      </c>
      <c r="X4060" s="5" t="s">
        <v>69</v>
      </c>
      <c r="Y4060" s="4">
        <v>6</v>
      </c>
      <c r="Z4060" s="4">
        <v>2</v>
      </c>
      <c r="AA4060" s="4">
        <v>4</v>
      </c>
      <c r="AB4060" s="4">
        <v>1</v>
      </c>
      <c r="AC4060" s="4">
        <v>1</v>
      </c>
      <c r="AD4060" s="4">
        <v>0</v>
      </c>
      <c r="AE4060" s="4">
        <v>5</v>
      </c>
      <c r="AF4060" s="4">
        <v>0</v>
      </c>
      <c r="AG4060" s="4">
        <v>0</v>
      </c>
      <c r="AH4060" s="4">
        <v>0</v>
      </c>
      <c r="AI4060" s="4">
        <v>5</v>
      </c>
      <c r="AJ4060" s="4">
        <v>0</v>
      </c>
      <c r="AK4060" s="4">
        <v>0</v>
      </c>
      <c r="AL4060" s="4">
        <v>0</v>
      </c>
      <c r="AM4060" s="4">
        <v>3</v>
      </c>
      <c r="AN4060" s="4">
        <v>0</v>
      </c>
      <c r="AO4060" s="4">
        <v>0</v>
      </c>
      <c r="AP4060" s="4">
        <v>0</v>
      </c>
      <c r="AQ4060" s="4">
        <v>0</v>
      </c>
      <c r="AR4060" s="3" t="s">
        <v>63</v>
      </c>
      <c r="AS4060" s="3" t="s">
        <v>63</v>
      </c>
      <c r="AT4060" s="3" t="s">
        <v>63</v>
      </c>
      <c r="AV4060" s="6" t="str">
        <f>HYPERLINK("http://mcgill.on.worldcat.org/oclc/847217983","Catalog Record")</f>
        <v>Catalog Record</v>
      </c>
      <c r="AW4060" s="6" t="str">
        <f>HYPERLINK("http://www.worldcat.org/oclc/847217983","WorldCat Record")</f>
        <v>WorldCat Record</v>
      </c>
      <c r="AX4060" s="3" t="s">
        <v>34877</v>
      </c>
      <c r="AY4060" s="3" t="s">
        <v>34878</v>
      </c>
      <c r="AZ4060" s="3" t="s">
        <v>34879</v>
      </c>
      <c r="BA4060" s="3" t="s">
        <v>34879</v>
      </c>
      <c r="BB4060" s="3" t="s">
        <v>34880</v>
      </c>
      <c r="BC4060" s="3" t="s">
        <v>82</v>
      </c>
      <c r="BD4060" s="3" t="s">
        <v>70</v>
      </c>
      <c r="BE4060" s="3" t="s">
        <v>34881</v>
      </c>
      <c r="BF4060" s="3" t="s">
        <v>34880</v>
      </c>
      <c r="BG4060" s="3" t="s">
        <v>34882</v>
      </c>
    </row>
    <row r="4061" spans="1:59" ht="60" x14ac:dyDescent="0.25">
      <c r="A4061" s="2" t="s">
        <v>59</v>
      </c>
      <c r="B4061" s="2" t="s">
        <v>60</v>
      </c>
      <c r="C4061" s="2" t="s">
        <v>34883</v>
      </c>
      <c r="D4061" s="2" t="s">
        <v>34884</v>
      </c>
      <c r="E4061" s="2" t="s">
        <v>34885</v>
      </c>
      <c r="G4061" s="3" t="s">
        <v>63</v>
      </c>
      <c r="I4061" s="3" t="s">
        <v>63</v>
      </c>
      <c r="J4061" s="3" t="s">
        <v>63</v>
      </c>
      <c r="K4061" s="3" t="s">
        <v>64</v>
      </c>
      <c r="L4061" s="2" t="s">
        <v>34886</v>
      </c>
      <c r="M4061" s="2" t="s">
        <v>34887</v>
      </c>
      <c r="N4061" s="3" t="s">
        <v>1557</v>
      </c>
      <c r="P4061" s="3" t="s">
        <v>90</v>
      </c>
      <c r="Q4061" s="2" t="s">
        <v>34888</v>
      </c>
      <c r="R4061" s="3" t="s">
        <v>67</v>
      </c>
      <c r="S4061" s="4">
        <v>3</v>
      </c>
      <c r="T4061" s="4">
        <v>3</v>
      </c>
      <c r="U4061" s="5" t="s">
        <v>1264</v>
      </c>
      <c r="V4061" s="5" t="s">
        <v>1264</v>
      </c>
      <c r="W4061" s="5" t="s">
        <v>69</v>
      </c>
      <c r="X4061" s="5" t="s">
        <v>69</v>
      </c>
      <c r="Y4061" s="4">
        <v>29</v>
      </c>
      <c r="Z4061" s="4">
        <v>2</v>
      </c>
      <c r="AA4061" s="4">
        <v>2</v>
      </c>
      <c r="AB4061" s="4">
        <v>1</v>
      </c>
      <c r="AC4061" s="4">
        <v>1</v>
      </c>
      <c r="AD4061" s="4">
        <v>1</v>
      </c>
      <c r="AE4061" s="4">
        <v>2</v>
      </c>
      <c r="AF4061" s="4">
        <v>0</v>
      </c>
      <c r="AG4061" s="4">
        <v>0</v>
      </c>
      <c r="AH4061" s="4">
        <v>1</v>
      </c>
      <c r="AI4061" s="4">
        <v>2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3" t="s">
        <v>63</v>
      </c>
      <c r="AS4061" s="3" t="s">
        <v>63</v>
      </c>
      <c r="AT4061" s="3" t="s">
        <v>63</v>
      </c>
      <c r="AV4061" s="6" t="str">
        <f>HYPERLINK("http://mcgill.on.worldcat.org/oclc/1007161117","Catalog Record")</f>
        <v>Catalog Record</v>
      </c>
      <c r="AW4061" s="6" t="str">
        <f>HYPERLINK("http://www.worldcat.org/oclc/1007161117","WorldCat Record")</f>
        <v>WorldCat Record</v>
      </c>
      <c r="AX4061" s="3" t="s">
        <v>34889</v>
      </c>
      <c r="AY4061" s="3" t="s">
        <v>34890</v>
      </c>
      <c r="AZ4061" s="3" t="s">
        <v>34891</v>
      </c>
      <c r="BA4061" s="3" t="s">
        <v>34891</v>
      </c>
      <c r="BB4061" s="3" t="s">
        <v>34892</v>
      </c>
      <c r="BC4061" s="3" t="s">
        <v>82</v>
      </c>
      <c r="BD4061" s="3" t="s">
        <v>70</v>
      </c>
      <c r="BE4061" s="3" t="s">
        <v>34893</v>
      </c>
      <c r="BF4061" s="3" t="s">
        <v>34892</v>
      </c>
      <c r="BG4061" s="3" t="s">
        <v>34894</v>
      </c>
    </row>
    <row r="4062" spans="1:59" ht="60" x14ac:dyDescent="0.25">
      <c r="A4062" s="2" t="s">
        <v>59</v>
      </c>
      <c r="B4062" s="2" t="s">
        <v>60</v>
      </c>
      <c r="C4062" s="2" t="s">
        <v>34895</v>
      </c>
      <c r="D4062" s="2" t="s">
        <v>34896</v>
      </c>
      <c r="E4062" s="2" t="s">
        <v>34897</v>
      </c>
      <c r="G4062" s="3" t="s">
        <v>63</v>
      </c>
      <c r="I4062" s="3" t="s">
        <v>63</v>
      </c>
      <c r="J4062" s="3" t="s">
        <v>63</v>
      </c>
      <c r="K4062" s="3" t="s">
        <v>64</v>
      </c>
      <c r="L4062" s="2" t="s">
        <v>34886</v>
      </c>
      <c r="M4062" s="2" t="s">
        <v>34091</v>
      </c>
      <c r="N4062" s="3" t="s">
        <v>106</v>
      </c>
      <c r="P4062" s="3" t="s">
        <v>90</v>
      </c>
      <c r="Q4062" s="2" t="s">
        <v>34898</v>
      </c>
      <c r="R4062" s="3" t="s">
        <v>67</v>
      </c>
      <c r="S4062" s="4">
        <v>2</v>
      </c>
      <c r="T4062" s="4">
        <v>2</v>
      </c>
      <c r="U4062" s="5" t="s">
        <v>16663</v>
      </c>
      <c r="V4062" s="5" t="s">
        <v>16663</v>
      </c>
      <c r="W4062" s="5" t="s">
        <v>69</v>
      </c>
      <c r="X4062" s="5" t="s">
        <v>69</v>
      </c>
      <c r="Y4062" s="4">
        <v>42</v>
      </c>
      <c r="Z4062" s="4">
        <v>3</v>
      </c>
      <c r="AA4062" s="4">
        <v>3</v>
      </c>
      <c r="AB4062" s="4">
        <v>1</v>
      </c>
      <c r="AC4062" s="4">
        <v>1</v>
      </c>
      <c r="AD4062" s="4">
        <v>2</v>
      </c>
      <c r="AE4062" s="4">
        <v>2</v>
      </c>
      <c r="AF4062" s="4">
        <v>0</v>
      </c>
      <c r="AG4062" s="4">
        <v>0</v>
      </c>
      <c r="AH4062" s="4">
        <v>2</v>
      </c>
      <c r="AI4062" s="4">
        <v>2</v>
      </c>
      <c r="AJ4062" s="4">
        <v>0</v>
      </c>
      <c r="AK4062" s="4">
        <v>0</v>
      </c>
      <c r="AL4062" s="4">
        <v>1</v>
      </c>
      <c r="AM4062" s="4">
        <v>1</v>
      </c>
      <c r="AN4062" s="4">
        <v>0</v>
      </c>
      <c r="AO4062" s="4">
        <v>0</v>
      </c>
      <c r="AP4062" s="4">
        <v>0</v>
      </c>
      <c r="AQ4062" s="4">
        <v>0</v>
      </c>
      <c r="AR4062" s="3" t="s">
        <v>63</v>
      </c>
      <c r="AS4062" s="3" t="s">
        <v>63</v>
      </c>
      <c r="AT4062" s="3" t="s">
        <v>63</v>
      </c>
      <c r="AV4062" s="6" t="str">
        <f>HYPERLINK("http://mcgill.on.worldcat.org/oclc/962030035","Catalog Record")</f>
        <v>Catalog Record</v>
      </c>
      <c r="AW4062" s="6" t="str">
        <f>HYPERLINK("http://www.worldcat.org/oclc/962030035","WorldCat Record")</f>
        <v>WorldCat Record</v>
      </c>
      <c r="AX4062" s="3" t="s">
        <v>34899</v>
      </c>
      <c r="AY4062" s="3" t="s">
        <v>34900</v>
      </c>
      <c r="AZ4062" s="3" t="s">
        <v>34901</v>
      </c>
      <c r="BA4062" s="3" t="s">
        <v>34901</v>
      </c>
      <c r="BB4062" s="3" t="s">
        <v>34902</v>
      </c>
      <c r="BC4062" s="3" t="s">
        <v>82</v>
      </c>
      <c r="BD4062" s="3" t="s">
        <v>70</v>
      </c>
      <c r="BE4062" s="3" t="s">
        <v>34903</v>
      </c>
      <c r="BF4062" s="3" t="s">
        <v>34902</v>
      </c>
      <c r="BG4062" s="3" t="s">
        <v>34904</v>
      </c>
    </row>
    <row r="4063" spans="1:59" ht="75" x14ac:dyDescent="0.25">
      <c r="A4063" s="2" t="s">
        <v>59</v>
      </c>
      <c r="B4063" s="2" t="s">
        <v>60</v>
      </c>
      <c r="C4063" s="2" t="s">
        <v>34905</v>
      </c>
      <c r="D4063" s="2" t="s">
        <v>34906</v>
      </c>
      <c r="E4063" s="2" t="s">
        <v>34907</v>
      </c>
      <c r="G4063" s="3" t="s">
        <v>63</v>
      </c>
      <c r="I4063" s="3" t="s">
        <v>63</v>
      </c>
      <c r="J4063" s="3" t="s">
        <v>63</v>
      </c>
      <c r="K4063" s="3" t="s">
        <v>64</v>
      </c>
      <c r="L4063" s="2" t="s">
        <v>34908</v>
      </c>
      <c r="M4063" s="2" t="s">
        <v>34909</v>
      </c>
      <c r="N4063" s="3" t="s">
        <v>130</v>
      </c>
      <c r="P4063" s="3" t="s">
        <v>90</v>
      </c>
      <c r="R4063" s="3" t="s">
        <v>67</v>
      </c>
      <c r="S4063" s="4">
        <v>2</v>
      </c>
      <c r="T4063" s="4">
        <v>2</v>
      </c>
      <c r="U4063" s="5" t="s">
        <v>30932</v>
      </c>
      <c r="V4063" s="5" t="s">
        <v>30932</v>
      </c>
      <c r="W4063" s="5" t="s">
        <v>69</v>
      </c>
      <c r="X4063" s="5" t="s">
        <v>69</v>
      </c>
      <c r="Y4063" s="4">
        <v>15</v>
      </c>
      <c r="Z4063" s="4">
        <v>3</v>
      </c>
      <c r="AA4063" s="4">
        <v>3</v>
      </c>
      <c r="AB4063" s="4">
        <v>1</v>
      </c>
      <c r="AC4063" s="4">
        <v>1</v>
      </c>
      <c r="AD4063" s="4">
        <v>12</v>
      </c>
      <c r="AE4063" s="4">
        <v>12</v>
      </c>
      <c r="AF4063" s="4">
        <v>0</v>
      </c>
      <c r="AG4063" s="4">
        <v>0</v>
      </c>
      <c r="AH4063" s="4">
        <v>11</v>
      </c>
      <c r="AI4063" s="4">
        <v>11</v>
      </c>
      <c r="AJ4063" s="4">
        <v>1</v>
      </c>
      <c r="AK4063" s="4">
        <v>1</v>
      </c>
      <c r="AL4063" s="4">
        <v>9</v>
      </c>
      <c r="AM4063" s="4">
        <v>9</v>
      </c>
      <c r="AN4063" s="4">
        <v>0</v>
      </c>
      <c r="AO4063" s="4">
        <v>0</v>
      </c>
      <c r="AP4063" s="4">
        <v>1</v>
      </c>
      <c r="AQ4063" s="4">
        <v>1</v>
      </c>
      <c r="AR4063" s="3" t="s">
        <v>63</v>
      </c>
      <c r="AS4063" s="3" t="s">
        <v>63</v>
      </c>
      <c r="AT4063" s="3" t="s">
        <v>63</v>
      </c>
      <c r="AV4063" s="6" t="str">
        <f>HYPERLINK("http://mcgill.on.worldcat.org/oclc/878039113","Catalog Record")</f>
        <v>Catalog Record</v>
      </c>
      <c r="AW4063" s="6" t="str">
        <f>HYPERLINK("http://www.worldcat.org/oclc/878039113","WorldCat Record")</f>
        <v>WorldCat Record</v>
      </c>
      <c r="AX4063" s="3" t="s">
        <v>34910</v>
      </c>
      <c r="AY4063" s="3" t="s">
        <v>34911</v>
      </c>
      <c r="AZ4063" s="3" t="s">
        <v>34912</v>
      </c>
      <c r="BA4063" s="3" t="s">
        <v>34912</v>
      </c>
      <c r="BB4063" s="3" t="s">
        <v>34913</v>
      </c>
      <c r="BC4063" s="3" t="s">
        <v>82</v>
      </c>
      <c r="BD4063" s="3" t="s">
        <v>70</v>
      </c>
      <c r="BE4063" s="3" t="s">
        <v>34914</v>
      </c>
      <c r="BF4063" s="3" t="s">
        <v>34913</v>
      </c>
      <c r="BG4063" s="3" t="s">
        <v>34915</v>
      </c>
    </row>
    <row r="4064" spans="1:59" ht="60" x14ac:dyDescent="0.25">
      <c r="A4064" s="2" t="s">
        <v>59</v>
      </c>
      <c r="B4064" s="2" t="s">
        <v>60</v>
      </c>
      <c r="C4064" s="2" t="s">
        <v>34916</v>
      </c>
      <c r="D4064" s="2" t="s">
        <v>34917</v>
      </c>
      <c r="E4064" s="2" t="s">
        <v>34918</v>
      </c>
      <c r="G4064" s="3" t="s">
        <v>63</v>
      </c>
      <c r="I4064" s="3" t="s">
        <v>63</v>
      </c>
      <c r="J4064" s="3" t="s">
        <v>63</v>
      </c>
      <c r="K4064" s="3" t="s">
        <v>64</v>
      </c>
      <c r="L4064" s="2" t="s">
        <v>34919</v>
      </c>
      <c r="M4064" s="2" t="s">
        <v>34920</v>
      </c>
      <c r="N4064" s="3" t="s">
        <v>130</v>
      </c>
      <c r="P4064" s="3" t="s">
        <v>90</v>
      </c>
      <c r="R4064" s="3" t="s">
        <v>67</v>
      </c>
      <c r="S4064" s="4">
        <v>0</v>
      </c>
      <c r="T4064" s="4">
        <v>0</v>
      </c>
      <c r="W4064" s="5" t="s">
        <v>69</v>
      </c>
      <c r="X4064" s="5" t="s">
        <v>69</v>
      </c>
      <c r="Y4064" s="4">
        <v>3</v>
      </c>
      <c r="Z4064" s="4">
        <v>1</v>
      </c>
      <c r="AA4064" s="4">
        <v>1</v>
      </c>
      <c r="AB4064" s="4">
        <v>1</v>
      </c>
      <c r="AC4064" s="4">
        <v>1</v>
      </c>
      <c r="AD4064" s="4">
        <v>1</v>
      </c>
      <c r="AE4064" s="4">
        <v>1</v>
      </c>
      <c r="AF4064" s="4">
        <v>0</v>
      </c>
      <c r="AG4064" s="4">
        <v>0</v>
      </c>
      <c r="AH4064" s="4">
        <v>1</v>
      </c>
      <c r="AI4064" s="4">
        <v>1</v>
      </c>
      <c r="AJ4064" s="4">
        <v>0</v>
      </c>
      <c r="AK4064" s="4">
        <v>0</v>
      </c>
      <c r="AL4064" s="4">
        <v>1</v>
      </c>
      <c r="AM4064" s="4">
        <v>1</v>
      </c>
      <c r="AN4064" s="4">
        <v>0</v>
      </c>
      <c r="AO4064" s="4">
        <v>0</v>
      </c>
      <c r="AP4064" s="4">
        <v>0</v>
      </c>
      <c r="AQ4064" s="4">
        <v>0</v>
      </c>
      <c r="AR4064" s="3" t="s">
        <v>63</v>
      </c>
      <c r="AS4064" s="3" t="s">
        <v>63</v>
      </c>
      <c r="AT4064" s="3" t="s">
        <v>63</v>
      </c>
      <c r="AV4064" s="6" t="str">
        <f>HYPERLINK("http://mcgill.on.worldcat.org/oclc/878040035","Catalog Record")</f>
        <v>Catalog Record</v>
      </c>
      <c r="AW4064" s="6" t="str">
        <f>HYPERLINK("http://www.worldcat.org/oclc/878040035","WorldCat Record")</f>
        <v>WorldCat Record</v>
      </c>
      <c r="AX4064" s="3" t="s">
        <v>34921</v>
      </c>
      <c r="AY4064" s="3" t="s">
        <v>34922</v>
      </c>
      <c r="AZ4064" s="3" t="s">
        <v>34923</v>
      </c>
      <c r="BA4064" s="3" t="s">
        <v>34923</v>
      </c>
      <c r="BB4064" s="3" t="s">
        <v>34924</v>
      </c>
      <c r="BC4064" s="3" t="s">
        <v>82</v>
      </c>
      <c r="BD4064" s="3" t="s">
        <v>70</v>
      </c>
      <c r="BE4064" s="3" t="s">
        <v>34925</v>
      </c>
      <c r="BF4064" s="3" t="s">
        <v>34924</v>
      </c>
      <c r="BG4064" s="3" t="s">
        <v>34926</v>
      </c>
    </row>
    <row r="4065" spans="1:59" ht="60" x14ac:dyDescent="0.25">
      <c r="A4065" s="2" t="s">
        <v>59</v>
      </c>
      <c r="B4065" s="2" t="s">
        <v>60</v>
      </c>
      <c r="C4065" s="2" t="s">
        <v>34927</v>
      </c>
      <c r="D4065" s="2" t="s">
        <v>34928</v>
      </c>
      <c r="E4065" s="2" t="s">
        <v>34929</v>
      </c>
      <c r="G4065" s="3" t="s">
        <v>63</v>
      </c>
      <c r="I4065" s="3" t="s">
        <v>63</v>
      </c>
      <c r="J4065" s="3" t="s">
        <v>63</v>
      </c>
      <c r="K4065" s="3" t="s">
        <v>64</v>
      </c>
      <c r="L4065" s="2" t="s">
        <v>34930</v>
      </c>
      <c r="M4065" s="2" t="s">
        <v>34931</v>
      </c>
      <c r="N4065" s="3" t="s">
        <v>1557</v>
      </c>
      <c r="P4065" s="3" t="s">
        <v>90</v>
      </c>
      <c r="R4065" s="3" t="s">
        <v>67</v>
      </c>
      <c r="S4065" s="4">
        <v>2</v>
      </c>
      <c r="T4065" s="4">
        <v>2</v>
      </c>
      <c r="U4065" s="5" t="s">
        <v>29697</v>
      </c>
      <c r="V4065" s="5" t="s">
        <v>29697</v>
      </c>
      <c r="W4065" s="5" t="s">
        <v>69</v>
      </c>
      <c r="X4065" s="5" t="s">
        <v>69</v>
      </c>
      <c r="Y4065" s="4">
        <v>38</v>
      </c>
      <c r="Z4065" s="4">
        <v>6</v>
      </c>
      <c r="AA4065" s="4">
        <v>7</v>
      </c>
      <c r="AB4065" s="4">
        <v>1</v>
      </c>
      <c r="AC4065" s="4">
        <v>1</v>
      </c>
      <c r="AD4065" s="4">
        <v>26</v>
      </c>
      <c r="AE4065" s="4">
        <v>35</v>
      </c>
      <c r="AF4065" s="4">
        <v>0</v>
      </c>
      <c r="AG4065" s="4">
        <v>0</v>
      </c>
      <c r="AH4065" s="4">
        <v>26</v>
      </c>
      <c r="AI4065" s="4">
        <v>34</v>
      </c>
      <c r="AJ4065" s="4">
        <v>3</v>
      </c>
      <c r="AK4065" s="4">
        <v>3</v>
      </c>
      <c r="AL4065" s="4">
        <v>17</v>
      </c>
      <c r="AM4065" s="4">
        <v>25</v>
      </c>
      <c r="AN4065" s="4">
        <v>0</v>
      </c>
      <c r="AO4065" s="4">
        <v>0</v>
      </c>
      <c r="AP4065" s="4">
        <v>3</v>
      </c>
      <c r="AQ4065" s="4">
        <v>3</v>
      </c>
      <c r="AR4065" s="3" t="s">
        <v>63</v>
      </c>
      <c r="AS4065" s="3" t="s">
        <v>63</v>
      </c>
      <c r="AT4065" s="3" t="s">
        <v>63</v>
      </c>
      <c r="AV4065" s="6" t="str">
        <f>HYPERLINK("http://mcgill.on.worldcat.org/oclc/1000155710","Catalog Record")</f>
        <v>Catalog Record</v>
      </c>
      <c r="AW4065" s="6" t="str">
        <f>HYPERLINK("http://www.worldcat.org/oclc/1000155710","WorldCat Record")</f>
        <v>WorldCat Record</v>
      </c>
      <c r="AX4065" s="3" t="s">
        <v>34932</v>
      </c>
      <c r="AY4065" s="3" t="s">
        <v>34933</v>
      </c>
      <c r="AZ4065" s="3" t="s">
        <v>34934</v>
      </c>
      <c r="BA4065" s="3" t="s">
        <v>34934</v>
      </c>
      <c r="BB4065" s="3" t="s">
        <v>34935</v>
      </c>
      <c r="BC4065" s="3" t="s">
        <v>82</v>
      </c>
      <c r="BD4065" s="3" t="s">
        <v>70</v>
      </c>
      <c r="BE4065" s="3" t="s">
        <v>34936</v>
      </c>
      <c r="BF4065" s="3" t="s">
        <v>34935</v>
      </c>
      <c r="BG4065" s="3" t="s">
        <v>34937</v>
      </c>
    </row>
    <row r="4066" spans="1:59" ht="75" x14ac:dyDescent="0.25">
      <c r="A4066" s="2" t="s">
        <v>59</v>
      </c>
      <c r="B4066" s="2" t="s">
        <v>60</v>
      </c>
      <c r="C4066" s="2" t="s">
        <v>34938</v>
      </c>
      <c r="D4066" s="2" t="s">
        <v>34939</v>
      </c>
      <c r="E4066" s="2" t="s">
        <v>34940</v>
      </c>
      <c r="G4066" s="3" t="s">
        <v>63</v>
      </c>
      <c r="H4066" s="3" t="s">
        <v>215</v>
      </c>
      <c r="I4066" s="3" t="s">
        <v>63</v>
      </c>
      <c r="J4066" s="3" t="s">
        <v>63</v>
      </c>
      <c r="K4066" s="3" t="s">
        <v>64</v>
      </c>
      <c r="L4066" s="2" t="s">
        <v>34941</v>
      </c>
      <c r="M4066" s="2" t="s">
        <v>34942</v>
      </c>
      <c r="N4066" s="3" t="s">
        <v>1752</v>
      </c>
      <c r="P4066" s="3" t="s">
        <v>90</v>
      </c>
      <c r="Q4066" s="2" t="s">
        <v>34943</v>
      </c>
      <c r="R4066" s="3" t="s">
        <v>67</v>
      </c>
      <c r="S4066" s="4">
        <v>0</v>
      </c>
      <c r="T4066" s="4">
        <v>0</v>
      </c>
      <c r="W4066" s="5" t="s">
        <v>14022</v>
      </c>
      <c r="X4066" s="5" t="s">
        <v>14022</v>
      </c>
      <c r="Y4066" s="4">
        <v>8</v>
      </c>
      <c r="Z4066" s="4">
        <v>1</v>
      </c>
      <c r="AA4066" s="4">
        <v>1</v>
      </c>
      <c r="AB4066" s="4">
        <v>1</v>
      </c>
      <c r="AC4066" s="4">
        <v>1</v>
      </c>
      <c r="AD4066" s="4">
        <v>6</v>
      </c>
      <c r="AE4066" s="4">
        <v>6</v>
      </c>
      <c r="AF4066" s="4">
        <v>0</v>
      </c>
      <c r="AG4066" s="4">
        <v>0</v>
      </c>
      <c r="AH4066" s="4">
        <v>5</v>
      </c>
      <c r="AI4066" s="4">
        <v>5</v>
      </c>
      <c r="AJ4066" s="4">
        <v>0</v>
      </c>
      <c r="AK4066" s="4">
        <v>0</v>
      </c>
      <c r="AL4066" s="4">
        <v>5</v>
      </c>
      <c r="AM4066" s="4">
        <v>5</v>
      </c>
      <c r="AN4066" s="4">
        <v>0</v>
      </c>
      <c r="AO4066" s="4">
        <v>0</v>
      </c>
      <c r="AP4066" s="4">
        <v>0</v>
      </c>
      <c r="AQ4066" s="4">
        <v>0</v>
      </c>
      <c r="AR4066" s="3" t="s">
        <v>63</v>
      </c>
      <c r="AS4066" s="3" t="s">
        <v>63</v>
      </c>
      <c r="AT4066" s="3" t="s">
        <v>63</v>
      </c>
      <c r="AV4066" s="6" t="str">
        <f>HYPERLINK("http://mcgill.on.worldcat.org/oclc/1101425497","Catalog Record")</f>
        <v>Catalog Record</v>
      </c>
      <c r="AW4066" s="6" t="str">
        <f>HYPERLINK("http://www.worldcat.org/oclc/1101425497","WorldCat Record")</f>
        <v>WorldCat Record</v>
      </c>
      <c r="AX4066" s="3" t="s">
        <v>34944</v>
      </c>
      <c r="AY4066" s="3" t="s">
        <v>34945</v>
      </c>
      <c r="AZ4066" s="3" t="s">
        <v>34946</v>
      </c>
      <c r="BA4066" s="3" t="s">
        <v>34946</v>
      </c>
      <c r="BB4066" s="3" t="s">
        <v>34947</v>
      </c>
      <c r="BC4066" s="3" t="s">
        <v>82</v>
      </c>
      <c r="BD4066" s="3" t="s">
        <v>70</v>
      </c>
      <c r="BE4066" s="3" t="s">
        <v>34948</v>
      </c>
      <c r="BF4066" s="3" t="s">
        <v>34947</v>
      </c>
      <c r="BG4066" s="3" t="s">
        <v>34949</v>
      </c>
    </row>
    <row r="4067" spans="1:59" ht="75" x14ac:dyDescent="0.25">
      <c r="A4067" s="2" t="s">
        <v>59</v>
      </c>
      <c r="B4067" s="2" t="s">
        <v>60</v>
      </c>
      <c r="C4067" s="2" t="s">
        <v>34950</v>
      </c>
      <c r="D4067" s="2" t="s">
        <v>34951</v>
      </c>
      <c r="E4067" s="2" t="s">
        <v>34952</v>
      </c>
      <c r="G4067" s="3" t="s">
        <v>63</v>
      </c>
      <c r="I4067" s="3" t="s">
        <v>63</v>
      </c>
      <c r="J4067" s="3" t="s">
        <v>63</v>
      </c>
      <c r="K4067" s="3" t="s">
        <v>64</v>
      </c>
      <c r="L4067" s="2" t="s">
        <v>34953</v>
      </c>
      <c r="M4067" s="2" t="s">
        <v>29194</v>
      </c>
      <c r="N4067" s="3" t="s">
        <v>143</v>
      </c>
      <c r="P4067" s="3" t="s">
        <v>90</v>
      </c>
      <c r="Q4067" s="2" t="s">
        <v>28975</v>
      </c>
      <c r="R4067" s="3" t="s">
        <v>67</v>
      </c>
      <c r="S4067" s="4">
        <v>0</v>
      </c>
      <c r="T4067" s="4">
        <v>0</v>
      </c>
      <c r="W4067" s="5" t="s">
        <v>69</v>
      </c>
      <c r="X4067" s="5" t="s">
        <v>69</v>
      </c>
      <c r="Y4067" s="4">
        <v>54</v>
      </c>
      <c r="Z4067" s="4">
        <v>5</v>
      </c>
      <c r="AA4067" s="4">
        <v>5</v>
      </c>
      <c r="AB4067" s="4">
        <v>1</v>
      </c>
      <c r="AC4067" s="4">
        <v>1</v>
      </c>
      <c r="AD4067" s="4">
        <v>32</v>
      </c>
      <c r="AE4067" s="4">
        <v>32</v>
      </c>
      <c r="AF4067" s="4">
        <v>0</v>
      </c>
      <c r="AG4067" s="4">
        <v>0</v>
      </c>
      <c r="AH4067" s="4">
        <v>31</v>
      </c>
      <c r="AI4067" s="4">
        <v>31</v>
      </c>
      <c r="AJ4067" s="4">
        <v>3</v>
      </c>
      <c r="AK4067" s="4">
        <v>3</v>
      </c>
      <c r="AL4067" s="4">
        <v>25</v>
      </c>
      <c r="AM4067" s="4">
        <v>25</v>
      </c>
      <c r="AN4067" s="4">
        <v>0</v>
      </c>
      <c r="AO4067" s="4">
        <v>0</v>
      </c>
      <c r="AP4067" s="4">
        <v>3</v>
      </c>
      <c r="AQ4067" s="4">
        <v>3</v>
      </c>
      <c r="AR4067" s="3" t="s">
        <v>63</v>
      </c>
      <c r="AS4067" s="3" t="s">
        <v>63</v>
      </c>
      <c r="AT4067" s="3" t="s">
        <v>63</v>
      </c>
      <c r="AV4067" s="6" t="str">
        <f>HYPERLINK("http://mcgill.on.worldcat.org/oclc/870973403","Catalog Record")</f>
        <v>Catalog Record</v>
      </c>
      <c r="AW4067" s="6" t="str">
        <f>HYPERLINK("http://www.worldcat.org/oclc/870973403","WorldCat Record")</f>
        <v>WorldCat Record</v>
      </c>
      <c r="AX4067" s="3" t="s">
        <v>34954</v>
      </c>
      <c r="AY4067" s="3" t="s">
        <v>34955</v>
      </c>
      <c r="AZ4067" s="3" t="s">
        <v>34956</v>
      </c>
      <c r="BA4067" s="3" t="s">
        <v>34956</v>
      </c>
      <c r="BB4067" s="3" t="s">
        <v>34957</v>
      </c>
      <c r="BC4067" s="3" t="s">
        <v>82</v>
      </c>
      <c r="BD4067" s="3" t="s">
        <v>70</v>
      </c>
      <c r="BE4067" s="3" t="s">
        <v>34958</v>
      </c>
      <c r="BF4067" s="3" t="s">
        <v>34957</v>
      </c>
      <c r="BG4067" s="3" t="s">
        <v>34959</v>
      </c>
    </row>
    <row r="4068" spans="1:59" ht="75" x14ac:dyDescent="0.25">
      <c r="A4068" s="2" t="s">
        <v>59</v>
      </c>
      <c r="B4068" s="2" t="s">
        <v>60</v>
      </c>
      <c r="C4068" s="2" t="s">
        <v>34960</v>
      </c>
      <c r="D4068" s="2" t="s">
        <v>34961</v>
      </c>
      <c r="E4068" s="2" t="s">
        <v>34962</v>
      </c>
      <c r="G4068" s="3" t="s">
        <v>63</v>
      </c>
      <c r="I4068" s="3" t="s">
        <v>63</v>
      </c>
      <c r="J4068" s="3" t="s">
        <v>63</v>
      </c>
      <c r="K4068" s="3" t="s">
        <v>64</v>
      </c>
      <c r="L4068" s="2" t="s">
        <v>34963</v>
      </c>
      <c r="M4068" s="2" t="s">
        <v>34964</v>
      </c>
      <c r="N4068" s="3" t="s">
        <v>106</v>
      </c>
      <c r="P4068" s="3" t="s">
        <v>90</v>
      </c>
      <c r="R4068" s="3" t="s">
        <v>67</v>
      </c>
      <c r="S4068" s="4">
        <v>1</v>
      </c>
      <c r="T4068" s="4">
        <v>1</v>
      </c>
      <c r="U4068" s="5" t="s">
        <v>7802</v>
      </c>
      <c r="V4068" s="5" t="s">
        <v>7802</v>
      </c>
      <c r="W4068" s="5" t="s">
        <v>69</v>
      </c>
      <c r="X4068" s="5" t="s">
        <v>69</v>
      </c>
      <c r="Y4068" s="4">
        <v>2</v>
      </c>
      <c r="Z4068" s="4">
        <v>1</v>
      </c>
      <c r="AA4068" s="4">
        <v>1</v>
      </c>
      <c r="AB4068" s="4">
        <v>1</v>
      </c>
      <c r="AC4068" s="4">
        <v>1</v>
      </c>
      <c r="AD4068" s="4">
        <v>1</v>
      </c>
      <c r="AE4068" s="4">
        <v>1</v>
      </c>
      <c r="AF4068" s="4">
        <v>0</v>
      </c>
      <c r="AG4068" s="4">
        <v>0</v>
      </c>
      <c r="AH4068" s="4">
        <v>1</v>
      </c>
      <c r="AI4068" s="4">
        <v>1</v>
      </c>
      <c r="AJ4068" s="4">
        <v>0</v>
      </c>
      <c r="AK4068" s="4">
        <v>0</v>
      </c>
      <c r="AL4068" s="4">
        <v>1</v>
      </c>
      <c r="AM4068" s="4">
        <v>1</v>
      </c>
      <c r="AN4068" s="4">
        <v>0</v>
      </c>
      <c r="AO4068" s="4">
        <v>0</v>
      </c>
      <c r="AP4068" s="4">
        <v>0</v>
      </c>
      <c r="AQ4068" s="4">
        <v>0</v>
      </c>
      <c r="AR4068" s="3" t="s">
        <v>63</v>
      </c>
      <c r="AS4068" s="3" t="s">
        <v>63</v>
      </c>
      <c r="AT4068" s="3" t="s">
        <v>63</v>
      </c>
      <c r="AV4068" s="6" t="str">
        <f>HYPERLINK("http://mcgill.on.worldcat.org/oclc/959834172","Catalog Record")</f>
        <v>Catalog Record</v>
      </c>
      <c r="AW4068" s="6" t="str">
        <f>HYPERLINK("http://www.worldcat.org/oclc/959834172","WorldCat Record")</f>
        <v>WorldCat Record</v>
      </c>
      <c r="AX4068" s="3" t="s">
        <v>34965</v>
      </c>
      <c r="AY4068" s="3" t="s">
        <v>34966</v>
      </c>
      <c r="AZ4068" s="3" t="s">
        <v>34967</v>
      </c>
      <c r="BA4068" s="3" t="s">
        <v>34967</v>
      </c>
      <c r="BB4068" s="3" t="s">
        <v>34968</v>
      </c>
      <c r="BC4068" s="3" t="s">
        <v>82</v>
      </c>
      <c r="BD4068" s="3" t="s">
        <v>70</v>
      </c>
      <c r="BE4068" s="3" t="s">
        <v>34969</v>
      </c>
      <c r="BF4068" s="3" t="s">
        <v>34968</v>
      </c>
      <c r="BG4068" s="3" t="s">
        <v>34970</v>
      </c>
    </row>
    <row r="4069" spans="1:59" ht="60" x14ac:dyDescent="0.25">
      <c r="A4069" s="2" t="s">
        <v>59</v>
      </c>
      <c r="B4069" s="2" t="s">
        <v>60</v>
      </c>
      <c r="C4069" s="2" t="s">
        <v>34971</v>
      </c>
      <c r="D4069" s="2" t="s">
        <v>34972</v>
      </c>
      <c r="E4069" s="2" t="s">
        <v>34973</v>
      </c>
      <c r="G4069" s="3" t="s">
        <v>63</v>
      </c>
      <c r="I4069" s="3" t="s">
        <v>63</v>
      </c>
      <c r="J4069" s="3" t="s">
        <v>63</v>
      </c>
      <c r="K4069" s="3" t="s">
        <v>64</v>
      </c>
      <c r="L4069" s="2" t="s">
        <v>34974</v>
      </c>
      <c r="M4069" s="2" t="s">
        <v>34975</v>
      </c>
      <c r="N4069" s="3" t="s">
        <v>1557</v>
      </c>
      <c r="P4069" s="3" t="s">
        <v>90</v>
      </c>
      <c r="R4069" s="3" t="s">
        <v>67</v>
      </c>
      <c r="S4069" s="4">
        <v>2</v>
      </c>
      <c r="T4069" s="4">
        <v>2</v>
      </c>
      <c r="U4069" s="5" t="s">
        <v>7280</v>
      </c>
      <c r="V4069" s="5" t="s">
        <v>7280</v>
      </c>
      <c r="W4069" s="5" t="s">
        <v>69</v>
      </c>
      <c r="X4069" s="5" t="s">
        <v>69</v>
      </c>
      <c r="Y4069" s="4">
        <v>63</v>
      </c>
      <c r="Z4069" s="4">
        <v>4</v>
      </c>
      <c r="AA4069" s="4">
        <v>4</v>
      </c>
      <c r="AB4069" s="4">
        <v>1</v>
      </c>
      <c r="AC4069" s="4">
        <v>1</v>
      </c>
      <c r="AD4069" s="4">
        <v>21</v>
      </c>
      <c r="AE4069" s="4">
        <v>21</v>
      </c>
      <c r="AF4069" s="4">
        <v>0</v>
      </c>
      <c r="AG4069" s="4">
        <v>0</v>
      </c>
      <c r="AH4069" s="4">
        <v>20</v>
      </c>
      <c r="AI4069" s="4">
        <v>20</v>
      </c>
      <c r="AJ4069" s="4">
        <v>0</v>
      </c>
      <c r="AK4069" s="4">
        <v>0</v>
      </c>
      <c r="AL4069" s="4">
        <v>17</v>
      </c>
      <c r="AM4069" s="4">
        <v>17</v>
      </c>
      <c r="AN4069" s="4">
        <v>0</v>
      </c>
      <c r="AO4069" s="4">
        <v>0</v>
      </c>
      <c r="AP4069" s="4">
        <v>0</v>
      </c>
      <c r="AQ4069" s="4">
        <v>0</v>
      </c>
      <c r="AR4069" s="3" t="s">
        <v>63</v>
      </c>
      <c r="AS4069" s="3" t="s">
        <v>63</v>
      </c>
      <c r="AT4069" s="3" t="s">
        <v>63</v>
      </c>
      <c r="AV4069" s="6" t="str">
        <f>HYPERLINK("http://mcgill.on.worldcat.org/oclc/995630663","Catalog Record")</f>
        <v>Catalog Record</v>
      </c>
      <c r="AW4069" s="6" t="str">
        <f>HYPERLINK("http://www.worldcat.org/oclc/995630663","WorldCat Record")</f>
        <v>WorldCat Record</v>
      </c>
      <c r="AX4069" s="3" t="s">
        <v>34976</v>
      </c>
      <c r="AY4069" s="3" t="s">
        <v>34977</v>
      </c>
      <c r="AZ4069" s="3" t="s">
        <v>34978</v>
      </c>
      <c r="BA4069" s="3" t="s">
        <v>34978</v>
      </c>
      <c r="BB4069" s="3" t="s">
        <v>34979</v>
      </c>
      <c r="BC4069" s="3" t="s">
        <v>82</v>
      </c>
      <c r="BD4069" s="3" t="s">
        <v>70</v>
      </c>
      <c r="BE4069" s="3" t="s">
        <v>34980</v>
      </c>
      <c r="BF4069" s="3" t="s">
        <v>34979</v>
      </c>
      <c r="BG4069" s="3" t="s">
        <v>34981</v>
      </c>
    </row>
    <row r="4070" spans="1:59" ht="60" x14ac:dyDescent="0.25">
      <c r="A4070" s="2" t="s">
        <v>59</v>
      </c>
      <c r="B4070" s="2" t="s">
        <v>60</v>
      </c>
      <c r="C4070" s="2" t="s">
        <v>34982</v>
      </c>
      <c r="D4070" s="2" t="s">
        <v>34983</v>
      </c>
      <c r="E4070" s="2" t="s">
        <v>34984</v>
      </c>
      <c r="G4070" s="3" t="s">
        <v>63</v>
      </c>
      <c r="I4070" s="3" t="s">
        <v>63</v>
      </c>
      <c r="J4070" s="3" t="s">
        <v>63</v>
      </c>
      <c r="K4070" s="3" t="s">
        <v>64</v>
      </c>
      <c r="L4070" s="2" t="s">
        <v>34974</v>
      </c>
      <c r="M4070" s="2" t="s">
        <v>28638</v>
      </c>
      <c r="N4070" s="3" t="s">
        <v>106</v>
      </c>
      <c r="P4070" s="3" t="s">
        <v>90</v>
      </c>
      <c r="Q4070" s="2" t="s">
        <v>34985</v>
      </c>
      <c r="R4070" s="3" t="s">
        <v>67</v>
      </c>
      <c r="S4070" s="4">
        <v>1</v>
      </c>
      <c r="T4070" s="4">
        <v>1</v>
      </c>
      <c r="U4070" s="5" t="s">
        <v>7802</v>
      </c>
      <c r="V4070" s="5" t="s">
        <v>7802</v>
      </c>
      <c r="W4070" s="5" t="s">
        <v>69</v>
      </c>
      <c r="X4070" s="5" t="s">
        <v>69</v>
      </c>
      <c r="Y4070" s="4">
        <v>36</v>
      </c>
      <c r="Z4070" s="4">
        <v>3</v>
      </c>
      <c r="AA4070" s="4">
        <v>3</v>
      </c>
      <c r="AB4070" s="4">
        <v>1</v>
      </c>
      <c r="AC4070" s="4">
        <v>1</v>
      </c>
      <c r="AD4070" s="4">
        <v>23</v>
      </c>
      <c r="AE4070" s="4">
        <v>23</v>
      </c>
      <c r="AF4070" s="4">
        <v>0</v>
      </c>
      <c r="AG4070" s="4">
        <v>0</v>
      </c>
      <c r="AH4070" s="4">
        <v>22</v>
      </c>
      <c r="AI4070" s="4">
        <v>22</v>
      </c>
      <c r="AJ4070" s="4">
        <v>0</v>
      </c>
      <c r="AK4070" s="4">
        <v>0</v>
      </c>
      <c r="AL4070" s="4">
        <v>17</v>
      </c>
      <c r="AM4070" s="4">
        <v>17</v>
      </c>
      <c r="AN4070" s="4">
        <v>0</v>
      </c>
      <c r="AO4070" s="4">
        <v>0</v>
      </c>
      <c r="AP4070" s="4">
        <v>0</v>
      </c>
      <c r="AQ4070" s="4">
        <v>0</v>
      </c>
      <c r="AR4070" s="3" t="s">
        <v>63</v>
      </c>
      <c r="AS4070" s="3" t="s">
        <v>63</v>
      </c>
      <c r="AT4070" s="3" t="s">
        <v>63</v>
      </c>
      <c r="AV4070" s="6" t="str">
        <f>HYPERLINK("http://mcgill.on.worldcat.org/oclc/945897176","Catalog Record")</f>
        <v>Catalog Record</v>
      </c>
      <c r="AW4070" s="6" t="str">
        <f>HYPERLINK("http://www.worldcat.org/oclc/945897176","WorldCat Record")</f>
        <v>WorldCat Record</v>
      </c>
      <c r="AX4070" s="3" t="s">
        <v>34986</v>
      </c>
      <c r="AY4070" s="3" t="s">
        <v>34987</v>
      </c>
      <c r="AZ4070" s="3" t="s">
        <v>34988</v>
      </c>
      <c r="BA4070" s="3" t="s">
        <v>34988</v>
      </c>
      <c r="BB4070" s="3" t="s">
        <v>34989</v>
      </c>
      <c r="BC4070" s="3" t="s">
        <v>82</v>
      </c>
      <c r="BD4070" s="3" t="s">
        <v>70</v>
      </c>
      <c r="BE4070" s="3" t="s">
        <v>34990</v>
      </c>
      <c r="BF4070" s="3" t="s">
        <v>34989</v>
      </c>
      <c r="BG4070" s="3" t="s">
        <v>34991</v>
      </c>
    </row>
    <row r="4071" spans="1:59" ht="60" x14ac:dyDescent="0.25">
      <c r="A4071" s="2" t="s">
        <v>59</v>
      </c>
      <c r="B4071" s="2" t="s">
        <v>60</v>
      </c>
      <c r="C4071" s="2" t="s">
        <v>34992</v>
      </c>
      <c r="D4071" s="2" t="s">
        <v>34993</v>
      </c>
      <c r="E4071" s="2" t="s">
        <v>34994</v>
      </c>
      <c r="G4071" s="3" t="s">
        <v>63</v>
      </c>
      <c r="I4071" s="3" t="s">
        <v>63</v>
      </c>
      <c r="J4071" s="3" t="s">
        <v>63</v>
      </c>
      <c r="K4071" s="3" t="s">
        <v>64</v>
      </c>
      <c r="L4071" s="2" t="s">
        <v>34974</v>
      </c>
      <c r="M4071" s="2" t="s">
        <v>31581</v>
      </c>
      <c r="N4071" s="3" t="s">
        <v>130</v>
      </c>
      <c r="P4071" s="3" t="s">
        <v>90</v>
      </c>
      <c r="Q4071" s="2" t="s">
        <v>31592</v>
      </c>
      <c r="R4071" s="3" t="s">
        <v>67</v>
      </c>
      <c r="S4071" s="4">
        <v>2</v>
      </c>
      <c r="T4071" s="4">
        <v>2</v>
      </c>
      <c r="U4071" s="5" t="s">
        <v>988</v>
      </c>
      <c r="V4071" s="5" t="s">
        <v>988</v>
      </c>
      <c r="W4071" s="5" t="s">
        <v>69</v>
      </c>
      <c r="X4071" s="5" t="s">
        <v>69</v>
      </c>
      <c r="Y4071" s="4">
        <v>28</v>
      </c>
      <c r="Z4071" s="4">
        <v>3</v>
      </c>
      <c r="AA4071" s="4">
        <v>5</v>
      </c>
      <c r="AB4071" s="4">
        <v>1</v>
      </c>
      <c r="AC4071" s="4">
        <v>1</v>
      </c>
      <c r="AD4071" s="4">
        <v>12</v>
      </c>
      <c r="AE4071" s="4">
        <v>44</v>
      </c>
      <c r="AF4071" s="4">
        <v>0</v>
      </c>
      <c r="AG4071" s="4">
        <v>0</v>
      </c>
      <c r="AH4071" s="4">
        <v>12</v>
      </c>
      <c r="AI4071" s="4">
        <v>43</v>
      </c>
      <c r="AJ4071" s="4">
        <v>1</v>
      </c>
      <c r="AK4071" s="4">
        <v>2</v>
      </c>
      <c r="AL4071" s="4">
        <v>8</v>
      </c>
      <c r="AM4071" s="4">
        <v>33</v>
      </c>
      <c r="AN4071" s="4">
        <v>0</v>
      </c>
      <c r="AO4071" s="4">
        <v>0</v>
      </c>
      <c r="AP4071" s="4">
        <v>1</v>
      </c>
      <c r="AQ4071" s="4">
        <v>2</v>
      </c>
      <c r="AR4071" s="3" t="s">
        <v>63</v>
      </c>
      <c r="AS4071" s="3" t="s">
        <v>63</v>
      </c>
      <c r="AT4071" s="3" t="s">
        <v>63</v>
      </c>
      <c r="AV4071" s="6" t="str">
        <f>HYPERLINK("http://mcgill.on.worldcat.org/oclc/845290317","Catalog Record")</f>
        <v>Catalog Record</v>
      </c>
      <c r="AW4071" s="6" t="str">
        <f>HYPERLINK("http://www.worldcat.org/oclc/845290317","WorldCat Record")</f>
        <v>WorldCat Record</v>
      </c>
      <c r="AX4071" s="3" t="s">
        <v>34995</v>
      </c>
      <c r="AY4071" s="3" t="s">
        <v>34996</v>
      </c>
      <c r="AZ4071" s="3" t="s">
        <v>34997</v>
      </c>
      <c r="BA4071" s="3" t="s">
        <v>34997</v>
      </c>
      <c r="BB4071" s="3" t="s">
        <v>34998</v>
      </c>
      <c r="BC4071" s="3" t="s">
        <v>82</v>
      </c>
      <c r="BD4071" s="3" t="s">
        <v>70</v>
      </c>
      <c r="BE4071" s="3" t="s">
        <v>34999</v>
      </c>
      <c r="BF4071" s="3" t="s">
        <v>34998</v>
      </c>
      <c r="BG4071" s="3" t="s">
        <v>35000</v>
      </c>
    </row>
    <row r="4072" spans="1:59" ht="60" x14ac:dyDescent="0.25">
      <c r="A4072" s="2" t="s">
        <v>59</v>
      </c>
      <c r="B4072" s="2" t="s">
        <v>60</v>
      </c>
      <c r="C4072" s="2" t="s">
        <v>35001</v>
      </c>
      <c r="D4072" s="2" t="s">
        <v>35002</v>
      </c>
      <c r="E4072" s="2" t="s">
        <v>35003</v>
      </c>
      <c r="G4072" s="3" t="s">
        <v>63</v>
      </c>
      <c r="I4072" s="3" t="s">
        <v>63</v>
      </c>
      <c r="J4072" s="3" t="s">
        <v>63</v>
      </c>
      <c r="K4072" s="3" t="s">
        <v>64</v>
      </c>
      <c r="L4072" s="2" t="s">
        <v>35004</v>
      </c>
      <c r="M4072" s="2" t="s">
        <v>30257</v>
      </c>
      <c r="N4072" s="3" t="s">
        <v>76</v>
      </c>
      <c r="P4072" s="3" t="s">
        <v>90</v>
      </c>
      <c r="Q4072" s="2" t="s">
        <v>28975</v>
      </c>
      <c r="R4072" s="3" t="s">
        <v>67</v>
      </c>
      <c r="S4072" s="4">
        <v>1</v>
      </c>
      <c r="T4072" s="4">
        <v>1</v>
      </c>
      <c r="U4072" s="5" t="s">
        <v>24495</v>
      </c>
      <c r="V4072" s="5" t="s">
        <v>24495</v>
      </c>
      <c r="W4072" s="5" t="s">
        <v>69</v>
      </c>
      <c r="X4072" s="5" t="s">
        <v>69</v>
      </c>
      <c r="Y4072" s="4">
        <v>20</v>
      </c>
      <c r="Z4072" s="4">
        <v>3</v>
      </c>
      <c r="AA4072" s="4">
        <v>3</v>
      </c>
      <c r="AB4072" s="4">
        <v>1</v>
      </c>
      <c r="AC4072" s="4">
        <v>1</v>
      </c>
      <c r="AD4072" s="4">
        <v>13</v>
      </c>
      <c r="AE4072" s="4">
        <v>13</v>
      </c>
      <c r="AF4072" s="4">
        <v>0</v>
      </c>
      <c r="AG4072" s="4">
        <v>0</v>
      </c>
      <c r="AH4072" s="4">
        <v>12</v>
      </c>
      <c r="AI4072" s="4">
        <v>12</v>
      </c>
      <c r="AJ4072" s="4">
        <v>1</v>
      </c>
      <c r="AK4072" s="4">
        <v>1</v>
      </c>
      <c r="AL4072" s="4">
        <v>10</v>
      </c>
      <c r="AM4072" s="4">
        <v>10</v>
      </c>
      <c r="AN4072" s="4">
        <v>0</v>
      </c>
      <c r="AO4072" s="4">
        <v>0</v>
      </c>
      <c r="AP4072" s="4">
        <v>1</v>
      </c>
      <c r="AQ4072" s="4">
        <v>1</v>
      </c>
      <c r="AR4072" s="3" t="s">
        <v>63</v>
      </c>
      <c r="AS4072" s="3" t="s">
        <v>63</v>
      </c>
      <c r="AT4072" s="3" t="s">
        <v>63</v>
      </c>
      <c r="AV4072" s="6" t="str">
        <f>HYPERLINK("http://mcgill.on.worldcat.org/oclc/795128969","Catalog Record")</f>
        <v>Catalog Record</v>
      </c>
      <c r="AW4072" s="6" t="str">
        <f>HYPERLINK("http://www.worldcat.org/oclc/795128969","WorldCat Record")</f>
        <v>WorldCat Record</v>
      </c>
      <c r="AX4072" s="3" t="s">
        <v>35005</v>
      </c>
      <c r="AY4072" s="3" t="s">
        <v>35006</v>
      </c>
      <c r="AZ4072" s="3" t="s">
        <v>35007</v>
      </c>
      <c r="BA4072" s="3" t="s">
        <v>35007</v>
      </c>
      <c r="BB4072" s="3" t="s">
        <v>35008</v>
      </c>
      <c r="BC4072" s="3" t="s">
        <v>82</v>
      </c>
      <c r="BD4072" s="3" t="s">
        <v>70</v>
      </c>
      <c r="BE4072" s="3" t="s">
        <v>35009</v>
      </c>
      <c r="BF4072" s="3" t="s">
        <v>35008</v>
      </c>
      <c r="BG4072" s="3" t="s">
        <v>35010</v>
      </c>
    </row>
    <row r="4073" spans="1:59" ht="60" x14ac:dyDescent="0.25">
      <c r="A4073" s="2" t="s">
        <v>59</v>
      </c>
      <c r="B4073" s="2" t="s">
        <v>60</v>
      </c>
      <c r="C4073" s="2" t="s">
        <v>35011</v>
      </c>
      <c r="D4073" s="2" t="s">
        <v>35012</v>
      </c>
      <c r="E4073" s="2" t="s">
        <v>35013</v>
      </c>
      <c r="G4073" s="3" t="s">
        <v>63</v>
      </c>
      <c r="I4073" s="3" t="s">
        <v>63</v>
      </c>
      <c r="J4073" s="3" t="s">
        <v>63</v>
      </c>
      <c r="K4073" s="3" t="s">
        <v>64</v>
      </c>
      <c r="L4073" s="2" t="s">
        <v>35014</v>
      </c>
      <c r="M4073" s="2" t="s">
        <v>6355</v>
      </c>
      <c r="N4073" s="3" t="s">
        <v>2765</v>
      </c>
      <c r="P4073" s="3" t="s">
        <v>90</v>
      </c>
      <c r="Q4073" s="2" t="s">
        <v>29586</v>
      </c>
      <c r="R4073" s="3" t="s">
        <v>67</v>
      </c>
      <c r="S4073" s="4">
        <v>0</v>
      </c>
      <c r="T4073" s="4">
        <v>0</v>
      </c>
      <c r="W4073" s="5" t="s">
        <v>69</v>
      </c>
      <c r="X4073" s="5" t="s">
        <v>69</v>
      </c>
      <c r="Y4073" s="4">
        <v>25</v>
      </c>
      <c r="Z4073" s="4">
        <v>3</v>
      </c>
      <c r="AA4073" s="4">
        <v>3</v>
      </c>
      <c r="AB4073" s="4">
        <v>1</v>
      </c>
      <c r="AC4073" s="4">
        <v>1</v>
      </c>
      <c r="AD4073" s="4">
        <v>19</v>
      </c>
      <c r="AE4073" s="4">
        <v>19</v>
      </c>
      <c r="AF4073" s="4">
        <v>0</v>
      </c>
      <c r="AG4073" s="4">
        <v>0</v>
      </c>
      <c r="AH4073" s="4">
        <v>19</v>
      </c>
      <c r="AI4073" s="4">
        <v>19</v>
      </c>
      <c r="AJ4073" s="4">
        <v>1</v>
      </c>
      <c r="AK4073" s="4">
        <v>1</v>
      </c>
      <c r="AL4073" s="4">
        <v>13</v>
      </c>
      <c r="AM4073" s="4">
        <v>13</v>
      </c>
      <c r="AN4073" s="4">
        <v>0</v>
      </c>
      <c r="AO4073" s="4">
        <v>0</v>
      </c>
      <c r="AP4073" s="4">
        <v>1</v>
      </c>
      <c r="AQ4073" s="4">
        <v>1</v>
      </c>
      <c r="AR4073" s="3" t="s">
        <v>63</v>
      </c>
      <c r="AS4073" s="3" t="s">
        <v>63</v>
      </c>
      <c r="AT4073" s="3" t="s">
        <v>63</v>
      </c>
      <c r="AV4073" s="6" t="str">
        <f>HYPERLINK("http://mcgill.on.worldcat.org/oclc/922082307","Catalog Record")</f>
        <v>Catalog Record</v>
      </c>
      <c r="AW4073" s="6" t="str">
        <f>HYPERLINK("http://www.worldcat.org/oclc/922082307","WorldCat Record")</f>
        <v>WorldCat Record</v>
      </c>
      <c r="AX4073" s="3" t="s">
        <v>35015</v>
      </c>
      <c r="AY4073" s="3" t="s">
        <v>35016</v>
      </c>
      <c r="AZ4073" s="3" t="s">
        <v>35017</v>
      </c>
      <c r="BA4073" s="3" t="s">
        <v>35017</v>
      </c>
      <c r="BB4073" s="3" t="s">
        <v>35018</v>
      </c>
      <c r="BC4073" s="3" t="s">
        <v>82</v>
      </c>
      <c r="BD4073" s="3" t="s">
        <v>70</v>
      </c>
      <c r="BE4073" s="3" t="s">
        <v>35019</v>
      </c>
      <c r="BF4073" s="3" t="s">
        <v>35018</v>
      </c>
      <c r="BG4073" s="3" t="s">
        <v>35020</v>
      </c>
    </row>
    <row r="4074" spans="1:59" ht="60" x14ac:dyDescent="0.25">
      <c r="A4074" s="2" t="s">
        <v>59</v>
      </c>
      <c r="B4074" s="2" t="s">
        <v>60</v>
      </c>
      <c r="C4074" s="2" t="s">
        <v>35021</v>
      </c>
      <c r="D4074" s="2" t="s">
        <v>35022</v>
      </c>
      <c r="E4074" s="2" t="s">
        <v>35023</v>
      </c>
      <c r="G4074" s="3" t="s">
        <v>63</v>
      </c>
      <c r="I4074" s="3" t="s">
        <v>62</v>
      </c>
      <c r="J4074" s="3" t="s">
        <v>63</v>
      </c>
      <c r="K4074" s="3" t="s">
        <v>64</v>
      </c>
      <c r="L4074" s="2" t="s">
        <v>35024</v>
      </c>
      <c r="M4074" s="2" t="s">
        <v>35025</v>
      </c>
      <c r="N4074" s="3" t="s">
        <v>106</v>
      </c>
      <c r="P4074" s="3" t="s">
        <v>90</v>
      </c>
      <c r="R4074" s="3" t="s">
        <v>67</v>
      </c>
      <c r="S4074" s="4">
        <v>2</v>
      </c>
      <c r="T4074" s="4">
        <v>2</v>
      </c>
      <c r="U4074" s="5" t="s">
        <v>7107</v>
      </c>
      <c r="V4074" s="5" t="s">
        <v>7107</v>
      </c>
      <c r="W4074" s="5" t="s">
        <v>69</v>
      </c>
      <c r="X4074" s="5" t="s">
        <v>69</v>
      </c>
      <c r="Y4074" s="4">
        <v>4</v>
      </c>
      <c r="Z4074" s="4">
        <v>1</v>
      </c>
      <c r="AA4074" s="4">
        <v>1</v>
      </c>
      <c r="AB4074" s="4">
        <v>1</v>
      </c>
      <c r="AC4074" s="4">
        <v>1</v>
      </c>
      <c r="AD4074" s="4">
        <v>3</v>
      </c>
      <c r="AE4074" s="4">
        <v>3</v>
      </c>
      <c r="AF4074" s="4">
        <v>0</v>
      </c>
      <c r="AG4074" s="4">
        <v>0</v>
      </c>
      <c r="AH4074" s="4">
        <v>3</v>
      </c>
      <c r="AI4074" s="4">
        <v>3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3" t="s">
        <v>63</v>
      </c>
      <c r="AS4074" s="3" t="s">
        <v>63</v>
      </c>
      <c r="AT4074" s="3" t="s">
        <v>63</v>
      </c>
      <c r="AV4074" s="6" t="str">
        <f>HYPERLINK("http://mcgill.on.worldcat.org/oclc/944349239","Catalog Record")</f>
        <v>Catalog Record</v>
      </c>
      <c r="AW4074" s="6" t="str">
        <f>HYPERLINK("http://www.worldcat.org/oclc/944349239","WorldCat Record")</f>
        <v>WorldCat Record</v>
      </c>
      <c r="AX4074" s="3" t="s">
        <v>35026</v>
      </c>
      <c r="AY4074" s="3" t="s">
        <v>35027</v>
      </c>
      <c r="AZ4074" s="3" t="s">
        <v>35028</v>
      </c>
      <c r="BA4074" s="3" t="s">
        <v>35028</v>
      </c>
      <c r="BB4074" s="3" t="s">
        <v>35029</v>
      </c>
      <c r="BC4074" s="3" t="s">
        <v>82</v>
      </c>
      <c r="BD4074" s="3" t="s">
        <v>70</v>
      </c>
      <c r="BE4074" s="3" t="s">
        <v>35030</v>
      </c>
      <c r="BF4074" s="3" t="s">
        <v>35029</v>
      </c>
      <c r="BG4074" s="3" t="s">
        <v>35031</v>
      </c>
    </row>
    <row r="4075" spans="1:59" ht="60" x14ac:dyDescent="0.25">
      <c r="A4075" s="2" t="s">
        <v>59</v>
      </c>
      <c r="B4075" s="2" t="s">
        <v>60</v>
      </c>
      <c r="C4075" s="2" t="s">
        <v>35035</v>
      </c>
      <c r="D4075" s="2" t="s">
        <v>35036</v>
      </c>
      <c r="E4075" s="2" t="s">
        <v>35037</v>
      </c>
      <c r="G4075" s="3" t="s">
        <v>63</v>
      </c>
      <c r="I4075" s="3" t="s">
        <v>63</v>
      </c>
      <c r="J4075" s="3" t="s">
        <v>63</v>
      </c>
      <c r="K4075" s="3" t="s">
        <v>64</v>
      </c>
      <c r="L4075" s="2" t="s">
        <v>35038</v>
      </c>
      <c r="M4075" s="2" t="s">
        <v>30786</v>
      </c>
      <c r="N4075" s="3" t="s">
        <v>106</v>
      </c>
      <c r="P4075" s="3" t="s">
        <v>90</v>
      </c>
      <c r="Q4075" s="2" t="s">
        <v>34730</v>
      </c>
      <c r="R4075" s="3" t="s">
        <v>67</v>
      </c>
      <c r="S4075" s="4">
        <v>0</v>
      </c>
      <c r="T4075" s="4">
        <v>0</v>
      </c>
      <c r="W4075" s="5" t="s">
        <v>69</v>
      </c>
      <c r="X4075" s="5" t="s">
        <v>69</v>
      </c>
      <c r="Y4075" s="4">
        <v>56</v>
      </c>
      <c r="Z4075" s="4">
        <v>3</v>
      </c>
      <c r="AA4075" s="4">
        <v>3</v>
      </c>
      <c r="AB4075" s="4">
        <v>1</v>
      </c>
      <c r="AC4075" s="4">
        <v>1</v>
      </c>
      <c r="AD4075" s="4">
        <v>38</v>
      </c>
      <c r="AE4075" s="4">
        <v>38</v>
      </c>
      <c r="AF4075" s="4">
        <v>0</v>
      </c>
      <c r="AG4075" s="4">
        <v>0</v>
      </c>
      <c r="AH4075" s="4">
        <v>37</v>
      </c>
      <c r="AI4075" s="4">
        <v>37</v>
      </c>
      <c r="AJ4075" s="4">
        <v>1</v>
      </c>
      <c r="AK4075" s="4">
        <v>1</v>
      </c>
      <c r="AL4075" s="4">
        <v>29</v>
      </c>
      <c r="AM4075" s="4">
        <v>29</v>
      </c>
      <c r="AN4075" s="4">
        <v>0</v>
      </c>
      <c r="AO4075" s="4">
        <v>0</v>
      </c>
      <c r="AP4075" s="4">
        <v>1</v>
      </c>
      <c r="AQ4075" s="4">
        <v>1</v>
      </c>
      <c r="AR4075" s="3" t="s">
        <v>63</v>
      </c>
      <c r="AS4075" s="3" t="s">
        <v>63</v>
      </c>
      <c r="AT4075" s="3" t="s">
        <v>63</v>
      </c>
      <c r="AV4075" s="6" t="str">
        <f>HYPERLINK("http://mcgill.on.worldcat.org/oclc/950002446","Catalog Record")</f>
        <v>Catalog Record</v>
      </c>
      <c r="AW4075" s="6" t="str">
        <f>HYPERLINK("http://www.worldcat.org/oclc/950002446","WorldCat Record")</f>
        <v>WorldCat Record</v>
      </c>
      <c r="AX4075" s="3" t="s">
        <v>35039</v>
      </c>
      <c r="AY4075" s="3" t="s">
        <v>35040</v>
      </c>
      <c r="AZ4075" s="3" t="s">
        <v>35041</v>
      </c>
      <c r="BA4075" s="3" t="s">
        <v>35041</v>
      </c>
      <c r="BB4075" s="3" t="s">
        <v>35042</v>
      </c>
      <c r="BC4075" s="3" t="s">
        <v>82</v>
      </c>
      <c r="BD4075" s="3" t="s">
        <v>70</v>
      </c>
      <c r="BE4075" s="3" t="s">
        <v>35043</v>
      </c>
      <c r="BF4075" s="3" t="s">
        <v>35042</v>
      </c>
      <c r="BG4075" s="3" t="s">
        <v>35044</v>
      </c>
    </row>
    <row r="4076" spans="1:59" ht="60" x14ac:dyDescent="0.25">
      <c r="A4076" s="2" t="s">
        <v>59</v>
      </c>
      <c r="B4076" s="2" t="s">
        <v>60</v>
      </c>
      <c r="C4076" s="2" t="s">
        <v>35045</v>
      </c>
      <c r="D4076" s="2" t="s">
        <v>35046</v>
      </c>
      <c r="E4076" s="2" t="s">
        <v>35047</v>
      </c>
      <c r="G4076" s="3" t="s">
        <v>63</v>
      </c>
      <c r="I4076" s="3" t="s">
        <v>63</v>
      </c>
      <c r="J4076" s="3" t="s">
        <v>63</v>
      </c>
      <c r="K4076" s="3" t="s">
        <v>64</v>
      </c>
      <c r="L4076" s="2" t="s">
        <v>35038</v>
      </c>
      <c r="M4076" s="2" t="s">
        <v>22532</v>
      </c>
      <c r="N4076" s="3" t="s">
        <v>629</v>
      </c>
      <c r="P4076" s="3" t="s">
        <v>90</v>
      </c>
      <c r="R4076" s="3" t="s">
        <v>67</v>
      </c>
      <c r="S4076" s="4">
        <v>1</v>
      </c>
      <c r="T4076" s="4">
        <v>1</v>
      </c>
      <c r="U4076" s="5" t="s">
        <v>15042</v>
      </c>
      <c r="V4076" s="5" t="s">
        <v>15042</v>
      </c>
      <c r="W4076" s="5" t="s">
        <v>69</v>
      </c>
      <c r="X4076" s="5" t="s">
        <v>69</v>
      </c>
      <c r="Y4076" s="4">
        <v>34</v>
      </c>
      <c r="Z4076" s="4">
        <v>6</v>
      </c>
      <c r="AA4076" s="4">
        <v>6</v>
      </c>
      <c r="AB4076" s="4">
        <v>1</v>
      </c>
      <c r="AC4076" s="4">
        <v>1</v>
      </c>
      <c r="AD4076" s="4">
        <v>25</v>
      </c>
      <c r="AE4076" s="4">
        <v>25</v>
      </c>
      <c r="AF4076" s="4">
        <v>0</v>
      </c>
      <c r="AG4076" s="4">
        <v>0</v>
      </c>
      <c r="AH4076" s="4">
        <v>25</v>
      </c>
      <c r="AI4076" s="4">
        <v>25</v>
      </c>
      <c r="AJ4076" s="4">
        <v>3</v>
      </c>
      <c r="AK4076" s="4">
        <v>3</v>
      </c>
      <c r="AL4076" s="4">
        <v>17</v>
      </c>
      <c r="AM4076" s="4">
        <v>17</v>
      </c>
      <c r="AN4076" s="4">
        <v>0</v>
      </c>
      <c r="AO4076" s="4">
        <v>0</v>
      </c>
      <c r="AP4076" s="4">
        <v>3</v>
      </c>
      <c r="AQ4076" s="4">
        <v>3</v>
      </c>
      <c r="AR4076" s="3" t="s">
        <v>63</v>
      </c>
      <c r="AS4076" s="3" t="s">
        <v>63</v>
      </c>
      <c r="AT4076" s="3" t="s">
        <v>63</v>
      </c>
      <c r="AV4076" s="6" t="str">
        <f>HYPERLINK("http://mcgill.on.worldcat.org/oclc/779583070","Catalog Record")</f>
        <v>Catalog Record</v>
      </c>
      <c r="AW4076" s="6" t="str">
        <f>HYPERLINK("http://www.worldcat.org/oclc/779583070","WorldCat Record")</f>
        <v>WorldCat Record</v>
      </c>
      <c r="AX4076" s="3" t="s">
        <v>35048</v>
      </c>
      <c r="AY4076" s="3" t="s">
        <v>35049</v>
      </c>
      <c r="AZ4076" s="3" t="s">
        <v>35050</v>
      </c>
      <c r="BA4076" s="3" t="s">
        <v>35050</v>
      </c>
      <c r="BB4076" s="3" t="s">
        <v>35051</v>
      </c>
      <c r="BC4076" s="3" t="s">
        <v>82</v>
      </c>
      <c r="BD4076" s="3" t="s">
        <v>70</v>
      </c>
      <c r="BE4076" s="3" t="s">
        <v>35052</v>
      </c>
      <c r="BF4076" s="3" t="s">
        <v>35051</v>
      </c>
      <c r="BG4076" s="3" t="s">
        <v>35053</v>
      </c>
    </row>
    <row r="4077" spans="1:59" ht="60" x14ac:dyDescent="0.25">
      <c r="A4077" s="2" t="s">
        <v>59</v>
      </c>
      <c r="B4077" s="2" t="s">
        <v>60</v>
      </c>
      <c r="C4077" s="2" t="s">
        <v>35032</v>
      </c>
      <c r="D4077" s="2" t="s">
        <v>35022</v>
      </c>
      <c r="E4077" s="2" t="s">
        <v>35023</v>
      </c>
      <c r="G4077" s="3" t="s">
        <v>63</v>
      </c>
      <c r="I4077" s="3" t="s">
        <v>62</v>
      </c>
      <c r="J4077" s="3" t="s">
        <v>63</v>
      </c>
      <c r="K4077" s="3" t="s">
        <v>64</v>
      </c>
      <c r="L4077" s="2" t="s">
        <v>35024</v>
      </c>
      <c r="M4077" s="2" t="s">
        <v>35025</v>
      </c>
      <c r="N4077" s="3" t="s">
        <v>106</v>
      </c>
      <c r="P4077" s="3" t="s">
        <v>90</v>
      </c>
      <c r="R4077" s="3" t="s">
        <v>67</v>
      </c>
      <c r="S4077" s="4">
        <v>0</v>
      </c>
      <c r="T4077" s="4">
        <v>2</v>
      </c>
      <c r="V4077" s="5" t="s">
        <v>7107</v>
      </c>
      <c r="W4077" s="5" t="s">
        <v>69</v>
      </c>
      <c r="X4077" s="5" t="s">
        <v>69</v>
      </c>
      <c r="Y4077" s="4">
        <v>4</v>
      </c>
      <c r="Z4077" s="4">
        <v>1</v>
      </c>
      <c r="AA4077" s="4">
        <v>1</v>
      </c>
      <c r="AB4077" s="4">
        <v>1</v>
      </c>
      <c r="AC4077" s="4">
        <v>1</v>
      </c>
      <c r="AD4077" s="4">
        <v>3</v>
      </c>
      <c r="AE4077" s="4">
        <v>3</v>
      </c>
      <c r="AF4077" s="4">
        <v>0</v>
      </c>
      <c r="AG4077" s="4">
        <v>0</v>
      </c>
      <c r="AH4077" s="4">
        <v>3</v>
      </c>
      <c r="AI4077" s="4">
        <v>3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3" t="s">
        <v>63</v>
      </c>
      <c r="AS4077" s="3" t="s">
        <v>63</v>
      </c>
      <c r="AT4077" s="3" t="s">
        <v>63</v>
      </c>
      <c r="AV4077" s="6" t="str">
        <f>HYPERLINK("http://mcgill.on.worldcat.org/oclc/944349239","Catalog Record")</f>
        <v>Catalog Record</v>
      </c>
      <c r="AW4077" s="6" t="str">
        <f>HYPERLINK("http://www.worldcat.org/oclc/944349239","WorldCat Record")</f>
        <v>WorldCat Record</v>
      </c>
      <c r="AX4077" s="3" t="s">
        <v>35026</v>
      </c>
      <c r="AY4077" s="3" t="s">
        <v>35027</v>
      </c>
      <c r="AZ4077" s="3" t="s">
        <v>35028</v>
      </c>
      <c r="BA4077" s="3" t="s">
        <v>35028</v>
      </c>
      <c r="BB4077" s="3" t="s">
        <v>35033</v>
      </c>
      <c r="BC4077" s="3" t="s">
        <v>82</v>
      </c>
      <c r="BD4077" s="3" t="s">
        <v>70</v>
      </c>
      <c r="BE4077" s="3" t="s">
        <v>35030</v>
      </c>
      <c r="BF4077" s="3" t="s">
        <v>35033</v>
      </c>
      <c r="BG4077" s="3" t="s">
        <v>35034</v>
      </c>
    </row>
    <row r="4078" spans="1:59" ht="60" x14ac:dyDescent="0.25">
      <c r="A4078" s="2" t="s">
        <v>59</v>
      </c>
      <c r="B4078" s="2" t="s">
        <v>60</v>
      </c>
      <c r="C4078" s="2" t="s">
        <v>35054</v>
      </c>
      <c r="D4078" s="2" t="s">
        <v>35055</v>
      </c>
      <c r="E4078" s="2" t="s">
        <v>35056</v>
      </c>
      <c r="G4078" s="3" t="s">
        <v>63</v>
      </c>
      <c r="I4078" s="3" t="s">
        <v>63</v>
      </c>
      <c r="J4078" s="3" t="s">
        <v>63</v>
      </c>
      <c r="K4078" s="3" t="s">
        <v>64</v>
      </c>
      <c r="L4078" s="2" t="s">
        <v>35057</v>
      </c>
      <c r="M4078" s="2" t="s">
        <v>9411</v>
      </c>
      <c r="N4078" s="3" t="s">
        <v>143</v>
      </c>
      <c r="P4078" s="3" t="s">
        <v>66</v>
      </c>
      <c r="Q4078" s="2" t="s">
        <v>35058</v>
      </c>
      <c r="R4078" s="3" t="s">
        <v>67</v>
      </c>
      <c r="S4078" s="4">
        <v>0</v>
      </c>
      <c r="T4078" s="4">
        <v>0</v>
      </c>
      <c r="W4078" s="5" t="s">
        <v>69</v>
      </c>
      <c r="X4078" s="5" t="s">
        <v>69</v>
      </c>
      <c r="Y4078" s="4">
        <v>97</v>
      </c>
      <c r="Z4078" s="4">
        <v>7</v>
      </c>
      <c r="AA4078" s="4">
        <v>7</v>
      </c>
      <c r="AB4078" s="4">
        <v>1</v>
      </c>
      <c r="AC4078" s="4">
        <v>1</v>
      </c>
      <c r="AD4078" s="4">
        <v>53</v>
      </c>
      <c r="AE4078" s="4">
        <v>53</v>
      </c>
      <c r="AF4078" s="4">
        <v>0</v>
      </c>
      <c r="AG4078" s="4">
        <v>0</v>
      </c>
      <c r="AH4078" s="4">
        <v>50</v>
      </c>
      <c r="AI4078" s="4">
        <v>50</v>
      </c>
      <c r="AJ4078" s="4">
        <v>5</v>
      </c>
      <c r="AK4078" s="4">
        <v>5</v>
      </c>
      <c r="AL4078" s="4">
        <v>38</v>
      </c>
      <c r="AM4078" s="4">
        <v>38</v>
      </c>
      <c r="AN4078" s="4">
        <v>0</v>
      </c>
      <c r="AO4078" s="4">
        <v>0</v>
      </c>
      <c r="AP4078" s="4">
        <v>5</v>
      </c>
      <c r="AQ4078" s="4">
        <v>5</v>
      </c>
      <c r="AR4078" s="3" t="s">
        <v>63</v>
      </c>
      <c r="AS4078" s="3" t="s">
        <v>63</v>
      </c>
      <c r="AT4078" s="3" t="s">
        <v>63</v>
      </c>
      <c r="AV4078" s="6" t="str">
        <f>HYPERLINK("http://mcgill.on.worldcat.org/oclc/858603316","Catalog Record")</f>
        <v>Catalog Record</v>
      </c>
      <c r="AW4078" s="6" t="str">
        <f>HYPERLINK("http://www.worldcat.org/oclc/858603316","WorldCat Record")</f>
        <v>WorldCat Record</v>
      </c>
      <c r="AX4078" s="3" t="s">
        <v>35059</v>
      </c>
      <c r="AY4078" s="3" t="s">
        <v>35060</v>
      </c>
      <c r="AZ4078" s="3" t="s">
        <v>35061</v>
      </c>
      <c r="BA4078" s="3" t="s">
        <v>35061</v>
      </c>
      <c r="BB4078" s="3" t="s">
        <v>35062</v>
      </c>
      <c r="BC4078" s="3" t="s">
        <v>82</v>
      </c>
      <c r="BD4078" s="3" t="s">
        <v>70</v>
      </c>
      <c r="BE4078" s="3" t="s">
        <v>35063</v>
      </c>
      <c r="BF4078" s="3" t="s">
        <v>35062</v>
      </c>
      <c r="BG4078" s="3" t="s">
        <v>35064</v>
      </c>
    </row>
    <row r="4079" spans="1:59" ht="60" x14ac:dyDescent="0.25">
      <c r="A4079" s="2" t="s">
        <v>59</v>
      </c>
      <c r="B4079" s="2" t="s">
        <v>60</v>
      </c>
      <c r="C4079" s="2" t="s">
        <v>35065</v>
      </c>
      <c r="D4079" s="2" t="s">
        <v>35066</v>
      </c>
      <c r="E4079" s="2" t="s">
        <v>35067</v>
      </c>
      <c r="G4079" s="3" t="s">
        <v>63</v>
      </c>
      <c r="I4079" s="3" t="s">
        <v>63</v>
      </c>
      <c r="J4079" s="3" t="s">
        <v>63</v>
      </c>
      <c r="K4079" s="3" t="s">
        <v>64</v>
      </c>
      <c r="L4079" s="2" t="s">
        <v>35068</v>
      </c>
      <c r="M4079" s="2" t="s">
        <v>35069</v>
      </c>
      <c r="N4079" s="3" t="s">
        <v>76</v>
      </c>
      <c r="P4079" s="3" t="s">
        <v>90</v>
      </c>
      <c r="Q4079" s="2" t="s">
        <v>35070</v>
      </c>
      <c r="R4079" s="3" t="s">
        <v>67</v>
      </c>
      <c r="S4079" s="4">
        <v>2</v>
      </c>
      <c r="T4079" s="4">
        <v>2</v>
      </c>
      <c r="U4079" s="5" t="s">
        <v>33813</v>
      </c>
      <c r="V4079" s="5" t="s">
        <v>33813</v>
      </c>
      <c r="W4079" s="5" t="s">
        <v>69</v>
      </c>
      <c r="X4079" s="5" t="s">
        <v>69</v>
      </c>
      <c r="Y4079" s="4">
        <v>35</v>
      </c>
      <c r="Z4079" s="4">
        <v>1</v>
      </c>
      <c r="AA4079" s="4">
        <v>3</v>
      </c>
      <c r="AB4079" s="4">
        <v>1</v>
      </c>
      <c r="AC4079" s="4">
        <v>1</v>
      </c>
      <c r="AD4079" s="4">
        <v>14</v>
      </c>
      <c r="AE4079" s="4">
        <v>16</v>
      </c>
      <c r="AF4079" s="4">
        <v>0</v>
      </c>
      <c r="AG4079" s="4">
        <v>0</v>
      </c>
      <c r="AH4079" s="4">
        <v>13</v>
      </c>
      <c r="AI4079" s="4">
        <v>15</v>
      </c>
      <c r="AJ4079" s="4">
        <v>0</v>
      </c>
      <c r="AK4079" s="4">
        <v>1</v>
      </c>
      <c r="AL4079" s="4">
        <v>11</v>
      </c>
      <c r="AM4079" s="4">
        <v>13</v>
      </c>
      <c r="AN4079" s="4">
        <v>0</v>
      </c>
      <c r="AO4079" s="4">
        <v>0</v>
      </c>
      <c r="AP4079" s="4">
        <v>0</v>
      </c>
      <c r="AQ4079" s="4">
        <v>1</v>
      </c>
      <c r="AR4079" s="3" t="s">
        <v>63</v>
      </c>
      <c r="AS4079" s="3" t="s">
        <v>63</v>
      </c>
      <c r="AT4079" s="3" t="s">
        <v>63</v>
      </c>
      <c r="AV4079" s="6" t="str">
        <f>HYPERLINK("http://mcgill.on.worldcat.org/oclc/796208632","Catalog Record")</f>
        <v>Catalog Record</v>
      </c>
      <c r="AW4079" s="6" t="str">
        <f>HYPERLINK("http://www.worldcat.org/oclc/796208632","WorldCat Record")</f>
        <v>WorldCat Record</v>
      </c>
      <c r="AX4079" s="3" t="s">
        <v>35071</v>
      </c>
      <c r="AY4079" s="3" t="s">
        <v>35072</v>
      </c>
      <c r="AZ4079" s="3" t="s">
        <v>35073</v>
      </c>
      <c r="BA4079" s="3" t="s">
        <v>35073</v>
      </c>
      <c r="BB4079" s="3" t="s">
        <v>35074</v>
      </c>
      <c r="BC4079" s="3" t="s">
        <v>82</v>
      </c>
      <c r="BD4079" s="3" t="s">
        <v>70</v>
      </c>
      <c r="BE4079" s="3" t="s">
        <v>35075</v>
      </c>
      <c r="BF4079" s="3" t="s">
        <v>35074</v>
      </c>
      <c r="BG4079" s="3" t="s">
        <v>35076</v>
      </c>
    </row>
    <row r="4080" spans="1:59" ht="75" x14ac:dyDescent="0.25">
      <c r="A4080" s="2" t="s">
        <v>59</v>
      </c>
      <c r="B4080" s="2" t="s">
        <v>60</v>
      </c>
      <c r="C4080" s="2" t="s">
        <v>35077</v>
      </c>
      <c r="D4080" s="2" t="s">
        <v>35078</v>
      </c>
      <c r="E4080" s="2" t="s">
        <v>35079</v>
      </c>
      <c r="G4080" s="3" t="s">
        <v>63</v>
      </c>
      <c r="I4080" s="3" t="s">
        <v>63</v>
      </c>
      <c r="J4080" s="3" t="s">
        <v>63</v>
      </c>
      <c r="K4080" s="3" t="s">
        <v>64</v>
      </c>
      <c r="L4080" s="2" t="s">
        <v>35080</v>
      </c>
      <c r="M4080" s="2" t="s">
        <v>35081</v>
      </c>
      <c r="N4080" s="3" t="s">
        <v>1557</v>
      </c>
      <c r="P4080" s="3" t="s">
        <v>66</v>
      </c>
      <c r="R4080" s="3" t="s">
        <v>67</v>
      </c>
      <c r="S4080" s="4">
        <v>0</v>
      </c>
      <c r="T4080" s="4">
        <v>0</v>
      </c>
      <c r="W4080" s="5" t="s">
        <v>69</v>
      </c>
      <c r="X4080" s="5" t="s">
        <v>69</v>
      </c>
      <c r="Y4080" s="4">
        <v>361</v>
      </c>
      <c r="Z4080" s="4">
        <v>8</v>
      </c>
      <c r="AA4080" s="4">
        <v>13</v>
      </c>
      <c r="AB4080" s="4">
        <v>2</v>
      </c>
      <c r="AC4080" s="4">
        <v>5</v>
      </c>
      <c r="AD4080" s="4">
        <v>46</v>
      </c>
      <c r="AE4080" s="4">
        <v>55</v>
      </c>
      <c r="AF4080" s="4">
        <v>0</v>
      </c>
      <c r="AG4080" s="4">
        <v>0</v>
      </c>
      <c r="AH4080" s="4">
        <v>44</v>
      </c>
      <c r="AI4080" s="4">
        <v>52</v>
      </c>
      <c r="AJ4080" s="4">
        <v>2</v>
      </c>
      <c r="AK4080" s="4">
        <v>4</v>
      </c>
      <c r="AL4080" s="4">
        <v>31</v>
      </c>
      <c r="AM4080" s="4">
        <v>35</v>
      </c>
      <c r="AN4080" s="4">
        <v>0</v>
      </c>
      <c r="AO4080" s="4">
        <v>0</v>
      </c>
      <c r="AP4080" s="4">
        <v>2</v>
      </c>
      <c r="AQ4080" s="4">
        <v>4</v>
      </c>
      <c r="AR4080" s="3" t="s">
        <v>63</v>
      </c>
      <c r="AS4080" s="3" t="s">
        <v>63</v>
      </c>
      <c r="AT4080" s="3" t="s">
        <v>63</v>
      </c>
      <c r="AV4080" s="6" t="str">
        <f>HYPERLINK("http://mcgill.on.worldcat.org/oclc/945949040","Catalog Record")</f>
        <v>Catalog Record</v>
      </c>
      <c r="AW4080" s="6" t="str">
        <f>HYPERLINK("http://www.worldcat.org/oclc/945949040","WorldCat Record")</f>
        <v>WorldCat Record</v>
      </c>
      <c r="AX4080" s="3" t="s">
        <v>35082</v>
      </c>
      <c r="AY4080" s="3" t="s">
        <v>35083</v>
      </c>
      <c r="AZ4080" s="3" t="s">
        <v>35084</v>
      </c>
      <c r="BA4080" s="3" t="s">
        <v>35084</v>
      </c>
      <c r="BB4080" s="3" t="s">
        <v>35085</v>
      </c>
      <c r="BC4080" s="3" t="s">
        <v>82</v>
      </c>
      <c r="BD4080" s="3" t="s">
        <v>70</v>
      </c>
      <c r="BE4080" s="3" t="s">
        <v>35086</v>
      </c>
      <c r="BF4080" s="3" t="s">
        <v>35085</v>
      </c>
      <c r="BG4080" s="3" t="s">
        <v>35087</v>
      </c>
    </row>
    <row r="4081" spans="1:59" ht="75" x14ac:dyDescent="0.25">
      <c r="A4081" s="2" t="s">
        <v>59</v>
      </c>
      <c r="B4081" s="2" t="s">
        <v>60</v>
      </c>
      <c r="C4081" s="2" t="s">
        <v>35088</v>
      </c>
      <c r="D4081" s="2" t="s">
        <v>35089</v>
      </c>
      <c r="E4081" s="2" t="s">
        <v>35090</v>
      </c>
      <c r="G4081" s="3" t="s">
        <v>63</v>
      </c>
      <c r="H4081" s="3" t="s">
        <v>215</v>
      </c>
      <c r="I4081" s="3" t="s">
        <v>63</v>
      </c>
      <c r="J4081" s="3" t="s">
        <v>63</v>
      </c>
      <c r="K4081" s="3" t="s">
        <v>64</v>
      </c>
      <c r="L4081" s="2" t="s">
        <v>35080</v>
      </c>
      <c r="M4081" s="2" t="s">
        <v>35091</v>
      </c>
      <c r="N4081" s="3" t="s">
        <v>1752</v>
      </c>
      <c r="P4081" s="3" t="s">
        <v>66</v>
      </c>
      <c r="R4081" s="3" t="s">
        <v>67</v>
      </c>
      <c r="S4081" s="4">
        <v>0</v>
      </c>
      <c r="T4081" s="4">
        <v>0</v>
      </c>
      <c r="W4081" s="5" t="s">
        <v>1546</v>
      </c>
      <c r="X4081" s="5" t="s">
        <v>1546</v>
      </c>
      <c r="Y4081" s="4">
        <v>122</v>
      </c>
      <c r="Z4081" s="4">
        <v>3</v>
      </c>
      <c r="AA4081" s="4">
        <v>7</v>
      </c>
      <c r="AB4081" s="4">
        <v>1</v>
      </c>
      <c r="AC4081" s="4">
        <v>3</v>
      </c>
      <c r="AD4081" s="4">
        <v>28</v>
      </c>
      <c r="AE4081" s="4">
        <v>36</v>
      </c>
      <c r="AF4081" s="4">
        <v>0</v>
      </c>
      <c r="AG4081" s="4">
        <v>0</v>
      </c>
      <c r="AH4081" s="4">
        <v>27</v>
      </c>
      <c r="AI4081" s="4">
        <v>33</v>
      </c>
      <c r="AJ4081" s="4">
        <v>0</v>
      </c>
      <c r="AK4081" s="4">
        <v>1</v>
      </c>
      <c r="AL4081" s="4">
        <v>19</v>
      </c>
      <c r="AM4081" s="4">
        <v>22</v>
      </c>
      <c r="AN4081" s="4">
        <v>0</v>
      </c>
      <c r="AO4081" s="4">
        <v>0</v>
      </c>
      <c r="AP4081" s="4">
        <v>0</v>
      </c>
      <c r="AQ4081" s="4">
        <v>2</v>
      </c>
      <c r="AR4081" s="3" t="s">
        <v>63</v>
      </c>
      <c r="AS4081" s="3" t="s">
        <v>63</v>
      </c>
      <c r="AT4081" s="3" t="s">
        <v>63</v>
      </c>
      <c r="AV4081" s="6" t="str">
        <f>HYPERLINK("http://mcgill.on.worldcat.org/oclc/1030910468","Catalog Record")</f>
        <v>Catalog Record</v>
      </c>
      <c r="AW4081" s="6" t="str">
        <f>HYPERLINK("http://www.worldcat.org/oclc/1030910468","WorldCat Record")</f>
        <v>WorldCat Record</v>
      </c>
      <c r="AX4081" s="3" t="s">
        <v>35092</v>
      </c>
      <c r="AY4081" s="3" t="s">
        <v>35093</v>
      </c>
      <c r="AZ4081" s="3" t="s">
        <v>35094</v>
      </c>
      <c r="BA4081" s="3" t="s">
        <v>35094</v>
      </c>
      <c r="BB4081" s="3" t="s">
        <v>35095</v>
      </c>
      <c r="BC4081" s="3" t="s">
        <v>82</v>
      </c>
      <c r="BD4081" s="3" t="s">
        <v>70</v>
      </c>
      <c r="BE4081" s="3" t="s">
        <v>35096</v>
      </c>
      <c r="BF4081" s="3" t="s">
        <v>35095</v>
      </c>
      <c r="BG4081" s="3" t="s">
        <v>35097</v>
      </c>
    </row>
    <row r="4082" spans="1:59" ht="75" x14ac:dyDescent="0.25">
      <c r="A4082" s="2" t="s">
        <v>59</v>
      </c>
      <c r="B4082" s="2" t="s">
        <v>60</v>
      </c>
      <c r="C4082" s="2" t="s">
        <v>35098</v>
      </c>
      <c r="D4082" s="2" t="s">
        <v>35099</v>
      </c>
      <c r="E4082" s="2" t="s">
        <v>35100</v>
      </c>
      <c r="G4082" s="3" t="s">
        <v>63</v>
      </c>
      <c r="I4082" s="3" t="s">
        <v>63</v>
      </c>
      <c r="J4082" s="3" t="s">
        <v>63</v>
      </c>
      <c r="K4082" s="3" t="s">
        <v>64</v>
      </c>
      <c r="L4082" s="2" t="s">
        <v>35080</v>
      </c>
      <c r="M4082" s="2" t="s">
        <v>35101</v>
      </c>
      <c r="N4082" s="3" t="s">
        <v>106</v>
      </c>
      <c r="P4082" s="3" t="s">
        <v>66</v>
      </c>
      <c r="R4082" s="3" t="s">
        <v>67</v>
      </c>
      <c r="S4082" s="4">
        <v>1</v>
      </c>
      <c r="T4082" s="4">
        <v>1</v>
      </c>
      <c r="U4082" s="5" t="s">
        <v>4911</v>
      </c>
      <c r="V4082" s="5" t="s">
        <v>4911</v>
      </c>
      <c r="W4082" s="5" t="s">
        <v>69</v>
      </c>
      <c r="X4082" s="5" t="s">
        <v>69</v>
      </c>
      <c r="Y4082" s="4">
        <v>320</v>
      </c>
      <c r="Z4082" s="4">
        <v>15</v>
      </c>
      <c r="AA4082" s="4">
        <v>108</v>
      </c>
      <c r="AB4082" s="4">
        <v>2</v>
      </c>
      <c r="AC4082" s="4">
        <v>17</v>
      </c>
      <c r="AD4082" s="4">
        <v>46</v>
      </c>
      <c r="AE4082" s="4">
        <v>113</v>
      </c>
      <c r="AF4082" s="4">
        <v>0</v>
      </c>
      <c r="AG4082" s="4">
        <v>8</v>
      </c>
      <c r="AH4082" s="4">
        <v>44</v>
      </c>
      <c r="AI4082" s="4">
        <v>77</v>
      </c>
      <c r="AJ4082" s="4">
        <v>5</v>
      </c>
      <c r="AK4082" s="4">
        <v>18</v>
      </c>
      <c r="AL4082" s="4">
        <v>29</v>
      </c>
      <c r="AM4082" s="4">
        <v>43</v>
      </c>
      <c r="AN4082" s="4">
        <v>0</v>
      </c>
      <c r="AO4082" s="4">
        <v>0</v>
      </c>
      <c r="AP4082" s="4">
        <v>5</v>
      </c>
      <c r="AQ4082" s="4">
        <v>40</v>
      </c>
      <c r="AR4082" s="3" t="s">
        <v>63</v>
      </c>
      <c r="AS4082" s="3" t="s">
        <v>63</v>
      </c>
      <c r="AT4082" s="3" t="s">
        <v>63</v>
      </c>
      <c r="AV4082" s="6" t="str">
        <f>HYPERLINK("http://mcgill.on.worldcat.org/oclc/929450410","Catalog Record")</f>
        <v>Catalog Record</v>
      </c>
      <c r="AW4082" s="6" t="str">
        <f>HYPERLINK("http://www.worldcat.org/oclc/929450410","WorldCat Record")</f>
        <v>WorldCat Record</v>
      </c>
      <c r="AX4082" s="3" t="s">
        <v>35102</v>
      </c>
      <c r="AY4082" s="3" t="s">
        <v>35103</v>
      </c>
      <c r="AZ4082" s="3" t="s">
        <v>35104</v>
      </c>
      <c r="BA4082" s="3" t="s">
        <v>35104</v>
      </c>
      <c r="BB4082" s="3" t="s">
        <v>35105</v>
      </c>
      <c r="BC4082" s="3" t="s">
        <v>82</v>
      </c>
      <c r="BD4082" s="3" t="s">
        <v>70</v>
      </c>
      <c r="BE4082" s="3" t="s">
        <v>35106</v>
      </c>
      <c r="BF4082" s="3" t="s">
        <v>35105</v>
      </c>
      <c r="BG4082" s="3" t="s">
        <v>35107</v>
      </c>
    </row>
    <row r="4083" spans="1:59" ht="75" x14ac:dyDescent="0.25">
      <c r="A4083" s="2" t="s">
        <v>59</v>
      </c>
      <c r="B4083" s="2" t="s">
        <v>60</v>
      </c>
      <c r="C4083" s="2" t="s">
        <v>35108</v>
      </c>
      <c r="D4083" s="2" t="s">
        <v>35109</v>
      </c>
      <c r="E4083" s="2" t="s">
        <v>35110</v>
      </c>
      <c r="G4083" s="3" t="s">
        <v>63</v>
      </c>
      <c r="I4083" s="3" t="s">
        <v>63</v>
      </c>
      <c r="J4083" s="3" t="s">
        <v>63</v>
      </c>
      <c r="K4083" s="3" t="s">
        <v>64</v>
      </c>
      <c r="L4083" s="2" t="s">
        <v>35111</v>
      </c>
      <c r="M4083" s="2" t="s">
        <v>35112</v>
      </c>
      <c r="N4083" s="3" t="s">
        <v>629</v>
      </c>
      <c r="P4083" s="3" t="s">
        <v>90</v>
      </c>
      <c r="R4083" s="3" t="s">
        <v>67</v>
      </c>
      <c r="S4083" s="4">
        <v>1</v>
      </c>
      <c r="T4083" s="4">
        <v>1</v>
      </c>
      <c r="U4083" s="5" t="s">
        <v>35113</v>
      </c>
      <c r="V4083" s="5" t="s">
        <v>35113</v>
      </c>
      <c r="W4083" s="5" t="s">
        <v>69</v>
      </c>
      <c r="X4083" s="5" t="s">
        <v>69</v>
      </c>
      <c r="Y4083" s="4">
        <v>5</v>
      </c>
      <c r="Z4083" s="4">
        <v>1</v>
      </c>
      <c r="AA4083" s="4">
        <v>1</v>
      </c>
      <c r="AB4083" s="4">
        <v>1</v>
      </c>
      <c r="AC4083" s="4">
        <v>1</v>
      </c>
      <c r="AD4083" s="4">
        <v>4</v>
      </c>
      <c r="AE4083" s="4">
        <v>4</v>
      </c>
      <c r="AF4083" s="4">
        <v>0</v>
      </c>
      <c r="AG4083" s="4">
        <v>0</v>
      </c>
      <c r="AH4083" s="4">
        <v>4</v>
      </c>
      <c r="AI4083" s="4">
        <v>4</v>
      </c>
      <c r="AJ4083" s="4">
        <v>0</v>
      </c>
      <c r="AK4083" s="4">
        <v>0</v>
      </c>
      <c r="AL4083" s="4">
        <v>4</v>
      </c>
      <c r="AM4083" s="4">
        <v>4</v>
      </c>
      <c r="AN4083" s="4">
        <v>0</v>
      </c>
      <c r="AO4083" s="4">
        <v>0</v>
      </c>
      <c r="AP4083" s="4">
        <v>0</v>
      </c>
      <c r="AQ4083" s="4">
        <v>0</v>
      </c>
      <c r="AR4083" s="3" t="s">
        <v>63</v>
      </c>
      <c r="AS4083" s="3" t="s">
        <v>63</v>
      </c>
      <c r="AT4083" s="3" t="s">
        <v>63</v>
      </c>
      <c r="AV4083" s="6" t="str">
        <f>HYPERLINK("http://mcgill.on.worldcat.org/oclc/793690719","Catalog Record")</f>
        <v>Catalog Record</v>
      </c>
      <c r="AW4083" s="6" t="str">
        <f>HYPERLINK("http://www.worldcat.org/oclc/793690719","WorldCat Record")</f>
        <v>WorldCat Record</v>
      </c>
      <c r="AX4083" s="3" t="s">
        <v>35114</v>
      </c>
      <c r="AY4083" s="3" t="s">
        <v>35115</v>
      </c>
      <c r="AZ4083" s="3" t="s">
        <v>35116</v>
      </c>
      <c r="BA4083" s="3" t="s">
        <v>35116</v>
      </c>
      <c r="BB4083" s="3" t="s">
        <v>35117</v>
      </c>
      <c r="BC4083" s="3" t="s">
        <v>82</v>
      </c>
      <c r="BD4083" s="3" t="s">
        <v>70</v>
      </c>
      <c r="BE4083" s="3" t="s">
        <v>35118</v>
      </c>
      <c r="BF4083" s="3" t="s">
        <v>35117</v>
      </c>
      <c r="BG4083" s="3" t="s">
        <v>35119</v>
      </c>
    </row>
    <row r="4084" spans="1:59" ht="60" x14ac:dyDescent="0.25">
      <c r="A4084" s="2" t="s">
        <v>59</v>
      </c>
      <c r="B4084" s="2" t="s">
        <v>60</v>
      </c>
      <c r="C4084" s="2" t="s">
        <v>35120</v>
      </c>
      <c r="D4084" s="2" t="s">
        <v>35121</v>
      </c>
      <c r="E4084" s="2" t="s">
        <v>35122</v>
      </c>
      <c r="G4084" s="3" t="s">
        <v>63</v>
      </c>
      <c r="H4084" s="3" t="s">
        <v>215</v>
      </c>
      <c r="I4084" s="3" t="s">
        <v>63</v>
      </c>
      <c r="J4084" s="3" t="s">
        <v>63</v>
      </c>
      <c r="K4084" s="3" t="s">
        <v>64</v>
      </c>
      <c r="L4084" s="2" t="s">
        <v>35123</v>
      </c>
      <c r="M4084" s="2" t="s">
        <v>35124</v>
      </c>
      <c r="N4084" s="3" t="s">
        <v>1752</v>
      </c>
      <c r="P4084" s="3" t="s">
        <v>90</v>
      </c>
      <c r="Q4084" s="2" t="s">
        <v>35125</v>
      </c>
      <c r="R4084" s="3" t="s">
        <v>67</v>
      </c>
      <c r="S4084" s="4">
        <v>0</v>
      </c>
      <c r="T4084" s="4">
        <v>0</v>
      </c>
      <c r="W4084" s="5" t="s">
        <v>14022</v>
      </c>
      <c r="X4084" s="5" t="s">
        <v>14022</v>
      </c>
      <c r="Y4084" s="4">
        <v>4</v>
      </c>
      <c r="Z4084" s="4">
        <v>1</v>
      </c>
      <c r="AA4084" s="4">
        <v>1</v>
      </c>
      <c r="AB4084" s="4">
        <v>1</v>
      </c>
      <c r="AC4084" s="4">
        <v>1</v>
      </c>
      <c r="AD4084" s="4">
        <v>3</v>
      </c>
      <c r="AE4084" s="4">
        <v>3</v>
      </c>
      <c r="AF4084" s="4">
        <v>0</v>
      </c>
      <c r="AG4084" s="4">
        <v>0</v>
      </c>
      <c r="AH4084" s="4">
        <v>3</v>
      </c>
      <c r="AI4084" s="4">
        <v>3</v>
      </c>
      <c r="AJ4084" s="4">
        <v>0</v>
      </c>
      <c r="AK4084" s="4">
        <v>0</v>
      </c>
      <c r="AL4084" s="4">
        <v>3</v>
      </c>
      <c r="AM4084" s="4">
        <v>3</v>
      </c>
      <c r="AN4084" s="4">
        <v>0</v>
      </c>
      <c r="AO4084" s="4">
        <v>0</v>
      </c>
      <c r="AP4084" s="4">
        <v>0</v>
      </c>
      <c r="AQ4084" s="4">
        <v>0</v>
      </c>
      <c r="AR4084" s="3" t="s">
        <v>63</v>
      </c>
      <c r="AS4084" s="3" t="s">
        <v>63</v>
      </c>
      <c r="AT4084" s="3" t="s">
        <v>63</v>
      </c>
      <c r="AV4084" s="6" t="str">
        <f>HYPERLINK("http://mcgill.on.worldcat.org/oclc/1122927564","Catalog Record")</f>
        <v>Catalog Record</v>
      </c>
      <c r="AW4084" s="6" t="str">
        <f>HYPERLINK("http://www.worldcat.org/oclc/1122927564","WorldCat Record")</f>
        <v>WorldCat Record</v>
      </c>
      <c r="AX4084" s="3" t="s">
        <v>35126</v>
      </c>
      <c r="AY4084" s="3" t="s">
        <v>35127</v>
      </c>
      <c r="AZ4084" s="3" t="s">
        <v>35128</v>
      </c>
      <c r="BA4084" s="3" t="s">
        <v>35128</v>
      </c>
      <c r="BB4084" s="3" t="s">
        <v>35129</v>
      </c>
      <c r="BC4084" s="3" t="s">
        <v>82</v>
      </c>
      <c r="BD4084" s="3" t="s">
        <v>70</v>
      </c>
      <c r="BE4084" s="3" t="s">
        <v>35130</v>
      </c>
      <c r="BF4084" s="3" t="s">
        <v>35129</v>
      </c>
      <c r="BG4084" s="3" t="s">
        <v>35131</v>
      </c>
    </row>
    <row r="4085" spans="1:59" ht="60" x14ac:dyDescent="0.25">
      <c r="A4085" s="2" t="s">
        <v>59</v>
      </c>
      <c r="B4085" s="2" t="s">
        <v>60</v>
      </c>
      <c r="C4085" s="2" t="s">
        <v>35132</v>
      </c>
      <c r="D4085" s="2" t="s">
        <v>35133</v>
      </c>
      <c r="E4085" s="2" t="s">
        <v>35134</v>
      </c>
      <c r="G4085" s="3" t="s">
        <v>63</v>
      </c>
      <c r="I4085" s="3" t="s">
        <v>63</v>
      </c>
      <c r="J4085" s="3" t="s">
        <v>63</v>
      </c>
      <c r="K4085" s="3" t="s">
        <v>64</v>
      </c>
      <c r="L4085" s="2" t="s">
        <v>35135</v>
      </c>
      <c r="M4085" s="2" t="s">
        <v>28908</v>
      </c>
      <c r="N4085" s="3" t="s">
        <v>313</v>
      </c>
      <c r="P4085" s="3" t="s">
        <v>90</v>
      </c>
      <c r="Q4085" s="2" t="s">
        <v>30181</v>
      </c>
      <c r="R4085" s="3" t="s">
        <v>67</v>
      </c>
      <c r="S4085" s="4">
        <v>1</v>
      </c>
      <c r="T4085" s="4">
        <v>1</v>
      </c>
      <c r="U4085" s="5" t="s">
        <v>35136</v>
      </c>
      <c r="V4085" s="5" t="s">
        <v>35136</v>
      </c>
      <c r="W4085" s="5" t="s">
        <v>69</v>
      </c>
      <c r="X4085" s="5" t="s">
        <v>69</v>
      </c>
      <c r="Y4085" s="4">
        <v>37</v>
      </c>
      <c r="Z4085" s="4">
        <v>6</v>
      </c>
      <c r="AA4085" s="4">
        <v>6</v>
      </c>
      <c r="AB4085" s="4">
        <v>1</v>
      </c>
      <c r="AC4085" s="4">
        <v>1</v>
      </c>
      <c r="AD4085" s="4">
        <v>19</v>
      </c>
      <c r="AE4085" s="4">
        <v>19</v>
      </c>
      <c r="AF4085" s="4">
        <v>0</v>
      </c>
      <c r="AG4085" s="4">
        <v>0</v>
      </c>
      <c r="AH4085" s="4">
        <v>19</v>
      </c>
      <c r="AI4085" s="4">
        <v>19</v>
      </c>
      <c r="AJ4085" s="4">
        <v>3</v>
      </c>
      <c r="AK4085" s="4">
        <v>3</v>
      </c>
      <c r="AL4085" s="4">
        <v>12</v>
      </c>
      <c r="AM4085" s="4">
        <v>12</v>
      </c>
      <c r="AN4085" s="4">
        <v>0</v>
      </c>
      <c r="AO4085" s="4">
        <v>0</v>
      </c>
      <c r="AP4085" s="4">
        <v>3</v>
      </c>
      <c r="AQ4085" s="4">
        <v>3</v>
      </c>
      <c r="AR4085" s="3" t="s">
        <v>63</v>
      </c>
      <c r="AS4085" s="3" t="s">
        <v>63</v>
      </c>
      <c r="AT4085" s="3" t="s">
        <v>63</v>
      </c>
      <c r="AV4085" s="6" t="str">
        <f>HYPERLINK("http://mcgill.on.worldcat.org/oclc/663741543","Catalog Record")</f>
        <v>Catalog Record</v>
      </c>
      <c r="AW4085" s="6" t="str">
        <f>HYPERLINK("http://www.worldcat.org/oclc/663741543","WorldCat Record")</f>
        <v>WorldCat Record</v>
      </c>
      <c r="AX4085" s="3" t="s">
        <v>35137</v>
      </c>
      <c r="AY4085" s="3" t="s">
        <v>35138</v>
      </c>
      <c r="AZ4085" s="3" t="s">
        <v>35139</v>
      </c>
      <c r="BA4085" s="3" t="s">
        <v>35139</v>
      </c>
      <c r="BB4085" s="3" t="s">
        <v>35140</v>
      </c>
      <c r="BC4085" s="3" t="s">
        <v>82</v>
      </c>
      <c r="BD4085" s="3" t="s">
        <v>70</v>
      </c>
      <c r="BE4085" s="3" t="s">
        <v>35141</v>
      </c>
      <c r="BF4085" s="3" t="s">
        <v>35140</v>
      </c>
      <c r="BG4085" s="3" t="s">
        <v>35142</v>
      </c>
    </row>
    <row r="4086" spans="1:59" ht="60" x14ac:dyDescent="0.25">
      <c r="A4086" s="2" t="s">
        <v>59</v>
      </c>
      <c r="B4086" s="2" t="s">
        <v>60</v>
      </c>
      <c r="C4086" s="2" t="s">
        <v>35143</v>
      </c>
      <c r="D4086" s="2" t="s">
        <v>35144</v>
      </c>
      <c r="E4086" s="2" t="s">
        <v>35145</v>
      </c>
      <c r="G4086" s="3" t="s">
        <v>63</v>
      </c>
      <c r="I4086" s="3" t="s">
        <v>63</v>
      </c>
      <c r="J4086" s="3" t="s">
        <v>63</v>
      </c>
      <c r="K4086" s="3" t="s">
        <v>64</v>
      </c>
      <c r="L4086" s="2" t="s">
        <v>35146</v>
      </c>
      <c r="M4086" s="2" t="s">
        <v>35147</v>
      </c>
      <c r="N4086" s="3" t="s">
        <v>287</v>
      </c>
      <c r="P4086" s="3" t="s">
        <v>90</v>
      </c>
      <c r="R4086" s="3" t="s">
        <v>67</v>
      </c>
      <c r="S4086" s="4">
        <v>1</v>
      </c>
      <c r="T4086" s="4">
        <v>1</v>
      </c>
      <c r="U4086" s="5" t="s">
        <v>29697</v>
      </c>
      <c r="V4086" s="5" t="s">
        <v>29697</v>
      </c>
      <c r="W4086" s="5" t="s">
        <v>69</v>
      </c>
      <c r="X4086" s="5" t="s">
        <v>69</v>
      </c>
      <c r="Y4086" s="4">
        <v>15</v>
      </c>
      <c r="Z4086" s="4">
        <v>1</v>
      </c>
      <c r="AA4086" s="4">
        <v>1</v>
      </c>
      <c r="AB4086" s="4">
        <v>1</v>
      </c>
      <c r="AC4086" s="4">
        <v>1</v>
      </c>
      <c r="AD4086" s="4">
        <v>14</v>
      </c>
      <c r="AE4086" s="4">
        <v>14</v>
      </c>
      <c r="AF4086" s="4">
        <v>0</v>
      </c>
      <c r="AG4086" s="4">
        <v>0</v>
      </c>
      <c r="AH4086" s="4">
        <v>13</v>
      </c>
      <c r="AI4086" s="4">
        <v>13</v>
      </c>
      <c r="AJ4086" s="4">
        <v>0</v>
      </c>
      <c r="AK4086" s="4">
        <v>0</v>
      </c>
      <c r="AL4086" s="4">
        <v>11</v>
      </c>
      <c r="AM4086" s="4">
        <v>11</v>
      </c>
      <c r="AN4086" s="4">
        <v>0</v>
      </c>
      <c r="AO4086" s="4">
        <v>0</v>
      </c>
      <c r="AP4086" s="4">
        <v>0</v>
      </c>
      <c r="AQ4086" s="4">
        <v>0</v>
      </c>
      <c r="AR4086" s="3" t="s">
        <v>63</v>
      </c>
      <c r="AS4086" s="3" t="s">
        <v>63</v>
      </c>
      <c r="AT4086" s="3" t="s">
        <v>63</v>
      </c>
      <c r="AV4086" s="6" t="str">
        <f>HYPERLINK("http://mcgill.on.worldcat.org/oclc/1050921389","Catalog Record")</f>
        <v>Catalog Record</v>
      </c>
      <c r="AW4086" s="6" t="str">
        <f>HYPERLINK("http://www.worldcat.org/oclc/1050921389","WorldCat Record")</f>
        <v>WorldCat Record</v>
      </c>
      <c r="AX4086" s="3" t="s">
        <v>35148</v>
      </c>
      <c r="AY4086" s="3" t="s">
        <v>35149</v>
      </c>
      <c r="AZ4086" s="3" t="s">
        <v>35150</v>
      </c>
      <c r="BA4086" s="3" t="s">
        <v>35150</v>
      </c>
      <c r="BB4086" s="3" t="s">
        <v>35151</v>
      </c>
      <c r="BC4086" s="3" t="s">
        <v>82</v>
      </c>
      <c r="BD4086" s="3" t="s">
        <v>70</v>
      </c>
      <c r="BE4086" s="3" t="s">
        <v>35152</v>
      </c>
      <c r="BF4086" s="3" t="s">
        <v>35151</v>
      </c>
      <c r="BG4086" s="3" t="s">
        <v>35153</v>
      </c>
    </row>
    <row r="4087" spans="1:59" ht="60" x14ac:dyDescent="0.25">
      <c r="A4087" s="2" t="s">
        <v>59</v>
      </c>
      <c r="B4087" s="2" t="s">
        <v>60</v>
      </c>
      <c r="C4087" s="2" t="s">
        <v>35154</v>
      </c>
      <c r="D4087" s="2" t="s">
        <v>35155</v>
      </c>
      <c r="E4087" s="2" t="s">
        <v>35156</v>
      </c>
      <c r="G4087" s="3" t="s">
        <v>63</v>
      </c>
      <c r="I4087" s="3" t="s">
        <v>63</v>
      </c>
      <c r="J4087" s="3" t="s">
        <v>63</v>
      </c>
      <c r="K4087" s="3" t="s">
        <v>64</v>
      </c>
      <c r="L4087" s="2" t="s">
        <v>35157</v>
      </c>
      <c r="M4087" s="2" t="s">
        <v>3860</v>
      </c>
      <c r="N4087" s="3" t="s">
        <v>629</v>
      </c>
      <c r="P4087" s="3" t="s">
        <v>90</v>
      </c>
      <c r="R4087" s="3" t="s">
        <v>67</v>
      </c>
      <c r="S4087" s="4">
        <v>0</v>
      </c>
      <c r="T4087" s="4">
        <v>0</v>
      </c>
      <c r="W4087" s="5" t="s">
        <v>69</v>
      </c>
      <c r="X4087" s="5" t="s">
        <v>69</v>
      </c>
      <c r="Y4087" s="4">
        <v>24</v>
      </c>
      <c r="Z4087" s="4">
        <v>2</v>
      </c>
      <c r="AA4087" s="4">
        <v>2</v>
      </c>
      <c r="AB4087" s="4">
        <v>1</v>
      </c>
      <c r="AC4087" s="4">
        <v>1</v>
      </c>
      <c r="AD4087" s="4">
        <v>13</v>
      </c>
      <c r="AE4087" s="4">
        <v>13</v>
      </c>
      <c r="AF4087" s="4">
        <v>0</v>
      </c>
      <c r="AG4087" s="4">
        <v>0</v>
      </c>
      <c r="AH4087" s="4">
        <v>13</v>
      </c>
      <c r="AI4087" s="4">
        <v>13</v>
      </c>
      <c r="AJ4087" s="4">
        <v>0</v>
      </c>
      <c r="AK4087" s="4">
        <v>0</v>
      </c>
      <c r="AL4087" s="4">
        <v>7</v>
      </c>
      <c r="AM4087" s="4">
        <v>7</v>
      </c>
      <c r="AN4087" s="4">
        <v>0</v>
      </c>
      <c r="AO4087" s="4">
        <v>0</v>
      </c>
      <c r="AP4087" s="4">
        <v>0</v>
      </c>
      <c r="AQ4087" s="4">
        <v>0</v>
      </c>
      <c r="AR4087" s="3" t="s">
        <v>63</v>
      </c>
      <c r="AS4087" s="3" t="s">
        <v>63</v>
      </c>
      <c r="AT4087" s="3" t="s">
        <v>63</v>
      </c>
      <c r="AV4087" s="6" t="str">
        <f>HYPERLINK("http://mcgill.on.worldcat.org/oclc/778213177","Catalog Record")</f>
        <v>Catalog Record</v>
      </c>
      <c r="AW4087" s="6" t="str">
        <f>HYPERLINK("http://www.worldcat.org/oclc/778213177","WorldCat Record")</f>
        <v>WorldCat Record</v>
      </c>
      <c r="AX4087" s="3" t="s">
        <v>35158</v>
      </c>
      <c r="AY4087" s="3" t="s">
        <v>35159</v>
      </c>
      <c r="AZ4087" s="3" t="s">
        <v>35160</v>
      </c>
      <c r="BA4087" s="3" t="s">
        <v>35160</v>
      </c>
      <c r="BB4087" s="3" t="s">
        <v>35161</v>
      </c>
      <c r="BC4087" s="3" t="s">
        <v>82</v>
      </c>
      <c r="BD4087" s="3" t="s">
        <v>70</v>
      </c>
      <c r="BE4087" s="3" t="s">
        <v>35162</v>
      </c>
      <c r="BF4087" s="3" t="s">
        <v>35161</v>
      </c>
      <c r="BG4087" s="3" t="s">
        <v>35163</v>
      </c>
    </row>
    <row r="4088" spans="1:59" ht="60" x14ac:dyDescent="0.25">
      <c r="A4088" s="2" t="s">
        <v>59</v>
      </c>
      <c r="B4088" s="2" t="s">
        <v>60</v>
      </c>
      <c r="C4088" s="2" t="s">
        <v>35164</v>
      </c>
      <c r="D4088" s="2" t="s">
        <v>35165</v>
      </c>
      <c r="E4088" s="2" t="s">
        <v>35166</v>
      </c>
      <c r="G4088" s="3" t="s">
        <v>63</v>
      </c>
      <c r="I4088" s="3" t="s">
        <v>63</v>
      </c>
      <c r="J4088" s="3" t="s">
        <v>63</v>
      </c>
      <c r="K4088" s="3" t="s">
        <v>64</v>
      </c>
      <c r="L4088" s="2" t="s">
        <v>35167</v>
      </c>
      <c r="M4088" s="2" t="s">
        <v>34234</v>
      </c>
      <c r="N4088" s="3" t="s">
        <v>106</v>
      </c>
      <c r="P4088" s="3" t="s">
        <v>90</v>
      </c>
      <c r="Q4088" s="2" t="s">
        <v>35168</v>
      </c>
      <c r="R4088" s="3" t="s">
        <v>67</v>
      </c>
      <c r="S4088" s="4">
        <v>0</v>
      </c>
      <c r="T4088" s="4">
        <v>0</v>
      </c>
      <c r="W4088" s="5" t="s">
        <v>69</v>
      </c>
      <c r="X4088" s="5" t="s">
        <v>69</v>
      </c>
      <c r="Y4088" s="4">
        <v>18</v>
      </c>
      <c r="Z4088" s="4">
        <v>1</v>
      </c>
      <c r="AA4088" s="4">
        <v>1</v>
      </c>
      <c r="AB4088" s="4">
        <v>1</v>
      </c>
      <c r="AC4088" s="4">
        <v>1</v>
      </c>
      <c r="AD4088" s="4">
        <v>14</v>
      </c>
      <c r="AE4088" s="4">
        <v>14</v>
      </c>
      <c r="AF4088" s="4">
        <v>0</v>
      </c>
      <c r="AG4088" s="4">
        <v>0</v>
      </c>
      <c r="AH4088" s="4">
        <v>14</v>
      </c>
      <c r="AI4088" s="4">
        <v>14</v>
      </c>
      <c r="AJ4088" s="4">
        <v>0</v>
      </c>
      <c r="AK4088" s="4">
        <v>0</v>
      </c>
      <c r="AL4088" s="4">
        <v>12</v>
      </c>
      <c r="AM4088" s="4">
        <v>12</v>
      </c>
      <c r="AN4088" s="4">
        <v>0</v>
      </c>
      <c r="AO4088" s="4">
        <v>0</v>
      </c>
      <c r="AP4088" s="4">
        <v>0</v>
      </c>
      <c r="AQ4088" s="4">
        <v>0</v>
      </c>
      <c r="AR4088" s="3" t="s">
        <v>63</v>
      </c>
      <c r="AS4088" s="3" t="s">
        <v>63</v>
      </c>
      <c r="AT4088" s="3" t="s">
        <v>63</v>
      </c>
      <c r="AV4088" s="6" t="str">
        <f>HYPERLINK("http://mcgill.on.worldcat.org/oclc/957063762","Catalog Record")</f>
        <v>Catalog Record</v>
      </c>
      <c r="AW4088" s="6" t="str">
        <f>HYPERLINK("http://www.worldcat.org/oclc/957063762","WorldCat Record")</f>
        <v>WorldCat Record</v>
      </c>
      <c r="AX4088" s="3" t="s">
        <v>35169</v>
      </c>
      <c r="AY4088" s="3" t="s">
        <v>35170</v>
      </c>
      <c r="AZ4088" s="3" t="s">
        <v>35171</v>
      </c>
      <c r="BA4088" s="3" t="s">
        <v>35171</v>
      </c>
      <c r="BB4088" s="3" t="s">
        <v>35172</v>
      </c>
      <c r="BC4088" s="3" t="s">
        <v>82</v>
      </c>
      <c r="BD4088" s="3" t="s">
        <v>70</v>
      </c>
      <c r="BE4088" s="3" t="s">
        <v>35173</v>
      </c>
      <c r="BF4088" s="3" t="s">
        <v>35172</v>
      </c>
      <c r="BG4088" s="3" t="s">
        <v>35174</v>
      </c>
    </row>
    <row r="4089" spans="1:59" ht="75" x14ac:dyDescent="0.25">
      <c r="A4089" s="2" t="s">
        <v>59</v>
      </c>
      <c r="B4089" s="2" t="s">
        <v>60</v>
      </c>
      <c r="C4089" s="2" t="s">
        <v>35175</v>
      </c>
      <c r="D4089" s="2" t="s">
        <v>35176</v>
      </c>
      <c r="E4089" s="2" t="s">
        <v>35177</v>
      </c>
      <c r="G4089" s="3" t="s">
        <v>63</v>
      </c>
      <c r="I4089" s="3" t="s">
        <v>63</v>
      </c>
      <c r="J4089" s="3" t="s">
        <v>63</v>
      </c>
      <c r="K4089" s="3" t="s">
        <v>64</v>
      </c>
      <c r="L4089" s="2" t="s">
        <v>35178</v>
      </c>
      <c r="M4089" s="2" t="s">
        <v>35179</v>
      </c>
      <c r="N4089" s="3" t="s">
        <v>106</v>
      </c>
      <c r="P4089" s="3" t="s">
        <v>90</v>
      </c>
      <c r="Q4089" s="2" t="s">
        <v>35180</v>
      </c>
      <c r="R4089" s="3" t="s">
        <v>67</v>
      </c>
      <c r="S4089" s="4">
        <v>2</v>
      </c>
      <c r="T4089" s="4">
        <v>2</v>
      </c>
      <c r="U4089" s="5" t="s">
        <v>26057</v>
      </c>
      <c r="V4089" s="5" t="s">
        <v>26057</v>
      </c>
      <c r="W4089" s="5" t="s">
        <v>69</v>
      </c>
      <c r="X4089" s="5" t="s">
        <v>69</v>
      </c>
      <c r="Y4089" s="4">
        <v>8</v>
      </c>
      <c r="Z4089" s="4">
        <v>1</v>
      </c>
      <c r="AA4089" s="4">
        <v>1</v>
      </c>
      <c r="AB4089" s="4">
        <v>1</v>
      </c>
      <c r="AC4089" s="4">
        <v>1</v>
      </c>
      <c r="AD4089" s="4">
        <v>7</v>
      </c>
      <c r="AE4089" s="4">
        <v>7</v>
      </c>
      <c r="AF4089" s="4">
        <v>0</v>
      </c>
      <c r="AG4089" s="4">
        <v>0</v>
      </c>
      <c r="AH4089" s="4">
        <v>7</v>
      </c>
      <c r="AI4089" s="4">
        <v>7</v>
      </c>
      <c r="AJ4089" s="4">
        <v>0</v>
      </c>
      <c r="AK4089" s="4">
        <v>0</v>
      </c>
      <c r="AL4089" s="4">
        <v>3</v>
      </c>
      <c r="AM4089" s="4">
        <v>3</v>
      </c>
      <c r="AN4089" s="4">
        <v>0</v>
      </c>
      <c r="AO4089" s="4">
        <v>0</v>
      </c>
      <c r="AP4089" s="4">
        <v>0</v>
      </c>
      <c r="AQ4089" s="4">
        <v>0</v>
      </c>
      <c r="AR4089" s="3" t="s">
        <v>63</v>
      </c>
      <c r="AS4089" s="3" t="s">
        <v>63</v>
      </c>
      <c r="AT4089" s="3" t="s">
        <v>63</v>
      </c>
      <c r="AV4089" s="6" t="str">
        <f>HYPERLINK("http://mcgill.on.worldcat.org/oclc/966639080","Catalog Record")</f>
        <v>Catalog Record</v>
      </c>
      <c r="AW4089" s="6" t="str">
        <f>HYPERLINK("http://www.worldcat.org/oclc/966639080","WorldCat Record")</f>
        <v>WorldCat Record</v>
      </c>
      <c r="AX4089" s="3" t="s">
        <v>35181</v>
      </c>
      <c r="AY4089" s="3" t="s">
        <v>35182</v>
      </c>
      <c r="AZ4089" s="3" t="s">
        <v>35183</v>
      </c>
      <c r="BA4089" s="3" t="s">
        <v>35183</v>
      </c>
      <c r="BB4089" s="3" t="s">
        <v>35184</v>
      </c>
      <c r="BC4089" s="3" t="s">
        <v>82</v>
      </c>
      <c r="BD4089" s="3" t="s">
        <v>70</v>
      </c>
      <c r="BE4089" s="3" t="s">
        <v>35185</v>
      </c>
      <c r="BF4089" s="3" t="s">
        <v>35184</v>
      </c>
      <c r="BG4089" s="3" t="s">
        <v>35186</v>
      </c>
    </row>
    <row r="4090" spans="1:59" ht="75" x14ac:dyDescent="0.25">
      <c r="A4090" s="2" t="s">
        <v>59</v>
      </c>
      <c r="B4090" s="2" t="s">
        <v>60</v>
      </c>
      <c r="C4090" s="2" t="s">
        <v>35187</v>
      </c>
      <c r="D4090" s="2" t="s">
        <v>35188</v>
      </c>
      <c r="E4090" s="2" t="s">
        <v>35189</v>
      </c>
      <c r="G4090" s="3" t="s">
        <v>63</v>
      </c>
      <c r="I4090" s="3" t="s">
        <v>63</v>
      </c>
      <c r="J4090" s="3" t="s">
        <v>63</v>
      </c>
      <c r="K4090" s="3" t="s">
        <v>64</v>
      </c>
      <c r="L4090" s="2" t="s">
        <v>35190</v>
      </c>
      <c r="M4090" s="2" t="s">
        <v>5236</v>
      </c>
      <c r="N4090" s="3" t="s">
        <v>106</v>
      </c>
      <c r="P4090" s="3" t="s">
        <v>90</v>
      </c>
      <c r="Q4090" s="2" t="s">
        <v>29586</v>
      </c>
      <c r="R4090" s="3" t="s">
        <v>67</v>
      </c>
      <c r="S4090" s="4">
        <v>2</v>
      </c>
      <c r="T4090" s="4">
        <v>2</v>
      </c>
      <c r="U4090" s="5" t="s">
        <v>26057</v>
      </c>
      <c r="V4090" s="5" t="s">
        <v>26057</v>
      </c>
      <c r="W4090" s="5" t="s">
        <v>69</v>
      </c>
      <c r="X4090" s="5" t="s">
        <v>69</v>
      </c>
      <c r="Y4090" s="4">
        <v>22</v>
      </c>
      <c r="Z4090" s="4">
        <v>1</v>
      </c>
      <c r="AA4090" s="4">
        <v>1</v>
      </c>
      <c r="AB4090" s="4">
        <v>1</v>
      </c>
      <c r="AC4090" s="4">
        <v>1</v>
      </c>
      <c r="AD4090" s="4">
        <v>15</v>
      </c>
      <c r="AE4090" s="4">
        <v>15</v>
      </c>
      <c r="AF4090" s="4">
        <v>0</v>
      </c>
      <c r="AG4090" s="4">
        <v>0</v>
      </c>
      <c r="AH4090" s="4">
        <v>14</v>
      </c>
      <c r="AI4090" s="4">
        <v>14</v>
      </c>
      <c r="AJ4090" s="4">
        <v>0</v>
      </c>
      <c r="AK4090" s="4">
        <v>0</v>
      </c>
      <c r="AL4090" s="4">
        <v>12</v>
      </c>
      <c r="AM4090" s="4">
        <v>12</v>
      </c>
      <c r="AN4090" s="4">
        <v>0</v>
      </c>
      <c r="AO4090" s="4">
        <v>0</v>
      </c>
      <c r="AP4090" s="4">
        <v>0</v>
      </c>
      <c r="AQ4090" s="4">
        <v>0</v>
      </c>
      <c r="AR4090" s="3" t="s">
        <v>63</v>
      </c>
      <c r="AS4090" s="3" t="s">
        <v>63</v>
      </c>
      <c r="AT4090" s="3" t="s">
        <v>63</v>
      </c>
      <c r="AV4090" s="6" t="str">
        <f>HYPERLINK("http://mcgill.on.worldcat.org/oclc/967229902","Catalog Record")</f>
        <v>Catalog Record</v>
      </c>
      <c r="AW4090" s="6" t="str">
        <f>HYPERLINK("http://www.worldcat.org/oclc/967229902","WorldCat Record")</f>
        <v>WorldCat Record</v>
      </c>
      <c r="AX4090" s="3" t="s">
        <v>35191</v>
      </c>
      <c r="AY4090" s="3" t="s">
        <v>35192</v>
      </c>
      <c r="AZ4090" s="3" t="s">
        <v>35193</v>
      </c>
      <c r="BA4090" s="3" t="s">
        <v>35193</v>
      </c>
      <c r="BB4090" s="3" t="s">
        <v>35194</v>
      </c>
      <c r="BC4090" s="3" t="s">
        <v>82</v>
      </c>
      <c r="BD4090" s="3" t="s">
        <v>70</v>
      </c>
      <c r="BE4090" s="3" t="s">
        <v>35195</v>
      </c>
      <c r="BF4090" s="3" t="s">
        <v>35194</v>
      </c>
      <c r="BG4090" s="3" t="s">
        <v>35196</v>
      </c>
    </row>
    <row r="4091" spans="1:59" ht="60" x14ac:dyDescent="0.25">
      <c r="A4091" s="2" t="s">
        <v>59</v>
      </c>
      <c r="B4091" s="2" t="s">
        <v>60</v>
      </c>
      <c r="C4091" s="2" t="s">
        <v>35197</v>
      </c>
      <c r="D4091" s="2" t="s">
        <v>35198</v>
      </c>
      <c r="E4091" s="2" t="s">
        <v>35199</v>
      </c>
      <c r="G4091" s="3" t="s">
        <v>63</v>
      </c>
      <c r="I4091" s="3" t="s">
        <v>63</v>
      </c>
      <c r="J4091" s="3" t="s">
        <v>63</v>
      </c>
      <c r="K4091" s="3" t="s">
        <v>64</v>
      </c>
      <c r="L4091" s="2" t="s">
        <v>35200</v>
      </c>
      <c r="M4091" s="2" t="s">
        <v>35201</v>
      </c>
      <c r="N4091" s="3" t="s">
        <v>629</v>
      </c>
      <c r="P4091" s="3" t="s">
        <v>90</v>
      </c>
      <c r="R4091" s="3" t="s">
        <v>67</v>
      </c>
      <c r="S4091" s="4">
        <v>0</v>
      </c>
      <c r="T4091" s="4">
        <v>0</v>
      </c>
      <c r="W4091" s="5" t="s">
        <v>69</v>
      </c>
      <c r="X4091" s="5" t="s">
        <v>69</v>
      </c>
      <c r="Y4091" s="4">
        <v>20</v>
      </c>
      <c r="Z4091" s="4">
        <v>3</v>
      </c>
      <c r="AA4091" s="4">
        <v>3</v>
      </c>
      <c r="AB4091" s="4">
        <v>1</v>
      </c>
      <c r="AC4091" s="4">
        <v>1</v>
      </c>
      <c r="AD4091" s="4">
        <v>16</v>
      </c>
      <c r="AE4091" s="4">
        <v>16</v>
      </c>
      <c r="AF4091" s="4">
        <v>0</v>
      </c>
      <c r="AG4091" s="4">
        <v>0</v>
      </c>
      <c r="AH4091" s="4">
        <v>16</v>
      </c>
      <c r="AI4091" s="4">
        <v>16</v>
      </c>
      <c r="AJ4091" s="4">
        <v>1</v>
      </c>
      <c r="AK4091" s="4">
        <v>1</v>
      </c>
      <c r="AL4091" s="4">
        <v>12</v>
      </c>
      <c r="AM4091" s="4">
        <v>12</v>
      </c>
      <c r="AN4091" s="4">
        <v>0</v>
      </c>
      <c r="AO4091" s="4">
        <v>0</v>
      </c>
      <c r="AP4091" s="4">
        <v>1</v>
      </c>
      <c r="AQ4091" s="4">
        <v>1</v>
      </c>
      <c r="AR4091" s="3" t="s">
        <v>63</v>
      </c>
      <c r="AS4091" s="3" t="s">
        <v>63</v>
      </c>
      <c r="AT4091" s="3" t="s">
        <v>63</v>
      </c>
      <c r="AV4091" s="6" t="str">
        <f>HYPERLINK("http://mcgill.on.worldcat.org/oclc/818862047","Catalog Record")</f>
        <v>Catalog Record</v>
      </c>
      <c r="AW4091" s="6" t="str">
        <f>HYPERLINK("http://www.worldcat.org/oclc/818862047","WorldCat Record")</f>
        <v>WorldCat Record</v>
      </c>
      <c r="AX4091" s="3" t="s">
        <v>35202</v>
      </c>
      <c r="AY4091" s="3" t="s">
        <v>35203</v>
      </c>
      <c r="AZ4091" s="3" t="s">
        <v>35204</v>
      </c>
      <c r="BA4091" s="3" t="s">
        <v>35204</v>
      </c>
      <c r="BB4091" s="3" t="s">
        <v>35205</v>
      </c>
      <c r="BC4091" s="3" t="s">
        <v>82</v>
      </c>
      <c r="BD4091" s="3" t="s">
        <v>70</v>
      </c>
      <c r="BE4091" s="3" t="s">
        <v>35206</v>
      </c>
      <c r="BF4091" s="3" t="s">
        <v>35205</v>
      </c>
      <c r="BG4091" s="3" t="s">
        <v>35207</v>
      </c>
    </row>
    <row r="4092" spans="1:59" ht="60" x14ac:dyDescent="0.25">
      <c r="A4092" s="2" t="s">
        <v>59</v>
      </c>
      <c r="B4092" s="2" t="s">
        <v>60</v>
      </c>
      <c r="C4092" s="2" t="s">
        <v>35208</v>
      </c>
      <c r="D4092" s="2" t="s">
        <v>35209</v>
      </c>
      <c r="E4092" s="2" t="s">
        <v>35210</v>
      </c>
      <c r="G4092" s="3" t="s">
        <v>63</v>
      </c>
      <c r="I4092" s="3" t="s">
        <v>63</v>
      </c>
      <c r="J4092" s="3" t="s">
        <v>63</v>
      </c>
      <c r="K4092" s="3" t="s">
        <v>64</v>
      </c>
      <c r="L4092" s="2" t="s">
        <v>35211</v>
      </c>
      <c r="M4092" s="2" t="s">
        <v>30280</v>
      </c>
      <c r="N4092" s="3" t="s">
        <v>287</v>
      </c>
      <c r="P4092" s="3" t="s">
        <v>90</v>
      </c>
      <c r="Q4092" s="2" t="s">
        <v>29586</v>
      </c>
      <c r="R4092" s="3" t="s">
        <v>67</v>
      </c>
      <c r="S4092" s="4">
        <v>2</v>
      </c>
      <c r="T4092" s="4">
        <v>2</v>
      </c>
      <c r="U4092" s="5" t="s">
        <v>26057</v>
      </c>
      <c r="V4092" s="5" t="s">
        <v>26057</v>
      </c>
      <c r="W4092" s="5" t="s">
        <v>69</v>
      </c>
      <c r="X4092" s="5" t="s">
        <v>69</v>
      </c>
      <c r="Y4092" s="4">
        <v>33</v>
      </c>
      <c r="Z4092" s="4">
        <v>3</v>
      </c>
      <c r="AA4092" s="4">
        <v>3</v>
      </c>
      <c r="AB4092" s="4">
        <v>1</v>
      </c>
      <c r="AC4092" s="4">
        <v>1</v>
      </c>
      <c r="AD4092" s="4">
        <v>21</v>
      </c>
      <c r="AE4092" s="4">
        <v>21</v>
      </c>
      <c r="AF4092" s="4">
        <v>0</v>
      </c>
      <c r="AG4092" s="4">
        <v>0</v>
      </c>
      <c r="AH4092" s="4">
        <v>20</v>
      </c>
      <c r="AI4092" s="4">
        <v>20</v>
      </c>
      <c r="AJ4092" s="4">
        <v>0</v>
      </c>
      <c r="AK4092" s="4">
        <v>0</v>
      </c>
      <c r="AL4092" s="4">
        <v>18</v>
      </c>
      <c r="AM4092" s="4">
        <v>18</v>
      </c>
      <c r="AN4092" s="4">
        <v>0</v>
      </c>
      <c r="AO4092" s="4">
        <v>0</v>
      </c>
      <c r="AP4092" s="4">
        <v>0</v>
      </c>
      <c r="AQ4092" s="4">
        <v>0</v>
      </c>
      <c r="AR4092" s="3" t="s">
        <v>63</v>
      </c>
      <c r="AS4092" s="3" t="s">
        <v>63</v>
      </c>
      <c r="AT4092" s="3" t="s">
        <v>63</v>
      </c>
      <c r="AV4092" s="6" t="str">
        <f>HYPERLINK("http://mcgill.on.worldcat.org/oclc/1039667584","Catalog Record")</f>
        <v>Catalog Record</v>
      </c>
      <c r="AW4092" s="6" t="str">
        <f>HYPERLINK("http://www.worldcat.org/oclc/1039667584","WorldCat Record")</f>
        <v>WorldCat Record</v>
      </c>
      <c r="AX4092" s="3" t="s">
        <v>35212</v>
      </c>
      <c r="AY4092" s="3" t="s">
        <v>35213</v>
      </c>
      <c r="AZ4092" s="3" t="s">
        <v>35214</v>
      </c>
      <c r="BA4092" s="3" t="s">
        <v>35214</v>
      </c>
      <c r="BB4092" s="3" t="s">
        <v>35215</v>
      </c>
      <c r="BC4092" s="3" t="s">
        <v>82</v>
      </c>
      <c r="BD4092" s="3" t="s">
        <v>70</v>
      </c>
      <c r="BE4092" s="3" t="s">
        <v>35216</v>
      </c>
      <c r="BF4092" s="3" t="s">
        <v>35215</v>
      </c>
      <c r="BG4092" s="3" t="s">
        <v>35217</v>
      </c>
    </row>
    <row r="4093" spans="1:59" ht="75" x14ac:dyDescent="0.25">
      <c r="A4093" s="2" t="s">
        <v>59</v>
      </c>
      <c r="B4093" s="2" t="s">
        <v>60</v>
      </c>
      <c r="C4093" s="2" t="s">
        <v>35218</v>
      </c>
      <c r="D4093" s="2" t="s">
        <v>35219</v>
      </c>
      <c r="E4093" s="2" t="s">
        <v>35220</v>
      </c>
      <c r="G4093" s="3" t="s">
        <v>63</v>
      </c>
      <c r="I4093" s="3" t="s">
        <v>63</v>
      </c>
      <c r="J4093" s="3" t="s">
        <v>63</v>
      </c>
      <c r="K4093" s="3" t="s">
        <v>64</v>
      </c>
      <c r="L4093" s="2" t="s">
        <v>35221</v>
      </c>
      <c r="M4093" s="2" t="s">
        <v>5236</v>
      </c>
      <c r="N4093" s="3" t="s">
        <v>106</v>
      </c>
      <c r="P4093" s="3" t="s">
        <v>90</v>
      </c>
      <c r="Q4093" s="2" t="s">
        <v>29586</v>
      </c>
      <c r="R4093" s="3" t="s">
        <v>67</v>
      </c>
      <c r="S4093" s="4">
        <v>1</v>
      </c>
      <c r="T4093" s="4">
        <v>1</v>
      </c>
      <c r="U4093" s="5" t="s">
        <v>7802</v>
      </c>
      <c r="V4093" s="5" t="s">
        <v>7802</v>
      </c>
      <c r="W4093" s="5" t="s">
        <v>69</v>
      </c>
      <c r="X4093" s="5" t="s">
        <v>69</v>
      </c>
      <c r="Y4093" s="4">
        <v>50</v>
      </c>
      <c r="Z4093" s="4">
        <v>4</v>
      </c>
      <c r="AA4093" s="4">
        <v>4</v>
      </c>
      <c r="AB4093" s="4">
        <v>1</v>
      </c>
      <c r="AC4093" s="4">
        <v>1</v>
      </c>
      <c r="AD4093" s="4">
        <v>26</v>
      </c>
      <c r="AE4093" s="4">
        <v>27</v>
      </c>
      <c r="AF4093" s="4">
        <v>0</v>
      </c>
      <c r="AG4093" s="4">
        <v>0</v>
      </c>
      <c r="AH4093" s="4">
        <v>25</v>
      </c>
      <c r="AI4093" s="4">
        <v>26</v>
      </c>
      <c r="AJ4093" s="4">
        <v>1</v>
      </c>
      <c r="AK4093" s="4">
        <v>1</v>
      </c>
      <c r="AL4093" s="4">
        <v>20</v>
      </c>
      <c r="AM4093" s="4">
        <v>21</v>
      </c>
      <c r="AN4093" s="4">
        <v>0</v>
      </c>
      <c r="AO4093" s="4">
        <v>0</v>
      </c>
      <c r="AP4093" s="4">
        <v>1</v>
      </c>
      <c r="AQ4093" s="4">
        <v>1</v>
      </c>
      <c r="AR4093" s="3" t="s">
        <v>63</v>
      </c>
      <c r="AS4093" s="3" t="s">
        <v>63</v>
      </c>
      <c r="AT4093" s="3" t="s">
        <v>63</v>
      </c>
      <c r="AV4093" s="6" t="str">
        <f>HYPERLINK("http://mcgill.on.worldcat.org/oclc/949855716","Catalog Record")</f>
        <v>Catalog Record</v>
      </c>
      <c r="AW4093" s="6" t="str">
        <f>HYPERLINK("http://www.worldcat.org/oclc/949855716","WorldCat Record")</f>
        <v>WorldCat Record</v>
      </c>
      <c r="AX4093" s="3" t="s">
        <v>35222</v>
      </c>
      <c r="AY4093" s="3" t="s">
        <v>35223</v>
      </c>
      <c r="AZ4093" s="3" t="s">
        <v>35224</v>
      </c>
      <c r="BA4093" s="3" t="s">
        <v>35224</v>
      </c>
      <c r="BB4093" s="3" t="s">
        <v>35225</v>
      </c>
      <c r="BC4093" s="3" t="s">
        <v>82</v>
      </c>
      <c r="BD4093" s="3" t="s">
        <v>70</v>
      </c>
      <c r="BE4093" s="3" t="s">
        <v>35226</v>
      </c>
      <c r="BF4093" s="3" t="s">
        <v>35225</v>
      </c>
      <c r="BG4093" s="3" t="s">
        <v>35227</v>
      </c>
    </row>
    <row r="4094" spans="1:59" ht="60" x14ac:dyDescent="0.25">
      <c r="A4094" s="2" t="s">
        <v>59</v>
      </c>
      <c r="B4094" s="2" t="s">
        <v>60</v>
      </c>
      <c r="C4094" s="2" t="s">
        <v>35228</v>
      </c>
      <c r="D4094" s="2" t="s">
        <v>35229</v>
      </c>
      <c r="E4094" s="2" t="s">
        <v>35230</v>
      </c>
      <c r="G4094" s="3" t="s">
        <v>63</v>
      </c>
      <c r="I4094" s="3" t="s">
        <v>63</v>
      </c>
      <c r="J4094" s="3" t="s">
        <v>63</v>
      </c>
      <c r="K4094" s="3" t="s">
        <v>64</v>
      </c>
      <c r="L4094" s="2" t="s">
        <v>35221</v>
      </c>
      <c r="M4094" s="2" t="s">
        <v>29585</v>
      </c>
      <c r="N4094" s="3" t="s">
        <v>1557</v>
      </c>
      <c r="P4094" s="3" t="s">
        <v>90</v>
      </c>
      <c r="Q4094" s="2" t="s">
        <v>28975</v>
      </c>
      <c r="R4094" s="3" t="s">
        <v>67</v>
      </c>
      <c r="S4094" s="4">
        <v>2</v>
      </c>
      <c r="T4094" s="4">
        <v>2</v>
      </c>
      <c r="U4094" s="5" t="s">
        <v>7802</v>
      </c>
      <c r="V4094" s="5" t="s">
        <v>7802</v>
      </c>
      <c r="W4094" s="5" t="s">
        <v>69</v>
      </c>
      <c r="X4094" s="5" t="s">
        <v>69</v>
      </c>
      <c r="Y4094" s="4">
        <v>22</v>
      </c>
      <c r="Z4094" s="4">
        <v>1</v>
      </c>
      <c r="AA4094" s="4">
        <v>1</v>
      </c>
      <c r="AB4094" s="4">
        <v>1</v>
      </c>
      <c r="AC4094" s="4">
        <v>1</v>
      </c>
      <c r="AD4094" s="4">
        <v>17</v>
      </c>
      <c r="AE4094" s="4">
        <v>17</v>
      </c>
      <c r="AF4094" s="4">
        <v>0</v>
      </c>
      <c r="AG4094" s="4">
        <v>0</v>
      </c>
      <c r="AH4094" s="4">
        <v>16</v>
      </c>
      <c r="AI4094" s="4">
        <v>16</v>
      </c>
      <c r="AJ4094" s="4">
        <v>0</v>
      </c>
      <c r="AK4094" s="4">
        <v>0</v>
      </c>
      <c r="AL4094" s="4">
        <v>14</v>
      </c>
      <c r="AM4094" s="4">
        <v>14</v>
      </c>
      <c r="AN4094" s="4">
        <v>0</v>
      </c>
      <c r="AO4094" s="4">
        <v>0</v>
      </c>
      <c r="AP4094" s="4">
        <v>0</v>
      </c>
      <c r="AQ4094" s="4">
        <v>0</v>
      </c>
      <c r="AR4094" s="3" t="s">
        <v>63</v>
      </c>
      <c r="AS4094" s="3" t="s">
        <v>63</v>
      </c>
      <c r="AT4094" s="3" t="s">
        <v>63</v>
      </c>
      <c r="AV4094" s="6" t="str">
        <f>HYPERLINK("http://mcgill.on.worldcat.org/oclc/1003151592","Catalog Record")</f>
        <v>Catalog Record</v>
      </c>
      <c r="AW4094" s="6" t="str">
        <f>HYPERLINK("http://www.worldcat.org/oclc/1003151592","WorldCat Record")</f>
        <v>WorldCat Record</v>
      </c>
      <c r="AX4094" s="3" t="s">
        <v>35231</v>
      </c>
      <c r="AY4094" s="3" t="s">
        <v>35232</v>
      </c>
      <c r="AZ4094" s="3" t="s">
        <v>35233</v>
      </c>
      <c r="BA4094" s="3" t="s">
        <v>35233</v>
      </c>
      <c r="BB4094" s="3" t="s">
        <v>35234</v>
      </c>
      <c r="BC4094" s="3" t="s">
        <v>82</v>
      </c>
      <c r="BD4094" s="3" t="s">
        <v>70</v>
      </c>
      <c r="BE4094" s="3" t="s">
        <v>35235</v>
      </c>
      <c r="BF4094" s="3" t="s">
        <v>35234</v>
      </c>
      <c r="BG4094" s="3" t="s">
        <v>35236</v>
      </c>
    </row>
    <row r="4095" spans="1:59" ht="60" x14ac:dyDescent="0.25">
      <c r="A4095" s="2" t="s">
        <v>59</v>
      </c>
      <c r="B4095" s="2" t="s">
        <v>60</v>
      </c>
      <c r="C4095" s="2" t="s">
        <v>35237</v>
      </c>
      <c r="D4095" s="2" t="s">
        <v>35238</v>
      </c>
      <c r="E4095" s="2" t="s">
        <v>35239</v>
      </c>
      <c r="G4095" s="3" t="s">
        <v>63</v>
      </c>
      <c r="I4095" s="3" t="s">
        <v>63</v>
      </c>
      <c r="J4095" s="3" t="s">
        <v>63</v>
      </c>
      <c r="K4095" s="3" t="s">
        <v>64</v>
      </c>
      <c r="L4095" s="2" t="s">
        <v>35221</v>
      </c>
      <c r="M4095" s="2" t="s">
        <v>29194</v>
      </c>
      <c r="N4095" s="3" t="s">
        <v>143</v>
      </c>
      <c r="P4095" s="3" t="s">
        <v>90</v>
      </c>
      <c r="Q4095" s="2" t="s">
        <v>29586</v>
      </c>
      <c r="R4095" s="3" t="s">
        <v>67</v>
      </c>
      <c r="S4095" s="4">
        <v>2</v>
      </c>
      <c r="T4095" s="4">
        <v>2</v>
      </c>
      <c r="U4095" s="5" t="s">
        <v>10909</v>
      </c>
      <c r="V4095" s="5" t="s">
        <v>10909</v>
      </c>
      <c r="W4095" s="5" t="s">
        <v>69</v>
      </c>
      <c r="X4095" s="5" t="s">
        <v>69</v>
      </c>
      <c r="Y4095" s="4">
        <v>54</v>
      </c>
      <c r="Z4095" s="4">
        <v>4</v>
      </c>
      <c r="AA4095" s="4">
        <v>4</v>
      </c>
      <c r="AB4095" s="4">
        <v>1</v>
      </c>
      <c r="AC4095" s="4">
        <v>1</v>
      </c>
      <c r="AD4095" s="4">
        <v>27</v>
      </c>
      <c r="AE4095" s="4">
        <v>28</v>
      </c>
      <c r="AF4095" s="4">
        <v>0</v>
      </c>
      <c r="AG4095" s="4">
        <v>0</v>
      </c>
      <c r="AH4095" s="4">
        <v>26</v>
      </c>
      <c r="AI4095" s="4">
        <v>27</v>
      </c>
      <c r="AJ4095" s="4">
        <v>1</v>
      </c>
      <c r="AK4095" s="4">
        <v>1</v>
      </c>
      <c r="AL4095" s="4">
        <v>21</v>
      </c>
      <c r="AM4095" s="4">
        <v>21</v>
      </c>
      <c r="AN4095" s="4">
        <v>0</v>
      </c>
      <c r="AO4095" s="4">
        <v>0</v>
      </c>
      <c r="AP4095" s="4">
        <v>1</v>
      </c>
      <c r="AQ4095" s="4">
        <v>1</v>
      </c>
      <c r="AR4095" s="3" t="s">
        <v>63</v>
      </c>
      <c r="AS4095" s="3" t="s">
        <v>63</v>
      </c>
      <c r="AT4095" s="3" t="s">
        <v>63</v>
      </c>
      <c r="AV4095" s="6" t="str">
        <f>HYPERLINK("http://mcgill.on.worldcat.org/oclc/873559214","Catalog Record")</f>
        <v>Catalog Record</v>
      </c>
      <c r="AW4095" s="6" t="str">
        <f>HYPERLINK("http://www.worldcat.org/oclc/873559214","WorldCat Record")</f>
        <v>WorldCat Record</v>
      </c>
      <c r="AX4095" s="3" t="s">
        <v>35240</v>
      </c>
      <c r="AY4095" s="3" t="s">
        <v>35241</v>
      </c>
      <c r="AZ4095" s="3" t="s">
        <v>35242</v>
      </c>
      <c r="BA4095" s="3" t="s">
        <v>35242</v>
      </c>
      <c r="BB4095" s="3" t="s">
        <v>35243</v>
      </c>
      <c r="BC4095" s="3" t="s">
        <v>82</v>
      </c>
      <c r="BD4095" s="3" t="s">
        <v>70</v>
      </c>
      <c r="BE4095" s="3" t="s">
        <v>35244</v>
      </c>
      <c r="BF4095" s="3" t="s">
        <v>35243</v>
      </c>
      <c r="BG4095" s="3" t="s">
        <v>35245</v>
      </c>
    </row>
    <row r="4096" spans="1:59" ht="60" x14ac:dyDescent="0.25">
      <c r="A4096" s="2" t="s">
        <v>59</v>
      </c>
      <c r="B4096" s="2" t="s">
        <v>60</v>
      </c>
      <c r="C4096" s="2" t="s">
        <v>35246</v>
      </c>
      <c r="D4096" s="2" t="s">
        <v>35247</v>
      </c>
      <c r="E4096" s="2" t="s">
        <v>35248</v>
      </c>
      <c r="G4096" s="3" t="s">
        <v>63</v>
      </c>
      <c r="I4096" s="3" t="s">
        <v>63</v>
      </c>
      <c r="J4096" s="3" t="s">
        <v>63</v>
      </c>
      <c r="K4096" s="3" t="s">
        <v>64</v>
      </c>
      <c r="L4096" s="2" t="s">
        <v>35249</v>
      </c>
      <c r="M4096" s="2" t="s">
        <v>35250</v>
      </c>
      <c r="N4096" s="3" t="s">
        <v>362</v>
      </c>
      <c r="P4096" s="3" t="s">
        <v>90</v>
      </c>
      <c r="R4096" s="3" t="s">
        <v>67</v>
      </c>
      <c r="S4096" s="4">
        <v>8</v>
      </c>
      <c r="T4096" s="4">
        <v>8</v>
      </c>
      <c r="U4096" s="5" t="s">
        <v>12898</v>
      </c>
      <c r="V4096" s="5" t="s">
        <v>12898</v>
      </c>
      <c r="W4096" s="5" t="s">
        <v>69</v>
      </c>
      <c r="X4096" s="5" t="s">
        <v>69</v>
      </c>
      <c r="Y4096" s="4">
        <v>32</v>
      </c>
      <c r="Z4096" s="4">
        <v>3</v>
      </c>
      <c r="AA4096" s="4">
        <v>3</v>
      </c>
      <c r="AB4096" s="4">
        <v>1</v>
      </c>
      <c r="AC4096" s="4">
        <v>1</v>
      </c>
      <c r="AD4096" s="4">
        <v>20</v>
      </c>
      <c r="AE4096" s="4">
        <v>20</v>
      </c>
      <c r="AF4096" s="4">
        <v>0</v>
      </c>
      <c r="AG4096" s="4">
        <v>0</v>
      </c>
      <c r="AH4096" s="4">
        <v>19</v>
      </c>
      <c r="AI4096" s="4">
        <v>19</v>
      </c>
      <c r="AJ4096" s="4">
        <v>1</v>
      </c>
      <c r="AK4096" s="4">
        <v>1</v>
      </c>
      <c r="AL4096" s="4">
        <v>18</v>
      </c>
      <c r="AM4096" s="4">
        <v>18</v>
      </c>
      <c r="AN4096" s="4">
        <v>0</v>
      </c>
      <c r="AO4096" s="4">
        <v>0</v>
      </c>
      <c r="AP4096" s="4">
        <v>1</v>
      </c>
      <c r="AQ4096" s="4">
        <v>1</v>
      </c>
      <c r="AR4096" s="3" t="s">
        <v>63</v>
      </c>
      <c r="AS4096" s="3" t="s">
        <v>63</v>
      </c>
      <c r="AT4096" s="3" t="s">
        <v>63</v>
      </c>
      <c r="AV4096" s="6" t="str">
        <f>HYPERLINK("http://mcgill.on.worldcat.org/oclc/50655616","Catalog Record")</f>
        <v>Catalog Record</v>
      </c>
      <c r="AW4096" s="6" t="str">
        <f>HYPERLINK("http://www.worldcat.org/oclc/50655616","WorldCat Record")</f>
        <v>WorldCat Record</v>
      </c>
      <c r="AX4096" s="3" t="s">
        <v>35251</v>
      </c>
      <c r="AY4096" s="3" t="s">
        <v>35252</v>
      </c>
      <c r="AZ4096" s="3" t="s">
        <v>35253</v>
      </c>
      <c r="BA4096" s="3" t="s">
        <v>35253</v>
      </c>
      <c r="BB4096" s="3" t="s">
        <v>35254</v>
      </c>
      <c r="BC4096" s="3" t="s">
        <v>82</v>
      </c>
      <c r="BD4096" s="3" t="s">
        <v>70</v>
      </c>
      <c r="BE4096" s="3" t="s">
        <v>35255</v>
      </c>
      <c r="BF4096" s="3" t="s">
        <v>35254</v>
      </c>
      <c r="BG4096" s="3" t="s">
        <v>35256</v>
      </c>
    </row>
    <row r="4097" spans="1:59" ht="60" x14ac:dyDescent="0.25">
      <c r="A4097" s="2" t="s">
        <v>59</v>
      </c>
      <c r="B4097" s="2" t="s">
        <v>60</v>
      </c>
      <c r="C4097" s="2" t="s">
        <v>35257</v>
      </c>
      <c r="D4097" s="2" t="s">
        <v>35258</v>
      </c>
      <c r="E4097" s="2" t="s">
        <v>35259</v>
      </c>
      <c r="G4097" s="3" t="s">
        <v>63</v>
      </c>
      <c r="I4097" s="3" t="s">
        <v>63</v>
      </c>
      <c r="J4097" s="3" t="s">
        <v>63</v>
      </c>
      <c r="K4097" s="3" t="s">
        <v>64</v>
      </c>
      <c r="L4097" s="2" t="s">
        <v>35260</v>
      </c>
      <c r="M4097" s="2" t="s">
        <v>35261</v>
      </c>
      <c r="N4097" s="3" t="s">
        <v>326</v>
      </c>
      <c r="P4097" s="3" t="s">
        <v>90</v>
      </c>
      <c r="R4097" s="3" t="s">
        <v>67</v>
      </c>
      <c r="S4097" s="4">
        <v>1</v>
      </c>
      <c r="T4097" s="4">
        <v>1</v>
      </c>
      <c r="U4097" s="5" t="s">
        <v>21865</v>
      </c>
      <c r="V4097" s="5" t="s">
        <v>21865</v>
      </c>
      <c r="W4097" s="5" t="s">
        <v>69</v>
      </c>
      <c r="X4097" s="5" t="s">
        <v>69</v>
      </c>
      <c r="Y4097" s="4">
        <v>3</v>
      </c>
      <c r="Z4097" s="4">
        <v>2</v>
      </c>
      <c r="AA4097" s="4">
        <v>2</v>
      </c>
      <c r="AB4097" s="4">
        <v>2</v>
      </c>
      <c r="AC4097" s="4">
        <v>2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3" t="s">
        <v>63</v>
      </c>
      <c r="AS4097" s="3" t="s">
        <v>63</v>
      </c>
      <c r="AT4097" s="3" t="s">
        <v>63</v>
      </c>
      <c r="AV4097" s="6" t="str">
        <f>HYPERLINK("http://mcgill.on.worldcat.org/oclc/318665216","Catalog Record")</f>
        <v>Catalog Record</v>
      </c>
      <c r="AW4097" s="6" t="str">
        <f>HYPERLINK("http://www.worldcat.org/oclc/318665216","WorldCat Record")</f>
        <v>WorldCat Record</v>
      </c>
      <c r="AX4097" s="3" t="s">
        <v>35262</v>
      </c>
      <c r="AY4097" s="3" t="s">
        <v>35263</v>
      </c>
      <c r="AZ4097" s="3" t="s">
        <v>35264</v>
      </c>
      <c r="BA4097" s="3" t="s">
        <v>35264</v>
      </c>
      <c r="BB4097" s="3" t="s">
        <v>35265</v>
      </c>
      <c r="BC4097" s="3" t="s">
        <v>82</v>
      </c>
      <c r="BD4097" s="3" t="s">
        <v>70</v>
      </c>
      <c r="BE4097" s="3" t="s">
        <v>35266</v>
      </c>
      <c r="BF4097" s="3" t="s">
        <v>35265</v>
      </c>
      <c r="BG4097" s="3" t="s">
        <v>35267</v>
      </c>
    </row>
    <row r="4098" spans="1:59" ht="60" x14ac:dyDescent="0.25">
      <c r="A4098" s="2" t="s">
        <v>59</v>
      </c>
      <c r="B4098" s="2" t="s">
        <v>60</v>
      </c>
      <c r="C4098" s="2" t="s">
        <v>35268</v>
      </c>
      <c r="D4098" s="2" t="s">
        <v>35269</v>
      </c>
      <c r="E4098" s="2" t="s">
        <v>35270</v>
      </c>
      <c r="G4098" s="3" t="s">
        <v>63</v>
      </c>
      <c r="I4098" s="3" t="s">
        <v>63</v>
      </c>
      <c r="J4098" s="3" t="s">
        <v>63</v>
      </c>
      <c r="K4098" s="3" t="s">
        <v>64</v>
      </c>
      <c r="L4098" s="2" t="s">
        <v>35271</v>
      </c>
      <c r="M4098" s="2" t="s">
        <v>35272</v>
      </c>
      <c r="N4098" s="3" t="s">
        <v>287</v>
      </c>
      <c r="P4098" s="3" t="s">
        <v>90</v>
      </c>
      <c r="Q4098" s="2" t="s">
        <v>34589</v>
      </c>
      <c r="R4098" s="3" t="s">
        <v>67</v>
      </c>
      <c r="S4098" s="4">
        <v>2</v>
      </c>
      <c r="T4098" s="4">
        <v>2</v>
      </c>
      <c r="U4098" s="5" t="s">
        <v>2795</v>
      </c>
      <c r="V4098" s="5" t="s">
        <v>2795</v>
      </c>
      <c r="W4098" s="5" t="s">
        <v>69</v>
      </c>
      <c r="X4098" s="5" t="s">
        <v>69</v>
      </c>
      <c r="Y4098" s="4">
        <v>41</v>
      </c>
      <c r="Z4098" s="4">
        <v>3</v>
      </c>
      <c r="AA4098" s="4">
        <v>3</v>
      </c>
      <c r="AB4098" s="4">
        <v>1</v>
      </c>
      <c r="AC4098" s="4">
        <v>1</v>
      </c>
      <c r="AD4098" s="4">
        <v>33</v>
      </c>
      <c r="AE4098" s="4">
        <v>33</v>
      </c>
      <c r="AF4098" s="4">
        <v>0</v>
      </c>
      <c r="AG4098" s="4">
        <v>0</v>
      </c>
      <c r="AH4098" s="4">
        <v>32</v>
      </c>
      <c r="AI4098" s="4">
        <v>32</v>
      </c>
      <c r="AJ4098" s="4">
        <v>2</v>
      </c>
      <c r="AK4098" s="4">
        <v>2</v>
      </c>
      <c r="AL4098" s="4">
        <v>24</v>
      </c>
      <c r="AM4098" s="4">
        <v>24</v>
      </c>
      <c r="AN4098" s="4">
        <v>0</v>
      </c>
      <c r="AO4098" s="4">
        <v>0</v>
      </c>
      <c r="AP4098" s="4">
        <v>2</v>
      </c>
      <c r="AQ4098" s="4">
        <v>2</v>
      </c>
      <c r="AR4098" s="3" t="s">
        <v>63</v>
      </c>
      <c r="AS4098" s="3" t="s">
        <v>63</v>
      </c>
      <c r="AT4098" s="3" t="s">
        <v>63</v>
      </c>
      <c r="AV4098" s="6" t="str">
        <f>HYPERLINK("http://mcgill.on.worldcat.org/oclc/1050144575","Catalog Record")</f>
        <v>Catalog Record</v>
      </c>
      <c r="AW4098" s="6" t="str">
        <f>HYPERLINK("http://www.worldcat.org/oclc/1050144575","WorldCat Record")</f>
        <v>WorldCat Record</v>
      </c>
      <c r="AX4098" s="3" t="s">
        <v>35273</v>
      </c>
      <c r="AY4098" s="3" t="s">
        <v>35274</v>
      </c>
      <c r="AZ4098" s="3" t="s">
        <v>35275</v>
      </c>
      <c r="BA4098" s="3" t="s">
        <v>35275</v>
      </c>
      <c r="BB4098" s="3" t="s">
        <v>35276</v>
      </c>
      <c r="BC4098" s="3" t="s">
        <v>82</v>
      </c>
      <c r="BD4098" s="3" t="s">
        <v>70</v>
      </c>
      <c r="BE4098" s="3" t="s">
        <v>35277</v>
      </c>
      <c r="BF4098" s="3" t="s">
        <v>35276</v>
      </c>
      <c r="BG4098" s="3" t="s">
        <v>35278</v>
      </c>
    </row>
    <row r="4099" spans="1:59" ht="75" x14ac:dyDescent="0.25">
      <c r="A4099" s="2" t="s">
        <v>59</v>
      </c>
      <c r="B4099" s="2" t="s">
        <v>60</v>
      </c>
      <c r="C4099" s="2" t="s">
        <v>35279</v>
      </c>
      <c r="D4099" s="2" t="s">
        <v>35280</v>
      </c>
      <c r="E4099" s="2" t="s">
        <v>35281</v>
      </c>
      <c r="G4099" s="3" t="s">
        <v>63</v>
      </c>
      <c r="I4099" s="3" t="s">
        <v>63</v>
      </c>
      <c r="J4099" s="3" t="s">
        <v>63</v>
      </c>
      <c r="K4099" s="3" t="s">
        <v>64</v>
      </c>
      <c r="L4099" s="2" t="s">
        <v>35282</v>
      </c>
      <c r="M4099" s="2" t="s">
        <v>35283</v>
      </c>
      <c r="N4099" s="3" t="s">
        <v>76</v>
      </c>
      <c r="P4099" s="3" t="s">
        <v>90</v>
      </c>
      <c r="R4099" s="3" t="s">
        <v>67</v>
      </c>
      <c r="S4099" s="4">
        <v>1</v>
      </c>
      <c r="T4099" s="4">
        <v>1</v>
      </c>
      <c r="U4099" s="5" t="s">
        <v>28976</v>
      </c>
      <c r="V4099" s="5" t="s">
        <v>28976</v>
      </c>
      <c r="W4099" s="5" t="s">
        <v>69</v>
      </c>
      <c r="X4099" s="5" t="s">
        <v>69</v>
      </c>
      <c r="Y4099" s="4">
        <v>39</v>
      </c>
      <c r="Z4099" s="4">
        <v>4</v>
      </c>
      <c r="AA4099" s="4">
        <v>4</v>
      </c>
      <c r="AB4099" s="4">
        <v>1</v>
      </c>
      <c r="AC4099" s="4">
        <v>1</v>
      </c>
      <c r="AD4099" s="4">
        <v>27</v>
      </c>
      <c r="AE4099" s="4">
        <v>27</v>
      </c>
      <c r="AF4099" s="4">
        <v>0</v>
      </c>
      <c r="AG4099" s="4">
        <v>0</v>
      </c>
      <c r="AH4099" s="4">
        <v>26</v>
      </c>
      <c r="AI4099" s="4">
        <v>26</v>
      </c>
      <c r="AJ4099" s="4">
        <v>2</v>
      </c>
      <c r="AK4099" s="4">
        <v>2</v>
      </c>
      <c r="AL4099" s="4">
        <v>21</v>
      </c>
      <c r="AM4099" s="4">
        <v>21</v>
      </c>
      <c r="AN4099" s="4">
        <v>0</v>
      </c>
      <c r="AO4099" s="4">
        <v>0</v>
      </c>
      <c r="AP4099" s="4">
        <v>2</v>
      </c>
      <c r="AQ4099" s="4">
        <v>2</v>
      </c>
      <c r="AR4099" s="3" t="s">
        <v>63</v>
      </c>
      <c r="AS4099" s="3" t="s">
        <v>63</v>
      </c>
      <c r="AT4099" s="3" t="s">
        <v>63</v>
      </c>
      <c r="AV4099" s="6" t="str">
        <f>HYPERLINK("http://mcgill.on.worldcat.org/oclc/781684058","Catalog Record")</f>
        <v>Catalog Record</v>
      </c>
      <c r="AW4099" s="6" t="str">
        <f>HYPERLINK("http://www.worldcat.org/oclc/781684058","WorldCat Record")</f>
        <v>WorldCat Record</v>
      </c>
      <c r="AX4099" s="3" t="s">
        <v>35284</v>
      </c>
      <c r="AY4099" s="3" t="s">
        <v>35285</v>
      </c>
      <c r="AZ4099" s="3" t="s">
        <v>35286</v>
      </c>
      <c r="BA4099" s="3" t="s">
        <v>35286</v>
      </c>
      <c r="BB4099" s="3" t="s">
        <v>35287</v>
      </c>
      <c r="BC4099" s="3" t="s">
        <v>82</v>
      </c>
      <c r="BD4099" s="3" t="s">
        <v>70</v>
      </c>
      <c r="BE4099" s="3" t="s">
        <v>35288</v>
      </c>
      <c r="BF4099" s="3" t="s">
        <v>35287</v>
      </c>
      <c r="BG4099" s="3" t="s">
        <v>35289</v>
      </c>
    </row>
    <row r="4100" spans="1:59" ht="75" x14ac:dyDescent="0.25">
      <c r="A4100" s="2" t="s">
        <v>59</v>
      </c>
      <c r="B4100" s="2" t="s">
        <v>60</v>
      </c>
      <c r="C4100" s="2" t="s">
        <v>35290</v>
      </c>
      <c r="D4100" s="2" t="s">
        <v>35291</v>
      </c>
      <c r="E4100" s="2" t="s">
        <v>35292</v>
      </c>
      <c r="G4100" s="3" t="s">
        <v>63</v>
      </c>
      <c r="I4100" s="3" t="s">
        <v>63</v>
      </c>
      <c r="J4100" s="3" t="s">
        <v>63</v>
      </c>
      <c r="K4100" s="3" t="s">
        <v>64</v>
      </c>
      <c r="L4100" s="2" t="s">
        <v>35293</v>
      </c>
      <c r="M4100" s="2" t="s">
        <v>35294</v>
      </c>
      <c r="N4100" s="3" t="s">
        <v>143</v>
      </c>
      <c r="P4100" s="3" t="s">
        <v>90</v>
      </c>
      <c r="R4100" s="3" t="s">
        <v>67</v>
      </c>
      <c r="S4100" s="4">
        <v>2</v>
      </c>
      <c r="T4100" s="4">
        <v>2</v>
      </c>
      <c r="U4100" s="5" t="s">
        <v>7802</v>
      </c>
      <c r="V4100" s="5" t="s">
        <v>7802</v>
      </c>
      <c r="W4100" s="5" t="s">
        <v>69</v>
      </c>
      <c r="X4100" s="5" t="s">
        <v>69</v>
      </c>
      <c r="Y4100" s="4">
        <v>25</v>
      </c>
      <c r="Z4100" s="4">
        <v>3</v>
      </c>
      <c r="AA4100" s="4">
        <v>3</v>
      </c>
      <c r="AB4100" s="4">
        <v>1</v>
      </c>
      <c r="AC4100" s="4">
        <v>1</v>
      </c>
      <c r="AD4100" s="4">
        <v>17</v>
      </c>
      <c r="AE4100" s="4">
        <v>17</v>
      </c>
      <c r="AF4100" s="4">
        <v>0</v>
      </c>
      <c r="AG4100" s="4">
        <v>0</v>
      </c>
      <c r="AH4100" s="4">
        <v>16</v>
      </c>
      <c r="AI4100" s="4">
        <v>16</v>
      </c>
      <c r="AJ4100" s="4">
        <v>1</v>
      </c>
      <c r="AK4100" s="4">
        <v>1</v>
      </c>
      <c r="AL4100" s="4">
        <v>14</v>
      </c>
      <c r="AM4100" s="4">
        <v>14</v>
      </c>
      <c r="AN4100" s="4">
        <v>0</v>
      </c>
      <c r="AO4100" s="4">
        <v>0</v>
      </c>
      <c r="AP4100" s="4">
        <v>1</v>
      </c>
      <c r="AQ4100" s="4">
        <v>1</v>
      </c>
      <c r="AR4100" s="3" t="s">
        <v>63</v>
      </c>
      <c r="AS4100" s="3" t="s">
        <v>63</v>
      </c>
      <c r="AT4100" s="3" t="s">
        <v>63</v>
      </c>
      <c r="AV4100" s="6" t="str">
        <f>HYPERLINK("http://mcgill.on.worldcat.org/oclc/894077350","Catalog Record")</f>
        <v>Catalog Record</v>
      </c>
      <c r="AW4100" s="6" t="str">
        <f>HYPERLINK("http://www.worldcat.org/oclc/894077350","WorldCat Record")</f>
        <v>WorldCat Record</v>
      </c>
      <c r="AX4100" s="3" t="s">
        <v>35295</v>
      </c>
      <c r="AY4100" s="3" t="s">
        <v>35296</v>
      </c>
      <c r="AZ4100" s="3" t="s">
        <v>35297</v>
      </c>
      <c r="BA4100" s="3" t="s">
        <v>35297</v>
      </c>
      <c r="BB4100" s="3" t="s">
        <v>35298</v>
      </c>
      <c r="BC4100" s="3" t="s">
        <v>82</v>
      </c>
      <c r="BD4100" s="3" t="s">
        <v>70</v>
      </c>
      <c r="BE4100" s="3" t="s">
        <v>35299</v>
      </c>
      <c r="BF4100" s="3" t="s">
        <v>35298</v>
      </c>
      <c r="BG4100" s="3" t="s">
        <v>35300</v>
      </c>
    </row>
    <row r="4101" spans="1:59" ht="60" x14ac:dyDescent="0.25">
      <c r="A4101" s="2" t="s">
        <v>59</v>
      </c>
      <c r="B4101" s="2" t="s">
        <v>60</v>
      </c>
      <c r="C4101" s="2" t="s">
        <v>35301</v>
      </c>
      <c r="D4101" s="2" t="s">
        <v>35302</v>
      </c>
      <c r="E4101" s="2" t="s">
        <v>35303</v>
      </c>
      <c r="G4101" s="3" t="s">
        <v>63</v>
      </c>
      <c r="I4101" s="3" t="s">
        <v>63</v>
      </c>
      <c r="J4101" s="3" t="s">
        <v>63</v>
      </c>
      <c r="K4101" s="3" t="s">
        <v>64</v>
      </c>
      <c r="L4101" s="2" t="s">
        <v>35304</v>
      </c>
      <c r="M4101" s="2" t="s">
        <v>6355</v>
      </c>
      <c r="N4101" s="3" t="s">
        <v>2765</v>
      </c>
      <c r="P4101" s="3" t="s">
        <v>90</v>
      </c>
      <c r="Q4101" s="2" t="s">
        <v>28975</v>
      </c>
      <c r="R4101" s="3" t="s">
        <v>67</v>
      </c>
      <c r="S4101" s="4">
        <v>3</v>
      </c>
      <c r="T4101" s="4">
        <v>3</v>
      </c>
      <c r="U4101" s="5" t="s">
        <v>214</v>
      </c>
      <c r="V4101" s="5" t="s">
        <v>214</v>
      </c>
      <c r="W4101" s="5" t="s">
        <v>69</v>
      </c>
      <c r="X4101" s="5" t="s">
        <v>69</v>
      </c>
      <c r="Y4101" s="4">
        <v>31</v>
      </c>
      <c r="Z4101" s="4">
        <v>5</v>
      </c>
      <c r="AA4101" s="4">
        <v>5</v>
      </c>
      <c r="AB4101" s="4">
        <v>1</v>
      </c>
      <c r="AC4101" s="4">
        <v>1</v>
      </c>
      <c r="AD4101" s="4">
        <v>22</v>
      </c>
      <c r="AE4101" s="4">
        <v>22</v>
      </c>
      <c r="AF4101" s="4">
        <v>0</v>
      </c>
      <c r="AG4101" s="4">
        <v>0</v>
      </c>
      <c r="AH4101" s="4">
        <v>21</v>
      </c>
      <c r="AI4101" s="4">
        <v>21</v>
      </c>
      <c r="AJ4101" s="4">
        <v>1</v>
      </c>
      <c r="AK4101" s="4">
        <v>1</v>
      </c>
      <c r="AL4101" s="4">
        <v>18</v>
      </c>
      <c r="AM4101" s="4">
        <v>18</v>
      </c>
      <c r="AN4101" s="4">
        <v>0</v>
      </c>
      <c r="AO4101" s="4">
        <v>0</v>
      </c>
      <c r="AP4101" s="4">
        <v>1</v>
      </c>
      <c r="AQ4101" s="4">
        <v>1</v>
      </c>
      <c r="AR4101" s="3" t="s">
        <v>63</v>
      </c>
      <c r="AS4101" s="3" t="s">
        <v>63</v>
      </c>
      <c r="AT4101" s="3" t="s">
        <v>63</v>
      </c>
      <c r="AV4101" s="6" t="str">
        <f>HYPERLINK("http://mcgill.on.worldcat.org/oclc/900162622","Catalog Record")</f>
        <v>Catalog Record</v>
      </c>
      <c r="AW4101" s="6" t="str">
        <f>HYPERLINK("http://www.worldcat.org/oclc/900162622","WorldCat Record")</f>
        <v>WorldCat Record</v>
      </c>
      <c r="AX4101" s="3" t="s">
        <v>35305</v>
      </c>
      <c r="AY4101" s="3" t="s">
        <v>35306</v>
      </c>
      <c r="AZ4101" s="3" t="s">
        <v>35307</v>
      </c>
      <c r="BA4101" s="3" t="s">
        <v>35307</v>
      </c>
      <c r="BB4101" s="3" t="s">
        <v>35308</v>
      </c>
      <c r="BC4101" s="3" t="s">
        <v>82</v>
      </c>
      <c r="BD4101" s="3" t="s">
        <v>70</v>
      </c>
      <c r="BE4101" s="3" t="s">
        <v>35309</v>
      </c>
      <c r="BF4101" s="3" t="s">
        <v>35308</v>
      </c>
      <c r="BG4101" s="3" t="s">
        <v>35310</v>
      </c>
    </row>
    <row r="4102" spans="1:59" ht="60" x14ac:dyDescent="0.25">
      <c r="A4102" s="2" t="s">
        <v>59</v>
      </c>
      <c r="B4102" s="2" t="s">
        <v>60</v>
      </c>
      <c r="C4102" s="2" t="s">
        <v>35311</v>
      </c>
      <c r="D4102" s="2" t="s">
        <v>35312</v>
      </c>
      <c r="E4102" s="2" t="s">
        <v>35313</v>
      </c>
      <c r="G4102" s="3" t="s">
        <v>63</v>
      </c>
      <c r="I4102" s="3" t="s">
        <v>63</v>
      </c>
      <c r="J4102" s="3" t="s">
        <v>63</v>
      </c>
      <c r="K4102" s="3" t="s">
        <v>64</v>
      </c>
      <c r="L4102" s="2" t="s">
        <v>35304</v>
      </c>
      <c r="M4102" s="2" t="s">
        <v>30280</v>
      </c>
      <c r="N4102" s="3" t="s">
        <v>287</v>
      </c>
      <c r="P4102" s="3" t="s">
        <v>90</v>
      </c>
      <c r="Q4102" s="2" t="s">
        <v>28975</v>
      </c>
      <c r="R4102" s="3" t="s">
        <v>67</v>
      </c>
      <c r="S4102" s="4">
        <v>1</v>
      </c>
      <c r="T4102" s="4">
        <v>1</v>
      </c>
      <c r="U4102" s="5" t="s">
        <v>26057</v>
      </c>
      <c r="V4102" s="5" t="s">
        <v>26057</v>
      </c>
      <c r="W4102" s="5" t="s">
        <v>69</v>
      </c>
      <c r="X4102" s="5" t="s">
        <v>69</v>
      </c>
      <c r="Y4102" s="4">
        <v>10</v>
      </c>
      <c r="Z4102" s="4">
        <v>2</v>
      </c>
      <c r="AA4102" s="4">
        <v>2</v>
      </c>
      <c r="AB4102" s="4">
        <v>1</v>
      </c>
      <c r="AC4102" s="4">
        <v>1</v>
      </c>
      <c r="AD4102" s="4">
        <v>7</v>
      </c>
      <c r="AE4102" s="4">
        <v>7</v>
      </c>
      <c r="AF4102" s="4">
        <v>0</v>
      </c>
      <c r="AG4102" s="4">
        <v>0</v>
      </c>
      <c r="AH4102" s="4">
        <v>6</v>
      </c>
      <c r="AI4102" s="4">
        <v>6</v>
      </c>
      <c r="AJ4102" s="4">
        <v>0</v>
      </c>
      <c r="AK4102" s="4">
        <v>0</v>
      </c>
      <c r="AL4102" s="4">
        <v>6</v>
      </c>
      <c r="AM4102" s="4">
        <v>6</v>
      </c>
      <c r="AN4102" s="4">
        <v>0</v>
      </c>
      <c r="AO4102" s="4">
        <v>0</v>
      </c>
      <c r="AP4102" s="4">
        <v>0</v>
      </c>
      <c r="AQ4102" s="4">
        <v>0</v>
      </c>
      <c r="AR4102" s="3" t="s">
        <v>63</v>
      </c>
      <c r="AS4102" s="3" t="s">
        <v>63</v>
      </c>
      <c r="AT4102" s="3" t="s">
        <v>63</v>
      </c>
      <c r="AV4102" s="6" t="str">
        <f>HYPERLINK("http://mcgill.on.worldcat.org/oclc/1039624799","Catalog Record")</f>
        <v>Catalog Record</v>
      </c>
      <c r="AW4102" s="6" t="str">
        <f>HYPERLINK("http://www.worldcat.org/oclc/1039624799","WorldCat Record")</f>
        <v>WorldCat Record</v>
      </c>
      <c r="AX4102" s="3" t="s">
        <v>35314</v>
      </c>
      <c r="AY4102" s="3" t="s">
        <v>35315</v>
      </c>
      <c r="AZ4102" s="3" t="s">
        <v>35316</v>
      </c>
      <c r="BA4102" s="3" t="s">
        <v>35316</v>
      </c>
      <c r="BB4102" s="3" t="s">
        <v>35317</v>
      </c>
      <c r="BC4102" s="3" t="s">
        <v>82</v>
      </c>
      <c r="BD4102" s="3" t="s">
        <v>70</v>
      </c>
      <c r="BE4102" s="3" t="s">
        <v>35318</v>
      </c>
      <c r="BF4102" s="3" t="s">
        <v>35317</v>
      </c>
      <c r="BG4102" s="3" t="s">
        <v>35319</v>
      </c>
    </row>
    <row r="4103" spans="1:59" ht="60" x14ac:dyDescent="0.25">
      <c r="A4103" s="2" t="s">
        <v>59</v>
      </c>
      <c r="B4103" s="2" t="s">
        <v>60</v>
      </c>
      <c r="C4103" s="2" t="s">
        <v>35320</v>
      </c>
      <c r="D4103" s="2" t="s">
        <v>35321</v>
      </c>
      <c r="E4103" s="2" t="s">
        <v>35322</v>
      </c>
      <c r="G4103" s="3" t="s">
        <v>63</v>
      </c>
      <c r="I4103" s="3" t="s">
        <v>63</v>
      </c>
      <c r="J4103" s="3" t="s">
        <v>63</v>
      </c>
      <c r="K4103" s="3" t="s">
        <v>64</v>
      </c>
      <c r="L4103" s="2" t="s">
        <v>35323</v>
      </c>
      <c r="M4103" s="2" t="s">
        <v>35324</v>
      </c>
      <c r="N4103" s="3" t="s">
        <v>143</v>
      </c>
      <c r="P4103" s="3" t="s">
        <v>90</v>
      </c>
      <c r="R4103" s="3" t="s">
        <v>67</v>
      </c>
      <c r="S4103" s="4">
        <v>0</v>
      </c>
      <c r="T4103" s="4">
        <v>0</v>
      </c>
      <c r="W4103" s="5" t="s">
        <v>69</v>
      </c>
      <c r="X4103" s="5" t="s">
        <v>69</v>
      </c>
      <c r="Y4103" s="4">
        <v>9</v>
      </c>
      <c r="Z4103" s="4">
        <v>1</v>
      </c>
      <c r="AA4103" s="4">
        <v>1</v>
      </c>
      <c r="AB4103" s="4">
        <v>1</v>
      </c>
      <c r="AC4103" s="4">
        <v>1</v>
      </c>
      <c r="AD4103" s="4">
        <v>7</v>
      </c>
      <c r="AE4103" s="4">
        <v>7</v>
      </c>
      <c r="AF4103" s="4">
        <v>0</v>
      </c>
      <c r="AG4103" s="4">
        <v>0</v>
      </c>
      <c r="AH4103" s="4">
        <v>7</v>
      </c>
      <c r="AI4103" s="4">
        <v>7</v>
      </c>
      <c r="AJ4103" s="4">
        <v>0</v>
      </c>
      <c r="AK4103" s="4">
        <v>0</v>
      </c>
      <c r="AL4103" s="4">
        <v>5</v>
      </c>
      <c r="AM4103" s="4">
        <v>5</v>
      </c>
      <c r="AN4103" s="4">
        <v>0</v>
      </c>
      <c r="AO4103" s="4">
        <v>0</v>
      </c>
      <c r="AP4103" s="4">
        <v>0</v>
      </c>
      <c r="AQ4103" s="4">
        <v>0</v>
      </c>
      <c r="AR4103" s="3" t="s">
        <v>63</v>
      </c>
      <c r="AS4103" s="3" t="s">
        <v>63</v>
      </c>
      <c r="AT4103" s="3" t="s">
        <v>63</v>
      </c>
      <c r="AV4103" s="6" t="str">
        <f>HYPERLINK("http://mcgill.on.worldcat.org/oclc/897834854","Catalog Record")</f>
        <v>Catalog Record</v>
      </c>
      <c r="AW4103" s="6" t="str">
        <f>HYPERLINK("http://www.worldcat.org/oclc/897834854","WorldCat Record")</f>
        <v>WorldCat Record</v>
      </c>
      <c r="AX4103" s="3" t="s">
        <v>35325</v>
      </c>
      <c r="AY4103" s="3" t="s">
        <v>35326</v>
      </c>
      <c r="AZ4103" s="3" t="s">
        <v>35327</v>
      </c>
      <c r="BA4103" s="3" t="s">
        <v>35327</v>
      </c>
      <c r="BB4103" s="3" t="s">
        <v>35328</v>
      </c>
      <c r="BC4103" s="3" t="s">
        <v>82</v>
      </c>
      <c r="BD4103" s="3" t="s">
        <v>70</v>
      </c>
      <c r="BE4103" s="3" t="s">
        <v>35329</v>
      </c>
      <c r="BF4103" s="3" t="s">
        <v>35328</v>
      </c>
      <c r="BG4103" s="3" t="s">
        <v>35330</v>
      </c>
    </row>
    <row r="4104" spans="1:59" ht="60" x14ac:dyDescent="0.25">
      <c r="A4104" s="2" t="s">
        <v>59</v>
      </c>
      <c r="B4104" s="2" t="s">
        <v>60</v>
      </c>
      <c r="C4104" s="2" t="s">
        <v>35331</v>
      </c>
      <c r="D4104" s="2" t="s">
        <v>35332</v>
      </c>
      <c r="E4104" s="2" t="s">
        <v>35333</v>
      </c>
      <c r="G4104" s="3" t="s">
        <v>63</v>
      </c>
      <c r="I4104" s="3" t="s">
        <v>63</v>
      </c>
      <c r="J4104" s="3" t="s">
        <v>63</v>
      </c>
      <c r="K4104" s="3" t="s">
        <v>64</v>
      </c>
      <c r="L4104" s="2" t="s">
        <v>35334</v>
      </c>
      <c r="M4104" s="2" t="s">
        <v>35335</v>
      </c>
      <c r="N4104" s="3" t="s">
        <v>143</v>
      </c>
      <c r="P4104" s="3" t="s">
        <v>90</v>
      </c>
      <c r="R4104" s="3" t="s">
        <v>67</v>
      </c>
      <c r="S4104" s="4">
        <v>1</v>
      </c>
      <c r="T4104" s="4">
        <v>1</v>
      </c>
      <c r="U4104" s="5" t="s">
        <v>7802</v>
      </c>
      <c r="V4104" s="5" t="s">
        <v>7802</v>
      </c>
      <c r="W4104" s="5" t="s">
        <v>69</v>
      </c>
      <c r="X4104" s="5" t="s">
        <v>69</v>
      </c>
      <c r="Y4104" s="4">
        <v>21</v>
      </c>
      <c r="Z4104" s="4">
        <v>1</v>
      </c>
      <c r="AA4104" s="4">
        <v>1</v>
      </c>
      <c r="AB4104" s="4">
        <v>1</v>
      </c>
      <c r="AC4104" s="4">
        <v>1</v>
      </c>
      <c r="AD4104" s="4">
        <v>17</v>
      </c>
      <c r="AE4104" s="4">
        <v>17</v>
      </c>
      <c r="AF4104" s="4">
        <v>0</v>
      </c>
      <c r="AG4104" s="4">
        <v>0</v>
      </c>
      <c r="AH4104" s="4">
        <v>16</v>
      </c>
      <c r="AI4104" s="4">
        <v>16</v>
      </c>
      <c r="AJ4104" s="4">
        <v>0</v>
      </c>
      <c r="AK4104" s="4">
        <v>0</v>
      </c>
      <c r="AL4104" s="4">
        <v>13</v>
      </c>
      <c r="AM4104" s="4">
        <v>13</v>
      </c>
      <c r="AN4104" s="4">
        <v>0</v>
      </c>
      <c r="AO4104" s="4">
        <v>0</v>
      </c>
      <c r="AP4104" s="4">
        <v>0</v>
      </c>
      <c r="AQ4104" s="4">
        <v>0</v>
      </c>
      <c r="AR4104" s="3" t="s">
        <v>63</v>
      </c>
      <c r="AS4104" s="3" t="s">
        <v>63</v>
      </c>
      <c r="AT4104" s="3" t="s">
        <v>63</v>
      </c>
      <c r="AV4104" s="6" t="str">
        <f>HYPERLINK("http://mcgill.on.worldcat.org/oclc/897950583","Catalog Record")</f>
        <v>Catalog Record</v>
      </c>
      <c r="AW4104" s="6" t="str">
        <f>HYPERLINK("http://www.worldcat.org/oclc/897950583","WorldCat Record")</f>
        <v>WorldCat Record</v>
      </c>
      <c r="AX4104" s="3" t="s">
        <v>35336</v>
      </c>
      <c r="AY4104" s="3" t="s">
        <v>35337</v>
      </c>
      <c r="AZ4104" s="3" t="s">
        <v>35338</v>
      </c>
      <c r="BA4104" s="3" t="s">
        <v>35338</v>
      </c>
      <c r="BB4104" s="3" t="s">
        <v>35339</v>
      </c>
      <c r="BC4104" s="3" t="s">
        <v>82</v>
      </c>
      <c r="BD4104" s="3" t="s">
        <v>70</v>
      </c>
      <c r="BE4104" s="3" t="s">
        <v>35340</v>
      </c>
      <c r="BF4104" s="3" t="s">
        <v>35339</v>
      </c>
      <c r="BG4104" s="3" t="s">
        <v>35341</v>
      </c>
    </row>
    <row r="4105" spans="1:59" ht="75" x14ac:dyDescent="0.25">
      <c r="A4105" s="2" t="s">
        <v>59</v>
      </c>
      <c r="B4105" s="2" t="s">
        <v>60</v>
      </c>
      <c r="C4105" s="2" t="s">
        <v>35342</v>
      </c>
      <c r="D4105" s="2" t="s">
        <v>35343</v>
      </c>
      <c r="E4105" s="2" t="s">
        <v>35344</v>
      </c>
      <c r="G4105" s="3" t="s">
        <v>63</v>
      </c>
      <c r="I4105" s="3" t="s">
        <v>63</v>
      </c>
      <c r="J4105" s="3" t="s">
        <v>63</v>
      </c>
      <c r="K4105" s="3" t="s">
        <v>64</v>
      </c>
      <c r="L4105" s="2" t="s">
        <v>35345</v>
      </c>
      <c r="M4105" s="2" t="s">
        <v>34060</v>
      </c>
      <c r="N4105" s="3" t="s">
        <v>2765</v>
      </c>
      <c r="P4105" s="3" t="s">
        <v>90</v>
      </c>
      <c r="Q4105" s="2" t="s">
        <v>35168</v>
      </c>
      <c r="R4105" s="3" t="s">
        <v>67</v>
      </c>
      <c r="S4105" s="4">
        <v>1</v>
      </c>
      <c r="T4105" s="4">
        <v>1</v>
      </c>
      <c r="U4105" s="5" t="s">
        <v>7802</v>
      </c>
      <c r="V4105" s="5" t="s">
        <v>7802</v>
      </c>
      <c r="W4105" s="5" t="s">
        <v>69</v>
      </c>
      <c r="X4105" s="5" t="s">
        <v>69</v>
      </c>
      <c r="Y4105" s="4">
        <v>44</v>
      </c>
      <c r="Z4105" s="4">
        <v>4</v>
      </c>
      <c r="AA4105" s="4">
        <v>4</v>
      </c>
      <c r="AB4105" s="4">
        <v>1</v>
      </c>
      <c r="AC4105" s="4">
        <v>1</v>
      </c>
      <c r="AD4105" s="4">
        <v>15</v>
      </c>
      <c r="AE4105" s="4">
        <v>15</v>
      </c>
      <c r="AF4105" s="4">
        <v>0</v>
      </c>
      <c r="AG4105" s="4">
        <v>0</v>
      </c>
      <c r="AH4105" s="4">
        <v>15</v>
      </c>
      <c r="AI4105" s="4">
        <v>15</v>
      </c>
      <c r="AJ4105" s="4">
        <v>2</v>
      </c>
      <c r="AK4105" s="4">
        <v>2</v>
      </c>
      <c r="AL4105" s="4">
        <v>11</v>
      </c>
      <c r="AM4105" s="4">
        <v>11</v>
      </c>
      <c r="AN4105" s="4">
        <v>0</v>
      </c>
      <c r="AO4105" s="4">
        <v>0</v>
      </c>
      <c r="AP4105" s="4">
        <v>2</v>
      </c>
      <c r="AQ4105" s="4">
        <v>2</v>
      </c>
      <c r="AR4105" s="3" t="s">
        <v>63</v>
      </c>
      <c r="AS4105" s="3" t="s">
        <v>63</v>
      </c>
      <c r="AT4105" s="3" t="s">
        <v>63</v>
      </c>
      <c r="AV4105" s="6" t="str">
        <f>HYPERLINK("http://mcgill.on.worldcat.org/oclc/948740370","Catalog Record")</f>
        <v>Catalog Record</v>
      </c>
      <c r="AW4105" s="6" t="str">
        <f>HYPERLINK("http://www.worldcat.org/oclc/948740370","WorldCat Record")</f>
        <v>WorldCat Record</v>
      </c>
      <c r="AX4105" s="3" t="s">
        <v>35346</v>
      </c>
      <c r="AY4105" s="3" t="s">
        <v>35347</v>
      </c>
      <c r="AZ4105" s="3" t="s">
        <v>35348</v>
      </c>
      <c r="BA4105" s="3" t="s">
        <v>35348</v>
      </c>
      <c r="BB4105" s="3" t="s">
        <v>35349</v>
      </c>
      <c r="BC4105" s="3" t="s">
        <v>82</v>
      </c>
      <c r="BD4105" s="3" t="s">
        <v>70</v>
      </c>
      <c r="BE4105" s="3" t="s">
        <v>35350</v>
      </c>
      <c r="BF4105" s="3" t="s">
        <v>35349</v>
      </c>
      <c r="BG4105" s="3" t="s">
        <v>35351</v>
      </c>
    </row>
    <row r="4106" spans="1:59" ht="60" x14ac:dyDescent="0.25">
      <c r="A4106" s="2" t="s">
        <v>59</v>
      </c>
      <c r="B4106" s="2" t="s">
        <v>60</v>
      </c>
      <c r="C4106" s="2" t="s">
        <v>35352</v>
      </c>
      <c r="D4106" s="2" t="s">
        <v>35353</v>
      </c>
      <c r="E4106" s="2" t="s">
        <v>35354</v>
      </c>
      <c r="G4106" s="3" t="s">
        <v>63</v>
      </c>
      <c r="I4106" s="3" t="s">
        <v>63</v>
      </c>
      <c r="J4106" s="3" t="s">
        <v>63</v>
      </c>
      <c r="K4106" s="3" t="s">
        <v>64</v>
      </c>
      <c r="L4106" s="2" t="s">
        <v>35355</v>
      </c>
      <c r="M4106" s="2" t="s">
        <v>35356</v>
      </c>
      <c r="N4106" s="3" t="s">
        <v>313</v>
      </c>
      <c r="P4106" s="3" t="s">
        <v>90</v>
      </c>
      <c r="R4106" s="3" t="s">
        <v>67</v>
      </c>
      <c r="S4106" s="4">
        <v>2</v>
      </c>
      <c r="T4106" s="4">
        <v>2</v>
      </c>
      <c r="U4106" s="5" t="s">
        <v>31737</v>
      </c>
      <c r="V4106" s="5" t="s">
        <v>31737</v>
      </c>
      <c r="W4106" s="5" t="s">
        <v>69</v>
      </c>
      <c r="X4106" s="5" t="s">
        <v>69</v>
      </c>
      <c r="Y4106" s="4">
        <v>4</v>
      </c>
      <c r="Z4106" s="4">
        <v>1</v>
      </c>
      <c r="AA4106" s="4">
        <v>4</v>
      </c>
      <c r="AB4106" s="4">
        <v>1</v>
      </c>
      <c r="AC4106" s="4">
        <v>1</v>
      </c>
      <c r="AD4106" s="4">
        <v>3</v>
      </c>
      <c r="AE4106" s="4">
        <v>18</v>
      </c>
      <c r="AF4106" s="4">
        <v>0</v>
      </c>
      <c r="AG4106" s="4">
        <v>0</v>
      </c>
      <c r="AH4106" s="4">
        <v>3</v>
      </c>
      <c r="AI4106" s="4">
        <v>17</v>
      </c>
      <c r="AJ4106" s="4">
        <v>0</v>
      </c>
      <c r="AK4106" s="4">
        <v>2</v>
      </c>
      <c r="AL4106" s="4">
        <v>2</v>
      </c>
      <c r="AM4106" s="4">
        <v>12</v>
      </c>
      <c r="AN4106" s="4">
        <v>0</v>
      </c>
      <c r="AO4106" s="4">
        <v>0</v>
      </c>
      <c r="AP4106" s="4">
        <v>0</v>
      </c>
      <c r="AQ4106" s="4">
        <v>2</v>
      </c>
      <c r="AR4106" s="3" t="s">
        <v>63</v>
      </c>
      <c r="AS4106" s="3" t="s">
        <v>63</v>
      </c>
      <c r="AT4106" s="3" t="s">
        <v>63</v>
      </c>
      <c r="AV4106" s="6" t="str">
        <f>HYPERLINK("http://mcgill.on.worldcat.org/oclc/741938593","Catalog Record")</f>
        <v>Catalog Record</v>
      </c>
      <c r="AW4106" s="6" t="str">
        <f>HYPERLINK("http://www.worldcat.org/oclc/741938593","WorldCat Record")</f>
        <v>WorldCat Record</v>
      </c>
      <c r="AX4106" s="3" t="s">
        <v>35357</v>
      </c>
      <c r="AY4106" s="3" t="s">
        <v>35358</v>
      </c>
      <c r="AZ4106" s="3" t="s">
        <v>35359</v>
      </c>
      <c r="BA4106" s="3" t="s">
        <v>35359</v>
      </c>
      <c r="BB4106" s="3" t="s">
        <v>35360</v>
      </c>
      <c r="BC4106" s="3" t="s">
        <v>82</v>
      </c>
      <c r="BD4106" s="3" t="s">
        <v>70</v>
      </c>
      <c r="BE4106" s="3" t="s">
        <v>35361</v>
      </c>
      <c r="BF4106" s="3" t="s">
        <v>35360</v>
      </c>
      <c r="BG4106" s="3" t="s">
        <v>35362</v>
      </c>
    </row>
    <row r="4107" spans="1:59" ht="60" x14ac:dyDescent="0.25">
      <c r="A4107" s="2" t="s">
        <v>59</v>
      </c>
      <c r="B4107" s="2" t="s">
        <v>60</v>
      </c>
      <c r="C4107" s="2" t="s">
        <v>35363</v>
      </c>
      <c r="D4107" s="2" t="s">
        <v>35364</v>
      </c>
      <c r="E4107" s="2" t="s">
        <v>35365</v>
      </c>
      <c r="G4107" s="3" t="s">
        <v>63</v>
      </c>
      <c r="I4107" s="3" t="s">
        <v>63</v>
      </c>
      <c r="J4107" s="3" t="s">
        <v>63</v>
      </c>
      <c r="K4107" s="3" t="s">
        <v>64</v>
      </c>
      <c r="L4107" s="2" t="s">
        <v>35366</v>
      </c>
      <c r="M4107" s="2" t="s">
        <v>35367</v>
      </c>
      <c r="N4107" s="3" t="s">
        <v>629</v>
      </c>
      <c r="P4107" s="3" t="s">
        <v>90</v>
      </c>
      <c r="R4107" s="3" t="s">
        <v>67</v>
      </c>
      <c r="S4107" s="4">
        <v>0</v>
      </c>
      <c r="T4107" s="4">
        <v>0</v>
      </c>
      <c r="W4107" s="5" t="s">
        <v>69</v>
      </c>
      <c r="X4107" s="5" t="s">
        <v>69</v>
      </c>
      <c r="Y4107" s="4">
        <v>16</v>
      </c>
      <c r="Z4107" s="4">
        <v>3</v>
      </c>
      <c r="AA4107" s="4">
        <v>3</v>
      </c>
      <c r="AB4107" s="4">
        <v>1</v>
      </c>
      <c r="AC4107" s="4">
        <v>1</v>
      </c>
      <c r="AD4107" s="4">
        <v>7</v>
      </c>
      <c r="AE4107" s="4">
        <v>7</v>
      </c>
      <c r="AF4107" s="4">
        <v>0</v>
      </c>
      <c r="AG4107" s="4">
        <v>0</v>
      </c>
      <c r="AH4107" s="4">
        <v>6</v>
      </c>
      <c r="AI4107" s="4">
        <v>6</v>
      </c>
      <c r="AJ4107" s="4">
        <v>0</v>
      </c>
      <c r="AK4107" s="4">
        <v>0</v>
      </c>
      <c r="AL4107" s="4">
        <v>5</v>
      </c>
      <c r="AM4107" s="4">
        <v>5</v>
      </c>
      <c r="AN4107" s="4">
        <v>0</v>
      </c>
      <c r="AO4107" s="4">
        <v>0</v>
      </c>
      <c r="AP4107" s="4">
        <v>0</v>
      </c>
      <c r="AQ4107" s="4">
        <v>0</v>
      </c>
      <c r="AR4107" s="3" t="s">
        <v>63</v>
      </c>
      <c r="AS4107" s="3" t="s">
        <v>63</v>
      </c>
      <c r="AT4107" s="3" t="s">
        <v>63</v>
      </c>
      <c r="AV4107" s="6" t="str">
        <f>HYPERLINK("http://mcgill.on.worldcat.org/oclc/725151417","Catalog Record")</f>
        <v>Catalog Record</v>
      </c>
      <c r="AW4107" s="6" t="str">
        <f>HYPERLINK("http://www.worldcat.org/oclc/725151417","WorldCat Record")</f>
        <v>WorldCat Record</v>
      </c>
      <c r="AX4107" s="3" t="s">
        <v>35368</v>
      </c>
      <c r="AY4107" s="3" t="s">
        <v>35369</v>
      </c>
      <c r="AZ4107" s="3" t="s">
        <v>35370</v>
      </c>
      <c r="BA4107" s="3" t="s">
        <v>35370</v>
      </c>
      <c r="BB4107" s="3" t="s">
        <v>35371</v>
      </c>
      <c r="BC4107" s="3" t="s">
        <v>82</v>
      </c>
      <c r="BD4107" s="3" t="s">
        <v>70</v>
      </c>
      <c r="BE4107" s="3" t="s">
        <v>35372</v>
      </c>
      <c r="BF4107" s="3" t="s">
        <v>35371</v>
      </c>
      <c r="BG4107" s="3" t="s">
        <v>35373</v>
      </c>
    </row>
    <row r="4108" spans="1:59" ht="75" x14ac:dyDescent="0.25">
      <c r="A4108" s="2" t="s">
        <v>59</v>
      </c>
      <c r="B4108" s="2" t="s">
        <v>60</v>
      </c>
      <c r="C4108" s="2" t="s">
        <v>35374</v>
      </c>
      <c r="D4108" s="2" t="s">
        <v>35375</v>
      </c>
      <c r="E4108" s="2" t="s">
        <v>35376</v>
      </c>
      <c r="G4108" s="3" t="s">
        <v>63</v>
      </c>
      <c r="I4108" s="3" t="s">
        <v>63</v>
      </c>
      <c r="J4108" s="3" t="s">
        <v>63</v>
      </c>
      <c r="K4108" s="3" t="s">
        <v>64</v>
      </c>
      <c r="L4108" s="2" t="s">
        <v>35377</v>
      </c>
      <c r="M4108" s="2" t="s">
        <v>35378</v>
      </c>
      <c r="N4108" s="3" t="s">
        <v>629</v>
      </c>
      <c r="P4108" s="3" t="s">
        <v>66</v>
      </c>
      <c r="R4108" s="3" t="s">
        <v>67</v>
      </c>
      <c r="S4108" s="4">
        <v>0</v>
      </c>
      <c r="T4108" s="4">
        <v>0</v>
      </c>
      <c r="W4108" s="5" t="s">
        <v>69</v>
      </c>
      <c r="X4108" s="5" t="s">
        <v>69</v>
      </c>
      <c r="Y4108" s="4">
        <v>105</v>
      </c>
      <c r="Z4108" s="4">
        <v>5</v>
      </c>
      <c r="AA4108" s="4">
        <v>6</v>
      </c>
      <c r="AB4108" s="4">
        <v>1</v>
      </c>
      <c r="AC4108" s="4">
        <v>2</v>
      </c>
      <c r="AD4108" s="4">
        <v>43</v>
      </c>
      <c r="AE4108" s="4">
        <v>43</v>
      </c>
      <c r="AF4108" s="4">
        <v>0</v>
      </c>
      <c r="AG4108" s="4">
        <v>0</v>
      </c>
      <c r="AH4108" s="4">
        <v>40</v>
      </c>
      <c r="AI4108" s="4">
        <v>40</v>
      </c>
      <c r="AJ4108" s="4">
        <v>3</v>
      </c>
      <c r="AK4108" s="4">
        <v>3</v>
      </c>
      <c r="AL4108" s="4">
        <v>27</v>
      </c>
      <c r="AM4108" s="4">
        <v>27</v>
      </c>
      <c r="AN4108" s="4">
        <v>0</v>
      </c>
      <c r="AO4108" s="4">
        <v>0</v>
      </c>
      <c r="AP4108" s="4">
        <v>4</v>
      </c>
      <c r="AQ4108" s="4">
        <v>4</v>
      </c>
      <c r="AR4108" s="3" t="s">
        <v>63</v>
      </c>
      <c r="AS4108" s="3" t="s">
        <v>63</v>
      </c>
      <c r="AT4108" s="3" t="s">
        <v>63</v>
      </c>
      <c r="AV4108" s="6" t="str">
        <f>HYPERLINK("http://mcgill.on.worldcat.org/oclc/669752281","Catalog Record")</f>
        <v>Catalog Record</v>
      </c>
      <c r="AW4108" s="6" t="str">
        <f>HYPERLINK("http://www.worldcat.org/oclc/669752281","WorldCat Record")</f>
        <v>WorldCat Record</v>
      </c>
      <c r="AX4108" s="3" t="s">
        <v>35379</v>
      </c>
      <c r="AY4108" s="3" t="s">
        <v>35380</v>
      </c>
      <c r="AZ4108" s="3" t="s">
        <v>35381</v>
      </c>
      <c r="BA4108" s="3" t="s">
        <v>35381</v>
      </c>
      <c r="BB4108" s="3" t="s">
        <v>35382</v>
      </c>
      <c r="BC4108" s="3" t="s">
        <v>82</v>
      </c>
      <c r="BD4108" s="3" t="s">
        <v>70</v>
      </c>
      <c r="BE4108" s="3" t="s">
        <v>35383</v>
      </c>
      <c r="BF4108" s="3" t="s">
        <v>35382</v>
      </c>
      <c r="BG4108" s="3" t="s">
        <v>35384</v>
      </c>
    </row>
    <row r="4109" spans="1:59" ht="60" x14ac:dyDescent="0.25">
      <c r="A4109" s="2" t="s">
        <v>59</v>
      </c>
      <c r="B4109" s="2" t="s">
        <v>60</v>
      </c>
      <c r="C4109" s="2" t="s">
        <v>35385</v>
      </c>
      <c r="D4109" s="2" t="s">
        <v>35386</v>
      </c>
      <c r="E4109" s="2" t="s">
        <v>35387</v>
      </c>
      <c r="G4109" s="3" t="s">
        <v>63</v>
      </c>
      <c r="I4109" s="3" t="s">
        <v>63</v>
      </c>
      <c r="J4109" s="3" t="s">
        <v>63</v>
      </c>
      <c r="K4109" s="3" t="s">
        <v>64</v>
      </c>
      <c r="L4109" s="2" t="s">
        <v>35388</v>
      </c>
      <c r="M4109" s="2" t="s">
        <v>35389</v>
      </c>
      <c r="N4109" s="3" t="s">
        <v>1557</v>
      </c>
      <c r="P4109" s="3" t="s">
        <v>90</v>
      </c>
      <c r="R4109" s="3" t="s">
        <v>67</v>
      </c>
      <c r="S4109" s="4">
        <v>1</v>
      </c>
      <c r="T4109" s="4">
        <v>1</v>
      </c>
      <c r="U4109" s="5" t="s">
        <v>26057</v>
      </c>
      <c r="V4109" s="5" t="s">
        <v>26057</v>
      </c>
      <c r="W4109" s="5" t="s">
        <v>69</v>
      </c>
      <c r="X4109" s="5" t="s">
        <v>69</v>
      </c>
      <c r="Y4109" s="4">
        <v>15</v>
      </c>
      <c r="Z4109" s="4">
        <v>2</v>
      </c>
      <c r="AA4109" s="4">
        <v>2</v>
      </c>
      <c r="AB4109" s="4">
        <v>1</v>
      </c>
      <c r="AC4109" s="4">
        <v>1</v>
      </c>
      <c r="AD4109" s="4">
        <v>12</v>
      </c>
      <c r="AE4109" s="4">
        <v>12</v>
      </c>
      <c r="AF4109" s="4">
        <v>0</v>
      </c>
      <c r="AG4109" s="4">
        <v>0</v>
      </c>
      <c r="AH4109" s="4">
        <v>12</v>
      </c>
      <c r="AI4109" s="4">
        <v>12</v>
      </c>
      <c r="AJ4109" s="4">
        <v>0</v>
      </c>
      <c r="AK4109" s="4">
        <v>0</v>
      </c>
      <c r="AL4109" s="4">
        <v>8</v>
      </c>
      <c r="AM4109" s="4">
        <v>8</v>
      </c>
      <c r="AN4109" s="4">
        <v>0</v>
      </c>
      <c r="AO4109" s="4">
        <v>0</v>
      </c>
      <c r="AP4109" s="4">
        <v>0</v>
      </c>
      <c r="AQ4109" s="4">
        <v>0</v>
      </c>
      <c r="AR4109" s="3" t="s">
        <v>63</v>
      </c>
      <c r="AS4109" s="3" t="s">
        <v>63</v>
      </c>
      <c r="AT4109" s="3" t="s">
        <v>63</v>
      </c>
      <c r="AV4109" s="6" t="str">
        <f>HYPERLINK("http://mcgill.on.worldcat.org/oclc/989874913","Catalog Record")</f>
        <v>Catalog Record</v>
      </c>
      <c r="AW4109" s="6" t="str">
        <f>HYPERLINK("http://www.worldcat.org/oclc/989874913","WorldCat Record")</f>
        <v>WorldCat Record</v>
      </c>
      <c r="AX4109" s="3" t="s">
        <v>35390</v>
      </c>
      <c r="AY4109" s="3" t="s">
        <v>35391</v>
      </c>
      <c r="AZ4109" s="3" t="s">
        <v>35392</v>
      </c>
      <c r="BA4109" s="3" t="s">
        <v>35392</v>
      </c>
      <c r="BB4109" s="3" t="s">
        <v>35393</v>
      </c>
      <c r="BC4109" s="3" t="s">
        <v>82</v>
      </c>
      <c r="BD4109" s="3" t="s">
        <v>70</v>
      </c>
      <c r="BE4109" s="3" t="s">
        <v>35394</v>
      </c>
      <c r="BF4109" s="3" t="s">
        <v>35393</v>
      </c>
      <c r="BG4109" s="3" t="s">
        <v>35395</v>
      </c>
    </row>
    <row r="4110" spans="1:59" ht="60" x14ac:dyDescent="0.25">
      <c r="A4110" s="2" t="s">
        <v>59</v>
      </c>
      <c r="B4110" s="2" t="s">
        <v>60</v>
      </c>
      <c r="C4110" s="2" t="s">
        <v>35396</v>
      </c>
      <c r="D4110" s="2" t="s">
        <v>35397</v>
      </c>
      <c r="E4110" s="2" t="s">
        <v>35398</v>
      </c>
      <c r="G4110" s="3" t="s">
        <v>63</v>
      </c>
      <c r="I4110" s="3" t="s">
        <v>63</v>
      </c>
      <c r="J4110" s="3" t="s">
        <v>63</v>
      </c>
      <c r="K4110" s="3" t="s">
        <v>64</v>
      </c>
      <c r="L4110" s="2" t="s">
        <v>35399</v>
      </c>
      <c r="M4110" s="2" t="s">
        <v>35400</v>
      </c>
      <c r="N4110" s="3" t="s">
        <v>1557</v>
      </c>
      <c r="P4110" s="3" t="s">
        <v>90</v>
      </c>
      <c r="R4110" s="3" t="s">
        <v>67</v>
      </c>
      <c r="S4110" s="4">
        <v>1</v>
      </c>
      <c r="T4110" s="4">
        <v>1</v>
      </c>
      <c r="U4110" s="5" t="s">
        <v>29697</v>
      </c>
      <c r="V4110" s="5" t="s">
        <v>29697</v>
      </c>
      <c r="W4110" s="5" t="s">
        <v>69</v>
      </c>
      <c r="X4110" s="5" t="s">
        <v>69</v>
      </c>
      <c r="Y4110" s="4">
        <v>54</v>
      </c>
      <c r="Z4110" s="4">
        <v>4</v>
      </c>
      <c r="AA4110" s="4">
        <v>4</v>
      </c>
      <c r="AB4110" s="4">
        <v>1</v>
      </c>
      <c r="AC4110" s="4">
        <v>1</v>
      </c>
      <c r="AD4110" s="4">
        <v>27</v>
      </c>
      <c r="AE4110" s="4">
        <v>27</v>
      </c>
      <c r="AF4110" s="4">
        <v>0</v>
      </c>
      <c r="AG4110" s="4">
        <v>0</v>
      </c>
      <c r="AH4110" s="4">
        <v>26</v>
      </c>
      <c r="AI4110" s="4">
        <v>26</v>
      </c>
      <c r="AJ4110" s="4">
        <v>2</v>
      </c>
      <c r="AK4110" s="4">
        <v>2</v>
      </c>
      <c r="AL4110" s="4">
        <v>19</v>
      </c>
      <c r="AM4110" s="4">
        <v>19</v>
      </c>
      <c r="AN4110" s="4">
        <v>0</v>
      </c>
      <c r="AO4110" s="4">
        <v>0</v>
      </c>
      <c r="AP4110" s="4">
        <v>2</v>
      </c>
      <c r="AQ4110" s="4">
        <v>2</v>
      </c>
      <c r="AR4110" s="3" t="s">
        <v>63</v>
      </c>
      <c r="AS4110" s="3" t="s">
        <v>63</v>
      </c>
      <c r="AT4110" s="3" t="s">
        <v>63</v>
      </c>
      <c r="AV4110" s="6" t="str">
        <f>HYPERLINK("http://mcgill.on.worldcat.org/oclc/1009082604","Catalog Record")</f>
        <v>Catalog Record</v>
      </c>
      <c r="AW4110" s="6" t="str">
        <f>HYPERLINK("http://www.worldcat.org/oclc/1009082604","WorldCat Record")</f>
        <v>WorldCat Record</v>
      </c>
      <c r="AX4110" s="3" t="s">
        <v>35401</v>
      </c>
      <c r="AY4110" s="3" t="s">
        <v>35402</v>
      </c>
      <c r="AZ4110" s="3" t="s">
        <v>35403</v>
      </c>
      <c r="BA4110" s="3" t="s">
        <v>35403</v>
      </c>
      <c r="BB4110" s="3" t="s">
        <v>35404</v>
      </c>
      <c r="BC4110" s="3" t="s">
        <v>82</v>
      </c>
      <c r="BD4110" s="3" t="s">
        <v>70</v>
      </c>
      <c r="BE4110" s="3" t="s">
        <v>35405</v>
      </c>
      <c r="BF4110" s="3" t="s">
        <v>35404</v>
      </c>
      <c r="BG4110" s="3" t="s">
        <v>35406</v>
      </c>
    </row>
    <row r="4111" spans="1:59" ht="60" x14ac:dyDescent="0.25">
      <c r="A4111" s="2" t="s">
        <v>59</v>
      </c>
      <c r="B4111" s="2" t="s">
        <v>60</v>
      </c>
      <c r="C4111" s="2" t="s">
        <v>35407</v>
      </c>
      <c r="D4111" s="2" t="s">
        <v>35408</v>
      </c>
      <c r="E4111" s="2" t="s">
        <v>35409</v>
      </c>
      <c r="G4111" s="3" t="s">
        <v>63</v>
      </c>
      <c r="I4111" s="3" t="s">
        <v>63</v>
      </c>
      <c r="J4111" s="3" t="s">
        <v>63</v>
      </c>
      <c r="K4111" s="3" t="s">
        <v>64</v>
      </c>
      <c r="L4111" s="2" t="s">
        <v>35410</v>
      </c>
      <c r="M4111" s="2" t="s">
        <v>35411</v>
      </c>
      <c r="N4111" s="3" t="s">
        <v>76</v>
      </c>
      <c r="P4111" s="3" t="s">
        <v>90</v>
      </c>
      <c r="R4111" s="3" t="s">
        <v>67</v>
      </c>
      <c r="S4111" s="4">
        <v>0</v>
      </c>
      <c r="T4111" s="4">
        <v>0</v>
      </c>
      <c r="W4111" s="5" t="s">
        <v>69</v>
      </c>
      <c r="X4111" s="5" t="s">
        <v>69</v>
      </c>
      <c r="Y4111" s="4">
        <v>2</v>
      </c>
      <c r="Z4111" s="4">
        <v>1</v>
      </c>
      <c r="AA4111" s="4">
        <v>1</v>
      </c>
      <c r="AB4111" s="4">
        <v>1</v>
      </c>
      <c r="AC4111" s="4">
        <v>1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3" t="s">
        <v>63</v>
      </c>
      <c r="AS4111" s="3" t="s">
        <v>63</v>
      </c>
      <c r="AT4111" s="3" t="s">
        <v>63</v>
      </c>
      <c r="AV4111" s="6" t="str">
        <f>HYPERLINK("http://mcgill.on.worldcat.org/oclc/852785992","Catalog Record")</f>
        <v>Catalog Record</v>
      </c>
      <c r="AW4111" s="6" t="str">
        <f>HYPERLINK("http://www.worldcat.org/oclc/852785992","WorldCat Record")</f>
        <v>WorldCat Record</v>
      </c>
      <c r="AX4111" s="3" t="s">
        <v>35412</v>
      </c>
      <c r="AY4111" s="3" t="s">
        <v>35413</v>
      </c>
      <c r="AZ4111" s="3" t="s">
        <v>35414</v>
      </c>
      <c r="BA4111" s="3" t="s">
        <v>35414</v>
      </c>
      <c r="BB4111" s="3" t="s">
        <v>35415</v>
      </c>
      <c r="BC4111" s="3" t="s">
        <v>82</v>
      </c>
      <c r="BD4111" s="3" t="s">
        <v>70</v>
      </c>
      <c r="BE4111" s="3" t="s">
        <v>35416</v>
      </c>
      <c r="BF4111" s="3" t="s">
        <v>35415</v>
      </c>
      <c r="BG4111" s="3" t="s">
        <v>35417</v>
      </c>
    </row>
    <row r="4112" spans="1:59" ht="60" x14ac:dyDescent="0.25">
      <c r="A4112" s="2" t="s">
        <v>59</v>
      </c>
      <c r="B4112" s="2" t="s">
        <v>60</v>
      </c>
      <c r="C4112" s="2" t="s">
        <v>35418</v>
      </c>
      <c r="D4112" s="2" t="s">
        <v>35419</v>
      </c>
      <c r="E4112" s="2" t="s">
        <v>35420</v>
      </c>
      <c r="G4112" s="3" t="s">
        <v>63</v>
      </c>
      <c r="I4112" s="3" t="s">
        <v>63</v>
      </c>
      <c r="J4112" s="3" t="s">
        <v>63</v>
      </c>
      <c r="K4112" s="3" t="s">
        <v>64</v>
      </c>
      <c r="L4112" s="2" t="s">
        <v>35410</v>
      </c>
      <c r="M4112" s="2" t="s">
        <v>35411</v>
      </c>
      <c r="N4112" s="3" t="s">
        <v>76</v>
      </c>
      <c r="P4112" s="3" t="s">
        <v>90</v>
      </c>
      <c r="R4112" s="3" t="s">
        <v>67</v>
      </c>
      <c r="S4112" s="4">
        <v>1</v>
      </c>
      <c r="T4112" s="4">
        <v>1</v>
      </c>
      <c r="U4112" s="5" t="s">
        <v>35421</v>
      </c>
      <c r="V4112" s="5" t="s">
        <v>35421</v>
      </c>
      <c r="W4112" s="5" t="s">
        <v>69</v>
      </c>
      <c r="X4112" s="5" t="s">
        <v>69</v>
      </c>
      <c r="Y4112" s="4">
        <v>3</v>
      </c>
      <c r="Z4112" s="4">
        <v>1</v>
      </c>
      <c r="AA4112" s="4">
        <v>1</v>
      </c>
      <c r="AB4112" s="4">
        <v>1</v>
      </c>
      <c r="AC4112" s="4">
        <v>1</v>
      </c>
      <c r="AD4112" s="4">
        <v>1</v>
      </c>
      <c r="AE4112" s="4">
        <v>1</v>
      </c>
      <c r="AF4112" s="4">
        <v>0</v>
      </c>
      <c r="AG4112" s="4">
        <v>0</v>
      </c>
      <c r="AH4112" s="4">
        <v>1</v>
      </c>
      <c r="AI4112" s="4">
        <v>1</v>
      </c>
      <c r="AJ4112" s="4">
        <v>0</v>
      </c>
      <c r="AK4112" s="4">
        <v>0</v>
      </c>
      <c r="AL4112" s="4">
        <v>1</v>
      </c>
      <c r="AM4112" s="4">
        <v>1</v>
      </c>
      <c r="AN4112" s="4">
        <v>0</v>
      </c>
      <c r="AO4112" s="4">
        <v>0</v>
      </c>
      <c r="AP4112" s="4">
        <v>0</v>
      </c>
      <c r="AQ4112" s="4">
        <v>0</v>
      </c>
      <c r="AR4112" s="3" t="s">
        <v>63</v>
      </c>
      <c r="AS4112" s="3" t="s">
        <v>63</v>
      </c>
      <c r="AT4112" s="3" t="s">
        <v>63</v>
      </c>
      <c r="AV4112" s="6" t="str">
        <f>HYPERLINK("http://mcgill.on.worldcat.org/oclc/852785993","Catalog Record")</f>
        <v>Catalog Record</v>
      </c>
      <c r="AW4112" s="6" t="str">
        <f>HYPERLINK("http://www.worldcat.org/oclc/852785993","WorldCat Record")</f>
        <v>WorldCat Record</v>
      </c>
      <c r="AX4112" s="3" t="s">
        <v>35422</v>
      </c>
      <c r="AY4112" s="3" t="s">
        <v>35423</v>
      </c>
      <c r="AZ4112" s="3" t="s">
        <v>35424</v>
      </c>
      <c r="BA4112" s="3" t="s">
        <v>35424</v>
      </c>
      <c r="BB4112" s="3" t="s">
        <v>35425</v>
      </c>
      <c r="BC4112" s="3" t="s">
        <v>82</v>
      </c>
      <c r="BD4112" s="3" t="s">
        <v>70</v>
      </c>
      <c r="BE4112" s="3" t="s">
        <v>35426</v>
      </c>
      <c r="BF4112" s="3" t="s">
        <v>35425</v>
      </c>
      <c r="BG4112" s="3" t="s">
        <v>35427</v>
      </c>
    </row>
    <row r="4113" spans="1:59" ht="75" x14ac:dyDescent="0.25">
      <c r="A4113" s="2" t="s">
        <v>59</v>
      </c>
      <c r="B4113" s="2" t="s">
        <v>60</v>
      </c>
      <c r="C4113" s="2" t="s">
        <v>35428</v>
      </c>
      <c r="D4113" s="2" t="s">
        <v>35429</v>
      </c>
      <c r="E4113" s="2" t="s">
        <v>35430</v>
      </c>
      <c r="G4113" s="3" t="s">
        <v>63</v>
      </c>
      <c r="I4113" s="3" t="s">
        <v>63</v>
      </c>
      <c r="J4113" s="3" t="s">
        <v>63</v>
      </c>
      <c r="K4113" s="3" t="s">
        <v>64</v>
      </c>
      <c r="L4113" s="2" t="s">
        <v>35431</v>
      </c>
      <c r="M4113" s="2" t="s">
        <v>22532</v>
      </c>
      <c r="N4113" s="3" t="s">
        <v>629</v>
      </c>
      <c r="P4113" s="3" t="s">
        <v>90</v>
      </c>
      <c r="R4113" s="3" t="s">
        <v>67</v>
      </c>
      <c r="S4113" s="4">
        <v>4</v>
      </c>
      <c r="T4113" s="4">
        <v>4</v>
      </c>
      <c r="U4113" s="5" t="s">
        <v>35432</v>
      </c>
      <c r="V4113" s="5" t="s">
        <v>35432</v>
      </c>
      <c r="W4113" s="5" t="s">
        <v>69</v>
      </c>
      <c r="X4113" s="5" t="s">
        <v>69</v>
      </c>
      <c r="Y4113" s="4">
        <v>76</v>
      </c>
      <c r="Z4113" s="4">
        <v>4</v>
      </c>
      <c r="AA4113" s="4">
        <v>5</v>
      </c>
      <c r="AB4113" s="4">
        <v>1</v>
      </c>
      <c r="AC4113" s="4">
        <v>1</v>
      </c>
      <c r="AD4113" s="4">
        <v>36</v>
      </c>
      <c r="AE4113" s="4">
        <v>39</v>
      </c>
      <c r="AF4113" s="4">
        <v>0</v>
      </c>
      <c r="AG4113" s="4">
        <v>0</v>
      </c>
      <c r="AH4113" s="4">
        <v>35</v>
      </c>
      <c r="AI4113" s="4">
        <v>38</v>
      </c>
      <c r="AJ4113" s="4">
        <v>2</v>
      </c>
      <c r="AK4113" s="4">
        <v>2</v>
      </c>
      <c r="AL4113" s="4">
        <v>25</v>
      </c>
      <c r="AM4113" s="4">
        <v>27</v>
      </c>
      <c r="AN4113" s="4">
        <v>0</v>
      </c>
      <c r="AO4113" s="4">
        <v>0</v>
      </c>
      <c r="AP4113" s="4">
        <v>2</v>
      </c>
      <c r="AQ4113" s="4">
        <v>2</v>
      </c>
      <c r="AR4113" s="3" t="s">
        <v>63</v>
      </c>
      <c r="AS4113" s="3" t="s">
        <v>63</v>
      </c>
      <c r="AT4113" s="3" t="s">
        <v>63</v>
      </c>
      <c r="AV4113" s="6" t="str">
        <f>HYPERLINK("http://mcgill.on.worldcat.org/oclc/732597935","Catalog Record")</f>
        <v>Catalog Record</v>
      </c>
      <c r="AW4113" s="6" t="str">
        <f>HYPERLINK("http://www.worldcat.org/oclc/732597935","WorldCat Record")</f>
        <v>WorldCat Record</v>
      </c>
      <c r="AX4113" s="3" t="s">
        <v>35433</v>
      </c>
      <c r="AY4113" s="3" t="s">
        <v>35434</v>
      </c>
      <c r="AZ4113" s="3" t="s">
        <v>35435</v>
      </c>
      <c r="BA4113" s="3" t="s">
        <v>35435</v>
      </c>
      <c r="BB4113" s="3" t="s">
        <v>35436</v>
      </c>
      <c r="BC4113" s="3" t="s">
        <v>82</v>
      </c>
      <c r="BD4113" s="3" t="s">
        <v>70</v>
      </c>
      <c r="BE4113" s="3" t="s">
        <v>35437</v>
      </c>
      <c r="BF4113" s="3" t="s">
        <v>35436</v>
      </c>
      <c r="BG4113" s="3" t="s">
        <v>35438</v>
      </c>
    </row>
    <row r="4114" spans="1:59" ht="75" x14ac:dyDescent="0.25">
      <c r="A4114" s="2" t="s">
        <v>59</v>
      </c>
      <c r="B4114" s="2" t="s">
        <v>60</v>
      </c>
      <c r="C4114" s="2" t="s">
        <v>35439</v>
      </c>
      <c r="D4114" s="2" t="s">
        <v>35440</v>
      </c>
      <c r="E4114" s="2" t="s">
        <v>35441</v>
      </c>
      <c r="G4114" s="3" t="s">
        <v>63</v>
      </c>
      <c r="I4114" s="3" t="s">
        <v>63</v>
      </c>
      <c r="J4114" s="3" t="s">
        <v>63</v>
      </c>
      <c r="K4114" s="3" t="s">
        <v>64</v>
      </c>
      <c r="L4114" s="2" t="s">
        <v>35431</v>
      </c>
      <c r="M4114" s="2" t="s">
        <v>35442</v>
      </c>
      <c r="N4114" s="3" t="s">
        <v>261</v>
      </c>
      <c r="P4114" s="3" t="s">
        <v>90</v>
      </c>
      <c r="R4114" s="3" t="s">
        <v>67</v>
      </c>
      <c r="S4114" s="4">
        <v>10</v>
      </c>
      <c r="T4114" s="4">
        <v>10</v>
      </c>
      <c r="U4114" s="5" t="s">
        <v>31343</v>
      </c>
      <c r="V4114" s="5" t="s">
        <v>31343</v>
      </c>
      <c r="W4114" s="5" t="s">
        <v>69</v>
      </c>
      <c r="X4114" s="5" t="s">
        <v>69</v>
      </c>
      <c r="Y4114" s="4">
        <v>53</v>
      </c>
      <c r="Z4114" s="4">
        <v>5</v>
      </c>
      <c r="AA4114" s="4">
        <v>10</v>
      </c>
      <c r="AB4114" s="4">
        <v>1</v>
      </c>
      <c r="AC4114" s="4">
        <v>2</v>
      </c>
      <c r="AD4114" s="4">
        <v>33</v>
      </c>
      <c r="AE4114" s="4">
        <v>47</v>
      </c>
      <c r="AF4114" s="4">
        <v>0</v>
      </c>
      <c r="AG4114" s="4">
        <v>0</v>
      </c>
      <c r="AH4114" s="4">
        <v>31</v>
      </c>
      <c r="AI4114" s="4">
        <v>45</v>
      </c>
      <c r="AJ4114" s="4">
        <v>2</v>
      </c>
      <c r="AK4114" s="4">
        <v>3</v>
      </c>
      <c r="AL4114" s="4">
        <v>26</v>
      </c>
      <c r="AM4114" s="4">
        <v>34</v>
      </c>
      <c r="AN4114" s="4">
        <v>0</v>
      </c>
      <c r="AO4114" s="4">
        <v>0</v>
      </c>
      <c r="AP4114" s="4">
        <v>2</v>
      </c>
      <c r="AQ4114" s="4">
        <v>3</v>
      </c>
      <c r="AR4114" s="3" t="s">
        <v>63</v>
      </c>
      <c r="AS4114" s="3" t="s">
        <v>63</v>
      </c>
      <c r="AT4114" s="3" t="s">
        <v>63</v>
      </c>
      <c r="AV4114" s="6" t="str">
        <f>HYPERLINK("http://mcgill.on.worldcat.org/oclc/190797060","Catalog Record")</f>
        <v>Catalog Record</v>
      </c>
      <c r="AW4114" s="6" t="str">
        <f>HYPERLINK("http://www.worldcat.org/oclc/190797060","WorldCat Record")</f>
        <v>WorldCat Record</v>
      </c>
      <c r="AX4114" s="3" t="s">
        <v>35443</v>
      </c>
      <c r="AY4114" s="3" t="s">
        <v>35444</v>
      </c>
      <c r="AZ4114" s="3" t="s">
        <v>35445</v>
      </c>
      <c r="BA4114" s="3" t="s">
        <v>35445</v>
      </c>
      <c r="BB4114" s="3" t="s">
        <v>35446</v>
      </c>
      <c r="BC4114" s="3" t="s">
        <v>82</v>
      </c>
      <c r="BD4114" s="3" t="s">
        <v>70</v>
      </c>
      <c r="BE4114" s="3" t="s">
        <v>35447</v>
      </c>
      <c r="BF4114" s="3" t="s">
        <v>35446</v>
      </c>
      <c r="BG4114" s="3" t="s">
        <v>35448</v>
      </c>
    </row>
    <row r="4115" spans="1:59" ht="60" x14ac:dyDescent="0.25">
      <c r="A4115" s="2" t="s">
        <v>59</v>
      </c>
      <c r="B4115" s="2" t="s">
        <v>60</v>
      </c>
      <c r="C4115" s="2" t="s">
        <v>35449</v>
      </c>
      <c r="D4115" s="2" t="s">
        <v>35450</v>
      </c>
      <c r="E4115" s="2" t="s">
        <v>35451</v>
      </c>
      <c r="G4115" s="3" t="s">
        <v>63</v>
      </c>
      <c r="I4115" s="3" t="s">
        <v>63</v>
      </c>
      <c r="J4115" s="3" t="s">
        <v>63</v>
      </c>
      <c r="K4115" s="3" t="s">
        <v>64</v>
      </c>
      <c r="L4115" s="2" t="s">
        <v>35431</v>
      </c>
      <c r="M4115" s="2" t="s">
        <v>35452</v>
      </c>
      <c r="N4115" s="3" t="s">
        <v>326</v>
      </c>
      <c r="P4115" s="3" t="s">
        <v>90</v>
      </c>
      <c r="R4115" s="3" t="s">
        <v>67</v>
      </c>
      <c r="S4115" s="4">
        <v>8</v>
      </c>
      <c r="T4115" s="4">
        <v>8</v>
      </c>
      <c r="U4115" s="5" t="s">
        <v>35453</v>
      </c>
      <c r="V4115" s="5" t="s">
        <v>35453</v>
      </c>
      <c r="W4115" s="5" t="s">
        <v>69</v>
      </c>
      <c r="X4115" s="5" t="s">
        <v>69</v>
      </c>
      <c r="Y4115" s="4">
        <v>4</v>
      </c>
      <c r="Z4115" s="4">
        <v>3</v>
      </c>
      <c r="AA4115" s="4">
        <v>7</v>
      </c>
      <c r="AB4115" s="4">
        <v>2</v>
      </c>
      <c r="AC4115" s="4">
        <v>2</v>
      </c>
      <c r="AD4115" s="4">
        <v>1</v>
      </c>
      <c r="AE4115" s="4">
        <v>35</v>
      </c>
      <c r="AF4115" s="4">
        <v>0</v>
      </c>
      <c r="AG4115" s="4">
        <v>0</v>
      </c>
      <c r="AH4115" s="4">
        <v>1</v>
      </c>
      <c r="AI4115" s="4">
        <v>34</v>
      </c>
      <c r="AJ4115" s="4">
        <v>0</v>
      </c>
      <c r="AK4115" s="4">
        <v>3</v>
      </c>
      <c r="AL4115" s="4">
        <v>1</v>
      </c>
      <c r="AM4115" s="4">
        <v>30</v>
      </c>
      <c r="AN4115" s="4">
        <v>0</v>
      </c>
      <c r="AO4115" s="4">
        <v>0</v>
      </c>
      <c r="AP4115" s="4">
        <v>0</v>
      </c>
      <c r="AQ4115" s="4">
        <v>3</v>
      </c>
      <c r="AR4115" s="3" t="s">
        <v>63</v>
      </c>
      <c r="AS4115" s="3" t="s">
        <v>63</v>
      </c>
      <c r="AT4115" s="3" t="s">
        <v>63</v>
      </c>
      <c r="AV4115" s="6" t="str">
        <f>HYPERLINK("http://mcgill.on.worldcat.org/oclc/320302728","Catalog Record")</f>
        <v>Catalog Record</v>
      </c>
      <c r="AW4115" s="6" t="str">
        <f>HYPERLINK("http://www.worldcat.org/oclc/320302728","WorldCat Record")</f>
        <v>WorldCat Record</v>
      </c>
      <c r="AX4115" s="3" t="s">
        <v>35454</v>
      </c>
      <c r="AY4115" s="3" t="s">
        <v>35455</v>
      </c>
      <c r="AZ4115" s="3" t="s">
        <v>35456</v>
      </c>
      <c r="BA4115" s="3" t="s">
        <v>35456</v>
      </c>
      <c r="BB4115" s="3" t="s">
        <v>35457</v>
      </c>
      <c r="BC4115" s="3" t="s">
        <v>82</v>
      </c>
      <c r="BD4115" s="3" t="s">
        <v>70</v>
      </c>
      <c r="BE4115" s="3" t="s">
        <v>35458</v>
      </c>
      <c r="BF4115" s="3" t="s">
        <v>35457</v>
      </c>
      <c r="BG4115" s="3" t="s">
        <v>35459</v>
      </c>
    </row>
    <row r="4116" spans="1:59" ht="75" x14ac:dyDescent="0.25">
      <c r="A4116" s="2" t="s">
        <v>59</v>
      </c>
      <c r="B4116" s="2" t="s">
        <v>60</v>
      </c>
      <c r="C4116" s="2" t="s">
        <v>35460</v>
      </c>
      <c r="D4116" s="2" t="s">
        <v>35461</v>
      </c>
      <c r="E4116" s="2" t="s">
        <v>35462</v>
      </c>
      <c r="G4116" s="3" t="s">
        <v>63</v>
      </c>
      <c r="I4116" s="3" t="s">
        <v>63</v>
      </c>
      <c r="J4116" s="3" t="s">
        <v>63</v>
      </c>
      <c r="K4116" s="3" t="s">
        <v>64</v>
      </c>
      <c r="L4116" s="2" t="s">
        <v>35463</v>
      </c>
      <c r="M4116" s="2" t="s">
        <v>35464</v>
      </c>
      <c r="N4116" s="3" t="s">
        <v>143</v>
      </c>
      <c r="P4116" s="3" t="s">
        <v>90</v>
      </c>
      <c r="Q4116" s="2" t="s">
        <v>35465</v>
      </c>
      <c r="R4116" s="3" t="s">
        <v>67</v>
      </c>
      <c r="S4116" s="4">
        <v>2</v>
      </c>
      <c r="T4116" s="4">
        <v>2</v>
      </c>
      <c r="U4116" s="5" t="s">
        <v>23422</v>
      </c>
      <c r="V4116" s="5" t="s">
        <v>23422</v>
      </c>
      <c r="W4116" s="5" t="s">
        <v>69</v>
      </c>
      <c r="X4116" s="5" t="s">
        <v>69</v>
      </c>
      <c r="Y4116" s="4">
        <v>98</v>
      </c>
      <c r="Z4116" s="4">
        <v>10</v>
      </c>
      <c r="AA4116" s="4">
        <v>12</v>
      </c>
      <c r="AB4116" s="4">
        <v>1</v>
      </c>
      <c r="AC4116" s="4">
        <v>2</v>
      </c>
      <c r="AD4116" s="4">
        <v>34</v>
      </c>
      <c r="AE4116" s="4">
        <v>36</v>
      </c>
      <c r="AF4116" s="4">
        <v>0</v>
      </c>
      <c r="AG4116" s="4">
        <v>0</v>
      </c>
      <c r="AH4116" s="4">
        <v>33</v>
      </c>
      <c r="AI4116" s="4">
        <v>35</v>
      </c>
      <c r="AJ4116" s="4">
        <v>3</v>
      </c>
      <c r="AK4116" s="4">
        <v>3</v>
      </c>
      <c r="AL4116" s="4">
        <v>25</v>
      </c>
      <c r="AM4116" s="4">
        <v>26</v>
      </c>
      <c r="AN4116" s="4">
        <v>0</v>
      </c>
      <c r="AO4116" s="4">
        <v>0</v>
      </c>
      <c r="AP4116" s="4">
        <v>3</v>
      </c>
      <c r="AQ4116" s="4">
        <v>3</v>
      </c>
      <c r="AR4116" s="3" t="s">
        <v>63</v>
      </c>
      <c r="AS4116" s="3" t="s">
        <v>63</v>
      </c>
      <c r="AT4116" s="3" t="s">
        <v>63</v>
      </c>
      <c r="AV4116" s="6" t="str">
        <f>HYPERLINK("http://mcgill.on.worldcat.org/oclc/879571285","Catalog Record")</f>
        <v>Catalog Record</v>
      </c>
      <c r="AW4116" s="6" t="str">
        <f>HYPERLINK("http://www.worldcat.org/oclc/879571285","WorldCat Record")</f>
        <v>WorldCat Record</v>
      </c>
      <c r="AX4116" s="3" t="s">
        <v>35466</v>
      </c>
      <c r="AY4116" s="3" t="s">
        <v>35467</v>
      </c>
      <c r="AZ4116" s="3" t="s">
        <v>35468</v>
      </c>
      <c r="BA4116" s="3" t="s">
        <v>35468</v>
      </c>
      <c r="BB4116" s="3" t="s">
        <v>35469</v>
      </c>
      <c r="BC4116" s="3" t="s">
        <v>82</v>
      </c>
      <c r="BD4116" s="3" t="s">
        <v>70</v>
      </c>
      <c r="BE4116" s="3" t="s">
        <v>35470</v>
      </c>
      <c r="BF4116" s="3" t="s">
        <v>35469</v>
      </c>
      <c r="BG4116" s="3" t="s">
        <v>35471</v>
      </c>
    </row>
    <row r="4117" spans="1:59" ht="75" x14ac:dyDescent="0.25">
      <c r="A4117" s="2" t="s">
        <v>59</v>
      </c>
      <c r="B4117" s="2" t="s">
        <v>60</v>
      </c>
      <c r="C4117" s="2" t="s">
        <v>35472</v>
      </c>
      <c r="D4117" s="2" t="s">
        <v>35473</v>
      </c>
      <c r="E4117" s="2" t="s">
        <v>35474</v>
      </c>
      <c r="G4117" s="3" t="s">
        <v>63</v>
      </c>
      <c r="I4117" s="3" t="s">
        <v>63</v>
      </c>
      <c r="J4117" s="3" t="s">
        <v>63</v>
      </c>
      <c r="K4117" s="3" t="s">
        <v>64</v>
      </c>
      <c r="L4117" s="2" t="s">
        <v>35475</v>
      </c>
      <c r="M4117" s="2" t="s">
        <v>30137</v>
      </c>
      <c r="N4117" s="3" t="s">
        <v>143</v>
      </c>
      <c r="P4117" s="3" t="s">
        <v>90</v>
      </c>
      <c r="R4117" s="3" t="s">
        <v>67</v>
      </c>
      <c r="S4117" s="4">
        <v>1</v>
      </c>
      <c r="T4117" s="4">
        <v>1</v>
      </c>
      <c r="U4117" s="5" t="s">
        <v>7802</v>
      </c>
      <c r="V4117" s="5" t="s">
        <v>7802</v>
      </c>
      <c r="W4117" s="5" t="s">
        <v>69</v>
      </c>
      <c r="X4117" s="5" t="s">
        <v>69</v>
      </c>
      <c r="Y4117" s="4">
        <v>14</v>
      </c>
      <c r="Z4117" s="4">
        <v>1</v>
      </c>
      <c r="AA4117" s="4">
        <v>1</v>
      </c>
      <c r="AB4117" s="4">
        <v>1</v>
      </c>
      <c r="AC4117" s="4">
        <v>1</v>
      </c>
      <c r="AD4117" s="4">
        <v>7</v>
      </c>
      <c r="AE4117" s="4">
        <v>7</v>
      </c>
      <c r="AF4117" s="4">
        <v>0</v>
      </c>
      <c r="AG4117" s="4">
        <v>0</v>
      </c>
      <c r="AH4117" s="4">
        <v>7</v>
      </c>
      <c r="AI4117" s="4">
        <v>7</v>
      </c>
      <c r="AJ4117" s="4">
        <v>0</v>
      </c>
      <c r="AK4117" s="4">
        <v>0</v>
      </c>
      <c r="AL4117" s="4">
        <v>5</v>
      </c>
      <c r="AM4117" s="4">
        <v>5</v>
      </c>
      <c r="AN4117" s="4">
        <v>0</v>
      </c>
      <c r="AO4117" s="4">
        <v>0</v>
      </c>
      <c r="AP4117" s="4">
        <v>0</v>
      </c>
      <c r="AQ4117" s="4">
        <v>0</v>
      </c>
      <c r="AR4117" s="3" t="s">
        <v>63</v>
      </c>
      <c r="AS4117" s="3" t="s">
        <v>63</v>
      </c>
      <c r="AT4117" s="3" t="s">
        <v>63</v>
      </c>
      <c r="AV4117" s="6" t="str">
        <f>HYPERLINK("http://mcgill.on.worldcat.org/oclc/873947133","Catalog Record")</f>
        <v>Catalog Record</v>
      </c>
      <c r="AW4117" s="6" t="str">
        <f>HYPERLINK("http://www.worldcat.org/oclc/873947133","WorldCat Record")</f>
        <v>WorldCat Record</v>
      </c>
      <c r="AX4117" s="3" t="s">
        <v>35476</v>
      </c>
      <c r="AY4117" s="3" t="s">
        <v>35477</v>
      </c>
      <c r="AZ4117" s="3" t="s">
        <v>35478</v>
      </c>
      <c r="BA4117" s="3" t="s">
        <v>35478</v>
      </c>
      <c r="BB4117" s="3" t="s">
        <v>35479</v>
      </c>
      <c r="BC4117" s="3" t="s">
        <v>82</v>
      </c>
      <c r="BD4117" s="3" t="s">
        <v>70</v>
      </c>
      <c r="BE4117" s="3" t="s">
        <v>35480</v>
      </c>
      <c r="BF4117" s="3" t="s">
        <v>35479</v>
      </c>
      <c r="BG4117" s="3" t="s">
        <v>35481</v>
      </c>
    </row>
    <row r="4118" spans="1:59" ht="60" x14ac:dyDescent="0.25">
      <c r="A4118" s="2" t="s">
        <v>59</v>
      </c>
      <c r="B4118" s="2" t="s">
        <v>60</v>
      </c>
      <c r="C4118" s="2" t="s">
        <v>35482</v>
      </c>
      <c r="D4118" s="2" t="s">
        <v>35483</v>
      </c>
      <c r="E4118" s="2" t="s">
        <v>35484</v>
      </c>
      <c r="G4118" s="3" t="s">
        <v>63</v>
      </c>
      <c r="I4118" s="3" t="s">
        <v>63</v>
      </c>
      <c r="J4118" s="3" t="s">
        <v>63</v>
      </c>
      <c r="K4118" s="3" t="s">
        <v>64</v>
      </c>
      <c r="L4118" s="2" t="s">
        <v>35485</v>
      </c>
      <c r="M4118" s="2" t="s">
        <v>35486</v>
      </c>
      <c r="N4118" s="3" t="s">
        <v>143</v>
      </c>
      <c r="P4118" s="3" t="s">
        <v>90</v>
      </c>
      <c r="Q4118" s="2" t="s">
        <v>35487</v>
      </c>
      <c r="R4118" s="3" t="s">
        <v>67</v>
      </c>
      <c r="S4118" s="4">
        <v>1</v>
      </c>
      <c r="T4118" s="4">
        <v>1</v>
      </c>
      <c r="U4118" s="5" t="s">
        <v>25441</v>
      </c>
      <c r="V4118" s="5" t="s">
        <v>25441</v>
      </c>
      <c r="W4118" s="5" t="s">
        <v>69</v>
      </c>
      <c r="X4118" s="5" t="s">
        <v>69</v>
      </c>
      <c r="Y4118" s="4">
        <v>33</v>
      </c>
      <c r="Z4118" s="4">
        <v>4</v>
      </c>
      <c r="AA4118" s="4">
        <v>4</v>
      </c>
      <c r="AB4118" s="4">
        <v>1</v>
      </c>
      <c r="AC4118" s="4">
        <v>1</v>
      </c>
      <c r="AD4118" s="4">
        <v>23</v>
      </c>
      <c r="AE4118" s="4">
        <v>26</v>
      </c>
      <c r="AF4118" s="4">
        <v>0</v>
      </c>
      <c r="AG4118" s="4">
        <v>0</v>
      </c>
      <c r="AH4118" s="4">
        <v>22</v>
      </c>
      <c r="AI4118" s="4">
        <v>25</v>
      </c>
      <c r="AJ4118" s="4">
        <v>1</v>
      </c>
      <c r="AK4118" s="4">
        <v>1</v>
      </c>
      <c r="AL4118" s="4">
        <v>18</v>
      </c>
      <c r="AM4118" s="4">
        <v>20</v>
      </c>
      <c r="AN4118" s="4">
        <v>0</v>
      </c>
      <c r="AO4118" s="4">
        <v>0</v>
      </c>
      <c r="AP4118" s="4">
        <v>1</v>
      </c>
      <c r="AQ4118" s="4">
        <v>1</v>
      </c>
      <c r="AR4118" s="3" t="s">
        <v>63</v>
      </c>
      <c r="AS4118" s="3" t="s">
        <v>63</v>
      </c>
      <c r="AT4118" s="3" t="s">
        <v>63</v>
      </c>
      <c r="AV4118" s="6" t="str">
        <f>HYPERLINK("http://mcgill.on.worldcat.org/oclc/900162757","Catalog Record")</f>
        <v>Catalog Record</v>
      </c>
      <c r="AW4118" s="6" t="str">
        <f>HYPERLINK("http://www.worldcat.org/oclc/900162757","WorldCat Record")</f>
        <v>WorldCat Record</v>
      </c>
      <c r="AX4118" s="3" t="s">
        <v>35488</v>
      </c>
      <c r="AY4118" s="3" t="s">
        <v>35489</v>
      </c>
      <c r="AZ4118" s="3" t="s">
        <v>35490</v>
      </c>
      <c r="BA4118" s="3" t="s">
        <v>35490</v>
      </c>
      <c r="BB4118" s="3" t="s">
        <v>35491</v>
      </c>
      <c r="BC4118" s="3" t="s">
        <v>82</v>
      </c>
      <c r="BD4118" s="3" t="s">
        <v>70</v>
      </c>
      <c r="BE4118" s="3" t="s">
        <v>35492</v>
      </c>
      <c r="BF4118" s="3" t="s">
        <v>35491</v>
      </c>
      <c r="BG4118" s="3" t="s">
        <v>35493</v>
      </c>
    </row>
    <row r="4119" spans="1:59" ht="60" x14ac:dyDescent="0.25">
      <c r="A4119" s="2" t="s">
        <v>59</v>
      </c>
      <c r="B4119" s="2" t="s">
        <v>60</v>
      </c>
      <c r="C4119" s="2" t="s">
        <v>35494</v>
      </c>
      <c r="D4119" s="2" t="s">
        <v>35495</v>
      </c>
      <c r="E4119" s="2" t="s">
        <v>35496</v>
      </c>
      <c r="G4119" s="3" t="s">
        <v>63</v>
      </c>
      <c r="I4119" s="3" t="s">
        <v>63</v>
      </c>
      <c r="J4119" s="3" t="s">
        <v>63</v>
      </c>
      <c r="K4119" s="3" t="s">
        <v>64</v>
      </c>
      <c r="L4119" s="2" t="s">
        <v>35497</v>
      </c>
      <c r="M4119" s="2" t="s">
        <v>35498</v>
      </c>
      <c r="N4119" s="3" t="s">
        <v>76</v>
      </c>
      <c r="P4119" s="3" t="s">
        <v>90</v>
      </c>
      <c r="R4119" s="3" t="s">
        <v>67</v>
      </c>
      <c r="S4119" s="4">
        <v>4</v>
      </c>
      <c r="T4119" s="4">
        <v>4</v>
      </c>
      <c r="U4119" s="5" t="s">
        <v>9728</v>
      </c>
      <c r="V4119" s="5" t="s">
        <v>9728</v>
      </c>
      <c r="W4119" s="5" t="s">
        <v>69</v>
      </c>
      <c r="X4119" s="5" t="s">
        <v>69</v>
      </c>
      <c r="Y4119" s="4">
        <v>11</v>
      </c>
      <c r="Z4119" s="4">
        <v>4</v>
      </c>
      <c r="AA4119" s="4">
        <v>4</v>
      </c>
      <c r="AB4119" s="4">
        <v>1</v>
      </c>
      <c r="AC4119" s="4">
        <v>1</v>
      </c>
      <c r="AD4119" s="4">
        <v>9</v>
      </c>
      <c r="AE4119" s="4">
        <v>9</v>
      </c>
      <c r="AF4119" s="4">
        <v>0</v>
      </c>
      <c r="AG4119" s="4">
        <v>0</v>
      </c>
      <c r="AH4119" s="4">
        <v>9</v>
      </c>
      <c r="AI4119" s="4">
        <v>9</v>
      </c>
      <c r="AJ4119" s="4">
        <v>2</v>
      </c>
      <c r="AK4119" s="4">
        <v>2</v>
      </c>
      <c r="AL4119" s="4">
        <v>8</v>
      </c>
      <c r="AM4119" s="4">
        <v>8</v>
      </c>
      <c r="AN4119" s="4">
        <v>0</v>
      </c>
      <c r="AO4119" s="4">
        <v>0</v>
      </c>
      <c r="AP4119" s="4">
        <v>2</v>
      </c>
      <c r="AQ4119" s="4">
        <v>2</v>
      </c>
      <c r="AR4119" s="3" t="s">
        <v>63</v>
      </c>
      <c r="AS4119" s="3" t="s">
        <v>63</v>
      </c>
      <c r="AT4119" s="3" t="s">
        <v>63</v>
      </c>
      <c r="AV4119" s="6" t="str">
        <f>HYPERLINK("http://mcgill.on.worldcat.org/oclc/813057024","Catalog Record")</f>
        <v>Catalog Record</v>
      </c>
      <c r="AW4119" s="6" t="str">
        <f>HYPERLINK("http://www.worldcat.org/oclc/813057024","WorldCat Record")</f>
        <v>WorldCat Record</v>
      </c>
      <c r="AX4119" s="3" t="s">
        <v>35499</v>
      </c>
      <c r="AY4119" s="3" t="s">
        <v>35500</v>
      </c>
      <c r="AZ4119" s="3" t="s">
        <v>35501</v>
      </c>
      <c r="BA4119" s="3" t="s">
        <v>35501</v>
      </c>
      <c r="BB4119" s="3" t="s">
        <v>35502</v>
      </c>
      <c r="BC4119" s="3" t="s">
        <v>82</v>
      </c>
      <c r="BD4119" s="3" t="s">
        <v>70</v>
      </c>
      <c r="BE4119" s="3" t="s">
        <v>35503</v>
      </c>
      <c r="BF4119" s="3" t="s">
        <v>35502</v>
      </c>
      <c r="BG4119" s="3" t="s">
        <v>35504</v>
      </c>
    </row>
    <row r="4120" spans="1:59" ht="60" x14ac:dyDescent="0.25">
      <c r="A4120" s="2" t="s">
        <v>59</v>
      </c>
      <c r="B4120" s="2" t="s">
        <v>60</v>
      </c>
      <c r="C4120" s="2" t="s">
        <v>35505</v>
      </c>
      <c r="D4120" s="2" t="s">
        <v>35506</v>
      </c>
      <c r="E4120" s="2" t="s">
        <v>35507</v>
      </c>
      <c r="G4120" s="3" t="s">
        <v>63</v>
      </c>
      <c r="I4120" s="3" t="s">
        <v>63</v>
      </c>
      <c r="J4120" s="3" t="s">
        <v>63</v>
      </c>
      <c r="K4120" s="3" t="s">
        <v>64</v>
      </c>
      <c r="L4120" s="2" t="s">
        <v>35508</v>
      </c>
      <c r="M4120" s="2" t="s">
        <v>6355</v>
      </c>
      <c r="N4120" s="3" t="s">
        <v>2765</v>
      </c>
      <c r="P4120" s="3" t="s">
        <v>90</v>
      </c>
      <c r="Q4120" s="2" t="s">
        <v>35509</v>
      </c>
      <c r="R4120" s="3" t="s">
        <v>67</v>
      </c>
      <c r="S4120" s="4">
        <v>0</v>
      </c>
      <c r="T4120" s="4">
        <v>0</v>
      </c>
      <c r="W4120" s="5" t="s">
        <v>69</v>
      </c>
      <c r="X4120" s="5" t="s">
        <v>69</v>
      </c>
      <c r="Y4120" s="4">
        <v>29</v>
      </c>
      <c r="Z4120" s="4">
        <v>4</v>
      </c>
      <c r="AA4120" s="4">
        <v>4</v>
      </c>
      <c r="AB4120" s="4">
        <v>1</v>
      </c>
      <c r="AC4120" s="4">
        <v>1</v>
      </c>
      <c r="AD4120" s="4">
        <v>24</v>
      </c>
      <c r="AE4120" s="4">
        <v>24</v>
      </c>
      <c r="AF4120" s="4">
        <v>0</v>
      </c>
      <c r="AG4120" s="4">
        <v>0</v>
      </c>
      <c r="AH4120" s="4">
        <v>23</v>
      </c>
      <c r="AI4120" s="4">
        <v>23</v>
      </c>
      <c r="AJ4120" s="4">
        <v>2</v>
      </c>
      <c r="AK4120" s="4">
        <v>2</v>
      </c>
      <c r="AL4120" s="4">
        <v>19</v>
      </c>
      <c r="AM4120" s="4">
        <v>19</v>
      </c>
      <c r="AN4120" s="4">
        <v>0</v>
      </c>
      <c r="AO4120" s="4">
        <v>0</v>
      </c>
      <c r="AP4120" s="4">
        <v>2</v>
      </c>
      <c r="AQ4120" s="4">
        <v>2</v>
      </c>
      <c r="AR4120" s="3" t="s">
        <v>63</v>
      </c>
      <c r="AS4120" s="3" t="s">
        <v>63</v>
      </c>
      <c r="AT4120" s="3" t="s">
        <v>63</v>
      </c>
      <c r="AV4120" s="6" t="str">
        <f>HYPERLINK("http://mcgill.on.worldcat.org/oclc/906151454","Catalog Record")</f>
        <v>Catalog Record</v>
      </c>
      <c r="AW4120" s="6" t="str">
        <f>HYPERLINK("http://www.worldcat.org/oclc/906151454","WorldCat Record")</f>
        <v>WorldCat Record</v>
      </c>
      <c r="AX4120" s="3" t="s">
        <v>35510</v>
      </c>
      <c r="AY4120" s="3" t="s">
        <v>35511</v>
      </c>
      <c r="AZ4120" s="3" t="s">
        <v>35512</v>
      </c>
      <c r="BA4120" s="3" t="s">
        <v>35512</v>
      </c>
      <c r="BB4120" s="3" t="s">
        <v>35513</v>
      </c>
      <c r="BC4120" s="3" t="s">
        <v>82</v>
      </c>
      <c r="BD4120" s="3" t="s">
        <v>70</v>
      </c>
      <c r="BE4120" s="3" t="s">
        <v>35514</v>
      </c>
      <c r="BF4120" s="3" t="s">
        <v>35513</v>
      </c>
      <c r="BG4120" s="3" t="s">
        <v>35515</v>
      </c>
    </row>
    <row r="4121" spans="1:59" ht="60" x14ac:dyDescent="0.25">
      <c r="A4121" s="2" t="s">
        <v>59</v>
      </c>
      <c r="B4121" s="2" t="s">
        <v>60</v>
      </c>
      <c r="C4121" s="2" t="s">
        <v>35516</v>
      </c>
      <c r="D4121" s="2" t="s">
        <v>35517</v>
      </c>
      <c r="E4121" s="2" t="s">
        <v>35518</v>
      </c>
      <c r="G4121" s="3" t="s">
        <v>63</v>
      </c>
      <c r="H4121" s="3" t="s">
        <v>215</v>
      </c>
      <c r="I4121" s="3" t="s">
        <v>63</v>
      </c>
      <c r="J4121" s="3" t="s">
        <v>63</v>
      </c>
      <c r="K4121" s="3" t="s">
        <v>64</v>
      </c>
      <c r="L4121" s="2" t="s">
        <v>35519</v>
      </c>
      <c r="M4121" s="2" t="s">
        <v>35520</v>
      </c>
      <c r="N4121" s="3" t="s">
        <v>1752</v>
      </c>
      <c r="P4121" s="3" t="s">
        <v>90</v>
      </c>
      <c r="R4121" s="3" t="s">
        <v>67</v>
      </c>
      <c r="S4121" s="4">
        <v>1</v>
      </c>
      <c r="T4121" s="4">
        <v>1</v>
      </c>
      <c r="W4121" s="5" t="s">
        <v>14022</v>
      </c>
      <c r="X4121" s="5" t="s">
        <v>14022</v>
      </c>
      <c r="Y4121" s="4">
        <v>51</v>
      </c>
      <c r="Z4121" s="4">
        <v>4</v>
      </c>
      <c r="AA4121" s="4">
        <v>4</v>
      </c>
      <c r="AB4121" s="4">
        <v>1</v>
      </c>
      <c r="AC4121" s="4">
        <v>1</v>
      </c>
      <c r="AD4121" s="4">
        <v>25</v>
      </c>
      <c r="AE4121" s="4">
        <v>25</v>
      </c>
      <c r="AF4121" s="4">
        <v>0</v>
      </c>
      <c r="AG4121" s="4">
        <v>0</v>
      </c>
      <c r="AH4121" s="4">
        <v>25</v>
      </c>
      <c r="AI4121" s="4">
        <v>25</v>
      </c>
      <c r="AJ4121" s="4">
        <v>1</v>
      </c>
      <c r="AK4121" s="4">
        <v>1</v>
      </c>
      <c r="AL4121" s="4">
        <v>19</v>
      </c>
      <c r="AM4121" s="4">
        <v>19</v>
      </c>
      <c r="AN4121" s="4">
        <v>0</v>
      </c>
      <c r="AO4121" s="4">
        <v>0</v>
      </c>
      <c r="AP4121" s="4">
        <v>1</v>
      </c>
      <c r="AQ4121" s="4">
        <v>1</v>
      </c>
      <c r="AR4121" s="3" t="s">
        <v>63</v>
      </c>
      <c r="AS4121" s="3" t="s">
        <v>63</v>
      </c>
      <c r="AT4121" s="3" t="s">
        <v>63</v>
      </c>
      <c r="AV4121" s="6" t="str">
        <f>HYPERLINK("http://mcgill.on.worldcat.org/oclc/1099180535","Catalog Record")</f>
        <v>Catalog Record</v>
      </c>
      <c r="AW4121" s="6" t="str">
        <f>HYPERLINK("http://www.worldcat.org/oclc/1099180535","WorldCat Record")</f>
        <v>WorldCat Record</v>
      </c>
      <c r="AX4121" s="3" t="s">
        <v>35521</v>
      </c>
      <c r="AY4121" s="3" t="s">
        <v>35522</v>
      </c>
      <c r="AZ4121" s="3" t="s">
        <v>35523</v>
      </c>
      <c r="BA4121" s="3" t="s">
        <v>35523</v>
      </c>
      <c r="BB4121" s="3" t="s">
        <v>35524</v>
      </c>
      <c r="BC4121" s="3" t="s">
        <v>82</v>
      </c>
      <c r="BD4121" s="3" t="s">
        <v>538</v>
      </c>
      <c r="BE4121" s="3" t="s">
        <v>35525</v>
      </c>
      <c r="BF4121" s="3" t="s">
        <v>35524</v>
      </c>
      <c r="BG4121" s="3" t="s">
        <v>35526</v>
      </c>
    </row>
    <row r="4122" spans="1:59" ht="75" x14ac:dyDescent="0.25">
      <c r="A4122" s="2" t="s">
        <v>59</v>
      </c>
      <c r="B4122" s="2" t="s">
        <v>60</v>
      </c>
      <c r="C4122" s="2" t="s">
        <v>35527</v>
      </c>
      <c r="D4122" s="2" t="s">
        <v>35528</v>
      </c>
      <c r="E4122" s="2" t="s">
        <v>35529</v>
      </c>
      <c r="G4122" s="3" t="s">
        <v>63</v>
      </c>
      <c r="I4122" s="3" t="s">
        <v>63</v>
      </c>
      <c r="J4122" s="3" t="s">
        <v>63</v>
      </c>
      <c r="K4122" s="3" t="s">
        <v>64</v>
      </c>
      <c r="L4122" s="2" t="s">
        <v>35519</v>
      </c>
      <c r="M4122" s="2" t="s">
        <v>35530</v>
      </c>
      <c r="N4122" s="3" t="s">
        <v>1557</v>
      </c>
      <c r="P4122" s="3" t="s">
        <v>90</v>
      </c>
      <c r="Q4122" s="2" t="s">
        <v>29510</v>
      </c>
      <c r="R4122" s="3" t="s">
        <v>67</v>
      </c>
      <c r="S4122" s="4">
        <v>2</v>
      </c>
      <c r="T4122" s="4">
        <v>2</v>
      </c>
      <c r="U4122" s="5" t="s">
        <v>6011</v>
      </c>
      <c r="V4122" s="5" t="s">
        <v>6011</v>
      </c>
      <c r="W4122" s="5" t="s">
        <v>69</v>
      </c>
      <c r="X4122" s="5" t="s">
        <v>69</v>
      </c>
      <c r="Y4122" s="4">
        <v>72</v>
      </c>
      <c r="Z4122" s="4">
        <v>5</v>
      </c>
      <c r="AA4122" s="4">
        <v>5</v>
      </c>
      <c r="AB4122" s="4">
        <v>1</v>
      </c>
      <c r="AC4122" s="4">
        <v>1</v>
      </c>
      <c r="AD4122" s="4">
        <v>38</v>
      </c>
      <c r="AE4122" s="4">
        <v>38</v>
      </c>
      <c r="AF4122" s="4">
        <v>0</v>
      </c>
      <c r="AG4122" s="4">
        <v>0</v>
      </c>
      <c r="AH4122" s="4">
        <v>37</v>
      </c>
      <c r="AI4122" s="4">
        <v>37</v>
      </c>
      <c r="AJ4122" s="4">
        <v>2</v>
      </c>
      <c r="AK4122" s="4">
        <v>2</v>
      </c>
      <c r="AL4122" s="4">
        <v>30</v>
      </c>
      <c r="AM4122" s="4">
        <v>30</v>
      </c>
      <c r="AN4122" s="4">
        <v>0</v>
      </c>
      <c r="AO4122" s="4">
        <v>0</v>
      </c>
      <c r="AP4122" s="4">
        <v>2</v>
      </c>
      <c r="AQ4122" s="4">
        <v>2</v>
      </c>
      <c r="AR4122" s="3" t="s">
        <v>63</v>
      </c>
      <c r="AS4122" s="3" t="s">
        <v>63</v>
      </c>
      <c r="AT4122" s="3" t="s">
        <v>63</v>
      </c>
      <c r="AV4122" s="6" t="str">
        <f>HYPERLINK("http://mcgill.on.worldcat.org/oclc/988945485","Catalog Record")</f>
        <v>Catalog Record</v>
      </c>
      <c r="AW4122" s="6" t="str">
        <f>HYPERLINK("http://www.worldcat.org/oclc/988945485","WorldCat Record")</f>
        <v>WorldCat Record</v>
      </c>
      <c r="AX4122" s="3" t="s">
        <v>35531</v>
      </c>
      <c r="AY4122" s="3" t="s">
        <v>35532</v>
      </c>
      <c r="AZ4122" s="3" t="s">
        <v>35533</v>
      </c>
      <c r="BA4122" s="3" t="s">
        <v>35533</v>
      </c>
      <c r="BB4122" s="3" t="s">
        <v>35534</v>
      </c>
      <c r="BC4122" s="3" t="s">
        <v>82</v>
      </c>
      <c r="BD4122" s="3" t="s">
        <v>70</v>
      </c>
      <c r="BE4122" s="3" t="s">
        <v>35535</v>
      </c>
      <c r="BF4122" s="3" t="s">
        <v>35534</v>
      </c>
      <c r="BG4122" s="3" t="s">
        <v>35536</v>
      </c>
    </row>
    <row r="4123" spans="1:59" ht="75" x14ac:dyDescent="0.25">
      <c r="A4123" s="2" t="s">
        <v>59</v>
      </c>
      <c r="B4123" s="2" t="s">
        <v>60</v>
      </c>
      <c r="C4123" s="2" t="s">
        <v>35537</v>
      </c>
      <c r="D4123" s="2" t="s">
        <v>35538</v>
      </c>
      <c r="E4123" s="2" t="s">
        <v>35539</v>
      </c>
      <c r="G4123" s="3" t="s">
        <v>63</v>
      </c>
      <c r="I4123" s="3" t="s">
        <v>63</v>
      </c>
      <c r="J4123" s="3" t="s">
        <v>63</v>
      </c>
      <c r="K4123" s="3" t="s">
        <v>64</v>
      </c>
      <c r="L4123" s="2" t="s">
        <v>35540</v>
      </c>
      <c r="M4123" s="2" t="s">
        <v>30977</v>
      </c>
      <c r="N4123" s="3" t="s">
        <v>629</v>
      </c>
      <c r="P4123" s="3" t="s">
        <v>90</v>
      </c>
      <c r="R4123" s="3" t="s">
        <v>67</v>
      </c>
      <c r="S4123" s="4">
        <v>1</v>
      </c>
      <c r="T4123" s="4">
        <v>1</v>
      </c>
      <c r="U4123" s="5" t="s">
        <v>24495</v>
      </c>
      <c r="V4123" s="5" t="s">
        <v>24495</v>
      </c>
      <c r="W4123" s="5" t="s">
        <v>69</v>
      </c>
      <c r="X4123" s="5" t="s">
        <v>69</v>
      </c>
      <c r="Y4123" s="4">
        <v>29</v>
      </c>
      <c r="Z4123" s="4">
        <v>5</v>
      </c>
      <c r="AA4123" s="4">
        <v>6</v>
      </c>
      <c r="AB4123" s="4">
        <v>1</v>
      </c>
      <c r="AC4123" s="4">
        <v>1</v>
      </c>
      <c r="AD4123" s="4">
        <v>20</v>
      </c>
      <c r="AE4123" s="4">
        <v>28</v>
      </c>
      <c r="AF4123" s="4">
        <v>0</v>
      </c>
      <c r="AG4123" s="4">
        <v>0</v>
      </c>
      <c r="AH4123" s="4">
        <v>19</v>
      </c>
      <c r="AI4123" s="4">
        <v>27</v>
      </c>
      <c r="AJ4123" s="4">
        <v>2</v>
      </c>
      <c r="AK4123" s="4">
        <v>3</v>
      </c>
      <c r="AL4123" s="4">
        <v>16</v>
      </c>
      <c r="AM4123" s="4">
        <v>21</v>
      </c>
      <c r="AN4123" s="4">
        <v>0</v>
      </c>
      <c r="AO4123" s="4">
        <v>0</v>
      </c>
      <c r="AP4123" s="4">
        <v>2</v>
      </c>
      <c r="AQ4123" s="4">
        <v>3</v>
      </c>
      <c r="AR4123" s="3" t="s">
        <v>63</v>
      </c>
      <c r="AS4123" s="3" t="s">
        <v>63</v>
      </c>
      <c r="AT4123" s="3" t="s">
        <v>63</v>
      </c>
      <c r="AV4123" s="6" t="str">
        <f>HYPERLINK("http://mcgill.on.worldcat.org/oclc/732326047","Catalog Record")</f>
        <v>Catalog Record</v>
      </c>
      <c r="AW4123" s="6" t="str">
        <f>HYPERLINK("http://www.worldcat.org/oclc/732326047","WorldCat Record")</f>
        <v>WorldCat Record</v>
      </c>
      <c r="AX4123" s="3" t="s">
        <v>35541</v>
      </c>
      <c r="AY4123" s="3" t="s">
        <v>35542</v>
      </c>
      <c r="AZ4123" s="3" t="s">
        <v>35543</v>
      </c>
      <c r="BA4123" s="3" t="s">
        <v>35543</v>
      </c>
      <c r="BB4123" s="3" t="s">
        <v>35544</v>
      </c>
      <c r="BC4123" s="3" t="s">
        <v>82</v>
      </c>
      <c r="BD4123" s="3" t="s">
        <v>70</v>
      </c>
      <c r="BE4123" s="3" t="s">
        <v>35545</v>
      </c>
      <c r="BF4123" s="3" t="s">
        <v>35544</v>
      </c>
      <c r="BG4123" s="3" t="s">
        <v>35546</v>
      </c>
    </row>
    <row r="4124" spans="1:59" ht="60" x14ac:dyDescent="0.25">
      <c r="A4124" s="2" t="s">
        <v>59</v>
      </c>
      <c r="B4124" s="2" t="s">
        <v>60</v>
      </c>
      <c r="C4124" s="2" t="s">
        <v>35547</v>
      </c>
      <c r="D4124" s="2" t="s">
        <v>35548</v>
      </c>
      <c r="E4124" s="2" t="s">
        <v>35549</v>
      </c>
      <c r="G4124" s="3" t="s">
        <v>63</v>
      </c>
      <c r="I4124" s="3" t="s">
        <v>63</v>
      </c>
      <c r="J4124" s="3" t="s">
        <v>63</v>
      </c>
      <c r="K4124" s="3" t="s">
        <v>64</v>
      </c>
      <c r="L4124" s="2" t="s">
        <v>35540</v>
      </c>
      <c r="M4124" s="2" t="s">
        <v>35550</v>
      </c>
      <c r="N4124" s="3" t="s">
        <v>76</v>
      </c>
      <c r="P4124" s="3" t="s">
        <v>90</v>
      </c>
      <c r="R4124" s="3" t="s">
        <v>67</v>
      </c>
      <c r="S4124" s="4">
        <v>2</v>
      </c>
      <c r="T4124" s="4">
        <v>2</v>
      </c>
      <c r="U4124" s="5" t="s">
        <v>35421</v>
      </c>
      <c r="V4124" s="5" t="s">
        <v>35421</v>
      </c>
      <c r="W4124" s="5" t="s">
        <v>69</v>
      </c>
      <c r="X4124" s="5" t="s">
        <v>69</v>
      </c>
      <c r="Y4124" s="4">
        <v>26</v>
      </c>
      <c r="Z4124" s="4">
        <v>3</v>
      </c>
      <c r="AA4124" s="4">
        <v>3</v>
      </c>
      <c r="AB4124" s="4">
        <v>1</v>
      </c>
      <c r="AC4124" s="4">
        <v>1</v>
      </c>
      <c r="AD4124" s="4">
        <v>3</v>
      </c>
      <c r="AE4124" s="4">
        <v>14</v>
      </c>
      <c r="AF4124" s="4">
        <v>0</v>
      </c>
      <c r="AG4124" s="4">
        <v>0</v>
      </c>
      <c r="AH4124" s="4">
        <v>3</v>
      </c>
      <c r="AI4124" s="4">
        <v>13</v>
      </c>
      <c r="AJ4124" s="4">
        <v>1</v>
      </c>
      <c r="AK4124" s="4">
        <v>1</v>
      </c>
      <c r="AL4124" s="4">
        <v>1</v>
      </c>
      <c r="AM4124" s="4">
        <v>10</v>
      </c>
      <c r="AN4124" s="4">
        <v>0</v>
      </c>
      <c r="AO4124" s="4">
        <v>0</v>
      </c>
      <c r="AP4124" s="4">
        <v>1</v>
      </c>
      <c r="AQ4124" s="4">
        <v>1</v>
      </c>
      <c r="AR4124" s="3" t="s">
        <v>63</v>
      </c>
      <c r="AS4124" s="3" t="s">
        <v>63</v>
      </c>
      <c r="AT4124" s="3" t="s">
        <v>63</v>
      </c>
      <c r="AV4124" s="6" t="str">
        <f>HYPERLINK("http://mcgill.on.worldcat.org/oclc/812481949","Catalog Record")</f>
        <v>Catalog Record</v>
      </c>
      <c r="AW4124" s="6" t="str">
        <f>HYPERLINK("http://www.worldcat.org/oclc/812481949","WorldCat Record")</f>
        <v>WorldCat Record</v>
      </c>
      <c r="AX4124" s="3" t="s">
        <v>35551</v>
      </c>
      <c r="AY4124" s="3" t="s">
        <v>35552</v>
      </c>
      <c r="AZ4124" s="3" t="s">
        <v>35553</v>
      </c>
      <c r="BA4124" s="3" t="s">
        <v>35553</v>
      </c>
      <c r="BB4124" s="3" t="s">
        <v>35554</v>
      </c>
      <c r="BC4124" s="3" t="s">
        <v>82</v>
      </c>
      <c r="BD4124" s="3" t="s">
        <v>70</v>
      </c>
      <c r="BE4124" s="3" t="s">
        <v>35555</v>
      </c>
      <c r="BF4124" s="3" t="s">
        <v>35554</v>
      </c>
      <c r="BG4124" s="3" t="s">
        <v>35556</v>
      </c>
    </row>
    <row r="4125" spans="1:59" ht="60" x14ac:dyDescent="0.25">
      <c r="A4125" s="2" t="s">
        <v>59</v>
      </c>
      <c r="B4125" s="2" t="s">
        <v>60</v>
      </c>
      <c r="C4125" s="2" t="s">
        <v>35557</v>
      </c>
      <c r="D4125" s="2" t="s">
        <v>35558</v>
      </c>
      <c r="E4125" s="2" t="s">
        <v>35559</v>
      </c>
      <c r="G4125" s="3" t="s">
        <v>63</v>
      </c>
      <c r="I4125" s="3" t="s">
        <v>63</v>
      </c>
      <c r="J4125" s="3" t="s">
        <v>63</v>
      </c>
      <c r="K4125" s="3" t="s">
        <v>64</v>
      </c>
      <c r="L4125" s="2" t="s">
        <v>35540</v>
      </c>
      <c r="M4125" s="2" t="s">
        <v>35560</v>
      </c>
      <c r="N4125" s="3" t="s">
        <v>76</v>
      </c>
      <c r="P4125" s="3" t="s">
        <v>90</v>
      </c>
      <c r="R4125" s="3" t="s">
        <v>67</v>
      </c>
      <c r="S4125" s="4">
        <v>2</v>
      </c>
      <c r="T4125" s="4">
        <v>2</v>
      </c>
      <c r="U4125" s="5" t="s">
        <v>33813</v>
      </c>
      <c r="V4125" s="5" t="s">
        <v>33813</v>
      </c>
      <c r="W4125" s="5" t="s">
        <v>69</v>
      </c>
      <c r="X4125" s="5" t="s">
        <v>69</v>
      </c>
      <c r="Y4125" s="4">
        <v>34</v>
      </c>
      <c r="Z4125" s="4">
        <v>5</v>
      </c>
      <c r="AA4125" s="4">
        <v>5</v>
      </c>
      <c r="AB4125" s="4">
        <v>1</v>
      </c>
      <c r="AC4125" s="4">
        <v>1</v>
      </c>
      <c r="AD4125" s="4">
        <v>19</v>
      </c>
      <c r="AE4125" s="4">
        <v>20</v>
      </c>
      <c r="AF4125" s="4">
        <v>0</v>
      </c>
      <c r="AG4125" s="4">
        <v>0</v>
      </c>
      <c r="AH4125" s="4">
        <v>18</v>
      </c>
      <c r="AI4125" s="4">
        <v>19</v>
      </c>
      <c r="AJ4125" s="4">
        <v>1</v>
      </c>
      <c r="AK4125" s="4">
        <v>1</v>
      </c>
      <c r="AL4125" s="4">
        <v>15</v>
      </c>
      <c r="AM4125" s="4">
        <v>16</v>
      </c>
      <c r="AN4125" s="4">
        <v>0</v>
      </c>
      <c r="AO4125" s="4">
        <v>0</v>
      </c>
      <c r="AP4125" s="4">
        <v>1</v>
      </c>
      <c r="AQ4125" s="4">
        <v>1</v>
      </c>
      <c r="AR4125" s="3" t="s">
        <v>63</v>
      </c>
      <c r="AS4125" s="3" t="s">
        <v>63</v>
      </c>
      <c r="AT4125" s="3" t="s">
        <v>63</v>
      </c>
      <c r="AV4125" s="6" t="str">
        <f>HYPERLINK("http://mcgill.on.worldcat.org/oclc/795998947","Catalog Record")</f>
        <v>Catalog Record</v>
      </c>
      <c r="AW4125" s="6" t="str">
        <f>HYPERLINK("http://www.worldcat.org/oclc/795998947","WorldCat Record")</f>
        <v>WorldCat Record</v>
      </c>
      <c r="AX4125" s="3" t="s">
        <v>35561</v>
      </c>
      <c r="AY4125" s="3" t="s">
        <v>35562</v>
      </c>
      <c r="AZ4125" s="3" t="s">
        <v>35563</v>
      </c>
      <c r="BA4125" s="3" t="s">
        <v>35563</v>
      </c>
      <c r="BB4125" s="3" t="s">
        <v>35564</v>
      </c>
      <c r="BC4125" s="3" t="s">
        <v>82</v>
      </c>
      <c r="BD4125" s="3" t="s">
        <v>70</v>
      </c>
      <c r="BE4125" s="3" t="s">
        <v>35565</v>
      </c>
      <c r="BF4125" s="3" t="s">
        <v>35564</v>
      </c>
      <c r="BG4125" s="3" t="s">
        <v>35566</v>
      </c>
    </row>
    <row r="4126" spans="1:59" ht="60" x14ac:dyDescent="0.25">
      <c r="A4126" s="2" t="s">
        <v>59</v>
      </c>
      <c r="B4126" s="2" t="s">
        <v>60</v>
      </c>
      <c r="C4126" s="2" t="s">
        <v>35567</v>
      </c>
      <c r="D4126" s="2" t="s">
        <v>35568</v>
      </c>
      <c r="E4126" s="2" t="s">
        <v>35569</v>
      </c>
      <c r="G4126" s="3" t="s">
        <v>63</v>
      </c>
      <c r="I4126" s="3" t="s">
        <v>63</v>
      </c>
      <c r="J4126" s="3" t="s">
        <v>63</v>
      </c>
      <c r="K4126" s="3" t="s">
        <v>64</v>
      </c>
      <c r="L4126" s="2" t="s">
        <v>35540</v>
      </c>
      <c r="M4126" s="2" t="s">
        <v>18633</v>
      </c>
      <c r="N4126" s="3" t="s">
        <v>313</v>
      </c>
      <c r="P4126" s="3" t="s">
        <v>90</v>
      </c>
      <c r="R4126" s="3" t="s">
        <v>67</v>
      </c>
      <c r="S4126" s="4">
        <v>2</v>
      </c>
      <c r="T4126" s="4">
        <v>2</v>
      </c>
      <c r="U4126" s="5" t="s">
        <v>35421</v>
      </c>
      <c r="V4126" s="5" t="s">
        <v>35421</v>
      </c>
      <c r="W4126" s="5" t="s">
        <v>69</v>
      </c>
      <c r="X4126" s="5" t="s">
        <v>69</v>
      </c>
      <c r="Y4126" s="4">
        <v>10</v>
      </c>
      <c r="Z4126" s="4">
        <v>4</v>
      </c>
      <c r="AA4126" s="4">
        <v>7</v>
      </c>
      <c r="AB4126" s="4">
        <v>1</v>
      </c>
      <c r="AC4126" s="4">
        <v>1</v>
      </c>
      <c r="AD4126" s="4">
        <v>5</v>
      </c>
      <c r="AE4126" s="4">
        <v>24</v>
      </c>
      <c r="AF4126" s="4">
        <v>0</v>
      </c>
      <c r="AG4126" s="4">
        <v>0</v>
      </c>
      <c r="AH4126" s="4">
        <v>5</v>
      </c>
      <c r="AI4126" s="4">
        <v>24</v>
      </c>
      <c r="AJ4126" s="4">
        <v>1</v>
      </c>
      <c r="AK4126" s="4">
        <v>3</v>
      </c>
      <c r="AL4126" s="4">
        <v>2</v>
      </c>
      <c r="AM4126" s="4">
        <v>16</v>
      </c>
      <c r="AN4126" s="4">
        <v>0</v>
      </c>
      <c r="AO4126" s="4">
        <v>0</v>
      </c>
      <c r="AP4126" s="4">
        <v>1</v>
      </c>
      <c r="AQ4126" s="4">
        <v>3</v>
      </c>
      <c r="AR4126" s="3" t="s">
        <v>63</v>
      </c>
      <c r="AS4126" s="3" t="s">
        <v>63</v>
      </c>
      <c r="AT4126" s="3" t="s">
        <v>63</v>
      </c>
      <c r="AV4126" s="6" t="str">
        <f>HYPERLINK("http://mcgill.on.worldcat.org/oclc/703356812","Catalog Record")</f>
        <v>Catalog Record</v>
      </c>
      <c r="AW4126" s="6" t="str">
        <f>HYPERLINK("http://www.worldcat.org/oclc/703356812","WorldCat Record")</f>
        <v>WorldCat Record</v>
      </c>
      <c r="AX4126" s="3" t="s">
        <v>35570</v>
      </c>
      <c r="AY4126" s="3" t="s">
        <v>35571</v>
      </c>
      <c r="AZ4126" s="3" t="s">
        <v>35572</v>
      </c>
      <c r="BA4126" s="3" t="s">
        <v>35572</v>
      </c>
      <c r="BB4126" s="3" t="s">
        <v>35573</v>
      </c>
      <c r="BC4126" s="3" t="s">
        <v>82</v>
      </c>
      <c r="BD4126" s="3" t="s">
        <v>70</v>
      </c>
      <c r="BE4126" s="3" t="s">
        <v>35574</v>
      </c>
      <c r="BF4126" s="3" t="s">
        <v>35573</v>
      </c>
      <c r="BG4126" s="3" t="s">
        <v>35575</v>
      </c>
    </row>
    <row r="4127" spans="1:59" ht="60" x14ac:dyDescent="0.25">
      <c r="A4127" s="2" t="s">
        <v>59</v>
      </c>
      <c r="B4127" s="2" t="s">
        <v>60</v>
      </c>
      <c r="C4127" s="2" t="s">
        <v>35576</v>
      </c>
      <c r="D4127" s="2" t="s">
        <v>35577</v>
      </c>
      <c r="E4127" s="2" t="s">
        <v>35578</v>
      </c>
      <c r="G4127" s="3" t="s">
        <v>63</v>
      </c>
      <c r="I4127" s="3" t="s">
        <v>63</v>
      </c>
      <c r="J4127" s="3" t="s">
        <v>63</v>
      </c>
      <c r="K4127" s="3" t="s">
        <v>64</v>
      </c>
      <c r="L4127" s="2" t="s">
        <v>35579</v>
      </c>
      <c r="M4127" s="2" t="s">
        <v>32083</v>
      </c>
      <c r="N4127" s="3" t="s">
        <v>313</v>
      </c>
      <c r="P4127" s="3" t="s">
        <v>90</v>
      </c>
      <c r="R4127" s="3" t="s">
        <v>67</v>
      </c>
      <c r="S4127" s="4">
        <v>1</v>
      </c>
      <c r="T4127" s="4">
        <v>1</v>
      </c>
      <c r="U4127" s="5" t="s">
        <v>30857</v>
      </c>
      <c r="V4127" s="5" t="s">
        <v>30857</v>
      </c>
      <c r="W4127" s="5" t="s">
        <v>69</v>
      </c>
      <c r="X4127" s="5" t="s">
        <v>69</v>
      </c>
      <c r="Y4127" s="4">
        <v>23</v>
      </c>
      <c r="Z4127" s="4">
        <v>2</v>
      </c>
      <c r="AA4127" s="4">
        <v>2</v>
      </c>
      <c r="AB4127" s="4">
        <v>1</v>
      </c>
      <c r="AC4127" s="4">
        <v>1</v>
      </c>
      <c r="AD4127" s="4">
        <v>17</v>
      </c>
      <c r="AE4127" s="4">
        <v>17</v>
      </c>
      <c r="AF4127" s="4">
        <v>0</v>
      </c>
      <c r="AG4127" s="4">
        <v>0</v>
      </c>
      <c r="AH4127" s="4">
        <v>17</v>
      </c>
      <c r="AI4127" s="4">
        <v>17</v>
      </c>
      <c r="AJ4127" s="4">
        <v>1</v>
      </c>
      <c r="AK4127" s="4">
        <v>1</v>
      </c>
      <c r="AL4127" s="4">
        <v>13</v>
      </c>
      <c r="AM4127" s="4">
        <v>13</v>
      </c>
      <c r="AN4127" s="4">
        <v>0</v>
      </c>
      <c r="AO4127" s="4">
        <v>0</v>
      </c>
      <c r="AP4127" s="4">
        <v>1</v>
      </c>
      <c r="AQ4127" s="4">
        <v>1</v>
      </c>
      <c r="AR4127" s="3" t="s">
        <v>63</v>
      </c>
      <c r="AS4127" s="3" t="s">
        <v>63</v>
      </c>
      <c r="AT4127" s="3" t="s">
        <v>63</v>
      </c>
      <c r="AV4127" s="6" t="str">
        <f>HYPERLINK("http://mcgill.on.worldcat.org/oclc/664360046","Catalog Record")</f>
        <v>Catalog Record</v>
      </c>
      <c r="AW4127" s="6" t="str">
        <f>HYPERLINK("http://www.worldcat.org/oclc/664360046","WorldCat Record")</f>
        <v>WorldCat Record</v>
      </c>
      <c r="AX4127" s="3" t="s">
        <v>35580</v>
      </c>
      <c r="AY4127" s="3" t="s">
        <v>35581</v>
      </c>
      <c r="AZ4127" s="3" t="s">
        <v>35582</v>
      </c>
      <c r="BA4127" s="3" t="s">
        <v>35582</v>
      </c>
      <c r="BB4127" s="3" t="s">
        <v>35583</v>
      </c>
      <c r="BC4127" s="3" t="s">
        <v>82</v>
      </c>
      <c r="BD4127" s="3" t="s">
        <v>70</v>
      </c>
      <c r="BE4127" s="3" t="s">
        <v>35584</v>
      </c>
      <c r="BF4127" s="3" t="s">
        <v>35583</v>
      </c>
      <c r="BG4127" s="3" t="s">
        <v>35585</v>
      </c>
    </row>
    <row r="4128" spans="1:59" ht="75" x14ac:dyDescent="0.25">
      <c r="A4128" s="2" t="s">
        <v>59</v>
      </c>
      <c r="B4128" s="2" t="s">
        <v>60</v>
      </c>
      <c r="C4128" s="2" t="s">
        <v>35586</v>
      </c>
      <c r="D4128" s="2" t="s">
        <v>35587</v>
      </c>
      <c r="E4128" s="2" t="s">
        <v>35588</v>
      </c>
      <c r="G4128" s="3" t="s">
        <v>63</v>
      </c>
      <c r="I4128" s="3" t="s">
        <v>63</v>
      </c>
      <c r="J4128" s="3" t="s">
        <v>63</v>
      </c>
      <c r="K4128" s="3" t="s">
        <v>64</v>
      </c>
      <c r="L4128" s="2" t="s">
        <v>35579</v>
      </c>
      <c r="M4128" s="2" t="s">
        <v>35589</v>
      </c>
      <c r="N4128" s="3" t="s">
        <v>629</v>
      </c>
      <c r="P4128" s="3" t="s">
        <v>66</v>
      </c>
      <c r="R4128" s="3" t="s">
        <v>67</v>
      </c>
      <c r="S4128" s="4">
        <v>0</v>
      </c>
      <c r="T4128" s="4">
        <v>0</v>
      </c>
      <c r="W4128" s="5" t="s">
        <v>69</v>
      </c>
      <c r="X4128" s="5" t="s">
        <v>69</v>
      </c>
      <c r="Y4128" s="4">
        <v>22</v>
      </c>
      <c r="Z4128" s="4">
        <v>3</v>
      </c>
      <c r="AA4128" s="4">
        <v>11</v>
      </c>
      <c r="AB4128" s="4">
        <v>2</v>
      </c>
      <c r="AC4128" s="4">
        <v>2</v>
      </c>
      <c r="AD4128" s="4">
        <v>6</v>
      </c>
      <c r="AE4128" s="4">
        <v>33</v>
      </c>
      <c r="AF4128" s="4">
        <v>0</v>
      </c>
      <c r="AG4128" s="4">
        <v>0</v>
      </c>
      <c r="AH4128" s="4">
        <v>6</v>
      </c>
      <c r="AI4128" s="4">
        <v>30</v>
      </c>
      <c r="AJ4128" s="4">
        <v>0</v>
      </c>
      <c r="AK4128" s="4">
        <v>5</v>
      </c>
      <c r="AL4128" s="4">
        <v>2</v>
      </c>
      <c r="AM4128" s="4">
        <v>22</v>
      </c>
      <c r="AN4128" s="4">
        <v>0</v>
      </c>
      <c r="AO4128" s="4">
        <v>0</v>
      </c>
      <c r="AP4128" s="4">
        <v>0</v>
      </c>
      <c r="AQ4128" s="4">
        <v>5</v>
      </c>
      <c r="AR4128" s="3" t="s">
        <v>63</v>
      </c>
      <c r="AS4128" s="3" t="s">
        <v>63</v>
      </c>
      <c r="AT4128" s="3" t="s">
        <v>63</v>
      </c>
      <c r="AV4128" s="6" t="str">
        <f>HYPERLINK("http://mcgill.on.worldcat.org/oclc/824534623","Catalog Record")</f>
        <v>Catalog Record</v>
      </c>
      <c r="AW4128" s="6" t="str">
        <f>HYPERLINK("http://www.worldcat.org/oclc/824534623","WorldCat Record")</f>
        <v>WorldCat Record</v>
      </c>
      <c r="AX4128" s="3" t="s">
        <v>35590</v>
      </c>
      <c r="AY4128" s="3" t="s">
        <v>35591</v>
      </c>
      <c r="AZ4128" s="3" t="s">
        <v>35592</v>
      </c>
      <c r="BA4128" s="3" t="s">
        <v>35592</v>
      </c>
      <c r="BB4128" s="3" t="s">
        <v>35593</v>
      </c>
      <c r="BC4128" s="3" t="s">
        <v>82</v>
      </c>
      <c r="BD4128" s="3" t="s">
        <v>70</v>
      </c>
      <c r="BE4128" s="3" t="s">
        <v>35594</v>
      </c>
      <c r="BF4128" s="3" t="s">
        <v>35593</v>
      </c>
      <c r="BG4128" s="3" t="s">
        <v>35595</v>
      </c>
    </row>
    <row r="4129" spans="1:59" ht="60" x14ac:dyDescent="0.25">
      <c r="A4129" s="2" t="s">
        <v>59</v>
      </c>
      <c r="B4129" s="2" t="s">
        <v>60</v>
      </c>
      <c r="C4129" s="2" t="s">
        <v>35596</v>
      </c>
      <c r="D4129" s="2" t="s">
        <v>35597</v>
      </c>
      <c r="E4129" s="2" t="s">
        <v>35598</v>
      </c>
      <c r="G4129" s="3" t="s">
        <v>63</v>
      </c>
      <c r="I4129" s="3" t="s">
        <v>63</v>
      </c>
      <c r="J4129" s="3" t="s">
        <v>63</v>
      </c>
      <c r="K4129" s="3" t="s">
        <v>64</v>
      </c>
      <c r="L4129" s="2" t="s">
        <v>35579</v>
      </c>
      <c r="M4129" s="2" t="s">
        <v>32083</v>
      </c>
      <c r="N4129" s="3" t="s">
        <v>313</v>
      </c>
      <c r="P4129" s="3" t="s">
        <v>90</v>
      </c>
      <c r="R4129" s="3" t="s">
        <v>67</v>
      </c>
      <c r="S4129" s="4">
        <v>1</v>
      </c>
      <c r="T4129" s="4">
        <v>1</v>
      </c>
      <c r="U4129" s="5" t="s">
        <v>30857</v>
      </c>
      <c r="V4129" s="5" t="s">
        <v>30857</v>
      </c>
      <c r="W4129" s="5" t="s">
        <v>69</v>
      </c>
      <c r="X4129" s="5" t="s">
        <v>69</v>
      </c>
      <c r="Y4129" s="4">
        <v>46</v>
      </c>
      <c r="Z4129" s="4">
        <v>4</v>
      </c>
      <c r="AA4129" s="4">
        <v>4</v>
      </c>
      <c r="AB4129" s="4">
        <v>1</v>
      </c>
      <c r="AC4129" s="4">
        <v>1</v>
      </c>
      <c r="AD4129" s="4">
        <v>33</v>
      </c>
      <c r="AE4129" s="4">
        <v>33</v>
      </c>
      <c r="AF4129" s="4">
        <v>0</v>
      </c>
      <c r="AG4129" s="4">
        <v>0</v>
      </c>
      <c r="AH4129" s="4">
        <v>32</v>
      </c>
      <c r="AI4129" s="4">
        <v>32</v>
      </c>
      <c r="AJ4129" s="4">
        <v>2</v>
      </c>
      <c r="AK4129" s="4">
        <v>2</v>
      </c>
      <c r="AL4129" s="4">
        <v>30</v>
      </c>
      <c r="AM4129" s="4">
        <v>30</v>
      </c>
      <c r="AN4129" s="4">
        <v>0</v>
      </c>
      <c r="AO4129" s="4">
        <v>0</v>
      </c>
      <c r="AP4129" s="4">
        <v>2</v>
      </c>
      <c r="AQ4129" s="4">
        <v>2</v>
      </c>
      <c r="AR4129" s="3" t="s">
        <v>63</v>
      </c>
      <c r="AS4129" s="3" t="s">
        <v>63</v>
      </c>
      <c r="AT4129" s="3" t="s">
        <v>63</v>
      </c>
      <c r="AV4129" s="6" t="str">
        <f>HYPERLINK("http://mcgill.on.worldcat.org/oclc/697778599","Catalog Record")</f>
        <v>Catalog Record</v>
      </c>
      <c r="AW4129" s="6" t="str">
        <f>HYPERLINK("http://www.worldcat.org/oclc/697778599","WorldCat Record")</f>
        <v>WorldCat Record</v>
      </c>
      <c r="AX4129" s="3" t="s">
        <v>35599</v>
      </c>
      <c r="AY4129" s="3" t="s">
        <v>35600</v>
      </c>
      <c r="AZ4129" s="3" t="s">
        <v>35601</v>
      </c>
      <c r="BA4129" s="3" t="s">
        <v>35601</v>
      </c>
      <c r="BB4129" s="3" t="s">
        <v>35602</v>
      </c>
      <c r="BC4129" s="3" t="s">
        <v>82</v>
      </c>
      <c r="BD4129" s="3" t="s">
        <v>70</v>
      </c>
      <c r="BE4129" s="3" t="s">
        <v>35603</v>
      </c>
      <c r="BF4129" s="3" t="s">
        <v>35602</v>
      </c>
      <c r="BG4129" s="3" t="s">
        <v>35604</v>
      </c>
    </row>
    <row r="4130" spans="1:59" ht="60" x14ac:dyDescent="0.25">
      <c r="A4130" s="2" t="s">
        <v>59</v>
      </c>
      <c r="B4130" s="2" t="s">
        <v>60</v>
      </c>
      <c r="C4130" s="2" t="s">
        <v>35605</v>
      </c>
      <c r="D4130" s="2" t="s">
        <v>35606</v>
      </c>
      <c r="E4130" s="2" t="s">
        <v>35607</v>
      </c>
      <c r="G4130" s="3" t="s">
        <v>63</v>
      </c>
      <c r="I4130" s="3" t="s">
        <v>63</v>
      </c>
      <c r="J4130" s="3" t="s">
        <v>63</v>
      </c>
      <c r="K4130" s="3" t="s">
        <v>64</v>
      </c>
      <c r="L4130" s="2" t="s">
        <v>35608</v>
      </c>
      <c r="M4130" s="2" t="s">
        <v>35609</v>
      </c>
      <c r="N4130" s="3" t="s">
        <v>130</v>
      </c>
      <c r="O4130" s="2" t="s">
        <v>1605</v>
      </c>
      <c r="P4130" s="3" t="s">
        <v>66</v>
      </c>
      <c r="Q4130" s="2" t="s">
        <v>4515</v>
      </c>
      <c r="R4130" s="3" t="s">
        <v>67</v>
      </c>
      <c r="S4130" s="4">
        <v>1</v>
      </c>
      <c r="T4130" s="4">
        <v>1</v>
      </c>
      <c r="U4130" s="5" t="s">
        <v>469</v>
      </c>
      <c r="V4130" s="5" t="s">
        <v>469</v>
      </c>
      <c r="W4130" s="5" t="s">
        <v>69</v>
      </c>
      <c r="X4130" s="5" t="s">
        <v>69</v>
      </c>
      <c r="Y4130" s="4">
        <v>65</v>
      </c>
      <c r="Z4130" s="4">
        <v>7</v>
      </c>
      <c r="AA4130" s="4">
        <v>13</v>
      </c>
      <c r="AB4130" s="4">
        <v>1</v>
      </c>
      <c r="AC4130" s="4">
        <v>3</v>
      </c>
      <c r="AD4130" s="4">
        <v>34</v>
      </c>
      <c r="AE4130" s="4">
        <v>38</v>
      </c>
      <c r="AF4130" s="4">
        <v>0</v>
      </c>
      <c r="AG4130" s="4">
        <v>0</v>
      </c>
      <c r="AH4130" s="4">
        <v>33</v>
      </c>
      <c r="AI4130" s="4">
        <v>36</v>
      </c>
      <c r="AJ4130" s="4">
        <v>5</v>
      </c>
      <c r="AK4130" s="4">
        <v>5</v>
      </c>
      <c r="AL4130" s="4">
        <v>17</v>
      </c>
      <c r="AM4130" s="4">
        <v>19</v>
      </c>
      <c r="AN4130" s="4">
        <v>0</v>
      </c>
      <c r="AO4130" s="4">
        <v>0</v>
      </c>
      <c r="AP4130" s="4">
        <v>5</v>
      </c>
      <c r="AQ4130" s="4">
        <v>6</v>
      </c>
      <c r="AR4130" s="3" t="s">
        <v>63</v>
      </c>
      <c r="AS4130" s="3" t="s">
        <v>63</v>
      </c>
      <c r="AT4130" s="3" t="s">
        <v>63</v>
      </c>
      <c r="AV4130" s="6" t="str">
        <f>HYPERLINK("http://mcgill.on.worldcat.org/oclc/857664267","Catalog Record")</f>
        <v>Catalog Record</v>
      </c>
      <c r="AW4130" s="6" t="str">
        <f>HYPERLINK("http://www.worldcat.org/oclc/857664267","WorldCat Record")</f>
        <v>WorldCat Record</v>
      </c>
      <c r="AX4130" s="3" t="s">
        <v>35610</v>
      </c>
      <c r="AY4130" s="3" t="s">
        <v>35611</v>
      </c>
      <c r="AZ4130" s="3" t="s">
        <v>35612</v>
      </c>
      <c r="BA4130" s="3" t="s">
        <v>35612</v>
      </c>
      <c r="BB4130" s="3" t="s">
        <v>35613</v>
      </c>
      <c r="BC4130" s="3" t="s">
        <v>82</v>
      </c>
      <c r="BD4130" s="3" t="s">
        <v>70</v>
      </c>
      <c r="BE4130" s="3" t="s">
        <v>35614</v>
      </c>
      <c r="BF4130" s="3" t="s">
        <v>35613</v>
      </c>
      <c r="BG4130" s="3" t="s">
        <v>35615</v>
      </c>
    </row>
    <row r="4131" spans="1:59" ht="60" x14ac:dyDescent="0.25">
      <c r="A4131" s="2" t="s">
        <v>59</v>
      </c>
      <c r="B4131" s="2" t="s">
        <v>60</v>
      </c>
      <c r="C4131" s="2" t="s">
        <v>35616</v>
      </c>
      <c r="D4131" s="2" t="s">
        <v>35617</v>
      </c>
      <c r="E4131" s="2" t="s">
        <v>35618</v>
      </c>
      <c r="G4131" s="3" t="s">
        <v>63</v>
      </c>
      <c r="I4131" s="3" t="s">
        <v>63</v>
      </c>
      <c r="J4131" s="3" t="s">
        <v>63</v>
      </c>
      <c r="K4131" s="3" t="s">
        <v>64</v>
      </c>
      <c r="L4131" s="2" t="s">
        <v>35608</v>
      </c>
      <c r="M4131" s="2" t="s">
        <v>35619</v>
      </c>
      <c r="N4131" s="3" t="s">
        <v>130</v>
      </c>
      <c r="P4131" s="3" t="s">
        <v>90</v>
      </c>
      <c r="Q4131" s="2" t="s">
        <v>35620</v>
      </c>
      <c r="R4131" s="3" t="s">
        <v>67</v>
      </c>
      <c r="S4131" s="4">
        <v>2</v>
      </c>
      <c r="T4131" s="4">
        <v>2</v>
      </c>
      <c r="U4131" s="5" t="s">
        <v>7802</v>
      </c>
      <c r="V4131" s="5" t="s">
        <v>7802</v>
      </c>
      <c r="W4131" s="5" t="s">
        <v>69</v>
      </c>
      <c r="X4131" s="5" t="s">
        <v>69</v>
      </c>
      <c r="Y4131" s="4">
        <v>22</v>
      </c>
      <c r="Z4131" s="4">
        <v>3</v>
      </c>
      <c r="AA4131" s="4">
        <v>3</v>
      </c>
      <c r="AB4131" s="4">
        <v>1</v>
      </c>
      <c r="AC4131" s="4">
        <v>1</v>
      </c>
      <c r="AD4131" s="4">
        <v>18</v>
      </c>
      <c r="AE4131" s="4">
        <v>18</v>
      </c>
      <c r="AF4131" s="4">
        <v>0</v>
      </c>
      <c r="AG4131" s="4">
        <v>0</v>
      </c>
      <c r="AH4131" s="4">
        <v>17</v>
      </c>
      <c r="AI4131" s="4">
        <v>17</v>
      </c>
      <c r="AJ4131" s="4">
        <v>1</v>
      </c>
      <c r="AK4131" s="4">
        <v>1</v>
      </c>
      <c r="AL4131" s="4">
        <v>14</v>
      </c>
      <c r="AM4131" s="4">
        <v>14</v>
      </c>
      <c r="AN4131" s="4">
        <v>0</v>
      </c>
      <c r="AO4131" s="4">
        <v>0</v>
      </c>
      <c r="AP4131" s="4">
        <v>1</v>
      </c>
      <c r="AQ4131" s="4">
        <v>1</v>
      </c>
      <c r="AR4131" s="3" t="s">
        <v>63</v>
      </c>
      <c r="AS4131" s="3" t="s">
        <v>63</v>
      </c>
      <c r="AT4131" s="3" t="s">
        <v>63</v>
      </c>
      <c r="AV4131" s="6" t="str">
        <f>HYPERLINK("http://mcgill.on.worldcat.org/oclc/913581532","Catalog Record")</f>
        <v>Catalog Record</v>
      </c>
      <c r="AW4131" s="6" t="str">
        <f>HYPERLINK("http://www.worldcat.org/oclc/913581532","WorldCat Record")</f>
        <v>WorldCat Record</v>
      </c>
      <c r="AX4131" s="3" t="s">
        <v>35621</v>
      </c>
      <c r="AY4131" s="3" t="s">
        <v>35622</v>
      </c>
      <c r="AZ4131" s="3" t="s">
        <v>35623</v>
      </c>
      <c r="BA4131" s="3" t="s">
        <v>35623</v>
      </c>
      <c r="BB4131" s="3" t="s">
        <v>35624</v>
      </c>
      <c r="BC4131" s="3" t="s">
        <v>82</v>
      </c>
      <c r="BD4131" s="3" t="s">
        <v>70</v>
      </c>
      <c r="BE4131" s="3" t="s">
        <v>35625</v>
      </c>
      <c r="BF4131" s="3" t="s">
        <v>35624</v>
      </c>
      <c r="BG4131" s="3" t="s">
        <v>35626</v>
      </c>
    </row>
    <row r="4132" spans="1:59" ht="60" x14ac:dyDescent="0.25">
      <c r="A4132" s="2" t="s">
        <v>59</v>
      </c>
      <c r="B4132" s="2" t="s">
        <v>60</v>
      </c>
      <c r="C4132" s="2" t="s">
        <v>35627</v>
      </c>
      <c r="D4132" s="2" t="s">
        <v>35628</v>
      </c>
      <c r="E4132" s="2" t="s">
        <v>35629</v>
      </c>
      <c r="G4132" s="3" t="s">
        <v>63</v>
      </c>
      <c r="I4132" s="3" t="s">
        <v>63</v>
      </c>
      <c r="J4132" s="3" t="s">
        <v>63</v>
      </c>
      <c r="K4132" s="3" t="s">
        <v>64</v>
      </c>
      <c r="L4132" s="2" t="s">
        <v>35630</v>
      </c>
      <c r="N4132" s="3" t="s">
        <v>1557</v>
      </c>
      <c r="P4132" s="3" t="s">
        <v>90</v>
      </c>
      <c r="R4132" s="3" t="s">
        <v>67</v>
      </c>
      <c r="S4132" s="4">
        <v>2</v>
      </c>
      <c r="T4132" s="4">
        <v>2</v>
      </c>
      <c r="U4132" s="5" t="s">
        <v>27018</v>
      </c>
      <c r="V4132" s="5" t="s">
        <v>27018</v>
      </c>
      <c r="W4132" s="5" t="s">
        <v>69</v>
      </c>
      <c r="X4132" s="5" t="s">
        <v>69</v>
      </c>
      <c r="Y4132" s="4">
        <v>1</v>
      </c>
      <c r="Z4132" s="4">
        <v>1</v>
      </c>
      <c r="AA4132" s="4">
        <v>1</v>
      </c>
      <c r="AB4132" s="4">
        <v>1</v>
      </c>
      <c r="AC4132" s="4">
        <v>1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3" t="s">
        <v>63</v>
      </c>
      <c r="AS4132" s="3" t="s">
        <v>63</v>
      </c>
      <c r="AT4132" s="3" t="s">
        <v>63</v>
      </c>
      <c r="AV4132" s="6" t="str">
        <f>HYPERLINK("http://mcgill.on.worldcat.org/oclc/1005078856","Catalog Record")</f>
        <v>Catalog Record</v>
      </c>
      <c r="AW4132" s="6" t="str">
        <f>HYPERLINK("http://www.worldcat.org/oclc/1005078856","WorldCat Record")</f>
        <v>WorldCat Record</v>
      </c>
      <c r="AX4132" s="3" t="s">
        <v>35631</v>
      </c>
      <c r="AY4132" s="3" t="s">
        <v>35632</v>
      </c>
      <c r="AZ4132" s="3" t="s">
        <v>35633</v>
      </c>
      <c r="BA4132" s="3" t="s">
        <v>35633</v>
      </c>
      <c r="BB4132" s="3" t="s">
        <v>35634</v>
      </c>
      <c r="BC4132" s="3" t="s">
        <v>82</v>
      </c>
      <c r="BD4132" s="3" t="s">
        <v>70</v>
      </c>
      <c r="BE4132" s="3" t="s">
        <v>35635</v>
      </c>
      <c r="BF4132" s="3" t="s">
        <v>35634</v>
      </c>
      <c r="BG4132" s="3" t="s">
        <v>35636</v>
      </c>
    </row>
    <row r="4133" spans="1:59" ht="60" x14ac:dyDescent="0.25">
      <c r="A4133" s="2" t="s">
        <v>59</v>
      </c>
      <c r="B4133" s="2" t="s">
        <v>60</v>
      </c>
      <c r="C4133" s="2" t="s">
        <v>35637</v>
      </c>
      <c r="D4133" s="2" t="s">
        <v>35638</v>
      </c>
      <c r="E4133" s="2" t="s">
        <v>35639</v>
      </c>
      <c r="G4133" s="3" t="s">
        <v>63</v>
      </c>
      <c r="H4133" s="3" t="s">
        <v>215</v>
      </c>
      <c r="I4133" s="3" t="s">
        <v>63</v>
      </c>
      <c r="J4133" s="3" t="s">
        <v>63</v>
      </c>
      <c r="K4133" s="3" t="s">
        <v>64</v>
      </c>
      <c r="L4133" s="2" t="s">
        <v>35640</v>
      </c>
      <c r="M4133" s="2" t="s">
        <v>35641</v>
      </c>
      <c r="N4133" s="3" t="s">
        <v>1752</v>
      </c>
      <c r="P4133" s="3" t="s">
        <v>90</v>
      </c>
      <c r="Q4133" s="2" t="s">
        <v>35642</v>
      </c>
      <c r="R4133" s="3" t="s">
        <v>67</v>
      </c>
      <c r="S4133" s="4">
        <v>1</v>
      </c>
      <c r="T4133" s="4">
        <v>1</v>
      </c>
      <c r="W4133" s="5" t="s">
        <v>14022</v>
      </c>
      <c r="X4133" s="5" t="s">
        <v>14022</v>
      </c>
      <c r="Y4133" s="4">
        <v>56</v>
      </c>
      <c r="Z4133" s="4">
        <v>4</v>
      </c>
      <c r="AA4133" s="4">
        <v>4</v>
      </c>
      <c r="AB4133" s="4">
        <v>1</v>
      </c>
      <c r="AC4133" s="4">
        <v>1</v>
      </c>
      <c r="AD4133" s="4">
        <v>27</v>
      </c>
      <c r="AE4133" s="4">
        <v>27</v>
      </c>
      <c r="AF4133" s="4">
        <v>0</v>
      </c>
      <c r="AG4133" s="4">
        <v>0</v>
      </c>
      <c r="AH4133" s="4">
        <v>26</v>
      </c>
      <c r="AI4133" s="4">
        <v>26</v>
      </c>
      <c r="AJ4133" s="4">
        <v>0</v>
      </c>
      <c r="AK4133" s="4">
        <v>0</v>
      </c>
      <c r="AL4133" s="4">
        <v>23</v>
      </c>
      <c r="AM4133" s="4">
        <v>23</v>
      </c>
      <c r="AN4133" s="4">
        <v>0</v>
      </c>
      <c r="AO4133" s="4">
        <v>0</v>
      </c>
      <c r="AP4133" s="4">
        <v>0</v>
      </c>
      <c r="AQ4133" s="4">
        <v>0</v>
      </c>
      <c r="AR4133" s="3" t="s">
        <v>63</v>
      </c>
      <c r="AS4133" s="3" t="s">
        <v>63</v>
      </c>
      <c r="AT4133" s="3" t="s">
        <v>63</v>
      </c>
      <c r="AV4133" s="6" t="str">
        <f>HYPERLINK("http://mcgill.on.worldcat.org/oclc/1098239249","Catalog Record")</f>
        <v>Catalog Record</v>
      </c>
      <c r="AW4133" s="6" t="str">
        <f>HYPERLINK("http://www.worldcat.org/oclc/1098239249","WorldCat Record")</f>
        <v>WorldCat Record</v>
      </c>
      <c r="AX4133" s="3" t="s">
        <v>35643</v>
      </c>
      <c r="AY4133" s="3" t="s">
        <v>35644</v>
      </c>
      <c r="AZ4133" s="3" t="s">
        <v>35645</v>
      </c>
      <c r="BA4133" s="3" t="s">
        <v>35645</v>
      </c>
      <c r="BB4133" s="3" t="s">
        <v>35646</v>
      </c>
      <c r="BC4133" s="3" t="s">
        <v>82</v>
      </c>
      <c r="BD4133" s="3" t="s">
        <v>538</v>
      </c>
      <c r="BE4133" s="3" t="s">
        <v>35647</v>
      </c>
      <c r="BF4133" s="3" t="s">
        <v>35646</v>
      </c>
      <c r="BG4133" s="3" t="s">
        <v>35648</v>
      </c>
    </row>
    <row r="4134" spans="1:59" ht="75" x14ac:dyDescent="0.25">
      <c r="A4134" s="2" t="s">
        <v>59</v>
      </c>
      <c r="B4134" s="2" t="s">
        <v>60</v>
      </c>
      <c r="C4134" s="2" t="s">
        <v>35649</v>
      </c>
      <c r="D4134" s="2" t="s">
        <v>35650</v>
      </c>
      <c r="E4134" s="2" t="s">
        <v>35651</v>
      </c>
      <c r="G4134" s="3" t="s">
        <v>63</v>
      </c>
      <c r="I4134" s="3" t="s">
        <v>63</v>
      </c>
      <c r="J4134" s="3" t="s">
        <v>63</v>
      </c>
      <c r="K4134" s="3" t="s">
        <v>64</v>
      </c>
      <c r="L4134" s="2" t="s">
        <v>35652</v>
      </c>
      <c r="M4134" s="2" t="s">
        <v>34060</v>
      </c>
      <c r="N4134" s="3" t="s">
        <v>2765</v>
      </c>
      <c r="P4134" s="3" t="s">
        <v>90</v>
      </c>
      <c r="Q4134" s="2" t="s">
        <v>6422</v>
      </c>
      <c r="R4134" s="3" t="s">
        <v>67</v>
      </c>
      <c r="S4134" s="4">
        <v>1</v>
      </c>
      <c r="T4134" s="4">
        <v>1</v>
      </c>
      <c r="U4134" s="5" t="s">
        <v>7802</v>
      </c>
      <c r="V4134" s="5" t="s">
        <v>7802</v>
      </c>
      <c r="W4134" s="5" t="s">
        <v>69</v>
      </c>
      <c r="X4134" s="5" t="s">
        <v>69</v>
      </c>
      <c r="Y4134" s="4">
        <v>37</v>
      </c>
      <c r="Z4134" s="4">
        <v>3</v>
      </c>
      <c r="AA4134" s="4">
        <v>3</v>
      </c>
      <c r="AB4134" s="4">
        <v>1</v>
      </c>
      <c r="AC4134" s="4">
        <v>1</v>
      </c>
      <c r="AD4134" s="4">
        <v>18</v>
      </c>
      <c r="AE4134" s="4">
        <v>20</v>
      </c>
      <c r="AF4134" s="4">
        <v>0</v>
      </c>
      <c r="AG4134" s="4">
        <v>0</v>
      </c>
      <c r="AH4134" s="4">
        <v>18</v>
      </c>
      <c r="AI4134" s="4">
        <v>20</v>
      </c>
      <c r="AJ4134" s="4">
        <v>1</v>
      </c>
      <c r="AK4134" s="4">
        <v>1</v>
      </c>
      <c r="AL4134" s="4">
        <v>15</v>
      </c>
      <c r="AM4134" s="4">
        <v>17</v>
      </c>
      <c r="AN4134" s="4">
        <v>0</v>
      </c>
      <c r="AO4134" s="4">
        <v>0</v>
      </c>
      <c r="AP4134" s="4">
        <v>1</v>
      </c>
      <c r="AQ4134" s="4">
        <v>1</v>
      </c>
      <c r="AR4134" s="3" t="s">
        <v>63</v>
      </c>
      <c r="AS4134" s="3" t="s">
        <v>63</v>
      </c>
      <c r="AT4134" s="3" t="s">
        <v>63</v>
      </c>
      <c r="AV4134" s="6" t="str">
        <f>HYPERLINK("http://mcgill.on.worldcat.org/oclc/904799947","Catalog Record")</f>
        <v>Catalog Record</v>
      </c>
      <c r="AW4134" s="6" t="str">
        <f>HYPERLINK("http://www.worldcat.org/oclc/904799947","WorldCat Record")</f>
        <v>WorldCat Record</v>
      </c>
      <c r="AX4134" s="3" t="s">
        <v>35653</v>
      </c>
      <c r="AY4134" s="3" t="s">
        <v>35654</v>
      </c>
      <c r="AZ4134" s="3" t="s">
        <v>35655</v>
      </c>
      <c r="BA4134" s="3" t="s">
        <v>35655</v>
      </c>
      <c r="BB4134" s="3" t="s">
        <v>35656</v>
      </c>
      <c r="BC4134" s="3" t="s">
        <v>82</v>
      </c>
      <c r="BD4134" s="3" t="s">
        <v>70</v>
      </c>
      <c r="BE4134" s="3" t="s">
        <v>35657</v>
      </c>
      <c r="BF4134" s="3" t="s">
        <v>35656</v>
      </c>
      <c r="BG4134" s="3" t="s">
        <v>35658</v>
      </c>
    </row>
    <row r="4135" spans="1:59" ht="60" x14ac:dyDescent="0.25">
      <c r="A4135" s="2" t="s">
        <v>59</v>
      </c>
      <c r="B4135" s="2" t="s">
        <v>60</v>
      </c>
      <c r="C4135" s="2" t="s">
        <v>35659</v>
      </c>
      <c r="D4135" s="2" t="s">
        <v>35660</v>
      </c>
      <c r="E4135" s="2" t="s">
        <v>35661</v>
      </c>
      <c r="G4135" s="3" t="s">
        <v>63</v>
      </c>
      <c r="I4135" s="3" t="s">
        <v>63</v>
      </c>
      <c r="J4135" s="3" t="s">
        <v>63</v>
      </c>
      <c r="K4135" s="3" t="s">
        <v>64</v>
      </c>
      <c r="L4135" s="2" t="s">
        <v>8748</v>
      </c>
      <c r="M4135" s="2" t="s">
        <v>35662</v>
      </c>
      <c r="N4135" s="3" t="s">
        <v>130</v>
      </c>
      <c r="P4135" s="3" t="s">
        <v>66</v>
      </c>
      <c r="Q4135" s="2" t="s">
        <v>35663</v>
      </c>
      <c r="R4135" s="3" t="s">
        <v>67</v>
      </c>
      <c r="S4135" s="4">
        <v>0</v>
      </c>
      <c r="T4135" s="4">
        <v>0</v>
      </c>
      <c r="W4135" s="5" t="s">
        <v>69</v>
      </c>
      <c r="X4135" s="5" t="s">
        <v>69</v>
      </c>
      <c r="Y4135" s="4">
        <v>105</v>
      </c>
      <c r="Z4135" s="4">
        <v>7</v>
      </c>
      <c r="AA4135" s="4">
        <v>7</v>
      </c>
      <c r="AB4135" s="4">
        <v>1</v>
      </c>
      <c r="AC4135" s="4">
        <v>1</v>
      </c>
      <c r="AD4135" s="4">
        <v>51</v>
      </c>
      <c r="AE4135" s="4">
        <v>51</v>
      </c>
      <c r="AF4135" s="4">
        <v>0</v>
      </c>
      <c r="AG4135" s="4">
        <v>0</v>
      </c>
      <c r="AH4135" s="4">
        <v>48</v>
      </c>
      <c r="AI4135" s="4">
        <v>48</v>
      </c>
      <c r="AJ4135" s="4">
        <v>4</v>
      </c>
      <c r="AK4135" s="4">
        <v>4</v>
      </c>
      <c r="AL4135" s="4">
        <v>37</v>
      </c>
      <c r="AM4135" s="4">
        <v>37</v>
      </c>
      <c r="AN4135" s="4">
        <v>0</v>
      </c>
      <c r="AO4135" s="4">
        <v>0</v>
      </c>
      <c r="AP4135" s="4">
        <v>4</v>
      </c>
      <c r="AQ4135" s="4">
        <v>4</v>
      </c>
      <c r="AR4135" s="3" t="s">
        <v>63</v>
      </c>
      <c r="AS4135" s="3" t="s">
        <v>63</v>
      </c>
      <c r="AT4135" s="3" t="s">
        <v>63</v>
      </c>
      <c r="AV4135" s="6" t="str">
        <f>HYPERLINK("http://mcgill.on.worldcat.org/oclc/828483937","Catalog Record")</f>
        <v>Catalog Record</v>
      </c>
      <c r="AW4135" s="6" t="str">
        <f>HYPERLINK("http://www.worldcat.org/oclc/828483937","WorldCat Record")</f>
        <v>WorldCat Record</v>
      </c>
      <c r="AX4135" s="3" t="s">
        <v>35664</v>
      </c>
      <c r="AY4135" s="3" t="s">
        <v>35665</v>
      </c>
      <c r="AZ4135" s="3" t="s">
        <v>35666</v>
      </c>
      <c r="BA4135" s="3" t="s">
        <v>35666</v>
      </c>
      <c r="BB4135" s="3" t="s">
        <v>35667</v>
      </c>
      <c r="BC4135" s="3" t="s">
        <v>82</v>
      </c>
      <c r="BD4135" s="3" t="s">
        <v>70</v>
      </c>
      <c r="BE4135" s="3" t="s">
        <v>35668</v>
      </c>
      <c r="BF4135" s="3" t="s">
        <v>35667</v>
      </c>
      <c r="BG4135" s="3" t="s">
        <v>35669</v>
      </c>
    </row>
    <row r="4136" spans="1:59" ht="60" x14ac:dyDescent="0.25">
      <c r="A4136" s="2" t="s">
        <v>59</v>
      </c>
      <c r="B4136" s="2" t="s">
        <v>60</v>
      </c>
      <c r="C4136" s="2" t="s">
        <v>35670</v>
      </c>
      <c r="D4136" s="2" t="s">
        <v>35671</v>
      </c>
      <c r="E4136" s="2" t="s">
        <v>35672</v>
      </c>
      <c r="G4136" s="3" t="s">
        <v>63</v>
      </c>
      <c r="I4136" s="3" t="s">
        <v>63</v>
      </c>
      <c r="J4136" s="3" t="s">
        <v>63</v>
      </c>
      <c r="K4136" s="3" t="s">
        <v>64</v>
      </c>
      <c r="L4136" s="2" t="s">
        <v>35673</v>
      </c>
      <c r="M4136" s="2" t="s">
        <v>28908</v>
      </c>
      <c r="N4136" s="3" t="s">
        <v>313</v>
      </c>
      <c r="P4136" s="3" t="s">
        <v>90</v>
      </c>
      <c r="R4136" s="3" t="s">
        <v>67</v>
      </c>
      <c r="S4136" s="4">
        <v>2</v>
      </c>
      <c r="T4136" s="4">
        <v>2</v>
      </c>
      <c r="U4136" s="5" t="s">
        <v>9168</v>
      </c>
      <c r="V4136" s="5" t="s">
        <v>9168</v>
      </c>
      <c r="W4136" s="5" t="s">
        <v>69</v>
      </c>
      <c r="X4136" s="5" t="s">
        <v>69</v>
      </c>
      <c r="Y4136" s="4">
        <v>37</v>
      </c>
      <c r="Z4136" s="4">
        <v>4</v>
      </c>
      <c r="AA4136" s="4">
        <v>4</v>
      </c>
      <c r="AB4136" s="4">
        <v>1</v>
      </c>
      <c r="AC4136" s="4">
        <v>1</v>
      </c>
      <c r="AD4136" s="4">
        <v>24</v>
      </c>
      <c r="AE4136" s="4">
        <v>24</v>
      </c>
      <c r="AF4136" s="4">
        <v>0</v>
      </c>
      <c r="AG4136" s="4">
        <v>0</v>
      </c>
      <c r="AH4136" s="4">
        <v>23</v>
      </c>
      <c r="AI4136" s="4">
        <v>23</v>
      </c>
      <c r="AJ4136" s="4">
        <v>2</v>
      </c>
      <c r="AK4136" s="4">
        <v>2</v>
      </c>
      <c r="AL4136" s="4">
        <v>18</v>
      </c>
      <c r="AM4136" s="4">
        <v>18</v>
      </c>
      <c r="AN4136" s="4">
        <v>0</v>
      </c>
      <c r="AO4136" s="4">
        <v>0</v>
      </c>
      <c r="AP4136" s="4">
        <v>2</v>
      </c>
      <c r="AQ4136" s="4">
        <v>2</v>
      </c>
      <c r="AR4136" s="3" t="s">
        <v>63</v>
      </c>
      <c r="AS4136" s="3" t="s">
        <v>63</v>
      </c>
      <c r="AT4136" s="3" t="s">
        <v>63</v>
      </c>
      <c r="AV4136" s="6" t="str">
        <f>HYPERLINK("http://mcgill.on.worldcat.org/oclc/671644043","Catalog Record")</f>
        <v>Catalog Record</v>
      </c>
      <c r="AW4136" s="6" t="str">
        <f>HYPERLINK("http://www.worldcat.org/oclc/671644043","WorldCat Record")</f>
        <v>WorldCat Record</v>
      </c>
      <c r="AX4136" s="3" t="s">
        <v>35674</v>
      </c>
      <c r="AY4136" s="3" t="s">
        <v>35675</v>
      </c>
      <c r="AZ4136" s="3" t="s">
        <v>35676</v>
      </c>
      <c r="BA4136" s="3" t="s">
        <v>35676</v>
      </c>
      <c r="BB4136" s="3" t="s">
        <v>35677</v>
      </c>
      <c r="BC4136" s="3" t="s">
        <v>82</v>
      </c>
      <c r="BD4136" s="3" t="s">
        <v>70</v>
      </c>
      <c r="BE4136" s="3" t="s">
        <v>35678</v>
      </c>
      <c r="BF4136" s="3" t="s">
        <v>35677</v>
      </c>
      <c r="BG4136" s="3" t="s">
        <v>35679</v>
      </c>
    </row>
    <row r="4137" spans="1:59" ht="60" x14ac:dyDescent="0.25">
      <c r="A4137" s="2" t="s">
        <v>59</v>
      </c>
      <c r="B4137" s="2" t="s">
        <v>60</v>
      </c>
      <c r="C4137" s="2" t="s">
        <v>35680</v>
      </c>
      <c r="D4137" s="2" t="s">
        <v>35681</v>
      </c>
      <c r="E4137" s="2" t="s">
        <v>35682</v>
      </c>
      <c r="G4137" s="3" t="s">
        <v>63</v>
      </c>
      <c r="I4137" s="3" t="s">
        <v>63</v>
      </c>
      <c r="J4137" s="3" t="s">
        <v>63</v>
      </c>
      <c r="K4137" s="3" t="s">
        <v>64</v>
      </c>
      <c r="L4137" s="2" t="s">
        <v>35683</v>
      </c>
      <c r="M4137" s="2" t="s">
        <v>29520</v>
      </c>
      <c r="N4137" s="3" t="s">
        <v>1557</v>
      </c>
      <c r="P4137" s="3" t="s">
        <v>90</v>
      </c>
      <c r="Q4137" s="2" t="s">
        <v>29510</v>
      </c>
      <c r="R4137" s="3" t="s">
        <v>67</v>
      </c>
      <c r="S4137" s="4">
        <v>2</v>
      </c>
      <c r="T4137" s="4">
        <v>2</v>
      </c>
      <c r="U4137" s="5" t="s">
        <v>7107</v>
      </c>
      <c r="V4137" s="5" t="s">
        <v>7107</v>
      </c>
      <c r="W4137" s="5" t="s">
        <v>69</v>
      </c>
      <c r="X4137" s="5" t="s">
        <v>69</v>
      </c>
      <c r="Y4137" s="4">
        <v>37</v>
      </c>
      <c r="Z4137" s="4">
        <v>4</v>
      </c>
      <c r="AA4137" s="4">
        <v>4</v>
      </c>
      <c r="AB4137" s="4">
        <v>1</v>
      </c>
      <c r="AC4137" s="4">
        <v>1</v>
      </c>
      <c r="AD4137" s="4">
        <v>26</v>
      </c>
      <c r="AE4137" s="4">
        <v>26</v>
      </c>
      <c r="AF4137" s="4">
        <v>0</v>
      </c>
      <c r="AG4137" s="4">
        <v>0</v>
      </c>
      <c r="AH4137" s="4">
        <v>25</v>
      </c>
      <c r="AI4137" s="4">
        <v>25</v>
      </c>
      <c r="AJ4137" s="4">
        <v>2</v>
      </c>
      <c r="AK4137" s="4">
        <v>2</v>
      </c>
      <c r="AL4137" s="4">
        <v>18</v>
      </c>
      <c r="AM4137" s="4">
        <v>18</v>
      </c>
      <c r="AN4137" s="4">
        <v>0</v>
      </c>
      <c r="AO4137" s="4">
        <v>0</v>
      </c>
      <c r="AP4137" s="4">
        <v>2</v>
      </c>
      <c r="AQ4137" s="4">
        <v>2</v>
      </c>
      <c r="AR4137" s="3" t="s">
        <v>63</v>
      </c>
      <c r="AS4137" s="3" t="s">
        <v>63</v>
      </c>
      <c r="AT4137" s="3" t="s">
        <v>63</v>
      </c>
      <c r="AV4137" s="6" t="str">
        <f>HYPERLINK("http://mcgill.on.worldcat.org/oclc/1003132501","Catalog Record")</f>
        <v>Catalog Record</v>
      </c>
      <c r="AW4137" s="6" t="str">
        <f>HYPERLINK("http://www.worldcat.org/oclc/1003132501","WorldCat Record")</f>
        <v>WorldCat Record</v>
      </c>
      <c r="AX4137" s="3" t="s">
        <v>35684</v>
      </c>
      <c r="AY4137" s="3" t="s">
        <v>35685</v>
      </c>
      <c r="AZ4137" s="3" t="s">
        <v>35686</v>
      </c>
      <c r="BA4137" s="3" t="s">
        <v>35686</v>
      </c>
      <c r="BB4137" s="3" t="s">
        <v>35687</v>
      </c>
      <c r="BC4137" s="3" t="s">
        <v>82</v>
      </c>
      <c r="BD4137" s="3" t="s">
        <v>70</v>
      </c>
      <c r="BE4137" s="3" t="s">
        <v>35688</v>
      </c>
      <c r="BF4137" s="3" t="s">
        <v>35687</v>
      </c>
      <c r="BG4137" s="3" t="s">
        <v>35689</v>
      </c>
    </row>
    <row r="4138" spans="1:59" ht="60" x14ac:dyDescent="0.25">
      <c r="A4138" s="2" t="s">
        <v>59</v>
      </c>
      <c r="B4138" s="2" t="s">
        <v>60</v>
      </c>
      <c r="C4138" s="2" t="s">
        <v>35690</v>
      </c>
      <c r="D4138" s="2" t="s">
        <v>35691</v>
      </c>
      <c r="E4138" s="2" t="s">
        <v>35692</v>
      </c>
      <c r="G4138" s="3" t="s">
        <v>63</v>
      </c>
      <c r="I4138" s="3" t="s">
        <v>62</v>
      </c>
      <c r="J4138" s="3" t="s">
        <v>63</v>
      </c>
      <c r="K4138" s="3" t="s">
        <v>64</v>
      </c>
      <c r="L4138" s="2" t="s">
        <v>35683</v>
      </c>
      <c r="M4138" s="2" t="s">
        <v>30180</v>
      </c>
      <c r="N4138" s="3" t="s">
        <v>130</v>
      </c>
      <c r="P4138" s="3" t="s">
        <v>90</v>
      </c>
      <c r="Q4138" s="2" t="s">
        <v>35693</v>
      </c>
      <c r="R4138" s="3" t="s">
        <v>67</v>
      </c>
      <c r="S4138" s="4">
        <v>0</v>
      </c>
      <c r="T4138" s="4">
        <v>1</v>
      </c>
      <c r="V4138" s="5" t="s">
        <v>21334</v>
      </c>
      <c r="W4138" s="5" t="s">
        <v>69</v>
      </c>
      <c r="X4138" s="5" t="s">
        <v>69</v>
      </c>
      <c r="Y4138" s="4">
        <v>19</v>
      </c>
      <c r="Z4138" s="4">
        <v>5</v>
      </c>
      <c r="AA4138" s="4">
        <v>6</v>
      </c>
      <c r="AB4138" s="4">
        <v>1</v>
      </c>
      <c r="AC4138" s="4">
        <v>1</v>
      </c>
      <c r="AD4138" s="4">
        <v>11</v>
      </c>
      <c r="AE4138" s="4">
        <v>31</v>
      </c>
      <c r="AF4138" s="4">
        <v>0</v>
      </c>
      <c r="AG4138" s="4">
        <v>0</v>
      </c>
      <c r="AH4138" s="4">
        <v>11</v>
      </c>
      <c r="AI4138" s="4">
        <v>30</v>
      </c>
      <c r="AJ4138" s="4">
        <v>3</v>
      </c>
      <c r="AK4138" s="4">
        <v>4</v>
      </c>
      <c r="AL4138" s="4">
        <v>7</v>
      </c>
      <c r="AM4138" s="4">
        <v>22</v>
      </c>
      <c r="AN4138" s="4">
        <v>0</v>
      </c>
      <c r="AO4138" s="4">
        <v>0</v>
      </c>
      <c r="AP4138" s="4">
        <v>3</v>
      </c>
      <c r="AQ4138" s="4">
        <v>4</v>
      </c>
      <c r="AR4138" s="3" t="s">
        <v>63</v>
      </c>
      <c r="AS4138" s="3" t="s">
        <v>63</v>
      </c>
      <c r="AT4138" s="3" t="s">
        <v>63</v>
      </c>
      <c r="AV4138" s="6" t="str">
        <f>HYPERLINK("http://mcgill.on.worldcat.org/oclc/863171312","Catalog Record")</f>
        <v>Catalog Record</v>
      </c>
      <c r="AW4138" s="6" t="str">
        <f>HYPERLINK("http://www.worldcat.org/oclc/863171312","WorldCat Record")</f>
        <v>WorldCat Record</v>
      </c>
      <c r="AX4138" s="3" t="s">
        <v>35694</v>
      </c>
      <c r="AY4138" s="3" t="s">
        <v>35695</v>
      </c>
      <c r="AZ4138" s="3" t="s">
        <v>35696</v>
      </c>
      <c r="BA4138" s="3" t="s">
        <v>35696</v>
      </c>
      <c r="BB4138" s="3" t="s">
        <v>35697</v>
      </c>
      <c r="BC4138" s="3" t="s">
        <v>82</v>
      </c>
      <c r="BD4138" s="3" t="s">
        <v>70</v>
      </c>
      <c r="BE4138" s="3" t="s">
        <v>35698</v>
      </c>
      <c r="BF4138" s="3" t="s">
        <v>35697</v>
      </c>
      <c r="BG4138" s="3" t="s">
        <v>35699</v>
      </c>
    </row>
    <row r="4139" spans="1:59" ht="60" x14ac:dyDescent="0.25">
      <c r="A4139" s="2" t="s">
        <v>59</v>
      </c>
      <c r="B4139" s="2" t="s">
        <v>60</v>
      </c>
      <c r="C4139" s="2" t="s">
        <v>35690</v>
      </c>
      <c r="D4139" s="2" t="s">
        <v>35691</v>
      </c>
      <c r="E4139" s="2" t="s">
        <v>35692</v>
      </c>
      <c r="G4139" s="3" t="s">
        <v>63</v>
      </c>
      <c r="I4139" s="3" t="s">
        <v>62</v>
      </c>
      <c r="J4139" s="3" t="s">
        <v>63</v>
      </c>
      <c r="K4139" s="3" t="s">
        <v>64</v>
      </c>
      <c r="L4139" s="2" t="s">
        <v>35683</v>
      </c>
      <c r="M4139" s="2" t="s">
        <v>30180</v>
      </c>
      <c r="N4139" s="3" t="s">
        <v>130</v>
      </c>
      <c r="P4139" s="3" t="s">
        <v>90</v>
      </c>
      <c r="Q4139" s="2" t="s">
        <v>35693</v>
      </c>
      <c r="R4139" s="3" t="s">
        <v>67</v>
      </c>
      <c r="S4139" s="4">
        <v>1</v>
      </c>
      <c r="T4139" s="4">
        <v>1</v>
      </c>
      <c r="U4139" s="5" t="s">
        <v>21334</v>
      </c>
      <c r="V4139" s="5" t="s">
        <v>21334</v>
      </c>
      <c r="W4139" s="5" t="s">
        <v>69</v>
      </c>
      <c r="X4139" s="5" t="s">
        <v>69</v>
      </c>
      <c r="Y4139" s="4">
        <v>19</v>
      </c>
      <c r="Z4139" s="4">
        <v>5</v>
      </c>
      <c r="AA4139" s="4">
        <v>6</v>
      </c>
      <c r="AB4139" s="4">
        <v>1</v>
      </c>
      <c r="AC4139" s="4">
        <v>1</v>
      </c>
      <c r="AD4139" s="4">
        <v>11</v>
      </c>
      <c r="AE4139" s="4">
        <v>31</v>
      </c>
      <c r="AF4139" s="4">
        <v>0</v>
      </c>
      <c r="AG4139" s="4">
        <v>0</v>
      </c>
      <c r="AH4139" s="4">
        <v>11</v>
      </c>
      <c r="AI4139" s="4">
        <v>30</v>
      </c>
      <c r="AJ4139" s="4">
        <v>3</v>
      </c>
      <c r="AK4139" s="4">
        <v>4</v>
      </c>
      <c r="AL4139" s="4">
        <v>7</v>
      </c>
      <c r="AM4139" s="4">
        <v>22</v>
      </c>
      <c r="AN4139" s="4">
        <v>0</v>
      </c>
      <c r="AO4139" s="4">
        <v>0</v>
      </c>
      <c r="AP4139" s="4">
        <v>3</v>
      </c>
      <c r="AQ4139" s="4">
        <v>4</v>
      </c>
      <c r="AR4139" s="3" t="s">
        <v>63</v>
      </c>
      <c r="AS4139" s="3" t="s">
        <v>63</v>
      </c>
      <c r="AT4139" s="3" t="s">
        <v>63</v>
      </c>
      <c r="AV4139" s="6" t="str">
        <f>HYPERLINK("http://mcgill.on.worldcat.org/oclc/863171312","Catalog Record")</f>
        <v>Catalog Record</v>
      </c>
      <c r="AW4139" s="6" t="str">
        <f>HYPERLINK("http://www.worldcat.org/oclc/863171312","WorldCat Record")</f>
        <v>WorldCat Record</v>
      </c>
      <c r="AX4139" s="3" t="s">
        <v>35694</v>
      </c>
      <c r="AY4139" s="3" t="s">
        <v>35695</v>
      </c>
      <c r="AZ4139" s="3" t="s">
        <v>35696</v>
      </c>
      <c r="BA4139" s="3" t="s">
        <v>35696</v>
      </c>
      <c r="BB4139" s="3" t="s">
        <v>35700</v>
      </c>
      <c r="BC4139" s="3" t="s">
        <v>82</v>
      </c>
      <c r="BD4139" s="3" t="s">
        <v>70</v>
      </c>
      <c r="BE4139" s="3" t="s">
        <v>35698</v>
      </c>
      <c r="BF4139" s="3" t="s">
        <v>35700</v>
      </c>
      <c r="BG4139" s="3" t="s">
        <v>35701</v>
      </c>
    </row>
    <row r="4140" spans="1:59" ht="60" x14ac:dyDescent="0.25">
      <c r="A4140" s="2" t="s">
        <v>59</v>
      </c>
      <c r="B4140" s="2" t="s">
        <v>60</v>
      </c>
      <c r="C4140" s="2" t="s">
        <v>35702</v>
      </c>
      <c r="D4140" s="2" t="s">
        <v>35703</v>
      </c>
      <c r="E4140" s="2" t="s">
        <v>35704</v>
      </c>
      <c r="G4140" s="3" t="s">
        <v>63</v>
      </c>
      <c r="I4140" s="3" t="s">
        <v>63</v>
      </c>
      <c r="J4140" s="3" t="s">
        <v>63</v>
      </c>
      <c r="K4140" s="3" t="s">
        <v>64</v>
      </c>
      <c r="L4140" s="2" t="s">
        <v>35683</v>
      </c>
      <c r="M4140" s="2" t="s">
        <v>35705</v>
      </c>
      <c r="N4140" s="3" t="s">
        <v>287</v>
      </c>
      <c r="P4140" s="3" t="s">
        <v>90</v>
      </c>
      <c r="Q4140" s="2" t="s">
        <v>29510</v>
      </c>
      <c r="R4140" s="3" t="s">
        <v>67</v>
      </c>
      <c r="S4140" s="4">
        <v>2</v>
      </c>
      <c r="T4140" s="4">
        <v>2</v>
      </c>
      <c r="U4140" s="5" t="s">
        <v>6011</v>
      </c>
      <c r="V4140" s="5" t="s">
        <v>6011</v>
      </c>
      <c r="W4140" s="5" t="s">
        <v>69</v>
      </c>
      <c r="X4140" s="5" t="s">
        <v>69</v>
      </c>
      <c r="Y4140" s="4">
        <v>74</v>
      </c>
      <c r="Z4140" s="4">
        <v>4</v>
      </c>
      <c r="AA4140" s="4">
        <v>4</v>
      </c>
      <c r="AB4140" s="4">
        <v>1</v>
      </c>
      <c r="AC4140" s="4">
        <v>1</v>
      </c>
      <c r="AD4140" s="4">
        <v>36</v>
      </c>
      <c r="AE4140" s="4">
        <v>36</v>
      </c>
      <c r="AF4140" s="4">
        <v>0</v>
      </c>
      <c r="AG4140" s="4">
        <v>0</v>
      </c>
      <c r="AH4140" s="4">
        <v>35</v>
      </c>
      <c r="AI4140" s="4">
        <v>35</v>
      </c>
      <c r="AJ4140" s="4">
        <v>2</v>
      </c>
      <c r="AK4140" s="4">
        <v>2</v>
      </c>
      <c r="AL4140" s="4">
        <v>29</v>
      </c>
      <c r="AM4140" s="4">
        <v>29</v>
      </c>
      <c r="AN4140" s="4">
        <v>0</v>
      </c>
      <c r="AO4140" s="4">
        <v>0</v>
      </c>
      <c r="AP4140" s="4">
        <v>2</v>
      </c>
      <c r="AQ4140" s="4">
        <v>2</v>
      </c>
      <c r="AR4140" s="3" t="s">
        <v>63</v>
      </c>
      <c r="AS4140" s="3" t="s">
        <v>63</v>
      </c>
      <c r="AT4140" s="3" t="s">
        <v>63</v>
      </c>
      <c r="AV4140" s="6" t="str">
        <f>HYPERLINK("http://mcgill.on.worldcat.org/oclc/1043760769","Catalog Record")</f>
        <v>Catalog Record</v>
      </c>
      <c r="AW4140" s="6" t="str">
        <f>HYPERLINK("http://www.worldcat.org/oclc/1043760769","WorldCat Record")</f>
        <v>WorldCat Record</v>
      </c>
      <c r="AX4140" s="3" t="s">
        <v>35706</v>
      </c>
      <c r="AY4140" s="3" t="s">
        <v>35707</v>
      </c>
      <c r="AZ4140" s="3" t="s">
        <v>35708</v>
      </c>
      <c r="BA4140" s="3" t="s">
        <v>35708</v>
      </c>
      <c r="BB4140" s="3" t="s">
        <v>35709</v>
      </c>
      <c r="BC4140" s="3" t="s">
        <v>82</v>
      </c>
      <c r="BD4140" s="3" t="s">
        <v>70</v>
      </c>
      <c r="BE4140" s="3" t="s">
        <v>35710</v>
      </c>
      <c r="BF4140" s="3" t="s">
        <v>35709</v>
      </c>
      <c r="BG4140" s="3" t="s">
        <v>35711</v>
      </c>
    </row>
    <row r="4141" spans="1:59" ht="60" x14ac:dyDescent="0.25">
      <c r="A4141" s="2" t="s">
        <v>59</v>
      </c>
      <c r="B4141" s="2" t="s">
        <v>60</v>
      </c>
      <c r="C4141" s="2" t="s">
        <v>35712</v>
      </c>
      <c r="D4141" s="2" t="s">
        <v>35713</v>
      </c>
      <c r="E4141" s="2" t="s">
        <v>35714</v>
      </c>
      <c r="F4141" s="3" t="s">
        <v>35715</v>
      </c>
      <c r="G4141" s="3" t="s">
        <v>63</v>
      </c>
      <c r="I4141" s="3" t="s">
        <v>63</v>
      </c>
      <c r="J4141" s="3" t="s">
        <v>63</v>
      </c>
      <c r="K4141" s="3" t="s">
        <v>64</v>
      </c>
      <c r="L4141" s="2" t="s">
        <v>35673</v>
      </c>
      <c r="M4141" s="2" t="s">
        <v>28908</v>
      </c>
      <c r="N4141" s="3" t="s">
        <v>313</v>
      </c>
      <c r="P4141" s="3" t="s">
        <v>90</v>
      </c>
      <c r="Q4141" s="2" t="s">
        <v>35716</v>
      </c>
      <c r="R4141" s="3" t="s">
        <v>67</v>
      </c>
      <c r="S4141" s="4">
        <v>2</v>
      </c>
      <c r="T4141" s="4">
        <v>2</v>
      </c>
      <c r="U4141" s="5" t="s">
        <v>35717</v>
      </c>
      <c r="V4141" s="5" t="s">
        <v>35717</v>
      </c>
      <c r="W4141" s="5" t="s">
        <v>69</v>
      </c>
      <c r="X4141" s="5" t="s">
        <v>69</v>
      </c>
      <c r="Y4141" s="4">
        <v>70</v>
      </c>
      <c r="Z4141" s="4">
        <v>5</v>
      </c>
      <c r="AA4141" s="4">
        <v>9</v>
      </c>
      <c r="AB4141" s="4">
        <v>2</v>
      </c>
      <c r="AC4141" s="4">
        <v>2</v>
      </c>
      <c r="AD4141" s="4">
        <v>34</v>
      </c>
      <c r="AE4141" s="4">
        <v>43</v>
      </c>
      <c r="AF4141" s="4">
        <v>0</v>
      </c>
      <c r="AG4141" s="4">
        <v>0</v>
      </c>
      <c r="AH4141" s="4">
        <v>33</v>
      </c>
      <c r="AI4141" s="4">
        <v>42</v>
      </c>
      <c r="AJ4141" s="4">
        <v>2</v>
      </c>
      <c r="AK4141" s="4">
        <v>4</v>
      </c>
      <c r="AL4141" s="4">
        <v>27</v>
      </c>
      <c r="AM4141" s="4">
        <v>34</v>
      </c>
      <c r="AN4141" s="4">
        <v>0</v>
      </c>
      <c r="AO4141" s="4">
        <v>0</v>
      </c>
      <c r="AP4141" s="4">
        <v>2</v>
      </c>
      <c r="AQ4141" s="4">
        <v>4</v>
      </c>
      <c r="AR4141" s="3" t="s">
        <v>63</v>
      </c>
      <c r="AS4141" s="3" t="s">
        <v>63</v>
      </c>
      <c r="AT4141" s="3" t="s">
        <v>63</v>
      </c>
      <c r="AV4141" s="6" t="str">
        <f>HYPERLINK("http://mcgill.on.worldcat.org/oclc/469762099","Catalog Record")</f>
        <v>Catalog Record</v>
      </c>
      <c r="AW4141" s="6" t="str">
        <f>HYPERLINK("http://www.worldcat.org/oclc/469762099","WorldCat Record")</f>
        <v>WorldCat Record</v>
      </c>
      <c r="AX4141" s="3" t="s">
        <v>35718</v>
      </c>
      <c r="AY4141" s="3" t="s">
        <v>35719</v>
      </c>
      <c r="AZ4141" s="3" t="s">
        <v>35720</v>
      </c>
      <c r="BA4141" s="3" t="s">
        <v>35720</v>
      </c>
      <c r="BB4141" s="3" t="s">
        <v>35721</v>
      </c>
      <c r="BC4141" s="3" t="s">
        <v>82</v>
      </c>
      <c r="BD4141" s="3" t="s">
        <v>70</v>
      </c>
      <c r="BE4141" s="3" t="s">
        <v>35722</v>
      </c>
      <c r="BF4141" s="3" t="s">
        <v>35721</v>
      </c>
      <c r="BG4141" s="3" t="s">
        <v>35723</v>
      </c>
    </row>
    <row r="4142" spans="1:59" ht="60" x14ac:dyDescent="0.25">
      <c r="A4142" s="2" t="s">
        <v>59</v>
      </c>
      <c r="B4142" s="2" t="s">
        <v>60</v>
      </c>
      <c r="C4142" s="2" t="s">
        <v>35724</v>
      </c>
      <c r="D4142" s="2" t="s">
        <v>35725</v>
      </c>
      <c r="E4142" s="2" t="s">
        <v>35726</v>
      </c>
      <c r="G4142" s="3" t="s">
        <v>63</v>
      </c>
      <c r="I4142" s="3" t="s">
        <v>63</v>
      </c>
      <c r="J4142" s="3" t="s">
        <v>63</v>
      </c>
      <c r="K4142" s="3" t="s">
        <v>64</v>
      </c>
      <c r="L4142" s="2" t="s">
        <v>35673</v>
      </c>
      <c r="M4142" s="2" t="s">
        <v>28908</v>
      </c>
      <c r="N4142" s="3" t="s">
        <v>313</v>
      </c>
      <c r="P4142" s="3" t="s">
        <v>90</v>
      </c>
      <c r="R4142" s="3" t="s">
        <v>67</v>
      </c>
      <c r="S4142" s="4">
        <v>3</v>
      </c>
      <c r="T4142" s="4">
        <v>3</v>
      </c>
      <c r="U4142" s="5" t="s">
        <v>35727</v>
      </c>
      <c r="V4142" s="5" t="s">
        <v>35727</v>
      </c>
      <c r="W4142" s="5" t="s">
        <v>69</v>
      </c>
      <c r="X4142" s="5" t="s">
        <v>69</v>
      </c>
      <c r="Y4142" s="4">
        <v>47</v>
      </c>
      <c r="Z4142" s="4">
        <v>6</v>
      </c>
      <c r="AA4142" s="4">
        <v>6</v>
      </c>
      <c r="AB4142" s="4">
        <v>2</v>
      </c>
      <c r="AC4142" s="4">
        <v>2</v>
      </c>
      <c r="AD4142" s="4">
        <v>34</v>
      </c>
      <c r="AE4142" s="4">
        <v>34</v>
      </c>
      <c r="AF4142" s="4">
        <v>0</v>
      </c>
      <c r="AG4142" s="4">
        <v>0</v>
      </c>
      <c r="AH4142" s="4">
        <v>33</v>
      </c>
      <c r="AI4142" s="4">
        <v>33</v>
      </c>
      <c r="AJ4142" s="4">
        <v>3</v>
      </c>
      <c r="AK4142" s="4">
        <v>3</v>
      </c>
      <c r="AL4142" s="4">
        <v>27</v>
      </c>
      <c r="AM4142" s="4">
        <v>27</v>
      </c>
      <c r="AN4142" s="4">
        <v>0</v>
      </c>
      <c r="AO4142" s="4">
        <v>0</v>
      </c>
      <c r="AP4142" s="4">
        <v>3</v>
      </c>
      <c r="AQ4142" s="4">
        <v>3</v>
      </c>
      <c r="AR4142" s="3" t="s">
        <v>63</v>
      </c>
      <c r="AS4142" s="3" t="s">
        <v>63</v>
      </c>
      <c r="AT4142" s="3" t="s">
        <v>63</v>
      </c>
      <c r="AV4142" s="6" t="str">
        <f>HYPERLINK("http://mcgill.on.worldcat.org/oclc/641957643","Catalog Record")</f>
        <v>Catalog Record</v>
      </c>
      <c r="AW4142" s="6" t="str">
        <f>HYPERLINK("http://www.worldcat.org/oclc/641957643","WorldCat Record")</f>
        <v>WorldCat Record</v>
      </c>
      <c r="AX4142" s="3" t="s">
        <v>35728</v>
      </c>
      <c r="AY4142" s="3" t="s">
        <v>35729</v>
      </c>
      <c r="AZ4142" s="3" t="s">
        <v>35730</v>
      </c>
      <c r="BA4142" s="3" t="s">
        <v>35730</v>
      </c>
      <c r="BB4142" s="3" t="s">
        <v>35731</v>
      </c>
      <c r="BC4142" s="3" t="s">
        <v>82</v>
      </c>
      <c r="BD4142" s="3" t="s">
        <v>70</v>
      </c>
      <c r="BE4142" s="3" t="s">
        <v>35732</v>
      </c>
      <c r="BF4142" s="3" t="s">
        <v>35731</v>
      </c>
      <c r="BG4142" s="3" t="s">
        <v>35733</v>
      </c>
    </row>
    <row r="4143" spans="1:59" ht="60" x14ac:dyDescent="0.25">
      <c r="A4143" s="2" t="s">
        <v>59</v>
      </c>
      <c r="B4143" s="2" t="s">
        <v>60</v>
      </c>
      <c r="C4143" s="2" t="s">
        <v>35734</v>
      </c>
      <c r="D4143" s="2" t="s">
        <v>35735</v>
      </c>
      <c r="E4143" s="2" t="s">
        <v>35736</v>
      </c>
      <c r="G4143" s="3" t="s">
        <v>63</v>
      </c>
      <c r="I4143" s="3" t="s">
        <v>63</v>
      </c>
      <c r="J4143" s="3" t="s">
        <v>63</v>
      </c>
      <c r="K4143" s="3" t="s">
        <v>64</v>
      </c>
      <c r="L4143" s="2" t="s">
        <v>35683</v>
      </c>
      <c r="M4143" s="2" t="s">
        <v>10743</v>
      </c>
      <c r="N4143" s="3" t="s">
        <v>629</v>
      </c>
      <c r="P4143" s="3" t="s">
        <v>90</v>
      </c>
      <c r="R4143" s="3" t="s">
        <v>67</v>
      </c>
      <c r="S4143" s="4">
        <v>2</v>
      </c>
      <c r="T4143" s="4">
        <v>2</v>
      </c>
      <c r="U4143" s="5" t="s">
        <v>33813</v>
      </c>
      <c r="V4143" s="5" t="s">
        <v>33813</v>
      </c>
      <c r="W4143" s="5" t="s">
        <v>69</v>
      </c>
      <c r="X4143" s="5" t="s">
        <v>69</v>
      </c>
      <c r="Y4143" s="4">
        <v>47</v>
      </c>
      <c r="Z4143" s="4">
        <v>7</v>
      </c>
      <c r="AA4143" s="4">
        <v>7</v>
      </c>
      <c r="AB4143" s="4">
        <v>1</v>
      </c>
      <c r="AC4143" s="4">
        <v>1</v>
      </c>
      <c r="AD4143" s="4">
        <v>34</v>
      </c>
      <c r="AE4143" s="4">
        <v>34</v>
      </c>
      <c r="AF4143" s="4">
        <v>0</v>
      </c>
      <c r="AG4143" s="4">
        <v>0</v>
      </c>
      <c r="AH4143" s="4">
        <v>33</v>
      </c>
      <c r="AI4143" s="4">
        <v>33</v>
      </c>
      <c r="AJ4143" s="4">
        <v>4</v>
      </c>
      <c r="AK4143" s="4">
        <v>4</v>
      </c>
      <c r="AL4143" s="4">
        <v>26</v>
      </c>
      <c r="AM4143" s="4">
        <v>26</v>
      </c>
      <c r="AN4143" s="4">
        <v>0</v>
      </c>
      <c r="AO4143" s="4">
        <v>0</v>
      </c>
      <c r="AP4143" s="4">
        <v>4</v>
      </c>
      <c r="AQ4143" s="4">
        <v>4</v>
      </c>
      <c r="AR4143" s="3" t="s">
        <v>63</v>
      </c>
      <c r="AS4143" s="3" t="s">
        <v>63</v>
      </c>
      <c r="AT4143" s="3" t="s">
        <v>63</v>
      </c>
      <c r="AV4143" s="6" t="str">
        <f>HYPERLINK("http://mcgill.on.worldcat.org/oclc/773879707","Catalog Record")</f>
        <v>Catalog Record</v>
      </c>
      <c r="AW4143" s="6" t="str">
        <f>HYPERLINK("http://www.worldcat.org/oclc/773879707","WorldCat Record")</f>
        <v>WorldCat Record</v>
      </c>
      <c r="AX4143" s="3" t="s">
        <v>35737</v>
      </c>
      <c r="AY4143" s="3" t="s">
        <v>35738</v>
      </c>
      <c r="AZ4143" s="3" t="s">
        <v>35739</v>
      </c>
      <c r="BA4143" s="3" t="s">
        <v>35739</v>
      </c>
      <c r="BB4143" s="3" t="s">
        <v>35740</v>
      </c>
      <c r="BC4143" s="3" t="s">
        <v>82</v>
      </c>
      <c r="BD4143" s="3" t="s">
        <v>70</v>
      </c>
      <c r="BE4143" s="3" t="s">
        <v>35741</v>
      </c>
      <c r="BF4143" s="3" t="s">
        <v>35740</v>
      </c>
      <c r="BG4143" s="3" t="s">
        <v>35742</v>
      </c>
    </row>
    <row r="4144" spans="1:59" ht="60" x14ac:dyDescent="0.25">
      <c r="A4144" s="2" t="s">
        <v>59</v>
      </c>
      <c r="B4144" s="2" t="s">
        <v>60</v>
      </c>
      <c r="C4144" s="2" t="s">
        <v>35743</v>
      </c>
      <c r="D4144" s="2" t="s">
        <v>35744</v>
      </c>
      <c r="E4144" s="2" t="s">
        <v>35745</v>
      </c>
      <c r="G4144" s="3" t="s">
        <v>63</v>
      </c>
      <c r="I4144" s="3" t="s">
        <v>63</v>
      </c>
      <c r="J4144" s="3" t="s">
        <v>63</v>
      </c>
      <c r="K4144" s="3" t="s">
        <v>64</v>
      </c>
      <c r="L4144" s="2" t="s">
        <v>35673</v>
      </c>
      <c r="M4144" s="2" t="s">
        <v>35746</v>
      </c>
      <c r="N4144" s="3" t="s">
        <v>313</v>
      </c>
      <c r="P4144" s="3" t="s">
        <v>90</v>
      </c>
      <c r="Q4144" s="2" t="s">
        <v>29607</v>
      </c>
      <c r="R4144" s="3" t="s">
        <v>67</v>
      </c>
      <c r="S4144" s="4">
        <v>2</v>
      </c>
      <c r="T4144" s="4">
        <v>2</v>
      </c>
      <c r="U4144" s="5" t="s">
        <v>7802</v>
      </c>
      <c r="V4144" s="5" t="s">
        <v>7802</v>
      </c>
      <c r="W4144" s="5" t="s">
        <v>69</v>
      </c>
      <c r="X4144" s="5" t="s">
        <v>69</v>
      </c>
      <c r="Y4144" s="4">
        <v>40</v>
      </c>
      <c r="Z4144" s="4">
        <v>3</v>
      </c>
      <c r="AA4144" s="4">
        <v>3</v>
      </c>
      <c r="AB4144" s="4">
        <v>1</v>
      </c>
      <c r="AC4144" s="4">
        <v>1</v>
      </c>
      <c r="AD4144" s="4">
        <v>23</v>
      </c>
      <c r="AE4144" s="4">
        <v>26</v>
      </c>
      <c r="AF4144" s="4">
        <v>0</v>
      </c>
      <c r="AG4144" s="4">
        <v>0</v>
      </c>
      <c r="AH4144" s="4">
        <v>22</v>
      </c>
      <c r="AI4144" s="4">
        <v>25</v>
      </c>
      <c r="AJ4144" s="4">
        <v>2</v>
      </c>
      <c r="AK4144" s="4">
        <v>2</v>
      </c>
      <c r="AL4144" s="4">
        <v>16</v>
      </c>
      <c r="AM4144" s="4">
        <v>18</v>
      </c>
      <c r="AN4144" s="4">
        <v>0</v>
      </c>
      <c r="AO4144" s="4">
        <v>0</v>
      </c>
      <c r="AP4144" s="4">
        <v>2</v>
      </c>
      <c r="AQ4144" s="4">
        <v>2</v>
      </c>
      <c r="AR4144" s="3" t="s">
        <v>63</v>
      </c>
      <c r="AS4144" s="3" t="s">
        <v>63</v>
      </c>
      <c r="AT4144" s="3" t="s">
        <v>63</v>
      </c>
      <c r="AV4144" s="6" t="str">
        <f>HYPERLINK("http://mcgill.on.worldcat.org/oclc/704058244","Catalog Record")</f>
        <v>Catalog Record</v>
      </c>
      <c r="AW4144" s="6" t="str">
        <f>HYPERLINK("http://www.worldcat.org/oclc/704058244","WorldCat Record")</f>
        <v>WorldCat Record</v>
      </c>
      <c r="AX4144" s="3" t="s">
        <v>35747</v>
      </c>
      <c r="AY4144" s="3" t="s">
        <v>35748</v>
      </c>
      <c r="AZ4144" s="3" t="s">
        <v>35749</v>
      </c>
      <c r="BA4144" s="3" t="s">
        <v>35749</v>
      </c>
      <c r="BB4144" s="3" t="s">
        <v>35750</v>
      </c>
      <c r="BC4144" s="3" t="s">
        <v>82</v>
      </c>
      <c r="BD4144" s="3" t="s">
        <v>70</v>
      </c>
      <c r="BE4144" s="3" t="s">
        <v>35751</v>
      </c>
      <c r="BF4144" s="3" t="s">
        <v>35750</v>
      </c>
      <c r="BG4144" s="3" t="s">
        <v>35752</v>
      </c>
    </row>
    <row r="4145" spans="1:59" ht="60" x14ac:dyDescent="0.25">
      <c r="A4145" s="2" t="s">
        <v>59</v>
      </c>
      <c r="B4145" s="2" t="s">
        <v>60</v>
      </c>
      <c r="C4145" s="2" t="s">
        <v>35753</v>
      </c>
      <c r="D4145" s="2" t="s">
        <v>35754</v>
      </c>
      <c r="E4145" s="2" t="s">
        <v>35755</v>
      </c>
      <c r="G4145" s="3" t="s">
        <v>63</v>
      </c>
      <c r="I4145" s="3" t="s">
        <v>63</v>
      </c>
      <c r="J4145" s="3" t="s">
        <v>63</v>
      </c>
      <c r="K4145" s="3" t="s">
        <v>64</v>
      </c>
      <c r="L4145" s="2" t="s">
        <v>35673</v>
      </c>
      <c r="M4145" s="2" t="s">
        <v>35756</v>
      </c>
      <c r="N4145" s="3" t="s">
        <v>313</v>
      </c>
      <c r="P4145" s="3" t="s">
        <v>90</v>
      </c>
      <c r="R4145" s="3" t="s">
        <v>67</v>
      </c>
      <c r="S4145" s="4">
        <v>2</v>
      </c>
      <c r="T4145" s="4">
        <v>2</v>
      </c>
      <c r="U4145" s="5" t="s">
        <v>35757</v>
      </c>
      <c r="V4145" s="5" t="s">
        <v>35757</v>
      </c>
      <c r="W4145" s="5" t="s">
        <v>69</v>
      </c>
      <c r="X4145" s="5" t="s">
        <v>69</v>
      </c>
      <c r="Y4145" s="4">
        <v>36</v>
      </c>
      <c r="Z4145" s="4">
        <v>5</v>
      </c>
      <c r="AA4145" s="4">
        <v>5</v>
      </c>
      <c r="AB4145" s="4">
        <v>1</v>
      </c>
      <c r="AC4145" s="4">
        <v>1</v>
      </c>
      <c r="AD4145" s="4">
        <v>27</v>
      </c>
      <c r="AE4145" s="4">
        <v>27</v>
      </c>
      <c r="AF4145" s="4">
        <v>0</v>
      </c>
      <c r="AG4145" s="4">
        <v>0</v>
      </c>
      <c r="AH4145" s="4">
        <v>26</v>
      </c>
      <c r="AI4145" s="4">
        <v>26</v>
      </c>
      <c r="AJ4145" s="4">
        <v>3</v>
      </c>
      <c r="AK4145" s="4">
        <v>3</v>
      </c>
      <c r="AL4145" s="4">
        <v>20</v>
      </c>
      <c r="AM4145" s="4">
        <v>20</v>
      </c>
      <c r="AN4145" s="4">
        <v>0</v>
      </c>
      <c r="AO4145" s="4">
        <v>0</v>
      </c>
      <c r="AP4145" s="4">
        <v>3</v>
      </c>
      <c r="AQ4145" s="4">
        <v>3</v>
      </c>
      <c r="AR4145" s="3" t="s">
        <v>63</v>
      </c>
      <c r="AS4145" s="3" t="s">
        <v>63</v>
      </c>
      <c r="AT4145" s="3" t="s">
        <v>63</v>
      </c>
      <c r="AV4145" s="6" t="str">
        <f>HYPERLINK("http://mcgill.on.worldcat.org/oclc/664367111","Catalog Record")</f>
        <v>Catalog Record</v>
      </c>
      <c r="AW4145" s="6" t="str">
        <f>HYPERLINK("http://www.worldcat.org/oclc/664367111","WorldCat Record")</f>
        <v>WorldCat Record</v>
      </c>
      <c r="AX4145" s="3" t="s">
        <v>35758</v>
      </c>
      <c r="AY4145" s="3" t="s">
        <v>35759</v>
      </c>
      <c r="AZ4145" s="3" t="s">
        <v>35760</v>
      </c>
      <c r="BA4145" s="3" t="s">
        <v>35760</v>
      </c>
      <c r="BB4145" s="3" t="s">
        <v>35761</v>
      </c>
      <c r="BC4145" s="3" t="s">
        <v>82</v>
      </c>
      <c r="BD4145" s="3" t="s">
        <v>70</v>
      </c>
      <c r="BE4145" s="3" t="s">
        <v>35762</v>
      </c>
      <c r="BF4145" s="3" t="s">
        <v>35761</v>
      </c>
      <c r="BG4145" s="3" t="s">
        <v>35763</v>
      </c>
    </row>
    <row r="4146" spans="1:59" ht="60" x14ac:dyDescent="0.25">
      <c r="A4146" s="2" t="s">
        <v>59</v>
      </c>
      <c r="B4146" s="2" t="s">
        <v>60</v>
      </c>
      <c r="C4146" s="2" t="s">
        <v>35764</v>
      </c>
      <c r="D4146" s="2" t="s">
        <v>35765</v>
      </c>
      <c r="E4146" s="2" t="s">
        <v>35766</v>
      </c>
      <c r="G4146" s="3" t="s">
        <v>63</v>
      </c>
      <c r="I4146" s="3" t="s">
        <v>63</v>
      </c>
      <c r="J4146" s="3" t="s">
        <v>63</v>
      </c>
      <c r="K4146" s="3" t="s">
        <v>64</v>
      </c>
      <c r="L4146" s="2" t="s">
        <v>35673</v>
      </c>
      <c r="M4146" s="2" t="s">
        <v>22532</v>
      </c>
      <c r="N4146" s="3" t="s">
        <v>629</v>
      </c>
      <c r="P4146" s="3" t="s">
        <v>90</v>
      </c>
      <c r="R4146" s="3" t="s">
        <v>67</v>
      </c>
      <c r="S4146" s="4">
        <v>2</v>
      </c>
      <c r="T4146" s="4">
        <v>2</v>
      </c>
      <c r="U4146" s="5" t="s">
        <v>9168</v>
      </c>
      <c r="V4146" s="5" t="s">
        <v>9168</v>
      </c>
      <c r="W4146" s="5" t="s">
        <v>69</v>
      </c>
      <c r="X4146" s="5" t="s">
        <v>69</v>
      </c>
      <c r="Y4146" s="4">
        <v>24</v>
      </c>
      <c r="Z4146" s="4">
        <v>5</v>
      </c>
      <c r="AA4146" s="4">
        <v>5</v>
      </c>
      <c r="AB4146" s="4">
        <v>1</v>
      </c>
      <c r="AC4146" s="4">
        <v>1</v>
      </c>
      <c r="AD4146" s="4">
        <v>17</v>
      </c>
      <c r="AE4146" s="4">
        <v>17</v>
      </c>
      <c r="AF4146" s="4">
        <v>0</v>
      </c>
      <c r="AG4146" s="4">
        <v>0</v>
      </c>
      <c r="AH4146" s="4">
        <v>17</v>
      </c>
      <c r="AI4146" s="4">
        <v>17</v>
      </c>
      <c r="AJ4146" s="4">
        <v>2</v>
      </c>
      <c r="AK4146" s="4">
        <v>2</v>
      </c>
      <c r="AL4146" s="4">
        <v>12</v>
      </c>
      <c r="AM4146" s="4">
        <v>12</v>
      </c>
      <c r="AN4146" s="4">
        <v>0</v>
      </c>
      <c r="AO4146" s="4">
        <v>0</v>
      </c>
      <c r="AP4146" s="4">
        <v>2</v>
      </c>
      <c r="AQ4146" s="4">
        <v>2</v>
      </c>
      <c r="AR4146" s="3" t="s">
        <v>63</v>
      </c>
      <c r="AS4146" s="3" t="s">
        <v>63</v>
      </c>
      <c r="AT4146" s="3" t="s">
        <v>63</v>
      </c>
      <c r="AV4146" s="6" t="str">
        <f>HYPERLINK("http://mcgill.on.worldcat.org/oclc/746463945","Catalog Record")</f>
        <v>Catalog Record</v>
      </c>
      <c r="AW4146" s="6" t="str">
        <f>HYPERLINK("http://www.worldcat.org/oclc/746463945","WorldCat Record")</f>
        <v>WorldCat Record</v>
      </c>
      <c r="AX4146" s="3" t="s">
        <v>35767</v>
      </c>
      <c r="AY4146" s="3" t="s">
        <v>35768</v>
      </c>
      <c r="AZ4146" s="3" t="s">
        <v>35769</v>
      </c>
      <c r="BA4146" s="3" t="s">
        <v>35769</v>
      </c>
      <c r="BB4146" s="3" t="s">
        <v>35770</v>
      </c>
      <c r="BC4146" s="3" t="s">
        <v>82</v>
      </c>
      <c r="BD4146" s="3" t="s">
        <v>70</v>
      </c>
      <c r="BE4146" s="3" t="s">
        <v>35771</v>
      </c>
      <c r="BF4146" s="3" t="s">
        <v>35770</v>
      </c>
      <c r="BG4146" s="3" t="s">
        <v>35772</v>
      </c>
    </row>
    <row r="4147" spans="1:59" ht="60" x14ac:dyDescent="0.25">
      <c r="A4147" s="2" t="s">
        <v>59</v>
      </c>
      <c r="B4147" s="2" t="s">
        <v>60</v>
      </c>
      <c r="C4147" s="2" t="s">
        <v>35773</v>
      </c>
      <c r="D4147" s="2" t="s">
        <v>35774</v>
      </c>
      <c r="E4147" s="2" t="s">
        <v>35775</v>
      </c>
      <c r="G4147" s="3" t="s">
        <v>63</v>
      </c>
      <c r="I4147" s="3" t="s">
        <v>63</v>
      </c>
      <c r="J4147" s="3" t="s">
        <v>63</v>
      </c>
      <c r="K4147" s="3" t="s">
        <v>64</v>
      </c>
      <c r="L4147" s="2" t="s">
        <v>35673</v>
      </c>
      <c r="M4147" s="2" t="s">
        <v>22532</v>
      </c>
      <c r="N4147" s="3" t="s">
        <v>629</v>
      </c>
      <c r="P4147" s="3" t="s">
        <v>90</v>
      </c>
      <c r="R4147" s="3" t="s">
        <v>67</v>
      </c>
      <c r="S4147" s="4">
        <v>2</v>
      </c>
      <c r="T4147" s="4">
        <v>2</v>
      </c>
      <c r="U4147" s="5" t="s">
        <v>35727</v>
      </c>
      <c r="V4147" s="5" t="s">
        <v>35727</v>
      </c>
      <c r="W4147" s="5" t="s">
        <v>69</v>
      </c>
      <c r="X4147" s="5" t="s">
        <v>69</v>
      </c>
      <c r="Y4147" s="4">
        <v>56</v>
      </c>
      <c r="Z4147" s="4">
        <v>6</v>
      </c>
      <c r="AA4147" s="4">
        <v>6</v>
      </c>
      <c r="AB4147" s="4">
        <v>1</v>
      </c>
      <c r="AC4147" s="4">
        <v>1</v>
      </c>
      <c r="AD4147" s="4">
        <v>31</v>
      </c>
      <c r="AE4147" s="4">
        <v>31</v>
      </c>
      <c r="AF4147" s="4">
        <v>0</v>
      </c>
      <c r="AG4147" s="4">
        <v>0</v>
      </c>
      <c r="AH4147" s="4">
        <v>30</v>
      </c>
      <c r="AI4147" s="4">
        <v>30</v>
      </c>
      <c r="AJ4147" s="4">
        <v>4</v>
      </c>
      <c r="AK4147" s="4">
        <v>4</v>
      </c>
      <c r="AL4147" s="4">
        <v>22</v>
      </c>
      <c r="AM4147" s="4">
        <v>22</v>
      </c>
      <c r="AN4147" s="4">
        <v>0</v>
      </c>
      <c r="AO4147" s="4">
        <v>0</v>
      </c>
      <c r="AP4147" s="4">
        <v>4</v>
      </c>
      <c r="AQ4147" s="4">
        <v>4</v>
      </c>
      <c r="AR4147" s="3" t="s">
        <v>63</v>
      </c>
      <c r="AS4147" s="3" t="s">
        <v>63</v>
      </c>
      <c r="AT4147" s="3" t="s">
        <v>63</v>
      </c>
      <c r="AV4147" s="6" t="str">
        <f>HYPERLINK("http://mcgill.on.worldcat.org/oclc/759522920","Catalog Record")</f>
        <v>Catalog Record</v>
      </c>
      <c r="AW4147" s="6" t="str">
        <f>HYPERLINK("http://www.worldcat.org/oclc/759522920","WorldCat Record")</f>
        <v>WorldCat Record</v>
      </c>
      <c r="AX4147" s="3" t="s">
        <v>35776</v>
      </c>
      <c r="AY4147" s="3" t="s">
        <v>35777</v>
      </c>
      <c r="AZ4147" s="3" t="s">
        <v>35778</v>
      </c>
      <c r="BA4147" s="3" t="s">
        <v>35778</v>
      </c>
      <c r="BB4147" s="3" t="s">
        <v>35779</v>
      </c>
      <c r="BC4147" s="3" t="s">
        <v>82</v>
      </c>
      <c r="BD4147" s="3" t="s">
        <v>70</v>
      </c>
      <c r="BE4147" s="3" t="s">
        <v>35780</v>
      </c>
      <c r="BF4147" s="3" t="s">
        <v>35779</v>
      </c>
      <c r="BG4147" s="3" t="s">
        <v>35781</v>
      </c>
    </row>
    <row r="4148" spans="1:59" ht="60" x14ac:dyDescent="0.25">
      <c r="A4148" s="2" t="s">
        <v>59</v>
      </c>
      <c r="B4148" s="2" t="s">
        <v>60</v>
      </c>
      <c r="C4148" s="2" t="s">
        <v>35782</v>
      </c>
      <c r="D4148" s="2" t="s">
        <v>35783</v>
      </c>
      <c r="E4148" s="2" t="s">
        <v>35784</v>
      </c>
      <c r="G4148" s="3" t="s">
        <v>63</v>
      </c>
      <c r="I4148" s="3" t="s">
        <v>63</v>
      </c>
      <c r="J4148" s="3" t="s">
        <v>63</v>
      </c>
      <c r="K4148" s="3" t="s">
        <v>64</v>
      </c>
      <c r="L4148" s="2" t="s">
        <v>35683</v>
      </c>
      <c r="M4148" s="2" t="s">
        <v>9631</v>
      </c>
      <c r="N4148" s="3" t="s">
        <v>106</v>
      </c>
      <c r="P4148" s="3" t="s">
        <v>90</v>
      </c>
      <c r="Q4148" s="2" t="s">
        <v>35785</v>
      </c>
      <c r="R4148" s="3" t="s">
        <v>67</v>
      </c>
      <c r="S4148" s="4">
        <v>2</v>
      </c>
      <c r="T4148" s="4">
        <v>2</v>
      </c>
      <c r="U4148" s="5" t="s">
        <v>7212</v>
      </c>
      <c r="V4148" s="5" t="s">
        <v>7212</v>
      </c>
      <c r="W4148" s="5" t="s">
        <v>69</v>
      </c>
      <c r="X4148" s="5" t="s">
        <v>69</v>
      </c>
      <c r="Y4148" s="4">
        <v>69</v>
      </c>
      <c r="Z4148" s="4">
        <v>7</v>
      </c>
      <c r="AA4148" s="4">
        <v>7</v>
      </c>
      <c r="AB4148" s="4">
        <v>1</v>
      </c>
      <c r="AC4148" s="4">
        <v>1</v>
      </c>
      <c r="AD4148" s="4">
        <v>34</v>
      </c>
      <c r="AE4148" s="4">
        <v>34</v>
      </c>
      <c r="AF4148" s="4">
        <v>0</v>
      </c>
      <c r="AG4148" s="4">
        <v>0</v>
      </c>
      <c r="AH4148" s="4">
        <v>34</v>
      </c>
      <c r="AI4148" s="4">
        <v>34</v>
      </c>
      <c r="AJ4148" s="4">
        <v>4</v>
      </c>
      <c r="AK4148" s="4">
        <v>4</v>
      </c>
      <c r="AL4148" s="4">
        <v>23</v>
      </c>
      <c r="AM4148" s="4">
        <v>23</v>
      </c>
      <c r="AN4148" s="4">
        <v>0</v>
      </c>
      <c r="AO4148" s="4">
        <v>0</v>
      </c>
      <c r="AP4148" s="4">
        <v>4</v>
      </c>
      <c r="AQ4148" s="4">
        <v>4</v>
      </c>
      <c r="AR4148" s="3" t="s">
        <v>63</v>
      </c>
      <c r="AS4148" s="3" t="s">
        <v>63</v>
      </c>
      <c r="AT4148" s="3" t="s">
        <v>63</v>
      </c>
      <c r="AV4148" s="6" t="str">
        <f>HYPERLINK("http://mcgill.on.worldcat.org/oclc/948427739","Catalog Record")</f>
        <v>Catalog Record</v>
      </c>
      <c r="AW4148" s="6" t="str">
        <f>HYPERLINK("http://www.worldcat.org/oclc/948427739","WorldCat Record")</f>
        <v>WorldCat Record</v>
      </c>
      <c r="AX4148" s="3" t="s">
        <v>35786</v>
      </c>
      <c r="AY4148" s="3" t="s">
        <v>35787</v>
      </c>
      <c r="AZ4148" s="3" t="s">
        <v>35788</v>
      </c>
      <c r="BA4148" s="3" t="s">
        <v>35788</v>
      </c>
      <c r="BB4148" s="3" t="s">
        <v>35789</v>
      </c>
      <c r="BC4148" s="3" t="s">
        <v>82</v>
      </c>
      <c r="BD4148" s="3" t="s">
        <v>70</v>
      </c>
      <c r="BE4148" s="3" t="s">
        <v>35790</v>
      </c>
      <c r="BF4148" s="3" t="s">
        <v>35789</v>
      </c>
      <c r="BG4148" s="3" t="s">
        <v>35791</v>
      </c>
    </row>
    <row r="4149" spans="1:59" ht="60" x14ac:dyDescent="0.25">
      <c r="A4149" s="2" t="s">
        <v>59</v>
      </c>
      <c r="B4149" s="2" t="s">
        <v>60</v>
      </c>
      <c r="C4149" s="2" t="s">
        <v>35792</v>
      </c>
      <c r="D4149" s="2" t="s">
        <v>35793</v>
      </c>
      <c r="E4149" s="2" t="s">
        <v>35794</v>
      </c>
      <c r="G4149" s="3" t="s">
        <v>63</v>
      </c>
      <c r="I4149" s="3" t="s">
        <v>63</v>
      </c>
      <c r="J4149" s="3" t="s">
        <v>63</v>
      </c>
      <c r="K4149" s="3" t="s">
        <v>64</v>
      </c>
      <c r="L4149" s="2" t="s">
        <v>35683</v>
      </c>
      <c r="M4149" s="2" t="s">
        <v>9716</v>
      </c>
      <c r="N4149" s="3" t="s">
        <v>143</v>
      </c>
      <c r="P4149" s="3" t="s">
        <v>90</v>
      </c>
      <c r="Q4149" s="2" t="s">
        <v>35795</v>
      </c>
      <c r="R4149" s="3" t="s">
        <v>67</v>
      </c>
      <c r="S4149" s="4">
        <v>2</v>
      </c>
      <c r="T4149" s="4">
        <v>2</v>
      </c>
      <c r="U4149" s="5" t="s">
        <v>214</v>
      </c>
      <c r="V4149" s="5" t="s">
        <v>214</v>
      </c>
      <c r="W4149" s="5" t="s">
        <v>69</v>
      </c>
      <c r="X4149" s="5" t="s">
        <v>69</v>
      </c>
      <c r="Y4149" s="4">
        <v>56</v>
      </c>
      <c r="Z4149" s="4">
        <v>6</v>
      </c>
      <c r="AA4149" s="4">
        <v>6</v>
      </c>
      <c r="AB4149" s="4">
        <v>1</v>
      </c>
      <c r="AC4149" s="4">
        <v>1</v>
      </c>
      <c r="AD4149" s="4">
        <v>31</v>
      </c>
      <c r="AE4149" s="4">
        <v>31</v>
      </c>
      <c r="AF4149" s="4">
        <v>0</v>
      </c>
      <c r="AG4149" s="4">
        <v>0</v>
      </c>
      <c r="AH4149" s="4">
        <v>31</v>
      </c>
      <c r="AI4149" s="4">
        <v>31</v>
      </c>
      <c r="AJ4149" s="4">
        <v>4</v>
      </c>
      <c r="AK4149" s="4">
        <v>4</v>
      </c>
      <c r="AL4149" s="4">
        <v>23</v>
      </c>
      <c r="AM4149" s="4">
        <v>23</v>
      </c>
      <c r="AN4149" s="4">
        <v>0</v>
      </c>
      <c r="AO4149" s="4">
        <v>0</v>
      </c>
      <c r="AP4149" s="4">
        <v>4</v>
      </c>
      <c r="AQ4149" s="4">
        <v>4</v>
      </c>
      <c r="AR4149" s="3" t="s">
        <v>63</v>
      </c>
      <c r="AS4149" s="3" t="s">
        <v>63</v>
      </c>
      <c r="AT4149" s="3" t="s">
        <v>63</v>
      </c>
      <c r="AV4149" s="6" t="str">
        <f>HYPERLINK("http://mcgill.on.worldcat.org/oclc/878039888","Catalog Record")</f>
        <v>Catalog Record</v>
      </c>
      <c r="AW4149" s="6" t="str">
        <f>HYPERLINK("http://www.worldcat.org/oclc/878039888","WorldCat Record")</f>
        <v>WorldCat Record</v>
      </c>
      <c r="AX4149" s="3" t="s">
        <v>35796</v>
      </c>
      <c r="AY4149" s="3" t="s">
        <v>35797</v>
      </c>
      <c r="AZ4149" s="3" t="s">
        <v>35798</v>
      </c>
      <c r="BA4149" s="3" t="s">
        <v>35798</v>
      </c>
      <c r="BB4149" s="3" t="s">
        <v>35799</v>
      </c>
      <c r="BC4149" s="3" t="s">
        <v>82</v>
      </c>
      <c r="BD4149" s="3" t="s">
        <v>70</v>
      </c>
      <c r="BE4149" s="3" t="s">
        <v>35800</v>
      </c>
      <c r="BF4149" s="3" t="s">
        <v>35799</v>
      </c>
      <c r="BG4149" s="3" t="s">
        <v>35801</v>
      </c>
    </row>
    <row r="4150" spans="1:59" ht="60" x14ac:dyDescent="0.25">
      <c r="A4150" s="2" t="s">
        <v>59</v>
      </c>
      <c r="B4150" s="2" t="s">
        <v>60</v>
      </c>
      <c r="C4150" s="2" t="s">
        <v>35802</v>
      </c>
      <c r="D4150" s="2" t="s">
        <v>35803</v>
      </c>
      <c r="E4150" s="2" t="s">
        <v>35804</v>
      </c>
      <c r="G4150" s="3" t="s">
        <v>63</v>
      </c>
      <c r="I4150" s="3" t="s">
        <v>63</v>
      </c>
      <c r="J4150" s="3" t="s">
        <v>63</v>
      </c>
      <c r="K4150" s="3" t="s">
        <v>64</v>
      </c>
      <c r="L4150" s="2" t="s">
        <v>35683</v>
      </c>
      <c r="M4150" s="2" t="s">
        <v>23679</v>
      </c>
      <c r="N4150" s="3" t="s">
        <v>2765</v>
      </c>
      <c r="P4150" s="3" t="s">
        <v>90</v>
      </c>
      <c r="Q4150" s="2" t="s">
        <v>35805</v>
      </c>
      <c r="R4150" s="3" t="s">
        <v>67</v>
      </c>
      <c r="S4150" s="4">
        <v>2</v>
      </c>
      <c r="T4150" s="4">
        <v>2</v>
      </c>
      <c r="U4150" s="5" t="s">
        <v>7802</v>
      </c>
      <c r="V4150" s="5" t="s">
        <v>7802</v>
      </c>
      <c r="W4150" s="5" t="s">
        <v>69</v>
      </c>
      <c r="X4150" s="5" t="s">
        <v>69</v>
      </c>
      <c r="Y4150" s="4">
        <v>66</v>
      </c>
      <c r="Z4150" s="4">
        <v>8</v>
      </c>
      <c r="AA4150" s="4">
        <v>8</v>
      </c>
      <c r="AB4150" s="4">
        <v>1</v>
      </c>
      <c r="AC4150" s="4">
        <v>1</v>
      </c>
      <c r="AD4150" s="4">
        <v>45</v>
      </c>
      <c r="AE4150" s="4">
        <v>45</v>
      </c>
      <c r="AF4150" s="4">
        <v>0</v>
      </c>
      <c r="AG4150" s="4">
        <v>0</v>
      </c>
      <c r="AH4150" s="4">
        <v>44</v>
      </c>
      <c r="AI4150" s="4">
        <v>44</v>
      </c>
      <c r="AJ4150" s="4">
        <v>5</v>
      </c>
      <c r="AK4150" s="4">
        <v>5</v>
      </c>
      <c r="AL4150" s="4">
        <v>33</v>
      </c>
      <c r="AM4150" s="4">
        <v>33</v>
      </c>
      <c r="AN4150" s="4">
        <v>0</v>
      </c>
      <c r="AO4150" s="4">
        <v>0</v>
      </c>
      <c r="AP4150" s="4">
        <v>5</v>
      </c>
      <c r="AQ4150" s="4">
        <v>5</v>
      </c>
      <c r="AR4150" s="3" t="s">
        <v>63</v>
      </c>
      <c r="AS4150" s="3" t="s">
        <v>63</v>
      </c>
      <c r="AT4150" s="3" t="s">
        <v>63</v>
      </c>
      <c r="AV4150" s="6" t="str">
        <f>HYPERLINK("http://mcgill.on.worldcat.org/oclc/911140824","Catalog Record")</f>
        <v>Catalog Record</v>
      </c>
      <c r="AW4150" s="6" t="str">
        <f>HYPERLINK("http://www.worldcat.org/oclc/911140824","WorldCat Record")</f>
        <v>WorldCat Record</v>
      </c>
      <c r="AX4150" s="3" t="s">
        <v>35806</v>
      </c>
      <c r="AY4150" s="3" t="s">
        <v>35807</v>
      </c>
      <c r="AZ4150" s="3" t="s">
        <v>35808</v>
      </c>
      <c r="BA4150" s="3" t="s">
        <v>35808</v>
      </c>
      <c r="BB4150" s="3" t="s">
        <v>35809</v>
      </c>
      <c r="BC4150" s="3" t="s">
        <v>82</v>
      </c>
      <c r="BD4150" s="3" t="s">
        <v>70</v>
      </c>
      <c r="BE4150" s="3" t="s">
        <v>35810</v>
      </c>
      <c r="BF4150" s="3" t="s">
        <v>35809</v>
      </c>
      <c r="BG4150" s="3" t="s">
        <v>35811</v>
      </c>
    </row>
    <row r="4151" spans="1:59" ht="60" x14ac:dyDescent="0.25">
      <c r="A4151" s="2" t="s">
        <v>59</v>
      </c>
      <c r="B4151" s="2" t="s">
        <v>60</v>
      </c>
      <c r="C4151" s="2" t="s">
        <v>35812</v>
      </c>
      <c r="D4151" s="2" t="s">
        <v>35813</v>
      </c>
      <c r="E4151" s="2" t="s">
        <v>35814</v>
      </c>
      <c r="G4151" s="3" t="s">
        <v>63</v>
      </c>
      <c r="I4151" s="3" t="s">
        <v>63</v>
      </c>
      <c r="J4151" s="3" t="s">
        <v>63</v>
      </c>
      <c r="K4151" s="3" t="s">
        <v>64</v>
      </c>
      <c r="L4151" s="2" t="s">
        <v>35815</v>
      </c>
      <c r="M4151" s="2" t="s">
        <v>35816</v>
      </c>
      <c r="N4151" s="3" t="s">
        <v>1557</v>
      </c>
      <c r="P4151" s="3" t="s">
        <v>90</v>
      </c>
      <c r="Q4151" s="2" t="s">
        <v>35817</v>
      </c>
      <c r="R4151" s="3" t="s">
        <v>67</v>
      </c>
      <c r="S4151" s="4">
        <v>2</v>
      </c>
      <c r="T4151" s="4">
        <v>2</v>
      </c>
      <c r="U4151" s="5" t="s">
        <v>16663</v>
      </c>
      <c r="V4151" s="5" t="s">
        <v>16663</v>
      </c>
      <c r="W4151" s="5" t="s">
        <v>69</v>
      </c>
      <c r="X4151" s="5" t="s">
        <v>69</v>
      </c>
      <c r="Y4151" s="4">
        <v>14</v>
      </c>
      <c r="Z4151" s="4">
        <v>2</v>
      </c>
      <c r="AA4151" s="4">
        <v>2</v>
      </c>
      <c r="AB4151" s="4">
        <v>1</v>
      </c>
      <c r="AC4151" s="4">
        <v>1</v>
      </c>
      <c r="AD4151" s="4">
        <v>10</v>
      </c>
      <c r="AE4151" s="4">
        <v>10</v>
      </c>
      <c r="AF4151" s="4">
        <v>0</v>
      </c>
      <c r="AG4151" s="4">
        <v>0</v>
      </c>
      <c r="AH4151" s="4">
        <v>9</v>
      </c>
      <c r="AI4151" s="4">
        <v>9</v>
      </c>
      <c r="AJ4151" s="4">
        <v>1</v>
      </c>
      <c r="AK4151" s="4">
        <v>1</v>
      </c>
      <c r="AL4151" s="4">
        <v>7</v>
      </c>
      <c r="AM4151" s="4">
        <v>7</v>
      </c>
      <c r="AN4151" s="4">
        <v>0</v>
      </c>
      <c r="AO4151" s="4">
        <v>0</v>
      </c>
      <c r="AP4151" s="4">
        <v>1</v>
      </c>
      <c r="AQ4151" s="4">
        <v>1</v>
      </c>
      <c r="AR4151" s="3" t="s">
        <v>63</v>
      </c>
      <c r="AS4151" s="3" t="s">
        <v>63</v>
      </c>
      <c r="AT4151" s="3" t="s">
        <v>63</v>
      </c>
      <c r="AV4151" s="6" t="str">
        <f>HYPERLINK("http://mcgill.on.worldcat.org/oclc/1017738130","Catalog Record")</f>
        <v>Catalog Record</v>
      </c>
      <c r="AW4151" s="6" t="str">
        <f>HYPERLINK("http://www.worldcat.org/oclc/1017738130","WorldCat Record")</f>
        <v>WorldCat Record</v>
      </c>
      <c r="AX4151" s="3" t="s">
        <v>35818</v>
      </c>
      <c r="AY4151" s="3" t="s">
        <v>35819</v>
      </c>
      <c r="AZ4151" s="3" t="s">
        <v>35820</v>
      </c>
      <c r="BA4151" s="3" t="s">
        <v>35820</v>
      </c>
      <c r="BB4151" s="3" t="s">
        <v>35821</v>
      </c>
      <c r="BC4151" s="3" t="s">
        <v>82</v>
      </c>
      <c r="BD4151" s="3" t="s">
        <v>70</v>
      </c>
      <c r="BE4151" s="3" t="s">
        <v>35822</v>
      </c>
      <c r="BF4151" s="3" t="s">
        <v>35821</v>
      </c>
      <c r="BG4151" s="3" t="s">
        <v>35823</v>
      </c>
    </row>
    <row r="4152" spans="1:59" ht="60" x14ac:dyDescent="0.25">
      <c r="A4152" s="2" t="s">
        <v>59</v>
      </c>
      <c r="B4152" s="2" t="s">
        <v>60</v>
      </c>
      <c r="C4152" s="2" t="s">
        <v>35824</v>
      </c>
      <c r="D4152" s="2" t="s">
        <v>35825</v>
      </c>
      <c r="E4152" s="2" t="s">
        <v>35826</v>
      </c>
      <c r="G4152" s="3" t="s">
        <v>63</v>
      </c>
      <c r="I4152" s="3" t="s">
        <v>63</v>
      </c>
      <c r="J4152" s="3" t="s">
        <v>63</v>
      </c>
      <c r="K4152" s="3" t="s">
        <v>64</v>
      </c>
      <c r="L4152" s="2" t="s">
        <v>35827</v>
      </c>
      <c r="M4152" s="2" t="s">
        <v>35828</v>
      </c>
      <c r="N4152" s="3" t="s">
        <v>629</v>
      </c>
      <c r="P4152" s="3" t="s">
        <v>90</v>
      </c>
      <c r="R4152" s="3" t="s">
        <v>67</v>
      </c>
      <c r="S4152" s="4">
        <v>0</v>
      </c>
      <c r="T4152" s="4">
        <v>0</v>
      </c>
      <c r="W4152" s="5" t="s">
        <v>69</v>
      </c>
      <c r="X4152" s="5" t="s">
        <v>69</v>
      </c>
      <c r="Y4152" s="4">
        <v>14</v>
      </c>
      <c r="Z4152" s="4">
        <v>4</v>
      </c>
      <c r="AA4152" s="4">
        <v>4</v>
      </c>
      <c r="AB4152" s="4">
        <v>1</v>
      </c>
      <c r="AC4152" s="4">
        <v>1</v>
      </c>
      <c r="AD4152" s="4">
        <v>11</v>
      </c>
      <c r="AE4152" s="4">
        <v>11</v>
      </c>
      <c r="AF4152" s="4">
        <v>0</v>
      </c>
      <c r="AG4152" s="4">
        <v>0</v>
      </c>
      <c r="AH4152" s="4">
        <v>11</v>
      </c>
      <c r="AI4152" s="4">
        <v>11</v>
      </c>
      <c r="AJ4152" s="4">
        <v>2</v>
      </c>
      <c r="AK4152" s="4">
        <v>2</v>
      </c>
      <c r="AL4152" s="4">
        <v>9</v>
      </c>
      <c r="AM4152" s="4">
        <v>9</v>
      </c>
      <c r="AN4152" s="4">
        <v>0</v>
      </c>
      <c r="AO4152" s="4">
        <v>0</v>
      </c>
      <c r="AP4152" s="4">
        <v>2</v>
      </c>
      <c r="AQ4152" s="4">
        <v>2</v>
      </c>
      <c r="AR4152" s="3" t="s">
        <v>63</v>
      </c>
      <c r="AS4152" s="3" t="s">
        <v>63</v>
      </c>
      <c r="AT4152" s="3" t="s">
        <v>63</v>
      </c>
      <c r="AV4152" s="6" t="str">
        <f>HYPERLINK("http://mcgill.on.worldcat.org/oclc/714294814","Catalog Record")</f>
        <v>Catalog Record</v>
      </c>
      <c r="AW4152" s="6" t="str">
        <f>HYPERLINK("http://www.worldcat.org/oclc/714294814","WorldCat Record")</f>
        <v>WorldCat Record</v>
      </c>
      <c r="AX4152" s="3" t="s">
        <v>35829</v>
      </c>
      <c r="AY4152" s="3" t="s">
        <v>35830</v>
      </c>
      <c r="AZ4152" s="3" t="s">
        <v>35831</v>
      </c>
      <c r="BA4152" s="3" t="s">
        <v>35831</v>
      </c>
      <c r="BB4152" s="3" t="s">
        <v>35832</v>
      </c>
      <c r="BC4152" s="3" t="s">
        <v>82</v>
      </c>
      <c r="BD4152" s="3" t="s">
        <v>70</v>
      </c>
      <c r="BE4152" s="3" t="s">
        <v>35833</v>
      </c>
      <c r="BF4152" s="3" t="s">
        <v>35832</v>
      </c>
      <c r="BG4152" s="3" t="s">
        <v>35834</v>
      </c>
    </row>
    <row r="4153" spans="1:59" ht="60" x14ac:dyDescent="0.25">
      <c r="A4153" s="2" t="s">
        <v>59</v>
      </c>
      <c r="B4153" s="2" t="s">
        <v>60</v>
      </c>
      <c r="C4153" s="2" t="s">
        <v>35835</v>
      </c>
      <c r="D4153" s="2" t="s">
        <v>35836</v>
      </c>
      <c r="E4153" s="2" t="s">
        <v>35837</v>
      </c>
      <c r="G4153" s="3" t="s">
        <v>63</v>
      </c>
      <c r="I4153" s="3" t="s">
        <v>63</v>
      </c>
      <c r="J4153" s="3" t="s">
        <v>63</v>
      </c>
      <c r="K4153" s="3" t="s">
        <v>64</v>
      </c>
      <c r="L4153" s="2" t="s">
        <v>35838</v>
      </c>
      <c r="M4153" s="2" t="s">
        <v>35839</v>
      </c>
      <c r="N4153" s="3" t="s">
        <v>76</v>
      </c>
      <c r="P4153" s="3" t="s">
        <v>90</v>
      </c>
      <c r="R4153" s="3" t="s">
        <v>67</v>
      </c>
      <c r="S4153" s="4">
        <v>1</v>
      </c>
      <c r="T4153" s="4">
        <v>1</v>
      </c>
      <c r="U4153" s="5" t="s">
        <v>28976</v>
      </c>
      <c r="V4153" s="5" t="s">
        <v>28976</v>
      </c>
      <c r="W4153" s="5" t="s">
        <v>69</v>
      </c>
      <c r="X4153" s="5" t="s">
        <v>69</v>
      </c>
      <c r="Y4153" s="4">
        <v>22</v>
      </c>
      <c r="Z4153" s="4">
        <v>4</v>
      </c>
      <c r="AA4153" s="4">
        <v>4</v>
      </c>
      <c r="AB4153" s="4">
        <v>1</v>
      </c>
      <c r="AC4153" s="4">
        <v>1</v>
      </c>
      <c r="AD4153" s="4">
        <v>17</v>
      </c>
      <c r="AE4153" s="4">
        <v>17</v>
      </c>
      <c r="AF4153" s="4">
        <v>0</v>
      </c>
      <c r="AG4153" s="4">
        <v>0</v>
      </c>
      <c r="AH4153" s="4">
        <v>17</v>
      </c>
      <c r="AI4153" s="4">
        <v>17</v>
      </c>
      <c r="AJ4153" s="4">
        <v>2</v>
      </c>
      <c r="AK4153" s="4">
        <v>2</v>
      </c>
      <c r="AL4153" s="4">
        <v>12</v>
      </c>
      <c r="AM4153" s="4">
        <v>12</v>
      </c>
      <c r="AN4153" s="4">
        <v>0</v>
      </c>
      <c r="AO4153" s="4">
        <v>0</v>
      </c>
      <c r="AP4153" s="4">
        <v>2</v>
      </c>
      <c r="AQ4153" s="4">
        <v>2</v>
      </c>
      <c r="AR4153" s="3" t="s">
        <v>63</v>
      </c>
      <c r="AS4153" s="3" t="s">
        <v>63</v>
      </c>
      <c r="AT4153" s="3" t="s">
        <v>63</v>
      </c>
      <c r="AV4153" s="6" t="str">
        <f>HYPERLINK("http://mcgill.on.worldcat.org/oclc/785986514","Catalog Record")</f>
        <v>Catalog Record</v>
      </c>
      <c r="AW4153" s="6" t="str">
        <f>HYPERLINK("http://www.worldcat.org/oclc/785986514","WorldCat Record")</f>
        <v>WorldCat Record</v>
      </c>
      <c r="AX4153" s="3" t="s">
        <v>35840</v>
      </c>
      <c r="AY4153" s="3" t="s">
        <v>35841</v>
      </c>
      <c r="AZ4153" s="3" t="s">
        <v>35842</v>
      </c>
      <c r="BA4153" s="3" t="s">
        <v>35842</v>
      </c>
      <c r="BB4153" s="3" t="s">
        <v>35843</v>
      </c>
      <c r="BC4153" s="3" t="s">
        <v>82</v>
      </c>
      <c r="BD4153" s="3" t="s">
        <v>70</v>
      </c>
      <c r="BE4153" s="3" t="s">
        <v>35844</v>
      </c>
      <c r="BF4153" s="3" t="s">
        <v>35843</v>
      </c>
      <c r="BG4153" s="3" t="s">
        <v>35845</v>
      </c>
    </row>
    <row r="4154" spans="1:59" ht="60" x14ac:dyDescent="0.25">
      <c r="A4154" s="2" t="s">
        <v>59</v>
      </c>
      <c r="B4154" s="2" t="s">
        <v>60</v>
      </c>
      <c r="C4154" s="2" t="s">
        <v>35846</v>
      </c>
      <c r="D4154" s="2" t="s">
        <v>35847</v>
      </c>
      <c r="E4154" s="2" t="s">
        <v>35848</v>
      </c>
      <c r="G4154" s="3" t="s">
        <v>63</v>
      </c>
      <c r="H4154" s="3" t="s">
        <v>215</v>
      </c>
      <c r="I4154" s="3" t="s">
        <v>63</v>
      </c>
      <c r="J4154" s="3" t="s">
        <v>63</v>
      </c>
      <c r="K4154" s="3" t="s">
        <v>64</v>
      </c>
      <c r="L4154" s="2" t="s">
        <v>35849</v>
      </c>
      <c r="M4154" s="2" t="s">
        <v>35850</v>
      </c>
      <c r="N4154" s="3" t="s">
        <v>1752</v>
      </c>
      <c r="P4154" s="3" t="s">
        <v>90</v>
      </c>
      <c r="Q4154" s="2" t="s">
        <v>35851</v>
      </c>
      <c r="R4154" s="3" t="s">
        <v>67</v>
      </c>
      <c r="S4154" s="4">
        <v>0</v>
      </c>
      <c r="T4154" s="4">
        <v>0</v>
      </c>
      <c r="W4154" s="5" t="s">
        <v>14022</v>
      </c>
      <c r="X4154" s="5" t="s">
        <v>14022</v>
      </c>
      <c r="Y4154" s="4">
        <v>16</v>
      </c>
      <c r="Z4154" s="4">
        <v>1</v>
      </c>
      <c r="AA4154" s="4">
        <v>1</v>
      </c>
      <c r="AB4154" s="4">
        <v>1</v>
      </c>
      <c r="AC4154" s="4">
        <v>1</v>
      </c>
      <c r="AD4154" s="4">
        <v>13</v>
      </c>
      <c r="AE4154" s="4">
        <v>15</v>
      </c>
      <c r="AF4154" s="4">
        <v>0</v>
      </c>
      <c r="AG4154" s="4">
        <v>0</v>
      </c>
      <c r="AH4154" s="4">
        <v>12</v>
      </c>
      <c r="AI4154" s="4">
        <v>14</v>
      </c>
      <c r="AJ4154" s="4">
        <v>0</v>
      </c>
      <c r="AK4154" s="4">
        <v>0</v>
      </c>
      <c r="AL4154" s="4">
        <v>12</v>
      </c>
      <c r="AM4154" s="4">
        <v>13</v>
      </c>
      <c r="AN4154" s="4">
        <v>0</v>
      </c>
      <c r="AO4154" s="4">
        <v>0</v>
      </c>
      <c r="AP4154" s="4">
        <v>0</v>
      </c>
      <c r="AQ4154" s="4">
        <v>0</v>
      </c>
      <c r="AR4154" s="3" t="s">
        <v>63</v>
      </c>
      <c r="AS4154" s="3" t="s">
        <v>63</v>
      </c>
      <c r="AT4154" s="3" t="s">
        <v>63</v>
      </c>
      <c r="AV4154" s="6" t="str">
        <f>HYPERLINK("http://mcgill.on.worldcat.org/oclc/1119143153","Catalog Record")</f>
        <v>Catalog Record</v>
      </c>
      <c r="AW4154" s="6" t="str">
        <f>HYPERLINK("http://www.worldcat.org/oclc/1119143153","WorldCat Record")</f>
        <v>WorldCat Record</v>
      </c>
      <c r="AX4154" s="3" t="s">
        <v>35852</v>
      </c>
      <c r="AY4154" s="3" t="s">
        <v>35853</v>
      </c>
      <c r="AZ4154" s="3" t="s">
        <v>35854</v>
      </c>
      <c r="BA4154" s="3" t="s">
        <v>35854</v>
      </c>
      <c r="BB4154" s="3" t="s">
        <v>35855</v>
      </c>
      <c r="BC4154" s="3" t="s">
        <v>82</v>
      </c>
      <c r="BD4154" s="3" t="s">
        <v>70</v>
      </c>
      <c r="BE4154" s="3" t="s">
        <v>35856</v>
      </c>
      <c r="BF4154" s="3" t="s">
        <v>35855</v>
      </c>
      <c r="BG4154" s="3" t="s">
        <v>35857</v>
      </c>
    </row>
    <row r="4155" spans="1:59" ht="75" x14ac:dyDescent="0.25">
      <c r="A4155" s="2" t="s">
        <v>59</v>
      </c>
      <c r="B4155" s="2" t="s">
        <v>60</v>
      </c>
      <c r="C4155" s="2" t="s">
        <v>35858</v>
      </c>
      <c r="D4155" s="2" t="s">
        <v>35859</v>
      </c>
      <c r="E4155" s="2" t="s">
        <v>35860</v>
      </c>
      <c r="G4155" s="3" t="s">
        <v>63</v>
      </c>
      <c r="I4155" s="3" t="s">
        <v>63</v>
      </c>
      <c r="J4155" s="3" t="s">
        <v>63</v>
      </c>
      <c r="K4155" s="3" t="s">
        <v>64</v>
      </c>
      <c r="L4155" s="2" t="s">
        <v>35861</v>
      </c>
      <c r="M4155" s="2" t="s">
        <v>30019</v>
      </c>
      <c r="N4155" s="3" t="s">
        <v>130</v>
      </c>
      <c r="P4155" s="3" t="s">
        <v>90</v>
      </c>
      <c r="Q4155" s="2" t="s">
        <v>30181</v>
      </c>
      <c r="R4155" s="3" t="s">
        <v>67</v>
      </c>
      <c r="S4155" s="4">
        <v>1</v>
      </c>
      <c r="T4155" s="4">
        <v>1</v>
      </c>
      <c r="U4155" s="5" t="s">
        <v>29630</v>
      </c>
      <c r="V4155" s="5" t="s">
        <v>29630</v>
      </c>
      <c r="W4155" s="5" t="s">
        <v>69</v>
      </c>
      <c r="X4155" s="5" t="s">
        <v>69</v>
      </c>
      <c r="Y4155" s="4">
        <v>60</v>
      </c>
      <c r="Z4155" s="4">
        <v>6</v>
      </c>
      <c r="AA4155" s="4">
        <v>6</v>
      </c>
      <c r="AB4155" s="4">
        <v>1</v>
      </c>
      <c r="AC4155" s="4">
        <v>1</v>
      </c>
      <c r="AD4155" s="4">
        <v>33</v>
      </c>
      <c r="AE4155" s="4">
        <v>33</v>
      </c>
      <c r="AF4155" s="4">
        <v>0</v>
      </c>
      <c r="AG4155" s="4">
        <v>0</v>
      </c>
      <c r="AH4155" s="4">
        <v>32</v>
      </c>
      <c r="AI4155" s="4">
        <v>32</v>
      </c>
      <c r="AJ4155" s="4">
        <v>3</v>
      </c>
      <c r="AK4155" s="4">
        <v>3</v>
      </c>
      <c r="AL4155" s="4">
        <v>25</v>
      </c>
      <c r="AM4155" s="4">
        <v>25</v>
      </c>
      <c r="AN4155" s="4">
        <v>0</v>
      </c>
      <c r="AO4155" s="4">
        <v>0</v>
      </c>
      <c r="AP4155" s="4">
        <v>3</v>
      </c>
      <c r="AQ4155" s="4">
        <v>3</v>
      </c>
      <c r="AR4155" s="3" t="s">
        <v>63</v>
      </c>
      <c r="AS4155" s="3" t="s">
        <v>63</v>
      </c>
      <c r="AT4155" s="3" t="s">
        <v>63</v>
      </c>
      <c r="AV4155" s="6" t="str">
        <f>HYPERLINK("http://mcgill.on.worldcat.org/oclc/861013229","Catalog Record")</f>
        <v>Catalog Record</v>
      </c>
      <c r="AW4155" s="6" t="str">
        <f>HYPERLINK("http://www.worldcat.org/oclc/861013229","WorldCat Record")</f>
        <v>WorldCat Record</v>
      </c>
      <c r="AX4155" s="3" t="s">
        <v>35862</v>
      </c>
      <c r="AY4155" s="3" t="s">
        <v>35863</v>
      </c>
      <c r="AZ4155" s="3" t="s">
        <v>35864</v>
      </c>
      <c r="BA4155" s="3" t="s">
        <v>35864</v>
      </c>
      <c r="BB4155" s="3" t="s">
        <v>35865</v>
      </c>
      <c r="BC4155" s="3" t="s">
        <v>82</v>
      </c>
      <c r="BD4155" s="3" t="s">
        <v>70</v>
      </c>
      <c r="BE4155" s="3" t="s">
        <v>35866</v>
      </c>
      <c r="BF4155" s="3" t="s">
        <v>35865</v>
      </c>
      <c r="BG4155" s="3" t="s">
        <v>35867</v>
      </c>
    </row>
    <row r="4156" spans="1:59" ht="60" x14ac:dyDescent="0.25">
      <c r="A4156" s="2" t="s">
        <v>59</v>
      </c>
      <c r="B4156" s="2" t="s">
        <v>60</v>
      </c>
      <c r="C4156" s="2" t="s">
        <v>35868</v>
      </c>
      <c r="D4156" s="2" t="s">
        <v>35869</v>
      </c>
      <c r="E4156" s="2" t="s">
        <v>35870</v>
      </c>
      <c r="G4156" s="3" t="s">
        <v>63</v>
      </c>
      <c r="I4156" s="3" t="s">
        <v>63</v>
      </c>
      <c r="J4156" s="3" t="s">
        <v>63</v>
      </c>
      <c r="K4156" s="3" t="s">
        <v>64</v>
      </c>
      <c r="L4156" s="2" t="s">
        <v>35871</v>
      </c>
      <c r="M4156" s="2" t="s">
        <v>8737</v>
      </c>
      <c r="N4156" s="3" t="s">
        <v>2765</v>
      </c>
      <c r="P4156" s="3" t="s">
        <v>90</v>
      </c>
      <c r="Q4156" s="2" t="s">
        <v>35872</v>
      </c>
      <c r="R4156" s="3" t="s">
        <v>67</v>
      </c>
      <c r="S4156" s="4">
        <v>2</v>
      </c>
      <c r="T4156" s="4">
        <v>2</v>
      </c>
      <c r="U4156" s="5" t="s">
        <v>15943</v>
      </c>
      <c r="V4156" s="5" t="s">
        <v>15943</v>
      </c>
      <c r="W4156" s="5" t="s">
        <v>69</v>
      </c>
      <c r="X4156" s="5" t="s">
        <v>69</v>
      </c>
      <c r="Y4156" s="4">
        <v>62</v>
      </c>
      <c r="Z4156" s="4">
        <v>5</v>
      </c>
      <c r="AA4156" s="4">
        <v>5</v>
      </c>
      <c r="AB4156" s="4">
        <v>1</v>
      </c>
      <c r="AC4156" s="4">
        <v>1</v>
      </c>
      <c r="AD4156" s="4">
        <v>24</v>
      </c>
      <c r="AE4156" s="4">
        <v>29</v>
      </c>
      <c r="AF4156" s="4">
        <v>0</v>
      </c>
      <c r="AG4156" s="4">
        <v>0</v>
      </c>
      <c r="AH4156" s="4">
        <v>24</v>
      </c>
      <c r="AI4156" s="4">
        <v>29</v>
      </c>
      <c r="AJ4156" s="4">
        <v>2</v>
      </c>
      <c r="AK4156" s="4">
        <v>2</v>
      </c>
      <c r="AL4156" s="4">
        <v>18</v>
      </c>
      <c r="AM4156" s="4">
        <v>22</v>
      </c>
      <c r="AN4156" s="4">
        <v>0</v>
      </c>
      <c r="AO4156" s="4">
        <v>0</v>
      </c>
      <c r="AP4156" s="4">
        <v>2</v>
      </c>
      <c r="AQ4156" s="4">
        <v>2</v>
      </c>
      <c r="AR4156" s="3" t="s">
        <v>63</v>
      </c>
      <c r="AS4156" s="3" t="s">
        <v>63</v>
      </c>
      <c r="AT4156" s="3" t="s">
        <v>63</v>
      </c>
      <c r="AV4156" s="6" t="str">
        <f>HYPERLINK("http://mcgill.on.worldcat.org/oclc/935547079","Catalog Record")</f>
        <v>Catalog Record</v>
      </c>
      <c r="AW4156" s="6" t="str">
        <f>HYPERLINK("http://www.worldcat.org/oclc/935547079","WorldCat Record")</f>
        <v>WorldCat Record</v>
      </c>
      <c r="AX4156" s="3" t="s">
        <v>35873</v>
      </c>
      <c r="AY4156" s="3" t="s">
        <v>35874</v>
      </c>
      <c r="AZ4156" s="3" t="s">
        <v>35875</v>
      </c>
      <c r="BA4156" s="3" t="s">
        <v>35875</v>
      </c>
      <c r="BB4156" s="3" t="s">
        <v>35876</v>
      </c>
      <c r="BC4156" s="3" t="s">
        <v>82</v>
      </c>
      <c r="BD4156" s="3" t="s">
        <v>70</v>
      </c>
      <c r="BE4156" s="3" t="s">
        <v>35877</v>
      </c>
      <c r="BF4156" s="3" t="s">
        <v>35876</v>
      </c>
      <c r="BG4156" s="3" t="s">
        <v>35878</v>
      </c>
    </row>
    <row r="4157" spans="1:59" ht="75" x14ac:dyDescent="0.25">
      <c r="A4157" s="2" t="s">
        <v>59</v>
      </c>
      <c r="B4157" s="2" t="s">
        <v>60</v>
      </c>
      <c r="C4157" s="2" t="s">
        <v>35879</v>
      </c>
      <c r="D4157" s="2" t="s">
        <v>35880</v>
      </c>
      <c r="E4157" s="2" t="s">
        <v>35881</v>
      </c>
      <c r="G4157" s="3" t="s">
        <v>63</v>
      </c>
      <c r="I4157" s="3" t="s">
        <v>63</v>
      </c>
      <c r="J4157" s="3" t="s">
        <v>63</v>
      </c>
      <c r="K4157" s="3" t="s">
        <v>64</v>
      </c>
      <c r="L4157" s="2" t="s">
        <v>35871</v>
      </c>
      <c r="M4157" s="2" t="s">
        <v>8935</v>
      </c>
      <c r="N4157" s="3" t="s">
        <v>76</v>
      </c>
      <c r="P4157" s="3" t="s">
        <v>66</v>
      </c>
      <c r="Q4157" s="2" t="s">
        <v>35882</v>
      </c>
      <c r="R4157" s="3" t="s">
        <v>67</v>
      </c>
      <c r="S4157" s="4">
        <v>0</v>
      </c>
      <c r="T4157" s="4">
        <v>0</v>
      </c>
      <c r="W4157" s="5" t="s">
        <v>69</v>
      </c>
      <c r="X4157" s="5" t="s">
        <v>69</v>
      </c>
      <c r="Y4157" s="4">
        <v>121</v>
      </c>
      <c r="Z4157" s="4">
        <v>11</v>
      </c>
      <c r="AA4157" s="4">
        <v>14</v>
      </c>
      <c r="AB4157" s="4">
        <v>2</v>
      </c>
      <c r="AC4157" s="4">
        <v>5</v>
      </c>
      <c r="AD4157" s="4">
        <v>56</v>
      </c>
      <c r="AE4157" s="4">
        <v>56</v>
      </c>
      <c r="AF4157" s="4">
        <v>0</v>
      </c>
      <c r="AG4157" s="4">
        <v>0</v>
      </c>
      <c r="AH4157" s="4">
        <v>52</v>
      </c>
      <c r="AI4157" s="4">
        <v>52</v>
      </c>
      <c r="AJ4157" s="4">
        <v>8</v>
      </c>
      <c r="AK4157" s="4">
        <v>8</v>
      </c>
      <c r="AL4157" s="4">
        <v>34</v>
      </c>
      <c r="AM4157" s="4">
        <v>34</v>
      </c>
      <c r="AN4157" s="4">
        <v>0</v>
      </c>
      <c r="AO4157" s="4">
        <v>0</v>
      </c>
      <c r="AP4157" s="4">
        <v>8</v>
      </c>
      <c r="AQ4157" s="4">
        <v>8</v>
      </c>
      <c r="AR4157" s="3" t="s">
        <v>63</v>
      </c>
      <c r="AS4157" s="3" t="s">
        <v>63</v>
      </c>
      <c r="AT4157" s="3" t="s">
        <v>63</v>
      </c>
      <c r="AV4157" s="6" t="str">
        <f>HYPERLINK("http://mcgill.on.worldcat.org/oclc/783153131","Catalog Record")</f>
        <v>Catalog Record</v>
      </c>
      <c r="AW4157" s="6" t="str">
        <f>HYPERLINK("http://www.worldcat.org/oclc/783153131","WorldCat Record")</f>
        <v>WorldCat Record</v>
      </c>
      <c r="AX4157" s="3" t="s">
        <v>35883</v>
      </c>
      <c r="AY4157" s="3" t="s">
        <v>35884</v>
      </c>
      <c r="AZ4157" s="3" t="s">
        <v>35885</v>
      </c>
      <c r="BA4157" s="3" t="s">
        <v>35885</v>
      </c>
      <c r="BB4157" s="3" t="s">
        <v>35886</v>
      </c>
      <c r="BC4157" s="3" t="s">
        <v>82</v>
      </c>
      <c r="BD4157" s="3" t="s">
        <v>70</v>
      </c>
      <c r="BE4157" s="3" t="s">
        <v>35887</v>
      </c>
      <c r="BF4157" s="3" t="s">
        <v>35886</v>
      </c>
      <c r="BG4157" s="3" t="s">
        <v>35888</v>
      </c>
    </row>
    <row r="4158" spans="1:59" ht="75" x14ac:dyDescent="0.25">
      <c r="A4158" s="2" t="s">
        <v>59</v>
      </c>
      <c r="B4158" s="2" t="s">
        <v>60</v>
      </c>
      <c r="C4158" s="2" t="s">
        <v>35889</v>
      </c>
      <c r="D4158" s="2" t="s">
        <v>35890</v>
      </c>
      <c r="E4158" s="2" t="s">
        <v>35891</v>
      </c>
      <c r="G4158" s="3" t="s">
        <v>63</v>
      </c>
      <c r="I4158" s="3" t="s">
        <v>63</v>
      </c>
      <c r="J4158" s="3" t="s">
        <v>63</v>
      </c>
      <c r="K4158" s="3" t="s">
        <v>64</v>
      </c>
      <c r="L4158" s="2" t="s">
        <v>35892</v>
      </c>
      <c r="M4158" s="2" t="s">
        <v>35893</v>
      </c>
      <c r="N4158" s="3" t="s">
        <v>326</v>
      </c>
      <c r="P4158" s="3" t="s">
        <v>90</v>
      </c>
      <c r="R4158" s="3" t="s">
        <v>67</v>
      </c>
      <c r="S4158" s="4">
        <v>3</v>
      </c>
      <c r="T4158" s="4">
        <v>3</v>
      </c>
      <c r="U4158" s="5" t="s">
        <v>34517</v>
      </c>
      <c r="V4158" s="5" t="s">
        <v>34517</v>
      </c>
      <c r="W4158" s="5" t="s">
        <v>69</v>
      </c>
      <c r="X4158" s="5" t="s">
        <v>69</v>
      </c>
      <c r="Y4158" s="4">
        <v>7</v>
      </c>
      <c r="Z4158" s="4">
        <v>3</v>
      </c>
      <c r="AA4158" s="4">
        <v>3</v>
      </c>
      <c r="AB4158" s="4">
        <v>2</v>
      </c>
      <c r="AC4158" s="4">
        <v>2</v>
      </c>
      <c r="AD4158" s="4">
        <v>4</v>
      </c>
      <c r="AE4158" s="4">
        <v>4</v>
      </c>
      <c r="AF4158" s="4">
        <v>0</v>
      </c>
      <c r="AG4158" s="4">
        <v>0</v>
      </c>
      <c r="AH4158" s="4">
        <v>4</v>
      </c>
      <c r="AI4158" s="4">
        <v>4</v>
      </c>
      <c r="AJ4158" s="4">
        <v>1</v>
      </c>
      <c r="AK4158" s="4">
        <v>1</v>
      </c>
      <c r="AL4158" s="4">
        <v>3</v>
      </c>
      <c r="AM4158" s="4">
        <v>3</v>
      </c>
      <c r="AN4158" s="4">
        <v>0</v>
      </c>
      <c r="AO4158" s="4">
        <v>0</v>
      </c>
      <c r="AP4158" s="4">
        <v>1</v>
      </c>
      <c r="AQ4158" s="4">
        <v>1</v>
      </c>
      <c r="AR4158" s="3" t="s">
        <v>63</v>
      </c>
      <c r="AS4158" s="3" t="s">
        <v>63</v>
      </c>
      <c r="AT4158" s="3" t="s">
        <v>63</v>
      </c>
      <c r="AV4158" s="6" t="str">
        <f>HYPERLINK("http://mcgill.on.worldcat.org/oclc/427679468","Catalog Record")</f>
        <v>Catalog Record</v>
      </c>
      <c r="AW4158" s="6" t="str">
        <f>HYPERLINK("http://www.worldcat.org/oclc/427679468","WorldCat Record")</f>
        <v>WorldCat Record</v>
      </c>
      <c r="AX4158" s="3" t="s">
        <v>35894</v>
      </c>
      <c r="AY4158" s="3" t="s">
        <v>35895</v>
      </c>
      <c r="AZ4158" s="3" t="s">
        <v>35896</v>
      </c>
      <c r="BA4158" s="3" t="s">
        <v>35896</v>
      </c>
      <c r="BB4158" s="3" t="s">
        <v>35897</v>
      </c>
      <c r="BC4158" s="3" t="s">
        <v>82</v>
      </c>
      <c r="BD4158" s="3" t="s">
        <v>70</v>
      </c>
      <c r="BE4158" s="3" t="s">
        <v>35898</v>
      </c>
      <c r="BF4158" s="3" t="s">
        <v>35897</v>
      </c>
      <c r="BG4158" s="3" t="s">
        <v>35899</v>
      </c>
    </row>
    <row r="4159" spans="1:59" ht="60" x14ac:dyDescent="0.25">
      <c r="A4159" s="2" t="s">
        <v>59</v>
      </c>
      <c r="B4159" s="2" t="s">
        <v>60</v>
      </c>
      <c r="C4159" s="2" t="s">
        <v>35900</v>
      </c>
      <c r="D4159" s="2" t="s">
        <v>35901</v>
      </c>
      <c r="E4159" s="2" t="s">
        <v>35902</v>
      </c>
      <c r="G4159" s="3" t="s">
        <v>63</v>
      </c>
      <c r="I4159" s="3" t="s">
        <v>63</v>
      </c>
      <c r="J4159" s="3" t="s">
        <v>63</v>
      </c>
      <c r="K4159" s="3" t="s">
        <v>64</v>
      </c>
      <c r="L4159" s="2" t="s">
        <v>35903</v>
      </c>
      <c r="M4159" s="2" t="s">
        <v>35904</v>
      </c>
      <c r="N4159" s="3" t="s">
        <v>76</v>
      </c>
      <c r="P4159" s="3" t="s">
        <v>66</v>
      </c>
      <c r="R4159" s="3" t="s">
        <v>67</v>
      </c>
      <c r="S4159" s="4">
        <v>1</v>
      </c>
      <c r="T4159" s="4">
        <v>1</v>
      </c>
      <c r="U4159" s="5" t="s">
        <v>9621</v>
      </c>
      <c r="V4159" s="5" t="s">
        <v>9621</v>
      </c>
      <c r="W4159" s="5" t="s">
        <v>69</v>
      </c>
      <c r="X4159" s="5" t="s">
        <v>69</v>
      </c>
      <c r="Y4159" s="4">
        <v>3</v>
      </c>
      <c r="Z4159" s="4">
        <v>1</v>
      </c>
      <c r="AA4159" s="4">
        <v>5</v>
      </c>
      <c r="AB4159" s="4">
        <v>1</v>
      </c>
      <c r="AC4159" s="4">
        <v>3</v>
      </c>
      <c r="AD4159" s="4">
        <v>1</v>
      </c>
      <c r="AE4159" s="4">
        <v>18</v>
      </c>
      <c r="AF4159" s="4">
        <v>0</v>
      </c>
      <c r="AG4159" s="4">
        <v>0</v>
      </c>
      <c r="AH4159" s="4">
        <v>1</v>
      </c>
      <c r="AI4159" s="4">
        <v>18</v>
      </c>
      <c r="AJ4159" s="4">
        <v>0</v>
      </c>
      <c r="AK4159" s="4">
        <v>2</v>
      </c>
      <c r="AL4159" s="4">
        <v>1</v>
      </c>
      <c r="AM4159" s="4">
        <v>10</v>
      </c>
      <c r="AN4159" s="4">
        <v>0</v>
      </c>
      <c r="AO4159" s="4">
        <v>0</v>
      </c>
      <c r="AP4159" s="4">
        <v>0</v>
      </c>
      <c r="AQ4159" s="4">
        <v>2</v>
      </c>
      <c r="AR4159" s="3" t="s">
        <v>63</v>
      </c>
      <c r="AS4159" s="3" t="s">
        <v>63</v>
      </c>
      <c r="AT4159" s="3" t="s">
        <v>63</v>
      </c>
      <c r="AV4159" s="6" t="str">
        <f>HYPERLINK("http://mcgill.on.worldcat.org/oclc/823688969","Catalog Record")</f>
        <v>Catalog Record</v>
      </c>
      <c r="AW4159" s="6" t="str">
        <f>HYPERLINK("http://www.worldcat.org/oclc/823688969","WorldCat Record")</f>
        <v>WorldCat Record</v>
      </c>
      <c r="AX4159" s="3" t="s">
        <v>35905</v>
      </c>
      <c r="AY4159" s="3" t="s">
        <v>35906</v>
      </c>
      <c r="AZ4159" s="3" t="s">
        <v>35907</v>
      </c>
      <c r="BA4159" s="3" t="s">
        <v>35907</v>
      </c>
      <c r="BB4159" s="3" t="s">
        <v>35908</v>
      </c>
      <c r="BC4159" s="3" t="s">
        <v>82</v>
      </c>
      <c r="BD4159" s="3" t="s">
        <v>70</v>
      </c>
      <c r="BE4159" s="3" t="s">
        <v>35909</v>
      </c>
      <c r="BF4159" s="3" t="s">
        <v>35908</v>
      </c>
      <c r="BG4159" s="3" t="s">
        <v>35910</v>
      </c>
    </row>
    <row r="4160" spans="1:59" ht="60" x14ac:dyDescent="0.25">
      <c r="A4160" s="2" t="s">
        <v>59</v>
      </c>
      <c r="B4160" s="2" t="s">
        <v>60</v>
      </c>
      <c r="C4160" s="2" t="s">
        <v>35911</v>
      </c>
      <c r="D4160" s="2" t="s">
        <v>35912</v>
      </c>
      <c r="E4160" s="2" t="s">
        <v>35913</v>
      </c>
      <c r="G4160" s="3" t="s">
        <v>63</v>
      </c>
      <c r="I4160" s="3" t="s">
        <v>63</v>
      </c>
      <c r="J4160" s="3" t="s">
        <v>63</v>
      </c>
      <c r="K4160" s="3" t="s">
        <v>64</v>
      </c>
      <c r="L4160" s="2" t="s">
        <v>35914</v>
      </c>
      <c r="M4160" s="2" t="s">
        <v>35915</v>
      </c>
      <c r="N4160" s="3" t="s">
        <v>143</v>
      </c>
      <c r="P4160" s="3" t="s">
        <v>90</v>
      </c>
      <c r="R4160" s="3" t="s">
        <v>67</v>
      </c>
      <c r="S4160" s="4">
        <v>0</v>
      </c>
      <c r="T4160" s="4">
        <v>0</v>
      </c>
      <c r="W4160" s="5" t="s">
        <v>69</v>
      </c>
      <c r="X4160" s="5" t="s">
        <v>69</v>
      </c>
      <c r="Y4160" s="4">
        <v>11</v>
      </c>
      <c r="Z4160" s="4">
        <v>3</v>
      </c>
      <c r="AA4160" s="4">
        <v>3</v>
      </c>
      <c r="AB4160" s="4">
        <v>1</v>
      </c>
      <c r="AC4160" s="4">
        <v>1</v>
      </c>
      <c r="AD4160" s="4">
        <v>9</v>
      </c>
      <c r="AE4160" s="4">
        <v>9</v>
      </c>
      <c r="AF4160" s="4">
        <v>0</v>
      </c>
      <c r="AG4160" s="4">
        <v>0</v>
      </c>
      <c r="AH4160" s="4">
        <v>9</v>
      </c>
      <c r="AI4160" s="4">
        <v>9</v>
      </c>
      <c r="AJ4160" s="4">
        <v>1</v>
      </c>
      <c r="AK4160" s="4">
        <v>1</v>
      </c>
      <c r="AL4160" s="4">
        <v>7</v>
      </c>
      <c r="AM4160" s="4">
        <v>7</v>
      </c>
      <c r="AN4160" s="4">
        <v>0</v>
      </c>
      <c r="AO4160" s="4">
        <v>0</v>
      </c>
      <c r="AP4160" s="4">
        <v>1</v>
      </c>
      <c r="AQ4160" s="4">
        <v>1</v>
      </c>
      <c r="AR4160" s="3" t="s">
        <v>63</v>
      </c>
      <c r="AS4160" s="3" t="s">
        <v>63</v>
      </c>
      <c r="AT4160" s="3" t="s">
        <v>63</v>
      </c>
      <c r="AV4160" s="6" t="str">
        <f>HYPERLINK("http://mcgill.on.worldcat.org/oclc/879381086","Catalog Record")</f>
        <v>Catalog Record</v>
      </c>
      <c r="AW4160" s="6" t="str">
        <f>HYPERLINK("http://www.worldcat.org/oclc/879381086","WorldCat Record")</f>
        <v>WorldCat Record</v>
      </c>
      <c r="AX4160" s="3" t="s">
        <v>35916</v>
      </c>
      <c r="AY4160" s="3" t="s">
        <v>35917</v>
      </c>
      <c r="AZ4160" s="3" t="s">
        <v>35918</v>
      </c>
      <c r="BA4160" s="3" t="s">
        <v>35918</v>
      </c>
      <c r="BB4160" s="3" t="s">
        <v>35919</v>
      </c>
      <c r="BC4160" s="3" t="s">
        <v>82</v>
      </c>
      <c r="BD4160" s="3" t="s">
        <v>70</v>
      </c>
      <c r="BE4160" s="3" t="s">
        <v>35920</v>
      </c>
      <c r="BF4160" s="3" t="s">
        <v>35919</v>
      </c>
      <c r="BG4160" s="3" t="s">
        <v>35921</v>
      </c>
    </row>
    <row r="4161" spans="1:59" ht="60" x14ac:dyDescent="0.25">
      <c r="A4161" s="2" t="s">
        <v>59</v>
      </c>
      <c r="B4161" s="2" t="s">
        <v>60</v>
      </c>
      <c r="C4161" s="2" t="s">
        <v>35922</v>
      </c>
      <c r="D4161" s="2" t="s">
        <v>35923</v>
      </c>
      <c r="E4161" s="2" t="s">
        <v>35924</v>
      </c>
      <c r="G4161" s="3" t="s">
        <v>63</v>
      </c>
      <c r="I4161" s="3" t="s">
        <v>63</v>
      </c>
      <c r="J4161" s="3" t="s">
        <v>63</v>
      </c>
      <c r="K4161" s="3" t="s">
        <v>64</v>
      </c>
      <c r="L4161" s="2" t="s">
        <v>35925</v>
      </c>
      <c r="M4161" s="2" t="s">
        <v>30137</v>
      </c>
      <c r="N4161" s="3" t="s">
        <v>143</v>
      </c>
      <c r="P4161" s="3" t="s">
        <v>90</v>
      </c>
      <c r="Q4161" s="2" t="s">
        <v>35926</v>
      </c>
      <c r="R4161" s="3" t="s">
        <v>67</v>
      </c>
      <c r="S4161" s="4">
        <v>1</v>
      </c>
      <c r="T4161" s="4">
        <v>1</v>
      </c>
      <c r="U4161" s="5" t="s">
        <v>21334</v>
      </c>
      <c r="V4161" s="5" t="s">
        <v>21334</v>
      </c>
      <c r="W4161" s="5" t="s">
        <v>69</v>
      </c>
      <c r="X4161" s="5" t="s">
        <v>69</v>
      </c>
      <c r="Y4161" s="4">
        <v>61</v>
      </c>
      <c r="Z4161" s="4">
        <v>5</v>
      </c>
      <c r="AA4161" s="4">
        <v>5</v>
      </c>
      <c r="AB4161" s="4">
        <v>1</v>
      </c>
      <c r="AC4161" s="4">
        <v>1</v>
      </c>
      <c r="AD4161" s="4">
        <v>31</v>
      </c>
      <c r="AE4161" s="4">
        <v>38</v>
      </c>
      <c r="AF4161" s="4">
        <v>0</v>
      </c>
      <c r="AG4161" s="4">
        <v>0</v>
      </c>
      <c r="AH4161" s="4">
        <v>30</v>
      </c>
      <c r="AI4161" s="4">
        <v>37</v>
      </c>
      <c r="AJ4161" s="4">
        <v>1</v>
      </c>
      <c r="AK4161" s="4">
        <v>1</v>
      </c>
      <c r="AL4161" s="4">
        <v>23</v>
      </c>
      <c r="AM4161" s="4">
        <v>28</v>
      </c>
      <c r="AN4161" s="4">
        <v>0</v>
      </c>
      <c r="AO4161" s="4">
        <v>0</v>
      </c>
      <c r="AP4161" s="4">
        <v>1</v>
      </c>
      <c r="AQ4161" s="4">
        <v>1</v>
      </c>
      <c r="AR4161" s="3" t="s">
        <v>63</v>
      </c>
      <c r="AS4161" s="3" t="s">
        <v>63</v>
      </c>
      <c r="AT4161" s="3" t="s">
        <v>63</v>
      </c>
      <c r="AV4161" s="6" t="str">
        <f>HYPERLINK("http://mcgill.on.worldcat.org/oclc/889407205","Catalog Record")</f>
        <v>Catalog Record</v>
      </c>
      <c r="AW4161" s="6" t="str">
        <f>HYPERLINK("http://www.worldcat.org/oclc/889407205","WorldCat Record")</f>
        <v>WorldCat Record</v>
      </c>
      <c r="AX4161" s="3" t="s">
        <v>35927</v>
      </c>
      <c r="AY4161" s="3" t="s">
        <v>35928</v>
      </c>
      <c r="AZ4161" s="3" t="s">
        <v>35929</v>
      </c>
      <c r="BA4161" s="3" t="s">
        <v>35929</v>
      </c>
      <c r="BB4161" s="3" t="s">
        <v>35930</v>
      </c>
      <c r="BC4161" s="3" t="s">
        <v>82</v>
      </c>
      <c r="BD4161" s="3" t="s">
        <v>70</v>
      </c>
      <c r="BE4161" s="3" t="s">
        <v>35931</v>
      </c>
      <c r="BF4161" s="3" t="s">
        <v>35930</v>
      </c>
      <c r="BG4161" s="3" t="s">
        <v>35932</v>
      </c>
    </row>
    <row r="4162" spans="1:59" ht="60" x14ac:dyDescent="0.25">
      <c r="A4162" s="2" t="s">
        <v>59</v>
      </c>
      <c r="B4162" s="2" t="s">
        <v>60</v>
      </c>
      <c r="C4162" s="2" t="s">
        <v>35933</v>
      </c>
      <c r="D4162" s="2" t="s">
        <v>35934</v>
      </c>
      <c r="E4162" s="2" t="s">
        <v>35935</v>
      </c>
      <c r="G4162" s="3" t="s">
        <v>63</v>
      </c>
      <c r="I4162" s="3" t="s">
        <v>63</v>
      </c>
      <c r="J4162" s="3" t="s">
        <v>63</v>
      </c>
      <c r="K4162" s="3" t="s">
        <v>64</v>
      </c>
      <c r="L4162" s="2" t="s">
        <v>35936</v>
      </c>
      <c r="M4162" s="2" t="s">
        <v>35937</v>
      </c>
      <c r="N4162" s="3" t="s">
        <v>76</v>
      </c>
      <c r="P4162" s="3" t="s">
        <v>90</v>
      </c>
      <c r="Q4162" s="2" t="s">
        <v>31592</v>
      </c>
      <c r="R4162" s="3" t="s">
        <v>67</v>
      </c>
      <c r="S4162" s="4">
        <v>1</v>
      </c>
      <c r="T4162" s="4">
        <v>1</v>
      </c>
      <c r="U4162" s="5" t="s">
        <v>24495</v>
      </c>
      <c r="V4162" s="5" t="s">
        <v>24495</v>
      </c>
      <c r="W4162" s="5" t="s">
        <v>69</v>
      </c>
      <c r="X4162" s="5" t="s">
        <v>69</v>
      </c>
      <c r="Y4162" s="4">
        <v>17</v>
      </c>
      <c r="Z4162" s="4">
        <v>1</v>
      </c>
      <c r="AA4162" s="4">
        <v>4</v>
      </c>
      <c r="AB4162" s="4">
        <v>1</v>
      </c>
      <c r="AC4162" s="4">
        <v>2</v>
      </c>
      <c r="AD4162" s="4">
        <v>11</v>
      </c>
      <c r="AE4162" s="4">
        <v>23</v>
      </c>
      <c r="AF4162" s="4">
        <v>0</v>
      </c>
      <c r="AG4162" s="4">
        <v>0</v>
      </c>
      <c r="AH4162" s="4">
        <v>10</v>
      </c>
      <c r="AI4162" s="4">
        <v>22</v>
      </c>
      <c r="AJ4162" s="4">
        <v>0</v>
      </c>
      <c r="AK4162" s="4">
        <v>0</v>
      </c>
      <c r="AL4162" s="4">
        <v>10</v>
      </c>
      <c r="AM4162" s="4">
        <v>21</v>
      </c>
      <c r="AN4162" s="4">
        <v>0</v>
      </c>
      <c r="AO4162" s="4">
        <v>0</v>
      </c>
      <c r="AP4162" s="4">
        <v>0</v>
      </c>
      <c r="AQ4162" s="4">
        <v>0</v>
      </c>
      <c r="AR4162" s="3" t="s">
        <v>63</v>
      </c>
      <c r="AS4162" s="3" t="s">
        <v>63</v>
      </c>
      <c r="AT4162" s="3" t="s">
        <v>63</v>
      </c>
      <c r="AV4162" s="6" t="str">
        <f>HYPERLINK("http://mcgill.on.worldcat.org/oclc/812411735","Catalog Record")</f>
        <v>Catalog Record</v>
      </c>
      <c r="AW4162" s="6" t="str">
        <f>HYPERLINK("http://www.worldcat.org/oclc/812411735","WorldCat Record")</f>
        <v>WorldCat Record</v>
      </c>
      <c r="AX4162" s="3" t="s">
        <v>35938</v>
      </c>
      <c r="AY4162" s="3" t="s">
        <v>35939</v>
      </c>
      <c r="AZ4162" s="3" t="s">
        <v>35940</v>
      </c>
      <c r="BA4162" s="3" t="s">
        <v>35940</v>
      </c>
      <c r="BB4162" s="3" t="s">
        <v>35941</v>
      </c>
      <c r="BC4162" s="3" t="s">
        <v>82</v>
      </c>
      <c r="BD4162" s="3" t="s">
        <v>70</v>
      </c>
      <c r="BE4162" s="3" t="s">
        <v>35942</v>
      </c>
      <c r="BF4162" s="3" t="s">
        <v>35941</v>
      </c>
      <c r="BG4162" s="3" t="s">
        <v>35943</v>
      </c>
    </row>
    <row r="4163" spans="1:59" ht="75" x14ac:dyDescent="0.25">
      <c r="A4163" s="2" t="s">
        <v>59</v>
      </c>
      <c r="B4163" s="2" t="s">
        <v>60</v>
      </c>
      <c r="C4163" s="2" t="s">
        <v>35944</v>
      </c>
      <c r="D4163" s="2" t="s">
        <v>35945</v>
      </c>
      <c r="E4163" s="2" t="s">
        <v>35946</v>
      </c>
      <c r="G4163" s="3" t="s">
        <v>63</v>
      </c>
      <c r="I4163" s="3" t="s">
        <v>63</v>
      </c>
      <c r="J4163" s="3" t="s">
        <v>63</v>
      </c>
      <c r="K4163" s="3" t="s">
        <v>64</v>
      </c>
      <c r="L4163" s="2" t="s">
        <v>35947</v>
      </c>
      <c r="M4163" s="2" t="s">
        <v>35948</v>
      </c>
      <c r="N4163" s="3" t="s">
        <v>1557</v>
      </c>
      <c r="P4163" s="3" t="s">
        <v>90</v>
      </c>
      <c r="Q4163" s="2" t="s">
        <v>35949</v>
      </c>
      <c r="R4163" s="3" t="s">
        <v>67</v>
      </c>
      <c r="S4163" s="4">
        <v>0</v>
      </c>
      <c r="T4163" s="4">
        <v>0</v>
      </c>
      <c r="W4163" s="5" t="s">
        <v>69</v>
      </c>
      <c r="X4163" s="5" t="s">
        <v>69</v>
      </c>
      <c r="Y4163" s="4">
        <v>1</v>
      </c>
      <c r="Z4163" s="4">
        <v>1</v>
      </c>
      <c r="AA4163" s="4">
        <v>1</v>
      </c>
      <c r="AB4163" s="4">
        <v>1</v>
      </c>
      <c r="AC4163" s="4">
        <v>1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3" t="s">
        <v>63</v>
      </c>
      <c r="AS4163" s="3" t="s">
        <v>63</v>
      </c>
      <c r="AT4163" s="3" t="s">
        <v>63</v>
      </c>
      <c r="AV4163" s="6" t="str">
        <f>HYPERLINK("http://mcgill.on.worldcat.org/oclc/1005141632","Catalog Record")</f>
        <v>Catalog Record</v>
      </c>
      <c r="AW4163" s="6" t="str">
        <f>HYPERLINK("http://www.worldcat.org/oclc/1005141632","WorldCat Record")</f>
        <v>WorldCat Record</v>
      </c>
      <c r="AX4163" s="3" t="s">
        <v>35950</v>
      </c>
      <c r="AY4163" s="3" t="s">
        <v>35951</v>
      </c>
      <c r="AZ4163" s="3" t="s">
        <v>35952</v>
      </c>
      <c r="BA4163" s="3" t="s">
        <v>35952</v>
      </c>
      <c r="BB4163" s="3" t="s">
        <v>35953</v>
      </c>
      <c r="BC4163" s="3" t="s">
        <v>82</v>
      </c>
      <c r="BD4163" s="3" t="s">
        <v>70</v>
      </c>
      <c r="BE4163" s="3" t="s">
        <v>35954</v>
      </c>
      <c r="BF4163" s="3" t="s">
        <v>35953</v>
      </c>
      <c r="BG4163" s="3" t="s">
        <v>35955</v>
      </c>
    </row>
    <row r="4164" spans="1:59" ht="75" x14ac:dyDescent="0.25">
      <c r="A4164" s="2" t="s">
        <v>59</v>
      </c>
      <c r="B4164" s="2" t="s">
        <v>60</v>
      </c>
      <c r="C4164" s="2" t="s">
        <v>35956</v>
      </c>
      <c r="D4164" s="2" t="s">
        <v>35957</v>
      </c>
      <c r="E4164" s="2" t="s">
        <v>35958</v>
      </c>
      <c r="G4164" s="3" t="s">
        <v>63</v>
      </c>
      <c r="I4164" s="3" t="s">
        <v>63</v>
      </c>
      <c r="J4164" s="3" t="s">
        <v>63</v>
      </c>
      <c r="K4164" s="3" t="s">
        <v>64</v>
      </c>
      <c r="L4164" s="2" t="s">
        <v>35959</v>
      </c>
      <c r="M4164" s="2" t="s">
        <v>35960</v>
      </c>
      <c r="N4164" s="3" t="s">
        <v>1557</v>
      </c>
      <c r="P4164" s="3" t="s">
        <v>90</v>
      </c>
      <c r="Q4164" s="2" t="s">
        <v>35961</v>
      </c>
      <c r="R4164" s="3" t="s">
        <v>67</v>
      </c>
      <c r="S4164" s="4">
        <v>1</v>
      </c>
      <c r="T4164" s="4">
        <v>1</v>
      </c>
      <c r="U4164" s="5" t="s">
        <v>18161</v>
      </c>
      <c r="V4164" s="5" t="s">
        <v>18161</v>
      </c>
      <c r="W4164" s="5" t="s">
        <v>69</v>
      </c>
      <c r="X4164" s="5" t="s">
        <v>69</v>
      </c>
      <c r="Y4164" s="4">
        <v>5</v>
      </c>
      <c r="Z4164" s="4">
        <v>1</v>
      </c>
      <c r="AA4164" s="4">
        <v>1</v>
      </c>
      <c r="AB4164" s="4">
        <v>1</v>
      </c>
      <c r="AC4164" s="4">
        <v>1</v>
      </c>
      <c r="AD4164" s="4">
        <v>4</v>
      </c>
      <c r="AE4164" s="4">
        <v>4</v>
      </c>
      <c r="AF4164" s="4">
        <v>0</v>
      </c>
      <c r="AG4164" s="4">
        <v>0</v>
      </c>
      <c r="AH4164" s="4">
        <v>4</v>
      </c>
      <c r="AI4164" s="4">
        <v>4</v>
      </c>
      <c r="AJ4164" s="4">
        <v>0</v>
      </c>
      <c r="AK4164" s="4">
        <v>0</v>
      </c>
      <c r="AL4164" s="4">
        <v>4</v>
      </c>
      <c r="AM4164" s="4">
        <v>4</v>
      </c>
      <c r="AN4164" s="4">
        <v>0</v>
      </c>
      <c r="AO4164" s="4">
        <v>0</v>
      </c>
      <c r="AP4164" s="4">
        <v>0</v>
      </c>
      <c r="AQ4164" s="4">
        <v>0</v>
      </c>
      <c r="AR4164" s="3" t="s">
        <v>63</v>
      </c>
      <c r="AS4164" s="3" t="s">
        <v>63</v>
      </c>
      <c r="AT4164" s="3" t="s">
        <v>63</v>
      </c>
      <c r="AV4164" s="6" t="str">
        <f>HYPERLINK("http://mcgill.on.worldcat.org/oclc/1015211052","Catalog Record")</f>
        <v>Catalog Record</v>
      </c>
      <c r="AW4164" s="6" t="str">
        <f>HYPERLINK("http://www.worldcat.org/oclc/1015211052","WorldCat Record")</f>
        <v>WorldCat Record</v>
      </c>
      <c r="AX4164" s="3" t="s">
        <v>35962</v>
      </c>
      <c r="AY4164" s="3" t="s">
        <v>35963</v>
      </c>
      <c r="AZ4164" s="3" t="s">
        <v>35964</v>
      </c>
      <c r="BA4164" s="3" t="s">
        <v>35964</v>
      </c>
      <c r="BB4164" s="3" t="s">
        <v>35965</v>
      </c>
      <c r="BC4164" s="3" t="s">
        <v>82</v>
      </c>
      <c r="BD4164" s="3" t="s">
        <v>70</v>
      </c>
      <c r="BE4164" s="3" t="s">
        <v>35966</v>
      </c>
      <c r="BF4164" s="3" t="s">
        <v>35965</v>
      </c>
      <c r="BG4164" s="3" t="s">
        <v>35967</v>
      </c>
    </row>
    <row r="4165" spans="1:59" ht="60" x14ac:dyDescent="0.25">
      <c r="A4165" s="2" t="s">
        <v>59</v>
      </c>
      <c r="B4165" s="2" t="s">
        <v>60</v>
      </c>
      <c r="C4165" s="2" t="s">
        <v>35968</v>
      </c>
      <c r="D4165" s="2" t="s">
        <v>35969</v>
      </c>
      <c r="E4165" s="2" t="s">
        <v>35970</v>
      </c>
      <c r="G4165" s="3" t="s">
        <v>63</v>
      </c>
      <c r="I4165" s="3" t="s">
        <v>63</v>
      </c>
      <c r="J4165" s="3" t="s">
        <v>63</v>
      </c>
      <c r="K4165" s="3" t="s">
        <v>64</v>
      </c>
      <c r="L4165" s="2" t="s">
        <v>35971</v>
      </c>
      <c r="M4165" s="2" t="s">
        <v>35972</v>
      </c>
      <c r="N4165" s="3" t="s">
        <v>143</v>
      </c>
      <c r="P4165" s="3" t="s">
        <v>90</v>
      </c>
      <c r="R4165" s="3" t="s">
        <v>67</v>
      </c>
      <c r="S4165" s="4">
        <v>1</v>
      </c>
      <c r="T4165" s="4">
        <v>1</v>
      </c>
      <c r="U4165" s="5" t="s">
        <v>35973</v>
      </c>
      <c r="V4165" s="5" t="s">
        <v>35973</v>
      </c>
      <c r="W4165" s="5" t="s">
        <v>69</v>
      </c>
      <c r="X4165" s="5" t="s">
        <v>69</v>
      </c>
      <c r="Y4165" s="4">
        <v>28</v>
      </c>
      <c r="Z4165" s="4">
        <v>3</v>
      </c>
      <c r="AA4165" s="4">
        <v>3</v>
      </c>
      <c r="AB4165" s="4">
        <v>1</v>
      </c>
      <c r="AC4165" s="4">
        <v>1</v>
      </c>
      <c r="AD4165" s="4">
        <v>22</v>
      </c>
      <c r="AE4165" s="4">
        <v>22</v>
      </c>
      <c r="AF4165" s="4">
        <v>0</v>
      </c>
      <c r="AG4165" s="4">
        <v>0</v>
      </c>
      <c r="AH4165" s="4">
        <v>21</v>
      </c>
      <c r="AI4165" s="4">
        <v>21</v>
      </c>
      <c r="AJ4165" s="4">
        <v>1</v>
      </c>
      <c r="AK4165" s="4">
        <v>1</v>
      </c>
      <c r="AL4165" s="4">
        <v>17</v>
      </c>
      <c r="AM4165" s="4">
        <v>17</v>
      </c>
      <c r="AN4165" s="4">
        <v>0</v>
      </c>
      <c r="AO4165" s="4">
        <v>0</v>
      </c>
      <c r="AP4165" s="4">
        <v>1</v>
      </c>
      <c r="AQ4165" s="4">
        <v>1</v>
      </c>
      <c r="AR4165" s="3" t="s">
        <v>63</v>
      </c>
      <c r="AS4165" s="3" t="s">
        <v>63</v>
      </c>
      <c r="AT4165" s="3" t="s">
        <v>63</v>
      </c>
      <c r="AV4165" s="6" t="str">
        <f>HYPERLINK("http://mcgill.on.worldcat.org/oclc/891146055","Catalog Record")</f>
        <v>Catalog Record</v>
      </c>
      <c r="AW4165" s="6" t="str">
        <f>HYPERLINK("http://www.worldcat.org/oclc/891146055","WorldCat Record")</f>
        <v>WorldCat Record</v>
      </c>
      <c r="AX4165" s="3" t="s">
        <v>35974</v>
      </c>
      <c r="AY4165" s="3" t="s">
        <v>35975</v>
      </c>
      <c r="AZ4165" s="3" t="s">
        <v>35976</v>
      </c>
      <c r="BA4165" s="3" t="s">
        <v>35976</v>
      </c>
      <c r="BB4165" s="3" t="s">
        <v>35977</v>
      </c>
      <c r="BC4165" s="3" t="s">
        <v>82</v>
      </c>
      <c r="BD4165" s="3" t="s">
        <v>70</v>
      </c>
      <c r="BE4165" s="3" t="s">
        <v>35978</v>
      </c>
      <c r="BF4165" s="3" t="s">
        <v>35977</v>
      </c>
      <c r="BG4165" s="3" t="s">
        <v>35979</v>
      </c>
    </row>
    <row r="4166" spans="1:59" ht="60" x14ac:dyDescent="0.25">
      <c r="A4166" s="2" t="s">
        <v>59</v>
      </c>
      <c r="B4166" s="2" t="s">
        <v>60</v>
      </c>
      <c r="C4166" s="2" t="s">
        <v>35980</v>
      </c>
      <c r="D4166" s="2" t="s">
        <v>35981</v>
      </c>
      <c r="E4166" s="2" t="s">
        <v>35982</v>
      </c>
      <c r="G4166" s="3" t="s">
        <v>63</v>
      </c>
      <c r="I4166" s="3" t="s">
        <v>63</v>
      </c>
      <c r="J4166" s="3" t="s">
        <v>63</v>
      </c>
      <c r="K4166" s="3" t="s">
        <v>64</v>
      </c>
      <c r="L4166" s="2" t="s">
        <v>35983</v>
      </c>
      <c r="M4166" s="2" t="s">
        <v>18633</v>
      </c>
      <c r="N4166" s="3" t="s">
        <v>313</v>
      </c>
      <c r="P4166" s="3" t="s">
        <v>90</v>
      </c>
      <c r="R4166" s="3" t="s">
        <v>67</v>
      </c>
      <c r="S4166" s="4">
        <v>3</v>
      </c>
      <c r="T4166" s="4">
        <v>3</v>
      </c>
      <c r="U4166" s="5" t="s">
        <v>24495</v>
      </c>
      <c r="V4166" s="5" t="s">
        <v>24495</v>
      </c>
      <c r="W4166" s="5" t="s">
        <v>69</v>
      </c>
      <c r="X4166" s="5" t="s">
        <v>69</v>
      </c>
      <c r="Y4166" s="4">
        <v>6</v>
      </c>
      <c r="Z4166" s="4">
        <v>1</v>
      </c>
      <c r="AA4166" s="4">
        <v>5</v>
      </c>
      <c r="AB4166" s="4">
        <v>1</v>
      </c>
      <c r="AC4166" s="4">
        <v>1</v>
      </c>
      <c r="AD4166" s="4">
        <v>0</v>
      </c>
      <c r="AE4166" s="4">
        <v>6</v>
      </c>
      <c r="AF4166" s="4">
        <v>0</v>
      </c>
      <c r="AG4166" s="4">
        <v>0</v>
      </c>
      <c r="AH4166" s="4">
        <v>0</v>
      </c>
      <c r="AI4166" s="4">
        <v>5</v>
      </c>
      <c r="AJ4166" s="4">
        <v>0</v>
      </c>
      <c r="AK4166" s="4">
        <v>0</v>
      </c>
      <c r="AL4166" s="4">
        <v>0</v>
      </c>
      <c r="AM4166" s="4">
        <v>5</v>
      </c>
      <c r="AN4166" s="4">
        <v>0</v>
      </c>
      <c r="AO4166" s="4">
        <v>0</v>
      </c>
      <c r="AP4166" s="4">
        <v>0</v>
      </c>
      <c r="AQ4166" s="4">
        <v>0</v>
      </c>
      <c r="AR4166" s="3" t="s">
        <v>63</v>
      </c>
      <c r="AS4166" s="3" t="s">
        <v>63</v>
      </c>
      <c r="AT4166" s="3" t="s">
        <v>63</v>
      </c>
      <c r="AV4166" s="6" t="str">
        <f>HYPERLINK("http://mcgill.on.worldcat.org/oclc/316324628","Catalog Record")</f>
        <v>Catalog Record</v>
      </c>
      <c r="AW4166" s="6" t="str">
        <f>HYPERLINK("http://www.worldcat.org/oclc/316324628","WorldCat Record")</f>
        <v>WorldCat Record</v>
      </c>
      <c r="AX4166" s="3" t="s">
        <v>35984</v>
      </c>
      <c r="AY4166" s="3" t="s">
        <v>35985</v>
      </c>
      <c r="AZ4166" s="3" t="s">
        <v>35986</v>
      </c>
      <c r="BA4166" s="3" t="s">
        <v>35986</v>
      </c>
      <c r="BB4166" s="3" t="s">
        <v>35987</v>
      </c>
      <c r="BC4166" s="3" t="s">
        <v>82</v>
      </c>
      <c r="BD4166" s="3" t="s">
        <v>70</v>
      </c>
      <c r="BE4166" s="3" t="s">
        <v>35988</v>
      </c>
      <c r="BF4166" s="3" t="s">
        <v>35987</v>
      </c>
      <c r="BG4166" s="3" t="s">
        <v>35989</v>
      </c>
    </row>
    <row r="4167" spans="1:59" ht="60" x14ac:dyDescent="0.25">
      <c r="A4167" s="2" t="s">
        <v>59</v>
      </c>
      <c r="B4167" s="2" t="s">
        <v>60</v>
      </c>
      <c r="C4167" s="2" t="s">
        <v>35990</v>
      </c>
      <c r="D4167" s="2" t="s">
        <v>35991</v>
      </c>
      <c r="E4167" s="2" t="s">
        <v>35992</v>
      </c>
      <c r="G4167" s="3" t="s">
        <v>63</v>
      </c>
      <c r="I4167" s="3" t="s">
        <v>63</v>
      </c>
      <c r="J4167" s="3" t="s">
        <v>63</v>
      </c>
      <c r="K4167" s="3" t="s">
        <v>64</v>
      </c>
      <c r="L4167" s="2" t="s">
        <v>35993</v>
      </c>
      <c r="M4167" s="2" t="s">
        <v>35994</v>
      </c>
      <c r="N4167" s="3" t="s">
        <v>130</v>
      </c>
      <c r="P4167" s="3" t="s">
        <v>66</v>
      </c>
      <c r="Q4167" s="2" t="s">
        <v>35995</v>
      </c>
      <c r="R4167" s="3" t="s">
        <v>67</v>
      </c>
      <c r="S4167" s="4">
        <v>0</v>
      </c>
      <c r="T4167" s="4">
        <v>0</v>
      </c>
      <c r="W4167" s="5" t="s">
        <v>69</v>
      </c>
      <c r="X4167" s="5" t="s">
        <v>69</v>
      </c>
      <c r="Y4167" s="4">
        <v>106</v>
      </c>
      <c r="Z4167" s="4">
        <v>8</v>
      </c>
      <c r="AA4167" s="4">
        <v>10</v>
      </c>
      <c r="AB4167" s="4">
        <v>1</v>
      </c>
      <c r="AC4167" s="4">
        <v>3</v>
      </c>
      <c r="AD4167" s="4">
        <v>52</v>
      </c>
      <c r="AE4167" s="4">
        <v>54</v>
      </c>
      <c r="AF4167" s="4">
        <v>0</v>
      </c>
      <c r="AG4167" s="4">
        <v>0</v>
      </c>
      <c r="AH4167" s="4">
        <v>49</v>
      </c>
      <c r="AI4167" s="4">
        <v>51</v>
      </c>
      <c r="AJ4167" s="4">
        <v>6</v>
      </c>
      <c r="AK4167" s="4">
        <v>6</v>
      </c>
      <c r="AL4167" s="4">
        <v>35</v>
      </c>
      <c r="AM4167" s="4">
        <v>36</v>
      </c>
      <c r="AN4167" s="4">
        <v>0</v>
      </c>
      <c r="AO4167" s="4">
        <v>0</v>
      </c>
      <c r="AP4167" s="4">
        <v>6</v>
      </c>
      <c r="AQ4167" s="4">
        <v>6</v>
      </c>
      <c r="AR4167" s="3" t="s">
        <v>63</v>
      </c>
      <c r="AS4167" s="3" t="s">
        <v>63</v>
      </c>
      <c r="AT4167" s="3" t="s">
        <v>63</v>
      </c>
      <c r="AV4167" s="6" t="str">
        <f>HYPERLINK("http://mcgill.on.worldcat.org/oclc/812258552","Catalog Record")</f>
        <v>Catalog Record</v>
      </c>
      <c r="AW4167" s="6" t="str">
        <f>HYPERLINK("http://www.worldcat.org/oclc/812258552","WorldCat Record")</f>
        <v>WorldCat Record</v>
      </c>
      <c r="AX4167" s="3" t="s">
        <v>35996</v>
      </c>
      <c r="AY4167" s="3" t="s">
        <v>35997</v>
      </c>
      <c r="AZ4167" s="3" t="s">
        <v>35998</v>
      </c>
      <c r="BA4167" s="3" t="s">
        <v>35998</v>
      </c>
      <c r="BB4167" s="3" t="s">
        <v>35999</v>
      </c>
      <c r="BC4167" s="3" t="s">
        <v>82</v>
      </c>
      <c r="BD4167" s="3" t="s">
        <v>70</v>
      </c>
      <c r="BE4167" s="3" t="s">
        <v>36000</v>
      </c>
      <c r="BF4167" s="3" t="s">
        <v>35999</v>
      </c>
      <c r="BG4167" s="3" t="s">
        <v>36001</v>
      </c>
    </row>
    <row r="4168" spans="1:59" ht="60" x14ac:dyDescent="0.25">
      <c r="A4168" s="2" t="s">
        <v>59</v>
      </c>
      <c r="B4168" s="2" t="s">
        <v>60</v>
      </c>
      <c r="C4168" s="2" t="s">
        <v>36002</v>
      </c>
      <c r="D4168" s="2" t="s">
        <v>36003</v>
      </c>
      <c r="E4168" s="2" t="s">
        <v>36004</v>
      </c>
      <c r="G4168" s="3" t="s">
        <v>63</v>
      </c>
      <c r="I4168" s="3" t="s">
        <v>63</v>
      </c>
      <c r="J4168" s="3" t="s">
        <v>63</v>
      </c>
      <c r="K4168" s="3" t="s">
        <v>64</v>
      </c>
      <c r="L4168" s="2" t="s">
        <v>36005</v>
      </c>
      <c r="M4168" s="2" t="s">
        <v>36006</v>
      </c>
      <c r="N4168" s="3" t="s">
        <v>287</v>
      </c>
      <c r="P4168" s="3" t="s">
        <v>90</v>
      </c>
      <c r="R4168" s="3" t="s">
        <v>67</v>
      </c>
      <c r="S4168" s="4">
        <v>2</v>
      </c>
      <c r="T4168" s="4">
        <v>2</v>
      </c>
      <c r="U4168" s="5" t="s">
        <v>6011</v>
      </c>
      <c r="V4168" s="5" t="s">
        <v>6011</v>
      </c>
      <c r="W4168" s="5" t="s">
        <v>9728</v>
      </c>
      <c r="X4168" s="5" t="s">
        <v>9728</v>
      </c>
      <c r="Y4168" s="4">
        <v>27</v>
      </c>
      <c r="Z4168" s="4">
        <v>3</v>
      </c>
      <c r="AA4168" s="4">
        <v>3</v>
      </c>
      <c r="AB4168" s="4">
        <v>1</v>
      </c>
      <c r="AC4168" s="4">
        <v>1</v>
      </c>
      <c r="AD4168" s="4">
        <v>10</v>
      </c>
      <c r="AE4168" s="4">
        <v>21</v>
      </c>
      <c r="AF4168" s="4">
        <v>0</v>
      </c>
      <c r="AG4168" s="4">
        <v>0</v>
      </c>
      <c r="AH4168" s="4">
        <v>9</v>
      </c>
      <c r="AI4168" s="4">
        <v>20</v>
      </c>
      <c r="AJ4168" s="4">
        <v>0</v>
      </c>
      <c r="AK4168" s="4">
        <v>0</v>
      </c>
      <c r="AL4168" s="4">
        <v>7</v>
      </c>
      <c r="AM4168" s="4">
        <v>13</v>
      </c>
      <c r="AN4168" s="4">
        <v>0</v>
      </c>
      <c r="AO4168" s="4">
        <v>0</v>
      </c>
      <c r="AP4168" s="4">
        <v>0</v>
      </c>
      <c r="AQ4168" s="4">
        <v>0</v>
      </c>
      <c r="AR4168" s="3" t="s">
        <v>63</v>
      </c>
      <c r="AS4168" s="3" t="s">
        <v>63</v>
      </c>
      <c r="AT4168" s="3" t="s">
        <v>63</v>
      </c>
      <c r="AV4168" s="6" t="str">
        <f>HYPERLINK("http://mcgill.on.worldcat.org/oclc/1019631354","Catalog Record")</f>
        <v>Catalog Record</v>
      </c>
      <c r="AW4168" s="6" t="str">
        <f>HYPERLINK("http://www.worldcat.org/oclc/1019631354","WorldCat Record")</f>
        <v>WorldCat Record</v>
      </c>
      <c r="AX4168" s="3" t="s">
        <v>36007</v>
      </c>
      <c r="AY4168" s="3" t="s">
        <v>36008</v>
      </c>
      <c r="AZ4168" s="3" t="s">
        <v>36009</v>
      </c>
      <c r="BA4168" s="3" t="s">
        <v>36009</v>
      </c>
      <c r="BB4168" s="3" t="s">
        <v>36010</v>
      </c>
      <c r="BC4168" s="3" t="s">
        <v>82</v>
      </c>
      <c r="BD4168" s="3" t="s">
        <v>70</v>
      </c>
      <c r="BE4168" s="3" t="s">
        <v>36011</v>
      </c>
      <c r="BF4168" s="3" t="s">
        <v>36010</v>
      </c>
      <c r="BG4168" s="3" t="s">
        <v>36012</v>
      </c>
    </row>
    <row r="4169" spans="1:59" ht="60" x14ac:dyDescent="0.25">
      <c r="A4169" s="2" t="s">
        <v>59</v>
      </c>
      <c r="B4169" s="2" t="s">
        <v>60</v>
      </c>
      <c r="C4169" s="2" t="s">
        <v>36013</v>
      </c>
      <c r="D4169" s="2" t="s">
        <v>36014</v>
      </c>
      <c r="E4169" s="2" t="s">
        <v>36015</v>
      </c>
      <c r="G4169" s="3" t="s">
        <v>63</v>
      </c>
      <c r="I4169" s="3" t="s">
        <v>63</v>
      </c>
      <c r="J4169" s="3" t="s">
        <v>63</v>
      </c>
      <c r="K4169" s="3" t="s">
        <v>64</v>
      </c>
      <c r="L4169" s="2" t="s">
        <v>36016</v>
      </c>
      <c r="M4169" s="2" t="s">
        <v>32106</v>
      </c>
      <c r="N4169" s="3" t="s">
        <v>106</v>
      </c>
      <c r="P4169" s="3" t="s">
        <v>90</v>
      </c>
      <c r="Q4169" s="2" t="s">
        <v>36017</v>
      </c>
      <c r="R4169" s="3" t="s">
        <v>67</v>
      </c>
      <c r="S4169" s="4">
        <v>1</v>
      </c>
      <c r="T4169" s="4">
        <v>1</v>
      </c>
      <c r="U4169" s="5" t="s">
        <v>26057</v>
      </c>
      <c r="V4169" s="5" t="s">
        <v>26057</v>
      </c>
      <c r="W4169" s="5" t="s">
        <v>69</v>
      </c>
      <c r="X4169" s="5" t="s">
        <v>69</v>
      </c>
      <c r="Y4169" s="4">
        <v>30</v>
      </c>
      <c r="Z4169" s="4">
        <v>2</v>
      </c>
      <c r="AA4169" s="4">
        <v>3</v>
      </c>
      <c r="AB4169" s="4">
        <v>1</v>
      </c>
      <c r="AC4169" s="4">
        <v>1</v>
      </c>
      <c r="AD4169" s="4">
        <v>26</v>
      </c>
      <c r="AE4169" s="4">
        <v>27</v>
      </c>
      <c r="AF4169" s="4">
        <v>0</v>
      </c>
      <c r="AG4169" s="4">
        <v>0</v>
      </c>
      <c r="AH4169" s="4">
        <v>25</v>
      </c>
      <c r="AI4169" s="4">
        <v>26</v>
      </c>
      <c r="AJ4169" s="4">
        <v>1</v>
      </c>
      <c r="AK4169" s="4">
        <v>1</v>
      </c>
      <c r="AL4169" s="4">
        <v>19</v>
      </c>
      <c r="AM4169" s="4">
        <v>20</v>
      </c>
      <c r="AN4169" s="4">
        <v>0</v>
      </c>
      <c r="AO4169" s="4">
        <v>0</v>
      </c>
      <c r="AP4169" s="4">
        <v>1</v>
      </c>
      <c r="AQ4169" s="4">
        <v>1</v>
      </c>
      <c r="AR4169" s="3" t="s">
        <v>63</v>
      </c>
      <c r="AS4169" s="3" t="s">
        <v>63</v>
      </c>
      <c r="AT4169" s="3" t="s">
        <v>63</v>
      </c>
      <c r="AV4169" s="6" t="str">
        <f>HYPERLINK("http://mcgill.on.worldcat.org/oclc/960263629","Catalog Record")</f>
        <v>Catalog Record</v>
      </c>
      <c r="AW4169" s="6" t="str">
        <f>HYPERLINK("http://www.worldcat.org/oclc/960263629","WorldCat Record")</f>
        <v>WorldCat Record</v>
      </c>
      <c r="AX4169" s="3" t="s">
        <v>36018</v>
      </c>
      <c r="AY4169" s="3" t="s">
        <v>36019</v>
      </c>
      <c r="AZ4169" s="3" t="s">
        <v>36020</v>
      </c>
      <c r="BA4169" s="3" t="s">
        <v>36020</v>
      </c>
      <c r="BB4169" s="3" t="s">
        <v>36021</v>
      </c>
      <c r="BC4169" s="3" t="s">
        <v>82</v>
      </c>
      <c r="BD4169" s="3" t="s">
        <v>70</v>
      </c>
      <c r="BE4169" s="3" t="s">
        <v>36022</v>
      </c>
      <c r="BF4169" s="3" t="s">
        <v>36021</v>
      </c>
      <c r="BG4169" s="3" t="s">
        <v>36023</v>
      </c>
    </row>
    <row r="4170" spans="1:59" ht="60" x14ac:dyDescent="0.25">
      <c r="A4170" s="2" t="s">
        <v>59</v>
      </c>
      <c r="B4170" s="2" t="s">
        <v>60</v>
      </c>
      <c r="C4170" s="2" t="s">
        <v>36024</v>
      </c>
      <c r="D4170" s="2" t="s">
        <v>36025</v>
      </c>
      <c r="E4170" s="2" t="s">
        <v>36026</v>
      </c>
      <c r="G4170" s="3" t="s">
        <v>63</v>
      </c>
      <c r="I4170" s="3" t="s">
        <v>63</v>
      </c>
      <c r="J4170" s="3" t="s">
        <v>63</v>
      </c>
      <c r="K4170" s="3" t="s">
        <v>64</v>
      </c>
      <c r="L4170" s="2" t="s">
        <v>36027</v>
      </c>
      <c r="M4170" s="2" t="s">
        <v>29585</v>
      </c>
      <c r="N4170" s="3" t="s">
        <v>1557</v>
      </c>
      <c r="P4170" s="3" t="s">
        <v>90</v>
      </c>
      <c r="Q4170" s="2" t="s">
        <v>36028</v>
      </c>
      <c r="R4170" s="3" t="s">
        <v>67</v>
      </c>
      <c r="S4170" s="4">
        <v>1</v>
      </c>
      <c r="T4170" s="4">
        <v>1</v>
      </c>
      <c r="U4170" s="5" t="s">
        <v>10909</v>
      </c>
      <c r="V4170" s="5" t="s">
        <v>10909</v>
      </c>
      <c r="W4170" s="5" t="s">
        <v>69</v>
      </c>
      <c r="X4170" s="5" t="s">
        <v>69</v>
      </c>
      <c r="Y4170" s="4">
        <v>19</v>
      </c>
      <c r="Z4170" s="4">
        <v>1</v>
      </c>
      <c r="AA4170" s="4">
        <v>1</v>
      </c>
      <c r="AB4170" s="4">
        <v>1</v>
      </c>
      <c r="AC4170" s="4">
        <v>1</v>
      </c>
      <c r="AD4170" s="4">
        <v>13</v>
      </c>
      <c r="AE4170" s="4">
        <v>13</v>
      </c>
      <c r="AF4170" s="4">
        <v>0</v>
      </c>
      <c r="AG4170" s="4">
        <v>0</v>
      </c>
      <c r="AH4170" s="4">
        <v>13</v>
      </c>
      <c r="AI4170" s="4">
        <v>13</v>
      </c>
      <c r="AJ4170" s="4">
        <v>0</v>
      </c>
      <c r="AK4170" s="4">
        <v>0</v>
      </c>
      <c r="AL4170" s="4">
        <v>10</v>
      </c>
      <c r="AM4170" s="4">
        <v>10</v>
      </c>
      <c r="AN4170" s="4">
        <v>0</v>
      </c>
      <c r="AO4170" s="4">
        <v>0</v>
      </c>
      <c r="AP4170" s="4">
        <v>0</v>
      </c>
      <c r="AQ4170" s="4">
        <v>0</v>
      </c>
      <c r="AR4170" s="3" t="s">
        <v>63</v>
      </c>
      <c r="AS4170" s="3" t="s">
        <v>63</v>
      </c>
      <c r="AT4170" s="3" t="s">
        <v>63</v>
      </c>
      <c r="AV4170" s="6" t="str">
        <f>HYPERLINK("http://mcgill.on.worldcat.org/oclc/1015964978","Catalog Record")</f>
        <v>Catalog Record</v>
      </c>
      <c r="AW4170" s="6" t="str">
        <f>HYPERLINK("http://www.worldcat.org/oclc/1015964978","WorldCat Record")</f>
        <v>WorldCat Record</v>
      </c>
      <c r="AX4170" s="3" t="s">
        <v>36029</v>
      </c>
      <c r="AY4170" s="3" t="s">
        <v>36030</v>
      </c>
      <c r="AZ4170" s="3" t="s">
        <v>36031</v>
      </c>
      <c r="BA4170" s="3" t="s">
        <v>36031</v>
      </c>
      <c r="BB4170" s="3" t="s">
        <v>36032</v>
      </c>
      <c r="BC4170" s="3" t="s">
        <v>82</v>
      </c>
      <c r="BD4170" s="3" t="s">
        <v>70</v>
      </c>
      <c r="BE4170" s="3" t="s">
        <v>36033</v>
      </c>
      <c r="BF4170" s="3" t="s">
        <v>36032</v>
      </c>
      <c r="BG4170" s="3" t="s">
        <v>36034</v>
      </c>
    </row>
    <row r="4171" spans="1:59" ht="60" x14ac:dyDescent="0.25">
      <c r="A4171" s="2" t="s">
        <v>59</v>
      </c>
      <c r="B4171" s="2" t="s">
        <v>60</v>
      </c>
      <c r="C4171" s="2" t="s">
        <v>36035</v>
      </c>
      <c r="D4171" s="2" t="s">
        <v>36036</v>
      </c>
      <c r="E4171" s="2" t="s">
        <v>36037</v>
      </c>
      <c r="G4171" s="3" t="s">
        <v>63</v>
      </c>
      <c r="I4171" s="3" t="s">
        <v>63</v>
      </c>
      <c r="J4171" s="3" t="s">
        <v>63</v>
      </c>
      <c r="K4171" s="3" t="s">
        <v>64</v>
      </c>
      <c r="L4171" s="2" t="s">
        <v>36038</v>
      </c>
      <c r="M4171" s="2" t="s">
        <v>29585</v>
      </c>
      <c r="N4171" s="3" t="s">
        <v>1557</v>
      </c>
      <c r="P4171" s="3" t="s">
        <v>90</v>
      </c>
      <c r="Q4171" s="2" t="s">
        <v>36028</v>
      </c>
      <c r="R4171" s="3" t="s">
        <v>67</v>
      </c>
      <c r="S4171" s="4">
        <v>1</v>
      </c>
      <c r="T4171" s="4">
        <v>1</v>
      </c>
      <c r="W4171" s="5" t="s">
        <v>9728</v>
      </c>
      <c r="X4171" s="5" t="s">
        <v>9728</v>
      </c>
      <c r="Y4171" s="4">
        <v>7</v>
      </c>
      <c r="Z4171" s="4">
        <v>2</v>
      </c>
      <c r="AA4171" s="4">
        <v>2</v>
      </c>
      <c r="AB4171" s="4">
        <v>1</v>
      </c>
      <c r="AC4171" s="4">
        <v>1</v>
      </c>
      <c r="AD4171" s="4">
        <v>6</v>
      </c>
      <c r="AE4171" s="4">
        <v>6</v>
      </c>
      <c r="AF4171" s="4">
        <v>0</v>
      </c>
      <c r="AG4171" s="4">
        <v>0</v>
      </c>
      <c r="AH4171" s="4">
        <v>6</v>
      </c>
      <c r="AI4171" s="4">
        <v>6</v>
      </c>
      <c r="AJ4171" s="4">
        <v>1</v>
      </c>
      <c r="AK4171" s="4">
        <v>1</v>
      </c>
      <c r="AL4171" s="4">
        <v>4</v>
      </c>
      <c r="AM4171" s="4">
        <v>4</v>
      </c>
      <c r="AN4171" s="4">
        <v>0</v>
      </c>
      <c r="AO4171" s="4">
        <v>0</v>
      </c>
      <c r="AP4171" s="4">
        <v>1</v>
      </c>
      <c r="AQ4171" s="4">
        <v>1</v>
      </c>
      <c r="AR4171" s="3" t="s">
        <v>63</v>
      </c>
      <c r="AS4171" s="3" t="s">
        <v>63</v>
      </c>
      <c r="AT4171" s="3" t="s">
        <v>63</v>
      </c>
      <c r="AV4171" s="6" t="str">
        <f>HYPERLINK("http://mcgill.on.worldcat.org/oclc/1019847140","Catalog Record")</f>
        <v>Catalog Record</v>
      </c>
      <c r="AW4171" s="6" t="str">
        <f>HYPERLINK("http://www.worldcat.org/oclc/1019847140","WorldCat Record")</f>
        <v>WorldCat Record</v>
      </c>
      <c r="AX4171" s="3" t="s">
        <v>36039</v>
      </c>
      <c r="AY4171" s="3" t="s">
        <v>36040</v>
      </c>
      <c r="AZ4171" s="3" t="s">
        <v>36041</v>
      </c>
      <c r="BA4171" s="3" t="s">
        <v>36041</v>
      </c>
      <c r="BB4171" s="3" t="s">
        <v>36042</v>
      </c>
      <c r="BC4171" s="3" t="s">
        <v>82</v>
      </c>
      <c r="BD4171" s="3" t="s">
        <v>538</v>
      </c>
      <c r="BE4171" s="3" t="s">
        <v>36043</v>
      </c>
      <c r="BF4171" s="3" t="s">
        <v>36042</v>
      </c>
      <c r="BG4171" s="3" t="s">
        <v>36044</v>
      </c>
    </row>
    <row r="4172" spans="1:59" ht="60" x14ac:dyDescent="0.25">
      <c r="A4172" s="2" t="s">
        <v>59</v>
      </c>
      <c r="B4172" s="2" t="s">
        <v>60</v>
      </c>
      <c r="C4172" s="2" t="s">
        <v>36045</v>
      </c>
      <c r="D4172" s="2" t="s">
        <v>36046</v>
      </c>
      <c r="E4172" s="2" t="s">
        <v>36047</v>
      </c>
      <c r="G4172" s="3" t="s">
        <v>63</v>
      </c>
      <c r="I4172" s="3" t="s">
        <v>63</v>
      </c>
      <c r="J4172" s="3" t="s">
        <v>63</v>
      </c>
      <c r="K4172" s="3" t="s">
        <v>64</v>
      </c>
      <c r="L4172" s="2" t="s">
        <v>36048</v>
      </c>
      <c r="M4172" s="2" t="s">
        <v>32716</v>
      </c>
      <c r="N4172" s="3" t="s">
        <v>106</v>
      </c>
      <c r="P4172" s="3" t="s">
        <v>90</v>
      </c>
      <c r="Q4172" s="2" t="s">
        <v>29510</v>
      </c>
      <c r="R4172" s="3" t="s">
        <v>67</v>
      </c>
      <c r="S4172" s="4">
        <v>2</v>
      </c>
      <c r="T4172" s="4">
        <v>2</v>
      </c>
      <c r="U4172" s="5" t="s">
        <v>14858</v>
      </c>
      <c r="V4172" s="5" t="s">
        <v>14858</v>
      </c>
      <c r="W4172" s="5" t="s">
        <v>69</v>
      </c>
      <c r="X4172" s="5" t="s">
        <v>69</v>
      </c>
      <c r="Y4172" s="4">
        <v>121</v>
      </c>
      <c r="Z4172" s="4">
        <v>9</v>
      </c>
      <c r="AA4172" s="4">
        <v>9</v>
      </c>
      <c r="AB4172" s="4">
        <v>1</v>
      </c>
      <c r="AC4172" s="4">
        <v>1</v>
      </c>
      <c r="AD4172" s="4">
        <v>42</v>
      </c>
      <c r="AE4172" s="4">
        <v>42</v>
      </c>
      <c r="AF4172" s="4">
        <v>0</v>
      </c>
      <c r="AG4172" s="4">
        <v>0</v>
      </c>
      <c r="AH4172" s="4">
        <v>42</v>
      </c>
      <c r="AI4172" s="4">
        <v>42</v>
      </c>
      <c r="AJ4172" s="4">
        <v>4</v>
      </c>
      <c r="AK4172" s="4">
        <v>4</v>
      </c>
      <c r="AL4172" s="4">
        <v>28</v>
      </c>
      <c r="AM4172" s="4">
        <v>28</v>
      </c>
      <c r="AN4172" s="4">
        <v>0</v>
      </c>
      <c r="AO4172" s="4">
        <v>0</v>
      </c>
      <c r="AP4172" s="4">
        <v>4</v>
      </c>
      <c r="AQ4172" s="4">
        <v>4</v>
      </c>
      <c r="AR4172" s="3" t="s">
        <v>63</v>
      </c>
      <c r="AS4172" s="3" t="s">
        <v>63</v>
      </c>
      <c r="AT4172" s="3" t="s">
        <v>63</v>
      </c>
      <c r="AV4172" s="6" t="str">
        <f>HYPERLINK("http://mcgill.on.worldcat.org/oclc/950003433","Catalog Record")</f>
        <v>Catalog Record</v>
      </c>
      <c r="AW4172" s="6" t="str">
        <f>HYPERLINK("http://www.worldcat.org/oclc/950003433","WorldCat Record")</f>
        <v>WorldCat Record</v>
      </c>
      <c r="AX4172" s="3" t="s">
        <v>36049</v>
      </c>
      <c r="AY4172" s="3" t="s">
        <v>36050</v>
      </c>
      <c r="AZ4172" s="3" t="s">
        <v>36051</v>
      </c>
      <c r="BA4172" s="3" t="s">
        <v>36051</v>
      </c>
      <c r="BB4172" s="3" t="s">
        <v>36052</v>
      </c>
      <c r="BC4172" s="3" t="s">
        <v>82</v>
      </c>
      <c r="BD4172" s="3" t="s">
        <v>70</v>
      </c>
      <c r="BE4172" s="3" t="s">
        <v>36053</v>
      </c>
      <c r="BF4172" s="3" t="s">
        <v>36052</v>
      </c>
      <c r="BG4172" s="3" t="s">
        <v>36054</v>
      </c>
    </row>
    <row r="4173" spans="1:59" ht="60" x14ac:dyDescent="0.25">
      <c r="A4173" s="2" t="s">
        <v>59</v>
      </c>
      <c r="B4173" s="2" t="s">
        <v>60</v>
      </c>
      <c r="C4173" s="2" t="s">
        <v>36055</v>
      </c>
      <c r="D4173" s="2" t="s">
        <v>36056</v>
      </c>
      <c r="E4173" s="2" t="s">
        <v>36057</v>
      </c>
      <c r="G4173" s="3" t="s">
        <v>63</v>
      </c>
      <c r="I4173" s="3" t="s">
        <v>63</v>
      </c>
      <c r="J4173" s="3" t="s">
        <v>63</v>
      </c>
      <c r="K4173" s="3" t="s">
        <v>64</v>
      </c>
      <c r="L4173" s="2" t="s">
        <v>36058</v>
      </c>
      <c r="M4173" s="2" t="s">
        <v>29170</v>
      </c>
      <c r="N4173" s="3" t="s">
        <v>76</v>
      </c>
      <c r="P4173" s="3" t="s">
        <v>90</v>
      </c>
      <c r="Q4173" s="2" t="s">
        <v>36059</v>
      </c>
      <c r="R4173" s="3" t="s">
        <v>67</v>
      </c>
      <c r="S4173" s="4">
        <v>1</v>
      </c>
      <c r="T4173" s="4">
        <v>1</v>
      </c>
      <c r="U4173" s="5" t="s">
        <v>24495</v>
      </c>
      <c r="V4173" s="5" t="s">
        <v>24495</v>
      </c>
      <c r="W4173" s="5" t="s">
        <v>69</v>
      </c>
      <c r="X4173" s="5" t="s">
        <v>69</v>
      </c>
      <c r="Y4173" s="4">
        <v>40</v>
      </c>
      <c r="Z4173" s="4">
        <v>2</v>
      </c>
      <c r="AA4173" s="4">
        <v>7</v>
      </c>
      <c r="AB4173" s="4">
        <v>1</v>
      </c>
      <c r="AC4173" s="4">
        <v>1</v>
      </c>
      <c r="AD4173" s="4">
        <v>19</v>
      </c>
      <c r="AE4173" s="4">
        <v>44</v>
      </c>
      <c r="AF4173" s="4">
        <v>0</v>
      </c>
      <c r="AG4173" s="4">
        <v>0</v>
      </c>
      <c r="AH4173" s="4">
        <v>19</v>
      </c>
      <c r="AI4173" s="4">
        <v>43</v>
      </c>
      <c r="AJ4173" s="4">
        <v>0</v>
      </c>
      <c r="AK4173" s="4">
        <v>3</v>
      </c>
      <c r="AL4173" s="4">
        <v>15</v>
      </c>
      <c r="AM4173" s="4">
        <v>33</v>
      </c>
      <c r="AN4173" s="4">
        <v>0</v>
      </c>
      <c r="AO4173" s="4">
        <v>0</v>
      </c>
      <c r="AP4173" s="4">
        <v>0</v>
      </c>
      <c r="AQ4173" s="4">
        <v>3</v>
      </c>
      <c r="AR4173" s="3" t="s">
        <v>63</v>
      </c>
      <c r="AS4173" s="3" t="s">
        <v>63</v>
      </c>
      <c r="AT4173" s="3" t="s">
        <v>63</v>
      </c>
      <c r="AV4173" s="6" t="str">
        <f>HYPERLINK("http://mcgill.on.worldcat.org/oclc/823894812","Catalog Record")</f>
        <v>Catalog Record</v>
      </c>
      <c r="AW4173" s="6" t="str">
        <f>HYPERLINK("http://www.worldcat.org/oclc/823894812","WorldCat Record")</f>
        <v>WorldCat Record</v>
      </c>
      <c r="AX4173" s="3" t="s">
        <v>36060</v>
      </c>
      <c r="AY4173" s="3" t="s">
        <v>36061</v>
      </c>
      <c r="AZ4173" s="3" t="s">
        <v>36062</v>
      </c>
      <c r="BA4173" s="3" t="s">
        <v>36062</v>
      </c>
      <c r="BB4173" s="3" t="s">
        <v>36063</v>
      </c>
      <c r="BC4173" s="3" t="s">
        <v>82</v>
      </c>
      <c r="BD4173" s="3" t="s">
        <v>70</v>
      </c>
      <c r="BE4173" s="3" t="s">
        <v>36064</v>
      </c>
      <c r="BF4173" s="3" t="s">
        <v>36063</v>
      </c>
      <c r="BG4173" s="3" t="s">
        <v>36065</v>
      </c>
    </row>
    <row r="4174" spans="1:59" ht="60" x14ac:dyDescent="0.25">
      <c r="A4174" s="2" t="s">
        <v>59</v>
      </c>
      <c r="B4174" s="2" t="s">
        <v>60</v>
      </c>
      <c r="C4174" s="2" t="s">
        <v>36066</v>
      </c>
      <c r="D4174" s="2" t="s">
        <v>36067</v>
      </c>
      <c r="E4174" s="2" t="s">
        <v>36068</v>
      </c>
      <c r="G4174" s="3" t="s">
        <v>63</v>
      </c>
      <c r="I4174" s="3" t="s">
        <v>63</v>
      </c>
      <c r="J4174" s="3" t="s">
        <v>63</v>
      </c>
      <c r="K4174" s="3" t="s">
        <v>64</v>
      </c>
      <c r="L4174" s="2" t="s">
        <v>36048</v>
      </c>
      <c r="M4174" s="2" t="s">
        <v>36069</v>
      </c>
      <c r="N4174" s="3" t="s">
        <v>2765</v>
      </c>
      <c r="P4174" s="3" t="s">
        <v>66</v>
      </c>
      <c r="R4174" s="3" t="s">
        <v>67</v>
      </c>
      <c r="S4174" s="4">
        <v>0</v>
      </c>
      <c r="T4174" s="4">
        <v>0</v>
      </c>
      <c r="W4174" s="5" t="s">
        <v>69</v>
      </c>
      <c r="X4174" s="5" t="s">
        <v>69</v>
      </c>
      <c r="Y4174" s="4">
        <v>403</v>
      </c>
      <c r="Z4174" s="4">
        <v>17</v>
      </c>
      <c r="AA4174" s="4">
        <v>22</v>
      </c>
      <c r="AB4174" s="4">
        <v>3</v>
      </c>
      <c r="AC4174" s="4">
        <v>5</v>
      </c>
      <c r="AD4174" s="4">
        <v>60</v>
      </c>
      <c r="AE4174" s="4">
        <v>65</v>
      </c>
      <c r="AF4174" s="4">
        <v>0</v>
      </c>
      <c r="AG4174" s="4">
        <v>0</v>
      </c>
      <c r="AH4174" s="4">
        <v>55</v>
      </c>
      <c r="AI4174" s="4">
        <v>60</v>
      </c>
      <c r="AJ4174" s="4">
        <v>8</v>
      </c>
      <c r="AK4174" s="4">
        <v>9</v>
      </c>
      <c r="AL4174" s="4">
        <v>38</v>
      </c>
      <c r="AM4174" s="4">
        <v>39</v>
      </c>
      <c r="AN4174" s="4">
        <v>0</v>
      </c>
      <c r="AO4174" s="4">
        <v>0</v>
      </c>
      <c r="AP4174" s="4">
        <v>8</v>
      </c>
      <c r="AQ4174" s="4">
        <v>10</v>
      </c>
      <c r="AR4174" s="3" t="s">
        <v>63</v>
      </c>
      <c r="AS4174" s="3" t="s">
        <v>63</v>
      </c>
      <c r="AT4174" s="3" t="s">
        <v>63</v>
      </c>
      <c r="AV4174" s="6" t="str">
        <f>HYPERLINK("http://mcgill.on.worldcat.org/oclc/902657542","Catalog Record")</f>
        <v>Catalog Record</v>
      </c>
      <c r="AW4174" s="6" t="str">
        <f>HYPERLINK("http://www.worldcat.org/oclc/902657542","WorldCat Record")</f>
        <v>WorldCat Record</v>
      </c>
      <c r="AX4174" s="3" t="s">
        <v>36070</v>
      </c>
      <c r="AY4174" s="3" t="s">
        <v>36071</v>
      </c>
      <c r="AZ4174" s="3" t="s">
        <v>36072</v>
      </c>
      <c r="BA4174" s="3" t="s">
        <v>36072</v>
      </c>
      <c r="BB4174" s="3" t="s">
        <v>36073</v>
      </c>
      <c r="BC4174" s="3" t="s">
        <v>82</v>
      </c>
      <c r="BD4174" s="3" t="s">
        <v>70</v>
      </c>
      <c r="BE4174" s="3" t="s">
        <v>36074</v>
      </c>
      <c r="BF4174" s="3" t="s">
        <v>36073</v>
      </c>
      <c r="BG4174" s="3" t="s">
        <v>36075</v>
      </c>
    </row>
    <row r="4175" spans="1:59" ht="60" x14ac:dyDescent="0.25">
      <c r="A4175" s="2" t="s">
        <v>59</v>
      </c>
      <c r="B4175" s="2" t="s">
        <v>60</v>
      </c>
      <c r="C4175" s="2" t="s">
        <v>36076</v>
      </c>
      <c r="D4175" s="2" t="s">
        <v>36077</v>
      </c>
      <c r="E4175" s="2" t="s">
        <v>36078</v>
      </c>
      <c r="G4175" s="3" t="s">
        <v>63</v>
      </c>
      <c r="I4175" s="3" t="s">
        <v>63</v>
      </c>
      <c r="J4175" s="3" t="s">
        <v>63</v>
      </c>
      <c r="K4175" s="3" t="s">
        <v>64</v>
      </c>
      <c r="L4175" s="2" t="s">
        <v>36048</v>
      </c>
      <c r="M4175" s="2" t="s">
        <v>30137</v>
      </c>
      <c r="N4175" s="3" t="s">
        <v>143</v>
      </c>
      <c r="P4175" s="3" t="s">
        <v>90</v>
      </c>
      <c r="Q4175" s="2" t="s">
        <v>36079</v>
      </c>
      <c r="R4175" s="3" t="s">
        <v>67</v>
      </c>
      <c r="S4175" s="4">
        <v>2</v>
      </c>
      <c r="T4175" s="4">
        <v>2</v>
      </c>
      <c r="U4175" s="5" t="s">
        <v>29408</v>
      </c>
      <c r="V4175" s="5" t="s">
        <v>29408</v>
      </c>
      <c r="W4175" s="5" t="s">
        <v>69</v>
      </c>
      <c r="X4175" s="5" t="s">
        <v>69</v>
      </c>
      <c r="Y4175" s="4">
        <v>44</v>
      </c>
      <c r="Z4175" s="4">
        <v>2</v>
      </c>
      <c r="AA4175" s="4">
        <v>6</v>
      </c>
      <c r="AB4175" s="4">
        <v>1</v>
      </c>
      <c r="AC4175" s="4">
        <v>1</v>
      </c>
      <c r="AD4175" s="4">
        <v>22</v>
      </c>
      <c r="AE4175" s="4">
        <v>43</v>
      </c>
      <c r="AF4175" s="4">
        <v>0</v>
      </c>
      <c r="AG4175" s="4">
        <v>0</v>
      </c>
      <c r="AH4175" s="4">
        <v>21</v>
      </c>
      <c r="AI4175" s="4">
        <v>42</v>
      </c>
      <c r="AJ4175" s="4">
        <v>0</v>
      </c>
      <c r="AK4175" s="4">
        <v>3</v>
      </c>
      <c r="AL4175" s="4">
        <v>16</v>
      </c>
      <c r="AM4175" s="4">
        <v>30</v>
      </c>
      <c r="AN4175" s="4">
        <v>0</v>
      </c>
      <c r="AO4175" s="4">
        <v>0</v>
      </c>
      <c r="AP4175" s="4">
        <v>0</v>
      </c>
      <c r="AQ4175" s="4">
        <v>3</v>
      </c>
      <c r="AR4175" s="3" t="s">
        <v>63</v>
      </c>
      <c r="AS4175" s="3" t="s">
        <v>63</v>
      </c>
      <c r="AT4175" s="3" t="s">
        <v>63</v>
      </c>
      <c r="AV4175" s="6" t="str">
        <f>HYPERLINK("http://mcgill.on.worldcat.org/oclc/874769509","Catalog Record")</f>
        <v>Catalog Record</v>
      </c>
      <c r="AW4175" s="6" t="str">
        <f>HYPERLINK("http://www.worldcat.org/oclc/874769509","WorldCat Record")</f>
        <v>WorldCat Record</v>
      </c>
      <c r="AX4175" s="3" t="s">
        <v>36080</v>
      </c>
      <c r="AY4175" s="3" t="s">
        <v>36081</v>
      </c>
      <c r="AZ4175" s="3" t="s">
        <v>36082</v>
      </c>
      <c r="BA4175" s="3" t="s">
        <v>36082</v>
      </c>
      <c r="BB4175" s="3" t="s">
        <v>36083</v>
      </c>
      <c r="BC4175" s="3" t="s">
        <v>82</v>
      </c>
      <c r="BD4175" s="3" t="s">
        <v>70</v>
      </c>
      <c r="BE4175" s="3" t="s">
        <v>36084</v>
      </c>
      <c r="BF4175" s="3" t="s">
        <v>36083</v>
      </c>
      <c r="BG4175" s="3" t="s">
        <v>36085</v>
      </c>
    </row>
    <row r="4176" spans="1:59" ht="75" x14ac:dyDescent="0.25">
      <c r="A4176" s="2" t="s">
        <v>59</v>
      </c>
      <c r="B4176" s="2" t="s">
        <v>60</v>
      </c>
      <c r="C4176" s="2" t="s">
        <v>36086</v>
      </c>
      <c r="D4176" s="2" t="s">
        <v>36087</v>
      </c>
      <c r="E4176" s="2" t="s">
        <v>36088</v>
      </c>
      <c r="G4176" s="3" t="s">
        <v>63</v>
      </c>
      <c r="I4176" s="3" t="s">
        <v>63</v>
      </c>
      <c r="J4176" s="3" t="s">
        <v>63</v>
      </c>
      <c r="K4176" s="3" t="s">
        <v>64</v>
      </c>
      <c r="L4176" s="2" t="s">
        <v>36089</v>
      </c>
      <c r="M4176" s="2" t="s">
        <v>30647</v>
      </c>
      <c r="N4176" s="3" t="s">
        <v>2765</v>
      </c>
      <c r="P4176" s="3" t="s">
        <v>90</v>
      </c>
      <c r="Q4176" s="2" t="s">
        <v>36090</v>
      </c>
      <c r="R4176" s="3" t="s">
        <v>67</v>
      </c>
      <c r="S4176" s="4">
        <v>3</v>
      </c>
      <c r="T4176" s="4">
        <v>3</v>
      </c>
      <c r="U4176" s="5" t="s">
        <v>6011</v>
      </c>
      <c r="V4176" s="5" t="s">
        <v>6011</v>
      </c>
      <c r="W4176" s="5" t="s">
        <v>69</v>
      </c>
      <c r="X4176" s="5" t="s">
        <v>69</v>
      </c>
      <c r="Y4176" s="4">
        <v>18</v>
      </c>
      <c r="Z4176" s="4">
        <v>4</v>
      </c>
      <c r="AA4176" s="4">
        <v>4</v>
      </c>
      <c r="AB4176" s="4">
        <v>1</v>
      </c>
      <c r="AC4176" s="4">
        <v>1</v>
      </c>
      <c r="AD4176" s="4">
        <v>14</v>
      </c>
      <c r="AE4176" s="4">
        <v>14</v>
      </c>
      <c r="AF4176" s="4">
        <v>0</v>
      </c>
      <c r="AG4176" s="4">
        <v>0</v>
      </c>
      <c r="AH4176" s="4">
        <v>14</v>
      </c>
      <c r="AI4176" s="4">
        <v>14</v>
      </c>
      <c r="AJ4176" s="4">
        <v>1</v>
      </c>
      <c r="AK4176" s="4">
        <v>1</v>
      </c>
      <c r="AL4176" s="4">
        <v>9</v>
      </c>
      <c r="AM4176" s="4">
        <v>9</v>
      </c>
      <c r="AN4176" s="4">
        <v>0</v>
      </c>
      <c r="AO4176" s="4">
        <v>0</v>
      </c>
      <c r="AP4176" s="4">
        <v>1</v>
      </c>
      <c r="AQ4176" s="4">
        <v>1</v>
      </c>
      <c r="AR4176" s="3" t="s">
        <v>63</v>
      </c>
      <c r="AS4176" s="3" t="s">
        <v>63</v>
      </c>
      <c r="AT4176" s="3" t="s">
        <v>63</v>
      </c>
      <c r="AV4176" s="6" t="str">
        <f>HYPERLINK("http://mcgill.on.worldcat.org/oclc/948685251","Catalog Record")</f>
        <v>Catalog Record</v>
      </c>
      <c r="AW4176" s="6" t="str">
        <f>HYPERLINK("http://www.worldcat.org/oclc/948685251","WorldCat Record")</f>
        <v>WorldCat Record</v>
      </c>
      <c r="AX4176" s="3" t="s">
        <v>36091</v>
      </c>
      <c r="AY4176" s="3" t="s">
        <v>36092</v>
      </c>
      <c r="AZ4176" s="3" t="s">
        <v>36093</v>
      </c>
      <c r="BA4176" s="3" t="s">
        <v>36093</v>
      </c>
      <c r="BB4176" s="3" t="s">
        <v>36094</v>
      </c>
      <c r="BC4176" s="3" t="s">
        <v>82</v>
      </c>
      <c r="BD4176" s="3" t="s">
        <v>70</v>
      </c>
      <c r="BE4176" s="3" t="s">
        <v>36095</v>
      </c>
      <c r="BF4176" s="3" t="s">
        <v>36094</v>
      </c>
      <c r="BG4176" s="3" t="s">
        <v>36096</v>
      </c>
    </row>
    <row r="4177" spans="1:59" ht="60" x14ac:dyDescent="0.25">
      <c r="A4177" s="2" t="s">
        <v>59</v>
      </c>
      <c r="B4177" s="2" t="s">
        <v>60</v>
      </c>
      <c r="C4177" s="2" t="s">
        <v>36097</v>
      </c>
      <c r="D4177" s="2" t="s">
        <v>36098</v>
      </c>
      <c r="E4177" s="2" t="s">
        <v>36099</v>
      </c>
      <c r="G4177" s="3" t="s">
        <v>63</v>
      </c>
      <c r="I4177" s="3" t="s">
        <v>63</v>
      </c>
      <c r="J4177" s="3" t="s">
        <v>63</v>
      </c>
      <c r="K4177" s="3" t="s">
        <v>64</v>
      </c>
      <c r="L4177" s="2" t="s">
        <v>36100</v>
      </c>
      <c r="M4177" s="2" t="s">
        <v>6355</v>
      </c>
      <c r="N4177" s="3" t="s">
        <v>2765</v>
      </c>
      <c r="P4177" s="3" t="s">
        <v>90</v>
      </c>
      <c r="Q4177" s="2" t="s">
        <v>35125</v>
      </c>
      <c r="R4177" s="3" t="s">
        <v>67</v>
      </c>
      <c r="S4177" s="4">
        <v>1</v>
      </c>
      <c r="T4177" s="4">
        <v>1</v>
      </c>
      <c r="U4177" s="5" t="s">
        <v>6011</v>
      </c>
      <c r="V4177" s="5" t="s">
        <v>6011</v>
      </c>
      <c r="W4177" s="5" t="s">
        <v>69</v>
      </c>
      <c r="X4177" s="5" t="s">
        <v>69</v>
      </c>
      <c r="Y4177" s="4">
        <v>24</v>
      </c>
      <c r="Z4177" s="4">
        <v>3</v>
      </c>
      <c r="AA4177" s="4">
        <v>3</v>
      </c>
      <c r="AB4177" s="4">
        <v>1</v>
      </c>
      <c r="AC4177" s="4">
        <v>1</v>
      </c>
      <c r="AD4177" s="4">
        <v>18</v>
      </c>
      <c r="AE4177" s="4">
        <v>18</v>
      </c>
      <c r="AF4177" s="4">
        <v>0</v>
      </c>
      <c r="AG4177" s="4">
        <v>0</v>
      </c>
      <c r="AH4177" s="4">
        <v>17</v>
      </c>
      <c r="AI4177" s="4">
        <v>17</v>
      </c>
      <c r="AJ4177" s="4">
        <v>1</v>
      </c>
      <c r="AK4177" s="4">
        <v>1</v>
      </c>
      <c r="AL4177" s="4">
        <v>15</v>
      </c>
      <c r="AM4177" s="4">
        <v>15</v>
      </c>
      <c r="AN4177" s="4">
        <v>0</v>
      </c>
      <c r="AO4177" s="4">
        <v>0</v>
      </c>
      <c r="AP4177" s="4">
        <v>1</v>
      </c>
      <c r="AQ4177" s="4">
        <v>1</v>
      </c>
      <c r="AR4177" s="3" t="s">
        <v>63</v>
      </c>
      <c r="AS4177" s="3" t="s">
        <v>63</v>
      </c>
      <c r="AT4177" s="3" t="s">
        <v>63</v>
      </c>
      <c r="AV4177" s="6" t="str">
        <f>HYPERLINK("http://mcgill.on.worldcat.org/oclc/923747317","Catalog Record")</f>
        <v>Catalog Record</v>
      </c>
      <c r="AW4177" s="6" t="str">
        <f>HYPERLINK("http://www.worldcat.org/oclc/923747317","WorldCat Record")</f>
        <v>WorldCat Record</v>
      </c>
      <c r="AX4177" s="3" t="s">
        <v>36101</v>
      </c>
      <c r="AY4177" s="3" t="s">
        <v>36102</v>
      </c>
      <c r="AZ4177" s="3" t="s">
        <v>36103</v>
      </c>
      <c r="BA4177" s="3" t="s">
        <v>36103</v>
      </c>
      <c r="BB4177" s="3" t="s">
        <v>36104</v>
      </c>
      <c r="BC4177" s="3" t="s">
        <v>82</v>
      </c>
      <c r="BD4177" s="3" t="s">
        <v>70</v>
      </c>
      <c r="BE4177" s="3" t="s">
        <v>36105</v>
      </c>
      <c r="BF4177" s="3" t="s">
        <v>36104</v>
      </c>
      <c r="BG4177" s="3" t="s">
        <v>36106</v>
      </c>
    </row>
    <row r="4178" spans="1:59" ht="60" x14ac:dyDescent="0.25">
      <c r="A4178" s="2" t="s">
        <v>59</v>
      </c>
      <c r="B4178" s="2" t="s">
        <v>60</v>
      </c>
      <c r="C4178" s="2" t="s">
        <v>36107</v>
      </c>
      <c r="D4178" s="2" t="s">
        <v>36108</v>
      </c>
      <c r="E4178" s="2" t="s">
        <v>36109</v>
      </c>
      <c r="G4178" s="3" t="s">
        <v>63</v>
      </c>
      <c r="I4178" s="3" t="s">
        <v>63</v>
      </c>
      <c r="J4178" s="3" t="s">
        <v>63</v>
      </c>
      <c r="K4178" s="3" t="s">
        <v>64</v>
      </c>
      <c r="L4178" s="2" t="s">
        <v>36110</v>
      </c>
      <c r="M4178" s="2" t="s">
        <v>4501</v>
      </c>
      <c r="N4178" s="3" t="s">
        <v>76</v>
      </c>
      <c r="P4178" s="3" t="s">
        <v>90</v>
      </c>
      <c r="R4178" s="3" t="s">
        <v>67</v>
      </c>
      <c r="S4178" s="4">
        <v>1</v>
      </c>
      <c r="T4178" s="4">
        <v>1</v>
      </c>
      <c r="U4178" s="5" t="s">
        <v>29630</v>
      </c>
      <c r="V4178" s="5" t="s">
        <v>29630</v>
      </c>
      <c r="W4178" s="5" t="s">
        <v>69</v>
      </c>
      <c r="X4178" s="5" t="s">
        <v>69</v>
      </c>
      <c r="Y4178" s="4">
        <v>44</v>
      </c>
      <c r="Z4178" s="4">
        <v>4</v>
      </c>
      <c r="AA4178" s="4">
        <v>4</v>
      </c>
      <c r="AB4178" s="4">
        <v>1</v>
      </c>
      <c r="AC4178" s="4">
        <v>1</v>
      </c>
      <c r="AD4178" s="4">
        <v>32</v>
      </c>
      <c r="AE4178" s="4">
        <v>32</v>
      </c>
      <c r="AF4178" s="4">
        <v>0</v>
      </c>
      <c r="AG4178" s="4">
        <v>0</v>
      </c>
      <c r="AH4178" s="4">
        <v>31</v>
      </c>
      <c r="AI4178" s="4">
        <v>31</v>
      </c>
      <c r="AJ4178" s="4">
        <v>2</v>
      </c>
      <c r="AK4178" s="4">
        <v>2</v>
      </c>
      <c r="AL4178" s="4">
        <v>22</v>
      </c>
      <c r="AM4178" s="4">
        <v>22</v>
      </c>
      <c r="AN4178" s="4">
        <v>0</v>
      </c>
      <c r="AO4178" s="4">
        <v>0</v>
      </c>
      <c r="AP4178" s="4">
        <v>2</v>
      </c>
      <c r="AQ4178" s="4">
        <v>2</v>
      </c>
      <c r="AR4178" s="3" t="s">
        <v>63</v>
      </c>
      <c r="AS4178" s="3" t="s">
        <v>63</v>
      </c>
      <c r="AT4178" s="3" t="s">
        <v>63</v>
      </c>
      <c r="AV4178" s="6" t="str">
        <f>HYPERLINK("http://mcgill.on.worldcat.org/oclc/823894935","Catalog Record")</f>
        <v>Catalog Record</v>
      </c>
      <c r="AW4178" s="6" t="str">
        <f>HYPERLINK("http://www.worldcat.org/oclc/823894935","WorldCat Record")</f>
        <v>WorldCat Record</v>
      </c>
      <c r="AX4178" s="3" t="s">
        <v>36111</v>
      </c>
      <c r="AY4178" s="3" t="s">
        <v>36112</v>
      </c>
      <c r="AZ4178" s="3" t="s">
        <v>36113</v>
      </c>
      <c r="BA4178" s="3" t="s">
        <v>36113</v>
      </c>
      <c r="BB4178" s="3" t="s">
        <v>36114</v>
      </c>
      <c r="BC4178" s="3" t="s">
        <v>82</v>
      </c>
      <c r="BD4178" s="3" t="s">
        <v>70</v>
      </c>
      <c r="BE4178" s="3" t="s">
        <v>36115</v>
      </c>
      <c r="BF4178" s="3" t="s">
        <v>36114</v>
      </c>
      <c r="BG4178" s="3" t="s">
        <v>36116</v>
      </c>
    </row>
    <row r="4179" spans="1:59" ht="60" x14ac:dyDescent="0.25">
      <c r="A4179" s="2" t="s">
        <v>59</v>
      </c>
      <c r="B4179" s="2" t="s">
        <v>60</v>
      </c>
      <c r="C4179" s="2" t="s">
        <v>36117</v>
      </c>
      <c r="D4179" s="2" t="s">
        <v>36118</v>
      </c>
      <c r="E4179" s="2" t="s">
        <v>36119</v>
      </c>
      <c r="G4179" s="3" t="s">
        <v>63</v>
      </c>
      <c r="I4179" s="3" t="s">
        <v>63</v>
      </c>
      <c r="J4179" s="3" t="s">
        <v>63</v>
      </c>
      <c r="K4179" s="3" t="s">
        <v>64</v>
      </c>
      <c r="L4179" s="2" t="s">
        <v>36120</v>
      </c>
      <c r="M4179" s="2" t="s">
        <v>31182</v>
      </c>
      <c r="N4179" s="3" t="s">
        <v>106</v>
      </c>
      <c r="P4179" s="3" t="s">
        <v>90</v>
      </c>
      <c r="Q4179" s="2" t="s">
        <v>31183</v>
      </c>
      <c r="R4179" s="3" t="s">
        <v>67</v>
      </c>
      <c r="S4179" s="4">
        <v>2</v>
      </c>
      <c r="T4179" s="4">
        <v>2</v>
      </c>
      <c r="U4179" s="5" t="s">
        <v>7212</v>
      </c>
      <c r="V4179" s="5" t="s">
        <v>7212</v>
      </c>
      <c r="W4179" s="5" t="s">
        <v>69</v>
      </c>
      <c r="X4179" s="5" t="s">
        <v>69</v>
      </c>
      <c r="Y4179" s="4">
        <v>13</v>
      </c>
      <c r="Z4179" s="4">
        <v>1</v>
      </c>
      <c r="AA4179" s="4">
        <v>2</v>
      </c>
      <c r="AB4179" s="4">
        <v>1</v>
      </c>
      <c r="AC4179" s="4">
        <v>1</v>
      </c>
      <c r="AD4179" s="4">
        <v>8</v>
      </c>
      <c r="AE4179" s="4">
        <v>27</v>
      </c>
      <c r="AF4179" s="4">
        <v>0</v>
      </c>
      <c r="AG4179" s="4">
        <v>0</v>
      </c>
      <c r="AH4179" s="4">
        <v>8</v>
      </c>
      <c r="AI4179" s="4">
        <v>27</v>
      </c>
      <c r="AJ4179" s="4">
        <v>0</v>
      </c>
      <c r="AK4179" s="4">
        <v>0</v>
      </c>
      <c r="AL4179" s="4">
        <v>7</v>
      </c>
      <c r="AM4179" s="4">
        <v>20</v>
      </c>
      <c r="AN4179" s="4">
        <v>0</v>
      </c>
      <c r="AO4179" s="4">
        <v>0</v>
      </c>
      <c r="AP4179" s="4">
        <v>0</v>
      </c>
      <c r="AQ4179" s="4">
        <v>0</v>
      </c>
      <c r="AR4179" s="3" t="s">
        <v>63</v>
      </c>
      <c r="AS4179" s="3" t="s">
        <v>63</v>
      </c>
      <c r="AT4179" s="3" t="s">
        <v>63</v>
      </c>
      <c r="AV4179" s="6" t="str">
        <f>HYPERLINK("http://mcgill.on.worldcat.org/oclc/956371730","Catalog Record")</f>
        <v>Catalog Record</v>
      </c>
      <c r="AW4179" s="6" t="str">
        <f>HYPERLINK("http://www.worldcat.org/oclc/956371730","WorldCat Record")</f>
        <v>WorldCat Record</v>
      </c>
      <c r="AX4179" s="3" t="s">
        <v>36121</v>
      </c>
      <c r="AY4179" s="3" t="s">
        <v>36122</v>
      </c>
      <c r="AZ4179" s="3" t="s">
        <v>36123</v>
      </c>
      <c r="BA4179" s="3" t="s">
        <v>36123</v>
      </c>
      <c r="BB4179" s="3" t="s">
        <v>36124</v>
      </c>
      <c r="BC4179" s="3" t="s">
        <v>82</v>
      </c>
      <c r="BD4179" s="3" t="s">
        <v>70</v>
      </c>
      <c r="BE4179" s="3" t="s">
        <v>36125</v>
      </c>
      <c r="BF4179" s="3" t="s">
        <v>36124</v>
      </c>
      <c r="BG4179" s="3" t="s">
        <v>36126</v>
      </c>
    </row>
    <row r="4180" spans="1:59" ht="60" x14ac:dyDescent="0.25">
      <c r="A4180" s="2" t="s">
        <v>59</v>
      </c>
      <c r="B4180" s="2" t="s">
        <v>60</v>
      </c>
      <c r="C4180" s="2" t="s">
        <v>36127</v>
      </c>
      <c r="D4180" s="2" t="s">
        <v>36128</v>
      </c>
      <c r="E4180" s="2" t="s">
        <v>36129</v>
      </c>
      <c r="G4180" s="3" t="s">
        <v>63</v>
      </c>
      <c r="I4180" s="3" t="s">
        <v>63</v>
      </c>
      <c r="J4180" s="3" t="s">
        <v>63</v>
      </c>
      <c r="K4180" s="3" t="s">
        <v>64</v>
      </c>
      <c r="L4180" s="2" t="s">
        <v>36130</v>
      </c>
      <c r="M4180" s="2" t="s">
        <v>22532</v>
      </c>
      <c r="N4180" s="3" t="s">
        <v>629</v>
      </c>
      <c r="P4180" s="3" t="s">
        <v>90</v>
      </c>
      <c r="R4180" s="3" t="s">
        <v>67</v>
      </c>
      <c r="S4180" s="4">
        <v>2</v>
      </c>
      <c r="T4180" s="4">
        <v>2</v>
      </c>
      <c r="U4180" s="5" t="s">
        <v>9168</v>
      </c>
      <c r="V4180" s="5" t="s">
        <v>9168</v>
      </c>
      <c r="W4180" s="5" t="s">
        <v>69</v>
      </c>
      <c r="X4180" s="5" t="s">
        <v>69</v>
      </c>
      <c r="Y4180" s="4">
        <v>66</v>
      </c>
      <c r="Z4180" s="4">
        <v>6</v>
      </c>
      <c r="AA4180" s="4">
        <v>6</v>
      </c>
      <c r="AB4180" s="4">
        <v>1</v>
      </c>
      <c r="AC4180" s="4">
        <v>1</v>
      </c>
      <c r="AD4180" s="4">
        <v>37</v>
      </c>
      <c r="AE4180" s="4">
        <v>37</v>
      </c>
      <c r="AF4180" s="4">
        <v>0</v>
      </c>
      <c r="AG4180" s="4">
        <v>0</v>
      </c>
      <c r="AH4180" s="4">
        <v>36</v>
      </c>
      <c r="AI4180" s="4">
        <v>36</v>
      </c>
      <c r="AJ4180" s="4">
        <v>3</v>
      </c>
      <c r="AK4180" s="4">
        <v>3</v>
      </c>
      <c r="AL4180" s="4">
        <v>29</v>
      </c>
      <c r="AM4180" s="4">
        <v>29</v>
      </c>
      <c r="AN4180" s="4">
        <v>0</v>
      </c>
      <c r="AO4180" s="4">
        <v>0</v>
      </c>
      <c r="AP4180" s="4">
        <v>3</v>
      </c>
      <c r="AQ4180" s="4">
        <v>3</v>
      </c>
      <c r="AR4180" s="3" t="s">
        <v>63</v>
      </c>
      <c r="AS4180" s="3" t="s">
        <v>63</v>
      </c>
      <c r="AT4180" s="3" t="s">
        <v>63</v>
      </c>
      <c r="AV4180" s="6" t="str">
        <f>HYPERLINK("http://mcgill.on.worldcat.org/oclc/713496127","Catalog Record")</f>
        <v>Catalog Record</v>
      </c>
      <c r="AW4180" s="6" t="str">
        <f>HYPERLINK("http://www.worldcat.org/oclc/713496127","WorldCat Record")</f>
        <v>WorldCat Record</v>
      </c>
      <c r="AX4180" s="3" t="s">
        <v>36131</v>
      </c>
      <c r="AY4180" s="3" t="s">
        <v>36132</v>
      </c>
      <c r="AZ4180" s="3" t="s">
        <v>36133</v>
      </c>
      <c r="BA4180" s="3" t="s">
        <v>36133</v>
      </c>
      <c r="BB4180" s="3" t="s">
        <v>36134</v>
      </c>
      <c r="BC4180" s="3" t="s">
        <v>82</v>
      </c>
      <c r="BD4180" s="3" t="s">
        <v>70</v>
      </c>
      <c r="BE4180" s="3" t="s">
        <v>36135</v>
      </c>
      <c r="BF4180" s="3" t="s">
        <v>36134</v>
      </c>
      <c r="BG4180" s="3" t="s">
        <v>36136</v>
      </c>
    </row>
    <row r="4181" spans="1:59" ht="60" x14ac:dyDescent="0.25">
      <c r="A4181" s="2" t="s">
        <v>59</v>
      </c>
      <c r="B4181" s="2" t="s">
        <v>60</v>
      </c>
      <c r="C4181" s="2" t="s">
        <v>36137</v>
      </c>
      <c r="D4181" s="2" t="s">
        <v>36138</v>
      </c>
      <c r="E4181" s="2" t="s">
        <v>36139</v>
      </c>
      <c r="G4181" s="3" t="s">
        <v>63</v>
      </c>
      <c r="I4181" s="3" t="s">
        <v>63</v>
      </c>
      <c r="J4181" s="3" t="s">
        <v>63</v>
      </c>
      <c r="K4181" s="3" t="s">
        <v>64</v>
      </c>
      <c r="L4181" s="2" t="s">
        <v>36140</v>
      </c>
      <c r="M4181" s="2" t="s">
        <v>29585</v>
      </c>
      <c r="N4181" s="3" t="s">
        <v>1557</v>
      </c>
      <c r="P4181" s="3" t="s">
        <v>90</v>
      </c>
      <c r="Q4181" s="2" t="s">
        <v>34326</v>
      </c>
      <c r="R4181" s="3" t="s">
        <v>67</v>
      </c>
      <c r="S4181" s="4">
        <v>2</v>
      </c>
      <c r="T4181" s="4">
        <v>2</v>
      </c>
      <c r="U4181" s="5" t="s">
        <v>12898</v>
      </c>
      <c r="V4181" s="5" t="s">
        <v>12898</v>
      </c>
      <c r="W4181" s="5" t="s">
        <v>69</v>
      </c>
      <c r="X4181" s="5" t="s">
        <v>69</v>
      </c>
      <c r="Y4181" s="4">
        <v>34</v>
      </c>
      <c r="Z4181" s="4">
        <v>2</v>
      </c>
      <c r="AA4181" s="4">
        <v>2</v>
      </c>
      <c r="AB4181" s="4">
        <v>1</v>
      </c>
      <c r="AC4181" s="4">
        <v>1</v>
      </c>
      <c r="AD4181" s="4">
        <v>28</v>
      </c>
      <c r="AE4181" s="4">
        <v>28</v>
      </c>
      <c r="AF4181" s="4">
        <v>0</v>
      </c>
      <c r="AG4181" s="4">
        <v>0</v>
      </c>
      <c r="AH4181" s="4">
        <v>27</v>
      </c>
      <c r="AI4181" s="4">
        <v>27</v>
      </c>
      <c r="AJ4181" s="4">
        <v>1</v>
      </c>
      <c r="AK4181" s="4">
        <v>1</v>
      </c>
      <c r="AL4181" s="4">
        <v>22</v>
      </c>
      <c r="AM4181" s="4">
        <v>22</v>
      </c>
      <c r="AN4181" s="4">
        <v>0</v>
      </c>
      <c r="AO4181" s="4">
        <v>0</v>
      </c>
      <c r="AP4181" s="4">
        <v>1</v>
      </c>
      <c r="AQ4181" s="4">
        <v>1</v>
      </c>
      <c r="AR4181" s="3" t="s">
        <v>63</v>
      </c>
      <c r="AS4181" s="3" t="s">
        <v>63</v>
      </c>
      <c r="AT4181" s="3" t="s">
        <v>63</v>
      </c>
      <c r="AV4181" s="6" t="str">
        <f>HYPERLINK("http://mcgill.on.worldcat.org/oclc/970665253","Catalog Record")</f>
        <v>Catalog Record</v>
      </c>
      <c r="AW4181" s="6" t="str">
        <f>HYPERLINK("http://www.worldcat.org/oclc/970665253","WorldCat Record")</f>
        <v>WorldCat Record</v>
      </c>
      <c r="AX4181" s="3" t="s">
        <v>36141</v>
      </c>
      <c r="AY4181" s="3" t="s">
        <v>36142</v>
      </c>
      <c r="AZ4181" s="3" t="s">
        <v>36143</v>
      </c>
      <c r="BA4181" s="3" t="s">
        <v>36143</v>
      </c>
      <c r="BB4181" s="3" t="s">
        <v>36144</v>
      </c>
      <c r="BC4181" s="3" t="s">
        <v>82</v>
      </c>
      <c r="BD4181" s="3" t="s">
        <v>70</v>
      </c>
      <c r="BE4181" s="3" t="s">
        <v>36145</v>
      </c>
      <c r="BF4181" s="3" t="s">
        <v>36144</v>
      </c>
      <c r="BG4181" s="3" t="s">
        <v>36146</v>
      </c>
    </row>
    <row r="4182" spans="1:59" ht="60" x14ac:dyDescent="0.25">
      <c r="A4182" s="2" t="s">
        <v>59</v>
      </c>
      <c r="B4182" s="2" t="s">
        <v>60</v>
      </c>
      <c r="C4182" s="2" t="s">
        <v>36147</v>
      </c>
      <c r="D4182" s="2" t="s">
        <v>36148</v>
      </c>
      <c r="E4182" s="2" t="s">
        <v>36149</v>
      </c>
      <c r="G4182" s="3" t="s">
        <v>63</v>
      </c>
      <c r="I4182" s="3" t="s">
        <v>63</v>
      </c>
      <c r="J4182" s="3" t="s">
        <v>63</v>
      </c>
      <c r="K4182" s="3" t="s">
        <v>64</v>
      </c>
      <c r="L4182" s="2" t="s">
        <v>36150</v>
      </c>
      <c r="M4182" s="2" t="s">
        <v>36151</v>
      </c>
      <c r="N4182" s="3" t="s">
        <v>2459</v>
      </c>
      <c r="P4182" s="3" t="s">
        <v>90</v>
      </c>
      <c r="Q4182" s="2" t="s">
        <v>36152</v>
      </c>
      <c r="R4182" s="3" t="s">
        <v>67</v>
      </c>
      <c r="S4182" s="4">
        <v>1</v>
      </c>
      <c r="T4182" s="4">
        <v>1</v>
      </c>
      <c r="U4182" s="5" t="s">
        <v>6011</v>
      </c>
      <c r="V4182" s="5" t="s">
        <v>6011</v>
      </c>
      <c r="W4182" s="5" t="s">
        <v>69</v>
      </c>
      <c r="X4182" s="5" t="s">
        <v>69</v>
      </c>
      <c r="Y4182" s="4">
        <v>28</v>
      </c>
      <c r="Z4182" s="4">
        <v>5</v>
      </c>
      <c r="AA4182" s="4">
        <v>5</v>
      </c>
      <c r="AB4182" s="4">
        <v>1</v>
      </c>
      <c r="AC4182" s="4">
        <v>1</v>
      </c>
      <c r="AD4182" s="4">
        <v>21</v>
      </c>
      <c r="AE4182" s="4">
        <v>21</v>
      </c>
      <c r="AF4182" s="4">
        <v>0</v>
      </c>
      <c r="AG4182" s="4">
        <v>0</v>
      </c>
      <c r="AH4182" s="4">
        <v>21</v>
      </c>
      <c r="AI4182" s="4">
        <v>21</v>
      </c>
      <c r="AJ4182" s="4">
        <v>2</v>
      </c>
      <c r="AK4182" s="4">
        <v>2</v>
      </c>
      <c r="AL4182" s="4">
        <v>17</v>
      </c>
      <c r="AM4182" s="4">
        <v>17</v>
      </c>
      <c r="AN4182" s="4">
        <v>0</v>
      </c>
      <c r="AO4182" s="4">
        <v>0</v>
      </c>
      <c r="AP4182" s="4">
        <v>2</v>
      </c>
      <c r="AQ4182" s="4">
        <v>2</v>
      </c>
      <c r="AR4182" s="3" t="s">
        <v>63</v>
      </c>
      <c r="AS4182" s="3" t="s">
        <v>63</v>
      </c>
      <c r="AT4182" s="3" t="s">
        <v>63</v>
      </c>
      <c r="AV4182" s="6" t="str">
        <f>HYPERLINK("http://mcgill.on.worldcat.org/oclc/318633662","Catalog Record")</f>
        <v>Catalog Record</v>
      </c>
      <c r="AW4182" s="6" t="str">
        <f>HYPERLINK("http://www.worldcat.org/oclc/318633662","WorldCat Record")</f>
        <v>WorldCat Record</v>
      </c>
      <c r="AX4182" s="3" t="s">
        <v>36153</v>
      </c>
      <c r="AY4182" s="3" t="s">
        <v>36154</v>
      </c>
      <c r="AZ4182" s="3" t="s">
        <v>36155</v>
      </c>
      <c r="BA4182" s="3" t="s">
        <v>36155</v>
      </c>
      <c r="BB4182" s="3" t="s">
        <v>36156</v>
      </c>
      <c r="BC4182" s="3" t="s">
        <v>82</v>
      </c>
      <c r="BD4182" s="3" t="s">
        <v>70</v>
      </c>
      <c r="BE4182" s="3" t="s">
        <v>36157</v>
      </c>
      <c r="BF4182" s="3" t="s">
        <v>36156</v>
      </c>
      <c r="BG4182" s="3" t="s">
        <v>36158</v>
      </c>
    </row>
    <row r="4183" spans="1:59" ht="60" x14ac:dyDescent="0.25">
      <c r="A4183" s="2" t="s">
        <v>59</v>
      </c>
      <c r="B4183" s="2" t="s">
        <v>60</v>
      </c>
      <c r="C4183" s="2" t="s">
        <v>36159</v>
      </c>
      <c r="D4183" s="2" t="s">
        <v>36160</v>
      </c>
      <c r="E4183" s="2" t="s">
        <v>36161</v>
      </c>
      <c r="G4183" s="3" t="s">
        <v>63</v>
      </c>
      <c r="I4183" s="3" t="s">
        <v>63</v>
      </c>
      <c r="J4183" s="3" t="s">
        <v>63</v>
      </c>
      <c r="K4183" s="3" t="s">
        <v>64</v>
      </c>
      <c r="L4183" s="2" t="s">
        <v>36162</v>
      </c>
      <c r="M4183" s="2" t="s">
        <v>31691</v>
      </c>
      <c r="N4183" s="3" t="s">
        <v>1557</v>
      </c>
      <c r="P4183" s="3" t="s">
        <v>90</v>
      </c>
      <c r="Q4183" s="2" t="s">
        <v>31692</v>
      </c>
      <c r="R4183" s="3" t="s">
        <v>67</v>
      </c>
      <c r="S4183" s="4">
        <v>0</v>
      </c>
      <c r="T4183" s="4">
        <v>0</v>
      </c>
      <c r="W4183" s="5" t="s">
        <v>69</v>
      </c>
      <c r="X4183" s="5" t="s">
        <v>69</v>
      </c>
      <c r="Y4183" s="4">
        <v>6</v>
      </c>
      <c r="Z4183" s="4">
        <v>1</v>
      </c>
      <c r="AA4183" s="4">
        <v>1</v>
      </c>
      <c r="AB4183" s="4">
        <v>1</v>
      </c>
      <c r="AC4183" s="4">
        <v>1</v>
      </c>
      <c r="AD4183" s="4">
        <v>4</v>
      </c>
      <c r="AE4183" s="4">
        <v>4</v>
      </c>
      <c r="AF4183" s="4">
        <v>0</v>
      </c>
      <c r="AG4183" s="4">
        <v>0</v>
      </c>
      <c r="AH4183" s="4">
        <v>4</v>
      </c>
      <c r="AI4183" s="4">
        <v>4</v>
      </c>
      <c r="AJ4183" s="4">
        <v>0</v>
      </c>
      <c r="AK4183" s="4">
        <v>0</v>
      </c>
      <c r="AL4183" s="4">
        <v>3</v>
      </c>
      <c r="AM4183" s="4">
        <v>3</v>
      </c>
      <c r="AN4183" s="4">
        <v>0</v>
      </c>
      <c r="AO4183" s="4">
        <v>0</v>
      </c>
      <c r="AP4183" s="4">
        <v>0</v>
      </c>
      <c r="AQ4183" s="4">
        <v>0</v>
      </c>
      <c r="AR4183" s="3" t="s">
        <v>63</v>
      </c>
      <c r="AS4183" s="3" t="s">
        <v>63</v>
      </c>
      <c r="AT4183" s="3" t="s">
        <v>63</v>
      </c>
      <c r="AV4183" s="6" t="str">
        <f>HYPERLINK("http://mcgill.on.worldcat.org/oclc/1019601674","Catalog Record")</f>
        <v>Catalog Record</v>
      </c>
      <c r="AW4183" s="6" t="str">
        <f>HYPERLINK("http://www.worldcat.org/oclc/1019601674","WorldCat Record")</f>
        <v>WorldCat Record</v>
      </c>
      <c r="AX4183" s="3" t="s">
        <v>36163</v>
      </c>
      <c r="AY4183" s="3" t="s">
        <v>36164</v>
      </c>
      <c r="AZ4183" s="3" t="s">
        <v>36165</v>
      </c>
      <c r="BA4183" s="3" t="s">
        <v>36165</v>
      </c>
      <c r="BB4183" s="3" t="s">
        <v>36166</v>
      </c>
      <c r="BC4183" s="3" t="s">
        <v>82</v>
      </c>
      <c r="BD4183" s="3" t="s">
        <v>70</v>
      </c>
      <c r="BE4183" s="3" t="s">
        <v>36167</v>
      </c>
      <c r="BF4183" s="3" t="s">
        <v>36166</v>
      </c>
      <c r="BG4183" s="3" t="s">
        <v>36168</v>
      </c>
    </row>
    <row r="4184" spans="1:59" ht="60" x14ac:dyDescent="0.25">
      <c r="A4184" s="2" t="s">
        <v>59</v>
      </c>
      <c r="B4184" s="2" t="s">
        <v>60</v>
      </c>
      <c r="C4184" s="2" t="s">
        <v>36169</v>
      </c>
      <c r="D4184" s="2" t="s">
        <v>36170</v>
      </c>
      <c r="E4184" s="2" t="s">
        <v>36171</v>
      </c>
      <c r="G4184" s="3" t="s">
        <v>63</v>
      </c>
      <c r="I4184" s="3" t="s">
        <v>63</v>
      </c>
      <c r="J4184" s="3" t="s">
        <v>63</v>
      </c>
      <c r="K4184" s="3" t="s">
        <v>64</v>
      </c>
      <c r="L4184" s="2" t="s">
        <v>36172</v>
      </c>
      <c r="M4184" s="2" t="s">
        <v>36173</v>
      </c>
      <c r="N4184" s="3" t="s">
        <v>76</v>
      </c>
      <c r="P4184" s="3" t="s">
        <v>66</v>
      </c>
      <c r="Q4184" s="2" t="s">
        <v>23633</v>
      </c>
      <c r="R4184" s="3" t="s">
        <v>67</v>
      </c>
      <c r="S4184" s="4">
        <v>2</v>
      </c>
      <c r="T4184" s="4">
        <v>2</v>
      </c>
      <c r="U4184" s="5" t="s">
        <v>3935</v>
      </c>
      <c r="V4184" s="5" t="s">
        <v>3935</v>
      </c>
      <c r="W4184" s="5" t="s">
        <v>69</v>
      </c>
      <c r="X4184" s="5" t="s">
        <v>69</v>
      </c>
      <c r="Y4184" s="4">
        <v>150</v>
      </c>
      <c r="Z4184" s="4">
        <v>13</v>
      </c>
      <c r="AA4184" s="4">
        <v>17</v>
      </c>
      <c r="AB4184" s="4">
        <v>1</v>
      </c>
      <c r="AC4184" s="4">
        <v>4</v>
      </c>
      <c r="AD4184" s="4">
        <v>74</v>
      </c>
      <c r="AE4184" s="4">
        <v>77</v>
      </c>
      <c r="AF4184" s="4">
        <v>0</v>
      </c>
      <c r="AG4184" s="4">
        <v>0</v>
      </c>
      <c r="AH4184" s="4">
        <v>69</v>
      </c>
      <c r="AI4184" s="4">
        <v>71</v>
      </c>
      <c r="AJ4184" s="4">
        <v>10</v>
      </c>
      <c r="AK4184" s="4">
        <v>10</v>
      </c>
      <c r="AL4184" s="4">
        <v>50</v>
      </c>
      <c r="AM4184" s="4">
        <v>51</v>
      </c>
      <c r="AN4184" s="4">
        <v>0</v>
      </c>
      <c r="AO4184" s="4">
        <v>0</v>
      </c>
      <c r="AP4184" s="4">
        <v>10</v>
      </c>
      <c r="AQ4184" s="4">
        <v>11</v>
      </c>
      <c r="AR4184" s="3" t="s">
        <v>63</v>
      </c>
      <c r="AS4184" s="3" t="s">
        <v>63</v>
      </c>
      <c r="AT4184" s="3" t="s">
        <v>63</v>
      </c>
      <c r="AV4184" s="6" t="str">
        <f>HYPERLINK("http://mcgill.on.worldcat.org/oclc/713181650","Catalog Record")</f>
        <v>Catalog Record</v>
      </c>
      <c r="AW4184" s="6" t="str">
        <f>HYPERLINK("http://www.worldcat.org/oclc/713181650","WorldCat Record")</f>
        <v>WorldCat Record</v>
      </c>
      <c r="AX4184" s="3" t="s">
        <v>36174</v>
      </c>
      <c r="AY4184" s="3" t="s">
        <v>36175</v>
      </c>
      <c r="AZ4184" s="3" t="s">
        <v>36176</v>
      </c>
      <c r="BA4184" s="3" t="s">
        <v>36176</v>
      </c>
      <c r="BB4184" s="3" t="s">
        <v>36177</v>
      </c>
      <c r="BC4184" s="3" t="s">
        <v>82</v>
      </c>
      <c r="BD4184" s="3" t="s">
        <v>70</v>
      </c>
      <c r="BE4184" s="3" t="s">
        <v>36178</v>
      </c>
      <c r="BF4184" s="3" t="s">
        <v>36177</v>
      </c>
      <c r="BG4184" s="3" t="s">
        <v>36179</v>
      </c>
    </row>
    <row r="4185" spans="1:59" ht="60" x14ac:dyDescent="0.25">
      <c r="A4185" s="2" t="s">
        <v>59</v>
      </c>
      <c r="B4185" s="2" t="s">
        <v>60</v>
      </c>
      <c r="C4185" s="2" t="s">
        <v>36180</v>
      </c>
      <c r="D4185" s="2" t="s">
        <v>36181</v>
      </c>
      <c r="E4185" s="2" t="s">
        <v>36182</v>
      </c>
      <c r="G4185" s="3" t="s">
        <v>63</v>
      </c>
      <c r="I4185" s="3" t="s">
        <v>63</v>
      </c>
      <c r="J4185" s="3" t="s">
        <v>63</v>
      </c>
      <c r="K4185" s="3" t="s">
        <v>64</v>
      </c>
      <c r="L4185" s="2" t="s">
        <v>36183</v>
      </c>
      <c r="M4185" s="2" t="s">
        <v>36184</v>
      </c>
      <c r="N4185" s="3" t="s">
        <v>234</v>
      </c>
      <c r="P4185" s="3" t="s">
        <v>66</v>
      </c>
      <c r="R4185" s="3" t="s">
        <v>67</v>
      </c>
      <c r="S4185" s="4">
        <v>9</v>
      </c>
      <c r="T4185" s="4">
        <v>9</v>
      </c>
      <c r="U4185" s="5" t="s">
        <v>1702</v>
      </c>
      <c r="V4185" s="5" t="s">
        <v>1702</v>
      </c>
      <c r="W4185" s="5" t="s">
        <v>69</v>
      </c>
      <c r="X4185" s="5" t="s">
        <v>69</v>
      </c>
      <c r="Y4185" s="4">
        <v>102</v>
      </c>
      <c r="Z4185" s="4">
        <v>6</v>
      </c>
      <c r="AA4185" s="4">
        <v>6</v>
      </c>
      <c r="AB4185" s="4">
        <v>1</v>
      </c>
      <c r="AC4185" s="4">
        <v>1</v>
      </c>
      <c r="AD4185" s="4">
        <v>30</v>
      </c>
      <c r="AE4185" s="4">
        <v>30</v>
      </c>
      <c r="AF4185" s="4">
        <v>0</v>
      </c>
      <c r="AG4185" s="4">
        <v>0</v>
      </c>
      <c r="AH4185" s="4">
        <v>28</v>
      </c>
      <c r="AI4185" s="4">
        <v>28</v>
      </c>
      <c r="AJ4185" s="4">
        <v>3</v>
      </c>
      <c r="AK4185" s="4">
        <v>3</v>
      </c>
      <c r="AL4185" s="4">
        <v>14</v>
      </c>
      <c r="AM4185" s="4">
        <v>14</v>
      </c>
      <c r="AN4185" s="4">
        <v>0</v>
      </c>
      <c r="AO4185" s="4">
        <v>0</v>
      </c>
      <c r="AP4185" s="4">
        <v>3</v>
      </c>
      <c r="AQ4185" s="4">
        <v>3</v>
      </c>
      <c r="AR4185" s="3" t="s">
        <v>63</v>
      </c>
      <c r="AS4185" s="3" t="s">
        <v>63</v>
      </c>
      <c r="AT4185" s="3" t="s">
        <v>62</v>
      </c>
      <c r="AU4185" s="6" t="str">
        <f>HYPERLINK("http://catalog.hathitrust.org/Record/005623300","HathiTrust Record")</f>
        <v>HathiTrust Record</v>
      </c>
      <c r="AV4185" s="6" t="str">
        <f>HYPERLINK("http://mcgill.on.worldcat.org/oclc/70831016","Catalog Record")</f>
        <v>Catalog Record</v>
      </c>
      <c r="AW4185" s="6" t="str">
        <f>HYPERLINK("http://www.worldcat.org/oclc/70831016","WorldCat Record")</f>
        <v>WorldCat Record</v>
      </c>
      <c r="AX4185" s="3" t="s">
        <v>36185</v>
      </c>
      <c r="AY4185" s="3" t="s">
        <v>36186</v>
      </c>
      <c r="AZ4185" s="3" t="s">
        <v>36187</v>
      </c>
      <c r="BA4185" s="3" t="s">
        <v>36187</v>
      </c>
      <c r="BB4185" s="3" t="s">
        <v>36188</v>
      </c>
      <c r="BC4185" s="3" t="s">
        <v>82</v>
      </c>
      <c r="BD4185" s="3" t="s">
        <v>70</v>
      </c>
      <c r="BE4185" s="3" t="s">
        <v>36189</v>
      </c>
      <c r="BF4185" s="3" t="s">
        <v>36188</v>
      </c>
      <c r="BG4185" s="3" t="s">
        <v>36190</v>
      </c>
    </row>
    <row r="4186" spans="1:59" ht="60" x14ac:dyDescent="0.25">
      <c r="A4186" s="2" t="s">
        <v>59</v>
      </c>
      <c r="B4186" s="2" t="s">
        <v>60</v>
      </c>
      <c r="C4186" s="2" t="s">
        <v>36191</v>
      </c>
      <c r="D4186" s="2" t="s">
        <v>36192</v>
      </c>
      <c r="E4186" s="2" t="s">
        <v>36193</v>
      </c>
      <c r="G4186" s="3" t="s">
        <v>63</v>
      </c>
      <c r="I4186" s="3" t="s">
        <v>63</v>
      </c>
      <c r="J4186" s="3" t="s">
        <v>63</v>
      </c>
      <c r="K4186" s="3" t="s">
        <v>64</v>
      </c>
      <c r="M4186" s="2" t="s">
        <v>36194</v>
      </c>
      <c r="N4186" s="3" t="s">
        <v>143</v>
      </c>
      <c r="P4186" s="3" t="s">
        <v>90</v>
      </c>
      <c r="R4186" s="3" t="s">
        <v>67</v>
      </c>
      <c r="S4186" s="4">
        <v>0</v>
      </c>
      <c r="T4186" s="4">
        <v>0</v>
      </c>
      <c r="W4186" s="5" t="s">
        <v>69</v>
      </c>
      <c r="X4186" s="5" t="s">
        <v>69</v>
      </c>
      <c r="Y4186" s="4">
        <v>9</v>
      </c>
      <c r="Z4186" s="4">
        <v>1</v>
      </c>
      <c r="AA4186" s="4">
        <v>1</v>
      </c>
      <c r="AB4186" s="4">
        <v>1</v>
      </c>
      <c r="AC4186" s="4">
        <v>1</v>
      </c>
      <c r="AD4186" s="4">
        <v>5</v>
      </c>
      <c r="AE4186" s="4">
        <v>21</v>
      </c>
      <c r="AF4186" s="4">
        <v>0</v>
      </c>
      <c r="AG4186" s="4">
        <v>0</v>
      </c>
      <c r="AH4186" s="4">
        <v>5</v>
      </c>
      <c r="AI4186" s="4">
        <v>20</v>
      </c>
      <c r="AJ4186" s="4">
        <v>0</v>
      </c>
      <c r="AK4186" s="4">
        <v>0</v>
      </c>
      <c r="AL4186" s="4">
        <v>2</v>
      </c>
      <c r="AM4186" s="4">
        <v>15</v>
      </c>
      <c r="AN4186" s="4">
        <v>0</v>
      </c>
      <c r="AO4186" s="4">
        <v>0</v>
      </c>
      <c r="AP4186" s="4">
        <v>0</v>
      </c>
      <c r="AQ4186" s="4">
        <v>0</v>
      </c>
      <c r="AR4186" s="3" t="s">
        <v>63</v>
      </c>
      <c r="AS4186" s="3" t="s">
        <v>63</v>
      </c>
      <c r="AT4186" s="3" t="s">
        <v>63</v>
      </c>
      <c r="AV4186" s="6" t="str">
        <f>HYPERLINK("http://mcgill.on.worldcat.org/oclc/910940222","Catalog Record")</f>
        <v>Catalog Record</v>
      </c>
      <c r="AW4186" s="6" t="str">
        <f>HYPERLINK("http://www.worldcat.org/oclc/910940222","WorldCat Record")</f>
        <v>WorldCat Record</v>
      </c>
      <c r="AX4186" s="3" t="s">
        <v>36195</v>
      </c>
      <c r="AY4186" s="3" t="s">
        <v>36196</v>
      </c>
      <c r="AZ4186" s="3" t="s">
        <v>36197</v>
      </c>
      <c r="BA4186" s="3" t="s">
        <v>36197</v>
      </c>
      <c r="BB4186" s="3" t="s">
        <v>36198</v>
      </c>
      <c r="BC4186" s="3" t="s">
        <v>82</v>
      </c>
      <c r="BD4186" s="3" t="s">
        <v>70</v>
      </c>
      <c r="BE4186" s="3" t="s">
        <v>36199</v>
      </c>
      <c r="BF4186" s="3" t="s">
        <v>36198</v>
      </c>
      <c r="BG4186" s="3" t="s">
        <v>36200</v>
      </c>
    </row>
    <row r="4187" spans="1:59" ht="60" x14ac:dyDescent="0.25">
      <c r="A4187" s="2" t="s">
        <v>59</v>
      </c>
      <c r="B4187" s="2" t="s">
        <v>60</v>
      </c>
      <c r="C4187" s="2" t="s">
        <v>36201</v>
      </c>
      <c r="D4187" s="2" t="s">
        <v>36202</v>
      </c>
      <c r="E4187" s="2" t="s">
        <v>36203</v>
      </c>
      <c r="G4187" s="3" t="s">
        <v>63</v>
      </c>
      <c r="I4187" s="3" t="s">
        <v>63</v>
      </c>
      <c r="J4187" s="3" t="s">
        <v>63</v>
      </c>
      <c r="K4187" s="3" t="s">
        <v>64</v>
      </c>
      <c r="L4187" s="2" t="s">
        <v>6090</v>
      </c>
      <c r="M4187" s="2" t="s">
        <v>5116</v>
      </c>
      <c r="N4187" s="3" t="s">
        <v>1226</v>
      </c>
      <c r="P4187" s="3" t="s">
        <v>66</v>
      </c>
      <c r="R4187" s="3" t="s">
        <v>67</v>
      </c>
      <c r="S4187" s="4">
        <v>13</v>
      </c>
      <c r="T4187" s="4">
        <v>13</v>
      </c>
      <c r="U4187" s="5" t="s">
        <v>4192</v>
      </c>
      <c r="V4187" s="5" t="s">
        <v>4192</v>
      </c>
      <c r="W4187" s="5" t="s">
        <v>69</v>
      </c>
      <c r="X4187" s="5" t="s">
        <v>69</v>
      </c>
      <c r="Y4187" s="4">
        <v>334</v>
      </c>
      <c r="Z4187" s="4">
        <v>20</v>
      </c>
      <c r="AA4187" s="4">
        <v>22</v>
      </c>
      <c r="AB4187" s="4">
        <v>1</v>
      </c>
      <c r="AC4187" s="4">
        <v>3</v>
      </c>
      <c r="AD4187" s="4">
        <v>112</v>
      </c>
      <c r="AE4187" s="4">
        <v>114</v>
      </c>
      <c r="AF4187" s="4">
        <v>0</v>
      </c>
      <c r="AG4187" s="4">
        <v>2</v>
      </c>
      <c r="AH4187" s="4">
        <v>101</v>
      </c>
      <c r="AI4187" s="4">
        <v>102</v>
      </c>
      <c r="AJ4187" s="4">
        <v>16</v>
      </c>
      <c r="AK4187" s="4">
        <v>18</v>
      </c>
      <c r="AL4187" s="4">
        <v>57</v>
      </c>
      <c r="AM4187" s="4">
        <v>57</v>
      </c>
      <c r="AN4187" s="4">
        <v>0</v>
      </c>
      <c r="AO4187" s="4">
        <v>0</v>
      </c>
      <c r="AP4187" s="4">
        <v>16</v>
      </c>
      <c r="AQ4187" s="4">
        <v>17</v>
      </c>
      <c r="AR4187" s="3" t="s">
        <v>63</v>
      </c>
      <c r="AS4187" s="3" t="s">
        <v>63</v>
      </c>
      <c r="AT4187" s="3" t="s">
        <v>62</v>
      </c>
      <c r="AU4187" s="6" t="str">
        <f>HYPERLINK("http://catalog.hathitrust.org/Record/004338402","HathiTrust Record")</f>
        <v>HathiTrust Record</v>
      </c>
      <c r="AV4187" s="6" t="str">
        <f>HYPERLINK("http://mcgill.on.worldcat.org/oclc/51003975","Catalog Record")</f>
        <v>Catalog Record</v>
      </c>
      <c r="AW4187" s="6" t="str">
        <f>HYPERLINK("http://www.worldcat.org/oclc/51003975","WorldCat Record")</f>
        <v>WorldCat Record</v>
      </c>
      <c r="AX4187" s="3" t="s">
        <v>36204</v>
      </c>
      <c r="AY4187" s="3" t="s">
        <v>36205</v>
      </c>
      <c r="AZ4187" s="3" t="s">
        <v>36206</v>
      </c>
      <c r="BA4187" s="3" t="s">
        <v>36206</v>
      </c>
      <c r="BB4187" s="3" t="s">
        <v>36207</v>
      </c>
      <c r="BC4187" s="3" t="s">
        <v>82</v>
      </c>
      <c r="BD4187" s="3" t="s">
        <v>70</v>
      </c>
      <c r="BE4187" s="3" t="s">
        <v>36208</v>
      </c>
      <c r="BF4187" s="3" t="s">
        <v>36207</v>
      </c>
      <c r="BG4187" s="3" t="s">
        <v>36209</v>
      </c>
    </row>
    <row r="4188" spans="1:59" ht="60" x14ac:dyDescent="0.25">
      <c r="A4188" s="2" t="s">
        <v>59</v>
      </c>
      <c r="B4188" s="2" t="s">
        <v>60</v>
      </c>
      <c r="C4188" s="2" t="s">
        <v>36210</v>
      </c>
      <c r="D4188" s="2" t="s">
        <v>36211</v>
      </c>
      <c r="E4188" s="2" t="s">
        <v>36212</v>
      </c>
      <c r="G4188" s="3" t="s">
        <v>63</v>
      </c>
      <c r="I4188" s="3" t="s">
        <v>63</v>
      </c>
      <c r="J4188" s="3" t="s">
        <v>63</v>
      </c>
      <c r="K4188" s="3" t="s">
        <v>64</v>
      </c>
      <c r="L4188" s="2" t="s">
        <v>36213</v>
      </c>
      <c r="M4188" s="2" t="s">
        <v>34577</v>
      </c>
      <c r="N4188" s="3" t="s">
        <v>143</v>
      </c>
      <c r="P4188" s="3" t="s">
        <v>90</v>
      </c>
      <c r="R4188" s="3" t="s">
        <v>67</v>
      </c>
      <c r="S4188" s="4">
        <v>0</v>
      </c>
      <c r="T4188" s="4">
        <v>0</v>
      </c>
      <c r="W4188" s="5" t="s">
        <v>69</v>
      </c>
      <c r="X4188" s="5" t="s">
        <v>69</v>
      </c>
      <c r="Y4188" s="4">
        <v>14</v>
      </c>
      <c r="Z4188" s="4">
        <v>1</v>
      </c>
      <c r="AA4188" s="4">
        <v>1</v>
      </c>
      <c r="AB4188" s="4">
        <v>1</v>
      </c>
      <c r="AC4188" s="4">
        <v>1</v>
      </c>
      <c r="AD4188" s="4">
        <v>10</v>
      </c>
      <c r="AE4188" s="4">
        <v>10</v>
      </c>
      <c r="AF4188" s="4">
        <v>0</v>
      </c>
      <c r="AG4188" s="4">
        <v>0</v>
      </c>
      <c r="AH4188" s="4">
        <v>9</v>
      </c>
      <c r="AI4188" s="4">
        <v>9</v>
      </c>
      <c r="AJ4188" s="4">
        <v>0</v>
      </c>
      <c r="AK4188" s="4">
        <v>0</v>
      </c>
      <c r="AL4188" s="4">
        <v>7</v>
      </c>
      <c r="AM4188" s="4">
        <v>7</v>
      </c>
      <c r="AN4188" s="4">
        <v>0</v>
      </c>
      <c r="AO4188" s="4">
        <v>0</v>
      </c>
      <c r="AP4188" s="4">
        <v>0</v>
      </c>
      <c r="AQ4188" s="4">
        <v>0</v>
      </c>
      <c r="AR4188" s="3" t="s">
        <v>63</v>
      </c>
      <c r="AS4188" s="3" t="s">
        <v>63</v>
      </c>
      <c r="AT4188" s="3" t="s">
        <v>63</v>
      </c>
      <c r="AV4188" s="6" t="str">
        <f>HYPERLINK("http://mcgill.on.worldcat.org/oclc/904904655","Catalog Record")</f>
        <v>Catalog Record</v>
      </c>
      <c r="AW4188" s="6" t="str">
        <f>HYPERLINK("http://www.worldcat.org/oclc/904904655","WorldCat Record")</f>
        <v>WorldCat Record</v>
      </c>
      <c r="AX4188" s="3" t="s">
        <v>36214</v>
      </c>
      <c r="AY4188" s="3" t="s">
        <v>36215</v>
      </c>
      <c r="AZ4188" s="3" t="s">
        <v>36216</v>
      </c>
      <c r="BA4188" s="3" t="s">
        <v>36216</v>
      </c>
      <c r="BB4188" s="3" t="s">
        <v>36217</v>
      </c>
      <c r="BC4188" s="3" t="s">
        <v>82</v>
      </c>
      <c r="BD4188" s="3" t="s">
        <v>70</v>
      </c>
      <c r="BE4188" s="3" t="s">
        <v>36218</v>
      </c>
      <c r="BF4188" s="3" t="s">
        <v>36217</v>
      </c>
      <c r="BG4188" s="3" t="s">
        <v>36219</v>
      </c>
    </row>
    <row r="4189" spans="1:59" ht="60" x14ac:dyDescent="0.25">
      <c r="A4189" s="2" t="s">
        <v>59</v>
      </c>
      <c r="B4189" s="2" t="s">
        <v>60</v>
      </c>
      <c r="C4189" s="2" t="s">
        <v>36220</v>
      </c>
      <c r="D4189" s="2" t="s">
        <v>36221</v>
      </c>
      <c r="E4189" s="2" t="s">
        <v>36222</v>
      </c>
      <c r="G4189" s="3" t="s">
        <v>63</v>
      </c>
      <c r="I4189" s="3" t="s">
        <v>63</v>
      </c>
      <c r="J4189" s="3" t="s">
        <v>63</v>
      </c>
      <c r="K4189" s="3" t="s">
        <v>64</v>
      </c>
      <c r="M4189" s="2" t="s">
        <v>36223</v>
      </c>
      <c r="N4189" s="3" t="s">
        <v>190</v>
      </c>
      <c r="P4189" s="3" t="s">
        <v>548</v>
      </c>
      <c r="Q4189" s="2" t="s">
        <v>36224</v>
      </c>
      <c r="R4189" s="3" t="s">
        <v>67</v>
      </c>
      <c r="S4189" s="4">
        <v>4</v>
      </c>
      <c r="T4189" s="4">
        <v>4</v>
      </c>
      <c r="U4189" s="5" t="s">
        <v>33127</v>
      </c>
      <c r="V4189" s="5" t="s">
        <v>33127</v>
      </c>
      <c r="W4189" s="5" t="s">
        <v>69</v>
      </c>
      <c r="X4189" s="5" t="s">
        <v>69</v>
      </c>
      <c r="Y4189" s="4">
        <v>89</v>
      </c>
      <c r="Z4189" s="4">
        <v>17</v>
      </c>
      <c r="AA4189" s="4">
        <v>22</v>
      </c>
      <c r="AB4189" s="4">
        <v>1</v>
      </c>
      <c r="AC4189" s="4">
        <v>3</v>
      </c>
      <c r="AD4189" s="4">
        <v>63</v>
      </c>
      <c r="AE4189" s="4">
        <v>68</v>
      </c>
      <c r="AF4189" s="4">
        <v>0</v>
      </c>
      <c r="AG4189" s="4">
        <v>2</v>
      </c>
      <c r="AH4189" s="4">
        <v>56</v>
      </c>
      <c r="AI4189" s="4">
        <v>59</v>
      </c>
      <c r="AJ4189" s="4">
        <v>13</v>
      </c>
      <c r="AK4189" s="4">
        <v>18</v>
      </c>
      <c r="AL4189" s="4">
        <v>36</v>
      </c>
      <c r="AM4189" s="4">
        <v>36</v>
      </c>
      <c r="AN4189" s="4">
        <v>0</v>
      </c>
      <c r="AO4189" s="4">
        <v>0</v>
      </c>
      <c r="AP4189" s="4">
        <v>14</v>
      </c>
      <c r="AQ4189" s="4">
        <v>17</v>
      </c>
      <c r="AR4189" s="3" t="s">
        <v>62</v>
      </c>
      <c r="AS4189" s="3" t="s">
        <v>63</v>
      </c>
      <c r="AT4189" s="3" t="s">
        <v>62</v>
      </c>
      <c r="AU4189" s="6" t="str">
        <f>HYPERLINK("http://catalog.hathitrust.org/Record/005236328","HathiTrust Record")</f>
        <v>HathiTrust Record</v>
      </c>
      <c r="AV4189" s="6" t="str">
        <f>HYPERLINK("http://mcgill.on.worldcat.org/oclc/62786212","Catalog Record")</f>
        <v>Catalog Record</v>
      </c>
      <c r="AW4189" s="6" t="str">
        <f>HYPERLINK("http://www.worldcat.org/oclc/62786212","WorldCat Record")</f>
        <v>WorldCat Record</v>
      </c>
      <c r="AX4189" s="3" t="s">
        <v>36225</v>
      </c>
      <c r="AY4189" s="3" t="s">
        <v>36226</v>
      </c>
      <c r="AZ4189" s="3" t="s">
        <v>36227</v>
      </c>
      <c r="BA4189" s="3" t="s">
        <v>36227</v>
      </c>
      <c r="BB4189" s="3" t="s">
        <v>36228</v>
      </c>
      <c r="BC4189" s="3" t="s">
        <v>82</v>
      </c>
      <c r="BD4189" s="3" t="s">
        <v>538</v>
      </c>
      <c r="BE4189" s="3" t="s">
        <v>36229</v>
      </c>
      <c r="BF4189" s="3" t="s">
        <v>36228</v>
      </c>
      <c r="BG4189" s="3" t="s">
        <v>36230</v>
      </c>
    </row>
    <row r="4190" spans="1:59" ht="75" x14ac:dyDescent="0.25">
      <c r="A4190" s="2" t="s">
        <v>59</v>
      </c>
      <c r="B4190" s="2" t="s">
        <v>60</v>
      </c>
      <c r="C4190" s="2" t="s">
        <v>36231</v>
      </c>
      <c r="D4190" s="2" t="s">
        <v>36232</v>
      </c>
      <c r="E4190" s="2" t="s">
        <v>36233</v>
      </c>
      <c r="G4190" s="3" t="s">
        <v>63</v>
      </c>
      <c r="I4190" s="3" t="s">
        <v>63</v>
      </c>
      <c r="J4190" s="3" t="s">
        <v>63</v>
      </c>
      <c r="K4190" s="3" t="s">
        <v>64</v>
      </c>
      <c r="L4190" s="2" t="s">
        <v>36234</v>
      </c>
      <c r="M4190" s="2" t="s">
        <v>9557</v>
      </c>
      <c r="N4190" s="3" t="s">
        <v>1557</v>
      </c>
      <c r="P4190" s="3" t="s">
        <v>90</v>
      </c>
      <c r="Q4190" s="2" t="s">
        <v>36235</v>
      </c>
      <c r="R4190" s="3" t="s">
        <v>67</v>
      </c>
      <c r="S4190" s="4">
        <v>1</v>
      </c>
      <c r="T4190" s="4">
        <v>1</v>
      </c>
      <c r="U4190" s="5" t="s">
        <v>15943</v>
      </c>
      <c r="V4190" s="5" t="s">
        <v>15943</v>
      </c>
      <c r="W4190" s="5" t="s">
        <v>69</v>
      </c>
      <c r="X4190" s="5" t="s">
        <v>69</v>
      </c>
      <c r="Y4190" s="4">
        <v>59</v>
      </c>
      <c r="Z4190" s="4">
        <v>4</v>
      </c>
      <c r="AA4190" s="4">
        <v>4</v>
      </c>
      <c r="AB4190" s="4">
        <v>1</v>
      </c>
      <c r="AC4190" s="4">
        <v>1</v>
      </c>
      <c r="AD4190" s="4">
        <v>32</v>
      </c>
      <c r="AE4190" s="4">
        <v>32</v>
      </c>
      <c r="AF4190" s="4">
        <v>0</v>
      </c>
      <c r="AG4190" s="4">
        <v>0</v>
      </c>
      <c r="AH4190" s="4">
        <v>32</v>
      </c>
      <c r="AI4190" s="4">
        <v>32</v>
      </c>
      <c r="AJ4190" s="4">
        <v>1</v>
      </c>
      <c r="AK4190" s="4">
        <v>1</v>
      </c>
      <c r="AL4190" s="4">
        <v>26</v>
      </c>
      <c r="AM4190" s="4">
        <v>26</v>
      </c>
      <c r="AN4190" s="4">
        <v>0</v>
      </c>
      <c r="AO4190" s="4">
        <v>0</v>
      </c>
      <c r="AP4190" s="4">
        <v>1</v>
      </c>
      <c r="AQ4190" s="4">
        <v>1</v>
      </c>
      <c r="AR4190" s="3" t="s">
        <v>63</v>
      </c>
      <c r="AS4190" s="3" t="s">
        <v>63</v>
      </c>
      <c r="AT4190" s="3" t="s">
        <v>63</v>
      </c>
      <c r="AV4190" s="6" t="str">
        <f>HYPERLINK("http://mcgill.on.worldcat.org/oclc/987448654","Catalog Record")</f>
        <v>Catalog Record</v>
      </c>
      <c r="AW4190" s="6" t="str">
        <f>HYPERLINK("http://www.worldcat.org/oclc/987448654","WorldCat Record")</f>
        <v>WorldCat Record</v>
      </c>
      <c r="AX4190" s="3" t="s">
        <v>36236</v>
      </c>
      <c r="AY4190" s="3" t="s">
        <v>36237</v>
      </c>
      <c r="AZ4190" s="3" t="s">
        <v>36238</v>
      </c>
      <c r="BA4190" s="3" t="s">
        <v>36238</v>
      </c>
      <c r="BB4190" s="3" t="s">
        <v>36239</v>
      </c>
      <c r="BC4190" s="3" t="s">
        <v>82</v>
      </c>
      <c r="BD4190" s="3" t="s">
        <v>70</v>
      </c>
      <c r="BE4190" s="3" t="s">
        <v>36240</v>
      </c>
      <c r="BF4190" s="3" t="s">
        <v>36239</v>
      </c>
      <c r="BG4190" s="3" t="s">
        <v>36241</v>
      </c>
    </row>
    <row r="4191" spans="1:59" ht="60" x14ac:dyDescent="0.25">
      <c r="A4191" s="2" t="s">
        <v>59</v>
      </c>
      <c r="B4191" s="2" t="s">
        <v>60</v>
      </c>
      <c r="C4191" s="2" t="s">
        <v>36242</v>
      </c>
      <c r="D4191" s="2" t="s">
        <v>36243</v>
      </c>
      <c r="E4191" s="2" t="s">
        <v>36244</v>
      </c>
      <c r="G4191" s="3" t="s">
        <v>63</v>
      </c>
      <c r="I4191" s="3" t="s">
        <v>63</v>
      </c>
      <c r="J4191" s="3" t="s">
        <v>63</v>
      </c>
      <c r="K4191" s="3" t="s">
        <v>64</v>
      </c>
      <c r="L4191" s="2" t="s">
        <v>36245</v>
      </c>
      <c r="M4191" s="2" t="s">
        <v>36246</v>
      </c>
      <c r="N4191" s="3" t="s">
        <v>130</v>
      </c>
      <c r="P4191" s="3" t="s">
        <v>90</v>
      </c>
      <c r="Q4191" s="2" t="s">
        <v>36247</v>
      </c>
      <c r="R4191" s="3" t="s">
        <v>67</v>
      </c>
      <c r="S4191" s="4">
        <v>0</v>
      </c>
      <c r="T4191" s="4">
        <v>0</v>
      </c>
      <c r="W4191" s="5" t="s">
        <v>69</v>
      </c>
      <c r="X4191" s="5" t="s">
        <v>69</v>
      </c>
      <c r="Y4191" s="4">
        <v>7</v>
      </c>
      <c r="Z4191" s="4">
        <v>4</v>
      </c>
      <c r="AA4191" s="4">
        <v>4</v>
      </c>
      <c r="AB4191" s="4">
        <v>1</v>
      </c>
      <c r="AC4191" s="4">
        <v>1</v>
      </c>
      <c r="AD4191" s="4">
        <v>4</v>
      </c>
      <c r="AE4191" s="4">
        <v>4</v>
      </c>
      <c r="AF4191" s="4">
        <v>0</v>
      </c>
      <c r="AG4191" s="4">
        <v>0</v>
      </c>
      <c r="AH4191" s="4">
        <v>4</v>
      </c>
      <c r="AI4191" s="4">
        <v>4</v>
      </c>
      <c r="AJ4191" s="4">
        <v>2</v>
      </c>
      <c r="AK4191" s="4">
        <v>2</v>
      </c>
      <c r="AL4191" s="4">
        <v>3</v>
      </c>
      <c r="AM4191" s="4">
        <v>3</v>
      </c>
      <c r="AN4191" s="4">
        <v>0</v>
      </c>
      <c r="AO4191" s="4">
        <v>0</v>
      </c>
      <c r="AP4191" s="4">
        <v>2</v>
      </c>
      <c r="AQ4191" s="4">
        <v>2</v>
      </c>
      <c r="AR4191" s="3" t="s">
        <v>63</v>
      </c>
      <c r="AS4191" s="3" t="s">
        <v>63</v>
      </c>
      <c r="AT4191" s="3" t="s">
        <v>63</v>
      </c>
      <c r="AV4191" s="6" t="str">
        <f>HYPERLINK("http://mcgill.on.worldcat.org/oclc/869722110","Catalog Record")</f>
        <v>Catalog Record</v>
      </c>
      <c r="AW4191" s="6" t="str">
        <f>HYPERLINK("http://www.worldcat.org/oclc/869722110","WorldCat Record")</f>
        <v>WorldCat Record</v>
      </c>
      <c r="AX4191" s="3" t="s">
        <v>36248</v>
      </c>
      <c r="AY4191" s="3" t="s">
        <v>36249</v>
      </c>
      <c r="AZ4191" s="3" t="s">
        <v>36250</v>
      </c>
      <c r="BA4191" s="3" t="s">
        <v>36250</v>
      </c>
      <c r="BB4191" s="3" t="s">
        <v>36251</v>
      </c>
      <c r="BC4191" s="3" t="s">
        <v>82</v>
      </c>
      <c r="BD4191" s="3" t="s">
        <v>70</v>
      </c>
      <c r="BE4191" s="3" t="s">
        <v>36252</v>
      </c>
      <c r="BF4191" s="3" t="s">
        <v>36251</v>
      </c>
      <c r="BG4191" s="3" t="s">
        <v>36253</v>
      </c>
    </row>
    <row r="4192" spans="1:59" ht="60" x14ac:dyDescent="0.25">
      <c r="A4192" s="2" t="s">
        <v>59</v>
      </c>
      <c r="B4192" s="2" t="s">
        <v>60</v>
      </c>
      <c r="C4192" s="2" t="s">
        <v>36254</v>
      </c>
      <c r="D4192" s="2" t="s">
        <v>36255</v>
      </c>
      <c r="E4192" s="2" t="s">
        <v>36256</v>
      </c>
      <c r="G4192" s="3" t="s">
        <v>63</v>
      </c>
      <c r="I4192" s="3" t="s">
        <v>63</v>
      </c>
      <c r="J4192" s="3" t="s">
        <v>63</v>
      </c>
      <c r="K4192" s="3" t="s">
        <v>64</v>
      </c>
      <c r="L4192" s="2" t="s">
        <v>36257</v>
      </c>
      <c r="M4192" s="2" t="s">
        <v>36258</v>
      </c>
      <c r="N4192" s="3" t="s">
        <v>629</v>
      </c>
      <c r="P4192" s="3" t="s">
        <v>90</v>
      </c>
      <c r="Q4192" s="2" t="s">
        <v>29326</v>
      </c>
      <c r="R4192" s="3" t="s">
        <v>67</v>
      </c>
      <c r="S4192" s="4">
        <v>0</v>
      </c>
      <c r="T4192" s="4">
        <v>0</v>
      </c>
      <c r="W4192" s="5" t="s">
        <v>69</v>
      </c>
      <c r="X4192" s="5" t="s">
        <v>69</v>
      </c>
      <c r="Y4192" s="4">
        <v>33</v>
      </c>
      <c r="Z4192" s="4">
        <v>2</v>
      </c>
      <c r="AA4192" s="4">
        <v>2</v>
      </c>
      <c r="AB4192" s="4">
        <v>1</v>
      </c>
      <c r="AC4192" s="4">
        <v>1</v>
      </c>
      <c r="AD4192" s="4">
        <v>26</v>
      </c>
      <c r="AE4192" s="4">
        <v>31</v>
      </c>
      <c r="AF4192" s="4">
        <v>0</v>
      </c>
      <c r="AG4192" s="4">
        <v>0</v>
      </c>
      <c r="AH4192" s="4">
        <v>25</v>
      </c>
      <c r="AI4192" s="4">
        <v>30</v>
      </c>
      <c r="AJ4192" s="4">
        <v>1</v>
      </c>
      <c r="AK4192" s="4">
        <v>1</v>
      </c>
      <c r="AL4192" s="4">
        <v>21</v>
      </c>
      <c r="AM4192" s="4">
        <v>23</v>
      </c>
      <c r="AN4192" s="4">
        <v>0</v>
      </c>
      <c r="AO4192" s="4">
        <v>0</v>
      </c>
      <c r="AP4192" s="4">
        <v>1</v>
      </c>
      <c r="AQ4192" s="4">
        <v>1</v>
      </c>
      <c r="AR4192" s="3" t="s">
        <v>63</v>
      </c>
      <c r="AS4192" s="3" t="s">
        <v>63</v>
      </c>
      <c r="AT4192" s="3" t="s">
        <v>63</v>
      </c>
      <c r="AV4192" s="6" t="str">
        <f>HYPERLINK("http://mcgill.on.worldcat.org/oclc/719860380","Catalog Record")</f>
        <v>Catalog Record</v>
      </c>
      <c r="AW4192" s="6" t="str">
        <f>HYPERLINK("http://www.worldcat.org/oclc/719860380","WorldCat Record")</f>
        <v>WorldCat Record</v>
      </c>
      <c r="AX4192" s="3" t="s">
        <v>36259</v>
      </c>
      <c r="AY4192" s="3" t="s">
        <v>36260</v>
      </c>
      <c r="AZ4192" s="3" t="s">
        <v>36261</v>
      </c>
      <c r="BA4192" s="3" t="s">
        <v>36261</v>
      </c>
      <c r="BB4192" s="3" t="s">
        <v>36262</v>
      </c>
      <c r="BC4192" s="3" t="s">
        <v>82</v>
      </c>
      <c r="BD4192" s="3" t="s">
        <v>70</v>
      </c>
      <c r="BE4192" s="3" t="s">
        <v>36263</v>
      </c>
      <c r="BF4192" s="3" t="s">
        <v>36262</v>
      </c>
      <c r="BG4192" s="3" t="s">
        <v>36264</v>
      </c>
    </row>
    <row r="4193" spans="1:59" ht="60" x14ac:dyDescent="0.25">
      <c r="A4193" s="2" t="s">
        <v>59</v>
      </c>
      <c r="B4193" s="2" t="s">
        <v>60</v>
      </c>
      <c r="C4193" s="2" t="s">
        <v>36265</v>
      </c>
      <c r="D4193" s="2" t="s">
        <v>36266</v>
      </c>
      <c r="E4193" s="2" t="s">
        <v>36267</v>
      </c>
      <c r="G4193" s="3" t="s">
        <v>63</v>
      </c>
      <c r="I4193" s="3" t="s">
        <v>63</v>
      </c>
      <c r="J4193" s="3" t="s">
        <v>63</v>
      </c>
      <c r="K4193" s="3" t="s">
        <v>64</v>
      </c>
      <c r="L4193" s="2" t="s">
        <v>36268</v>
      </c>
      <c r="M4193" s="2" t="s">
        <v>36269</v>
      </c>
      <c r="N4193" s="3" t="s">
        <v>681</v>
      </c>
      <c r="P4193" s="3" t="s">
        <v>90</v>
      </c>
      <c r="R4193" s="3" t="s">
        <v>67</v>
      </c>
      <c r="S4193" s="4">
        <v>10</v>
      </c>
      <c r="T4193" s="4">
        <v>10</v>
      </c>
      <c r="U4193" s="5" t="s">
        <v>15943</v>
      </c>
      <c r="V4193" s="5" t="s">
        <v>15943</v>
      </c>
      <c r="W4193" s="5" t="s">
        <v>69</v>
      </c>
      <c r="X4193" s="5" t="s">
        <v>69</v>
      </c>
      <c r="Y4193" s="4">
        <v>27</v>
      </c>
      <c r="Z4193" s="4">
        <v>5</v>
      </c>
      <c r="AA4193" s="4">
        <v>7</v>
      </c>
      <c r="AB4193" s="4">
        <v>1</v>
      </c>
      <c r="AC4193" s="4">
        <v>1</v>
      </c>
      <c r="AD4193" s="4">
        <v>20</v>
      </c>
      <c r="AE4193" s="4">
        <v>36</v>
      </c>
      <c r="AF4193" s="4">
        <v>0</v>
      </c>
      <c r="AG4193" s="4">
        <v>0</v>
      </c>
      <c r="AH4193" s="4">
        <v>19</v>
      </c>
      <c r="AI4193" s="4">
        <v>34</v>
      </c>
      <c r="AJ4193" s="4">
        <v>3</v>
      </c>
      <c r="AK4193" s="4">
        <v>4</v>
      </c>
      <c r="AL4193" s="4">
        <v>14</v>
      </c>
      <c r="AM4193" s="4">
        <v>25</v>
      </c>
      <c r="AN4193" s="4">
        <v>0</v>
      </c>
      <c r="AO4193" s="4">
        <v>0</v>
      </c>
      <c r="AP4193" s="4">
        <v>3</v>
      </c>
      <c r="AQ4193" s="4">
        <v>4</v>
      </c>
      <c r="AR4193" s="3" t="s">
        <v>63</v>
      </c>
      <c r="AS4193" s="3" t="s">
        <v>63</v>
      </c>
      <c r="AT4193" s="3" t="s">
        <v>63</v>
      </c>
      <c r="AU4193" s="6" t="str">
        <f>HYPERLINK("http://catalog.hathitrust.org/Record/001727106","HathiTrust Record")</f>
        <v>HathiTrust Record</v>
      </c>
      <c r="AV4193" s="6" t="str">
        <f>HYPERLINK("http://mcgill.on.worldcat.org/oclc/7257370","Catalog Record")</f>
        <v>Catalog Record</v>
      </c>
      <c r="AW4193" s="6" t="str">
        <f>HYPERLINK("http://www.worldcat.org/oclc/7257370","WorldCat Record")</f>
        <v>WorldCat Record</v>
      </c>
      <c r="AX4193" s="3" t="s">
        <v>36270</v>
      </c>
      <c r="AY4193" s="3" t="s">
        <v>36271</v>
      </c>
      <c r="AZ4193" s="3" t="s">
        <v>36272</v>
      </c>
      <c r="BA4193" s="3" t="s">
        <v>36272</v>
      </c>
      <c r="BB4193" s="3" t="s">
        <v>36273</v>
      </c>
      <c r="BC4193" s="3" t="s">
        <v>82</v>
      </c>
      <c r="BD4193" s="3" t="s">
        <v>70</v>
      </c>
      <c r="BF4193" s="3" t="s">
        <v>36273</v>
      </c>
      <c r="BG4193" s="3" t="s">
        <v>36274</v>
      </c>
    </row>
    <row r="4194" spans="1:59" ht="60" x14ac:dyDescent="0.25">
      <c r="A4194" s="2" t="s">
        <v>59</v>
      </c>
      <c r="B4194" s="2" t="s">
        <v>60</v>
      </c>
      <c r="C4194" s="2" t="s">
        <v>36275</v>
      </c>
      <c r="D4194" s="2" t="s">
        <v>36276</v>
      </c>
      <c r="E4194" s="2" t="s">
        <v>36277</v>
      </c>
      <c r="G4194" s="3" t="s">
        <v>63</v>
      </c>
      <c r="I4194" s="3" t="s">
        <v>63</v>
      </c>
      <c r="J4194" s="3" t="s">
        <v>63</v>
      </c>
      <c r="K4194" s="3" t="s">
        <v>64</v>
      </c>
      <c r="L4194" s="2" t="s">
        <v>29934</v>
      </c>
      <c r="M4194" s="2" t="s">
        <v>36278</v>
      </c>
      <c r="N4194" s="3" t="s">
        <v>313</v>
      </c>
      <c r="P4194" s="3" t="s">
        <v>90</v>
      </c>
      <c r="R4194" s="3" t="s">
        <v>67</v>
      </c>
      <c r="S4194" s="4">
        <v>0</v>
      </c>
      <c r="T4194" s="4">
        <v>0</v>
      </c>
      <c r="W4194" s="5" t="s">
        <v>69</v>
      </c>
      <c r="X4194" s="5" t="s">
        <v>69</v>
      </c>
      <c r="Y4194" s="4">
        <v>60</v>
      </c>
      <c r="Z4194" s="4">
        <v>4</v>
      </c>
      <c r="AA4194" s="4">
        <v>4</v>
      </c>
      <c r="AB4194" s="4">
        <v>1</v>
      </c>
      <c r="AC4194" s="4">
        <v>1</v>
      </c>
      <c r="AD4194" s="4">
        <v>40</v>
      </c>
      <c r="AE4194" s="4">
        <v>40</v>
      </c>
      <c r="AF4194" s="4">
        <v>0</v>
      </c>
      <c r="AG4194" s="4">
        <v>0</v>
      </c>
      <c r="AH4194" s="4">
        <v>39</v>
      </c>
      <c r="AI4194" s="4">
        <v>39</v>
      </c>
      <c r="AJ4194" s="4">
        <v>2</v>
      </c>
      <c r="AK4194" s="4">
        <v>2</v>
      </c>
      <c r="AL4194" s="4">
        <v>29</v>
      </c>
      <c r="AM4194" s="4">
        <v>29</v>
      </c>
      <c r="AN4194" s="4">
        <v>0</v>
      </c>
      <c r="AO4194" s="4">
        <v>0</v>
      </c>
      <c r="AP4194" s="4">
        <v>2</v>
      </c>
      <c r="AQ4194" s="4">
        <v>2</v>
      </c>
      <c r="AR4194" s="3" t="s">
        <v>63</v>
      </c>
      <c r="AS4194" s="3" t="s">
        <v>63</v>
      </c>
      <c r="AT4194" s="3" t="s">
        <v>63</v>
      </c>
      <c r="AV4194" s="6" t="str">
        <f>HYPERLINK("http://mcgill.on.worldcat.org/oclc/671508768","Catalog Record")</f>
        <v>Catalog Record</v>
      </c>
      <c r="AW4194" s="6" t="str">
        <f>HYPERLINK("http://www.worldcat.org/oclc/671508768","WorldCat Record")</f>
        <v>WorldCat Record</v>
      </c>
      <c r="AX4194" s="3" t="s">
        <v>36279</v>
      </c>
      <c r="AY4194" s="3" t="s">
        <v>36280</v>
      </c>
      <c r="AZ4194" s="3" t="s">
        <v>36281</v>
      </c>
      <c r="BA4194" s="3" t="s">
        <v>36281</v>
      </c>
      <c r="BB4194" s="3" t="s">
        <v>36282</v>
      </c>
      <c r="BC4194" s="3" t="s">
        <v>82</v>
      </c>
      <c r="BD4194" s="3" t="s">
        <v>70</v>
      </c>
      <c r="BE4194" s="3" t="s">
        <v>36283</v>
      </c>
      <c r="BF4194" s="3" t="s">
        <v>36282</v>
      </c>
      <c r="BG4194" s="3" t="s">
        <v>36284</v>
      </c>
    </row>
    <row r="4195" spans="1:59" ht="75" x14ac:dyDescent="0.25">
      <c r="A4195" s="2" t="s">
        <v>59</v>
      </c>
      <c r="B4195" s="2" t="s">
        <v>60</v>
      </c>
      <c r="C4195" s="2" t="s">
        <v>36285</v>
      </c>
      <c r="D4195" s="2" t="s">
        <v>36286</v>
      </c>
      <c r="E4195" s="2" t="s">
        <v>36287</v>
      </c>
      <c r="G4195" s="3" t="s">
        <v>63</v>
      </c>
      <c r="I4195" s="3" t="s">
        <v>63</v>
      </c>
      <c r="J4195" s="3" t="s">
        <v>63</v>
      </c>
      <c r="K4195" s="3" t="s">
        <v>64</v>
      </c>
      <c r="L4195" s="2" t="s">
        <v>36288</v>
      </c>
      <c r="M4195" s="2" t="s">
        <v>9716</v>
      </c>
      <c r="N4195" s="3" t="s">
        <v>143</v>
      </c>
      <c r="P4195" s="3" t="s">
        <v>90</v>
      </c>
      <c r="Q4195" s="2" t="s">
        <v>30181</v>
      </c>
      <c r="R4195" s="3" t="s">
        <v>67</v>
      </c>
      <c r="S4195" s="4">
        <v>1</v>
      </c>
      <c r="T4195" s="4">
        <v>1</v>
      </c>
      <c r="U4195" s="5" t="s">
        <v>7107</v>
      </c>
      <c r="V4195" s="5" t="s">
        <v>7107</v>
      </c>
      <c r="W4195" s="5" t="s">
        <v>69</v>
      </c>
      <c r="X4195" s="5" t="s">
        <v>69</v>
      </c>
      <c r="Y4195" s="4">
        <v>56</v>
      </c>
      <c r="Z4195" s="4">
        <v>4</v>
      </c>
      <c r="AA4195" s="4">
        <v>4</v>
      </c>
      <c r="AB4195" s="4">
        <v>1</v>
      </c>
      <c r="AC4195" s="4">
        <v>1</v>
      </c>
      <c r="AD4195" s="4">
        <v>32</v>
      </c>
      <c r="AE4195" s="4">
        <v>32</v>
      </c>
      <c r="AF4195" s="4">
        <v>0</v>
      </c>
      <c r="AG4195" s="4">
        <v>0</v>
      </c>
      <c r="AH4195" s="4">
        <v>31</v>
      </c>
      <c r="AI4195" s="4">
        <v>31</v>
      </c>
      <c r="AJ4195" s="4">
        <v>1</v>
      </c>
      <c r="AK4195" s="4">
        <v>1</v>
      </c>
      <c r="AL4195" s="4">
        <v>26</v>
      </c>
      <c r="AM4195" s="4">
        <v>26</v>
      </c>
      <c r="AN4195" s="4">
        <v>0</v>
      </c>
      <c r="AO4195" s="4">
        <v>0</v>
      </c>
      <c r="AP4195" s="4">
        <v>1</v>
      </c>
      <c r="AQ4195" s="4">
        <v>1</v>
      </c>
      <c r="AR4195" s="3" t="s">
        <v>63</v>
      </c>
      <c r="AS4195" s="3" t="s">
        <v>63</v>
      </c>
      <c r="AT4195" s="3" t="s">
        <v>63</v>
      </c>
      <c r="AV4195" s="6" t="str">
        <f>HYPERLINK("http://mcgill.on.worldcat.org/oclc/877822372","Catalog Record")</f>
        <v>Catalog Record</v>
      </c>
      <c r="AW4195" s="6" t="str">
        <f>HYPERLINK("http://www.worldcat.org/oclc/877822372","WorldCat Record")</f>
        <v>WorldCat Record</v>
      </c>
      <c r="AX4195" s="3" t="s">
        <v>36289</v>
      </c>
      <c r="AY4195" s="3" t="s">
        <v>36290</v>
      </c>
      <c r="AZ4195" s="3" t="s">
        <v>36291</v>
      </c>
      <c r="BA4195" s="3" t="s">
        <v>36291</v>
      </c>
      <c r="BB4195" s="3" t="s">
        <v>36292</v>
      </c>
      <c r="BC4195" s="3" t="s">
        <v>82</v>
      </c>
      <c r="BD4195" s="3" t="s">
        <v>70</v>
      </c>
      <c r="BE4195" s="3" t="s">
        <v>36293</v>
      </c>
      <c r="BF4195" s="3" t="s">
        <v>36292</v>
      </c>
      <c r="BG4195" s="3" t="s">
        <v>36294</v>
      </c>
    </row>
    <row r="4196" spans="1:59" ht="60" x14ac:dyDescent="0.25">
      <c r="A4196" s="2" t="s">
        <v>59</v>
      </c>
      <c r="B4196" s="2" t="s">
        <v>60</v>
      </c>
      <c r="C4196" s="2" t="s">
        <v>36295</v>
      </c>
      <c r="D4196" s="2" t="s">
        <v>36296</v>
      </c>
      <c r="E4196" s="2" t="s">
        <v>36297</v>
      </c>
      <c r="G4196" s="3" t="s">
        <v>63</v>
      </c>
      <c r="I4196" s="3" t="s">
        <v>63</v>
      </c>
      <c r="J4196" s="3" t="s">
        <v>63</v>
      </c>
      <c r="K4196" s="3" t="s">
        <v>64</v>
      </c>
      <c r="L4196" s="2" t="s">
        <v>36298</v>
      </c>
      <c r="M4196" s="2" t="s">
        <v>36299</v>
      </c>
      <c r="N4196" s="3" t="s">
        <v>76</v>
      </c>
      <c r="P4196" s="3" t="s">
        <v>66</v>
      </c>
      <c r="R4196" s="3" t="s">
        <v>67</v>
      </c>
      <c r="S4196" s="4">
        <v>0</v>
      </c>
      <c r="T4196" s="4">
        <v>0</v>
      </c>
      <c r="W4196" s="5" t="s">
        <v>69</v>
      </c>
      <c r="X4196" s="5" t="s">
        <v>69</v>
      </c>
      <c r="Y4196" s="4">
        <v>149</v>
      </c>
      <c r="Z4196" s="4">
        <v>25</v>
      </c>
      <c r="AA4196" s="4">
        <v>100</v>
      </c>
      <c r="AB4196" s="4">
        <v>1</v>
      </c>
      <c r="AC4196" s="4">
        <v>19</v>
      </c>
      <c r="AD4196" s="4">
        <v>75</v>
      </c>
      <c r="AE4196" s="4">
        <v>124</v>
      </c>
      <c r="AF4196" s="4">
        <v>0</v>
      </c>
      <c r="AG4196" s="4">
        <v>8</v>
      </c>
      <c r="AH4196" s="4">
        <v>62</v>
      </c>
      <c r="AI4196" s="4">
        <v>84</v>
      </c>
      <c r="AJ4196" s="4">
        <v>17</v>
      </c>
      <c r="AK4196" s="4">
        <v>25</v>
      </c>
      <c r="AL4196" s="4">
        <v>38</v>
      </c>
      <c r="AM4196" s="4">
        <v>47</v>
      </c>
      <c r="AN4196" s="4">
        <v>0</v>
      </c>
      <c r="AO4196" s="4">
        <v>0</v>
      </c>
      <c r="AP4196" s="4">
        <v>19</v>
      </c>
      <c r="AQ4196" s="4">
        <v>48</v>
      </c>
      <c r="AR4196" s="3" t="s">
        <v>62</v>
      </c>
      <c r="AS4196" s="3" t="s">
        <v>63</v>
      </c>
      <c r="AT4196" s="3" t="s">
        <v>63</v>
      </c>
      <c r="AV4196" s="6" t="str">
        <f>HYPERLINK("http://mcgill.on.worldcat.org/oclc/770617965","Catalog Record")</f>
        <v>Catalog Record</v>
      </c>
      <c r="AW4196" s="6" t="str">
        <f>HYPERLINK("http://www.worldcat.org/oclc/770617965","WorldCat Record")</f>
        <v>WorldCat Record</v>
      </c>
      <c r="AX4196" s="3" t="s">
        <v>36300</v>
      </c>
      <c r="AY4196" s="3" t="s">
        <v>36301</v>
      </c>
      <c r="AZ4196" s="3" t="s">
        <v>36302</v>
      </c>
      <c r="BA4196" s="3" t="s">
        <v>36302</v>
      </c>
      <c r="BB4196" s="3" t="s">
        <v>36303</v>
      </c>
      <c r="BC4196" s="3" t="s">
        <v>82</v>
      </c>
      <c r="BD4196" s="3" t="s">
        <v>70</v>
      </c>
      <c r="BE4196" s="3" t="s">
        <v>36304</v>
      </c>
      <c r="BF4196" s="3" t="s">
        <v>36303</v>
      </c>
      <c r="BG4196" s="3" t="s">
        <v>36305</v>
      </c>
    </row>
    <row r="4197" spans="1:59" ht="60" x14ac:dyDescent="0.25">
      <c r="A4197" s="2" t="s">
        <v>59</v>
      </c>
      <c r="B4197" s="2" t="s">
        <v>60</v>
      </c>
      <c r="C4197" s="2" t="s">
        <v>36306</v>
      </c>
      <c r="D4197" s="2" t="s">
        <v>36307</v>
      </c>
      <c r="E4197" s="2" t="s">
        <v>36308</v>
      </c>
      <c r="G4197" s="3" t="s">
        <v>63</v>
      </c>
      <c r="I4197" s="3" t="s">
        <v>62</v>
      </c>
      <c r="J4197" s="3" t="s">
        <v>63</v>
      </c>
      <c r="K4197" s="3" t="s">
        <v>64</v>
      </c>
      <c r="L4197" s="2" t="s">
        <v>36298</v>
      </c>
      <c r="M4197" s="2" t="s">
        <v>26809</v>
      </c>
      <c r="N4197" s="3" t="s">
        <v>1916</v>
      </c>
      <c r="P4197" s="3" t="s">
        <v>90</v>
      </c>
      <c r="R4197" s="3" t="s">
        <v>67</v>
      </c>
      <c r="S4197" s="4">
        <v>5</v>
      </c>
      <c r="T4197" s="4">
        <v>6</v>
      </c>
      <c r="U4197" s="5" t="s">
        <v>36309</v>
      </c>
      <c r="V4197" s="5" t="s">
        <v>15943</v>
      </c>
      <c r="W4197" s="5" t="s">
        <v>69</v>
      </c>
      <c r="X4197" s="5" t="s">
        <v>69</v>
      </c>
      <c r="Y4197" s="4">
        <v>180</v>
      </c>
      <c r="Z4197" s="4">
        <v>17</v>
      </c>
      <c r="AA4197" s="4">
        <v>18</v>
      </c>
      <c r="AB4197" s="4">
        <v>1</v>
      </c>
      <c r="AC4197" s="4">
        <v>2</v>
      </c>
      <c r="AD4197" s="4">
        <v>86</v>
      </c>
      <c r="AE4197" s="4">
        <v>92</v>
      </c>
      <c r="AF4197" s="4">
        <v>0</v>
      </c>
      <c r="AG4197" s="4">
        <v>1</v>
      </c>
      <c r="AH4197" s="4">
        <v>80</v>
      </c>
      <c r="AI4197" s="4">
        <v>85</v>
      </c>
      <c r="AJ4197" s="4">
        <v>12</v>
      </c>
      <c r="AK4197" s="4">
        <v>13</v>
      </c>
      <c r="AL4197" s="4">
        <v>46</v>
      </c>
      <c r="AM4197" s="4">
        <v>49</v>
      </c>
      <c r="AN4197" s="4">
        <v>0</v>
      </c>
      <c r="AO4197" s="4">
        <v>0</v>
      </c>
      <c r="AP4197" s="4">
        <v>13</v>
      </c>
      <c r="AQ4197" s="4">
        <v>13</v>
      </c>
      <c r="AR4197" s="3" t="s">
        <v>63</v>
      </c>
      <c r="AS4197" s="3" t="s">
        <v>63</v>
      </c>
      <c r="AT4197" s="3" t="s">
        <v>62</v>
      </c>
      <c r="AU4197" s="6" t="str">
        <f>HYPERLINK("http://catalog.hathitrust.org/Record/000373649","HathiTrust Record")</f>
        <v>HathiTrust Record</v>
      </c>
      <c r="AV4197" s="6" t="str">
        <f>HYPERLINK("http://mcgill.on.worldcat.org/oclc/11159328","Catalog Record")</f>
        <v>Catalog Record</v>
      </c>
      <c r="AW4197" s="6" t="str">
        <f>HYPERLINK("http://www.worldcat.org/oclc/11159328","WorldCat Record")</f>
        <v>WorldCat Record</v>
      </c>
      <c r="AX4197" s="3" t="s">
        <v>36310</v>
      </c>
      <c r="AY4197" s="3" t="s">
        <v>36311</v>
      </c>
      <c r="AZ4197" s="3" t="s">
        <v>36312</v>
      </c>
      <c r="BA4197" s="3" t="s">
        <v>36312</v>
      </c>
      <c r="BB4197" s="3" t="s">
        <v>36313</v>
      </c>
      <c r="BC4197" s="3" t="s">
        <v>82</v>
      </c>
      <c r="BD4197" s="3" t="s">
        <v>70</v>
      </c>
      <c r="BE4197" s="3" t="s">
        <v>36314</v>
      </c>
      <c r="BF4197" s="3" t="s">
        <v>36313</v>
      </c>
      <c r="BG4197" s="3" t="s">
        <v>36315</v>
      </c>
    </row>
    <row r="4198" spans="1:59" ht="60" x14ac:dyDescent="0.25">
      <c r="A4198" s="2" t="s">
        <v>59</v>
      </c>
      <c r="B4198" s="2" t="s">
        <v>60</v>
      </c>
      <c r="C4198" s="2" t="s">
        <v>36306</v>
      </c>
      <c r="D4198" s="2" t="s">
        <v>36307</v>
      </c>
      <c r="E4198" s="2" t="s">
        <v>36308</v>
      </c>
      <c r="G4198" s="3" t="s">
        <v>63</v>
      </c>
      <c r="I4198" s="3" t="s">
        <v>62</v>
      </c>
      <c r="J4198" s="3" t="s">
        <v>63</v>
      </c>
      <c r="K4198" s="3" t="s">
        <v>64</v>
      </c>
      <c r="L4198" s="2" t="s">
        <v>36298</v>
      </c>
      <c r="M4198" s="2" t="s">
        <v>26809</v>
      </c>
      <c r="N4198" s="3" t="s">
        <v>1916</v>
      </c>
      <c r="P4198" s="3" t="s">
        <v>90</v>
      </c>
      <c r="R4198" s="3" t="s">
        <v>67</v>
      </c>
      <c r="S4198" s="4">
        <v>1</v>
      </c>
      <c r="T4198" s="4">
        <v>6</v>
      </c>
      <c r="U4198" s="5" t="s">
        <v>15943</v>
      </c>
      <c r="V4198" s="5" t="s">
        <v>15943</v>
      </c>
      <c r="W4198" s="5" t="s">
        <v>69</v>
      </c>
      <c r="X4198" s="5" t="s">
        <v>69</v>
      </c>
      <c r="Y4198" s="4">
        <v>180</v>
      </c>
      <c r="Z4198" s="4">
        <v>17</v>
      </c>
      <c r="AA4198" s="4">
        <v>18</v>
      </c>
      <c r="AB4198" s="4">
        <v>1</v>
      </c>
      <c r="AC4198" s="4">
        <v>2</v>
      </c>
      <c r="AD4198" s="4">
        <v>86</v>
      </c>
      <c r="AE4198" s="4">
        <v>92</v>
      </c>
      <c r="AF4198" s="4">
        <v>0</v>
      </c>
      <c r="AG4198" s="4">
        <v>1</v>
      </c>
      <c r="AH4198" s="4">
        <v>80</v>
      </c>
      <c r="AI4198" s="4">
        <v>85</v>
      </c>
      <c r="AJ4198" s="4">
        <v>12</v>
      </c>
      <c r="AK4198" s="4">
        <v>13</v>
      </c>
      <c r="AL4198" s="4">
        <v>46</v>
      </c>
      <c r="AM4198" s="4">
        <v>49</v>
      </c>
      <c r="AN4198" s="4">
        <v>0</v>
      </c>
      <c r="AO4198" s="4">
        <v>0</v>
      </c>
      <c r="AP4198" s="4">
        <v>13</v>
      </c>
      <c r="AQ4198" s="4">
        <v>13</v>
      </c>
      <c r="AR4198" s="3" t="s">
        <v>63</v>
      </c>
      <c r="AS4198" s="3" t="s">
        <v>63</v>
      </c>
      <c r="AT4198" s="3" t="s">
        <v>62</v>
      </c>
      <c r="AU4198" s="6" t="str">
        <f>HYPERLINK("http://catalog.hathitrust.org/Record/000373649","HathiTrust Record")</f>
        <v>HathiTrust Record</v>
      </c>
      <c r="AV4198" s="6" t="str">
        <f>HYPERLINK("http://mcgill.on.worldcat.org/oclc/11159328","Catalog Record")</f>
        <v>Catalog Record</v>
      </c>
      <c r="AW4198" s="6" t="str">
        <f>HYPERLINK("http://www.worldcat.org/oclc/11159328","WorldCat Record")</f>
        <v>WorldCat Record</v>
      </c>
      <c r="AX4198" s="3" t="s">
        <v>36310</v>
      </c>
      <c r="AY4198" s="3" t="s">
        <v>36311</v>
      </c>
      <c r="AZ4198" s="3" t="s">
        <v>36312</v>
      </c>
      <c r="BA4198" s="3" t="s">
        <v>36312</v>
      </c>
      <c r="BB4198" s="3" t="s">
        <v>36316</v>
      </c>
      <c r="BC4198" s="3" t="s">
        <v>82</v>
      </c>
      <c r="BD4198" s="3" t="s">
        <v>70</v>
      </c>
      <c r="BE4198" s="3" t="s">
        <v>36314</v>
      </c>
      <c r="BF4198" s="3" t="s">
        <v>36316</v>
      </c>
      <c r="BG4198" s="3" t="s">
        <v>36317</v>
      </c>
    </row>
    <row r="4199" spans="1:59" ht="75" x14ac:dyDescent="0.25">
      <c r="A4199" s="2" t="s">
        <v>59</v>
      </c>
      <c r="B4199" s="2" t="s">
        <v>60</v>
      </c>
      <c r="C4199" s="2" t="s">
        <v>36318</v>
      </c>
      <c r="D4199" s="2" t="s">
        <v>36319</v>
      </c>
      <c r="E4199" s="2" t="s">
        <v>36320</v>
      </c>
      <c r="G4199" s="3" t="s">
        <v>63</v>
      </c>
      <c r="I4199" s="3" t="s">
        <v>63</v>
      </c>
      <c r="J4199" s="3" t="s">
        <v>62</v>
      </c>
      <c r="K4199" s="3" t="s">
        <v>64</v>
      </c>
      <c r="L4199" s="2" t="s">
        <v>36298</v>
      </c>
      <c r="M4199" s="2" t="s">
        <v>36321</v>
      </c>
      <c r="N4199" s="3" t="s">
        <v>1418</v>
      </c>
      <c r="O4199" s="2" t="s">
        <v>36322</v>
      </c>
      <c r="P4199" s="3" t="s">
        <v>66</v>
      </c>
      <c r="R4199" s="3" t="s">
        <v>67</v>
      </c>
      <c r="S4199" s="4">
        <v>14</v>
      </c>
      <c r="T4199" s="4">
        <v>14</v>
      </c>
      <c r="U4199" s="5" t="s">
        <v>24095</v>
      </c>
      <c r="V4199" s="5" t="s">
        <v>24095</v>
      </c>
      <c r="W4199" s="5" t="s">
        <v>69</v>
      </c>
      <c r="X4199" s="5" t="s">
        <v>69</v>
      </c>
      <c r="Y4199" s="4">
        <v>57</v>
      </c>
      <c r="Z4199" s="4">
        <v>2</v>
      </c>
      <c r="AA4199" s="4">
        <v>34</v>
      </c>
      <c r="AB4199" s="4">
        <v>1</v>
      </c>
      <c r="AC4199" s="4">
        <v>3</v>
      </c>
      <c r="AD4199" s="4">
        <v>14</v>
      </c>
      <c r="AE4199" s="4">
        <v>121</v>
      </c>
      <c r="AF4199" s="4">
        <v>0</v>
      </c>
      <c r="AG4199" s="4">
        <v>1</v>
      </c>
      <c r="AH4199" s="4">
        <v>13</v>
      </c>
      <c r="AI4199" s="4">
        <v>103</v>
      </c>
      <c r="AJ4199" s="4">
        <v>1</v>
      </c>
      <c r="AK4199" s="4">
        <v>22</v>
      </c>
      <c r="AL4199" s="4">
        <v>8</v>
      </c>
      <c r="AM4199" s="4">
        <v>59</v>
      </c>
      <c r="AN4199" s="4">
        <v>0</v>
      </c>
      <c r="AO4199" s="4">
        <v>0</v>
      </c>
      <c r="AP4199" s="4">
        <v>1</v>
      </c>
      <c r="AQ4199" s="4">
        <v>24</v>
      </c>
      <c r="AR4199" s="3" t="s">
        <v>63</v>
      </c>
      <c r="AS4199" s="3" t="s">
        <v>63</v>
      </c>
      <c r="AT4199" s="3" t="s">
        <v>63</v>
      </c>
      <c r="AV4199" s="6" t="str">
        <f>HYPERLINK("http://mcgill.on.worldcat.org/oclc/17263047","Catalog Record")</f>
        <v>Catalog Record</v>
      </c>
      <c r="AW4199" s="6" t="str">
        <f>HYPERLINK("http://www.worldcat.org/oclc/17263047","WorldCat Record")</f>
        <v>WorldCat Record</v>
      </c>
      <c r="AX4199" s="3" t="s">
        <v>36323</v>
      </c>
      <c r="AY4199" s="3" t="s">
        <v>36324</v>
      </c>
      <c r="AZ4199" s="3" t="s">
        <v>36325</v>
      </c>
      <c r="BA4199" s="3" t="s">
        <v>36325</v>
      </c>
      <c r="BB4199" s="3" t="s">
        <v>36326</v>
      </c>
      <c r="BC4199" s="3" t="s">
        <v>82</v>
      </c>
      <c r="BD4199" s="3" t="s">
        <v>70</v>
      </c>
      <c r="BE4199" s="3" t="s">
        <v>36327</v>
      </c>
      <c r="BF4199" s="3" t="s">
        <v>36326</v>
      </c>
      <c r="BG4199" s="3" t="s">
        <v>36328</v>
      </c>
    </row>
    <row r="4200" spans="1:59" ht="60" x14ac:dyDescent="0.25">
      <c r="A4200" s="2" t="s">
        <v>59</v>
      </c>
      <c r="B4200" s="2" t="s">
        <v>60</v>
      </c>
      <c r="C4200" s="2" t="s">
        <v>36329</v>
      </c>
      <c r="D4200" s="2" t="s">
        <v>36330</v>
      </c>
      <c r="E4200" s="2" t="s">
        <v>36331</v>
      </c>
      <c r="G4200" s="3" t="s">
        <v>63</v>
      </c>
      <c r="I4200" s="3" t="s">
        <v>63</v>
      </c>
      <c r="J4200" s="3" t="s">
        <v>62</v>
      </c>
      <c r="K4200" s="3" t="s">
        <v>64</v>
      </c>
      <c r="L4200" s="2" t="s">
        <v>36332</v>
      </c>
      <c r="M4200" s="2" t="s">
        <v>36333</v>
      </c>
      <c r="N4200" s="3" t="s">
        <v>2765</v>
      </c>
      <c r="P4200" s="3" t="s">
        <v>66</v>
      </c>
      <c r="Q4200" s="2" t="s">
        <v>20292</v>
      </c>
      <c r="R4200" s="3" t="s">
        <v>67</v>
      </c>
      <c r="S4200" s="4">
        <v>0</v>
      </c>
      <c r="T4200" s="4">
        <v>0</v>
      </c>
      <c r="W4200" s="5" t="s">
        <v>69</v>
      </c>
      <c r="X4200" s="5" t="s">
        <v>69</v>
      </c>
      <c r="Y4200" s="4">
        <v>128</v>
      </c>
      <c r="Z4200" s="4">
        <v>10</v>
      </c>
      <c r="AA4200" s="4">
        <v>34</v>
      </c>
      <c r="AB4200" s="4">
        <v>1</v>
      </c>
      <c r="AC4200" s="4">
        <v>3</v>
      </c>
      <c r="AD4200" s="4">
        <v>43</v>
      </c>
      <c r="AE4200" s="4">
        <v>121</v>
      </c>
      <c r="AF4200" s="4">
        <v>0</v>
      </c>
      <c r="AG4200" s="4">
        <v>1</v>
      </c>
      <c r="AH4200" s="4">
        <v>41</v>
      </c>
      <c r="AI4200" s="4">
        <v>103</v>
      </c>
      <c r="AJ4200" s="4">
        <v>5</v>
      </c>
      <c r="AK4200" s="4">
        <v>22</v>
      </c>
      <c r="AL4200" s="4">
        <v>28</v>
      </c>
      <c r="AM4200" s="4">
        <v>59</v>
      </c>
      <c r="AN4200" s="4">
        <v>0</v>
      </c>
      <c r="AO4200" s="4">
        <v>0</v>
      </c>
      <c r="AP4200" s="4">
        <v>5</v>
      </c>
      <c r="AQ4200" s="4">
        <v>24</v>
      </c>
      <c r="AR4200" s="3" t="s">
        <v>63</v>
      </c>
      <c r="AS4200" s="3" t="s">
        <v>63</v>
      </c>
      <c r="AT4200" s="3" t="s">
        <v>63</v>
      </c>
      <c r="AV4200" s="6" t="str">
        <f>HYPERLINK("http://mcgill.on.worldcat.org/oclc/883645388","Catalog Record")</f>
        <v>Catalog Record</v>
      </c>
      <c r="AW4200" s="6" t="str">
        <f>HYPERLINK("http://www.worldcat.org/oclc/883645388","WorldCat Record")</f>
        <v>WorldCat Record</v>
      </c>
      <c r="AX4200" s="3" t="s">
        <v>36323</v>
      </c>
      <c r="AY4200" s="3" t="s">
        <v>36334</v>
      </c>
      <c r="AZ4200" s="3" t="s">
        <v>36335</v>
      </c>
      <c r="BA4200" s="3" t="s">
        <v>36335</v>
      </c>
      <c r="BB4200" s="3" t="s">
        <v>36336</v>
      </c>
      <c r="BC4200" s="3" t="s">
        <v>82</v>
      </c>
      <c r="BD4200" s="3" t="s">
        <v>1611</v>
      </c>
      <c r="BE4200" s="3" t="s">
        <v>36337</v>
      </c>
      <c r="BF4200" s="3" t="s">
        <v>36336</v>
      </c>
      <c r="BG4200" s="3" t="s">
        <v>36338</v>
      </c>
    </row>
    <row r="4201" spans="1:59" ht="60" x14ac:dyDescent="0.25">
      <c r="A4201" s="2" t="s">
        <v>59</v>
      </c>
      <c r="B4201" s="2" t="s">
        <v>60</v>
      </c>
      <c r="C4201" s="2" t="s">
        <v>36339</v>
      </c>
      <c r="D4201" s="2" t="s">
        <v>36340</v>
      </c>
      <c r="E4201" s="2" t="s">
        <v>36341</v>
      </c>
      <c r="G4201" s="3" t="s">
        <v>63</v>
      </c>
      <c r="I4201" s="3" t="s">
        <v>63</v>
      </c>
      <c r="J4201" s="3" t="s">
        <v>63</v>
      </c>
      <c r="K4201" s="3" t="s">
        <v>64</v>
      </c>
      <c r="M4201" s="2" t="s">
        <v>36342</v>
      </c>
      <c r="N4201" s="3" t="s">
        <v>9103</v>
      </c>
      <c r="P4201" s="3" t="s">
        <v>36343</v>
      </c>
      <c r="Q4201" s="2" t="s">
        <v>36344</v>
      </c>
      <c r="R4201" s="3" t="s">
        <v>67</v>
      </c>
      <c r="S4201" s="4">
        <v>1</v>
      </c>
      <c r="T4201" s="4">
        <v>1</v>
      </c>
      <c r="U4201" s="5" t="s">
        <v>36345</v>
      </c>
      <c r="V4201" s="5" t="s">
        <v>36345</v>
      </c>
      <c r="W4201" s="5" t="s">
        <v>69</v>
      </c>
      <c r="X4201" s="5" t="s">
        <v>69</v>
      </c>
      <c r="Y4201" s="4">
        <v>3</v>
      </c>
      <c r="Z4201" s="4">
        <v>2</v>
      </c>
      <c r="AA4201" s="4">
        <v>3</v>
      </c>
      <c r="AB4201" s="4">
        <v>1</v>
      </c>
      <c r="AC4201" s="4">
        <v>1</v>
      </c>
      <c r="AD4201" s="4">
        <v>1</v>
      </c>
      <c r="AE4201" s="4">
        <v>8</v>
      </c>
      <c r="AF4201" s="4">
        <v>0</v>
      </c>
      <c r="AG4201" s="4">
        <v>0</v>
      </c>
      <c r="AH4201" s="4">
        <v>1</v>
      </c>
      <c r="AI4201" s="4">
        <v>8</v>
      </c>
      <c r="AJ4201" s="4">
        <v>1</v>
      </c>
      <c r="AK4201" s="4">
        <v>2</v>
      </c>
      <c r="AL4201" s="4">
        <v>0</v>
      </c>
      <c r="AM4201" s="4">
        <v>5</v>
      </c>
      <c r="AN4201" s="4">
        <v>0</v>
      </c>
      <c r="AO4201" s="4">
        <v>0</v>
      </c>
      <c r="AP4201" s="4">
        <v>1</v>
      </c>
      <c r="AQ4201" s="4">
        <v>2</v>
      </c>
      <c r="AR4201" s="3" t="s">
        <v>63</v>
      </c>
      <c r="AS4201" s="3" t="s">
        <v>63</v>
      </c>
      <c r="AT4201" s="3" t="s">
        <v>63</v>
      </c>
      <c r="AV4201" s="6" t="str">
        <f>HYPERLINK("http://mcgill.on.worldcat.org/oclc/61623536","Catalog Record")</f>
        <v>Catalog Record</v>
      </c>
      <c r="AW4201" s="6" t="str">
        <f>HYPERLINK("http://www.worldcat.org/oclc/61623536","WorldCat Record")</f>
        <v>WorldCat Record</v>
      </c>
      <c r="AX4201" s="3" t="s">
        <v>36346</v>
      </c>
      <c r="AY4201" s="3" t="s">
        <v>36347</v>
      </c>
      <c r="AZ4201" s="3" t="s">
        <v>36348</v>
      </c>
      <c r="BA4201" s="3" t="s">
        <v>36348</v>
      </c>
      <c r="BB4201" s="3" t="s">
        <v>36349</v>
      </c>
      <c r="BC4201" s="3" t="s">
        <v>82</v>
      </c>
      <c r="BD4201" s="3" t="s">
        <v>70</v>
      </c>
      <c r="BF4201" s="3" t="s">
        <v>36349</v>
      </c>
      <c r="BG4201" s="3" t="s">
        <v>36350</v>
      </c>
    </row>
    <row r="4202" spans="1:59" ht="60" x14ac:dyDescent="0.25">
      <c r="A4202" s="2" t="s">
        <v>59</v>
      </c>
      <c r="B4202" s="2" t="s">
        <v>60</v>
      </c>
      <c r="C4202" s="2" t="s">
        <v>36351</v>
      </c>
      <c r="D4202" s="2" t="s">
        <v>36352</v>
      </c>
      <c r="E4202" s="2" t="s">
        <v>36353</v>
      </c>
      <c r="G4202" s="3" t="s">
        <v>63</v>
      </c>
      <c r="I4202" s="3" t="s">
        <v>63</v>
      </c>
      <c r="J4202" s="3" t="s">
        <v>63</v>
      </c>
      <c r="K4202" s="3" t="s">
        <v>64</v>
      </c>
      <c r="L4202" s="2" t="s">
        <v>3799</v>
      </c>
      <c r="M4202" s="2" t="s">
        <v>36354</v>
      </c>
      <c r="N4202" s="3" t="s">
        <v>2393</v>
      </c>
      <c r="P4202" s="3" t="s">
        <v>66</v>
      </c>
      <c r="Q4202" s="2" t="s">
        <v>36355</v>
      </c>
      <c r="R4202" s="3" t="s">
        <v>67</v>
      </c>
      <c r="S4202" s="4">
        <v>1</v>
      </c>
      <c r="T4202" s="4">
        <v>1</v>
      </c>
      <c r="U4202" s="5" t="s">
        <v>3057</v>
      </c>
      <c r="V4202" s="5" t="s">
        <v>3057</v>
      </c>
      <c r="W4202" s="5" t="s">
        <v>69</v>
      </c>
      <c r="X4202" s="5" t="s">
        <v>69</v>
      </c>
      <c r="Y4202" s="4">
        <v>164</v>
      </c>
      <c r="Z4202" s="4">
        <v>17</v>
      </c>
      <c r="AA4202" s="4">
        <v>18</v>
      </c>
      <c r="AB4202" s="4">
        <v>1</v>
      </c>
      <c r="AC4202" s="4">
        <v>2</v>
      </c>
      <c r="AD4202" s="4">
        <v>90</v>
      </c>
      <c r="AE4202" s="4">
        <v>91</v>
      </c>
      <c r="AF4202" s="4">
        <v>0</v>
      </c>
      <c r="AG4202" s="4">
        <v>1</v>
      </c>
      <c r="AH4202" s="4">
        <v>84</v>
      </c>
      <c r="AI4202" s="4">
        <v>84</v>
      </c>
      <c r="AJ4202" s="4">
        <v>14</v>
      </c>
      <c r="AK4202" s="4">
        <v>15</v>
      </c>
      <c r="AL4202" s="4">
        <v>46</v>
      </c>
      <c r="AM4202" s="4">
        <v>46</v>
      </c>
      <c r="AN4202" s="4">
        <v>0</v>
      </c>
      <c r="AO4202" s="4">
        <v>0</v>
      </c>
      <c r="AP4202" s="4">
        <v>15</v>
      </c>
      <c r="AQ4202" s="4">
        <v>16</v>
      </c>
      <c r="AR4202" s="3" t="s">
        <v>63</v>
      </c>
      <c r="AS4202" s="3" t="s">
        <v>63</v>
      </c>
      <c r="AT4202" s="3" t="s">
        <v>63</v>
      </c>
      <c r="AV4202" s="6" t="str">
        <f>HYPERLINK("http://mcgill.on.worldcat.org/oclc/935034","Catalog Record")</f>
        <v>Catalog Record</v>
      </c>
      <c r="AW4202" s="6" t="str">
        <f>HYPERLINK("http://www.worldcat.org/oclc/935034","WorldCat Record")</f>
        <v>WorldCat Record</v>
      </c>
      <c r="AX4202" s="3" t="s">
        <v>36356</v>
      </c>
      <c r="AY4202" s="3" t="s">
        <v>36357</v>
      </c>
      <c r="AZ4202" s="3" t="s">
        <v>36358</v>
      </c>
      <c r="BA4202" s="3" t="s">
        <v>36358</v>
      </c>
      <c r="BB4202" s="3" t="s">
        <v>36359</v>
      </c>
      <c r="BC4202" s="3" t="s">
        <v>82</v>
      </c>
      <c r="BD4202" s="3" t="s">
        <v>70</v>
      </c>
      <c r="BE4202" s="3" t="s">
        <v>36360</v>
      </c>
      <c r="BF4202" s="3" t="s">
        <v>36359</v>
      </c>
      <c r="BG4202" s="3" t="s">
        <v>36361</v>
      </c>
    </row>
    <row r="4203" spans="1:59" ht="60" x14ac:dyDescent="0.25">
      <c r="A4203" s="2" t="s">
        <v>59</v>
      </c>
      <c r="B4203" s="2" t="s">
        <v>60</v>
      </c>
      <c r="C4203" s="2" t="s">
        <v>36362</v>
      </c>
      <c r="D4203" s="2" t="s">
        <v>36363</v>
      </c>
      <c r="E4203" s="2" t="s">
        <v>36364</v>
      </c>
      <c r="G4203" s="3" t="s">
        <v>63</v>
      </c>
      <c r="I4203" s="3" t="s">
        <v>63</v>
      </c>
      <c r="J4203" s="3" t="s">
        <v>63</v>
      </c>
      <c r="K4203" s="3" t="s">
        <v>64</v>
      </c>
      <c r="L4203" s="2" t="s">
        <v>36365</v>
      </c>
      <c r="M4203" s="2" t="s">
        <v>36366</v>
      </c>
      <c r="N4203" s="3" t="s">
        <v>2951</v>
      </c>
      <c r="P4203" s="3" t="s">
        <v>66</v>
      </c>
      <c r="Q4203" s="2" t="s">
        <v>36367</v>
      </c>
      <c r="R4203" s="3" t="s">
        <v>67</v>
      </c>
      <c r="S4203" s="4">
        <v>31</v>
      </c>
      <c r="T4203" s="4">
        <v>31</v>
      </c>
      <c r="U4203" s="5" t="s">
        <v>36368</v>
      </c>
      <c r="V4203" s="5" t="s">
        <v>36368</v>
      </c>
      <c r="W4203" s="5" t="s">
        <v>69</v>
      </c>
      <c r="X4203" s="5" t="s">
        <v>69</v>
      </c>
      <c r="Y4203" s="4">
        <v>113</v>
      </c>
      <c r="Z4203" s="4">
        <v>22</v>
      </c>
      <c r="AA4203" s="4">
        <v>31</v>
      </c>
      <c r="AB4203" s="4">
        <v>1</v>
      </c>
      <c r="AC4203" s="4">
        <v>1</v>
      </c>
      <c r="AD4203" s="4">
        <v>57</v>
      </c>
      <c r="AE4203" s="4">
        <v>66</v>
      </c>
      <c r="AF4203" s="4">
        <v>0</v>
      </c>
      <c r="AG4203" s="4">
        <v>0</v>
      </c>
      <c r="AH4203" s="4">
        <v>50</v>
      </c>
      <c r="AI4203" s="4">
        <v>56</v>
      </c>
      <c r="AJ4203" s="4">
        <v>12</v>
      </c>
      <c r="AK4203" s="4">
        <v>14</v>
      </c>
      <c r="AL4203" s="4">
        <v>33</v>
      </c>
      <c r="AM4203" s="4">
        <v>37</v>
      </c>
      <c r="AN4203" s="4">
        <v>0</v>
      </c>
      <c r="AO4203" s="4">
        <v>0</v>
      </c>
      <c r="AP4203" s="4">
        <v>14</v>
      </c>
      <c r="AQ4203" s="4">
        <v>17</v>
      </c>
      <c r="AR4203" s="3" t="s">
        <v>62</v>
      </c>
      <c r="AS4203" s="3" t="s">
        <v>63</v>
      </c>
      <c r="AT4203" s="3" t="s">
        <v>62</v>
      </c>
      <c r="AU4203" s="6" t="str">
        <f>HYPERLINK("http://catalog.hathitrust.org/Record/000739370","HathiTrust Record")</f>
        <v>HathiTrust Record</v>
      </c>
      <c r="AV4203" s="6" t="str">
        <f>HYPERLINK("http://mcgill.on.worldcat.org/oclc/7192406","Catalog Record")</f>
        <v>Catalog Record</v>
      </c>
      <c r="AW4203" s="6" t="str">
        <f>HYPERLINK("http://www.worldcat.org/oclc/7192406","WorldCat Record")</f>
        <v>WorldCat Record</v>
      </c>
      <c r="AX4203" s="3" t="s">
        <v>36369</v>
      </c>
      <c r="AY4203" s="3" t="s">
        <v>36370</v>
      </c>
      <c r="AZ4203" s="3" t="s">
        <v>36371</v>
      </c>
      <c r="BA4203" s="3" t="s">
        <v>36371</v>
      </c>
      <c r="BB4203" s="3" t="s">
        <v>36372</v>
      </c>
      <c r="BC4203" s="3" t="s">
        <v>82</v>
      </c>
      <c r="BD4203" s="3" t="s">
        <v>70</v>
      </c>
      <c r="BE4203" s="3" t="s">
        <v>36373</v>
      </c>
      <c r="BF4203" s="3" t="s">
        <v>36372</v>
      </c>
      <c r="BG4203" s="3" t="s">
        <v>36374</v>
      </c>
    </row>
    <row r="4204" spans="1:59" ht="60" x14ac:dyDescent="0.25">
      <c r="A4204" s="2" t="s">
        <v>59</v>
      </c>
      <c r="B4204" s="2" t="s">
        <v>60</v>
      </c>
      <c r="C4204" s="2" t="s">
        <v>36375</v>
      </c>
      <c r="D4204" s="2" t="s">
        <v>36376</v>
      </c>
      <c r="E4204" s="2" t="s">
        <v>36377</v>
      </c>
      <c r="G4204" s="3" t="s">
        <v>63</v>
      </c>
      <c r="I4204" s="3" t="s">
        <v>63</v>
      </c>
      <c r="J4204" s="3" t="s">
        <v>63</v>
      </c>
      <c r="K4204" s="3" t="s">
        <v>64</v>
      </c>
      <c r="L4204" s="2" t="s">
        <v>36378</v>
      </c>
      <c r="M4204" s="2" t="s">
        <v>36379</v>
      </c>
      <c r="N4204" s="3" t="s">
        <v>731</v>
      </c>
      <c r="P4204" s="3" t="s">
        <v>36343</v>
      </c>
      <c r="R4204" s="3" t="s">
        <v>67</v>
      </c>
      <c r="S4204" s="4">
        <v>26</v>
      </c>
      <c r="T4204" s="4">
        <v>26</v>
      </c>
      <c r="U4204" s="5" t="s">
        <v>3301</v>
      </c>
      <c r="V4204" s="5" t="s">
        <v>3301</v>
      </c>
      <c r="W4204" s="5" t="s">
        <v>69</v>
      </c>
      <c r="X4204" s="5" t="s">
        <v>69</v>
      </c>
      <c r="Y4204" s="4">
        <v>70</v>
      </c>
      <c r="Z4204" s="4">
        <v>9</v>
      </c>
      <c r="AA4204" s="4">
        <v>9</v>
      </c>
      <c r="AB4204" s="4">
        <v>2</v>
      </c>
      <c r="AC4204" s="4">
        <v>2</v>
      </c>
      <c r="AD4204" s="4">
        <v>37</v>
      </c>
      <c r="AE4204" s="4">
        <v>37</v>
      </c>
      <c r="AF4204" s="4">
        <v>1</v>
      </c>
      <c r="AG4204" s="4">
        <v>1</v>
      </c>
      <c r="AH4204" s="4">
        <v>33</v>
      </c>
      <c r="AI4204" s="4">
        <v>33</v>
      </c>
      <c r="AJ4204" s="4">
        <v>7</v>
      </c>
      <c r="AK4204" s="4">
        <v>7</v>
      </c>
      <c r="AL4204" s="4">
        <v>21</v>
      </c>
      <c r="AM4204" s="4">
        <v>21</v>
      </c>
      <c r="AN4204" s="4">
        <v>0</v>
      </c>
      <c r="AO4204" s="4">
        <v>0</v>
      </c>
      <c r="AP4204" s="4">
        <v>7</v>
      </c>
      <c r="AQ4204" s="4">
        <v>7</v>
      </c>
      <c r="AR4204" s="3" t="s">
        <v>63</v>
      </c>
      <c r="AS4204" s="3" t="s">
        <v>63</v>
      </c>
      <c r="AT4204" s="3" t="s">
        <v>63</v>
      </c>
      <c r="AV4204" s="6" t="str">
        <f>HYPERLINK("http://mcgill.on.worldcat.org/oclc/2806614","Catalog Record")</f>
        <v>Catalog Record</v>
      </c>
      <c r="AW4204" s="6" t="str">
        <f>HYPERLINK("http://www.worldcat.org/oclc/2806614","WorldCat Record")</f>
        <v>WorldCat Record</v>
      </c>
      <c r="AX4204" s="3" t="s">
        <v>36380</v>
      </c>
      <c r="AY4204" s="3" t="s">
        <v>36381</v>
      </c>
      <c r="AZ4204" s="3" t="s">
        <v>36382</v>
      </c>
      <c r="BA4204" s="3" t="s">
        <v>36382</v>
      </c>
      <c r="BB4204" s="3" t="s">
        <v>36383</v>
      </c>
      <c r="BC4204" s="3" t="s">
        <v>82</v>
      </c>
      <c r="BD4204" s="3" t="s">
        <v>70</v>
      </c>
      <c r="BF4204" s="3" t="s">
        <v>36383</v>
      </c>
      <c r="BG4204" s="3" t="s">
        <v>36384</v>
      </c>
    </row>
    <row r="4205" spans="1:59" ht="60" x14ac:dyDescent="0.25">
      <c r="A4205" s="2" t="s">
        <v>59</v>
      </c>
      <c r="B4205" s="2" t="s">
        <v>60</v>
      </c>
      <c r="C4205" s="2" t="s">
        <v>36385</v>
      </c>
      <c r="D4205" s="2" t="s">
        <v>36386</v>
      </c>
      <c r="E4205" s="2" t="s">
        <v>36387</v>
      </c>
      <c r="G4205" s="3" t="s">
        <v>63</v>
      </c>
      <c r="I4205" s="3" t="s">
        <v>63</v>
      </c>
      <c r="J4205" s="3" t="s">
        <v>63</v>
      </c>
      <c r="K4205" s="3" t="s">
        <v>64</v>
      </c>
      <c r="L4205" s="2" t="s">
        <v>36388</v>
      </c>
      <c r="M4205" s="2" t="s">
        <v>36389</v>
      </c>
      <c r="N4205" s="3" t="s">
        <v>2271</v>
      </c>
      <c r="P4205" s="3" t="s">
        <v>66</v>
      </c>
      <c r="R4205" s="3" t="s">
        <v>67</v>
      </c>
      <c r="S4205" s="4">
        <v>6</v>
      </c>
      <c r="T4205" s="4">
        <v>6</v>
      </c>
      <c r="U4205" s="5" t="s">
        <v>36368</v>
      </c>
      <c r="V4205" s="5" t="s">
        <v>36368</v>
      </c>
      <c r="W4205" s="5" t="s">
        <v>69</v>
      </c>
      <c r="X4205" s="5" t="s">
        <v>69</v>
      </c>
      <c r="Y4205" s="4">
        <v>135</v>
      </c>
      <c r="Z4205" s="4">
        <v>20</v>
      </c>
      <c r="AA4205" s="4">
        <v>22</v>
      </c>
      <c r="AB4205" s="4">
        <v>2</v>
      </c>
      <c r="AC4205" s="4">
        <v>2</v>
      </c>
      <c r="AD4205" s="4">
        <v>67</v>
      </c>
      <c r="AE4205" s="4">
        <v>76</v>
      </c>
      <c r="AF4205" s="4">
        <v>0</v>
      </c>
      <c r="AG4205" s="4">
        <v>0</v>
      </c>
      <c r="AH4205" s="4">
        <v>57</v>
      </c>
      <c r="AI4205" s="4">
        <v>65</v>
      </c>
      <c r="AJ4205" s="4">
        <v>13</v>
      </c>
      <c r="AK4205" s="4">
        <v>15</v>
      </c>
      <c r="AL4205" s="4">
        <v>37</v>
      </c>
      <c r="AM4205" s="4">
        <v>41</v>
      </c>
      <c r="AN4205" s="4">
        <v>0</v>
      </c>
      <c r="AO4205" s="4">
        <v>0</v>
      </c>
      <c r="AP4205" s="4">
        <v>15</v>
      </c>
      <c r="AQ4205" s="4">
        <v>17</v>
      </c>
      <c r="AR4205" s="3" t="s">
        <v>63</v>
      </c>
      <c r="AS4205" s="3" t="s">
        <v>63</v>
      </c>
      <c r="AT4205" s="3" t="s">
        <v>62</v>
      </c>
      <c r="AU4205" s="6" t="str">
        <f>HYPERLINK("http://catalog.hathitrust.org/Record/001243821","HathiTrust Record")</f>
        <v>HathiTrust Record</v>
      </c>
      <c r="AV4205" s="6" t="str">
        <f>HYPERLINK("http://mcgill.on.worldcat.org/oclc/33775","Catalog Record")</f>
        <v>Catalog Record</v>
      </c>
      <c r="AW4205" s="6" t="str">
        <f>HYPERLINK("http://www.worldcat.org/oclc/33775","WorldCat Record")</f>
        <v>WorldCat Record</v>
      </c>
      <c r="AX4205" s="3" t="s">
        <v>36390</v>
      </c>
      <c r="AY4205" s="3" t="s">
        <v>36391</v>
      </c>
      <c r="AZ4205" s="3" t="s">
        <v>36392</v>
      </c>
      <c r="BA4205" s="3" t="s">
        <v>36392</v>
      </c>
      <c r="BB4205" s="3" t="s">
        <v>36393</v>
      </c>
      <c r="BC4205" s="3" t="s">
        <v>82</v>
      </c>
      <c r="BD4205" s="3" t="s">
        <v>70</v>
      </c>
      <c r="BF4205" s="3" t="s">
        <v>36393</v>
      </c>
      <c r="BG4205" s="3" t="s">
        <v>36394</v>
      </c>
    </row>
    <row r="4206" spans="1:59" ht="60" x14ac:dyDescent="0.25">
      <c r="A4206" s="2" t="s">
        <v>59</v>
      </c>
      <c r="B4206" s="2" t="s">
        <v>60</v>
      </c>
      <c r="C4206" s="2" t="s">
        <v>36395</v>
      </c>
      <c r="D4206" s="2" t="s">
        <v>36396</v>
      </c>
      <c r="E4206" s="2" t="s">
        <v>36397</v>
      </c>
      <c r="G4206" s="3" t="s">
        <v>63</v>
      </c>
      <c r="I4206" s="3" t="s">
        <v>63</v>
      </c>
      <c r="J4206" s="3" t="s">
        <v>63</v>
      </c>
      <c r="K4206" s="3" t="s">
        <v>64</v>
      </c>
      <c r="L4206" s="2" t="s">
        <v>36398</v>
      </c>
      <c r="M4206" s="2" t="s">
        <v>36399</v>
      </c>
      <c r="N4206" s="3" t="s">
        <v>313</v>
      </c>
      <c r="P4206" s="3" t="s">
        <v>36343</v>
      </c>
      <c r="R4206" s="3" t="s">
        <v>67</v>
      </c>
      <c r="S4206" s="4">
        <v>1</v>
      </c>
      <c r="T4206" s="4">
        <v>1</v>
      </c>
      <c r="W4206" s="5" t="s">
        <v>69</v>
      </c>
      <c r="X4206" s="5" t="s">
        <v>69</v>
      </c>
      <c r="Y4206" s="4">
        <v>46</v>
      </c>
      <c r="Z4206" s="4">
        <v>16</v>
      </c>
      <c r="AA4206" s="4">
        <v>79</v>
      </c>
      <c r="AB4206" s="4">
        <v>1</v>
      </c>
      <c r="AC4206" s="4">
        <v>15</v>
      </c>
      <c r="AD4206" s="4">
        <v>28</v>
      </c>
      <c r="AE4206" s="4">
        <v>88</v>
      </c>
      <c r="AF4206" s="4">
        <v>0</v>
      </c>
      <c r="AG4206" s="4">
        <v>8</v>
      </c>
      <c r="AH4206" s="4">
        <v>21</v>
      </c>
      <c r="AI4206" s="4">
        <v>55</v>
      </c>
      <c r="AJ4206" s="4">
        <v>9</v>
      </c>
      <c r="AK4206" s="4">
        <v>21</v>
      </c>
      <c r="AL4206" s="4">
        <v>15</v>
      </c>
      <c r="AM4206" s="4">
        <v>28</v>
      </c>
      <c r="AN4206" s="4">
        <v>0</v>
      </c>
      <c r="AO4206" s="4">
        <v>0</v>
      </c>
      <c r="AP4206" s="4">
        <v>10</v>
      </c>
      <c r="AQ4206" s="4">
        <v>41</v>
      </c>
      <c r="AR4206" s="3" t="s">
        <v>62</v>
      </c>
      <c r="AS4206" s="3" t="s">
        <v>63</v>
      </c>
      <c r="AT4206" s="3" t="s">
        <v>63</v>
      </c>
      <c r="AV4206" s="6" t="str">
        <f>HYPERLINK("http://mcgill.on.worldcat.org/oclc/401145730","Catalog Record")</f>
        <v>Catalog Record</v>
      </c>
      <c r="AW4206" s="6" t="str">
        <f>HYPERLINK("http://www.worldcat.org/oclc/401145730","WorldCat Record")</f>
        <v>WorldCat Record</v>
      </c>
      <c r="AX4206" s="3" t="s">
        <v>36400</v>
      </c>
      <c r="AY4206" s="3" t="s">
        <v>36401</v>
      </c>
      <c r="AZ4206" s="3" t="s">
        <v>36402</v>
      </c>
      <c r="BA4206" s="3" t="s">
        <v>36402</v>
      </c>
      <c r="BB4206" s="3" t="s">
        <v>36403</v>
      </c>
      <c r="BC4206" s="3" t="s">
        <v>82</v>
      </c>
      <c r="BD4206" s="3" t="s">
        <v>538</v>
      </c>
      <c r="BE4206" s="3" t="s">
        <v>36404</v>
      </c>
      <c r="BF4206" s="3" t="s">
        <v>36403</v>
      </c>
      <c r="BG4206" s="3" t="s">
        <v>36405</v>
      </c>
    </row>
    <row r="4207" spans="1:59" ht="75" x14ac:dyDescent="0.25">
      <c r="A4207" s="2" t="s">
        <v>59</v>
      </c>
      <c r="B4207" s="2" t="s">
        <v>60</v>
      </c>
      <c r="C4207" s="2" t="s">
        <v>36406</v>
      </c>
      <c r="D4207" s="2" t="s">
        <v>36407</v>
      </c>
      <c r="E4207" s="2" t="s">
        <v>36408</v>
      </c>
      <c r="G4207" s="3" t="s">
        <v>63</v>
      </c>
      <c r="I4207" s="3" t="s">
        <v>63</v>
      </c>
      <c r="J4207" s="3" t="s">
        <v>63</v>
      </c>
      <c r="K4207" s="3" t="s">
        <v>64</v>
      </c>
      <c r="L4207" s="2" t="s">
        <v>36409</v>
      </c>
      <c r="M4207" s="2" t="s">
        <v>36410</v>
      </c>
      <c r="N4207" s="3" t="s">
        <v>213</v>
      </c>
      <c r="P4207" s="3" t="s">
        <v>36343</v>
      </c>
      <c r="R4207" s="3" t="s">
        <v>67</v>
      </c>
      <c r="S4207" s="4">
        <v>1</v>
      </c>
      <c r="T4207" s="4">
        <v>1</v>
      </c>
      <c r="U4207" s="5" t="s">
        <v>36411</v>
      </c>
      <c r="V4207" s="5" t="s">
        <v>36411</v>
      </c>
      <c r="W4207" s="5" t="s">
        <v>69</v>
      </c>
      <c r="X4207" s="5" t="s">
        <v>69</v>
      </c>
      <c r="Y4207" s="4">
        <v>159</v>
      </c>
      <c r="Z4207" s="4">
        <v>19</v>
      </c>
      <c r="AA4207" s="4">
        <v>50</v>
      </c>
      <c r="AB4207" s="4">
        <v>3</v>
      </c>
      <c r="AC4207" s="4">
        <v>6</v>
      </c>
      <c r="AD4207" s="4">
        <v>56</v>
      </c>
      <c r="AE4207" s="4">
        <v>87</v>
      </c>
      <c r="AF4207" s="4">
        <v>1</v>
      </c>
      <c r="AG4207" s="4">
        <v>3</v>
      </c>
      <c r="AH4207" s="4">
        <v>48</v>
      </c>
      <c r="AI4207" s="4">
        <v>70</v>
      </c>
      <c r="AJ4207" s="4">
        <v>10</v>
      </c>
      <c r="AK4207" s="4">
        <v>19</v>
      </c>
      <c r="AL4207" s="4">
        <v>28</v>
      </c>
      <c r="AM4207" s="4">
        <v>41</v>
      </c>
      <c r="AN4207" s="4">
        <v>5</v>
      </c>
      <c r="AO4207" s="4">
        <v>5</v>
      </c>
      <c r="AP4207" s="4">
        <v>10</v>
      </c>
      <c r="AQ4207" s="4">
        <v>21</v>
      </c>
      <c r="AR4207" s="3" t="s">
        <v>62</v>
      </c>
      <c r="AS4207" s="3" t="s">
        <v>63</v>
      </c>
      <c r="AT4207" s="3" t="s">
        <v>62</v>
      </c>
      <c r="AU4207" s="6" t="str">
        <f>HYPERLINK("http://catalog.hathitrust.org/Record/102085023","HathiTrust Record")</f>
        <v>HathiTrust Record</v>
      </c>
      <c r="AV4207" s="6" t="str">
        <f>HYPERLINK("http://mcgill.on.worldcat.org/oclc/13235873","Catalog Record")</f>
        <v>Catalog Record</v>
      </c>
      <c r="AW4207" s="6" t="str">
        <f>HYPERLINK("http://www.worldcat.org/oclc/13235873","WorldCat Record")</f>
        <v>WorldCat Record</v>
      </c>
      <c r="AX4207" s="3" t="s">
        <v>36412</v>
      </c>
      <c r="AY4207" s="3" t="s">
        <v>36413</v>
      </c>
      <c r="AZ4207" s="3" t="s">
        <v>36414</v>
      </c>
      <c r="BA4207" s="3" t="s">
        <v>36414</v>
      </c>
      <c r="BB4207" s="3" t="s">
        <v>36415</v>
      </c>
      <c r="BC4207" s="3" t="s">
        <v>82</v>
      </c>
      <c r="BD4207" s="3" t="s">
        <v>70</v>
      </c>
      <c r="BE4207" s="3" t="s">
        <v>36416</v>
      </c>
      <c r="BF4207" s="3" t="s">
        <v>36415</v>
      </c>
      <c r="BG4207" s="3" t="s">
        <v>36417</v>
      </c>
    </row>
    <row r="4208" spans="1:59" ht="60" x14ac:dyDescent="0.25">
      <c r="A4208" s="2" t="s">
        <v>59</v>
      </c>
      <c r="B4208" s="2" t="s">
        <v>60</v>
      </c>
      <c r="C4208" s="2" t="s">
        <v>36418</v>
      </c>
      <c r="D4208" s="2" t="s">
        <v>36419</v>
      </c>
      <c r="E4208" s="2" t="s">
        <v>36420</v>
      </c>
      <c r="G4208" s="3" t="s">
        <v>63</v>
      </c>
      <c r="I4208" s="3" t="s">
        <v>63</v>
      </c>
      <c r="J4208" s="3" t="s">
        <v>63</v>
      </c>
      <c r="K4208" s="3" t="s">
        <v>64</v>
      </c>
      <c r="M4208" s="2" t="s">
        <v>36421</v>
      </c>
      <c r="N4208" s="3" t="s">
        <v>814</v>
      </c>
      <c r="P4208" s="3" t="s">
        <v>36343</v>
      </c>
      <c r="R4208" s="3" t="s">
        <v>67</v>
      </c>
      <c r="S4208" s="4">
        <v>4</v>
      </c>
      <c r="T4208" s="4">
        <v>4</v>
      </c>
      <c r="U4208" s="5" t="s">
        <v>3881</v>
      </c>
      <c r="V4208" s="5" t="s">
        <v>3881</v>
      </c>
      <c r="W4208" s="5" t="s">
        <v>69</v>
      </c>
      <c r="X4208" s="5" t="s">
        <v>69</v>
      </c>
      <c r="Y4208" s="4">
        <v>1</v>
      </c>
      <c r="Z4208" s="4">
        <v>1</v>
      </c>
      <c r="AA4208" s="4">
        <v>4</v>
      </c>
      <c r="AB4208" s="4">
        <v>1</v>
      </c>
      <c r="AC4208" s="4">
        <v>2</v>
      </c>
      <c r="AD4208" s="4">
        <v>0</v>
      </c>
      <c r="AE4208" s="4">
        <v>31</v>
      </c>
      <c r="AF4208" s="4">
        <v>0</v>
      </c>
      <c r="AG4208" s="4">
        <v>1</v>
      </c>
      <c r="AH4208" s="4">
        <v>0</v>
      </c>
      <c r="AI4208" s="4">
        <v>28</v>
      </c>
      <c r="AJ4208" s="4">
        <v>0</v>
      </c>
      <c r="AK4208" s="4">
        <v>3</v>
      </c>
      <c r="AL4208" s="4">
        <v>0</v>
      </c>
      <c r="AM4208" s="4">
        <v>24</v>
      </c>
      <c r="AN4208" s="4">
        <v>0</v>
      </c>
      <c r="AO4208" s="4">
        <v>0</v>
      </c>
      <c r="AP4208" s="4">
        <v>0</v>
      </c>
      <c r="AQ4208" s="4">
        <v>3</v>
      </c>
      <c r="AR4208" s="3" t="s">
        <v>63</v>
      </c>
      <c r="AS4208" s="3" t="s">
        <v>63</v>
      </c>
      <c r="AT4208" s="3" t="s">
        <v>62</v>
      </c>
      <c r="AU4208" s="6" t="str">
        <f>HYPERLINK("http://catalog.hathitrust.org/Record/001849190","HathiTrust Record")</f>
        <v>HathiTrust Record</v>
      </c>
      <c r="AV4208" s="6" t="str">
        <f>HYPERLINK("http://mcgill.on.worldcat.org/oclc/61536794","Catalog Record")</f>
        <v>Catalog Record</v>
      </c>
      <c r="AW4208" s="6" t="str">
        <f>HYPERLINK("http://www.worldcat.org/oclc/61536794","WorldCat Record")</f>
        <v>WorldCat Record</v>
      </c>
      <c r="AX4208" s="3" t="s">
        <v>36422</v>
      </c>
      <c r="AY4208" s="3" t="s">
        <v>36423</v>
      </c>
      <c r="AZ4208" s="3" t="s">
        <v>36424</v>
      </c>
      <c r="BA4208" s="3" t="s">
        <v>36424</v>
      </c>
      <c r="BB4208" s="3" t="s">
        <v>36425</v>
      </c>
      <c r="BC4208" s="3" t="s">
        <v>82</v>
      </c>
      <c r="BD4208" s="3" t="s">
        <v>70</v>
      </c>
      <c r="BF4208" s="3" t="s">
        <v>36425</v>
      </c>
      <c r="BG4208" s="3" t="s">
        <v>36426</v>
      </c>
    </row>
    <row r="4209" spans="1:59" ht="60" x14ac:dyDescent="0.25">
      <c r="A4209" s="2" t="s">
        <v>59</v>
      </c>
      <c r="B4209" s="2" t="s">
        <v>60</v>
      </c>
      <c r="C4209" s="2" t="s">
        <v>36427</v>
      </c>
      <c r="D4209" s="2" t="s">
        <v>36428</v>
      </c>
      <c r="E4209" s="2" t="s">
        <v>36429</v>
      </c>
      <c r="G4209" s="3" t="s">
        <v>62</v>
      </c>
      <c r="I4209" s="3" t="s">
        <v>63</v>
      </c>
      <c r="J4209" s="3" t="s">
        <v>63</v>
      </c>
      <c r="K4209" s="3" t="s">
        <v>64</v>
      </c>
      <c r="L4209" s="2" t="s">
        <v>36430</v>
      </c>
      <c r="M4209" s="2" t="s">
        <v>36431</v>
      </c>
      <c r="N4209" s="3" t="s">
        <v>12703</v>
      </c>
      <c r="P4209" s="3" t="s">
        <v>66</v>
      </c>
      <c r="R4209" s="3" t="s">
        <v>67</v>
      </c>
      <c r="S4209" s="4">
        <v>1</v>
      </c>
      <c r="T4209" s="4">
        <v>1</v>
      </c>
      <c r="U4209" s="5" t="s">
        <v>36411</v>
      </c>
      <c r="V4209" s="5" t="s">
        <v>36411</v>
      </c>
      <c r="W4209" s="5" t="s">
        <v>69</v>
      </c>
      <c r="X4209" s="5" t="s">
        <v>69</v>
      </c>
      <c r="Y4209" s="4">
        <v>44</v>
      </c>
      <c r="Z4209" s="4">
        <v>9</v>
      </c>
      <c r="AA4209" s="4">
        <v>10</v>
      </c>
      <c r="AB4209" s="4">
        <v>1</v>
      </c>
      <c r="AC4209" s="4">
        <v>1</v>
      </c>
      <c r="AD4209" s="4">
        <v>22</v>
      </c>
      <c r="AE4209" s="4">
        <v>25</v>
      </c>
      <c r="AF4209" s="4">
        <v>0</v>
      </c>
      <c r="AG4209" s="4">
        <v>0</v>
      </c>
      <c r="AH4209" s="4">
        <v>20</v>
      </c>
      <c r="AI4209" s="4">
        <v>23</v>
      </c>
      <c r="AJ4209" s="4">
        <v>5</v>
      </c>
      <c r="AK4209" s="4">
        <v>6</v>
      </c>
      <c r="AL4209" s="4">
        <v>14</v>
      </c>
      <c r="AM4209" s="4">
        <v>15</v>
      </c>
      <c r="AN4209" s="4">
        <v>0</v>
      </c>
      <c r="AO4209" s="4">
        <v>0</v>
      </c>
      <c r="AP4209" s="4">
        <v>4</v>
      </c>
      <c r="AQ4209" s="4">
        <v>5</v>
      </c>
      <c r="AR4209" s="3" t="s">
        <v>63</v>
      </c>
      <c r="AS4209" s="3" t="s">
        <v>63</v>
      </c>
      <c r="AT4209" s="3" t="s">
        <v>63</v>
      </c>
      <c r="AV4209" s="6" t="str">
        <f>HYPERLINK("http://mcgill.on.worldcat.org/oclc/14648676","Catalog Record")</f>
        <v>Catalog Record</v>
      </c>
      <c r="AW4209" s="6" t="str">
        <f>HYPERLINK("http://www.worldcat.org/oclc/14648676","WorldCat Record")</f>
        <v>WorldCat Record</v>
      </c>
      <c r="AX4209" s="3" t="s">
        <v>36432</v>
      </c>
      <c r="AY4209" s="3" t="s">
        <v>36433</v>
      </c>
      <c r="AZ4209" s="3" t="s">
        <v>36434</v>
      </c>
      <c r="BA4209" s="3" t="s">
        <v>36434</v>
      </c>
      <c r="BB4209" s="3" t="s">
        <v>36435</v>
      </c>
      <c r="BC4209" s="3" t="s">
        <v>82</v>
      </c>
      <c r="BD4209" s="3" t="s">
        <v>70</v>
      </c>
      <c r="BF4209" s="3" t="s">
        <v>36435</v>
      </c>
      <c r="BG4209" s="3" t="s">
        <v>36436</v>
      </c>
    </row>
    <row r="4210" spans="1:59" ht="60" x14ac:dyDescent="0.25">
      <c r="A4210" s="2" t="s">
        <v>59</v>
      </c>
      <c r="B4210" s="2" t="s">
        <v>60</v>
      </c>
      <c r="C4210" s="2" t="s">
        <v>36437</v>
      </c>
      <c r="D4210" s="2" t="s">
        <v>36438</v>
      </c>
      <c r="E4210" s="2" t="s">
        <v>36439</v>
      </c>
      <c r="G4210" s="3" t="s">
        <v>63</v>
      </c>
      <c r="I4210" s="3" t="s">
        <v>63</v>
      </c>
      <c r="J4210" s="3" t="s">
        <v>62</v>
      </c>
      <c r="K4210" s="3" t="s">
        <v>64</v>
      </c>
      <c r="L4210" s="2" t="s">
        <v>36440</v>
      </c>
      <c r="M4210" s="2" t="s">
        <v>36441</v>
      </c>
      <c r="N4210" s="3" t="s">
        <v>9103</v>
      </c>
      <c r="P4210" s="3" t="s">
        <v>36343</v>
      </c>
      <c r="R4210" s="3" t="s">
        <v>67</v>
      </c>
      <c r="S4210" s="4">
        <v>7</v>
      </c>
      <c r="T4210" s="4">
        <v>7</v>
      </c>
      <c r="U4210" s="5" t="s">
        <v>328</v>
      </c>
      <c r="V4210" s="5" t="s">
        <v>328</v>
      </c>
      <c r="W4210" s="5" t="s">
        <v>69</v>
      </c>
      <c r="X4210" s="5" t="s">
        <v>69</v>
      </c>
      <c r="Y4210" s="4">
        <v>1</v>
      </c>
      <c r="Z4210" s="4">
        <v>1</v>
      </c>
      <c r="AA4210" s="4">
        <v>13</v>
      </c>
      <c r="AB4210" s="4">
        <v>1</v>
      </c>
      <c r="AC4210" s="4">
        <v>2</v>
      </c>
      <c r="AD4210" s="4">
        <v>0</v>
      </c>
      <c r="AE4210" s="4">
        <v>18</v>
      </c>
      <c r="AF4210" s="4">
        <v>0</v>
      </c>
      <c r="AG4210" s="4">
        <v>1</v>
      </c>
      <c r="AH4210" s="4">
        <v>0</v>
      </c>
      <c r="AI4210" s="4">
        <v>13</v>
      </c>
      <c r="AJ4210" s="4">
        <v>0</v>
      </c>
      <c r="AK4210" s="4">
        <v>9</v>
      </c>
      <c r="AL4210" s="4">
        <v>0</v>
      </c>
      <c r="AM4210" s="4">
        <v>9</v>
      </c>
      <c r="AN4210" s="4">
        <v>0</v>
      </c>
      <c r="AO4210" s="4">
        <v>1</v>
      </c>
      <c r="AP4210" s="4">
        <v>0</v>
      </c>
      <c r="AQ4210" s="4">
        <v>7</v>
      </c>
      <c r="AR4210" s="3" t="s">
        <v>63</v>
      </c>
      <c r="AS4210" s="3" t="s">
        <v>63</v>
      </c>
      <c r="AT4210" s="3" t="s">
        <v>63</v>
      </c>
      <c r="AV4210" s="6" t="str">
        <f>HYPERLINK("http://mcgill.on.worldcat.org/oclc/427896903","Catalog Record")</f>
        <v>Catalog Record</v>
      </c>
      <c r="AW4210" s="6" t="str">
        <f>HYPERLINK("http://www.worldcat.org/oclc/427896903","WorldCat Record")</f>
        <v>WorldCat Record</v>
      </c>
      <c r="AX4210" s="3" t="s">
        <v>36442</v>
      </c>
      <c r="AY4210" s="3" t="s">
        <v>36443</v>
      </c>
      <c r="AZ4210" s="3" t="s">
        <v>36444</v>
      </c>
      <c r="BA4210" s="3" t="s">
        <v>36444</v>
      </c>
      <c r="BB4210" s="3" t="s">
        <v>36445</v>
      </c>
      <c r="BC4210" s="3" t="s">
        <v>82</v>
      </c>
      <c r="BD4210" s="3" t="s">
        <v>70</v>
      </c>
      <c r="BF4210" s="3" t="s">
        <v>36445</v>
      </c>
      <c r="BG4210" s="3" t="s">
        <v>36446</v>
      </c>
    </row>
    <row r="4211" spans="1:59" ht="60" x14ac:dyDescent="0.25">
      <c r="A4211" s="2" t="s">
        <v>59</v>
      </c>
      <c r="B4211" s="2" t="s">
        <v>60</v>
      </c>
      <c r="C4211" s="2" t="s">
        <v>36447</v>
      </c>
      <c r="D4211" s="2" t="s">
        <v>36448</v>
      </c>
      <c r="E4211" s="2" t="s">
        <v>36449</v>
      </c>
      <c r="G4211" s="3" t="s">
        <v>63</v>
      </c>
      <c r="I4211" s="3" t="s">
        <v>63</v>
      </c>
      <c r="J4211" s="3" t="s">
        <v>63</v>
      </c>
      <c r="K4211" s="3" t="s">
        <v>64</v>
      </c>
      <c r="L4211" s="2" t="s">
        <v>36450</v>
      </c>
      <c r="M4211" s="2" t="s">
        <v>36451</v>
      </c>
      <c r="N4211" s="3" t="s">
        <v>1113</v>
      </c>
      <c r="P4211" s="3" t="s">
        <v>66</v>
      </c>
      <c r="Q4211" s="2" t="s">
        <v>36452</v>
      </c>
      <c r="R4211" s="3" t="s">
        <v>67</v>
      </c>
      <c r="S4211" s="4">
        <v>4</v>
      </c>
      <c r="T4211" s="4">
        <v>4</v>
      </c>
      <c r="U4211" s="5" t="s">
        <v>6808</v>
      </c>
      <c r="V4211" s="5" t="s">
        <v>6808</v>
      </c>
      <c r="W4211" s="5" t="s">
        <v>69</v>
      </c>
      <c r="X4211" s="5" t="s">
        <v>69</v>
      </c>
      <c r="Y4211" s="4">
        <v>212</v>
      </c>
      <c r="Z4211" s="4">
        <v>18</v>
      </c>
      <c r="AA4211" s="4">
        <v>18</v>
      </c>
      <c r="AB4211" s="4">
        <v>1</v>
      </c>
      <c r="AC4211" s="4">
        <v>1</v>
      </c>
      <c r="AD4211" s="4">
        <v>92</v>
      </c>
      <c r="AE4211" s="4">
        <v>92</v>
      </c>
      <c r="AF4211" s="4">
        <v>0</v>
      </c>
      <c r="AG4211" s="4">
        <v>0</v>
      </c>
      <c r="AH4211" s="4">
        <v>83</v>
      </c>
      <c r="AI4211" s="4">
        <v>83</v>
      </c>
      <c r="AJ4211" s="4">
        <v>14</v>
      </c>
      <c r="AK4211" s="4">
        <v>14</v>
      </c>
      <c r="AL4211" s="4">
        <v>51</v>
      </c>
      <c r="AM4211" s="4">
        <v>51</v>
      </c>
      <c r="AN4211" s="4">
        <v>0</v>
      </c>
      <c r="AO4211" s="4">
        <v>0</v>
      </c>
      <c r="AP4211" s="4">
        <v>13</v>
      </c>
      <c r="AQ4211" s="4">
        <v>13</v>
      </c>
      <c r="AR4211" s="3" t="s">
        <v>63</v>
      </c>
      <c r="AS4211" s="3" t="s">
        <v>63</v>
      </c>
      <c r="AT4211" s="3" t="s">
        <v>62</v>
      </c>
      <c r="AU4211" s="6" t="str">
        <f>HYPERLINK("http://catalog.hathitrust.org/Record/007134750","HathiTrust Record")</f>
        <v>HathiTrust Record</v>
      </c>
      <c r="AV4211" s="6" t="str">
        <f>HYPERLINK("http://mcgill.on.worldcat.org/oclc/38253286","Catalog Record")</f>
        <v>Catalog Record</v>
      </c>
      <c r="AW4211" s="6" t="str">
        <f>HYPERLINK("http://www.worldcat.org/oclc/38253286","WorldCat Record")</f>
        <v>WorldCat Record</v>
      </c>
      <c r="AX4211" s="3" t="s">
        <v>36453</v>
      </c>
      <c r="AY4211" s="3" t="s">
        <v>36454</v>
      </c>
      <c r="AZ4211" s="3" t="s">
        <v>36455</v>
      </c>
      <c r="BA4211" s="3" t="s">
        <v>36455</v>
      </c>
      <c r="BB4211" s="3" t="s">
        <v>36456</v>
      </c>
      <c r="BC4211" s="3" t="s">
        <v>82</v>
      </c>
      <c r="BD4211" s="3" t="s">
        <v>70</v>
      </c>
      <c r="BE4211" s="3" t="s">
        <v>36457</v>
      </c>
      <c r="BF4211" s="3" t="s">
        <v>36456</v>
      </c>
      <c r="BG4211" s="3" t="s">
        <v>36458</v>
      </c>
    </row>
    <row r="4212" spans="1:59" ht="60" x14ac:dyDescent="0.25">
      <c r="A4212" s="2" t="s">
        <v>59</v>
      </c>
      <c r="B4212" s="2" t="s">
        <v>60</v>
      </c>
      <c r="C4212" s="2" t="s">
        <v>36459</v>
      </c>
      <c r="D4212" s="2" t="s">
        <v>36460</v>
      </c>
      <c r="E4212" s="2" t="s">
        <v>36461</v>
      </c>
      <c r="G4212" s="3" t="s">
        <v>63</v>
      </c>
      <c r="I4212" s="3" t="s">
        <v>63</v>
      </c>
      <c r="J4212" s="3" t="s">
        <v>63</v>
      </c>
      <c r="K4212" s="3" t="s">
        <v>64</v>
      </c>
      <c r="L4212" s="2" t="s">
        <v>36462</v>
      </c>
      <c r="M4212" s="2" t="s">
        <v>36463</v>
      </c>
      <c r="N4212" s="3" t="s">
        <v>326</v>
      </c>
      <c r="P4212" s="3" t="s">
        <v>66</v>
      </c>
      <c r="R4212" s="3" t="s">
        <v>67</v>
      </c>
      <c r="S4212" s="4">
        <v>3</v>
      </c>
      <c r="T4212" s="4">
        <v>3</v>
      </c>
      <c r="U4212" s="5" t="s">
        <v>36464</v>
      </c>
      <c r="V4212" s="5" t="s">
        <v>36464</v>
      </c>
      <c r="W4212" s="5" t="s">
        <v>69</v>
      </c>
      <c r="X4212" s="5" t="s">
        <v>69</v>
      </c>
      <c r="Y4212" s="4">
        <v>147</v>
      </c>
      <c r="Z4212" s="4">
        <v>15</v>
      </c>
      <c r="AA4212" s="4">
        <v>100</v>
      </c>
      <c r="AB4212" s="4">
        <v>2</v>
      </c>
      <c r="AC4212" s="4">
        <v>18</v>
      </c>
      <c r="AD4212" s="4">
        <v>76</v>
      </c>
      <c r="AE4212" s="4">
        <v>134</v>
      </c>
      <c r="AF4212" s="4">
        <v>0</v>
      </c>
      <c r="AG4212" s="4">
        <v>8</v>
      </c>
      <c r="AH4212" s="4">
        <v>71</v>
      </c>
      <c r="AI4212" s="4">
        <v>99</v>
      </c>
      <c r="AJ4212" s="4">
        <v>11</v>
      </c>
      <c r="AK4212" s="4">
        <v>24</v>
      </c>
      <c r="AL4212" s="4">
        <v>44</v>
      </c>
      <c r="AM4212" s="4">
        <v>54</v>
      </c>
      <c r="AN4212" s="4">
        <v>0</v>
      </c>
      <c r="AO4212" s="4">
        <v>0</v>
      </c>
      <c r="AP4212" s="4">
        <v>11</v>
      </c>
      <c r="AQ4212" s="4">
        <v>45</v>
      </c>
      <c r="AR4212" s="3" t="s">
        <v>63</v>
      </c>
      <c r="AS4212" s="3" t="s">
        <v>63</v>
      </c>
      <c r="AT4212" s="3" t="s">
        <v>63</v>
      </c>
      <c r="AV4212" s="6" t="str">
        <f>HYPERLINK("http://mcgill.on.worldcat.org/oclc/312096523","Catalog Record")</f>
        <v>Catalog Record</v>
      </c>
      <c r="AW4212" s="6" t="str">
        <f>HYPERLINK("http://www.worldcat.org/oclc/312096523","WorldCat Record")</f>
        <v>WorldCat Record</v>
      </c>
      <c r="AX4212" s="3" t="s">
        <v>36465</v>
      </c>
      <c r="AY4212" s="3" t="s">
        <v>36466</v>
      </c>
      <c r="AZ4212" s="3" t="s">
        <v>36467</v>
      </c>
      <c r="BA4212" s="3" t="s">
        <v>36467</v>
      </c>
      <c r="BB4212" s="3" t="s">
        <v>36468</v>
      </c>
      <c r="BC4212" s="3" t="s">
        <v>82</v>
      </c>
      <c r="BD4212" s="3" t="s">
        <v>70</v>
      </c>
      <c r="BE4212" s="3" t="s">
        <v>36469</v>
      </c>
      <c r="BF4212" s="3" t="s">
        <v>36468</v>
      </c>
      <c r="BG4212" s="3" t="s">
        <v>36470</v>
      </c>
    </row>
    <row r="4213" spans="1:59" ht="150" x14ac:dyDescent="0.25">
      <c r="A4213" s="2" t="s">
        <v>59</v>
      </c>
      <c r="B4213" s="2" t="s">
        <v>60</v>
      </c>
      <c r="C4213" s="2" t="s">
        <v>36471</v>
      </c>
      <c r="D4213" s="2" t="s">
        <v>36472</v>
      </c>
      <c r="E4213" s="2" t="s">
        <v>36473</v>
      </c>
      <c r="G4213" s="3" t="s">
        <v>63</v>
      </c>
      <c r="I4213" s="3" t="s">
        <v>63</v>
      </c>
      <c r="J4213" s="3" t="s">
        <v>63</v>
      </c>
      <c r="K4213" s="3" t="s">
        <v>64</v>
      </c>
      <c r="M4213" s="2" t="s">
        <v>36474</v>
      </c>
      <c r="N4213" s="3" t="s">
        <v>76</v>
      </c>
      <c r="P4213" s="3" t="s">
        <v>36343</v>
      </c>
      <c r="R4213" s="3" t="s">
        <v>67</v>
      </c>
      <c r="S4213" s="4">
        <v>0</v>
      </c>
      <c r="T4213" s="4">
        <v>0</v>
      </c>
      <c r="W4213" s="5" t="s">
        <v>69</v>
      </c>
      <c r="X4213" s="5" t="s">
        <v>69</v>
      </c>
      <c r="Y4213" s="4">
        <v>26</v>
      </c>
      <c r="Z4213" s="4">
        <v>11</v>
      </c>
      <c r="AA4213" s="4">
        <v>11</v>
      </c>
      <c r="AB4213" s="4">
        <v>1</v>
      </c>
      <c r="AC4213" s="4">
        <v>1</v>
      </c>
      <c r="AD4213" s="4">
        <v>21</v>
      </c>
      <c r="AE4213" s="4">
        <v>21</v>
      </c>
      <c r="AF4213" s="4">
        <v>0</v>
      </c>
      <c r="AG4213" s="4">
        <v>0</v>
      </c>
      <c r="AH4213" s="4">
        <v>18</v>
      </c>
      <c r="AI4213" s="4">
        <v>18</v>
      </c>
      <c r="AJ4213" s="4">
        <v>8</v>
      </c>
      <c r="AK4213" s="4">
        <v>8</v>
      </c>
      <c r="AL4213" s="4">
        <v>10</v>
      </c>
      <c r="AM4213" s="4">
        <v>10</v>
      </c>
      <c r="AN4213" s="4">
        <v>0</v>
      </c>
      <c r="AO4213" s="4">
        <v>0</v>
      </c>
      <c r="AP4213" s="4">
        <v>8</v>
      </c>
      <c r="AQ4213" s="4">
        <v>8</v>
      </c>
      <c r="AR4213" s="3" t="s">
        <v>62</v>
      </c>
      <c r="AS4213" s="3" t="s">
        <v>63</v>
      </c>
      <c r="AT4213" s="3" t="s">
        <v>63</v>
      </c>
      <c r="AV4213" s="6" t="str">
        <f>HYPERLINK("http://mcgill.on.worldcat.org/oclc/829793942","Catalog Record")</f>
        <v>Catalog Record</v>
      </c>
      <c r="AW4213" s="6" t="str">
        <f>HYPERLINK("http://www.worldcat.org/oclc/829793942","WorldCat Record")</f>
        <v>WorldCat Record</v>
      </c>
      <c r="AX4213" s="3" t="s">
        <v>36475</v>
      </c>
      <c r="AY4213" s="3" t="s">
        <v>36476</v>
      </c>
      <c r="AZ4213" s="3" t="s">
        <v>36477</v>
      </c>
      <c r="BA4213" s="3" t="s">
        <v>36477</v>
      </c>
      <c r="BB4213" s="3" t="s">
        <v>36478</v>
      </c>
      <c r="BC4213" s="3" t="s">
        <v>82</v>
      </c>
      <c r="BD4213" s="3" t="s">
        <v>70</v>
      </c>
      <c r="BE4213" s="3" t="s">
        <v>36479</v>
      </c>
      <c r="BF4213" s="3" t="s">
        <v>36478</v>
      </c>
      <c r="BG4213" s="3" t="s">
        <v>36480</v>
      </c>
    </row>
    <row r="4214" spans="1:59" ht="60" x14ac:dyDescent="0.25">
      <c r="A4214" s="2" t="s">
        <v>59</v>
      </c>
      <c r="B4214" s="2" t="s">
        <v>60</v>
      </c>
      <c r="C4214" s="2" t="s">
        <v>36481</v>
      </c>
      <c r="D4214" s="2" t="s">
        <v>36482</v>
      </c>
      <c r="E4214" s="2" t="s">
        <v>36483</v>
      </c>
      <c r="G4214" s="3" t="s">
        <v>63</v>
      </c>
      <c r="I4214" s="3" t="s">
        <v>63</v>
      </c>
      <c r="J4214" s="3" t="s">
        <v>63</v>
      </c>
      <c r="K4214" s="3" t="s">
        <v>64</v>
      </c>
      <c r="L4214" s="2" t="s">
        <v>36484</v>
      </c>
      <c r="M4214" s="2" t="s">
        <v>7894</v>
      </c>
      <c r="N4214" s="3" t="s">
        <v>668</v>
      </c>
      <c r="O4214" s="2" t="s">
        <v>36485</v>
      </c>
      <c r="P4214" s="3" t="s">
        <v>66</v>
      </c>
      <c r="Q4214" s="2" t="s">
        <v>5152</v>
      </c>
      <c r="R4214" s="3" t="s">
        <v>67</v>
      </c>
      <c r="S4214" s="4">
        <v>6</v>
      </c>
      <c r="T4214" s="4">
        <v>6</v>
      </c>
      <c r="U4214" s="5" t="s">
        <v>6808</v>
      </c>
      <c r="V4214" s="5" t="s">
        <v>6808</v>
      </c>
      <c r="W4214" s="5" t="s">
        <v>69</v>
      </c>
      <c r="X4214" s="5" t="s">
        <v>69</v>
      </c>
      <c r="Y4214" s="4">
        <v>197</v>
      </c>
      <c r="Z4214" s="4">
        <v>16</v>
      </c>
      <c r="AA4214" s="4">
        <v>34</v>
      </c>
      <c r="AB4214" s="4">
        <v>1</v>
      </c>
      <c r="AC4214" s="4">
        <v>4</v>
      </c>
      <c r="AD4214" s="4">
        <v>86</v>
      </c>
      <c r="AE4214" s="4">
        <v>120</v>
      </c>
      <c r="AF4214" s="4">
        <v>0</v>
      </c>
      <c r="AG4214" s="4">
        <v>2</v>
      </c>
      <c r="AH4214" s="4">
        <v>78</v>
      </c>
      <c r="AI4214" s="4">
        <v>102</v>
      </c>
      <c r="AJ4214" s="4">
        <v>13</v>
      </c>
      <c r="AK4214" s="4">
        <v>22</v>
      </c>
      <c r="AL4214" s="4">
        <v>44</v>
      </c>
      <c r="AM4214" s="4">
        <v>56</v>
      </c>
      <c r="AN4214" s="4">
        <v>0</v>
      </c>
      <c r="AO4214" s="4">
        <v>0</v>
      </c>
      <c r="AP4214" s="4">
        <v>12</v>
      </c>
      <c r="AQ4214" s="4">
        <v>23</v>
      </c>
      <c r="AR4214" s="3" t="s">
        <v>63</v>
      </c>
      <c r="AS4214" s="3" t="s">
        <v>63</v>
      </c>
      <c r="AT4214" s="3" t="s">
        <v>62</v>
      </c>
      <c r="AU4214" s="6" t="str">
        <f>HYPERLINK("http://catalog.hathitrust.org/Record/002225176","HathiTrust Record")</f>
        <v>HathiTrust Record</v>
      </c>
      <c r="AV4214" s="6" t="str">
        <f>HYPERLINK("http://mcgill.on.worldcat.org/oclc/21563246","Catalog Record")</f>
        <v>Catalog Record</v>
      </c>
      <c r="AW4214" s="6" t="str">
        <f>HYPERLINK("http://www.worldcat.org/oclc/21563246","WorldCat Record")</f>
        <v>WorldCat Record</v>
      </c>
      <c r="AX4214" s="3" t="s">
        <v>36486</v>
      </c>
      <c r="AY4214" s="3" t="s">
        <v>36487</v>
      </c>
      <c r="AZ4214" s="3" t="s">
        <v>36488</v>
      </c>
      <c r="BA4214" s="3" t="s">
        <v>36488</v>
      </c>
      <c r="BB4214" s="3" t="s">
        <v>36489</v>
      </c>
      <c r="BC4214" s="3" t="s">
        <v>82</v>
      </c>
      <c r="BD4214" s="3" t="s">
        <v>70</v>
      </c>
      <c r="BE4214" s="3" t="s">
        <v>36490</v>
      </c>
      <c r="BF4214" s="3" t="s">
        <v>36489</v>
      </c>
      <c r="BG4214" s="3" t="s">
        <v>36491</v>
      </c>
    </row>
    <row r="4215" spans="1:59" ht="60" x14ac:dyDescent="0.25">
      <c r="A4215" s="2" t="s">
        <v>59</v>
      </c>
      <c r="B4215" s="2" t="s">
        <v>60</v>
      </c>
      <c r="C4215" s="2" t="s">
        <v>36492</v>
      </c>
      <c r="D4215" s="2" t="s">
        <v>36493</v>
      </c>
      <c r="E4215" s="2" t="s">
        <v>36494</v>
      </c>
      <c r="G4215" s="3" t="s">
        <v>63</v>
      </c>
      <c r="I4215" s="3" t="s">
        <v>63</v>
      </c>
      <c r="J4215" s="3" t="s">
        <v>63</v>
      </c>
      <c r="K4215" s="3" t="s">
        <v>64</v>
      </c>
      <c r="L4215" s="2" t="s">
        <v>36484</v>
      </c>
      <c r="M4215" s="2" t="s">
        <v>36495</v>
      </c>
      <c r="N4215" s="3" t="s">
        <v>531</v>
      </c>
      <c r="P4215" s="3" t="s">
        <v>66</v>
      </c>
      <c r="R4215" s="3" t="s">
        <v>67</v>
      </c>
      <c r="S4215" s="4">
        <v>4</v>
      </c>
      <c r="T4215" s="4">
        <v>4</v>
      </c>
      <c r="U4215" s="5" t="s">
        <v>6808</v>
      </c>
      <c r="V4215" s="5" t="s">
        <v>6808</v>
      </c>
      <c r="W4215" s="5" t="s">
        <v>69</v>
      </c>
      <c r="X4215" s="5" t="s">
        <v>69</v>
      </c>
      <c r="Y4215" s="4">
        <v>293</v>
      </c>
      <c r="Z4215" s="4">
        <v>29</v>
      </c>
      <c r="AA4215" s="4">
        <v>51</v>
      </c>
      <c r="AB4215" s="4">
        <v>1</v>
      </c>
      <c r="AC4215" s="4">
        <v>7</v>
      </c>
      <c r="AD4215" s="4">
        <v>105</v>
      </c>
      <c r="AE4215" s="4">
        <v>114</v>
      </c>
      <c r="AF4215" s="4">
        <v>0</v>
      </c>
      <c r="AG4215" s="4">
        <v>2</v>
      </c>
      <c r="AH4215" s="4">
        <v>90</v>
      </c>
      <c r="AI4215" s="4">
        <v>93</v>
      </c>
      <c r="AJ4215" s="4">
        <v>16</v>
      </c>
      <c r="AK4215" s="4">
        <v>21</v>
      </c>
      <c r="AL4215" s="4">
        <v>52</v>
      </c>
      <c r="AM4215" s="4">
        <v>52</v>
      </c>
      <c r="AN4215" s="4">
        <v>0</v>
      </c>
      <c r="AO4215" s="4">
        <v>0</v>
      </c>
      <c r="AP4215" s="4">
        <v>20</v>
      </c>
      <c r="AQ4215" s="4">
        <v>27</v>
      </c>
      <c r="AR4215" s="3" t="s">
        <v>62</v>
      </c>
      <c r="AS4215" s="3" t="s">
        <v>63</v>
      </c>
      <c r="AT4215" s="3" t="s">
        <v>62</v>
      </c>
      <c r="AU4215" s="6" t="str">
        <f>HYPERLINK("http://catalog.hathitrust.org/Record/002547041","HathiTrust Record")</f>
        <v>HathiTrust Record</v>
      </c>
      <c r="AV4215" s="6" t="str">
        <f>HYPERLINK("http://mcgill.on.worldcat.org/oclc/26674220","Catalog Record")</f>
        <v>Catalog Record</v>
      </c>
      <c r="AW4215" s="6" t="str">
        <f>HYPERLINK("http://www.worldcat.org/oclc/26674220","WorldCat Record")</f>
        <v>WorldCat Record</v>
      </c>
      <c r="AX4215" s="3" t="s">
        <v>36496</v>
      </c>
      <c r="AY4215" s="3" t="s">
        <v>36497</v>
      </c>
      <c r="AZ4215" s="3" t="s">
        <v>36498</v>
      </c>
      <c r="BA4215" s="3" t="s">
        <v>36498</v>
      </c>
      <c r="BB4215" s="3" t="s">
        <v>36499</v>
      </c>
      <c r="BC4215" s="3" t="s">
        <v>82</v>
      </c>
      <c r="BD4215" s="3" t="s">
        <v>70</v>
      </c>
      <c r="BE4215" s="3" t="s">
        <v>36500</v>
      </c>
      <c r="BF4215" s="3" t="s">
        <v>36499</v>
      </c>
      <c r="BG4215" s="3" t="s">
        <v>36501</v>
      </c>
    </row>
    <row r="4216" spans="1:59" ht="60" x14ac:dyDescent="0.25">
      <c r="A4216" s="2" t="s">
        <v>59</v>
      </c>
      <c r="B4216" s="2" t="s">
        <v>60</v>
      </c>
      <c r="C4216" s="2" t="s">
        <v>36502</v>
      </c>
      <c r="D4216" s="2" t="s">
        <v>36503</v>
      </c>
      <c r="E4216" s="2" t="s">
        <v>36504</v>
      </c>
      <c r="G4216" s="3" t="s">
        <v>63</v>
      </c>
      <c r="I4216" s="3" t="s">
        <v>63</v>
      </c>
      <c r="J4216" s="3" t="s">
        <v>63</v>
      </c>
      <c r="K4216" s="3" t="s">
        <v>64</v>
      </c>
      <c r="L4216" s="2" t="s">
        <v>36462</v>
      </c>
      <c r="M4216" s="2" t="s">
        <v>36505</v>
      </c>
      <c r="N4216" s="3" t="s">
        <v>531</v>
      </c>
      <c r="P4216" s="3" t="s">
        <v>66</v>
      </c>
      <c r="R4216" s="3" t="s">
        <v>67</v>
      </c>
      <c r="S4216" s="4">
        <v>4</v>
      </c>
      <c r="T4216" s="4">
        <v>4</v>
      </c>
      <c r="U4216" s="5" t="s">
        <v>6808</v>
      </c>
      <c r="V4216" s="5" t="s">
        <v>6808</v>
      </c>
      <c r="W4216" s="5" t="s">
        <v>69</v>
      </c>
      <c r="X4216" s="5" t="s">
        <v>69</v>
      </c>
      <c r="Y4216" s="4">
        <v>97</v>
      </c>
      <c r="Z4216" s="4">
        <v>16</v>
      </c>
      <c r="AA4216" s="4">
        <v>16</v>
      </c>
      <c r="AB4216" s="4">
        <v>1</v>
      </c>
      <c r="AC4216" s="4">
        <v>1</v>
      </c>
      <c r="AD4216" s="4">
        <v>50</v>
      </c>
      <c r="AE4216" s="4">
        <v>50</v>
      </c>
      <c r="AF4216" s="4">
        <v>0</v>
      </c>
      <c r="AG4216" s="4">
        <v>0</v>
      </c>
      <c r="AH4216" s="4">
        <v>41</v>
      </c>
      <c r="AI4216" s="4">
        <v>41</v>
      </c>
      <c r="AJ4216" s="4">
        <v>11</v>
      </c>
      <c r="AK4216" s="4">
        <v>11</v>
      </c>
      <c r="AL4216" s="4">
        <v>28</v>
      </c>
      <c r="AM4216" s="4">
        <v>28</v>
      </c>
      <c r="AN4216" s="4">
        <v>0</v>
      </c>
      <c r="AO4216" s="4">
        <v>0</v>
      </c>
      <c r="AP4216" s="4">
        <v>12</v>
      </c>
      <c r="AQ4216" s="4">
        <v>12</v>
      </c>
      <c r="AR4216" s="3" t="s">
        <v>62</v>
      </c>
      <c r="AS4216" s="3" t="s">
        <v>63</v>
      </c>
      <c r="AT4216" s="3" t="s">
        <v>63</v>
      </c>
      <c r="AV4216" s="6" t="str">
        <f>HYPERLINK("http://mcgill.on.worldcat.org/oclc/26804826","Catalog Record")</f>
        <v>Catalog Record</v>
      </c>
      <c r="AW4216" s="6" t="str">
        <f>HYPERLINK("http://www.worldcat.org/oclc/26804826","WorldCat Record")</f>
        <v>WorldCat Record</v>
      </c>
      <c r="AX4216" s="3" t="s">
        <v>36506</v>
      </c>
      <c r="AY4216" s="3" t="s">
        <v>36507</v>
      </c>
      <c r="AZ4216" s="3" t="s">
        <v>36508</v>
      </c>
      <c r="BA4216" s="3" t="s">
        <v>36508</v>
      </c>
      <c r="BB4216" s="3" t="s">
        <v>36509</v>
      </c>
      <c r="BC4216" s="3" t="s">
        <v>82</v>
      </c>
      <c r="BD4216" s="3" t="s">
        <v>70</v>
      </c>
      <c r="BE4216" s="3" t="s">
        <v>36510</v>
      </c>
      <c r="BF4216" s="3" t="s">
        <v>36509</v>
      </c>
      <c r="BG4216" s="3" t="s">
        <v>36511</v>
      </c>
    </row>
    <row r="4217" spans="1:59" ht="60" x14ac:dyDescent="0.25">
      <c r="A4217" s="2" t="s">
        <v>59</v>
      </c>
      <c r="B4217" s="2" t="s">
        <v>60</v>
      </c>
      <c r="C4217" s="2" t="s">
        <v>36512</v>
      </c>
      <c r="D4217" s="2" t="s">
        <v>36513</v>
      </c>
      <c r="E4217" s="2" t="s">
        <v>36514</v>
      </c>
      <c r="G4217" s="3" t="s">
        <v>63</v>
      </c>
      <c r="I4217" s="3" t="s">
        <v>63</v>
      </c>
      <c r="J4217" s="3" t="s">
        <v>63</v>
      </c>
      <c r="K4217" s="3" t="s">
        <v>64</v>
      </c>
      <c r="L4217" s="2" t="s">
        <v>36515</v>
      </c>
      <c r="M4217" s="2" t="s">
        <v>36299</v>
      </c>
      <c r="N4217" s="3" t="s">
        <v>76</v>
      </c>
      <c r="P4217" s="3" t="s">
        <v>66</v>
      </c>
      <c r="R4217" s="3" t="s">
        <v>67</v>
      </c>
      <c r="S4217" s="4">
        <v>0</v>
      </c>
      <c r="T4217" s="4">
        <v>0</v>
      </c>
      <c r="W4217" s="5" t="s">
        <v>69</v>
      </c>
      <c r="X4217" s="5" t="s">
        <v>69</v>
      </c>
      <c r="Y4217" s="4">
        <v>124</v>
      </c>
      <c r="Z4217" s="4">
        <v>20</v>
      </c>
      <c r="AA4217" s="4">
        <v>95</v>
      </c>
      <c r="AB4217" s="4">
        <v>1</v>
      </c>
      <c r="AC4217" s="4">
        <v>17</v>
      </c>
      <c r="AD4217" s="4">
        <v>68</v>
      </c>
      <c r="AE4217" s="4">
        <v>120</v>
      </c>
      <c r="AF4217" s="4">
        <v>0</v>
      </c>
      <c r="AG4217" s="4">
        <v>8</v>
      </c>
      <c r="AH4217" s="4">
        <v>59</v>
      </c>
      <c r="AI4217" s="4">
        <v>82</v>
      </c>
      <c r="AJ4217" s="4">
        <v>17</v>
      </c>
      <c r="AK4217" s="4">
        <v>25</v>
      </c>
      <c r="AL4217" s="4">
        <v>37</v>
      </c>
      <c r="AM4217" s="4">
        <v>45</v>
      </c>
      <c r="AN4217" s="4">
        <v>0</v>
      </c>
      <c r="AO4217" s="4">
        <v>0</v>
      </c>
      <c r="AP4217" s="4">
        <v>16</v>
      </c>
      <c r="AQ4217" s="4">
        <v>47</v>
      </c>
      <c r="AR4217" s="3" t="s">
        <v>62</v>
      </c>
      <c r="AS4217" s="3" t="s">
        <v>63</v>
      </c>
      <c r="AT4217" s="3" t="s">
        <v>63</v>
      </c>
      <c r="AV4217" s="6" t="str">
        <f>HYPERLINK("http://mcgill.on.worldcat.org/oclc/727326115","Catalog Record")</f>
        <v>Catalog Record</v>
      </c>
      <c r="AW4217" s="6" t="str">
        <f>HYPERLINK("http://www.worldcat.org/oclc/727326115","WorldCat Record")</f>
        <v>WorldCat Record</v>
      </c>
      <c r="AX4217" s="3" t="s">
        <v>36516</v>
      </c>
      <c r="AY4217" s="3" t="s">
        <v>36517</v>
      </c>
      <c r="AZ4217" s="3" t="s">
        <v>36518</v>
      </c>
      <c r="BA4217" s="3" t="s">
        <v>36518</v>
      </c>
      <c r="BB4217" s="3" t="s">
        <v>36519</v>
      </c>
      <c r="BC4217" s="3" t="s">
        <v>82</v>
      </c>
      <c r="BD4217" s="3" t="s">
        <v>70</v>
      </c>
      <c r="BE4217" s="3" t="s">
        <v>36520</v>
      </c>
      <c r="BF4217" s="3" t="s">
        <v>36519</v>
      </c>
      <c r="BG4217" s="3" t="s">
        <v>36521</v>
      </c>
    </row>
    <row r="4218" spans="1:59" ht="60" x14ac:dyDescent="0.25">
      <c r="A4218" s="2" t="s">
        <v>59</v>
      </c>
      <c r="B4218" s="2" t="s">
        <v>60</v>
      </c>
      <c r="C4218" s="2" t="s">
        <v>36522</v>
      </c>
      <c r="D4218" s="2" t="s">
        <v>36523</v>
      </c>
      <c r="E4218" s="2" t="s">
        <v>36524</v>
      </c>
      <c r="G4218" s="3" t="s">
        <v>63</v>
      </c>
      <c r="I4218" s="3" t="s">
        <v>63</v>
      </c>
      <c r="J4218" s="3" t="s">
        <v>63</v>
      </c>
      <c r="K4218" s="3" t="s">
        <v>64</v>
      </c>
      <c r="L4218" s="2" t="s">
        <v>36525</v>
      </c>
      <c r="M4218" s="2" t="s">
        <v>36526</v>
      </c>
      <c r="N4218" s="3" t="s">
        <v>2103</v>
      </c>
      <c r="P4218" s="3" t="s">
        <v>66</v>
      </c>
      <c r="R4218" s="3" t="s">
        <v>67</v>
      </c>
      <c r="S4218" s="4">
        <v>1</v>
      </c>
      <c r="T4218" s="4">
        <v>1</v>
      </c>
      <c r="U4218" s="5" t="s">
        <v>24124</v>
      </c>
      <c r="V4218" s="5" t="s">
        <v>24124</v>
      </c>
      <c r="W4218" s="5" t="s">
        <v>69</v>
      </c>
      <c r="X4218" s="5" t="s">
        <v>69</v>
      </c>
      <c r="Y4218" s="4">
        <v>233</v>
      </c>
      <c r="Z4218" s="4">
        <v>20</v>
      </c>
      <c r="AA4218" s="4">
        <v>23</v>
      </c>
      <c r="AB4218" s="4">
        <v>2</v>
      </c>
      <c r="AC4218" s="4">
        <v>3</v>
      </c>
      <c r="AD4218" s="4">
        <v>98</v>
      </c>
      <c r="AE4218" s="4">
        <v>103</v>
      </c>
      <c r="AF4218" s="4">
        <v>1</v>
      </c>
      <c r="AG4218" s="4">
        <v>2</v>
      </c>
      <c r="AH4218" s="4">
        <v>86</v>
      </c>
      <c r="AI4218" s="4">
        <v>90</v>
      </c>
      <c r="AJ4218" s="4">
        <v>14</v>
      </c>
      <c r="AK4218" s="4">
        <v>17</v>
      </c>
      <c r="AL4218" s="4">
        <v>55</v>
      </c>
      <c r="AM4218" s="4">
        <v>55</v>
      </c>
      <c r="AN4218" s="4">
        <v>0</v>
      </c>
      <c r="AO4218" s="4">
        <v>0</v>
      </c>
      <c r="AP4218" s="4">
        <v>16</v>
      </c>
      <c r="AQ4218" s="4">
        <v>19</v>
      </c>
      <c r="AR4218" s="3" t="s">
        <v>63</v>
      </c>
      <c r="AS4218" s="3" t="s">
        <v>63</v>
      </c>
      <c r="AT4218" s="3" t="s">
        <v>62</v>
      </c>
      <c r="AU4218" s="6" t="str">
        <f>HYPERLINK("http://catalog.hathitrust.org/Record/004294377","HathiTrust Record")</f>
        <v>HathiTrust Record</v>
      </c>
      <c r="AV4218" s="6" t="str">
        <f>HYPERLINK("http://mcgill.on.worldcat.org/oclc/49834431","Catalog Record")</f>
        <v>Catalog Record</v>
      </c>
      <c r="AW4218" s="6" t="str">
        <f>HYPERLINK("http://www.worldcat.org/oclc/49834431","WorldCat Record")</f>
        <v>WorldCat Record</v>
      </c>
      <c r="AX4218" s="3" t="s">
        <v>36527</v>
      </c>
      <c r="AY4218" s="3" t="s">
        <v>36528</v>
      </c>
      <c r="AZ4218" s="3" t="s">
        <v>36529</v>
      </c>
      <c r="BA4218" s="3" t="s">
        <v>36529</v>
      </c>
      <c r="BB4218" s="3" t="s">
        <v>36530</v>
      </c>
      <c r="BC4218" s="3" t="s">
        <v>82</v>
      </c>
      <c r="BD4218" s="3" t="s">
        <v>70</v>
      </c>
      <c r="BE4218" s="3" t="s">
        <v>36531</v>
      </c>
      <c r="BF4218" s="3" t="s">
        <v>36530</v>
      </c>
      <c r="BG4218" s="3" t="s">
        <v>36532</v>
      </c>
    </row>
    <row r="4219" spans="1:59" ht="60" x14ac:dyDescent="0.25">
      <c r="A4219" s="2" t="s">
        <v>59</v>
      </c>
      <c r="B4219" s="2" t="s">
        <v>60</v>
      </c>
      <c r="C4219" s="2" t="s">
        <v>36533</v>
      </c>
      <c r="D4219" s="2" t="s">
        <v>36534</v>
      </c>
      <c r="E4219" s="2" t="s">
        <v>36535</v>
      </c>
      <c r="G4219" s="3" t="s">
        <v>63</v>
      </c>
      <c r="I4219" s="3" t="s">
        <v>63</v>
      </c>
      <c r="J4219" s="3" t="s">
        <v>63</v>
      </c>
      <c r="K4219" s="3" t="s">
        <v>64</v>
      </c>
      <c r="L4219" s="2" t="s">
        <v>36536</v>
      </c>
      <c r="N4219" s="3" t="s">
        <v>939</v>
      </c>
      <c r="P4219" s="3" t="s">
        <v>36343</v>
      </c>
      <c r="R4219" s="3" t="s">
        <v>67</v>
      </c>
      <c r="S4219" s="4">
        <v>3</v>
      </c>
      <c r="T4219" s="4">
        <v>3</v>
      </c>
      <c r="U4219" s="5" t="s">
        <v>3861</v>
      </c>
      <c r="V4219" s="5" t="s">
        <v>3861</v>
      </c>
      <c r="W4219" s="5" t="s">
        <v>69</v>
      </c>
      <c r="X4219" s="5" t="s">
        <v>69</v>
      </c>
      <c r="Y4219" s="4">
        <v>3</v>
      </c>
      <c r="Z4219" s="4">
        <v>3</v>
      </c>
      <c r="AA4219" s="4">
        <v>13</v>
      </c>
      <c r="AB4219" s="4">
        <v>1</v>
      </c>
      <c r="AC4219" s="4">
        <v>1</v>
      </c>
      <c r="AD4219" s="4">
        <v>1</v>
      </c>
      <c r="AE4219" s="4">
        <v>24</v>
      </c>
      <c r="AF4219" s="4">
        <v>0</v>
      </c>
      <c r="AG4219" s="4">
        <v>0</v>
      </c>
      <c r="AH4219" s="4">
        <v>1</v>
      </c>
      <c r="AI4219" s="4">
        <v>21</v>
      </c>
      <c r="AJ4219" s="4">
        <v>1</v>
      </c>
      <c r="AK4219" s="4">
        <v>6</v>
      </c>
      <c r="AL4219" s="4">
        <v>1</v>
      </c>
      <c r="AM4219" s="4">
        <v>15</v>
      </c>
      <c r="AN4219" s="4">
        <v>0</v>
      </c>
      <c r="AO4219" s="4">
        <v>1</v>
      </c>
      <c r="AP4219" s="4">
        <v>1</v>
      </c>
      <c r="AQ4219" s="4">
        <v>6</v>
      </c>
      <c r="AR4219" s="3" t="s">
        <v>63</v>
      </c>
      <c r="AS4219" s="3" t="s">
        <v>63</v>
      </c>
      <c r="AT4219" s="3" t="s">
        <v>63</v>
      </c>
      <c r="AV4219" s="6" t="str">
        <f>HYPERLINK("http://mcgill.on.worldcat.org/oclc/427516657","Catalog Record")</f>
        <v>Catalog Record</v>
      </c>
      <c r="AW4219" s="6" t="str">
        <f>HYPERLINK("http://www.worldcat.org/oclc/427516657","WorldCat Record")</f>
        <v>WorldCat Record</v>
      </c>
      <c r="AX4219" s="3" t="s">
        <v>36537</v>
      </c>
      <c r="AY4219" s="3" t="s">
        <v>36538</v>
      </c>
      <c r="AZ4219" s="3" t="s">
        <v>36539</v>
      </c>
      <c r="BA4219" s="3" t="s">
        <v>36539</v>
      </c>
      <c r="BB4219" s="3" t="s">
        <v>36540</v>
      </c>
      <c r="BC4219" s="3" t="s">
        <v>82</v>
      </c>
      <c r="BD4219" s="3" t="s">
        <v>70</v>
      </c>
      <c r="BF4219" s="3" t="s">
        <v>36540</v>
      </c>
      <c r="BG4219" s="3" t="s">
        <v>36541</v>
      </c>
    </row>
    <row r="4220" spans="1:59" ht="60" x14ac:dyDescent="0.25">
      <c r="A4220" s="2" t="s">
        <v>59</v>
      </c>
      <c r="B4220" s="2" t="s">
        <v>60</v>
      </c>
      <c r="C4220" s="2" t="s">
        <v>36542</v>
      </c>
      <c r="D4220" s="2" t="s">
        <v>36543</v>
      </c>
      <c r="E4220" s="2" t="s">
        <v>36544</v>
      </c>
      <c r="F4220" s="3" t="s">
        <v>3647</v>
      </c>
      <c r="G4220" s="3" t="s">
        <v>62</v>
      </c>
      <c r="I4220" s="3" t="s">
        <v>63</v>
      </c>
      <c r="J4220" s="3" t="s">
        <v>63</v>
      </c>
      <c r="K4220" s="3" t="s">
        <v>64</v>
      </c>
      <c r="L4220" s="2" t="s">
        <v>36545</v>
      </c>
      <c r="M4220" s="2" t="s">
        <v>36546</v>
      </c>
      <c r="N4220" s="3" t="s">
        <v>2535</v>
      </c>
      <c r="P4220" s="3" t="s">
        <v>90</v>
      </c>
      <c r="R4220" s="3" t="s">
        <v>67</v>
      </c>
      <c r="S4220" s="4">
        <v>1</v>
      </c>
      <c r="T4220" s="4">
        <v>3</v>
      </c>
      <c r="U4220" s="5" t="s">
        <v>16663</v>
      </c>
      <c r="V4220" s="5" t="s">
        <v>29697</v>
      </c>
      <c r="W4220" s="5" t="s">
        <v>69</v>
      </c>
      <c r="X4220" s="5" t="s">
        <v>69</v>
      </c>
      <c r="Y4220" s="4">
        <v>32</v>
      </c>
      <c r="Z4220" s="4">
        <v>4</v>
      </c>
      <c r="AA4220" s="4">
        <v>4</v>
      </c>
      <c r="AB4220" s="4">
        <v>1</v>
      </c>
      <c r="AC4220" s="4">
        <v>1</v>
      </c>
      <c r="AD4220" s="4">
        <v>23</v>
      </c>
      <c r="AE4220" s="4">
        <v>23</v>
      </c>
      <c r="AF4220" s="4">
        <v>0</v>
      </c>
      <c r="AG4220" s="4">
        <v>0</v>
      </c>
      <c r="AH4220" s="4">
        <v>21</v>
      </c>
      <c r="AI4220" s="4">
        <v>21</v>
      </c>
      <c r="AJ4220" s="4">
        <v>2</v>
      </c>
      <c r="AK4220" s="4">
        <v>2</v>
      </c>
      <c r="AL4220" s="4">
        <v>20</v>
      </c>
      <c r="AM4220" s="4">
        <v>20</v>
      </c>
      <c r="AN4220" s="4">
        <v>0</v>
      </c>
      <c r="AO4220" s="4">
        <v>0</v>
      </c>
      <c r="AP4220" s="4">
        <v>2</v>
      </c>
      <c r="AQ4220" s="4">
        <v>2</v>
      </c>
      <c r="AR4220" s="3" t="s">
        <v>63</v>
      </c>
      <c r="AS4220" s="3" t="s">
        <v>63</v>
      </c>
      <c r="AT4220" s="3" t="s">
        <v>62</v>
      </c>
      <c r="AU4220" s="6" t="str">
        <f>HYPERLINK("http://catalog.hathitrust.org/Record/001228046","HathiTrust Record")</f>
        <v>HathiTrust Record</v>
      </c>
      <c r="AV4220" s="6" t="str">
        <f>HYPERLINK("http://mcgill.on.worldcat.org/oclc/4263472","Catalog Record")</f>
        <v>Catalog Record</v>
      </c>
      <c r="AW4220" s="6" t="str">
        <f>HYPERLINK("http://www.worldcat.org/oclc/4263472","WorldCat Record")</f>
        <v>WorldCat Record</v>
      </c>
      <c r="AX4220" s="3" t="s">
        <v>36547</v>
      </c>
      <c r="AY4220" s="3" t="s">
        <v>36548</v>
      </c>
      <c r="AZ4220" s="3" t="s">
        <v>36549</v>
      </c>
      <c r="BA4220" s="3" t="s">
        <v>36549</v>
      </c>
      <c r="BB4220" s="3" t="s">
        <v>36550</v>
      </c>
      <c r="BC4220" s="3" t="s">
        <v>82</v>
      </c>
      <c r="BD4220" s="3" t="s">
        <v>70</v>
      </c>
      <c r="BF4220" s="3" t="s">
        <v>36550</v>
      </c>
      <c r="BG4220" s="3" t="s">
        <v>36551</v>
      </c>
    </row>
    <row r="4221" spans="1:59" ht="60" x14ac:dyDescent="0.25">
      <c r="A4221" s="2" t="s">
        <v>59</v>
      </c>
      <c r="B4221" s="2" t="s">
        <v>60</v>
      </c>
      <c r="C4221" s="2" t="s">
        <v>36542</v>
      </c>
      <c r="D4221" s="2" t="s">
        <v>36543</v>
      </c>
      <c r="E4221" s="2" t="s">
        <v>36544</v>
      </c>
      <c r="F4221" s="3" t="s">
        <v>3650</v>
      </c>
      <c r="G4221" s="3" t="s">
        <v>62</v>
      </c>
      <c r="I4221" s="3" t="s">
        <v>63</v>
      </c>
      <c r="J4221" s="3" t="s">
        <v>63</v>
      </c>
      <c r="K4221" s="3" t="s">
        <v>64</v>
      </c>
      <c r="L4221" s="2" t="s">
        <v>36545</v>
      </c>
      <c r="M4221" s="2" t="s">
        <v>36546</v>
      </c>
      <c r="N4221" s="3" t="s">
        <v>2535</v>
      </c>
      <c r="P4221" s="3" t="s">
        <v>90</v>
      </c>
      <c r="R4221" s="3" t="s">
        <v>67</v>
      </c>
      <c r="S4221" s="4">
        <v>1</v>
      </c>
      <c r="T4221" s="4">
        <v>3</v>
      </c>
      <c r="U4221" s="5" t="s">
        <v>29697</v>
      </c>
      <c r="V4221" s="5" t="s">
        <v>29697</v>
      </c>
      <c r="W4221" s="5" t="s">
        <v>69</v>
      </c>
      <c r="X4221" s="5" t="s">
        <v>69</v>
      </c>
      <c r="Y4221" s="4">
        <v>32</v>
      </c>
      <c r="Z4221" s="4">
        <v>4</v>
      </c>
      <c r="AA4221" s="4">
        <v>4</v>
      </c>
      <c r="AB4221" s="4">
        <v>1</v>
      </c>
      <c r="AC4221" s="4">
        <v>1</v>
      </c>
      <c r="AD4221" s="4">
        <v>23</v>
      </c>
      <c r="AE4221" s="4">
        <v>23</v>
      </c>
      <c r="AF4221" s="4">
        <v>0</v>
      </c>
      <c r="AG4221" s="4">
        <v>0</v>
      </c>
      <c r="AH4221" s="4">
        <v>21</v>
      </c>
      <c r="AI4221" s="4">
        <v>21</v>
      </c>
      <c r="AJ4221" s="4">
        <v>2</v>
      </c>
      <c r="AK4221" s="4">
        <v>2</v>
      </c>
      <c r="AL4221" s="4">
        <v>20</v>
      </c>
      <c r="AM4221" s="4">
        <v>20</v>
      </c>
      <c r="AN4221" s="4">
        <v>0</v>
      </c>
      <c r="AO4221" s="4">
        <v>0</v>
      </c>
      <c r="AP4221" s="4">
        <v>2</v>
      </c>
      <c r="AQ4221" s="4">
        <v>2</v>
      </c>
      <c r="AR4221" s="3" t="s">
        <v>63</v>
      </c>
      <c r="AS4221" s="3" t="s">
        <v>63</v>
      </c>
      <c r="AT4221" s="3" t="s">
        <v>62</v>
      </c>
      <c r="AU4221" s="6" t="str">
        <f>HYPERLINK("http://catalog.hathitrust.org/Record/001228046","HathiTrust Record")</f>
        <v>HathiTrust Record</v>
      </c>
      <c r="AV4221" s="6" t="str">
        <f>HYPERLINK("http://mcgill.on.worldcat.org/oclc/4263472","Catalog Record")</f>
        <v>Catalog Record</v>
      </c>
      <c r="AW4221" s="6" t="str">
        <f>HYPERLINK("http://www.worldcat.org/oclc/4263472","WorldCat Record")</f>
        <v>WorldCat Record</v>
      </c>
      <c r="AX4221" s="3" t="s">
        <v>36547</v>
      </c>
      <c r="AY4221" s="3" t="s">
        <v>36548</v>
      </c>
      <c r="AZ4221" s="3" t="s">
        <v>36549</v>
      </c>
      <c r="BA4221" s="3" t="s">
        <v>36549</v>
      </c>
      <c r="BB4221" s="3" t="s">
        <v>36552</v>
      </c>
      <c r="BC4221" s="3" t="s">
        <v>82</v>
      </c>
      <c r="BD4221" s="3" t="s">
        <v>70</v>
      </c>
      <c r="BF4221" s="3" t="s">
        <v>36552</v>
      </c>
      <c r="BG4221" s="3" t="s">
        <v>36553</v>
      </c>
    </row>
    <row r="4222" spans="1:59" ht="60" x14ac:dyDescent="0.25">
      <c r="A4222" s="2" t="s">
        <v>59</v>
      </c>
      <c r="B4222" s="2" t="s">
        <v>60</v>
      </c>
      <c r="C4222" s="2" t="s">
        <v>36542</v>
      </c>
      <c r="D4222" s="2" t="s">
        <v>36543</v>
      </c>
      <c r="E4222" s="2" t="s">
        <v>36544</v>
      </c>
      <c r="F4222" s="3" t="s">
        <v>13788</v>
      </c>
      <c r="G4222" s="3" t="s">
        <v>62</v>
      </c>
      <c r="I4222" s="3" t="s">
        <v>63</v>
      </c>
      <c r="J4222" s="3" t="s">
        <v>63</v>
      </c>
      <c r="K4222" s="3" t="s">
        <v>64</v>
      </c>
      <c r="L4222" s="2" t="s">
        <v>36545</v>
      </c>
      <c r="M4222" s="2" t="s">
        <v>36546</v>
      </c>
      <c r="N4222" s="3" t="s">
        <v>2535</v>
      </c>
      <c r="P4222" s="3" t="s">
        <v>90</v>
      </c>
      <c r="R4222" s="3" t="s">
        <v>67</v>
      </c>
      <c r="S4222" s="4">
        <v>0</v>
      </c>
      <c r="T4222" s="4">
        <v>3</v>
      </c>
      <c r="V4222" s="5" t="s">
        <v>29697</v>
      </c>
      <c r="W4222" s="5" t="s">
        <v>69</v>
      </c>
      <c r="X4222" s="5" t="s">
        <v>69</v>
      </c>
      <c r="Y4222" s="4">
        <v>32</v>
      </c>
      <c r="Z4222" s="4">
        <v>4</v>
      </c>
      <c r="AA4222" s="4">
        <v>4</v>
      </c>
      <c r="AB4222" s="4">
        <v>1</v>
      </c>
      <c r="AC4222" s="4">
        <v>1</v>
      </c>
      <c r="AD4222" s="4">
        <v>23</v>
      </c>
      <c r="AE4222" s="4">
        <v>23</v>
      </c>
      <c r="AF4222" s="4">
        <v>0</v>
      </c>
      <c r="AG4222" s="4">
        <v>0</v>
      </c>
      <c r="AH4222" s="4">
        <v>21</v>
      </c>
      <c r="AI4222" s="4">
        <v>21</v>
      </c>
      <c r="AJ4222" s="4">
        <v>2</v>
      </c>
      <c r="AK4222" s="4">
        <v>2</v>
      </c>
      <c r="AL4222" s="4">
        <v>20</v>
      </c>
      <c r="AM4222" s="4">
        <v>20</v>
      </c>
      <c r="AN4222" s="4">
        <v>0</v>
      </c>
      <c r="AO4222" s="4">
        <v>0</v>
      </c>
      <c r="AP4222" s="4">
        <v>2</v>
      </c>
      <c r="AQ4222" s="4">
        <v>2</v>
      </c>
      <c r="AR4222" s="3" t="s">
        <v>63</v>
      </c>
      <c r="AS4222" s="3" t="s">
        <v>63</v>
      </c>
      <c r="AT4222" s="3" t="s">
        <v>62</v>
      </c>
      <c r="AU4222" s="6" t="str">
        <f>HYPERLINK("http://catalog.hathitrust.org/Record/001228046","HathiTrust Record")</f>
        <v>HathiTrust Record</v>
      </c>
      <c r="AV4222" s="6" t="str">
        <f>HYPERLINK("http://mcgill.on.worldcat.org/oclc/4263472","Catalog Record")</f>
        <v>Catalog Record</v>
      </c>
      <c r="AW4222" s="6" t="str">
        <f>HYPERLINK("http://www.worldcat.org/oclc/4263472","WorldCat Record")</f>
        <v>WorldCat Record</v>
      </c>
      <c r="AX4222" s="3" t="s">
        <v>36547</v>
      </c>
      <c r="AY4222" s="3" t="s">
        <v>36548</v>
      </c>
      <c r="AZ4222" s="3" t="s">
        <v>36549</v>
      </c>
      <c r="BA4222" s="3" t="s">
        <v>36549</v>
      </c>
      <c r="BB4222" s="3" t="s">
        <v>36554</v>
      </c>
      <c r="BC4222" s="3" t="s">
        <v>82</v>
      </c>
      <c r="BD4222" s="3" t="s">
        <v>70</v>
      </c>
      <c r="BF4222" s="3" t="s">
        <v>36554</v>
      </c>
      <c r="BG4222" s="3" t="s">
        <v>36555</v>
      </c>
    </row>
    <row r="4223" spans="1:59" ht="60" x14ac:dyDescent="0.25">
      <c r="A4223" s="2" t="s">
        <v>59</v>
      </c>
      <c r="B4223" s="2" t="s">
        <v>60</v>
      </c>
      <c r="C4223" s="2" t="s">
        <v>36542</v>
      </c>
      <c r="D4223" s="2" t="s">
        <v>36543</v>
      </c>
      <c r="E4223" s="2" t="s">
        <v>36544</v>
      </c>
      <c r="F4223" s="3" t="s">
        <v>3653</v>
      </c>
      <c r="G4223" s="3" t="s">
        <v>62</v>
      </c>
      <c r="I4223" s="3" t="s">
        <v>63</v>
      </c>
      <c r="J4223" s="3" t="s">
        <v>63</v>
      </c>
      <c r="K4223" s="3" t="s">
        <v>64</v>
      </c>
      <c r="L4223" s="2" t="s">
        <v>36545</v>
      </c>
      <c r="M4223" s="2" t="s">
        <v>36546</v>
      </c>
      <c r="N4223" s="3" t="s">
        <v>2535</v>
      </c>
      <c r="P4223" s="3" t="s">
        <v>90</v>
      </c>
      <c r="R4223" s="3" t="s">
        <v>67</v>
      </c>
      <c r="S4223" s="4">
        <v>1</v>
      </c>
      <c r="T4223" s="4">
        <v>3</v>
      </c>
      <c r="U4223" s="5" t="s">
        <v>16671</v>
      </c>
      <c r="V4223" s="5" t="s">
        <v>29697</v>
      </c>
      <c r="W4223" s="5" t="s">
        <v>69</v>
      </c>
      <c r="X4223" s="5" t="s">
        <v>69</v>
      </c>
      <c r="Y4223" s="4">
        <v>32</v>
      </c>
      <c r="Z4223" s="4">
        <v>4</v>
      </c>
      <c r="AA4223" s="4">
        <v>4</v>
      </c>
      <c r="AB4223" s="4">
        <v>1</v>
      </c>
      <c r="AC4223" s="4">
        <v>1</v>
      </c>
      <c r="AD4223" s="4">
        <v>23</v>
      </c>
      <c r="AE4223" s="4">
        <v>23</v>
      </c>
      <c r="AF4223" s="4">
        <v>0</v>
      </c>
      <c r="AG4223" s="4">
        <v>0</v>
      </c>
      <c r="AH4223" s="4">
        <v>21</v>
      </c>
      <c r="AI4223" s="4">
        <v>21</v>
      </c>
      <c r="AJ4223" s="4">
        <v>2</v>
      </c>
      <c r="AK4223" s="4">
        <v>2</v>
      </c>
      <c r="AL4223" s="4">
        <v>20</v>
      </c>
      <c r="AM4223" s="4">
        <v>20</v>
      </c>
      <c r="AN4223" s="4">
        <v>0</v>
      </c>
      <c r="AO4223" s="4">
        <v>0</v>
      </c>
      <c r="AP4223" s="4">
        <v>2</v>
      </c>
      <c r="AQ4223" s="4">
        <v>2</v>
      </c>
      <c r="AR4223" s="3" t="s">
        <v>63</v>
      </c>
      <c r="AS4223" s="3" t="s">
        <v>63</v>
      </c>
      <c r="AT4223" s="3" t="s">
        <v>62</v>
      </c>
      <c r="AU4223" s="6" t="str">
        <f>HYPERLINK("http://catalog.hathitrust.org/Record/001228046","HathiTrust Record")</f>
        <v>HathiTrust Record</v>
      </c>
      <c r="AV4223" s="6" t="str">
        <f>HYPERLINK("http://mcgill.on.worldcat.org/oclc/4263472","Catalog Record")</f>
        <v>Catalog Record</v>
      </c>
      <c r="AW4223" s="6" t="str">
        <f>HYPERLINK("http://www.worldcat.org/oclc/4263472","WorldCat Record")</f>
        <v>WorldCat Record</v>
      </c>
      <c r="AX4223" s="3" t="s">
        <v>36547</v>
      </c>
      <c r="AY4223" s="3" t="s">
        <v>36548</v>
      </c>
      <c r="AZ4223" s="3" t="s">
        <v>36549</v>
      </c>
      <c r="BA4223" s="3" t="s">
        <v>36549</v>
      </c>
      <c r="BB4223" s="3" t="s">
        <v>36556</v>
      </c>
      <c r="BC4223" s="3" t="s">
        <v>82</v>
      </c>
      <c r="BD4223" s="3" t="s">
        <v>70</v>
      </c>
      <c r="BF4223" s="3" t="s">
        <v>36556</v>
      </c>
      <c r="BG4223" s="3" t="s">
        <v>36557</v>
      </c>
    </row>
    <row r="4224" spans="1:59" ht="60" x14ac:dyDescent="0.25">
      <c r="A4224" s="2" t="s">
        <v>59</v>
      </c>
      <c r="B4224" s="2" t="s">
        <v>60</v>
      </c>
      <c r="C4224" s="2" t="s">
        <v>36542</v>
      </c>
      <c r="D4224" s="2" t="s">
        <v>36543</v>
      </c>
      <c r="E4224" s="2" t="s">
        <v>36544</v>
      </c>
      <c r="F4224" s="3" t="s">
        <v>3638</v>
      </c>
      <c r="G4224" s="3" t="s">
        <v>62</v>
      </c>
      <c r="I4224" s="3" t="s">
        <v>63</v>
      </c>
      <c r="J4224" s="3" t="s">
        <v>63</v>
      </c>
      <c r="K4224" s="3" t="s">
        <v>64</v>
      </c>
      <c r="L4224" s="2" t="s">
        <v>36545</v>
      </c>
      <c r="M4224" s="2" t="s">
        <v>36546</v>
      </c>
      <c r="N4224" s="3" t="s">
        <v>2535</v>
      </c>
      <c r="P4224" s="3" t="s">
        <v>90</v>
      </c>
      <c r="R4224" s="3" t="s">
        <v>67</v>
      </c>
      <c r="S4224" s="4">
        <v>0</v>
      </c>
      <c r="T4224" s="4">
        <v>3</v>
      </c>
      <c r="V4224" s="5" t="s">
        <v>29697</v>
      </c>
      <c r="W4224" s="5" t="s">
        <v>69</v>
      </c>
      <c r="X4224" s="5" t="s">
        <v>69</v>
      </c>
      <c r="Y4224" s="4">
        <v>32</v>
      </c>
      <c r="Z4224" s="4">
        <v>4</v>
      </c>
      <c r="AA4224" s="4">
        <v>4</v>
      </c>
      <c r="AB4224" s="4">
        <v>1</v>
      </c>
      <c r="AC4224" s="4">
        <v>1</v>
      </c>
      <c r="AD4224" s="4">
        <v>23</v>
      </c>
      <c r="AE4224" s="4">
        <v>23</v>
      </c>
      <c r="AF4224" s="4">
        <v>0</v>
      </c>
      <c r="AG4224" s="4">
        <v>0</v>
      </c>
      <c r="AH4224" s="4">
        <v>21</v>
      </c>
      <c r="AI4224" s="4">
        <v>21</v>
      </c>
      <c r="AJ4224" s="4">
        <v>2</v>
      </c>
      <c r="AK4224" s="4">
        <v>2</v>
      </c>
      <c r="AL4224" s="4">
        <v>20</v>
      </c>
      <c r="AM4224" s="4">
        <v>20</v>
      </c>
      <c r="AN4224" s="4">
        <v>0</v>
      </c>
      <c r="AO4224" s="4">
        <v>0</v>
      </c>
      <c r="AP4224" s="4">
        <v>2</v>
      </c>
      <c r="AQ4224" s="4">
        <v>2</v>
      </c>
      <c r="AR4224" s="3" t="s">
        <v>63</v>
      </c>
      <c r="AS4224" s="3" t="s">
        <v>63</v>
      </c>
      <c r="AT4224" s="3" t="s">
        <v>62</v>
      </c>
      <c r="AU4224" s="6" t="str">
        <f>HYPERLINK("http://catalog.hathitrust.org/Record/001228046","HathiTrust Record")</f>
        <v>HathiTrust Record</v>
      </c>
      <c r="AV4224" s="6" t="str">
        <f>HYPERLINK("http://mcgill.on.worldcat.org/oclc/4263472","Catalog Record")</f>
        <v>Catalog Record</v>
      </c>
      <c r="AW4224" s="6" t="str">
        <f>HYPERLINK("http://www.worldcat.org/oclc/4263472","WorldCat Record")</f>
        <v>WorldCat Record</v>
      </c>
      <c r="AX4224" s="3" t="s">
        <v>36547</v>
      </c>
      <c r="AY4224" s="3" t="s">
        <v>36548</v>
      </c>
      <c r="AZ4224" s="3" t="s">
        <v>36549</v>
      </c>
      <c r="BA4224" s="3" t="s">
        <v>36549</v>
      </c>
      <c r="BB4224" s="3" t="s">
        <v>36558</v>
      </c>
      <c r="BC4224" s="3" t="s">
        <v>82</v>
      </c>
      <c r="BD4224" s="3" t="s">
        <v>70</v>
      </c>
      <c r="BF4224" s="3" t="s">
        <v>36558</v>
      </c>
      <c r="BG4224" s="3" t="s">
        <v>36559</v>
      </c>
    </row>
    <row r="4225" spans="1:59" ht="60" x14ac:dyDescent="0.25">
      <c r="A4225" s="2" t="s">
        <v>59</v>
      </c>
      <c r="B4225" s="2" t="s">
        <v>60</v>
      </c>
      <c r="C4225" s="2" t="s">
        <v>36560</v>
      </c>
      <c r="D4225" s="2" t="s">
        <v>36561</v>
      </c>
      <c r="E4225" s="2" t="s">
        <v>36562</v>
      </c>
      <c r="G4225" s="3" t="s">
        <v>63</v>
      </c>
      <c r="I4225" s="3" t="s">
        <v>63</v>
      </c>
      <c r="J4225" s="3" t="s">
        <v>63</v>
      </c>
      <c r="K4225" s="3" t="s">
        <v>64</v>
      </c>
      <c r="L4225" s="2" t="s">
        <v>36563</v>
      </c>
      <c r="M4225" s="2" t="s">
        <v>36564</v>
      </c>
      <c r="N4225" s="3" t="s">
        <v>274</v>
      </c>
      <c r="P4225" s="3" t="s">
        <v>66</v>
      </c>
      <c r="Q4225" s="2" t="s">
        <v>36565</v>
      </c>
      <c r="R4225" s="3" t="s">
        <v>67</v>
      </c>
      <c r="S4225" s="4">
        <v>3</v>
      </c>
      <c r="T4225" s="4">
        <v>3</v>
      </c>
      <c r="U4225" s="5" t="s">
        <v>36566</v>
      </c>
      <c r="V4225" s="5" t="s">
        <v>36566</v>
      </c>
      <c r="W4225" s="5" t="s">
        <v>69</v>
      </c>
      <c r="X4225" s="5" t="s">
        <v>69</v>
      </c>
      <c r="Y4225" s="4">
        <v>115</v>
      </c>
      <c r="Z4225" s="4">
        <v>49</v>
      </c>
      <c r="AA4225" s="4">
        <v>51</v>
      </c>
      <c r="AB4225" s="4">
        <v>3</v>
      </c>
      <c r="AC4225" s="4">
        <v>4</v>
      </c>
      <c r="AD4225" s="4">
        <v>74</v>
      </c>
      <c r="AE4225" s="4">
        <v>74</v>
      </c>
      <c r="AF4225" s="4">
        <v>2</v>
      </c>
      <c r="AG4225" s="4">
        <v>2</v>
      </c>
      <c r="AH4225" s="4">
        <v>53</v>
      </c>
      <c r="AI4225" s="4">
        <v>53</v>
      </c>
      <c r="AJ4225" s="4">
        <v>21</v>
      </c>
      <c r="AK4225" s="4">
        <v>21</v>
      </c>
      <c r="AL4225" s="4">
        <v>32</v>
      </c>
      <c r="AM4225" s="4">
        <v>32</v>
      </c>
      <c r="AN4225" s="4">
        <v>0</v>
      </c>
      <c r="AO4225" s="4">
        <v>0</v>
      </c>
      <c r="AP4225" s="4">
        <v>32</v>
      </c>
      <c r="AQ4225" s="4">
        <v>32</v>
      </c>
      <c r="AR4225" s="3" t="s">
        <v>62</v>
      </c>
      <c r="AS4225" s="3" t="s">
        <v>63</v>
      </c>
      <c r="AT4225" s="3" t="s">
        <v>63</v>
      </c>
      <c r="AV4225" s="6" t="str">
        <f>HYPERLINK("http://mcgill.on.worldcat.org/oclc/43610770","Catalog Record")</f>
        <v>Catalog Record</v>
      </c>
      <c r="AW4225" s="6" t="str">
        <f>HYPERLINK("http://www.worldcat.org/oclc/43610770","WorldCat Record")</f>
        <v>WorldCat Record</v>
      </c>
      <c r="AX4225" s="3" t="s">
        <v>36567</v>
      </c>
      <c r="AY4225" s="3" t="s">
        <v>36568</v>
      </c>
      <c r="AZ4225" s="3" t="s">
        <v>36569</v>
      </c>
      <c r="BA4225" s="3" t="s">
        <v>36569</v>
      </c>
      <c r="BB4225" s="3" t="s">
        <v>36570</v>
      </c>
      <c r="BC4225" s="3" t="s">
        <v>82</v>
      </c>
      <c r="BD4225" s="3" t="s">
        <v>70</v>
      </c>
      <c r="BE4225" s="3" t="s">
        <v>36571</v>
      </c>
      <c r="BF4225" s="3" t="s">
        <v>36570</v>
      </c>
      <c r="BG4225" s="3" t="s">
        <v>36572</v>
      </c>
    </row>
    <row r="4226" spans="1:59" ht="60" x14ac:dyDescent="0.25">
      <c r="A4226" s="2" t="s">
        <v>59</v>
      </c>
      <c r="B4226" s="2" t="s">
        <v>60</v>
      </c>
      <c r="C4226" s="2" t="s">
        <v>36573</v>
      </c>
      <c r="D4226" s="2" t="s">
        <v>36574</v>
      </c>
      <c r="E4226" s="2" t="s">
        <v>36575</v>
      </c>
      <c r="F4226" s="3" t="s">
        <v>61</v>
      </c>
      <c r="G4226" s="3" t="s">
        <v>62</v>
      </c>
      <c r="I4226" s="3" t="s">
        <v>63</v>
      </c>
      <c r="J4226" s="3" t="s">
        <v>63</v>
      </c>
      <c r="K4226" s="3" t="s">
        <v>64</v>
      </c>
      <c r="L4226" s="2" t="s">
        <v>36576</v>
      </c>
      <c r="M4226" s="2" t="s">
        <v>36577</v>
      </c>
      <c r="N4226" s="3" t="s">
        <v>826</v>
      </c>
      <c r="P4226" s="3" t="s">
        <v>90</v>
      </c>
      <c r="Q4226" s="2" t="s">
        <v>36578</v>
      </c>
      <c r="R4226" s="3" t="s">
        <v>67</v>
      </c>
      <c r="S4226" s="4">
        <v>1</v>
      </c>
      <c r="T4226" s="4">
        <v>2</v>
      </c>
      <c r="U4226" s="5" t="s">
        <v>16671</v>
      </c>
      <c r="V4226" s="5" t="s">
        <v>16671</v>
      </c>
      <c r="W4226" s="5" t="s">
        <v>69</v>
      </c>
      <c r="X4226" s="5" t="s">
        <v>69</v>
      </c>
      <c r="Y4226" s="4">
        <v>9</v>
      </c>
      <c r="Z4226" s="4">
        <v>1</v>
      </c>
      <c r="AA4226" s="4">
        <v>1</v>
      </c>
      <c r="AB4226" s="4">
        <v>1</v>
      </c>
      <c r="AC4226" s="4">
        <v>1</v>
      </c>
      <c r="AD4226" s="4">
        <v>8</v>
      </c>
      <c r="AE4226" s="4">
        <v>8</v>
      </c>
      <c r="AF4226" s="4">
        <v>0</v>
      </c>
      <c r="AG4226" s="4">
        <v>0</v>
      </c>
      <c r="AH4226" s="4">
        <v>8</v>
      </c>
      <c r="AI4226" s="4">
        <v>8</v>
      </c>
      <c r="AJ4226" s="4">
        <v>0</v>
      </c>
      <c r="AK4226" s="4">
        <v>0</v>
      </c>
      <c r="AL4226" s="4">
        <v>6</v>
      </c>
      <c r="AM4226" s="4">
        <v>6</v>
      </c>
      <c r="AN4226" s="4">
        <v>0</v>
      </c>
      <c r="AO4226" s="4">
        <v>0</v>
      </c>
      <c r="AP4226" s="4">
        <v>0</v>
      </c>
      <c r="AQ4226" s="4">
        <v>0</v>
      </c>
      <c r="AR4226" s="3" t="s">
        <v>63</v>
      </c>
      <c r="AS4226" s="3" t="s">
        <v>63</v>
      </c>
      <c r="AT4226" s="3" t="s">
        <v>63</v>
      </c>
      <c r="AV4226" s="6" t="str">
        <f>HYPERLINK("http://mcgill.on.worldcat.org/oclc/26558556","Catalog Record")</f>
        <v>Catalog Record</v>
      </c>
      <c r="AW4226" s="6" t="str">
        <f>HYPERLINK("http://www.worldcat.org/oclc/26558556","WorldCat Record")</f>
        <v>WorldCat Record</v>
      </c>
      <c r="AX4226" s="3" t="s">
        <v>36579</v>
      </c>
      <c r="AY4226" s="3" t="s">
        <v>36580</v>
      </c>
      <c r="AZ4226" s="3" t="s">
        <v>36581</v>
      </c>
      <c r="BA4226" s="3" t="s">
        <v>36581</v>
      </c>
      <c r="BB4226" s="3" t="s">
        <v>36582</v>
      </c>
      <c r="BC4226" s="3" t="s">
        <v>82</v>
      </c>
      <c r="BD4226" s="3" t="s">
        <v>70</v>
      </c>
      <c r="BF4226" s="3" t="s">
        <v>36582</v>
      </c>
      <c r="BG4226" s="3" t="s">
        <v>36583</v>
      </c>
    </row>
    <row r="4227" spans="1:59" ht="60" x14ac:dyDescent="0.25">
      <c r="A4227" s="2" t="s">
        <v>59</v>
      </c>
      <c r="B4227" s="2" t="s">
        <v>60</v>
      </c>
      <c r="C4227" s="2" t="s">
        <v>36573</v>
      </c>
      <c r="D4227" s="2" t="s">
        <v>36574</v>
      </c>
      <c r="E4227" s="2" t="s">
        <v>36575</v>
      </c>
      <c r="F4227" s="3" t="s">
        <v>1095</v>
      </c>
      <c r="G4227" s="3" t="s">
        <v>62</v>
      </c>
      <c r="I4227" s="3" t="s">
        <v>63</v>
      </c>
      <c r="J4227" s="3" t="s">
        <v>63</v>
      </c>
      <c r="K4227" s="3" t="s">
        <v>64</v>
      </c>
      <c r="L4227" s="2" t="s">
        <v>36576</v>
      </c>
      <c r="M4227" s="2" t="s">
        <v>36577</v>
      </c>
      <c r="N4227" s="3" t="s">
        <v>826</v>
      </c>
      <c r="P4227" s="3" t="s">
        <v>90</v>
      </c>
      <c r="Q4227" s="2" t="s">
        <v>36578</v>
      </c>
      <c r="R4227" s="3" t="s">
        <v>67</v>
      </c>
      <c r="S4227" s="4">
        <v>1</v>
      </c>
      <c r="T4227" s="4">
        <v>2</v>
      </c>
      <c r="U4227" s="5" t="s">
        <v>16671</v>
      </c>
      <c r="V4227" s="5" t="s">
        <v>16671</v>
      </c>
      <c r="W4227" s="5" t="s">
        <v>69</v>
      </c>
      <c r="X4227" s="5" t="s">
        <v>69</v>
      </c>
      <c r="Y4227" s="4">
        <v>9</v>
      </c>
      <c r="Z4227" s="4">
        <v>1</v>
      </c>
      <c r="AA4227" s="4">
        <v>1</v>
      </c>
      <c r="AB4227" s="4">
        <v>1</v>
      </c>
      <c r="AC4227" s="4">
        <v>1</v>
      </c>
      <c r="AD4227" s="4">
        <v>8</v>
      </c>
      <c r="AE4227" s="4">
        <v>8</v>
      </c>
      <c r="AF4227" s="4">
        <v>0</v>
      </c>
      <c r="AG4227" s="4">
        <v>0</v>
      </c>
      <c r="AH4227" s="4">
        <v>8</v>
      </c>
      <c r="AI4227" s="4">
        <v>8</v>
      </c>
      <c r="AJ4227" s="4">
        <v>0</v>
      </c>
      <c r="AK4227" s="4">
        <v>0</v>
      </c>
      <c r="AL4227" s="4">
        <v>6</v>
      </c>
      <c r="AM4227" s="4">
        <v>6</v>
      </c>
      <c r="AN4227" s="4">
        <v>0</v>
      </c>
      <c r="AO4227" s="4">
        <v>0</v>
      </c>
      <c r="AP4227" s="4">
        <v>0</v>
      </c>
      <c r="AQ4227" s="4">
        <v>0</v>
      </c>
      <c r="AR4227" s="3" t="s">
        <v>63</v>
      </c>
      <c r="AS4227" s="3" t="s">
        <v>63</v>
      </c>
      <c r="AT4227" s="3" t="s">
        <v>63</v>
      </c>
      <c r="AV4227" s="6" t="str">
        <f>HYPERLINK("http://mcgill.on.worldcat.org/oclc/26558556","Catalog Record")</f>
        <v>Catalog Record</v>
      </c>
      <c r="AW4227" s="6" t="str">
        <f>HYPERLINK("http://www.worldcat.org/oclc/26558556","WorldCat Record")</f>
        <v>WorldCat Record</v>
      </c>
      <c r="AX4227" s="3" t="s">
        <v>36579</v>
      </c>
      <c r="AY4227" s="3" t="s">
        <v>36580</v>
      </c>
      <c r="AZ4227" s="3" t="s">
        <v>36581</v>
      </c>
      <c r="BA4227" s="3" t="s">
        <v>36581</v>
      </c>
      <c r="BB4227" s="3" t="s">
        <v>36584</v>
      </c>
      <c r="BC4227" s="3" t="s">
        <v>82</v>
      </c>
      <c r="BD4227" s="3" t="s">
        <v>70</v>
      </c>
      <c r="BF4227" s="3" t="s">
        <v>36584</v>
      </c>
      <c r="BG4227" s="3" t="s">
        <v>36585</v>
      </c>
    </row>
    <row r="4228" spans="1:59" ht="60" x14ac:dyDescent="0.25">
      <c r="A4228" s="2" t="s">
        <v>59</v>
      </c>
      <c r="B4228" s="2" t="s">
        <v>60</v>
      </c>
      <c r="C4228" s="2" t="s">
        <v>36597</v>
      </c>
      <c r="D4228" s="2" t="s">
        <v>36598</v>
      </c>
      <c r="E4228" s="2" t="s">
        <v>36599</v>
      </c>
      <c r="F4228" s="3" t="s">
        <v>1395</v>
      </c>
      <c r="G4228" s="3" t="s">
        <v>62</v>
      </c>
      <c r="I4228" s="3" t="s">
        <v>63</v>
      </c>
      <c r="J4228" s="3" t="s">
        <v>63</v>
      </c>
      <c r="K4228" s="3" t="s">
        <v>64</v>
      </c>
      <c r="L4228" s="2" t="s">
        <v>36589</v>
      </c>
      <c r="M4228" s="2" t="s">
        <v>36600</v>
      </c>
      <c r="N4228" s="3" t="s">
        <v>1046</v>
      </c>
      <c r="O4228" s="2" t="s">
        <v>36601</v>
      </c>
      <c r="P4228" s="3" t="s">
        <v>36343</v>
      </c>
      <c r="R4228" s="3" t="s">
        <v>67</v>
      </c>
      <c r="S4228" s="4">
        <v>1</v>
      </c>
      <c r="T4228" s="4">
        <v>2</v>
      </c>
      <c r="U4228" s="5" t="s">
        <v>9890</v>
      </c>
      <c r="V4228" s="5" t="s">
        <v>3861</v>
      </c>
      <c r="W4228" s="5" t="s">
        <v>69</v>
      </c>
      <c r="X4228" s="5" t="s">
        <v>69</v>
      </c>
      <c r="Y4228" s="4">
        <v>4</v>
      </c>
      <c r="Z4228" s="4">
        <v>4</v>
      </c>
      <c r="AA4228" s="4">
        <v>8</v>
      </c>
      <c r="AB4228" s="4">
        <v>1</v>
      </c>
      <c r="AC4228" s="4">
        <v>1</v>
      </c>
      <c r="AD4228" s="4">
        <v>2</v>
      </c>
      <c r="AE4228" s="4">
        <v>33</v>
      </c>
      <c r="AF4228" s="4">
        <v>0</v>
      </c>
      <c r="AG4228" s="4">
        <v>0</v>
      </c>
      <c r="AH4228" s="4">
        <v>2</v>
      </c>
      <c r="AI4228" s="4">
        <v>32</v>
      </c>
      <c r="AJ4228" s="4">
        <v>2</v>
      </c>
      <c r="AK4228" s="4">
        <v>6</v>
      </c>
      <c r="AL4228" s="4">
        <v>1</v>
      </c>
      <c r="AM4228" s="4">
        <v>19</v>
      </c>
      <c r="AN4228" s="4">
        <v>0</v>
      </c>
      <c r="AO4228" s="4">
        <v>0</v>
      </c>
      <c r="AP4228" s="4">
        <v>2</v>
      </c>
      <c r="AQ4228" s="4">
        <v>6</v>
      </c>
      <c r="AR4228" s="3" t="s">
        <v>63</v>
      </c>
      <c r="AS4228" s="3" t="s">
        <v>63</v>
      </c>
      <c r="AT4228" s="3" t="s">
        <v>63</v>
      </c>
      <c r="AV4228" s="6" t="str">
        <f>HYPERLINK("http://mcgill.on.worldcat.org/oclc/427512394","Catalog Record")</f>
        <v>Catalog Record</v>
      </c>
      <c r="AW4228" s="6" t="str">
        <f>HYPERLINK("http://www.worldcat.org/oclc/427512394","WorldCat Record")</f>
        <v>WorldCat Record</v>
      </c>
      <c r="AX4228" s="3" t="s">
        <v>36602</v>
      </c>
      <c r="AY4228" s="3" t="s">
        <v>36603</v>
      </c>
      <c r="AZ4228" s="3" t="s">
        <v>36604</v>
      </c>
      <c r="BA4228" s="3" t="s">
        <v>36604</v>
      </c>
      <c r="BB4228" s="3" t="s">
        <v>36605</v>
      </c>
      <c r="BC4228" s="3" t="s">
        <v>82</v>
      </c>
      <c r="BD4228" s="3" t="s">
        <v>70</v>
      </c>
      <c r="BF4228" s="3" t="s">
        <v>36605</v>
      </c>
      <c r="BG4228" s="3" t="s">
        <v>36606</v>
      </c>
    </row>
    <row r="4229" spans="1:59" ht="60" x14ac:dyDescent="0.25">
      <c r="A4229" s="2" t="s">
        <v>59</v>
      </c>
      <c r="B4229" s="2" t="s">
        <v>60</v>
      </c>
      <c r="C4229" s="2" t="s">
        <v>36597</v>
      </c>
      <c r="D4229" s="2" t="s">
        <v>36598</v>
      </c>
      <c r="E4229" s="2" t="s">
        <v>36599</v>
      </c>
      <c r="F4229" s="3" t="s">
        <v>15115</v>
      </c>
      <c r="G4229" s="3" t="s">
        <v>62</v>
      </c>
      <c r="I4229" s="3" t="s">
        <v>63</v>
      </c>
      <c r="J4229" s="3" t="s">
        <v>63</v>
      </c>
      <c r="K4229" s="3" t="s">
        <v>64</v>
      </c>
      <c r="L4229" s="2" t="s">
        <v>36589</v>
      </c>
      <c r="M4229" s="2" t="s">
        <v>36600</v>
      </c>
      <c r="N4229" s="3" t="s">
        <v>1046</v>
      </c>
      <c r="O4229" s="2" t="s">
        <v>36601</v>
      </c>
      <c r="P4229" s="3" t="s">
        <v>36343</v>
      </c>
      <c r="R4229" s="3" t="s">
        <v>67</v>
      </c>
      <c r="S4229" s="4">
        <v>0</v>
      </c>
      <c r="T4229" s="4">
        <v>2</v>
      </c>
      <c r="V4229" s="5" t="s">
        <v>3861</v>
      </c>
      <c r="W4229" s="5" t="s">
        <v>69</v>
      </c>
      <c r="X4229" s="5" t="s">
        <v>69</v>
      </c>
      <c r="Y4229" s="4">
        <v>4</v>
      </c>
      <c r="Z4229" s="4">
        <v>4</v>
      </c>
      <c r="AA4229" s="4">
        <v>8</v>
      </c>
      <c r="AB4229" s="4">
        <v>1</v>
      </c>
      <c r="AC4229" s="4">
        <v>1</v>
      </c>
      <c r="AD4229" s="4">
        <v>2</v>
      </c>
      <c r="AE4229" s="4">
        <v>33</v>
      </c>
      <c r="AF4229" s="4">
        <v>0</v>
      </c>
      <c r="AG4229" s="4">
        <v>0</v>
      </c>
      <c r="AH4229" s="4">
        <v>2</v>
      </c>
      <c r="AI4229" s="4">
        <v>32</v>
      </c>
      <c r="AJ4229" s="4">
        <v>2</v>
      </c>
      <c r="AK4229" s="4">
        <v>6</v>
      </c>
      <c r="AL4229" s="4">
        <v>1</v>
      </c>
      <c r="AM4229" s="4">
        <v>19</v>
      </c>
      <c r="AN4229" s="4">
        <v>0</v>
      </c>
      <c r="AO4229" s="4">
        <v>0</v>
      </c>
      <c r="AP4229" s="4">
        <v>2</v>
      </c>
      <c r="AQ4229" s="4">
        <v>6</v>
      </c>
      <c r="AR4229" s="3" t="s">
        <v>63</v>
      </c>
      <c r="AS4229" s="3" t="s">
        <v>63</v>
      </c>
      <c r="AT4229" s="3" t="s">
        <v>63</v>
      </c>
      <c r="AV4229" s="6" t="str">
        <f>HYPERLINK("http://mcgill.on.worldcat.org/oclc/427512394","Catalog Record")</f>
        <v>Catalog Record</v>
      </c>
      <c r="AW4229" s="6" t="str">
        <f>HYPERLINK("http://www.worldcat.org/oclc/427512394","WorldCat Record")</f>
        <v>WorldCat Record</v>
      </c>
      <c r="AX4229" s="3" t="s">
        <v>36602</v>
      </c>
      <c r="AY4229" s="3" t="s">
        <v>36603</v>
      </c>
      <c r="AZ4229" s="3" t="s">
        <v>36604</v>
      </c>
      <c r="BA4229" s="3" t="s">
        <v>36604</v>
      </c>
      <c r="BB4229" s="3" t="s">
        <v>36607</v>
      </c>
      <c r="BC4229" s="3" t="s">
        <v>82</v>
      </c>
      <c r="BD4229" s="3" t="s">
        <v>70</v>
      </c>
      <c r="BF4229" s="3" t="s">
        <v>36607</v>
      </c>
      <c r="BG4229" s="3" t="s">
        <v>36608</v>
      </c>
    </row>
    <row r="4230" spans="1:59" ht="60" x14ac:dyDescent="0.25">
      <c r="A4230" s="2" t="s">
        <v>59</v>
      </c>
      <c r="B4230" s="2" t="s">
        <v>60</v>
      </c>
      <c r="C4230" s="2" t="s">
        <v>36597</v>
      </c>
      <c r="D4230" s="2" t="s">
        <v>36598</v>
      </c>
      <c r="E4230" s="2" t="s">
        <v>36599</v>
      </c>
      <c r="F4230" s="3" t="s">
        <v>1376</v>
      </c>
      <c r="G4230" s="3" t="s">
        <v>62</v>
      </c>
      <c r="I4230" s="3" t="s">
        <v>63</v>
      </c>
      <c r="J4230" s="3" t="s">
        <v>63</v>
      </c>
      <c r="K4230" s="3" t="s">
        <v>64</v>
      </c>
      <c r="L4230" s="2" t="s">
        <v>36589</v>
      </c>
      <c r="M4230" s="2" t="s">
        <v>36600</v>
      </c>
      <c r="N4230" s="3" t="s">
        <v>1046</v>
      </c>
      <c r="O4230" s="2" t="s">
        <v>36601</v>
      </c>
      <c r="P4230" s="3" t="s">
        <v>36343</v>
      </c>
      <c r="R4230" s="3" t="s">
        <v>67</v>
      </c>
      <c r="S4230" s="4">
        <v>0</v>
      </c>
      <c r="T4230" s="4">
        <v>2</v>
      </c>
      <c r="V4230" s="5" t="s">
        <v>3861</v>
      </c>
      <c r="W4230" s="5" t="s">
        <v>69</v>
      </c>
      <c r="X4230" s="5" t="s">
        <v>69</v>
      </c>
      <c r="Y4230" s="4">
        <v>4</v>
      </c>
      <c r="Z4230" s="4">
        <v>4</v>
      </c>
      <c r="AA4230" s="4">
        <v>8</v>
      </c>
      <c r="AB4230" s="4">
        <v>1</v>
      </c>
      <c r="AC4230" s="4">
        <v>1</v>
      </c>
      <c r="AD4230" s="4">
        <v>2</v>
      </c>
      <c r="AE4230" s="4">
        <v>33</v>
      </c>
      <c r="AF4230" s="4">
        <v>0</v>
      </c>
      <c r="AG4230" s="4">
        <v>0</v>
      </c>
      <c r="AH4230" s="4">
        <v>2</v>
      </c>
      <c r="AI4230" s="4">
        <v>32</v>
      </c>
      <c r="AJ4230" s="4">
        <v>2</v>
      </c>
      <c r="AK4230" s="4">
        <v>6</v>
      </c>
      <c r="AL4230" s="4">
        <v>1</v>
      </c>
      <c r="AM4230" s="4">
        <v>19</v>
      </c>
      <c r="AN4230" s="4">
        <v>0</v>
      </c>
      <c r="AO4230" s="4">
        <v>0</v>
      </c>
      <c r="AP4230" s="4">
        <v>2</v>
      </c>
      <c r="AQ4230" s="4">
        <v>6</v>
      </c>
      <c r="AR4230" s="3" t="s">
        <v>63</v>
      </c>
      <c r="AS4230" s="3" t="s">
        <v>63</v>
      </c>
      <c r="AT4230" s="3" t="s">
        <v>63</v>
      </c>
      <c r="AV4230" s="6" t="str">
        <f>HYPERLINK("http://mcgill.on.worldcat.org/oclc/427512394","Catalog Record")</f>
        <v>Catalog Record</v>
      </c>
      <c r="AW4230" s="6" t="str">
        <f>HYPERLINK("http://www.worldcat.org/oclc/427512394","WorldCat Record")</f>
        <v>WorldCat Record</v>
      </c>
      <c r="AX4230" s="3" t="s">
        <v>36602</v>
      </c>
      <c r="AY4230" s="3" t="s">
        <v>36603</v>
      </c>
      <c r="AZ4230" s="3" t="s">
        <v>36604</v>
      </c>
      <c r="BA4230" s="3" t="s">
        <v>36604</v>
      </c>
      <c r="BB4230" s="3" t="s">
        <v>36609</v>
      </c>
      <c r="BC4230" s="3" t="s">
        <v>82</v>
      </c>
      <c r="BD4230" s="3" t="s">
        <v>70</v>
      </c>
      <c r="BF4230" s="3" t="s">
        <v>36609</v>
      </c>
      <c r="BG4230" s="3" t="s">
        <v>36610</v>
      </c>
    </row>
    <row r="4231" spans="1:59" ht="60" x14ac:dyDescent="0.25">
      <c r="A4231" s="2" t="s">
        <v>59</v>
      </c>
      <c r="B4231" s="2" t="s">
        <v>60</v>
      </c>
      <c r="C4231" s="2" t="s">
        <v>36597</v>
      </c>
      <c r="D4231" s="2" t="s">
        <v>36598</v>
      </c>
      <c r="E4231" s="2" t="s">
        <v>36599</v>
      </c>
      <c r="F4231" s="3" t="s">
        <v>1384</v>
      </c>
      <c r="G4231" s="3" t="s">
        <v>62</v>
      </c>
      <c r="I4231" s="3" t="s">
        <v>63</v>
      </c>
      <c r="J4231" s="3" t="s">
        <v>63</v>
      </c>
      <c r="K4231" s="3" t="s">
        <v>64</v>
      </c>
      <c r="L4231" s="2" t="s">
        <v>36589</v>
      </c>
      <c r="M4231" s="2" t="s">
        <v>36600</v>
      </c>
      <c r="N4231" s="3" t="s">
        <v>1046</v>
      </c>
      <c r="O4231" s="2" t="s">
        <v>36601</v>
      </c>
      <c r="P4231" s="3" t="s">
        <v>36343</v>
      </c>
      <c r="R4231" s="3" t="s">
        <v>67</v>
      </c>
      <c r="S4231" s="4">
        <v>0</v>
      </c>
      <c r="T4231" s="4">
        <v>2</v>
      </c>
      <c r="V4231" s="5" t="s">
        <v>3861</v>
      </c>
      <c r="W4231" s="5" t="s">
        <v>69</v>
      </c>
      <c r="X4231" s="5" t="s">
        <v>69</v>
      </c>
      <c r="Y4231" s="4">
        <v>4</v>
      </c>
      <c r="Z4231" s="4">
        <v>4</v>
      </c>
      <c r="AA4231" s="4">
        <v>8</v>
      </c>
      <c r="AB4231" s="4">
        <v>1</v>
      </c>
      <c r="AC4231" s="4">
        <v>1</v>
      </c>
      <c r="AD4231" s="4">
        <v>2</v>
      </c>
      <c r="AE4231" s="4">
        <v>33</v>
      </c>
      <c r="AF4231" s="4">
        <v>0</v>
      </c>
      <c r="AG4231" s="4">
        <v>0</v>
      </c>
      <c r="AH4231" s="4">
        <v>2</v>
      </c>
      <c r="AI4231" s="4">
        <v>32</v>
      </c>
      <c r="AJ4231" s="4">
        <v>2</v>
      </c>
      <c r="AK4231" s="4">
        <v>6</v>
      </c>
      <c r="AL4231" s="4">
        <v>1</v>
      </c>
      <c r="AM4231" s="4">
        <v>19</v>
      </c>
      <c r="AN4231" s="4">
        <v>0</v>
      </c>
      <c r="AO4231" s="4">
        <v>0</v>
      </c>
      <c r="AP4231" s="4">
        <v>2</v>
      </c>
      <c r="AQ4231" s="4">
        <v>6</v>
      </c>
      <c r="AR4231" s="3" t="s">
        <v>63</v>
      </c>
      <c r="AS4231" s="3" t="s">
        <v>63</v>
      </c>
      <c r="AT4231" s="3" t="s">
        <v>63</v>
      </c>
      <c r="AV4231" s="6" t="str">
        <f>HYPERLINK("http://mcgill.on.worldcat.org/oclc/427512394","Catalog Record")</f>
        <v>Catalog Record</v>
      </c>
      <c r="AW4231" s="6" t="str">
        <f>HYPERLINK("http://www.worldcat.org/oclc/427512394","WorldCat Record")</f>
        <v>WorldCat Record</v>
      </c>
      <c r="AX4231" s="3" t="s">
        <v>36602</v>
      </c>
      <c r="AY4231" s="3" t="s">
        <v>36603</v>
      </c>
      <c r="AZ4231" s="3" t="s">
        <v>36604</v>
      </c>
      <c r="BA4231" s="3" t="s">
        <v>36604</v>
      </c>
      <c r="BB4231" s="3" t="s">
        <v>36611</v>
      </c>
      <c r="BC4231" s="3" t="s">
        <v>82</v>
      </c>
      <c r="BD4231" s="3" t="s">
        <v>70</v>
      </c>
      <c r="BF4231" s="3" t="s">
        <v>36611</v>
      </c>
      <c r="BG4231" s="3" t="s">
        <v>36612</v>
      </c>
    </row>
    <row r="4232" spans="1:59" ht="60" x14ac:dyDescent="0.25">
      <c r="A4232" s="2" t="s">
        <v>59</v>
      </c>
      <c r="B4232" s="2" t="s">
        <v>60</v>
      </c>
      <c r="C4232" s="2" t="s">
        <v>36597</v>
      </c>
      <c r="D4232" s="2" t="s">
        <v>36598</v>
      </c>
      <c r="E4232" s="2" t="s">
        <v>36599</v>
      </c>
      <c r="F4232" s="3" t="s">
        <v>1387</v>
      </c>
      <c r="G4232" s="3" t="s">
        <v>62</v>
      </c>
      <c r="I4232" s="3" t="s">
        <v>63</v>
      </c>
      <c r="J4232" s="3" t="s">
        <v>63</v>
      </c>
      <c r="K4232" s="3" t="s">
        <v>64</v>
      </c>
      <c r="L4232" s="2" t="s">
        <v>36589</v>
      </c>
      <c r="M4232" s="2" t="s">
        <v>36600</v>
      </c>
      <c r="N4232" s="3" t="s">
        <v>1046</v>
      </c>
      <c r="O4232" s="2" t="s">
        <v>36601</v>
      </c>
      <c r="P4232" s="3" t="s">
        <v>36343</v>
      </c>
      <c r="R4232" s="3" t="s">
        <v>67</v>
      </c>
      <c r="S4232" s="4">
        <v>0</v>
      </c>
      <c r="T4232" s="4">
        <v>2</v>
      </c>
      <c r="V4232" s="5" t="s">
        <v>3861</v>
      </c>
      <c r="W4232" s="5" t="s">
        <v>69</v>
      </c>
      <c r="X4232" s="5" t="s">
        <v>69</v>
      </c>
      <c r="Y4232" s="4">
        <v>4</v>
      </c>
      <c r="Z4232" s="4">
        <v>4</v>
      </c>
      <c r="AA4232" s="4">
        <v>8</v>
      </c>
      <c r="AB4232" s="4">
        <v>1</v>
      </c>
      <c r="AC4232" s="4">
        <v>1</v>
      </c>
      <c r="AD4232" s="4">
        <v>2</v>
      </c>
      <c r="AE4232" s="4">
        <v>33</v>
      </c>
      <c r="AF4232" s="4">
        <v>0</v>
      </c>
      <c r="AG4232" s="4">
        <v>0</v>
      </c>
      <c r="AH4232" s="4">
        <v>2</v>
      </c>
      <c r="AI4232" s="4">
        <v>32</v>
      </c>
      <c r="AJ4232" s="4">
        <v>2</v>
      </c>
      <c r="AK4232" s="4">
        <v>6</v>
      </c>
      <c r="AL4232" s="4">
        <v>1</v>
      </c>
      <c r="AM4232" s="4">
        <v>19</v>
      </c>
      <c r="AN4232" s="4">
        <v>0</v>
      </c>
      <c r="AO4232" s="4">
        <v>0</v>
      </c>
      <c r="AP4232" s="4">
        <v>2</v>
      </c>
      <c r="AQ4232" s="4">
        <v>6</v>
      </c>
      <c r="AR4232" s="3" t="s">
        <v>63</v>
      </c>
      <c r="AS4232" s="3" t="s">
        <v>63</v>
      </c>
      <c r="AT4232" s="3" t="s">
        <v>63</v>
      </c>
      <c r="AV4232" s="6" t="str">
        <f>HYPERLINK("http://mcgill.on.worldcat.org/oclc/427512394","Catalog Record")</f>
        <v>Catalog Record</v>
      </c>
      <c r="AW4232" s="6" t="str">
        <f>HYPERLINK("http://www.worldcat.org/oclc/427512394","WorldCat Record")</f>
        <v>WorldCat Record</v>
      </c>
      <c r="AX4232" s="3" t="s">
        <v>36602</v>
      </c>
      <c r="AY4232" s="3" t="s">
        <v>36603</v>
      </c>
      <c r="AZ4232" s="3" t="s">
        <v>36604</v>
      </c>
      <c r="BA4232" s="3" t="s">
        <v>36604</v>
      </c>
      <c r="BB4232" s="3" t="s">
        <v>36613</v>
      </c>
      <c r="BC4232" s="3" t="s">
        <v>82</v>
      </c>
      <c r="BD4232" s="3" t="s">
        <v>70</v>
      </c>
      <c r="BF4232" s="3" t="s">
        <v>36613</v>
      </c>
      <c r="BG4232" s="3" t="s">
        <v>36614</v>
      </c>
    </row>
    <row r="4233" spans="1:59" ht="60" x14ac:dyDescent="0.25">
      <c r="A4233" s="2" t="s">
        <v>59</v>
      </c>
      <c r="B4233" s="2" t="s">
        <v>60</v>
      </c>
      <c r="C4233" s="2" t="s">
        <v>36597</v>
      </c>
      <c r="D4233" s="2" t="s">
        <v>36598</v>
      </c>
      <c r="E4233" s="2" t="s">
        <v>36599</v>
      </c>
      <c r="F4233" s="3" t="s">
        <v>15330</v>
      </c>
      <c r="G4233" s="3" t="s">
        <v>62</v>
      </c>
      <c r="I4233" s="3" t="s">
        <v>63</v>
      </c>
      <c r="J4233" s="3" t="s">
        <v>63</v>
      </c>
      <c r="K4233" s="3" t="s">
        <v>64</v>
      </c>
      <c r="L4233" s="2" t="s">
        <v>36589</v>
      </c>
      <c r="M4233" s="2" t="s">
        <v>36600</v>
      </c>
      <c r="N4233" s="3" t="s">
        <v>1046</v>
      </c>
      <c r="O4233" s="2" t="s">
        <v>36601</v>
      </c>
      <c r="P4233" s="3" t="s">
        <v>36343</v>
      </c>
      <c r="R4233" s="3" t="s">
        <v>67</v>
      </c>
      <c r="S4233" s="4">
        <v>0</v>
      </c>
      <c r="T4233" s="4">
        <v>2</v>
      </c>
      <c r="V4233" s="5" t="s">
        <v>3861</v>
      </c>
      <c r="W4233" s="5" t="s">
        <v>69</v>
      </c>
      <c r="X4233" s="5" t="s">
        <v>69</v>
      </c>
      <c r="Y4233" s="4">
        <v>4</v>
      </c>
      <c r="Z4233" s="4">
        <v>4</v>
      </c>
      <c r="AA4233" s="4">
        <v>8</v>
      </c>
      <c r="AB4233" s="4">
        <v>1</v>
      </c>
      <c r="AC4233" s="4">
        <v>1</v>
      </c>
      <c r="AD4233" s="4">
        <v>2</v>
      </c>
      <c r="AE4233" s="4">
        <v>33</v>
      </c>
      <c r="AF4233" s="4">
        <v>0</v>
      </c>
      <c r="AG4233" s="4">
        <v>0</v>
      </c>
      <c r="AH4233" s="4">
        <v>2</v>
      </c>
      <c r="AI4233" s="4">
        <v>32</v>
      </c>
      <c r="AJ4233" s="4">
        <v>2</v>
      </c>
      <c r="AK4233" s="4">
        <v>6</v>
      </c>
      <c r="AL4233" s="4">
        <v>1</v>
      </c>
      <c r="AM4233" s="4">
        <v>19</v>
      </c>
      <c r="AN4233" s="4">
        <v>0</v>
      </c>
      <c r="AO4233" s="4">
        <v>0</v>
      </c>
      <c r="AP4233" s="4">
        <v>2</v>
      </c>
      <c r="AQ4233" s="4">
        <v>6</v>
      </c>
      <c r="AR4233" s="3" t="s">
        <v>63</v>
      </c>
      <c r="AS4233" s="3" t="s">
        <v>63</v>
      </c>
      <c r="AT4233" s="3" t="s">
        <v>63</v>
      </c>
      <c r="AV4233" s="6" t="str">
        <f>HYPERLINK("http://mcgill.on.worldcat.org/oclc/427512394","Catalog Record")</f>
        <v>Catalog Record</v>
      </c>
      <c r="AW4233" s="6" t="str">
        <f>HYPERLINK("http://www.worldcat.org/oclc/427512394","WorldCat Record")</f>
        <v>WorldCat Record</v>
      </c>
      <c r="AX4233" s="3" t="s">
        <v>36602</v>
      </c>
      <c r="AY4233" s="3" t="s">
        <v>36603</v>
      </c>
      <c r="AZ4233" s="3" t="s">
        <v>36604</v>
      </c>
      <c r="BA4233" s="3" t="s">
        <v>36604</v>
      </c>
      <c r="BB4233" s="3" t="s">
        <v>36615</v>
      </c>
      <c r="BC4233" s="3" t="s">
        <v>82</v>
      </c>
      <c r="BD4233" s="3" t="s">
        <v>70</v>
      </c>
      <c r="BF4233" s="3" t="s">
        <v>36615</v>
      </c>
      <c r="BG4233" s="3" t="s">
        <v>36616</v>
      </c>
    </row>
    <row r="4234" spans="1:59" ht="60" x14ac:dyDescent="0.25">
      <c r="A4234" s="2" t="s">
        <v>59</v>
      </c>
      <c r="B4234" s="2" t="s">
        <v>60</v>
      </c>
      <c r="C4234" s="2" t="s">
        <v>36597</v>
      </c>
      <c r="D4234" s="2" t="s">
        <v>36598</v>
      </c>
      <c r="E4234" s="2" t="s">
        <v>36599</v>
      </c>
      <c r="F4234" s="3" t="s">
        <v>1390</v>
      </c>
      <c r="G4234" s="3" t="s">
        <v>62</v>
      </c>
      <c r="I4234" s="3" t="s">
        <v>63</v>
      </c>
      <c r="J4234" s="3" t="s">
        <v>63</v>
      </c>
      <c r="K4234" s="3" t="s">
        <v>64</v>
      </c>
      <c r="L4234" s="2" t="s">
        <v>36589</v>
      </c>
      <c r="M4234" s="2" t="s">
        <v>36600</v>
      </c>
      <c r="N4234" s="3" t="s">
        <v>1046</v>
      </c>
      <c r="O4234" s="2" t="s">
        <v>36601</v>
      </c>
      <c r="P4234" s="3" t="s">
        <v>36343</v>
      </c>
      <c r="R4234" s="3" t="s">
        <v>67</v>
      </c>
      <c r="S4234" s="4">
        <v>0</v>
      </c>
      <c r="T4234" s="4">
        <v>2</v>
      </c>
      <c r="V4234" s="5" t="s">
        <v>3861</v>
      </c>
      <c r="W4234" s="5" t="s">
        <v>69</v>
      </c>
      <c r="X4234" s="5" t="s">
        <v>69</v>
      </c>
      <c r="Y4234" s="4">
        <v>4</v>
      </c>
      <c r="Z4234" s="4">
        <v>4</v>
      </c>
      <c r="AA4234" s="4">
        <v>8</v>
      </c>
      <c r="AB4234" s="4">
        <v>1</v>
      </c>
      <c r="AC4234" s="4">
        <v>1</v>
      </c>
      <c r="AD4234" s="4">
        <v>2</v>
      </c>
      <c r="AE4234" s="4">
        <v>33</v>
      </c>
      <c r="AF4234" s="4">
        <v>0</v>
      </c>
      <c r="AG4234" s="4">
        <v>0</v>
      </c>
      <c r="AH4234" s="4">
        <v>2</v>
      </c>
      <c r="AI4234" s="4">
        <v>32</v>
      </c>
      <c r="AJ4234" s="4">
        <v>2</v>
      </c>
      <c r="AK4234" s="4">
        <v>6</v>
      </c>
      <c r="AL4234" s="4">
        <v>1</v>
      </c>
      <c r="AM4234" s="4">
        <v>19</v>
      </c>
      <c r="AN4234" s="4">
        <v>0</v>
      </c>
      <c r="AO4234" s="4">
        <v>0</v>
      </c>
      <c r="AP4234" s="4">
        <v>2</v>
      </c>
      <c r="AQ4234" s="4">
        <v>6</v>
      </c>
      <c r="AR4234" s="3" t="s">
        <v>63</v>
      </c>
      <c r="AS4234" s="3" t="s">
        <v>63</v>
      </c>
      <c r="AT4234" s="3" t="s">
        <v>63</v>
      </c>
      <c r="AV4234" s="6" t="str">
        <f>HYPERLINK("http://mcgill.on.worldcat.org/oclc/427512394","Catalog Record")</f>
        <v>Catalog Record</v>
      </c>
      <c r="AW4234" s="6" t="str">
        <f>HYPERLINK("http://www.worldcat.org/oclc/427512394","WorldCat Record")</f>
        <v>WorldCat Record</v>
      </c>
      <c r="AX4234" s="3" t="s">
        <v>36602</v>
      </c>
      <c r="AY4234" s="3" t="s">
        <v>36603</v>
      </c>
      <c r="AZ4234" s="3" t="s">
        <v>36604</v>
      </c>
      <c r="BA4234" s="3" t="s">
        <v>36604</v>
      </c>
      <c r="BB4234" s="3" t="s">
        <v>36617</v>
      </c>
      <c r="BC4234" s="3" t="s">
        <v>82</v>
      </c>
      <c r="BD4234" s="3" t="s">
        <v>70</v>
      </c>
      <c r="BF4234" s="3" t="s">
        <v>36617</v>
      </c>
      <c r="BG4234" s="3" t="s">
        <v>36618</v>
      </c>
    </row>
    <row r="4235" spans="1:59" ht="60" x14ac:dyDescent="0.25">
      <c r="A4235" s="2" t="s">
        <v>59</v>
      </c>
      <c r="B4235" s="2" t="s">
        <v>60</v>
      </c>
      <c r="C4235" s="2" t="s">
        <v>36597</v>
      </c>
      <c r="D4235" s="2" t="s">
        <v>36598</v>
      </c>
      <c r="E4235" s="2" t="s">
        <v>36599</v>
      </c>
      <c r="F4235" s="3" t="s">
        <v>15297</v>
      </c>
      <c r="G4235" s="3" t="s">
        <v>62</v>
      </c>
      <c r="I4235" s="3" t="s">
        <v>63</v>
      </c>
      <c r="J4235" s="3" t="s">
        <v>63</v>
      </c>
      <c r="K4235" s="3" t="s">
        <v>64</v>
      </c>
      <c r="L4235" s="2" t="s">
        <v>36589</v>
      </c>
      <c r="M4235" s="2" t="s">
        <v>36600</v>
      </c>
      <c r="N4235" s="3" t="s">
        <v>1046</v>
      </c>
      <c r="O4235" s="2" t="s">
        <v>36601</v>
      </c>
      <c r="P4235" s="3" t="s">
        <v>36343</v>
      </c>
      <c r="R4235" s="3" t="s">
        <v>67</v>
      </c>
      <c r="S4235" s="4">
        <v>0</v>
      </c>
      <c r="T4235" s="4">
        <v>2</v>
      </c>
      <c r="V4235" s="5" t="s">
        <v>3861</v>
      </c>
      <c r="W4235" s="5" t="s">
        <v>69</v>
      </c>
      <c r="X4235" s="5" t="s">
        <v>69</v>
      </c>
      <c r="Y4235" s="4">
        <v>4</v>
      </c>
      <c r="Z4235" s="4">
        <v>4</v>
      </c>
      <c r="AA4235" s="4">
        <v>8</v>
      </c>
      <c r="AB4235" s="4">
        <v>1</v>
      </c>
      <c r="AC4235" s="4">
        <v>1</v>
      </c>
      <c r="AD4235" s="4">
        <v>2</v>
      </c>
      <c r="AE4235" s="4">
        <v>33</v>
      </c>
      <c r="AF4235" s="4">
        <v>0</v>
      </c>
      <c r="AG4235" s="4">
        <v>0</v>
      </c>
      <c r="AH4235" s="4">
        <v>2</v>
      </c>
      <c r="AI4235" s="4">
        <v>32</v>
      </c>
      <c r="AJ4235" s="4">
        <v>2</v>
      </c>
      <c r="AK4235" s="4">
        <v>6</v>
      </c>
      <c r="AL4235" s="4">
        <v>1</v>
      </c>
      <c r="AM4235" s="4">
        <v>19</v>
      </c>
      <c r="AN4235" s="4">
        <v>0</v>
      </c>
      <c r="AO4235" s="4">
        <v>0</v>
      </c>
      <c r="AP4235" s="4">
        <v>2</v>
      </c>
      <c r="AQ4235" s="4">
        <v>6</v>
      </c>
      <c r="AR4235" s="3" t="s">
        <v>63</v>
      </c>
      <c r="AS4235" s="3" t="s">
        <v>63</v>
      </c>
      <c r="AT4235" s="3" t="s">
        <v>63</v>
      </c>
      <c r="AV4235" s="6" t="str">
        <f>HYPERLINK("http://mcgill.on.worldcat.org/oclc/427512394","Catalog Record")</f>
        <v>Catalog Record</v>
      </c>
      <c r="AW4235" s="6" t="str">
        <f>HYPERLINK("http://www.worldcat.org/oclc/427512394","WorldCat Record")</f>
        <v>WorldCat Record</v>
      </c>
      <c r="AX4235" s="3" t="s">
        <v>36602</v>
      </c>
      <c r="AY4235" s="3" t="s">
        <v>36603</v>
      </c>
      <c r="AZ4235" s="3" t="s">
        <v>36604</v>
      </c>
      <c r="BA4235" s="3" t="s">
        <v>36604</v>
      </c>
      <c r="BB4235" s="3" t="s">
        <v>36619</v>
      </c>
      <c r="BC4235" s="3" t="s">
        <v>82</v>
      </c>
      <c r="BD4235" s="3" t="s">
        <v>70</v>
      </c>
      <c r="BF4235" s="3" t="s">
        <v>36619</v>
      </c>
      <c r="BG4235" s="3" t="s">
        <v>36620</v>
      </c>
    </row>
    <row r="4236" spans="1:59" ht="60" x14ac:dyDescent="0.25">
      <c r="A4236" s="2" t="s">
        <v>59</v>
      </c>
      <c r="B4236" s="2" t="s">
        <v>60</v>
      </c>
      <c r="C4236" s="2" t="s">
        <v>36597</v>
      </c>
      <c r="D4236" s="2" t="s">
        <v>36598</v>
      </c>
      <c r="E4236" s="2" t="s">
        <v>36599</v>
      </c>
      <c r="F4236" s="3" t="s">
        <v>15318</v>
      </c>
      <c r="G4236" s="3" t="s">
        <v>62</v>
      </c>
      <c r="I4236" s="3" t="s">
        <v>63</v>
      </c>
      <c r="J4236" s="3" t="s">
        <v>63</v>
      </c>
      <c r="K4236" s="3" t="s">
        <v>64</v>
      </c>
      <c r="L4236" s="2" t="s">
        <v>36589</v>
      </c>
      <c r="M4236" s="2" t="s">
        <v>36600</v>
      </c>
      <c r="N4236" s="3" t="s">
        <v>1046</v>
      </c>
      <c r="O4236" s="2" t="s">
        <v>36601</v>
      </c>
      <c r="P4236" s="3" t="s">
        <v>36343</v>
      </c>
      <c r="R4236" s="3" t="s">
        <v>67</v>
      </c>
      <c r="S4236" s="4">
        <v>0</v>
      </c>
      <c r="T4236" s="4">
        <v>2</v>
      </c>
      <c r="V4236" s="5" t="s">
        <v>3861</v>
      </c>
      <c r="W4236" s="5" t="s">
        <v>69</v>
      </c>
      <c r="X4236" s="5" t="s">
        <v>69</v>
      </c>
      <c r="Y4236" s="4">
        <v>4</v>
      </c>
      <c r="Z4236" s="4">
        <v>4</v>
      </c>
      <c r="AA4236" s="4">
        <v>8</v>
      </c>
      <c r="AB4236" s="4">
        <v>1</v>
      </c>
      <c r="AC4236" s="4">
        <v>1</v>
      </c>
      <c r="AD4236" s="4">
        <v>2</v>
      </c>
      <c r="AE4236" s="4">
        <v>33</v>
      </c>
      <c r="AF4236" s="4">
        <v>0</v>
      </c>
      <c r="AG4236" s="4">
        <v>0</v>
      </c>
      <c r="AH4236" s="4">
        <v>2</v>
      </c>
      <c r="AI4236" s="4">
        <v>32</v>
      </c>
      <c r="AJ4236" s="4">
        <v>2</v>
      </c>
      <c r="AK4236" s="4">
        <v>6</v>
      </c>
      <c r="AL4236" s="4">
        <v>1</v>
      </c>
      <c r="AM4236" s="4">
        <v>19</v>
      </c>
      <c r="AN4236" s="4">
        <v>0</v>
      </c>
      <c r="AO4236" s="4">
        <v>0</v>
      </c>
      <c r="AP4236" s="4">
        <v>2</v>
      </c>
      <c r="AQ4236" s="4">
        <v>6</v>
      </c>
      <c r="AR4236" s="3" t="s">
        <v>63</v>
      </c>
      <c r="AS4236" s="3" t="s">
        <v>63</v>
      </c>
      <c r="AT4236" s="3" t="s">
        <v>63</v>
      </c>
      <c r="AV4236" s="6" t="str">
        <f>HYPERLINK("http://mcgill.on.worldcat.org/oclc/427512394","Catalog Record")</f>
        <v>Catalog Record</v>
      </c>
      <c r="AW4236" s="6" t="str">
        <f>HYPERLINK("http://www.worldcat.org/oclc/427512394","WorldCat Record")</f>
        <v>WorldCat Record</v>
      </c>
      <c r="AX4236" s="3" t="s">
        <v>36602</v>
      </c>
      <c r="AY4236" s="3" t="s">
        <v>36603</v>
      </c>
      <c r="AZ4236" s="3" t="s">
        <v>36604</v>
      </c>
      <c r="BA4236" s="3" t="s">
        <v>36604</v>
      </c>
      <c r="BB4236" s="3" t="s">
        <v>36621</v>
      </c>
      <c r="BC4236" s="3" t="s">
        <v>82</v>
      </c>
      <c r="BD4236" s="3" t="s">
        <v>70</v>
      </c>
      <c r="BF4236" s="3" t="s">
        <v>36621</v>
      </c>
      <c r="BG4236" s="3" t="s">
        <v>36622</v>
      </c>
    </row>
    <row r="4237" spans="1:59" ht="60" x14ac:dyDescent="0.25">
      <c r="A4237" s="2" t="s">
        <v>59</v>
      </c>
      <c r="B4237" s="2" t="s">
        <v>60</v>
      </c>
      <c r="C4237" s="2" t="s">
        <v>36597</v>
      </c>
      <c r="D4237" s="2" t="s">
        <v>36598</v>
      </c>
      <c r="E4237" s="2" t="s">
        <v>36599</v>
      </c>
      <c r="F4237" s="3" t="s">
        <v>1105</v>
      </c>
      <c r="G4237" s="3" t="s">
        <v>62</v>
      </c>
      <c r="I4237" s="3" t="s">
        <v>63</v>
      </c>
      <c r="J4237" s="3" t="s">
        <v>63</v>
      </c>
      <c r="K4237" s="3" t="s">
        <v>64</v>
      </c>
      <c r="L4237" s="2" t="s">
        <v>36589</v>
      </c>
      <c r="M4237" s="2" t="s">
        <v>36600</v>
      </c>
      <c r="N4237" s="3" t="s">
        <v>1046</v>
      </c>
      <c r="O4237" s="2" t="s">
        <v>36601</v>
      </c>
      <c r="P4237" s="3" t="s">
        <v>36343</v>
      </c>
      <c r="R4237" s="3" t="s">
        <v>67</v>
      </c>
      <c r="S4237" s="4">
        <v>0</v>
      </c>
      <c r="T4237" s="4">
        <v>2</v>
      </c>
      <c r="V4237" s="5" t="s">
        <v>3861</v>
      </c>
      <c r="W4237" s="5" t="s">
        <v>69</v>
      </c>
      <c r="X4237" s="5" t="s">
        <v>69</v>
      </c>
      <c r="Y4237" s="4">
        <v>4</v>
      </c>
      <c r="Z4237" s="4">
        <v>4</v>
      </c>
      <c r="AA4237" s="4">
        <v>8</v>
      </c>
      <c r="AB4237" s="4">
        <v>1</v>
      </c>
      <c r="AC4237" s="4">
        <v>1</v>
      </c>
      <c r="AD4237" s="4">
        <v>2</v>
      </c>
      <c r="AE4237" s="4">
        <v>33</v>
      </c>
      <c r="AF4237" s="4">
        <v>0</v>
      </c>
      <c r="AG4237" s="4">
        <v>0</v>
      </c>
      <c r="AH4237" s="4">
        <v>2</v>
      </c>
      <c r="AI4237" s="4">
        <v>32</v>
      </c>
      <c r="AJ4237" s="4">
        <v>2</v>
      </c>
      <c r="AK4237" s="4">
        <v>6</v>
      </c>
      <c r="AL4237" s="4">
        <v>1</v>
      </c>
      <c r="AM4237" s="4">
        <v>19</v>
      </c>
      <c r="AN4237" s="4">
        <v>0</v>
      </c>
      <c r="AO4237" s="4">
        <v>0</v>
      </c>
      <c r="AP4237" s="4">
        <v>2</v>
      </c>
      <c r="AQ4237" s="4">
        <v>6</v>
      </c>
      <c r="AR4237" s="3" t="s">
        <v>63</v>
      </c>
      <c r="AS4237" s="3" t="s">
        <v>63</v>
      </c>
      <c r="AT4237" s="3" t="s">
        <v>63</v>
      </c>
      <c r="AV4237" s="6" t="str">
        <f>HYPERLINK("http://mcgill.on.worldcat.org/oclc/427512394","Catalog Record")</f>
        <v>Catalog Record</v>
      </c>
      <c r="AW4237" s="6" t="str">
        <f>HYPERLINK("http://www.worldcat.org/oclc/427512394","WorldCat Record")</f>
        <v>WorldCat Record</v>
      </c>
      <c r="AX4237" s="3" t="s">
        <v>36602</v>
      </c>
      <c r="AY4237" s="3" t="s">
        <v>36603</v>
      </c>
      <c r="AZ4237" s="3" t="s">
        <v>36604</v>
      </c>
      <c r="BA4237" s="3" t="s">
        <v>36604</v>
      </c>
      <c r="BB4237" s="3" t="s">
        <v>36623</v>
      </c>
      <c r="BC4237" s="3" t="s">
        <v>82</v>
      </c>
      <c r="BD4237" s="3" t="s">
        <v>70</v>
      </c>
      <c r="BF4237" s="3" t="s">
        <v>36623</v>
      </c>
      <c r="BG4237" s="3" t="s">
        <v>36624</v>
      </c>
    </row>
    <row r="4238" spans="1:59" ht="60" x14ac:dyDescent="0.25">
      <c r="A4238" s="2" t="s">
        <v>59</v>
      </c>
      <c r="B4238" s="2" t="s">
        <v>60</v>
      </c>
      <c r="C4238" s="2" t="s">
        <v>36597</v>
      </c>
      <c r="D4238" s="2" t="s">
        <v>36598</v>
      </c>
      <c r="E4238" s="2" t="s">
        <v>36599</v>
      </c>
      <c r="F4238" s="3" t="s">
        <v>1379</v>
      </c>
      <c r="G4238" s="3" t="s">
        <v>62</v>
      </c>
      <c r="I4238" s="3" t="s">
        <v>63</v>
      </c>
      <c r="J4238" s="3" t="s">
        <v>63</v>
      </c>
      <c r="K4238" s="3" t="s">
        <v>64</v>
      </c>
      <c r="L4238" s="2" t="s">
        <v>36589</v>
      </c>
      <c r="M4238" s="2" t="s">
        <v>36600</v>
      </c>
      <c r="N4238" s="3" t="s">
        <v>1046</v>
      </c>
      <c r="O4238" s="2" t="s">
        <v>36601</v>
      </c>
      <c r="P4238" s="3" t="s">
        <v>36343</v>
      </c>
      <c r="R4238" s="3" t="s">
        <v>67</v>
      </c>
      <c r="S4238" s="4">
        <v>0</v>
      </c>
      <c r="T4238" s="4">
        <v>2</v>
      </c>
      <c r="V4238" s="5" t="s">
        <v>3861</v>
      </c>
      <c r="W4238" s="5" t="s">
        <v>69</v>
      </c>
      <c r="X4238" s="5" t="s">
        <v>69</v>
      </c>
      <c r="Y4238" s="4">
        <v>4</v>
      </c>
      <c r="Z4238" s="4">
        <v>4</v>
      </c>
      <c r="AA4238" s="4">
        <v>8</v>
      </c>
      <c r="AB4238" s="4">
        <v>1</v>
      </c>
      <c r="AC4238" s="4">
        <v>1</v>
      </c>
      <c r="AD4238" s="4">
        <v>2</v>
      </c>
      <c r="AE4238" s="4">
        <v>33</v>
      </c>
      <c r="AF4238" s="4">
        <v>0</v>
      </c>
      <c r="AG4238" s="4">
        <v>0</v>
      </c>
      <c r="AH4238" s="4">
        <v>2</v>
      </c>
      <c r="AI4238" s="4">
        <v>32</v>
      </c>
      <c r="AJ4238" s="4">
        <v>2</v>
      </c>
      <c r="AK4238" s="4">
        <v>6</v>
      </c>
      <c r="AL4238" s="4">
        <v>1</v>
      </c>
      <c r="AM4238" s="4">
        <v>19</v>
      </c>
      <c r="AN4238" s="4">
        <v>0</v>
      </c>
      <c r="AO4238" s="4">
        <v>0</v>
      </c>
      <c r="AP4238" s="4">
        <v>2</v>
      </c>
      <c r="AQ4238" s="4">
        <v>6</v>
      </c>
      <c r="AR4238" s="3" t="s">
        <v>63</v>
      </c>
      <c r="AS4238" s="3" t="s">
        <v>63</v>
      </c>
      <c r="AT4238" s="3" t="s">
        <v>63</v>
      </c>
      <c r="AV4238" s="6" t="str">
        <f>HYPERLINK("http://mcgill.on.worldcat.org/oclc/427512394","Catalog Record")</f>
        <v>Catalog Record</v>
      </c>
      <c r="AW4238" s="6" t="str">
        <f>HYPERLINK("http://www.worldcat.org/oclc/427512394","WorldCat Record")</f>
        <v>WorldCat Record</v>
      </c>
      <c r="AX4238" s="3" t="s">
        <v>36602</v>
      </c>
      <c r="AY4238" s="3" t="s">
        <v>36603</v>
      </c>
      <c r="AZ4238" s="3" t="s">
        <v>36604</v>
      </c>
      <c r="BA4238" s="3" t="s">
        <v>36604</v>
      </c>
      <c r="BB4238" s="3" t="s">
        <v>36625</v>
      </c>
      <c r="BC4238" s="3" t="s">
        <v>82</v>
      </c>
      <c r="BD4238" s="3" t="s">
        <v>70</v>
      </c>
      <c r="BF4238" s="3" t="s">
        <v>36625</v>
      </c>
      <c r="BG4238" s="3" t="s">
        <v>36626</v>
      </c>
    </row>
    <row r="4239" spans="1:59" ht="60" x14ac:dyDescent="0.25">
      <c r="A4239" s="2" t="s">
        <v>59</v>
      </c>
      <c r="B4239" s="2" t="s">
        <v>60</v>
      </c>
      <c r="C4239" s="2" t="s">
        <v>36597</v>
      </c>
      <c r="D4239" s="2" t="s">
        <v>36598</v>
      </c>
      <c r="E4239" s="2" t="s">
        <v>36599</v>
      </c>
      <c r="F4239" s="3" t="s">
        <v>1366</v>
      </c>
      <c r="G4239" s="3" t="s">
        <v>62</v>
      </c>
      <c r="I4239" s="3" t="s">
        <v>63</v>
      </c>
      <c r="J4239" s="3" t="s">
        <v>63</v>
      </c>
      <c r="K4239" s="3" t="s">
        <v>64</v>
      </c>
      <c r="L4239" s="2" t="s">
        <v>36589</v>
      </c>
      <c r="M4239" s="2" t="s">
        <v>36600</v>
      </c>
      <c r="N4239" s="3" t="s">
        <v>1046</v>
      </c>
      <c r="O4239" s="2" t="s">
        <v>36601</v>
      </c>
      <c r="P4239" s="3" t="s">
        <v>36343</v>
      </c>
      <c r="R4239" s="3" t="s">
        <v>67</v>
      </c>
      <c r="S4239" s="4">
        <v>0</v>
      </c>
      <c r="T4239" s="4">
        <v>2</v>
      </c>
      <c r="V4239" s="5" t="s">
        <v>3861</v>
      </c>
      <c r="W4239" s="5" t="s">
        <v>69</v>
      </c>
      <c r="X4239" s="5" t="s">
        <v>69</v>
      </c>
      <c r="Y4239" s="4">
        <v>4</v>
      </c>
      <c r="Z4239" s="4">
        <v>4</v>
      </c>
      <c r="AA4239" s="4">
        <v>8</v>
      </c>
      <c r="AB4239" s="4">
        <v>1</v>
      </c>
      <c r="AC4239" s="4">
        <v>1</v>
      </c>
      <c r="AD4239" s="4">
        <v>2</v>
      </c>
      <c r="AE4239" s="4">
        <v>33</v>
      </c>
      <c r="AF4239" s="4">
        <v>0</v>
      </c>
      <c r="AG4239" s="4">
        <v>0</v>
      </c>
      <c r="AH4239" s="4">
        <v>2</v>
      </c>
      <c r="AI4239" s="4">
        <v>32</v>
      </c>
      <c r="AJ4239" s="4">
        <v>2</v>
      </c>
      <c r="AK4239" s="4">
        <v>6</v>
      </c>
      <c r="AL4239" s="4">
        <v>1</v>
      </c>
      <c r="AM4239" s="4">
        <v>19</v>
      </c>
      <c r="AN4239" s="4">
        <v>0</v>
      </c>
      <c r="AO4239" s="4">
        <v>0</v>
      </c>
      <c r="AP4239" s="4">
        <v>2</v>
      </c>
      <c r="AQ4239" s="4">
        <v>6</v>
      </c>
      <c r="AR4239" s="3" t="s">
        <v>63</v>
      </c>
      <c r="AS4239" s="3" t="s">
        <v>63</v>
      </c>
      <c r="AT4239" s="3" t="s">
        <v>63</v>
      </c>
      <c r="AV4239" s="6" t="str">
        <f>HYPERLINK("http://mcgill.on.worldcat.org/oclc/427512394","Catalog Record")</f>
        <v>Catalog Record</v>
      </c>
      <c r="AW4239" s="6" t="str">
        <f>HYPERLINK("http://www.worldcat.org/oclc/427512394","WorldCat Record")</f>
        <v>WorldCat Record</v>
      </c>
      <c r="AX4239" s="3" t="s">
        <v>36602</v>
      </c>
      <c r="AY4239" s="3" t="s">
        <v>36603</v>
      </c>
      <c r="AZ4239" s="3" t="s">
        <v>36604</v>
      </c>
      <c r="BA4239" s="3" t="s">
        <v>36604</v>
      </c>
      <c r="BB4239" s="3" t="s">
        <v>36627</v>
      </c>
      <c r="BC4239" s="3" t="s">
        <v>82</v>
      </c>
      <c r="BD4239" s="3" t="s">
        <v>70</v>
      </c>
      <c r="BF4239" s="3" t="s">
        <v>36627</v>
      </c>
      <c r="BG4239" s="3" t="s">
        <v>36628</v>
      </c>
    </row>
    <row r="4240" spans="1:59" ht="60" x14ac:dyDescent="0.25">
      <c r="A4240" s="2" t="s">
        <v>59</v>
      </c>
      <c r="B4240" s="2" t="s">
        <v>60</v>
      </c>
      <c r="C4240" s="2" t="s">
        <v>36597</v>
      </c>
      <c r="D4240" s="2" t="s">
        <v>36598</v>
      </c>
      <c r="E4240" s="2" t="s">
        <v>36599</v>
      </c>
      <c r="F4240" s="3" t="s">
        <v>1095</v>
      </c>
      <c r="G4240" s="3" t="s">
        <v>62</v>
      </c>
      <c r="I4240" s="3" t="s">
        <v>63</v>
      </c>
      <c r="J4240" s="3" t="s">
        <v>63</v>
      </c>
      <c r="K4240" s="3" t="s">
        <v>64</v>
      </c>
      <c r="L4240" s="2" t="s">
        <v>36589</v>
      </c>
      <c r="M4240" s="2" t="s">
        <v>36600</v>
      </c>
      <c r="N4240" s="3" t="s">
        <v>1046</v>
      </c>
      <c r="O4240" s="2" t="s">
        <v>36601</v>
      </c>
      <c r="P4240" s="3" t="s">
        <v>36343</v>
      </c>
      <c r="R4240" s="3" t="s">
        <v>67</v>
      </c>
      <c r="S4240" s="4">
        <v>1</v>
      </c>
      <c r="T4240" s="4">
        <v>2</v>
      </c>
      <c r="U4240" s="5" t="s">
        <v>3861</v>
      </c>
      <c r="V4240" s="5" t="s">
        <v>3861</v>
      </c>
      <c r="W4240" s="5" t="s">
        <v>69</v>
      </c>
      <c r="X4240" s="5" t="s">
        <v>69</v>
      </c>
      <c r="Y4240" s="4">
        <v>4</v>
      </c>
      <c r="Z4240" s="4">
        <v>4</v>
      </c>
      <c r="AA4240" s="4">
        <v>8</v>
      </c>
      <c r="AB4240" s="4">
        <v>1</v>
      </c>
      <c r="AC4240" s="4">
        <v>1</v>
      </c>
      <c r="AD4240" s="4">
        <v>2</v>
      </c>
      <c r="AE4240" s="4">
        <v>33</v>
      </c>
      <c r="AF4240" s="4">
        <v>0</v>
      </c>
      <c r="AG4240" s="4">
        <v>0</v>
      </c>
      <c r="AH4240" s="4">
        <v>2</v>
      </c>
      <c r="AI4240" s="4">
        <v>32</v>
      </c>
      <c r="AJ4240" s="4">
        <v>2</v>
      </c>
      <c r="AK4240" s="4">
        <v>6</v>
      </c>
      <c r="AL4240" s="4">
        <v>1</v>
      </c>
      <c r="AM4240" s="4">
        <v>19</v>
      </c>
      <c r="AN4240" s="4">
        <v>0</v>
      </c>
      <c r="AO4240" s="4">
        <v>0</v>
      </c>
      <c r="AP4240" s="4">
        <v>2</v>
      </c>
      <c r="AQ4240" s="4">
        <v>6</v>
      </c>
      <c r="AR4240" s="3" t="s">
        <v>63</v>
      </c>
      <c r="AS4240" s="3" t="s">
        <v>63</v>
      </c>
      <c r="AT4240" s="3" t="s">
        <v>63</v>
      </c>
      <c r="AV4240" s="6" t="str">
        <f>HYPERLINK("http://mcgill.on.worldcat.org/oclc/427512394","Catalog Record")</f>
        <v>Catalog Record</v>
      </c>
      <c r="AW4240" s="6" t="str">
        <f>HYPERLINK("http://www.worldcat.org/oclc/427512394","WorldCat Record")</f>
        <v>WorldCat Record</v>
      </c>
      <c r="AX4240" s="3" t="s">
        <v>36602</v>
      </c>
      <c r="AY4240" s="3" t="s">
        <v>36603</v>
      </c>
      <c r="AZ4240" s="3" t="s">
        <v>36604</v>
      </c>
      <c r="BA4240" s="3" t="s">
        <v>36604</v>
      </c>
      <c r="BB4240" s="3" t="s">
        <v>36629</v>
      </c>
      <c r="BC4240" s="3" t="s">
        <v>82</v>
      </c>
      <c r="BD4240" s="3" t="s">
        <v>70</v>
      </c>
      <c r="BF4240" s="3" t="s">
        <v>36629</v>
      </c>
      <c r="BG4240" s="3" t="s">
        <v>36630</v>
      </c>
    </row>
    <row r="4241" spans="1:59" ht="60" x14ac:dyDescent="0.25">
      <c r="A4241" s="2" t="s">
        <v>59</v>
      </c>
      <c r="B4241" s="2" t="s">
        <v>60</v>
      </c>
      <c r="C4241" s="2" t="s">
        <v>36597</v>
      </c>
      <c r="D4241" s="2" t="s">
        <v>36598</v>
      </c>
      <c r="E4241" s="2" t="s">
        <v>36599</v>
      </c>
      <c r="F4241" s="3" t="s">
        <v>61</v>
      </c>
      <c r="G4241" s="3" t="s">
        <v>62</v>
      </c>
      <c r="I4241" s="3" t="s">
        <v>63</v>
      </c>
      <c r="J4241" s="3" t="s">
        <v>63</v>
      </c>
      <c r="K4241" s="3" t="s">
        <v>64</v>
      </c>
      <c r="L4241" s="2" t="s">
        <v>36589</v>
      </c>
      <c r="M4241" s="2" t="s">
        <v>36600</v>
      </c>
      <c r="N4241" s="3" t="s">
        <v>1046</v>
      </c>
      <c r="O4241" s="2" t="s">
        <v>36601</v>
      </c>
      <c r="P4241" s="3" t="s">
        <v>36343</v>
      </c>
      <c r="R4241" s="3" t="s">
        <v>67</v>
      </c>
      <c r="S4241" s="4">
        <v>0</v>
      </c>
      <c r="T4241" s="4">
        <v>2</v>
      </c>
      <c r="V4241" s="5" t="s">
        <v>3861</v>
      </c>
      <c r="W4241" s="5" t="s">
        <v>69</v>
      </c>
      <c r="X4241" s="5" t="s">
        <v>69</v>
      </c>
      <c r="Y4241" s="4">
        <v>4</v>
      </c>
      <c r="Z4241" s="4">
        <v>4</v>
      </c>
      <c r="AA4241" s="4">
        <v>8</v>
      </c>
      <c r="AB4241" s="4">
        <v>1</v>
      </c>
      <c r="AC4241" s="4">
        <v>1</v>
      </c>
      <c r="AD4241" s="4">
        <v>2</v>
      </c>
      <c r="AE4241" s="4">
        <v>33</v>
      </c>
      <c r="AF4241" s="4">
        <v>0</v>
      </c>
      <c r="AG4241" s="4">
        <v>0</v>
      </c>
      <c r="AH4241" s="4">
        <v>2</v>
      </c>
      <c r="AI4241" s="4">
        <v>32</v>
      </c>
      <c r="AJ4241" s="4">
        <v>2</v>
      </c>
      <c r="AK4241" s="4">
        <v>6</v>
      </c>
      <c r="AL4241" s="4">
        <v>1</v>
      </c>
      <c r="AM4241" s="4">
        <v>19</v>
      </c>
      <c r="AN4241" s="4">
        <v>0</v>
      </c>
      <c r="AO4241" s="4">
        <v>0</v>
      </c>
      <c r="AP4241" s="4">
        <v>2</v>
      </c>
      <c r="AQ4241" s="4">
        <v>6</v>
      </c>
      <c r="AR4241" s="3" t="s">
        <v>63</v>
      </c>
      <c r="AS4241" s="3" t="s">
        <v>63</v>
      </c>
      <c r="AT4241" s="3" t="s">
        <v>63</v>
      </c>
      <c r="AV4241" s="6" t="str">
        <f>HYPERLINK("http://mcgill.on.worldcat.org/oclc/427512394","Catalog Record")</f>
        <v>Catalog Record</v>
      </c>
      <c r="AW4241" s="6" t="str">
        <f>HYPERLINK("http://www.worldcat.org/oclc/427512394","WorldCat Record")</f>
        <v>WorldCat Record</v>
      </c>
      <c r="AX4241" s="3" t="s">
        <v>36602</v>
      </c>
      <c r="AY4241" s="3" t="s">
        <v>36603</v>
      </c>
      <c r="AZ4241" s="3" t="s">
        <v>36604</v>
      </c>
      <c r="BA4241" s="3" t="s">
        <v>36604</v>
      </c>
      <c r="BB4241" s="3" t="s">
        <v>36631</v>
      </c>
      <c r="BC4241" s="3" t="s">
        <v>82</v>
      </c>
      <c r="BD4241" s="3" t="s">
        <v>70</v>
      </c>
      <c r="BF4241" s="3" t="s">
        <v>36631</v>
      </c>
      <c r="BG4241" s="3" t="s">
        <v>36632</v>
      </c>
    </row>
    <row r="4242" spans="1:59" ht="60" x14ac:dyDescent="0.25">
      <c r="A4242" s="2" t="s">
        <v>59</v>
      </c>
      <c r="B4242" s="2" t="s">
        <v>60</v>
      </c>
      <c r="C4242" s="2" t="s">
        <v>36586</v>
      </c>
      <c r="D4242" s="2" t="s">
        <v>36587</v>
      </c>
      <c r="E4242" s="2" t="s">
        <v>36588</v>
      </c>
      <c r="G4242" s="3" t="s">
        <v>63</v>
      </c>
      <c r="I4242" s="3" t="s">
        <v>63</v>
      </c>
      <c r="J4242" s="3" t="s">
        <v>63</v>
      </c>
      <c r="K4242" s="3" t="s">
        <v>64</v>
      </c>
      <c r="L4242" s="2" t="s">
        <v>36589</v>
      </c>
      <c r="M4242" s="2" t="s">
        <v>36590</v>
      </c>
      <c r="N4242" s="3" t="s">
        <v>65</v>
      </c>
      <c r="P4242" s="3" t="s">
        <v>66</v>
      </c>
      <c r="R4242" s="3" t="s">
        <v>67</v>
      </c>
      <c r="S4242" s="4">
        <v>3</v>
      </c>
      <c r="T4242" s="4">
        <v>3</v>
      </c>
      <c r="U4242" s="5" t="s">
        <v>36591</v>
      </c>
      <c r="V4242" s="5" t="s">
        <v>36591</v>
      </c>
      <c r="W4242" s="5" t="s">
        <v>69</v>
      </c>
      <c r="X4242" s="5" t="s">
        <v>69</v>
      </c>
      <c r="Y4242" s="4">
        <v>83</v>
      </c>
      <c r="Z4242" s="4">
        <v>14</v>
      </c>
      <c r="AA4242" s="4">
        <v>18</v>
      </c>
      <c r="AB4242" s="4">
        <v>1</v>
      </c>
      <c r="AC4242" s="4">
        <v>2</v>
      </c>
      <c r="AD4242" s="4">
        <v>44</v>
      </c>
      <c r="AE4242" s="4">
        <v>47</v>
      </c>
      <c r="AF4242" s="4">
        <v>0</v>
      </c>
      <c r="AG4242" s="4">
        <v>1</v>
      </c>
      <c r="AH4242" s="4">
        <v>37</v>
      </c>
      <c r="AI4242" s="4">
        <v>39</v>
      </c>
      <c r="AJ4242" s="4">
        <v>8</v>
      </c>
      <c r="AK4242" s="4">
        <v>11</v>
      </c>
      <c r="AL4242" s="4">
        <v>25</v>
      </c>
      <c r="AM4242" s="4">
        <v>25</v>
      </c>
      <c r="AN4242" s="4">
        <v>0</v>
      </c>
      <c r="AO4242" s="4">
        <v>0</v>
      </c>
      <c r="AP4242" s="4">
        <v>10</v>
      </c>
      <c r="AQ4242" s="4">
        <v>12</v>
      </c>
      <c r="AR4242" s="3" t="s">
        <v>63</v>
      </c>
      <c r="AS4242" s="3" t="s">
        <v>63</v>
      </c>
      <c r="AT4242" s="3" t="s">
        <v>63</v>
      </c>
      <c r="AV4242" s="6" t="str">
        <f>HYPERLINK("http://mcgill.on.worldcat.org/oclc/4667202","Catalog Record")</f>
        <v>Catalog Record</v>
      </c>
      <c r="AW4242" s="6" t="str">
        <f>HYPERLINK("http://www.worldcat.org/oclc/4667202","WorldCat Record")</f>
        <v>WorldCat Record</v>
      </c>
      <c r="AX4242" s="3" t="s">
        <v>36592</v>
      </c>
      <c r="AY4242" s="3" t="s">
        <v>36593</v>
      </c>
      <c r="AZ4242" s="3" t="s">
        <v>36594</v>
      </c>
      <c r="BA4242" s="3" t="s">
        <v>36594</v>
      </c>
      <c r="BB4242" s="3" t="s">
        <v>36595</v>
      </c>
      <c r="BC4242" s="3" t="s">
        <v>82</v>
      </c>
      <c r="BD4242" s="3" t="s">
        <v>70</v>
      </c>
      <c r="BF4242" s="3" t="s">
        <v>36595</v>
      </c>
      <c r="BG4242" s="3" t="s">
        <v>36596</v>
      </c>
    </row>
    <row r="4243" spans="1:59" ht="60" x14ac:dyDescent="0.25">
      <c r="A4243" s="2" t="s">
        <v>59</v>
      </c>
      <c r="B4243" s="2" t="s">
        <v>60</v>
      </c>
      <c r="C4243" s="2" t="s">
        <v>36633</v>
      </c>
      <c r="D4243" s="2" t="s">
        <v>36634</v>
      </c>
      <c r="E4243" s="2" t="s">
        <v>36635</v>
      </c>
      <c r="G4243" s="3" t="s">
        <v>63</v>
      </c>
      <c r="I4243" s="3" t="s">
        <v>63</v>
      </c>
      <c r="J4243" s="3" t="s">
        <v>63</v>
      </c>
      <c r="K4243" s="3" t="s">
        <v>64</v>
      </c>
      <c r="L4243" s="2" t="s">
        <v>36636</v>
      </c>
      <c r="M4243" s="2" t="s">
        <v>36637</v>
      </c>
      <c r="N4243" s="3" t="s">
        <v>143</v>
      </c>
      <c r="P4243" s="3" t="s">
        <v>36343</v>
      </c>
      <c r="R4243" s="3" t="s">
        <v>67</v>
      </c>
      <c r="S4243" s="4">
        <v>0</v>
      </c>
      <c r="T4243" s="4">
        <v>0</v>
      </c>
      <c r="W4243" s="5" t="s">
        <v>69</v>
      </c>
      <c r="X4243" s="5" t="s">
        <v>69</v>
      </c>
      <c r="Y4243" s="4">
        <v>53</v>
      </c>
      <c r="Z4243" s="4">
        <v>27</v>
      </c>
      <c r="AA4243" s="4">
        <v>29</v>
      </c>
      <c r="AB4243" s="4">
        <v>3</v>
      </c>
      <c r="AC4243" s="4">
        <v>4</v>
      </c>
      <c r="AD4243" s="4">
        <v>29</v>
      </c>
      <c r="AE4243" s="4">
        <v>30</v>
      </c>
      <c r="AF4243" s="4">
        <v>2</v>
      </c>
      <c r="AG4243" s="4">
        <v>3</v>
      </c>
      <c r="AH4243" s="4">
        <v>19</v>
      </c>
      <c r="AI4243" s="4">
        <v>19</v>
      </c>
      <c r="AJ4243" s="4">
        <v>16</v>
      </c>
      <c r="AK4243" s="4">
        <v>17</v>
      </c>
      <c r="AL4243" s="4">
        <v>8</v>
      </c>
      <c r="AM4243" s="4">
        <v>8</v>
      </c>
      <c r="AN4243" s="4">
        <v>0</v>
      </c>
      <c r="AO4243" s="4">
        <v>0</v>
      </c>
      <c r="AP4243" s="4">
        <v>19</v>
      </c>
      <c r="AQ4243" s="4">
        <v>20</v>
      </c>
      <c r="AR4243" s="3" t="s">
        <v>62</v>
      </c>
      <c r="AS4243" s="3" t="s">
        <v>63</v>
      </c>
      <c r="AT4243" s="3" t="s">
        <v>63</v>
      </c>
      <c r="AV4243" s="6" t="str">
        <f>HYPERLINK("http://mcgill.on.worldcat.org/oclc/883866248","Catalog Record")</f>
        <v>Catalog Record</v>
      </c>
      <c r="AW4243" s="6" t="str">
        <f>HYPERLINK("http://www.worldcat.org/oclc/883866248","WorldCat Record")</f>
        <v>WorldCat Record</v>
      </c>
      <c r="AX4243" s="3" t="s">
        <v>36638</v>
      </c>
      <c r="AY4243" s="3" t="s">
        <v>36639</v>
      </c>
      <c r="AZ4243" s="3" t="s">
        <v>36640</v>
      </c>
      <c r="BA4243" s="3" t="s">
        <v>36640</v>
      </c>
      <c r="BB4243" s="3" t="s">
        <v>36641</v>
      </c>
      <c r="BC4243" s="3" t="s">
        <v>82</v>
      </c>
      <c r="BD4243" s="3" t="s">
        <v>70</v>
      </c>
      <c r="BE4243" s="3" t="s">
        <v>36642</v>
      </c>
      <c r="BF4243" s="3" t="s">
        <v>36641</v>
      </c>
      <c r="BG4243" s="3" t="s">
        <v>36643</v>
      </c>
    </row>
    <row r="4244" spans="1:59" ht="60" x14ac:dyDescent="0.25">
      <c r="A4244" s="2" t="s">
        <v>59</v>
      </c>
      <c r="B4244" s="2" t="s">
        <v>60</v>
      </c>
      <c r="C4244" s="2" t="s">
        <v>36644</v>
      </c>
      <c r="D4244" s="2" t="s">
        <v>36645</v>
      </c>
      <c r="E4244" s="2" t="s">
        <v>36646</v>
      </c>
      <c r="G4244" s="3" t="s">
        <v>63</v>
      </c>
      <c r="I4244" s="3" t="s">
        <v>63</v>
      </c>
      <c r="J4244" s="3" t="s">
        <v>63</v>
      </c>
      <c r="K4244" s="3" t="s">
        <v>64</v>
      </c>
      <c r="L4244" s="2" t="s">
        <v>36647</v>
      </c>
      <c r="M4244" s="2" t="s">
        <v>36648</v>
      </c>
      <c r="N4244" s="3" t="s">
        <v>1046</v>
      </c>
      <c r="P4244" s="3" t="s">
        <v>36343</v>
      </c>
      <c r="R4244" s="3" t="s">
        <v>67</v>
      </c>
      <c r="S4244" s="4">
        <v>1</v>
      </c>
      <c r="T4244" s="4">
        <v>1</v>
      </c>
      <c r="U4244" s="5" t="s">
        <v>36649</v>
      </c>
      <c r="V4244" s="5" t="s">
        <v>36649</v>
      </c>
      <c r="W4244" s="5" t="s">
        <v>69</v>
      </c>
      <c r="X4244" s="5" t="s">
        <v>69</v>
      </c>
      <c r="Y4244" s="4">
        <v>11</v>
      </c>
      <c r="Z4244" s="4">
        <v>4</v>
      </c>
      <c r="AA4244" s="4">
        <v>7</v>
      </c>
      <c r="AB4244" s="4">
        <v>1</v>
      </c>
      <c r="AC4244" s="4">
        <v>2</v>
      </c>
      <c r="AD4244" s="4">
        <v>6</v>
      </c>
      <c r="AE4244" s="4">
        <v>12</v>
      </c>
      <c r="AF4244" s="4">
        <v>0</v>
      </c>
      <c r="AG4244" s="4">
        <v>1</v>
      </c>
      <c r="AH4244" s="4">
        <v>6</v>
      </c>
      <c r="AI4244" s="4">
        <v>10</v>
      </c>
      <c r="AJ4244" s="4">
        <v>2</v>
      </c>
      <c r="AK4244" s="4">
        <v>4</v>
      </c>
      <c r="AL4244" s="4">
        <v>5</v>
      </c>
      <c r="AM4244" s="4">
        <v>8</v>
      </c>
      <c r="AN4244" s="4">
        <v>0</v>
      </c>
      <c r="AO4244" s="4">
        <v>0</v>
      </c>
      <c r="AP4244" s="4">
        <v>2</v>
      </c>
      <c r="AQ4244" s="4">
        <v>3</v>
      </c>
      <c r="AR4244" s="3" t="s">
        <v>63</v>
      </c>
      <c r="AS4244" s="3" t="s">
        <v>63</v>
      </c>
      <c r="AT4244" s="3" t="s">
        <v>62</v>
      </c>
      <c r="AU4244" s="6" t="str">
        <f>HYPERLINK("http://catalog.hathitrust.org/Record/004688706","HathiTrust Record")</f>
        <v>HathiTrust Record</v>
      </c>
      <c r="AV4244" s="6" t="str">
        <f>HYPERLINK("http://mcgill.on.worldcat.org/oclc/9150298","Catalog Record")</f>
        <v>Catalog Record</v>
      </c>
      <c r="AW4244" s="6" t="str">
        <f>HYPERLINK("http://www.worldcat.org/oclc/9150298","WorldCat Record")</f>
        <v>WorldCat Record</v>
      </c>
      <c r="AX4244" s="3" t="s">
        <v>36650</v>
      </c>
      <c r="AY4244" s="3" t="s">
        <v>36651</v>
      </c>
      <c r="AZ4244" s="3" t="s">
        <v>36652</v>
      </c>
      <c r="BA4244" s="3" t="s">
        <v>36652</v>
      </c>
      <c r="BB4244" s="3" t="s">
        <v>36653</v>
      </c>
      <c r="BC4244" s="3" t="s">
        <v>82</v>
      </c>
      <c r="BD4244" s="3" t="s">
        <v>70</v>
      </c>
      <c r="BF4244" s="3" t="s">
        <v>36653</v>
      </c>
      <c r="BG4244" s="3" t="s">
        <v>36654</v>
      </c>
    </row>
    <row r="4245" spans="1:59" ht="60" x14ac:dyDescent="0.25">
      <c r="A4245" s="2" t="s">
        <v>59</v>
      </c>
      <c r="B4245" s="2" t="s">
        <v>60</v>
      </c>
      <c r="C4245" s="2" t="s">
        <v>36655</v>
      </c>
      <c r="D4245" s="2" t="s">
        <v>36656</v>
      </c>
      <c r="E4245" s="2" t="s">
        <v>36657</v>
      </c>
      <c r="G4245" s="3" t="s">
        <v>63</v>
      </c>
      <c r="I4245" s="3" t="s">
        <v>63</v>
      </c>
      <c r="J4245" s="3" t="s">
        <v>63</v>
      </c>
      <c r="K4245" s="3" t="s">
        <v>64</v>
      </c>
      <c r="L4245" s="2" t="s">
        <v>36658</v>
      </c>
      <c r="M4245" s="2" t="s">
        <v>36659</v>
      </c>
      <c r="N4245" s="3" t="s">
        <v>76</v>
      </c>
      <c r="P4245" s="3" t="s">
        <v>66</v>
      </c>
      <c r="R4245" s="3" t="s">
        <v>67</v>
      </c>
      <c r="S4245" s="4">
        <v>0</v>
      </c>
      <c r="T4245" s="4">
        <v>0</v>
      </c>
      <c r="W4245" s="5" t="s">
        <v>69</v>
      </c>
      <c r="X4245" s="5" t="s">
        <v>69</v>
      </c>
      <c r="Y4245" s="4">
        <v>79</v>
      </c>
      <c r="Z4245" s="4">
        <v>16</v>
      </c>
      <c r="AA4245" s="4">
        <v>111</v>
      </c>
      <c r="AB4245" s="4">
        <v>1</v>
      </c>
      <c r="AC4245" s="4">
        <v>20</v>
      </c>
      <c r="AD4245" s="4">
        <v>52</v>
      </c>
      <c r="AE4245" s="4">
        <v>122</v>
      </c>
      <c r="AF4245" s="4">
        <v>0</v>
      </c>
      <c r="AG4245" s="4">
        <v>8</v>
      </c>
      <c r="AH4245" s="4">
        <v>44</v>
      </c>
      <c r="AI4245" s="4">
        <v>84</v>
      </c>
      <c r="AJ4245" s="4">
        <v>14</v>
      </c>
      <c r="AK4245" s="4">
        <v>26</v>
      </c>
      <c r="AL4245" s="4">
        <v>29</v>
      </c>
      <c r="AM4245" s="4">
        <v>45</v>
      </c>
      <c r="AN4245" s="4">
        <v>0</v>
      </c>
      <c r="AO4245" s="4">
        <v>0</v>
      </c>
      <c r="AP4245" s="4">
        <v>13</v>
      </c>
      <c r="AQ4245" s="4">
        <v>47</v>
      </c>
      <c r="AR4245" s="3" t="s">
        <v>62</v>
      </c>
      <c r="AS4245" s="3" t="s">
        <v>63</v>
      </c>
      <c r="AT4245" s="3" t="s">
        <v>63</v>
      </c>
      <c r="AV4245" s="6" t="str">
        <f>HYPERLINK("http://mcgill.on.worldcat.org/oclc/793221979","Catalog Record")</f>
        <v>Catalog Record</v>
      </c>
      <c r="AW4245" s="6" t="str">
        <f>HYPERLINK("http://www.worldcat.org/oclc/793221979","WorldCat Record")</f>
        <v>WorldCat Record</v>
      </c>
      <c r="AX4245" s="3" t="s">
        <v>36660</v>
      </c>
      <c r="AY4245" s="3" t="s">
        <v>36661</v>
      </c>
      <c r="AZ4245" s="3" t="s">
        <v>36662</v>
      </c>
      <c r="BA4245" s="3" t="s">
        <v>36662</v>
      </c>
      <c r="BB4245" s="3" t="s">
        <v>36663</v>
      </c>
      <c r="BC4245" s="3" t="s">
        <v>82</v>
      </c>
      <c r="BD4245" s="3" t="s">
        <v>70</v>
      </c>
      <c r="BE4245" s="3" t="s">
        <v>36664</v>
      </c>
      <c r="BF4245" s="3" t="s">
        <v>36663</v>
      </c>
      <c r="BG4245" s="3" t="s">
        <v>36665</v>
      </c>
    </row>
    <row r="4246" spans="1:59" ht="60" x14ac:dyDescent="0.25">
      <c r="A4246" s="2" t="s">
        <v>59</v>
      </c>
      <c r="B4246" s="2" t="s">
        <v>60</v>
      </c>
      <c r="C4246" s="2" t="s">
        <v>36666</v>
      </c>
      <c r="D4246" s="2" t="s">
        <v>36667</v>
      </c>
      <c r="E4246" s="2" t="s">
        <v>36668</v>
      </c>
      <c r="G4246" s="3" t="s">
        <v>63</v>
      </c>
      <c r="I4246" s="3" t="s">
        <v>63</v>
      </c>
      <c r="J4246" s="3" t="s">
        <v>63</v>
      </c>
      <c r="K4246" s="3" t="s">
        <v>64</v>
      </c>
      <c r="L4246" s="2" t="s">
        <v>36669</v>
      </c>
      <c r="M4246" s="2" t="s">
        <v>36670</v>
      </c>
      <c r="N4246" s="3" t="s">
        <v>274</v>
      </c>
      <c r="P4246" s="3" t="s">
        <v>66</v>
      </c>
      <c r="Q4246" s="2" t="s">
        <v>36671</v>
      </c>
      <c r="R4246" s="3" t="s">
        <v>67</v>
      </c>
      <c r="S4246" s="4">
        <v>3</v>
      </c>
      <c r="T4246" s="4">
        <v>3</v>
      </c>
      <c r="U4246" s="5" t="s">
        <v>23085</v>
      </c>
      <c r="V4246" s="5" t="s">
        <v>23085</v>
      </c>
      <c r="W4246" s="5" t="s">
        <v>69</v>
      </c>
      <c r="X4246" s="5" t="s">
        <v>69</v>
      </c>
      <c r="Y4246" s="4">
        <v>163</v>
      </c>
      <c r="Z4246" s="4">
        <v>13</v>
      </c>
      <c r="AA4246" s="4">
        <v>13</v>
      </c>
      <c r="AB4246" s="4">
        <v>1</v>
      </c>
      <c r="AC4246" s="4">
        <v>1</v>
      </c>
      <c r="AD4246" s="4">
        <v>73</v>
      </c>
      <c r="AE4246" s="4">
        <v>73</v>
      </c>
      <c r="AF4246" s="4">
        <v>0</v>
      </c>
      <c r="AG4246" s="4">
        <v>0</v>
      </c>
      <c r="AH4246" s="4">
        <v>69</v>
      </c>
      <c r="AI4246" s="4">
        <v>69</v>
      </c>
      <c r="AJ4246" s="4">
        <v>8</v>
      </c>
      <c r="AK4246" s="4">
        <v>8</v>
      </c>
      <c r="AL4246" s="4">
        <v>37</v>
      </c>
      <c r="AM4246" s="4">
        <v>37</v>
      </c>
      <c r="AN4246" s="4">
        <v>0</v>
      </c>
      <c r="AO4246" s="4">
        <v>0</v>
      </c>
      <c r="AP4246" s="4">
        <v>8</v>
      </c>
      <c r="AQ4246" s="4">
        <v>8</v>
      </c>
      <c r="AR4246" s="3" t="s">
        <v>63</v>
      </c>
      <c r="AS4246" s="3" t="s">
        <v>63</v>
      </c>
      <c r="AT4246" s="3" t="s">
        <v>62</v>
      </c>
      <c r="AU4246" s="6" t="str">
        <f>HYPERLINK("http://catalog.hathitrust.org/Record/007138247","HathiTrust Record")</f>
        <v>HathiTrust Record</v>
      </c>
      <c r="AV4246" s="6" t="str">
        <f>HYPERLINK("http://mcgill.on.worldcat.org/oclc/43471736","Catalog Record")</f>
        <v>Catalog Record</v>
      </c>
      <c r="AW4246" s="6" t="str">
        <f>HYPERLINK("http://www.worldcat.org/oclc/43471736","WorldCat Record")</f>
        <v>WorldCat Record</v>
      </c>
      <c r="AX4246" s="3" t="s">
        <v>36672</v>
      </c>
      <c r="AY4246" s="3" t="s">
        <v>36673</v>
      </c>
      <c r="AZ4246" s="3" t="s">
        <v>36674</v>
      </c>
      <c r="BA4246" s="3" t="s">
        <v>36674</v>
      </c>
      <c r="BB4246" s="3" t="s">
        <v>36675</v>
      </c>
      <c r="BC4246" s="3" t="s">
        <v>82</v>
      </c>
      <c r="BD4246" s="3" t="s">
        <v>70</v>
      </c>
      <c r="BE4246" s="3" t="s">
        <v>36676</v>
      </c>
      <c r="BF4246" s="3" t="s">
        <v>36675</v>
      </c>
      <c r="BG4246" s="3" t="s">
        <v>36677</v>
      </c>
    </row>
    <row r="4247" spans="1:59" ht="60" x14ac:dyDescent="0.25">
      <c r="A4247" s="2" t="s">
        <v>59</v>
      </c>
      <c r="B4247" s="2" t="s">
        <v>60</v>
      </c>
      <c r="C4247" s="2" t="s">
        <v>36678</v>
      </c>
      <c r="D4247" s="2" t="s">
        <v>36679</v>
      </c>
      <c r="E4247" s="2" t="s">
        <v>36680</v>
      </c>
      <c r="G4247" s="3" t="s">
        <v>63</v>
      </c>
      <c r="I4247" s="3" t="s">
        <v>63</v>
      </c>
      <c r="J4247" s="3" t="s">
        <v>63</v>
      </c>
      <c r="K4247" s="3" t="s">
        <v>64</v>
      </c>
      <c r="L4247" s="2" t="s">
        <v>36681</v>
      </c>
      <c r="M4247" s="2" t="s">
        <v>36682</v>
      </c>
      <c r="N4247" s="3" t="s">
        <v>468</v>
      </c>
      <c r="P4247" s="3" t="s">
        <v>66</v>
      </c>
      <c r="R4247" s="3" t="s">
        <v>67</v>
      </c>
      <c r="S4247" s="4">
        <v>1</v>
      </c>
      <c r="T4247" s="4">
        <v>1</v>
      </c>
      <c r="U4247" s="5" t="s">
        <v>2557</v>
      </c>
      <c r="V4247" s="5" t="s">
        <v>2557</v>
      </c>
      <c r="W4247" s="5" t="s">
        <v>69</v>
      </c>
      <c r="X4247" s="5" t="s">
        <v>69</v>
      </c>
      <c r="Y4247" s="4">
        <v>357</v>
      </c>
      <c r="Z4247" s="4">
        <v>26</v>
      </c>
      <c r="AA4247" s="4">
        <v>27</v>
      </c>
      <c r="AB4247" s="4">
        <v>2</v>
      </c>
      <c r="AC4247" s="4">
        <v>2</v>
      </c>
      <c r="AD4247" s="4">
        <v>104</v>
      </c>
      <c r="AE4247" s="4">
        <v>105</v>
      </c>
      <c r="AF4247" s="4">
        <v>1</v>
      </c>
      <c r="AG4247" s="4">
        <v>1</v>
      </c>
      <c r="AH4247" s="4">
        <v>91</v>
      </c>
      <c r="AI4247" s="4">
        <v>92</v>
      </c>
      <c r="AJ4247" s="4">
        <v>18</v>
      </c>
      <c r="AK4247" s="4">
        <v>19</v>
      </c>
      <c r="AL4247" s="4">
        <v>48</v>
      </c>
      <c r="AM4247" s="4">
        <v>48</v>
      </c>
      <c r="AN4247" s="4">
        <v>0</v>
      </c>
      <c r="AO4247" s="4">
        <v>0</v>
      </c>
      <c r="AP4247" s="4">
        <v>19</v>
      </c>
      <c r="AQ4247" s="4">
        <v>20</v>
      </c>
      <c r="AR4247" s="3" t="s">
        <v>63</v>
      </c>
      <c r="AS4247" s="3" t="s">
        <v>63</v>
      </c>
      <c r="AT4247" s="3" t="s">
        <v>62</v>
      </c>
      <c r="AU4247" s="6" t="str">
        <f>HYPERLINK("http://catalog.hathitrust.org/Record/000695194","HathiTrust Record")</f>
        <v>HathiTrust Record</v>
      </c>
      <c r="AV4247" s="6" t="str">
        <f>HYPERLINK("http://mcgill.on.worldcat.org/oclc/1859745","Catalog Record")</f>
        <v>Catalog Record</v>
      </c>
      <c r="AW4247" s="6" t="str">
        <f>HYPERLINK("http://www.worldcat.org/oclc/1859745","WorldCat Record")</f>
        <v>WorldCat Record</v>
      </c>
      <c r="AX4247" s="3" t="s">
        <v>36683</v>
      </c>
      <c r="AY4247" s="3" t="s">
        <v>36684</v>
      </c>
      <c r="AZ4247" s="3" t="s">
        <v>36685</v>
      </c>
      <c r="BA4247" s="3" t="s">
        <v>36685</v>
      </c>
      <c r="BB4247" s="3" t="s">
        <v>36686</v>
      </c>
      <c r="BC4247" s="3" t="s">
        <v>82</v>
      </c>
      <c r="BD4247" s="3" t="s">
        <v>70</v>
      </c>
      <c r="BE4247" s="3" t="s">
        <v>36687</v>
      </c>
      <c r="BF4247" s="3" t="s">
        <v>36686</v>
      </c>
      <c r="BG4247" s="3" t="s">
        <v>36688</v>
      </c>
    </row>
    <row r="4248" spans="1:59" ht="60" x14ac:dyDescent="0.25">
      <c r="A4248" s="2" t="s">
        <v>59</v>
      </c>
      <c r="B4248" s="2" t="s">
        <v>60</v>
      </c>
      <c r="C4248" s="2" t="s">
        <v>36689</v>
      </c>
      <c r="D4248" s="2" t="s">
        <v>36690</v>
      </c>
      <c r="E4248" s="2" t="s">
        <v>36691</v>
      </c>
      <c r="G4248" s="3" t="s">
        <v>63</v>
      </c>
      <c r="I4248" s="3" t="s">
        <v>63</v>
      </c>
      <c r="J4248" s="3" t="s">
        <v>63</v>
      </c>
      <c r="K4248" s="3" t="s">
        <v>64</v>
      </c>
      <c r="M4248" s="2" t="s">
        <v>30754</v>
      </c>
      <c r="N4248" s="3" t="s">
        <v>706</v>
      </c>
      <c r="P4248" s="3" t="s">
        <v>66</v>
      </c>
      <c r="R4248" s="3" t="s">
        <v>67</v>
      </c>
      <c r="S4248" s="4">
        <v>1</v>
      </c>
      <c r="T4248" s="4">
        <v>1</v>
      </c>
      <c r="U4248" s="5" t="s">
        <v>6808</v>
      </c>
      <c r="V4248" s="5" t="s">
        <v>6808</v>
      </c>
      <c r="W4248" s="5" t="s">
        <v>69</v>
      </c>
      <c r="X4248" s="5" t="s">
        <v>69</v>
      </c>
      <c r="Y4248" s="4">
        <v>207</v>
      </c>
      <c r="Z4248" s="4">
        <v>21</v>
      </c>
      <c r="AA4248" s="4">
        <v>21</v>
      </c>
      <c r="AB4248" s="4">
        <v>1</v>
      </c>
      <c r="AC4248" s="4">
        <v>1</v>
      </c>
      <c r="AD4248" s="4">
        <v>95</v>
      </c>
      <c r="AE4248" s="4">
        <v>95</v>
      </c>
      <c r="AF4248" s="4">
        <v>0</v>
      </c>
      <c r="AG4248" s="4">
        <v>0</v>
      </c>
      <c r="AH4248" s="4">
        <v>86</v>
      </c>
      <c r="AI4248" s="4">
        <v>86</v>
      </c>
      <c r="AJ4248" s="4">
        <v>16</v>
      </c>
      <c r="AK4248" s="4">
        <v>16</v>
      </c>
      <c r="AL4248" s="4">
        <v>52</v>
      </c>
      <c r="AM4248" s="4">
        <v>52</v>
      </c>
      <c r="AN4248" s="4">
        <v>0</v>
      </c>
      <c r="AO4248" s="4">
        <v>0</v>
      </c>
      <c r="AP4248" s="4">
        <v>15</v>
      </c>
      <c r="AQ4248" s="4">
        <v>15</v>
      </c>
      <c r="AR4248" s="3" t="s">
        <v>63</v>
      </c>
      <c r="AS4248" s="3" t="s">
        <v>63</v>
      </c>
      <c r="AT4248" s="3" t="s">
        <v>62</v>
      </c>
      <c r="AU4248" s="6" t="str">
        <f>HYPERLINK("http://catalog.hathitrust.org/Record/000483085","HathiTrust Record")</f>
        <v>HathiTrust Record</v>
      </c>
      <c r="AV4248" s="6" t="str">
        <f>HYPERLINK("http://mcgill.on.worldcat.org/oclc/12078810","Catalog Record")</f>
        <v>Catalog Record</v>
      </c>
      <c r="AW4248" s="6" t="str">
        <f>HYPERLINK("http://www.worldcat.org/oclc/12078810","WorldCat Record")</f>
        <v>WorldCat Record</v>
      </c>
      <c r="AX4248" s="3" t="s">
        <v>36692</v>
      </c>
      <c r="AY4248" s="3" t="s">
        <v>36693</v>
      </c>
      <c r="AZ4248" s="3" t="s">
        <v>36694</v>
      </c>
      <c r="BA4248" s="3" t="s">
        <v>36694</v>
      </c>
      <c r="BB4248" s="3" t="s">
        <v>36695</v>
      </c>
      <c r="BC4248" s="3" t="s">
        <v>82</v>
      </c>
      <c r="BD4248" s="3" t="s">
        <v>70</v>
      </c>
      <c r="BE4248" s="3" t="s">
        <v>36696</v>
      </c>
      <c r="BF4248" s="3" t="s">
        <v>36695</v>
      </c>
      <c r="BG4248" s="3" t="s">
        <v>36697</v>
      </c>
    </row>
    <row r="4249" spans="1:59" ht="60" x14ac:dyDescent="0.25">
      <c r="A4249" s="2" t="s">
        <v>59</v>
      </c>
      <c r="B4249" s="2" t="s">
        <v>60</v>
      </c>
      <c r="C4249" s="2" t="s">
        <v>36698</v>
      </c>
      <c r="D4249" s="2" t="s">
        <v>36699</v>
      </c>
      <c r="E4249" s="2" t="s">
        <v>36700</v>
      </c>
      <c r="G4249" s="3" t="s">
        <v>63</v>
      </c>
      <c r="I4249" s="3" t="s">
        <v>63</v>
      </c>
      <c r="J4249" s="3" t="s">
        <v>63</v>
      </c>
      <c r="K4249" s="3" t="s">
        <v>64</v>
      </c>
      <c r="L4249" s="2" t="s">
        <v>3100</v>
      </c>
      <c r="M4249" s="2" t="s">
        <v>36701</v>
      </c>
      <c r="N4249" s="3" t="s">
        <v>2043</v>
      </c>
      <c r="P4249" s="3" t="s">
        <v>66</v>
      </c>
      <c r="R4249" s="3" t="s">
        <v>67</v>
      </c>
      <c r="S4249" s="4">
        <v>14</v>
      </c>
      <c r="T4249" s="4">
        <v>14</v>
      </c>
      <c r="U4249" s="5" t="s">
        <v>13971</v>
      </c>
      <c r="V4249" s="5" t="s">
        <v>13971</v>
      </c>
      <c r="W4249" s="5" t="s">
        <v>69</v>
      </c>
      <c r="X4249" s="5" t="s">
        <v>69</v>
      </c>
      <c r="Y4249" s="4">
        <v>151</v>
      </c>
      <c r="Z4249" s="4">
        <v>12</v>
      </c>
      <c r="AA4249" s="4">
        <v>13</v>
      </c>
      <c r="AB4249" s="4">
        <v>1</v>
      </c>
      <c r="AC4249" s="4">
        <v>1</v>
      </c>
      <c r="AD4249" s="4">
        <v>71</v>
      </c>
      <c r="AE4249" s="4">
        <v>76</v>
      </c>
      <c r="AF4249" s="4">
        <v>0</v>
      </c>
      <c r="AG4249" s="4">
        <v>0</v>
      </c>
      <c r="AH4249" s="4">
        <v>67</v>
      </c>
      <c r="AI4249" s="4">
        <v>71</v>
      </c>
      <c r="AJ4249" s="4">
        <v>10</v>
      </c>
      <c r="AK4249" s="4">
        <v>10</v>
      </c>
      <c r="AL4249" s="4">
        <v>40</v>
      </c>
      <c r="AM4249" s="4">
        <v>44</v>
      </c>
      <c r="AN4249" s="4">
        <v>0</v>
      </c>
      <c r="AO4249" s="4">
        <v>0</v>
      </c>
      <c r="AP4249" s="4">
        <v>10</v>
      </c>
      <c r="AQ4249" s="4">
        <v>10</v>
      </c>
      <c r="AR4249" s="3" t="s">
        <v>63</v>
      </c>
      <c r="AS4249" s="3" t="s">
        <v>63</v>
      </c>
      <c r="AT4249" s="3" t="s">
        <v>62</v>
      </c>
      <c r="AU4249" s="6" t="str">
        <f>HYPERLINK("http://catalog.hathitrust.org/Record/000239696","HathiTrust Record")</f>
        <v>HathiTrust Record</v>
      </c>
      <c r="AV4249" s="6" t="str">
        <f>HYPERLINK("http://mcgill.on.worldcat.org/oclc/8235858","Catalog Record")</f>
        <v>Catalog Record</v>
      </c>
      <c r="AW4249" s="6" t="str">
        <f>HYPERLINK("http://www.worldcat.org/oclc/8235858","WorldCat Record")</f>
        <v>WorldCat Record</v>
      </c>
      <c r="AX4249" s="3" t="s">
        <v>36702</v>
      </c>
      <c r="AY4249" s="3" t="s">
        <v>36703</v>
      </c>
      <c r="AZ4249" s="3" t="s">
        <v>36704</v>
      </c>
      <c r="BA4249" s="3" t="s">
        <v>36704</v>
      </c>
      <c r="BB4249" s="3" t="s">
        <v>36705</v>
      </c>
      <c r="BC4249" s="3" t="s">
        <v>82</v>
      </c>
      <c r="BD4249" s="3" t="s">
        <v>70</v>
      </c>
      <c r="BE4249" s="3" t="s">
        <v>36706</v>
      </c>
      <c r="BF4249" s="3" t="s">
        <v>36705</v>
      </c>
      <c r="BG4249" s="3" t="s">
        <v>36707</v>
      </c>
    </row>
    <row r="4250" spans="1:59" ht="60" x14ac:dyDescent="0.25">
      <c r="A4250" s="2" t="s">
        <v>59</v>
      </c>
      <c r="B4250" s="2" t="s">
        <v>60</v>
      </c>
      <c r="C4250" s="2" t="s">
        <v>216</v>
      </c>
      <c r="D4250" s="2" t="s">
        <v>217</v>
      </c>
      <c r="E4250" s="2" t="s">
        <v>218</v>
      </c>
      <c r="G4250" s="3" t="s">
        <v>63</v>
      </c>
      <c r="I4250" s="3" t="s">
        <v>63</v>
      </c>
      <c r="J4250" s="3" t="s">
        <v>63</v>
      </c>
      <c r="K4250" s="3" t="s">
        <v>64</v>
      </c>
      <c r="M4250" s="2" t="s">
        <v>219</v>
      </c>
      <c r="N4250" s="3" t="s">
        <v>220</v>
      </c>
      <c r="P4250" s="3" t="s">
        <v>66</v>
      </c>
      <c r="Q4250" s="2" t="s">
        <v>221</v>
      </c>
      <c r="R4250" s="3" t="s">
        <v>67</v>
      </c>
      <c r="S4250" s="4">
        <v>3</v>
      </c>
      <c r="T4250" s="4">
        <v>3</v>
      </c>
      <c r="U4250" s="5" t="s">
        <v>222</v>
      </c>
      <c r="V4250" s="5" t="s">
        <v>222</v>
      </c>
      <c r="W4250" s="5" t="s">
        <v>69</v>
      </c>
      <c r="X4250" s="5" t="s">
        <v>69</v>
      </c>
      <c r="Y4250" s="4">
        <v>237</v>
      </c>
      <c r="Z4250" s="4">
        <v>23</v>
      </c>
      <c r="AA4250" s="4">
        <v>33</v>
      </c>
      <c r="AB4250" s="4">
        <v>1</v>
      </c>
      <c r="AC4250" s="4">
        <v>7</v>
      </c>
      <c r="AD4250" s="4">
        <v>95</v>
      </c>
      <c r="AE4250" s="4">
        <v>106</v>
      </c>
      <c r="AF4250" s="4">
        <v>0</v>
      </c>
      <c r="AG4250" s="4">
        <v>2</v>
      </c>
      <c r="AH4250" s="4">
        <v>83</v>
      </c>
      <c r="AI4250" s="4">
        <v>91</v>
      </c>
      <c r="AJ4250" s="4">
        <v>16</v>
      </c>
      <c r="AK4250" s="4">
        <v>19</v>
      </c>
      <c r="AL4250" s="4">
        <v>49</v>
      </c>
      <c r="AM4250" s="4">
        <v>54</v>
      </c>
      <c r="AN4250" s="4">
        <v>0</v>
      </c>
      <c r="AO4250" s="4">
        <v>0</v>
      </c>
      <c r="AP4250" s="4">
        <v>19</v>
      </c>
      <c r="AQ4250" s="4">
        <v>22</v>
      </c>
      <c r="AR4250" s="3" t="s">
        <v>63</v>
      </c>
      <c r="AS4250" s="3" t="s">
        <v>63</v>
      </c>
      <c r="AT4250" s="3" t="s">
        <v>62</v>
      </c>
      <c r="AU4250" s="6" t="str">
        <f>HYPERLINK("http://catalog.hathitrust.org/Record/004101102","HathiTrust Record")</f>
        <v>HathiTrust Record</v>
      </c>
      <c r="AV4250" s="6" t="str">
        <f>HYPERLINK("http://mcgill.on.worldcat.org/oclc/24796613","Catalog Record")</f>
        <v>Catalog Record</v>
      </c>
      <c r="AW4250" s="6" t="str">
        <f>HYPERLINK("http://www.worldcat.org/oclc/24796613","WorldCat Record")</f>
        <v>WorldCat Record</v>
      </c>
      <c r="AX4250" s="3" t="s">
        <v>223</v>
      </c>
      <c r="AY4250" s="3" t="s">
        <v>224</v>
      </c>
      <c r="AZ4250" s="3" t="s">
        <v>225</v>
      </c>
      <c r="BA4250" s="3" t="s">
        <v>225</v>
      </c>
      <c r="BB4250" s="3" t="s">
        <v>226</v>
      </c>
      <c r="BC4250" s="3" t="s">
        <v>82</v>
      </c>
      <c r="BD4250" s="3" t="s">
        <v>70</v>
      </c>
      <c r="BE4250" s="3" t="s">
        <v>227</v>
      </c>
      <c r="BF4250" s="3" t="s">
        <v>226</v>
      </c>
      <c r="BG4250" s="3" t="s">
        <v>228</v>
      </c>
    </row>
    <row r="4251" spans="1:59" ht="60" x14ac:dyDescent="0.25">
      <c r="A4251" s="2" t="s">
        <v>59</v>
      </c>
      <c r="B4251" s="2" t="s">
        <v>60</v>
      </c>
      <c r="C4251" s="2" t="s">
        <v>229</v>
      </c>
      <c r="D4251" s="2" t="s">
        <v>230</v>
      </c>
      <c r="E4251" s="2" t="s">
        <v>231</v>
      </c>
      <c r="G4251" s="3" t="s">
        <v>63</v>
      </c>
      <c r="I4251" s="3" t="s">
        <v>63</v>
      </c>
      <c r="J4251" s="3" t="s">
        <v>63</v>
      </c>
      <c r="K4251" s="3" t="s">
        <v>64</v>
      </c>
      <c r="L4251" s="2" t="s">
        <v>232</v>
      </c>
      <c r="M4251" s="2" t="s">
        <v>233</v>
      </c>
      <c r="N4251" s="3" t="s">
        <v>234</v>
      </c>
      <c r="P4251" s="3" t="s">
        <v>66</v>
      </c>
      <c r="Q4251" s="2" t="s">
        <v>235</v>
      </c>
      <c r="R4251" s="3" t="s">
        <v>67</v>
      </c>
      <c r="S4251" s="4">
        <v>4</v>
      </c>
      <c r="T4251" s="4">
        <v>4</v>
      </c>
      <c r="U4251" s="5" t="s">
        <v>236</v>
      </c>
      <c r="V4251" s="5" t="s">
        <v>236</v>
      </c>
      <c r="W4251" s="5" t="s">
        <v>69</v>
      </c>
      <c r="X4251" s="5" t="s">
        <v>69</v>
      </c>
      <c r="Y4251" s="4">
        <v>181</v>
      </c>
      <c r="Z4251" s="4">
        <v>14</v>
      </c>
      <c r="AA4251" s="4">
        <v>99</v>
      </c>
      <c r="AB4251" s="4">
        <v>1</v>
      </c>
      <c r="AC4251" s="4">
        <v>20</v>
      </c>
      <c r="AD4251" s="4">
        <v>76</v>
      </c>
      <c r="AE4251" s="4">
        <v>135</v>
      </c>
      <c r="AF4251" s="4">
        <v>0</v>
      </c>
      <c r="AG4251" s="4">
        <v>9</v>
      </c>
      <c r="AH4251" s="4">
        <v>70</v>
      </c>
      <c r="AI4251" s="4">
        <v>89</v>
      </c>
      <c r="AJ4251" s="4">
        <v>9</v>
      </c>
      <c r="AK4251" s="4">
        <v>26</v>
      </c>
      <c r="AL4251" s="4">
        <v>46</v>
      </c>
      <c r="AM4251" s="4">
        <v>49</v>
      </c>
      <c r="AN4251" s="4">
        <v>0</v>
      </c>
      <c r="AO4251" s="4">
        <v>0</v>
      </c>
      <c r="AP4251" s="4">
        <v>11</v>
      </c>
      <c r="AQ4251" s="4">
        <v>54</v>
      </c>
      <c r="AR4251" s="3" t="s">
        <v>63</v>
      </c>
      <c r="AS4251" s="3" t="s">
        <v>63</v>
      </c>
      <c r="AT4251" s="3" t="s">
        <v>63</v>
      </c>
      <c r="AV4251" s="6" t="str">
        <f>HYPERLINK("http://mcgill.on.worldcat.org/oclc/56643252","Catalog Record")</f>
        <v>Catalog Record</v>
      </c>
      <c r="AW4251" s="6" t="str">
        <f>HYPERLINK("http://www.worldcat.org/oclc/56643252","WorldCat Record")</f>
        <v>WorldCat Record</v>
      </c>
      <c r="AX4251" s="3" t="s">
        <v>237</v>
      </c>
      <c r="AY4251" s="3" t="s">
        <v>238</v>
      </c>
      <c r="AZ4251" s="3" t="s">
        <v>239</v>
      </c>
      <c r="BA4251" s="3" t="s">
        <v>239</v>
      </c>
      <c r="BB4251" s="3" t="s">
        <v>240</v>
      </c>
      <c r="BC4251" s="3" t="s">
        <v>82</v>
      </c>
      <c r="BD4251" s="3" t="s">
        <v>70</v>
      </c>
      <c r="BE4251" s="3" t="s">
        <v>241</v>
      </c>
      <c r="BF4251" s="3" t="s">
        <v>240</v>
      </c>
      <c r="BG4251" s="3" t="s">
        <v>242</v>
      </c>
    </row>
    <row r="4252" spans="1:59" ht="60" x14ac:dyDescent="0.25">
      <c r="A4252" s="2" t="s">
        <v>59</v>
      </c>
      <c r="B4252" s="2" t="s">
        <v>60</v>
      </c>
      <c r="C4252" s="2" t="s">
        <v>36708</v>
      </c>
      <c r="D4252" s="2" t="s">
        <v>36709</v>
      </c>
      <c r="E4252" s="2" t="s">
        <v>36710</v>
      </c>
      <c r="G4252" s="3" t="s">
        <v>63</v>
      </c>
      <c r="I4252" s="3" t="s">
        <v>63</v>
      </c>
      <c r="J4252" s="3" t="s">
        <v>63</v>
      </c>
      <c r="K4252" s="3" t="s">
        <v>64</v>
      </c>
      <c r="L4252" s="2" t="s">
        <v>36711</v>
      </c>
      <c r="M4252" s="2" t="s">
        <v>36712</v>
      </c>
      <c r="N4252" s="3" t="s">
        <v>826</v>
      </c>
      <c r="P4252" s="3" t="s">
        <v>548</v>
      </c>
      <c r="Q4252" s="2" t="s">
        <v>36713</v>
      </c>
      <c r="R4252" s="3" t="s">
        <v>67</v>
      </c>
      <c r="S4252" s="4">
        <v>3</v>
      </c>
      <c r="T4252" s="4">
        <v>3</v>
      </c>
      <c r="U4252" s="5" t="s">
        <v>36714</v>
      </c>
      <c r="V4252" s="5" t="s">
        <v>36714</v>
      </c>
      <c r="W4252" s="5" t="s">
        <v>69</v>
      </c>
      <c r="X4252" s="5" t="s">
        <v>69</v>
      </c>
      <c r="Y4252" s="4">
        <v>18</v>
      </c>
      <c r="Z4252" s="4">
        <v>4</v>
      </c>
      <c r="AA4252" s="4">
        <v>4</v>
      </c>
      <c r="AB4252" s="4">
        <v>1</v>
      </c>
      <c r="AC4252" s="4">
        <v>1</v>
      </c>
      <c r="AD4252" s="4">
        <v>12</v>
      </c>
      <c r="AE4252" s="4">
        <v>12</v>
      </c>
      <c r="AF4252" s="4">
        <v>0</v>
      </c>
      <c r="AG4252" s="4">
        <v>0</v>
      </c>
      <c r="AH4252" s="4">
        <v>10</v>
      </c>
      <c r="AI4252" s="4">
        <v>10</v>
      </c>
      <c r="AJ4252" s="4">
        <v>3</v>
      </c>
      <c r="AK4252" s="4">
        <v>3</v>
      </c>
      <c r="AL4252" s="4">
        <v>8</v>
      </c>
      <c r="AM4252" s="4">
        <v>8</v>
      </c>
      <c r="AN4252" s="4">
        <v>0</v>
      </c>
      <c r="AO4252" s="4">
        <v>0</v>
      </c>
      <c r="AP4252" s="4">
        <v>3</v>
      </c>
      <c r="AQ4252" s="4">
        <v>3</v>
      </c>
      <c r="AR4252" s="3" t="s">
        <v>63</v>
      </c>
      <c r="AS4252" s="3" t="s">
        <v>63</v>
      </c>
      <c r="AT4252" s="3" t="s">
        <v>63</v>
      </c>
      <c r="AV4252" s="6" t="str">
        <f>HYPERLINK("http://mcgill.on.worldcat.org/oclc/7148190","Catalog Record")</f>
        <v>Catalog Record</v>
      </c>
      <c r="AW4252" s="6" t="str">
        <f>HYPERLINK("http://www.worldcat.org/oclc/7148190","WorldCat Record")</f>
        <v>WorldCat Record</v>
      </c>
      <c r="AX4252" s="3" t="s">
        <v>36715</v>
      </c>
      <c r="AY4252" s="3" t="s">
        <v>36716</v>
      </c>
      <c r="AZ4252" s="3" t="s">
        <v>36717</v>
      </c>
      <c r="BA4252" s="3" t="s">
        <v>36717</v>
      </c>
      <c r="BB4252" s="3" t="s">
        <v>36718</v>
      </c>
      <c r="BC4252" s="3" t="s">
        <v>82</v>
      </c>
      <c r="BD4252" s="3" t="s">
        <v>70</v>
      </c>
      <c r="BF4252" s="3" t="s">
        <v>36718</v>
      </c>
      <c r="BG4252" s="3" t="s">
        <v>36719</v>
      </c>
    </row>
    <row r="4253" spans="1:59" ht="60" x14ac:dyDescent="0.25">
      <c r="A4253" s="2" t="s">
        <v>59</v>
      </c>
      <c r="B4253" s="2" t="s">
        <v>60</v>
      </c>
      <c r="C4253" s="2" t="s">
        <v>36720</v>
      </c>
      <c r="D4253" s="2" t="s">
        <v>36721</v>
      </c>
      <c r="E4253" s="2" t="s">
        <v>36722</v>
      </c>
      <c r="G4253" s="3" t="s">
        <v>63</v>
      </c>
      <c r="I4253" s="3" t="s">
        <v>63</v>
      </c>
      <c r="J4253" s="3" t="s">
        <v>63</v>
      </c>
      <c r="K4253" s="3" t="s">
        <v>64</v>
      </c>
      <c r="L4253" s="2" t="s">
        <v>36723</v>
      </c>
      <c r="M4253" s="2" t="s">
        <v>36724</v>
      </c>
      <c r="N4253" s="3" t="s">
        <v>814</v>
      </c>
      <c r="P4253" s="3" t="s">
        <v>90</v>
      </c>
      <c r="R4253" s="3" t="s">
        <v>67</v>
      </c>
      <c r="S4253" s="4">
        <v>8</v>
      </c>
      <c r="T4253" s="4">
        <v>8</v>
      </c>
      <c r="U4253" s="5" t="s">
        <v>18071</v>
      </c>
      <c r="V4253" s="5" t="s">
        <v>18071</v>
      </c>
      <c r="W4253" s="5" t="s">
        <v>69</v>
      </c>
      <c r="X4253" s="5" t="s">
        <v>69</v>
      </c>
      <c r="Y4253" s="4">
        <v>18</v>
      </c>
      <c r="Z4253" s="4">
        <v>1</v>
      </c>
      <c r="AA4253" s="4">
        <v>1</v>
      </c>
      <c r="AB4253" s="4">
        <v>1</v>
      </c>
      <c r="AC4253" s="4">
        <v>1</v>
      </c>
      <c r="AD4253" s="4">
        <v>14</v>
      </c>
      <c r="AE4253" s="4">
        <v>14</v>
      </c>
      <c r="AF4253" s="4">
        <v>0</v>
      </c>
      <c r="AG4253" s="4">
        <v>0</v>
      </c>
      <c r="AH4253" s="4">
        <v>14</v>
      </c>
      <c r="AI4253" s="4">
        <v>14</v>
      </c>
      <c r="AJ4253" s="4">
        <v>0</v>
      </c>
      <c r="AK4253" s="4">
        <v>0</v>
      </c>
      <c r="AL4253" s="4">
        <v>11</v>
      </c>
      <c r="AM4253" s="4">
        <v>11</v>
      </c>
      <c r="AN4253" s="4">
        <v>0</v>
      </c>
      <c r="AO4253" s="4">
        <v>0</v>
      </c>
      <c r="AP4253" s="4">
        <v>0</v>
      </c>
      <c r="AQ4253" s="4">
        <v>0</v>
      </c>
      <c r="AR4253" s="3" t="s">
        <v>63</v>
      </c>
      <c r="AS4253" s="3" t="s">
        <v>63</v>
      </c>
      <c r="AT4253" s="3" t="s">
        <v>62</v>
      </c>
      <c r="AU4253" s="6" t="str">
        <f>HYPERLINK("http://catalog.hathitrust.org/Record/000756909","HathiTrust Record")</f>
        <v>HathiTrust Record</v>
      </c>
      <c r="AV4253" s="6" t="str">
        <f>HYPERLINK("http://mcgill.on.worldcat.org/oclc/5334336","Catalog Record")</f>
        <v>Catalog Record</v>
      </c>
      <c r="AW4253" s="6" t="str">
        <f>HYPERLINK("http://www.worldcat.org/oclc/5334336","WorldCat Record")</f>
        <v>WorldCat Record</v>
      </c>
      <c r="AX4253" s="3" t="s">
        <v>36725</v>
      </c>
      <c r="AY4253" s="3" t="s">
        <v>36726</v>
      </c>
      <c r="AZ4253" s="3" t="s">
        <v>36727</v>
      </c>
      <c r="BA4253" s="3" t="s">
        <v>36727</v>
      </c>
      <c r="BB4253" s="3" t="s">
        <v>36728</v>
      </c>
      <c r="BC4253" s="3" t="s">
        <v>82</v>
      </c>
      <c r="BD4253" s="3" t="s">
        <v>70</v>
      </c>
      <c r="BF4253" s="3" t="s">
        <v>36728</v>
      </c>
      <c r="BG4253" s="3" t="s">
        <v>36729</v>
      </c>
    </row>
    <row r="4254" spans="1:59" ht="60" x14ac:dyDescent="0.25">
      <c r="A4254" s="2" t="s">
        <v>59</v>
      </c>
      <c r="B4254" s="2" t="s">
        <v>60</v>
      </c>
      <c r="C4254" s="2" t="s">
        <v>36730</v>
      </c>
      <c r="D4254" s="2" t="s">
        <v>36731</v>
      </c>
      <c r="E4254" s="2" t="s">
        <v>36732</v>
      </c>
      <c r="G4254" s="3" t="s">
        <v>63</v>
      </c>
      <c r="I4254" s="3" t="s">
        <v>63</v>
      </c>
      <c r="J4254" s="3" t="s">
        <v>63</v>
      </c>
      <c r="K4254" s="3" t="s">
        <v>64</v>
      </c>
      <c r="L4254" s="2" t="s">
        <v>36733</v>
      </c>
      <c r="M4254" s="2" t="s">
        <v>36734</v>
      </c>
      <c r="N4254" s="3" t="s">
        <v>261</v>
      </c>
      <c r="P4254" s="3" t="s">
        <v>66</v>
      </c>
      <c r="Q4254" s="2" t="s">
        <v>36735</v>
      </c>
      <c r="R4254" s="3" t="s">
        <v>67</v>
      </c>
      <c r="S4254" s="4">
        <v>6</v>
      </c>
      <c r="T4254" s="4">
        <v>6</v>
      </c>
      <c r="U4254" s="5" t="s">
        <v>339</v>
      </c>
      <c r="V4254" s="5" t="s">
        <v>339</v>
      </c>
      <c r="W4254" s="5" t="s">
        <v>69</v>
      </c>
      <c r="X4254" s="5" t="s">
        <v>69</v>
      </c>
      <c r="Y4254" s="4">
        <v>114</v>
      </c>
      <c r="Z4254" s="4">
        <v>8</v>
      </c>
      <c r="AA4254" s="4">
        <v>92</v>
      </c>
      <c r="AB4254" s="4">
        <v>1</v>
      </c>
      <c r="AC4254" s="4">
        <v>17</v>
      </c>
      <c r="AD4254" s="4">
        <v>54</v>
      </c>
      <c r="AE4254" s="4">
        <v>118</v>
      </c>
      <c r="AF4254" s="4">
        <v>0</v>
      </c>
      <c r="AG4254" s="4">
        <v>8</v>
      </c>
      <c r="AH4254" s="4">
        <v>53</v>
      </c>
      <c r="AI4254" s="4">
        <v>82</v>
      </c>
      <c r="AJ4254" s="4">
        <v>5</v>
      </c>
      <c r="AK4254" s="4">
        <v>22</v>
      </c>
      <c r="AL4254" s="4">
        <v>38</v>
      </c>
      <c r="AM4254" s="4">
        <v>45</v>
      </c>
      <c r="AN4254" s="4">
        <v>0</v>
      </c>
      <c r="AO4254" s="4">
        <v>0</v>
      </c>
      <c r="AP4254" s="4">
        <v>5</v>
      </c>
      <c r="AQ4254" s="4">
        <v>43</v>
      </c>
      <c r="AR4254" s="3" t="s">
        <v>63</v>
      </c>
      <c r="AS4254" s="3" t="s">
        <v>63</v>
      </c>
      <c r="AT4254" s="3" t="s">
        <v>62</v>
      </c>
      <c r="AU4254" s="6" t="str">
        <f>HYPERLINK("http://catalog.hathitrust.org/Record/005559676","HathiTrust Record")</f>
        <v>HathiTrust Record</v>
      </c>
      <c r="AV4254" s="6" t="str">
        <f>HYPERLINK("http://mcgill.on.worldcat.org/oclc/71275536","Catalog Record")</f>
        <v>Catalog Record</v>
      </c>
      <c r="AW4254" s="6" t="str">
        <f>HYPERLINK("http://www.worldcat.org/oclc/71275536","WorldCat Record")</f>
        <v>WorldCat Record</v>
      </c>
      <c r="AX4254" s="3" t="s">
        <v>36736</v>
      </c>
      <c r="AY4254" s="3" t="s">
        <v>36737</v>
      </c>
      <c r="AZ4254" s="3" t="s">
        <v>36738</v>
      </c>
      <c r="BA4254" s="3" t="s">
        <v>36738</v>
      </c>
      <c r="BB4254" s="3" t="s">
        <v>36739</v>
      </c>
      <c r="BC4254" s="3" t="s">
        <v>82</v>
      </c>
      <c r="BD4254" s="3" t="s">
        <v>70</v>
      </c>
      <c r="BE4254" s="3" t="s">
        <v>36740</v>
      </c>
      <c r="BF4254" s="3" t="s">
        <v>36739</v>
      </c>
      <c r="BG4254" s="3" t="s">
        <v>36741</v>
      </c>
    </row>
    <row r="4255" spans="1:59" ht="60" x14ac:dyDescent="0.25">
      <c r="A4255" s="2" t="s">
        <v>59</v>
      </c>
      <c r="B4255" s="2" t="s">
        <v>60</v>
      </c>
      <c r="C4255" s="2" t="s">
        <v>243</v>
      </c>
      <c r="D4255" s="2" t="s">
        <v>244</v>
      </c>
      <c r="E4255" s="2" t="s">
        <v>245</v>
      </c>
      <c r="G4255" s="3" t="s">
        <v>63</v>
      </c>
      <c r="I4255" s="3" t="s">
        <v>63</v>
      </c>
      <c r="J4255" s="3" t="s">
        <v>63</v>
      </c>
      <c r="K4255" s="3" t="s">
        <v>64</v>
      </c>
      <c r="M4255" s="2" t="s">
        <v>246</v>
      </c>
      <c r="N4255" s="3" t="s">
        <v>247</v>
      </c>
      <c r="P4255" s="3" t="s">
        <v>66</v>
      </c>
      <c r="Q4255" s="2" t="s">
        <v>248</v>
      </c>
      <c r="R4255" s="3" t="s">
        <v>67</v>
      </c>
      <c r="S4255" s="4">
        <v>9</v>
      </c>
      <c r="T4255" s="4">
        <v>9</v>
      </c>
      <c r="U4255" s="5" t="s">
        <v>249</v>
      </c>
      <c r="V4255" s="5" t="s">
        <v>249</v>
      </c>
      <c r="W4255" s="5" t="s">
        <v>69</v>
      </c>
      <c r="X4255" s="5" t="s">
        <v>69</v>
      </c>
      <c r="Y4255" s="4">
        <v>73</v>
      </c>
      <c r="Z4255" s="4">
        <v>9</v>
      </c>
      <c r="AA4255" s="4">
        <v>11</v>
      </c>
      <c r="AB4255" s="4">
        <v>1</v>
      </c>
      <c r="AC4255" s="4">
        <v>3</v>
      </c>
      <c r="AD4255" s="4">
        <v>42</v>
      </c>
      <c r="AE4255" s="4">
        <v>44</v>
      </c>
      <c r="AF4255" s="4">
        <v>0</v>
      </c>
      <c r="AG4255" s="4">
        <v>2</v>
      </c>
      <c r="AH4255" s="4">
        <v>38</v>
      </c>
      <c r="AI4255" s="4">
        <v>39</v>
      </c>
      <c r="AJ4255" s="4">
        <v>7</v>
      </c>
      <c r="AK4255" s="4">
        <v>9</v>
      </c>
      <c r="AL4255" s="4">
        <v>24</v>
      </c>
      <c r="AM4255" s="4">
        <v>24</v>
      </c>
      <c r="AN4255" s="4">
        <v>0</v>
      </c>
      <c r="AO4255" s="4">
        <v>0</v>
      </c>
      <c r="AP4255" s="4">
        <v>6</v>
      </c>
      <c r="AQ4255" s="4">
        <v>7</v>
      </c>
      <c r="AR4255" s="3" t="s">
        <v>63</v>
      </c>
      <c r="AS4255" s="3" t="s">
        <v>63</v>
      </c>
      <c r="AT4255" s="3" t="s">
        <v>63</v>
      </c>
      <c r="AV4255" s="6" t="str">
        <f>HYPERLINK("http://mcgill.on.worldcat.org/oclc/9550139","Catalog Record")</f>
        <v>Catalog Record</v>
      </c>
      <c r="AW4255" s="6" t="str">
        <f>HYPERLINK("http://www.worldcat.org/oclc/9550139","WorldCat Record")</f>
        <v>WorldCat Record</v>
      </c>
      <c r="AX4255" s="3" t="s">
        <v>250</v>
      </c>
      <c r="AY4255" s="3" t="s">
        <v>251</v>
      </c>
      <c r="AZ4255" s="3" t="s">
        <v>252</v>
      </c>
      <c r="BA4255" s="3" t="s">
        <v>252</v>
      </c>
      <c r="BB4255" s="3" t="s">
        <v>253</v>
      </c>
      <c r="BC4255" s="3" t="s">
        <v>82</v>
      </c>
      <c r="BD4255" s="3" t="s">
        <v>70</v>
      </c>
      <c r="BE4255" s="3" t="s">
        <v>254</v>
      </c>
      <c r="BF4255" s="3" t="s">
        <v>253</v>
      </c>
      <c r="BG4255" s="3" t="s">
        <v>255</v>
      </c>
    </row>
    <row r="4256" spans="1:59" ht="60" x14ac:dyDescent="0.25">
      <c r="A4256" s="2" t="s">
        <v>59</v>
      </c>
      <c r="B4256" s="2" t="s">
        <v>60</v>
      </c>
      <c r="C4256" s="2" t="s">
        <v>36742</v>
      </c>
      <c r="D4256" s="2" t="s">
        <v>36743</v>
      </c>
      <c r="E4256" s="2" t="s">
        <v>36744</v>
      </c>
      <c r="G4256" s="3" t="s">
        <v>63</v>
      </c>
      <c r="I4256" s="3" t="s">
        <v>63</v>
      </c>
      <c r="J4256" s="3" t="s">
        <v>63</v>
      </c>
      <c r="K4256" s="3" t="s">
        <v>64</v>
      </c>
      <c r="L4256" s="2" t="s">
        <v>36745</v>
      </c>
      <c r="M4256" s="2" t="s">
        <v>36746</v>
      </c>
      <c r="N4256" s="3" t="s">
        <v>1046</v>
      </c>
      <c r="P4256" s="3" t="s">
        <v>548</v>
      </c>
      <c r="R4256" s="3" t="s">
        <v>67</v>
      </c>
      <c r="S4256" s="4">
        <v>6</v>
      </c>
      <c r="T4256" s="4">
        <v>6</v>
      </c>
      <c r="U4256" s="5" t="s">
        <v>36747</v>
      </c>
      <c r="V4256" s="5" t="s">
        <v>36747</v>
      </c>
      <c r="W4256" s="5" t="s">
        <v>69</v>
      </c>
      <c r="X4256" s="5" t="s">
        <v>69</v>
      </c>
      <c r="Y4256" s="4">
        <v>43</v>
      </c>
      <c r="Z4256" s="4">
        <v>11</v>
      </c>
      <c r="AA4256" s="4">
        <v>21</v>
      </c>
      <c r="AB4256" s="4">
        <v>1</v>
      </c>
      <c r="AC4256" s="4">
        <v>8</v>
      </c>
      <c r="AD4256" s="4">
        <v>15</v>
      </c>
      <c r="AE4256" s="4">
        <v>20</v>
      </c>
      <c r="AF4256" s="4">
        <v>0</v>
      </c>
      <c r="AG4256" s="4">
        <v>3</v>
      </c>
      <c r="AH4256" s="4">
        <v>13</v>
      </c>
      <c r="AI4256" s="4">
        <v>14</v>
      </c>
      <c r="AJ4256" s="4">
        <v>5</v>
      </c>
      <c r="AK4256" s="4">
        <v>9</v>
      </c>
      <c r="AL4256" s="4">
        <v>7</v>
      </c>
      <c r="AM4256" s="4">
        <v>7</v>
      </c>
      <c r="AN4256" s="4">
        <v>0</v>
      </c>
      <c r="AO4256" s="4">
        <v>0</v>
      </c>
      <c r="AP4256" s="4">
        <v>6</v>
      </c>
      <c r="AQ4256" s="4">
        <v>10</v>
      </c>
      <c r="AR4256" s="3" t="s">
        <v>63</v>
      </c>
      <c r="AS4256" s="3" t="s">
        <v>63</v>
      </c>
      <c r="AT4256" s="3" t="s">
        <v>63</v>
      </c>
      <c r="AV4256" s="6" t="str">
        <f>HYPERLINK("http://mcgill.on.worldcat.org/oclc/3220625","Catalog Record")</f>
        <v>Catalog Record</v>
      </c>
      <c r="AW4256" s="6" t="str">
        <f>HYPERLINK("http://www.worldcat.org/oclc/3220625","WorldCat Record")</f>
        <v>WorldCat Record</v>
      </c>
      <c r="AX4256" s="3" t="s">
        <v>36748</v>
      </c>
      <c r="AY4256" s="3" t="s">
        <v>36749</v>
      </c>
      <c r="AZ4256" s="3" t="s">
        <v>36750</v>
      </c>
      <c r="BA4256" s="3" t="s">
        <v>36750</v>
      </c>
      <c r="BB4256" s="3" t="s">
        <v>36751</v>
      </c>
      <c r="BC4256" s="3" t="s">
        <v>82</v>
      </c>
      <c r="BD4256" s="3" t="s">
        <v>70</v>
      </c>
      <c r="BF4256" s="3" t="s">
        <v>36751</v>
      </c>
      <c r="BG4256" s="3" t="s">
        <v>36752</v>
      </c>
    </row>
    <row r="4257" spans="1:59" ht="60" x14ac:dyDescent="0.25">
      <c r="A4257" s="2" t="s">
        <v>59</v>
      </c>
      <c r="B4257" s="2" t="s">
        <v>60</v>
      </c>
      <c r="C4257" s="2" t="s">
        <v>256</v>
      </c>
      <c r="D4257" s="2" t="s">
        <v>257</v>
      </c>
      <c r="E4257" s="2" t="s">
        <v>258</v>
      </c>
      <c r="G4257" s="3" t="s">
        <v>63</v>
      </c>
      <c r="I4257" s="3" t="s">
        <v>63</v>
      </c>
      <c r="J4257" s="3" t="s">
        <v>63</v>
      </c>
      <c r="K4257" s="3" t="s">
        <v>64</v>
      </c>
      <c r="L4257" s="2" t="s">
        <v>259</v>
      </c>
      <c r="M4257" s="2" t="s">
        <v>260</v>
      </c>
      <c r="N4257" s="3" t="s">
        <v>261</v>
      </c>
      <c r="P4257" s="3" t="s">
        <v>66</v>
      </c>
      <c r="Q4257" s="2" t="s">
        <v>262</v>
      </c>
      <c r="R4257" s="3" t="s">
        <v>67</v>
      </c>
      <c r="S4257" s="4">
        <v>1</v>
      </c>
      <c r="T4257" s="4">
        <v>1</v>
      </c>
      <c r="U4257" s="5" t="s">
        <v>263</v>
      </c>
      <c r="V4257" s="5" t="s">
        <v>263</v>
      </c>
      <c r="W4257" s="5" t="s">
        <v>69</v>
      </c>
      <c r="X4257" s="5" t="s">
        <v>69</v>
      </c>
      <c r="Y4257" s="4">
        <v>54</v>
      </c>
      <c r="Z4257" s="4">
        <v>6</v>
      </c>
      <c r="AA4257" s="4">
        <v>6</v>
      </c>
      <c r="AB4257" s="4">
        <v>1</v>
      </c>
      <c r="AC4257" s="4">
        <v>1</v>
      </c>
      <c r="AD4257" s="4">
        <v>25</v>
      </c>
      <c r="AE4257" s="4">
        <v>25</v>
      </c>
      <c r="AF4257" s="4">
        <v>0</v>
      </c>
      <c r="AG4257" s="4">
        <v>0</v>
      </c>
      <c r="AH4257" s="4">
        <v>24</v>
      </c>
      <c r="AI4257" s="4">
        <v>24</v>
      </c>
      <c r="AJ4257" s="4">
        <v>4</v>
      </c>
      <c r="AK4257" s="4">
        <v>4</v>
      </c>
      <c r="AL4257" s="4">
        <v>19</v>
      </c>
      <c r="AM4257" s="4">
        <v>19</v>
      </c>
      <c r="AN4257" s="4">
        <v>0</v>
      </c>
      <c r="AO4257" s="4">
        <v>0</v>
      </c>
      <c r="AP4257" s="4">
        <v>4</v>
      </c>
      <c r="AQ4257" s="4">
        <v>4</v>
      </c>
      <c r="AR4257" s="3" t="s">
        <v>63</v>
      </c>
      <c r="AS4257" s="3" t="s">
        <v>63</v>
      </c>
      <c r="AT4257" s="3" t="s">
        <v>62</v>
      </c>
      <c r="AU4257" s="6" t="str">
        <f>HYPERLINK("http://catalog.hathitrust.org/Record/005632223","HathiTrust Record")</f>
        <v>HathiTrust Record</v>
      </c>
      <c r="AV4257" s="6" t="str">
        <f>HYPERLINK("http://mcgill.on.worldcat.org/oclc/182732023","Catalog Record")</f>
        <v>Catalog Record</v>
      </c>
      <c r="AW4257" s="6" t="str">
        <f>HYPERLINK("http://www.worldcat.org/oclc/182732023","WorldCat Record")</f>
        <v>WorldCat Record</v>
      </c>
      <c r="AX4257" s="3" t="s">
        <v>264</v>
      </c>
      <c r="AY4257" s="3" t="s">
        <v>265</v>
      </c>
      <c r="AZ4257" s="3" t="s">
        <v>266</v>
      </c>
      <c r="BA4257" s="3" t="s">
        <v>266</v>
      </c>
      <c r="BB4257" s="3" t="s">
        <v>267</v>
      </c>
      <c r="BC4257" s="3" t="s">
        <v>82</v>
      </c>
      <c r="BD4257" s="3" t="s">
        <v>70</v>
      </c>
      <c r="BE4257" s="3" t="s">
        <v>268</v>
      </c>
      <c r="BF4257" s="3" t="s">
        <v>267</v>
      </c>
      <c r="BG4257" s="3" t="s">
        <v>269</v>
      </c>
    </row>
    <row r="4258" spans="1:59" ht="60" x14ac:dyDescent="0.25">
      <c r="A4258" s="2" t="s">
        <v>59</v>
      </c>
      <c r="B4258" s="2" t="s">
        <v>60</v>
      </c>
      <c r="C4258" s="2" t="s">
        <v>36753</v>
      </c>
      <c r="D4258" s="2" t="s">
        <v>36754</v>
      </c>
      <c r="E4258" s="2" t="s">
        <v>36755</v>
      </c>
      <c r="G4258" s="3" t="s">
        <v>63</v>
      </c>
      <c r="I4258" s="3" t="s">
        <v>63</v>
      </c>
      <c r="J4258" s="3" t="s">
        <v>63</v>
      </c>
      <c r="K4258" s="3" t="s">
        <v>64</v>
      </c>
      <c r="M4258" s="2" t="s">
        <v>36756</v>
      </c>
      <c r="N4258" s="3" t="s">
        <v>826</v>
      </c>
      <c r="O4258" s="2" t="s">
        <v>36757</v>
      </c>
      <c r="P4258" s="3" t="s">
        <v>36758</v>
      </c>
      <c r="Q4258" s="2" t="s">
        <v>36759</v>
      </c>
      <c r="R4258" s="3" t="s">
        <v>67</v>
      </c>
      <c r="S4258" s="4">
        <v>31</v>
      </c>
      <c r="T4258" s="4">
        <v>31</v>
      </c>
      <c r="U4258" s="5" t="s">
        <v>3477</v>
      </c>
      <c r="V4258" s="5" t="s">
        <v>3477</v>
      </c>
      <c r="W4258" s="5" t="s">
        <v>69</v>
      </c>
      <c r="X4258" s="5" t="s">
        <v>69</v>
      </c>
      <c r="Y4258" s="4">
        <v>1</v>
      </c>
      <c r="Z4258" s="4">
        <v>1</v>
      </c>
      <c r="AA4258" s="4">
        <v>1</v>
      </c>
      <c r="AB4258" s="4">
        <v>1</v>
      </c>
      <c r="AC4258" s="4">
        <v>1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3" t="s">
        <v>63</v>
      </c>
      <c r="AS4258" s="3" t="s">
        <v>63</v>
      </c>
      <c r="AT4258" s="3" t="s">
        <v>63</v>
      </c>
      <c r="AV4258" s="6" t="str">
        <f>HYPERLINK("http://mcgill.on.worldcat.org/oclc/427144248","Catalog Record")</f>
        <v>Catalog Record</v>
      </c>
      <c r="AW4258" s="6" t="str">
        <f>HYPERLINK("http://www.worldcat.org/oclc/427144248","WorldCat Record")</f>
        <v>WorldCat Record</v>
      </c>
      <c r="AX4258" s="3" t="s">
        <v>36760</v>
      </c>
      <c r="AY4258" s="3" t="s">
        <v>36761</v>
      </c>
      <c r="AZ4258" s="3" t="s">
        <v>36762</v>
      </c>
      <c r="BA4258" s="3" t="s">
        <v>36762</v>
      </c>
      <c r="BB4258" s="3" t="s">
        <v>36763</v>
      </c>
      <c r="BC4258" s="3" t="s">
        <v>82</v>
      </c>
      <c r="BD4258" s="3" t="s">
        <v>70</v>
      </c>
      <c r="BF4258" s="3" t="s">
        <v>36763</v>
      </c>
      <c r="BG4258" s="3" t="s">
        <v>36764</v>
      </c>
    </row>
    <row r="4259" spans="1:59" ht="60" x14ac:dyDescent="0.25">
      <c r="A4259" s="2" t="s">
        <v>59</v>
      </c>
      <c r="B4259" s="2" t="s">
        <v>60</v>
      </c>
      <c r="C4259" s="2" t="s">
        <v>36765</v>
      </c>
      <c r="D4259" s="2" t="s">
        <v>36766</v>
      </c>
      <c r="E4259" s="2" t="s">
        <v>36767</v>
      </c>
      <c r="G4259" s="3" t="s">
        <v>63</v>
      </c>
      <c r="I4259" s="3" t="s">
        <v>63</v>
      </c>
      <c r="J4259" s="3" t="s">
        <v>63</v>
      </c>
      <c r="K4259" s="3" t="s">
        <v>64</v>
      </c>
      <c r="L4259" s="2" t="s">
        <v>36768</v>
      </c>
      <c r="M4259" s="2" t="s">
        <v>36769</v>
      </c>
      <c r="N4259" s="3" t="s">
        <v>5468</v>
      </c>
      <c r="O4259" s="2" t="s">
        <v>36770</v>
      </c>
      <c r="P4259" s="3" t="s">
        <v>66</v>
      </c>
      <c r="R4259" s="3" t="s">
        <v>67</v>
      </c>
      <c r="S4259" s="4">
        <v>15</v>
      </c>
      <c r="T4259" s="4">
        <v>15</v>
      </c>
      <c r="U4259" s="5" t="s">
        <v>36771</v>
      </c>
      <c r="V4259" s="5" t="s">
        <v>36771</v>
      </c>
      <c r="W4259" s="5" t="s">
        <v>69</v>
      </c>
      <c r="X4259" s="5" t="s">
        <v>69</v>
      </c>
      <c r="Y4259" s="4">
        <v>20</v>
      </c>
      <c r="Z4259" s="4">
        <v>1</v>
      </c>
      <c r="AA4259" s="4">
        <v>1</v>
      </c>
      <c r="AB4259" s="4">
        <v>1</v>
      </c>
      <c r="AC4259" s="4">
        <v>1</v>
      </c>
      <c r="AD4259" s="4">
        <v>4</v>
      </c>
      <c r="AE4259" s="4">
        <v>4</v>
      </c>
      <c r="AF4259" s="4">
        <v>0</v>
      </c>
      <c r="AG4259" s="4">
        <v>0</v>
      </c>
      <c r="AH4259" s="4">
        <v>4</v>
      </c>
      <c r="AI4259" s="4">
        <v>4</v>
      </c>
      <c r="AJ4259" s="4">
        <v>0</v>
      </c>
      <c r="AK4259" s="4">
        <v>0</v>
      </c>
      <c r="AL4259" s="4">
        <v>2</v>
      </c>
      <c r="AM4259" s="4">
        <v>2</v>
      </c>
      <c r="AN4259" s="4">
        <v>0</v>
      </c>
      <c r="AO4259" s="4">
        <v>0</v>
      </c>
      <c r="AP4259" s="4">
        <v>0</v>
      </c>
      <c r="AQ4259" s="4">
        <v>0</v>
      </c>
      <c r="AR4259" s="3" t="s">
        <v>63</v>
      </c>
      <c r="AS4259" s="3" t="s">
        <v>63</v>
      </c>
      <c r="AT4259" s="3" t="s">
        <v>63</v>
      </c>
      <c r="AV4259" s="6" t="str">
        <f>HYPERLINK("http://mcgill.on.worldcat.org/oclc/6846163","Catalog Record")</f>
        <v>Catalog Record</v>
      </c>
      <c r="AW4259" s="6" t="str">
        <f>HYPERLINK("http://www.worldcat.org/oclc/6846163","WorldCat Record")</f>
        <v>WorldCat Record</v>
      </c>
      <c r="AX4259" s="3" t="s">
        <v>36772</v>
      </c>
      <c r="AY4259" s="3" t="s">
        <v>36773</v>
      </c>
      <c r="AZ4259" s="3" t="s">
        <v>36774</v>
      </c>
      <c r="BA4259" s="3" t="s">
        <v>36774</v>
      </c>
      <c r="BB4259" s="3" t="s">
        <v>36775</v>
      </c>
      <c r="BC4259" s="3" t="s">
        <v>82</v>
      </c>
      <c r="BD4259" s="3" t="s">
        <v>70</v>
      </c>
      <c r="BF4259" s="3" t="s">
        <v>36775</v>
      </c>
      <c r="BG4259" s="3" t="s">
        <v>36776</v>
      </c>
    </row>
    <row r="4260" spans="1:59" ht="60" x14ac:dyDescent="0.25">
      <c r="A4260" s="2" t="s">
        <v>59</v>
      </c>
      <c r="B4260" s="2" t="s">
        <v>60</v>
      </c>
      <c r="C4260" s="2" t="s">
        <v>36777</v>
      </c>
      <c r="D4260" s="2" t="s">
        <v>36778</v>
      </c>
      <c r="E4260" s="2" t="s">
        <v>36779</v>
      </c>
      <c r="G4260" s="3" t="s">
        <v>63</v>
      </c>
      <c r="I4260" s="3" t="s">
        <v>63</v>
      </c>
      <c r="J4260" s="3" t="s">
        <v>63</v>
      </c>
      <c r="K4260" s="3" t="s">
        <v>64</v>
      </c>
      <c r="L4260" s="2" t="s">
        <v>36780</v>
      </c>
      <c r="M4260" s="2" t="s">
        <v>36781</v>
      </c>
      <c r="N4260" s="3" t="s">
        <v>468</v>
      </c>
      <c r="P4260" s="3" t="s">
        <v>66</v>
      </c>
      <c r="Q4260" s="2" t="s">
        <v>36782</v>
      </c>
      <c r="R4260" s="3" t="s">
        <v>67</v>
      </c>
      <c r="S4260" s="4">
        <v>3</v>
      </c>
      <c r="T4260" s="4">
        <v>3</v>
      </c>
      <c r="U4260" s="5" t="s">
        <v>29150</v>
      </c>
      <c r="V4260" s="5" t="s">
        <v>29150</v>
      </c>
      <c r="W4260" s="5" t="s">
        <v>69</v>
      </c>
      <c r="X4260" s="5" t="s">
        <v>69</v>
      </c>
      <c r="Y4260" s="4">
        <v>210</v>
      </c>
      <c r="Z4260" s="4">
        <v>17</v>
      </c>
      <c r="AA4260" s="4">
        <v>17</v>
      </c>
      <c r="AB4260" s="4">
        <v>1</v>
      </c>
      <c r="AC4260" s="4">
        <v>1</v>
      </c>
      <c r="AD4260" s="4">
        <v>82</v>
      </c>
      <c r="AE4260" s="4">
        <v>90</v>
      </c>
      <c r="AF4260" s="4">
        <v>0</v>
      </c>
      <c r="AG4260" s="4">
        <v>0</v>
      </c>
      <c r="AH4260" s="4">
        <v>74</v>
      </c>
      <c r="AI4260" s="4">
        <v>82</v>
      </c>
      <c r="AJ4260" s="4">
        <v>10</v>
      </c>
      <c r="AK4260" s="4">
        <v>10</v>
      </c>
      <c r="AL4260" s="4">
        <v>43</v>
      </c>
      <c r="AM4260" s="4">
        <v>50</v>
      </c>
      <c r="AN4260" s="4">
        <v>0</v>
      </c>
      <c r="AO4260" s="4">
        <v>0</v>
      </c>
      <c r="AP4260" s="4">
        <v>12</v>
      </c>
      <c r="AQ4260" s="4">
        <v>12</v>
      </c>
      <c r="AR4260" s="3" t="s">
        <v>63</v>
      </c>
      <c r="AS4260" s="3" t="s">
        <v>63</v>
      </c>
      <c r="AT4260" s="3" t="s">
        <v>62</v>
      </c>
      <c r="AU4260" s="6" t="str">
        <f>HYPERLINK("http://catalog.hathitrust.org/Record/000197142","HathiTrust Record")</f>
        <v>HathiTrust Record</v>
      </c>
      <c r="AV4260" s="6" t="str">
        <f>HYPERLINK("http://mcgill.on.worldcat.org/oclc/2508100","Catalog Record")</f>
        <v>Catalog Record</v>
      </c>
      <c r="AW4260" s="6" t="str">
        <f>HYPERLINK("http://www.worldcat.org/oclc/2508100","WorldCat Record")</f>
        <v>WorldCat Record</v>
      </c>
      <c r="AX4260" s="3" t="s">
        <v>36783</v>
      </c>
      <c r="AY4260" s="3" t="s">
        <v>36784</v>
      </c>
      <c r="AZ4260" s="3" t="s">
        <v>36785</v>
      </c>
      <c r="BA4260" s="3" t="s">
        <v>36785</v>
      </c>
      <c r="BB4260" s="3" t="s">
        <v>36786</v>
      </c>
      <c r="BC4260" s="3" t="s">
        <v>82</v>
      </c>
      <c r="BD4260" s="3" t="s">
        <v>70</v>
      </c>
      <c r="BF4260" s="3" t="s">
        <v>36786</v>
      </c>
      <c r="BG4260" s="3" t="s">
        <v>36787</v>
      </c>
    </row>
    <row r="4261" spans="1:59" ht="60" x14ac:dyDescent="0.25">
      <c r="A4261" s="2" t="s">
        <v>59</v>
      </c>
      <c r="B4261" s="2" t="s">
        <v>60</v>
      </c>
      <c r="C4261" s="2" t="s">
        <v>36788</v>
      </c>
      <c r="D4261" s="2" t="s">
        <v>36789</v>
      </c>
      <c r="E4261" s="2" t="s">
        <v>36790</v>
      </c>
      <c r="G4261" s="3" t="s">
        <v>63</v>
      </c>
      <c r="I4261" s="3" t="s">
        <v>63</v>
      </c>
      <c r="J4261" s="3" t="s">
        <v>63</v>
      </c>
      <c r="K4261" s="3" t="s">
        <v>64</v>
      </c>
      <c r="L4261" s="2" t="s">
        <v>36791</v>
      </c>
      <c r="M4261" s="2" t="s">
        <v>36792</v>
      </c>
      <c r="N4261" s="3" t="s">
        <v>1023</v>
      </c>
      <c r="P4261" s="3" t="s">
        <v>66</v>
      </c>
      <c r="R4261" s="3" t="s">
        <v>67</v>
      </c>
      <c r="S4261" s="4">
        <v>27</v>
      </c>
      <c r="T4261" s="4">
        <v>27</v>
      </c>
      <c r="U4261" s="5" t="s">
        <v>36793</v>
      </c>
      <c r="V4261" s="5" t="s">
        <v>36793</v>
      </c>
      <c r="W4261" s="5" t="s">
        <v>69</v>
      </c>
      <c r="X4261" s="5" t="s">
        <v>69</v>
      </c>
      <c r="Y4261" s="4">
        <v>243</v>
      </c>
      <c r="Z4261" s="4">
        <v>18</v>
      </c>
      <c r="AA4261" s="4">
        <v>19</v>
      </c>
      <c r="AB4261" s="4">
        <v>2</v>
      </c>
      <c r="AC4261" s="4">
        <v>2</v>
      </c>
      <c r="AD4261" s="4">
        <v>96</v>
      </c>
      <c r="AE4261" s="4">
        <v>97</v>
      </c>
      <c r="AF4261" s="4">
        <v>1</v>
      </c>
      <c r="AG4261" s="4">
        <v>1</v>
      </c>
      <c r="AH4261" s="4">
        <v>87</v>
      </c>
      <c r="AI4261" s="4">
        <v>87</v>
      </c>
      <c r="AJ4261" s="4">
        <v>13</v>
      </c>
      <c r="AK4261" s="4">
        <v>14</v>
      </c>
      <c r="AL4261" s="4">
        <v>51</v>
      </c>
      <c r="AM4261" s="4">
        <v>51</v>
      </c>
      <c r="AN4261" s="4">
        <v>0</v>
      </c>
      <c r="AO4261" s="4">
        <v>0</v>
      </c>
      <c r="AP4261" s="4">
        <v>15</v>
      </c>
      <c r="AQ4261" s="4">
        <v>16</v>
      </c>
      <c r="AR4261" s="3" t="s">
        <v>63</v>
      </c>
      <c r="AS4261" s="3" t="s">
        <v>63</v>
      </c>
      <c r="AT4261" s="3" t="s">
        <v>62</v>
      </c>
      <c r="AU4261" s="6" t="str">
        <f>HYPERLINK("http://catalog.hathitrust.org/Record/002876977","HathiTrust Record")</f>
        <v>HathiTrust Record</v>
      </c>
      <c r="AV4261" s="6" t="str">
        <f>HYPERLINK("http://mcgill.on.worldcat.org/oclc/30362981","Catalog Record")</f>
        <v>Catalog Record</v>
      </c>
      <c r="AW4261" s="6" t="str">
        <f>HYPERLINK("http://www.worldcat.org/oclc/30362981","WorldCat Record")</f>
        <v>WorldCat Record</v>
      </c>
      <c r="AX4261" s="3" t="s">
        <v>36794</v>
      </c>
      <c r="AY4261" s="3" t="s">
        <v>36795</v>
      </c>
      <c r="AZ4261" s="3" t="s">
        <v>36796</v>
      </c>
      <c r="BA4261" s="3" t="s">
        <v>36796</v>
      </c>
      <c r="BB4261" s="3" t="s">
        <v>36797</v>
      </c>
      <c r="BC4261" s="3" t="s">
        <v>82</v>
      </c>
      <c r="BD4261" s="3" t="s">
        <v>70</v>
      </c>
      <c r="BE4261" s="3" t="s">
        <v>36798</v>
      </c>
      <c r="BF4261" s="3" t="s">
        <v>36797</v>
      </c>
      <c r="BG4261" s="3" t="s">
        <v>36799</v>
      </c>
    </row>
    <row r="4262" spans="1:59" ht="60" x14ac:dyDescent="0.25">
      <c r="A4262" s="2" t="s">
        <v>59</v>
      </c>
      <c r="B4262" s="2" t="s">
        <v>60</v>
      </c>
      <c r="C4262" s="2" t="s">
        <v>36800</v>
      </c>
      <c r="D4262" s="2" t="s">
        <v>36801</v>
      </c>
      <c r="E4262" s="2" t="s">
        <v>36802</v>
      </c>
      <c r="G4262" s="3" t="s">
        <v>63</v>
      </c>
      <c r="I4262" s="3" t="s">
        <v>63</v>
      </c>
      <c r="J4262" s="3" t="s">
        <v>63</v>
      </c>
      <c r="K4262" s="3" t="s">
        <v>64</v>
      </c>
      <c r="L4262" s="2" t="s">
        <v>36803</v>
      </c>
      <c r="M4262" s="2" t="s">
        <v>36804</v>
      </c>
      <c r="N4262" s="3" t="s">
        <v>668</v>
      </c>
      <c r="P4262" s="3" t="s">
        <v>66</v>
      </c>
      <c r="Q4262" s="2" t="s">
        <v>36805</v>
      </c>
      <c r="R4262" s="3" t="s">
        <v>67</v>
      </c>
      <c r="S4262" s="4">
        <v>15</v>
      </c>
      <c r="T4262" s="4">
        <v>15</v>
      </c>
      <c r="U4262" s="5" t="s">
        <v>21611</v>
      </c>
      <c r="V4262" s="5" t="s">
        <v>21611</v>
      </c>
      <c r="W4262" s="5" t="s">
        <v>69</v>
      </c>
      <c r="X4262" s="5" t="s">
        <v>69</v>
      </c>
      <c r="Y4262" s="4">
        <v>193</v>
      </c>
      <c r="Z4262" s="4">
        <v>15</v>
      </c>
      <c r="AA4262" s="4">
        <v>15</v>
      </c>
      <c r="AB4262" s="4">
        <v>1</v>
      </c>
      <c r="AC4262" s="4">
        <v>1</v>
      </c>
      <c r="AD4262" s="4">
        <v>98</v>
      </c>
      <c r="AE4262" s="4">
        <v>98</v>
      </c>
      <c r="AF4262" s="4">
        <v>0</v>
      </c>
      <c r="AG4262" s="4">
        <v>0</v>
      </c>
      <c r="AH4262" s="4">
        <v>89</v>
      </c>
      <c r="AI4262" s="4">
        <v>89</v>
      </c>
      <c r="AJ4262" s="4">
        <v>9</v>
      </c>
      <c r="AK4262" s="4">
        <v>9</v>
      </c>
      <c r="AL4262" s="4">
        <v>53</v>
      </c>
      <c r="AM4262" s="4">
        <v>53</v>
      </c>
      <c r="AN4262" s="4">
        <v>0</v>
      </c>
      <c r="AO4262" s="4">
        <v>0</v>
      </c>
      <c r="AP4262" s="4">
        <v>12</v>
      </c>
      <c r="AQ4262" s="4">
        <v>12</v>
      </c>
      <c r="AR4262" s="3" t="s">
        <v>63</v>
      </c>
      <c r="AS4262" s="3" t="s">
        <v>63</v>
      </c>
      <c r="AT4262" s="3" t="s">
        <v>62</v>
      </c>
      <c r="AU4262" s="6" t="str">
        <f>HYPERLINK("http://catalog.hathitrust.org/Record/002186674","HathiTrust Record")</f>
        <v>HathiTrust Record</v>
      </c>
      <c r="AV4262" s="6" t="str">
        <f>HYPERLINK("http://mcgill.on.worldcat.org/oclc/22234103","Catalog Record")</f>
        <v>Catalog Record</v>
      </c>
      <c r="AW4262" s="6" t="str">
        <f>HYPERLINK("http://www.worldcat.org/oclc/22234103","WorldCat Record")</f>
        <v>WorldCat Record</v>
      </c>
      <c r="AX4262" s="3" t="s">
        <v>36806</v>
      </c>
      <c r="AY4262" s="3" t="s">
        <v>36807</v>
      </c>
      <c r="AZ4262" s="3" t="s">
        <v>36808</v>
      </c>
      <c r="BA4262" s="3" t="s">
        <v>36808</v>
      </c>
      <c r="BB4262" s="3" t="s">
        <v>36809</v>
      </c>
      <c r="BC4262" s="3" t="s">
        <v>82</v>
      </c>
      <c r="BD4262" s="3" t="s">
        <v>70</v>
      </c>
      <c r="BF4262" s="3" t="s">
        <v>36809</v>
      </c>
      <c r="BG4262" s="3" t="s">
        <v>36810</v>
      </c>
    </row>
    <row r="4263" spans="1:59" ht="60" x14ac:dyDescent="0.25">
      <c r="A4263" s="2" t="s">
        <v>59</v>
      </c>
      <c r="B4263" s="2" t="s">
        <v>60</v>
      </c>
      <c r="C4263" s="2" t="s">
        <v>36811</v>
      </c>
      <c r="D4263" s="2" t="s">
        <v>36812</v>
      </c>
      <c r="E4263" s="2" t="s">
        <v>36813</v>
      </c>
      <c r="G4263" s="3" t="s">
        <v>63</v>
      </c>
      <c r="I4263" s="3" t="s">
        <v>63</v>
      </c>
      <c r="J4263" s="3" t="s">
        <v>63</v>
      </c>
      <c r="K4263" s="3" t="s">
        <v>64</v>
      </c>
      <c r="L4263" s="2" t="s">
        <v>36814</v>
      </c>
      <c r="M4263" s="2" t="s">
        <v>36815</v>
      </c>
      <c r="N4263" s="3" t="s">
        <v>1296</v>
      </c>
      <c r="P4263" s="3" t="s">
        <v>66</v>
      </c>
      <c r="R4263" s="3" t="s">
        <v>67</v>
      </c>
      <c r="S4263" s="4">
        <v>7</v>
      </c>
      <c r="T4263" s="4">
        <v>7</v>
      </c>
      <c r="U4263" s="5" t="s">
        <v>21611</v>
      </c>
      <c r="V4263" s="5" t="s">
        <v>21611</v>
      </c>
      <c r="W4263" s="5" t="s">
        <v>69</v>
      </c>
      <c r="X4263" s="5" t="s">
        <v>69</v>
      </c>
      <c r="Y4263" s="4">
        <v>470</v>
      </c>
      <c r="Z4263" s="4">
        <v>29</v>
      </c>
      <c r="AA4263" s="4">
        <v>31</v>
      </c>
      <c r="AB4263" s="4">
        <v>2</v>
      </c>
      <c r="AC4263" s="4">
        <v>2</v>
      </c>
      <c r="AD4263" s="4">
        <v>108</v>
      </c>
      <c r="AE4263" s="4">
        <v>110</v>
      </c>
      <c r="AF4263" s="4">
        <v>1</v>
      </c>
      <c r="AG4263" s="4">
        <v>1</v>
      </c>
      <c r="AH4263" s="4">
        <v>92</v>
      </c>
      <c r="AI4263" s="4">
        <v>94</v>
      </c>
      <c r="AJ4263" s="4">
        <v>17</v>
      </c>
      <c r="AK4263" s="4">
        <v>19</v>
      </c>
      <c r="AL4263" s="4">
        <v>53</v>
      </c>
      <c r="AM4263" s="4">
        <v>53</v>
      </c>
      <c r="AN4263" s="4">
        <v>0</v>
      </c>
      <c r="AO4263" s="4">
        <v>0</v>
      </c>
      <c r="AP4263" s="4">
        <v>21</v>
      </c>
      <c r="AQ4263" s="4">
        <v>23</v>
      </c>
      <c r="AR4263" s="3" t="s">
        <v>63</v>
      </c>
      <c r="AS4263" s="3" t="s">
        <v>63</v>
      </c>
      <c r="AT4263" s="3" t="s">
        <v>62</v>
      </c>
      <c r="AU4263" s="6" t="str">
        <f>HYPERLINK("http://catalog.hathitrust.org/Record/001231382","HathiTrust Record")</f>
        <v>HathiTrust Record</v>
      </c>
      <c r="AV4263" s="6" t="str">
        <f>HYPERLINK("http://mcgill.on.worldcat.org/oclc/67835","Catalog Record")</f>
        <v>Catalog Record</v>
      </c>
      <c r="AW4263" s="6" t="str">
        <f>HYPERLINK("http://www.worldcat.org/oclc/67835","WorldCat Record")</f>
        <v>WorldCat Record</v>
      </c>
      <c r="AX4263" s="3" t="s">
        <v>36816</v>
      </c>
      <c r="AY4263" s="3" t="s">
        <v>36817</v>
      </c>
      <c r="AZ4263" s="3" t="s">
        <v>36818</v>
      </c>
      <c r="BA4263" s="3" t="s">
        <v>36818</v>
      </c>
      <c r="BB4263" s="3" t="s">
        <v>36819</v>
      </c>
      <c r="BC4263" s="3" t="s">
        <v>82</v>
      </c>
      <c r="BD4263" s="3" t="s">
        <v>538</v>
      </c>
      <c r="BE4263" s="3" t="s">
        <v>36820</v>
      </c>
      <c r="BF4263" s="3" t="s">
        <v>36819</v>
      </c>
      <c r="BG4263" s="3" t="s">
        <v>36821</v>
      </c>
    </row>
    <row r="4264" spans="1:59" ht="60" x14ac:dyDescent="0.25">
      <c r="A4264" s="2" t="s">
        <v>59</v>
      </c>
      <c r="B4264" s="2" t="s">
        <v>60</v>
      </c>
      <c r="C4264" s="2" t="s">
        <v>36822</v>
      </c>
      <c r="D4264" s="2" t="s">
        <v>36823</v>
      </c>
      <c r="E4264" s="2" t="s">
        <v>36824</v>
      </c>
      <c r="G4264" s="3" t="s">
        <v>63</v>
      </c>
      <c r="I4264" s="3" t="s">
        <v>63</v>
      </c>
      <c r="J4264" s="3" t="s">
        <v>63</v>
      </c>
      <c r="K4264" s="3" t="s">
        <v>64</v>
      </c>
      <c r="L4264" s="2" t="s">
        <v>36825</v>
      </c>
      <c r="M4264" s="2" t="s">
        <v>36826</v>
      </c>
      <c r="N4264" s="3" t="s">
        <v>849</v>
      </c>
      <c r="P4264" s="3" t="s">
        <v>66</v>
      </c>
      <c r="R4264" s="3" t="s">
        <v>67</v>
      </c>
      <c r="S4264" s="4">
        <v>13</v>
      </c>
      <c r="T4264" s="4">
        <v>13</v>
      </c>
      <c r="U4264" s="5" t="s">
        <v>36827</v>
      </c>
      <c r="V4264" s="5" t="s">
        <v>36827</v>
      </c>
      <c r="W4264" s="5" t="s">
        <v>69</v>
      </c>
      <c r="X4264" s="5" t="s">
        <v>69</v>
      </c>
      <c r="Y4264" s="4">
        <v>495</v>
      </c>
      <c r="Z4264" s="4">
        <v>36</v>
      </c>
      <c r="AA4264" s="4">
        <v>61</v>
      </c>
      <c r="AB4264" s="4">
        <v>3</v>
      </c>
      <c r="AC4264" s="4">
        <v>9</v>
      </c>
      <c r="AD4264" s="4">
        <v>121</v>
      </c>
      <c r="AE4264" s="4">
        <v>133</v>
      </c>
      <c r="AF4264" s="4">
        <v>1</v>
      </c>
      <c r="AG4264" s="4">
        <v>3</v>
      </c>
      <c r="AH4264" s="4">
        <v>101</v>
      </c>
      <c r="AI4264" s="4">
        <v>106</v>
      </c>
      <c r="AJ4264" s="4">
        <v>17</v>
      </c>
      <c r="AK4264" s="4">
        <v>24</v>
      </c>
      <c r="AL4264" s="4">
        <v>56</v>
      </c>
      <c r="AM4264" s="4">
        <v>57</v>
      </c>
      <c r="AN4264" s="4">
        <v>0</v>
      </c>
      <c r="AO4264" s="4">
        <v>0</v>
      </c>
      <c r="AP4264" s="4">
        <v>24</v>
      </c>
      <c r="AQ4264" s="4">
        <v>34</v>
      </c>
      <c r="AR4264" s="3" t="s">
        <v>62</v>
      </c>
      <c r="AS4264" s="3" t="s">
        <v>63</v>
      </c>
      <c r="AT4264" s="3" t="s">
        <v>62</v>
      </c>
      <c r="AU4264" s="6" t="str">
        <f>HYPERLINK("http://catalog.hathitrust.org/Record/000718006","HathiTrust Record")</f>
        <v>HathiTrust Record</v>
      </c>
      <c r="AV4264" s="6" t="str">
        <f>HYPERLINK("http://mcgill.on.worldcat.org/oclc/4956770","Catalog Record")</f>
        <v>Catalog Record</v>
      </c>
      <c r="AW4264" s="6" t="str">
        <f>HYPERLINK("http://www.worldcat.org/oclc/4956770","WorldCat Record")</f>
        <v>WorldCat Record</v>
      </c>
      <c r="AX4264" s="3" t="s">
        <v>36828</v>
      </c>
      <c r="AY4264" s="3" t="s">
        <v>36829</v>
      </c>
      <c r="AZ4264" s="3" t="s">
        <v>36830</v>
      </c>
      <c r="BA4264" s="3" t="s">
        <v>36830</v>
      </c>
      <c r="BB4264" s="3" t="s">
        <v>36831</v>
      </c>
      <c r="BC4264" s="3" t="s">
        <v>82</v>
      </c>
      <c r="BD4264" s="3" t="s">
        <v>70</v>
      </c>
      <c r="BE4264" s="3" t="s">
        <v>36832</v>
      </c>
      <c r="BF4264" s="3" t="s">
        <v>36831</v>
      </c>
      <c r="BG4264" s="3" t="s">
        <v>36833</v>
      </c>
    </row>
    <row r="4265" spans="1:59" ht="60" x14ac:dyDescent="0.25">
      <c r="A4265" s="2" t="s">
        <v>59</v>
      </c>
      <c r="B4265" s="2" t="s">
        <v>60</v>
      </c>
      <c r="C4265" s="2" t="s">
        <v>36834</v>
      </c>
      <c r="D4265" s="2" t="s">
        <v>36835</v>
      </c>
      <c r="E4265" s="2" t="s">
        <v>36836</v>
      </c>
      <c r="G4265" s="3" t="s">
        <v>63</v>
      </c>
      <c r="I4265" s="3" t="s">
        <v>63</v>
      </c>
      <c r="J4265" s="3" t="s">
        <v>63</v>
      </c>
      <c r="K4265" s="3" t="s">
        <v>64</v>
      </c>
      <c r="M4265" s="2" t="s">
        <v>36837</v>
      </c>
      <c r="N4265" s="3" t="s">
        <v>1916</v>
      </c>
      <c r="O4265" s="2" t="s">
        <v>590</v>
      </c>
      <c r="P4265" s="3" t="s">
        <v>66</v>
      </c>
      <c r="Q4265" s="2" t="s">
        <v>36838</v>
      </c>
      <c r="R4265" s="3" t="s">
        <v>67</v>
      </c>
      <c r="S4265" s="4">
        <v>28</v>
      </c>
      <c r="T4265" s="4">
        <v>28</v>
      </c>
      <c r="U4265" s="5" t="s">
        <v>469</v>
      </c>
      <c r="V4265" s="5" t="s">
        <v>469</v>
      </c>
      <c r="W4265" s="5" t="s">
        <v>69</v>
      </c>
      <c r="X4265" s="5" t="s">
        <v>69</v>
      </c>
      <c r="Y4265" s="4">
        <v>415</v>
      </c>
      <c r="Z4265" s="4">
        <v>27</v>
      </c>
      <c r="AA4265" s="4">
        <v>27</v>
      </c>
      <c r="AB4265" s="4">
        <v>3</v>
      </c>
      <c r="AC4265" s="4">
        <v>3</v>
      </c>
      <c r="AD4265" s="4">
        <v>107</v>
      </c>
      <c r="AE4265" s="4">
        <v>107</v>
      </c>
      <c r="AF4265" s="4">
        <v>2</v>
      </c>
      <c r="AG4265" s="4">
        <v>2</v>
      </c>
      <c r="AH4265" s="4">
        <v>93</v>
      </c>
      <c r="AI4265" s="4">
        <v>93</v>
      </c>
      <c r="AJ4265" s="4">
        <v>15</v>
      </c>
      <c r="AK4265" s="4">
        <v>15</v>
      </c>
      <c r="AL4265" s="4">
        <v>52</v>
      </c>
      <c r="AM4265" s="4">
        <v>52</v>
      </c>
      <c r="AN4265" s="4">
        <v>1</v>
      </c>
      <c r="AO4265" s="4">
        <v>1</v>
      </c>
      <c r="AP4265" s="4">
        <v>19</v>
      </c>
      <c r="AQ4265" s="4">
        <v>19</v>
      </c>
      <c r="AR4265" s="3" t="s">
        <v>63</v>
      </c>
      <c r="AS4265" s="3" t="s">
        <v>63</v>
      </c>
      <c r="AT4265" s="3" t="s">
        <v>62</v>
      </c>
      <c r="AU4265" s="6" t="str">
        <f>HYPERLINK("http://catalog.hathitrust.org/Record/007103086","HathiTrust Record")</f>
        <v>HathiTrust Record</v>
      </c>
      <c r="AV4265" s="6" t="str">
        <f>HYPERLINK("http://mcgill.on.worldcat.org/oclc/36197071","Catalog Record")</f>
        <v>Catalog Record</v>
      </c>
      <c r="AW4265" s="6" t="str">
        <f>HYPERLINK("http://www.worldcat.org/oclc/36197071","WorldCat Record")</f>
        <v>WorldCat Record</v>
      </c>
      <c r="AX4265" s="3" t="s">
        <v>36839</v>
      </c>
      <c r="AY4265" s="3" t="s">
        <v>36840</v>
      </c>
      <c r="AZ4265" s="3" t="s">
        <v>36841</v>
      </c>
      <c r="BA4265" s="3" t="s">
        <v>36841</v>
      </c>
      <c r="BB4265" s="3" t="s">
        <v>36842</v>
      </c>
      <c r="BC4265" s="3" t="s">
        <v>82</v>
      </c>
      <c r="BD4265" s="3" t="s">
        <v>70</v>
      </c>
      <c r="BE4265" s="3" t="s">
        <v>36843</v>
      </c>
      <c r="BF4265" s="3" t="s">
        <v>36842</v>
      </c>
      <c r="BG4265" s="3" t="s">
        <v>36844</v>
      </c>
    </row>
    <row r="4266" spans="1:59" ht="60" x14ac:dyDescent="0.25">
      <c r="A4266" s="2" t="s">
        <v>59</v>
      </c>
      <c r="B4266" s="2" t="s">
        <v>60</v>
      </c>
      <c r="C4266" s="2" t="s">
        <v>36845</v>
      </c>
      <c r="D4266" s="2" t="s">
        <v>36846</v>
      </c>
      <c r="E4266" s="2" t="s">
        <v>36847</v>
      </c>
      <c r="G4266" s="3" t="s">
        <v>63</v>
      </c>
      <c r="I4266" s="3" t="s">
        <v>63</v>
      </c>
      <c r="J4266" s="3" t="s">
        <v>63</v>
      </c>
      <c r="K4266" s="3" t="s">
        <v>64</v>
      </c>
      <c r="L4266" s="2" t="s">
        <v>36848</v>
      </c>
      <c r="M4266" s="2" t="s">
        <v>36849</v>
      </c>
      <c r="N4266" s="3" t="s">
        <v>2103</v>
      </c>
      <c r="O4266" s="2" t="s">
        <v>36850</v>
      </c>
      <c r="P4266" s="3" t="s">
        <v>66</v>
      </c>
      <c r="R4266" s="3" t="s">
        <v>67</v>
      </c>
      <c r="S4266" s="4">
        <v>5</v>
      </c>
      <c r="T4266" s="4">
        <v>5</v>
      </c>
      <c r="U4266" s="5" t="s">
        <v>36851</v>
      </c>
      <c r="V4266" s="5" t="s">
        <v>36851</v>
      </c>
      <c r="W4266" s="5" t="s">
        <v>69</v>
      </c>
      <c r="X4266" s="5" t="s">
        <v>69</v>
      </c>
      <c r="Y4266" s="4">
        <v>326</v>
      </c>
      <c r="Z4266" s="4">
        <v>14</v>
      </c>
      <c r="AA4266" s="4">
        <v>42</v>
      </c>
      <c r="AB4266" s="4">
        <v>2</v>
      </c>
      <c r="AC4266" s="4">
        <v>6</v>
      </c>
      <c r="AD4266" s="4">
        <v>81</v>
      </c>
      <c r="AE4266" s="4">
        <v>83</v>
      </c>
      <c r="AF4266" s="4">
        <v>0</v>
      </c>
      <c r="AG4266" s="4">
        <v>0</v>
      </c>
      <c r="AH4266" s="4">
        <v>75</v>
      </c>
      <c r="AI4266" s="4">
        <v>75</v>
      </c>
      <c r="AJ4266" s="4">
        <v>6</v>
      </c>
      <c r="AK4266" s="4">
        <v>6</v>
      </c>
      <c r="AL4266" s="4">
        <v>49</v>
      </c>
      <c r="AM4266" s="4">
        <v>49</v>
      </c>
      <c r="AN4266" s="4">
        <v>0</v>
      </c>
      <c r="AO4266" s="4">
        <v>0</v>
      </c>
      <c r="AP4266" s="4">
        <v>6</v>
      </c>
      <c r="AQ4266" s="4">
        <v>8</v>
      </c>
      <c r="AR4266" s="3" t="s">
        <v>63</v>
      </c>
      <c r="AS4266" s="3" t="s">
        <v>63</v>
      </c>
      <c r="AT4266" s="3" t="s">
        <v>62</v>
      </c>
      <c r="AU4266" s="6" t="str">
        <f>HYPERLINK("http://catalog.hathitrust.org/Record/004276999","HathiTrust Record")</f>
        <v>HathiTrust Record</v>
      </c>
      <c r="AV4266" s="6" t="str">
        <f>HYPERLINK("http://mcgill.on.worldcat.org/oclc/48892660","Catalog Record")</f>
        <v>Catalog Record</v>
      </c>
      <c r="AW4266" s="6" t="str">
        <f>HYPERLINK("http://www.worldcat.org/oclc/48892660","WorldCat Record")</f>
        <v>WorldCat Record</v>
      </c>
      <c r="AX4266" s="3" t="s">
        <v>36852</v>
      </c>
      <c r="AY4266" s="3" t="s">
        <v>36853</v>
      </c>
      <c r="AZ4266" s="3" t="s">
        <v>36854</v>
      </c>
      <c r="BA4266" s="3" t="s">
        <v>36854</v>
      </c>
      <c r="BB4266" s="3" t="s">
        <v>36855</v>
      </c>
      <c r="BC4266" s="3" t="s">
        <v>82</v>
      </c>
      <c r="BD4266" s="3" t="s">
        <v>70</v>
      </c>
      <c r="BE4266" s="3" t="s">
        <v>36856</v>
      </c>
      <c r="BF4266" s="3" t="s">
        <v>36855</v>
      </c>
      <c r="BG4266" s="3" t="s">
        <v>36857</v>
      </c>
    </row>
    <row r="4267" spans="1:59" ht="75" x14ac:dyDescent="0.25">
      <c r="A4267" s="2" t="s">
        <v>59</v>
      </c>
      <c r="B4267" s="2" t="s">
        <v>60</v>
      </c>
      <c r="C4267" s="2" t="s">
        <v>36858</v>
      </c>
      <c r="D4267" s="2" t="s">
        <v>36859</v>
      </c>
      <c r="E4267" s="2" t="s">
        <v>36860</v>
      </c>
      <c r="G4267" s="3" t="s">
        <v>63</v>
      </c>
      <c r="I4267" s="3" t="s">
        <v>63</v>
      </c>
      <c r="J4267" s="3" t="s">
        <v>63</v>
      </c>
      <c r="K4267" s="3" t="s">
        <v>64</v>
      </c>
      <c r="L4267" s="2" t="s">
        <v>36848</v>
      </c>
      <c r="M4267" s="2" t="s">
        <v>36861</v>
      </c>
      <c r="N4267" s="3" t="s">
        <v>668</v>
      </c>
      <c r="O4267" s="2" t="s">
        <v>590</v>
      </c>
      <c r="P4267" s="3" t="s">
        <v>66</v>
      </c>
      <c r="R4267" s="3" t="s">
        <v>67</v>
      </c>
      <c r="S4267" s="4">
        <v>3</v>
      </c>
      <c r="T4267" s="4">
        <v>3</v>
      </c>
      <c r="U4267" s="5" t="s">
        <v>1869</v>
      </c>
      <c r="V4267" s="5" t="s">
        <v>1869</v>
      </c>
      <c r="W4267" s="5" t="s">
        <v>69</v>
      </c>
      <c r="X4267" s="5" t="s">
        <v>69</v>
      </c>
      <c r="Y4267" s="4">
        <v>619</v>
      </c>
      <c r="Z4267" s="4">
        <v>25</v>
      </c>
      <c r="AA4267" s="4">
        <v>55</v>
      </c>
      <c r="AB4267" s="4">
        <v>4</v>
      </c>
      <c r="AC4267" s="4">
        <v>9</v>
      </c>
      <c r="AD4267" s="4">
        <v>101</v>
      </c>
      <c r="AE4267" s="4">
        <v>107</v>
      </c>
      <c r="AF4267" s="4">
        <v>1</v>
      </c>
      <c r="AG4267" s="4">
        <v>1</v>
      </c>
      <c r="AH4267" s="4">
        <v>89</v>
      </c>
      <c r="AI4267" s="4">
        <v>92</v>
      </c>
      <c r="AJ4267" s="4">
        <v>14</v>
      </c>
      <c r="AK4267" s="4">
        <v>15</v>
      </c>
      <c r="AL4267" s="4">
        <v>53</v>
      </c>
      <c r="AM4267" s="4">
        <v>55</v>
      </c>
      <c r="AN4267" s="4">
        <v>0</v>
      </c>
      <c r="AO4267" s="4">
        <v>0</v>
      </c>
      <c r="AP4267" s="4">
        <v>15</v>
      </c>
      <c r="AQ4267" s="4">
        <v>18</v>
      </c>
      <c r="AR4267" s="3" t="s">
        <v>63</v>
      </c>
      <c r="AS4267" s="3" t="s">
        <v>63</v>
      </c>
      <c r="AT4267" s="3" t="s">
        <v>62</v>
      </c>
      <c r="AU4267" s="6" t="str">
        <f>HYPERLINK("http://catalog.hathitrust.org/Record/002053573","HathiTrust Record")</f>
        <v>HathiTrust Record</v>
      </c>
      <c r="AV4267" s="6" t="str">
        <f>HYPERLINK("http://mcgill.on.worldcat.org/oclc/20354307","Catalog Record")</f>
        <v>Catalog Record</v>
      </c>
      <c r="AW4267" s="6" t="str">
        <f>HYPERLINK("http://www.worldcat.org/oclc/20354307","WorldCat Record")</f>
        <v>WorldCat Record</v>
      </c>
      <c r="AX4267" s="3" t="s">
        <v>36862</v>
      </c>
      <c r="AY4267" s="3" t="s">
        <v>36863</v>
      </c>
      <c r="AZ4267" s="3" t="s">
        <v>36864</v>
      </c>
      <c r="BA4267" s="3" t="s">
        <v>36864</v>
      </c>
      <c r="BB4267" s="3" t="s">
        <v>36865</v>
      </c>
      <c r="BC4267" s="3" t="s">
        <v>82</v>
      </c>
      <c r="BD4267" s="3" t="s">
        <v>70</v>
      </c>
      <c r="BE4267" s="3" t="s">
        <v>36866</v>
      </c>
      <c r="BF4267" s="3" t="s">
        <v>36865</v>
      </c>
      <c r="BG4267" s="3" t="s">
        <v>36867</v>
      </c>
    </row>
    <row r="4268" spans="1:59" ht="60" x14ac:dyDescent="0.25">
      <c r="A4268" s="2" t="s">
        <v>59</v>
      </c>
      <c r="B4268" s="2" t="s">
        <v>60</v>
      </c>
      <c r="C4268" s="2" t="s">
        <v>36868</v>
      </c>
      <c r="D4268" s="2" t="s">
        <v>36869</v>
      </c>
      <c r="E4268" s="2" t="s">
        <v>36870</v>
      </c>
      <c r="G4268" s="3" t="s">
        <v>63</v>
      </c>
      <c r="I4268" s="3" t="s">
        <v>63</v>
      </c>
      <c r="J4268" s="3" t="s">
        <v>63</v>
      </c>
      <c r="K4268" s="3" t="s">
        <v>64</v>
      </c>
      <c r="L4268" s="2" t="s">
        <v>36848</v>
      </c>
      <c r="M4268" s="2" t="s">
        <v>36871</v>
      </c>
      <c r="N4268" s="3" t="s">
        <v>24415</v>
      </c>
      <c r="P4268" s="3" t="s">
        <v>66</v>
      </c>
      <c r="R4268" s="3" t="s">
        <v>67</v>
      </c>
      <c r="S4268" s="4">
        <v>6</v>
      </c>
      <c r="T4268" s="4">
        <v>6</v>
      </c>
      <c r="U4268" s="5" t="s">
        <v>276</v>
      </c>
      <c r="V4268" s="5" t="s">
        <v>276</v>
      </c>
      <c r="W4268" s="5" t="s">
        <v>69</v>
      </c>
      <c r="X4268" s="5" t="s">
        <v>69</v>
      </c>
      <c r="Y4268" s="4">
        <v>13</v>
      </c>
      <c r="Z4268" s="4">
        <v>1</v>
      </c>
      <c r="AA4268" s="4">
        <v>8</v>
      </c>
      <c r="AB4268" s="4">
        <v>1</v>
      </c>
      <c r="AC4268" s="4">
        <v>1</v>
      </c>
      <c r="AD4268" s="4">
        <v>4</v>
      </c>
      <c r="AE4268" s="4">
        <v>40</v>
      </c>
      <c r="AF4268" s="4">
        <v>0</v>
      </c>
      <c r="AG4268" s="4">
        <v>0</v>
      </c>
      <c r="AH4268" s="4">
        <v>4</v>
      </c>
      <c r="AI4268" s="4">
        <v>36</v>
      </c>
      <c r="AJ4268" s="4">
        <v>0</v>
      </c>
      <c r="AK4268" s="4">
        <v>6</v>
      </c>
      <c r="AL4268" s="4">
        <v>3</v>
      </c>
      <c r="AM4268" s="4">
        <v>26</v>
      </c>
      <c r="AN4268" s="4">
        <v>0</v>
      </c>
      <c r="AO4268" s="4">
        <v>0</v>
      </c>
      <c r="AP4268" s="4">
        <v>0</v>
      </c>
      <c r="AQ4268" s="4">
        <v>6</v>
      </c>
      <c r="AR4268" s="3" t="s">
        <v>63</v>
      </c>
      <c r="AS4268" s="3" t="s">
        <v>63</v>
      </c>
      <c r="AT4268" s="3" t="s">
        <v>63</v>
      </c>
      <c r="AV4268" s="6" t="str">
        <f>HYPERLINK("http://mcgill.on.worldcat.org/oclc/7455257","Catalog Record")</f>
        <v>Catalog Record</v>
      </c>
      <c r="AW4268" s="6" t="str">
        <f>HYPERLINK("http://www.worldcat.org/oclc/7455257","WorldCat Record")</f>
        <v>WorldCat Record</v>
      </c>
      <c r="AX4268" s="3" t="s">
        <v>36872</v>
      </c>
      <c r="AY4268" s="3" t="s">
        <v>36873</v>
      </c>
      <c r="AZ4268" s="3" t="s">
        <v>36874</v>
      </c>
      <c r="BA4268" s="3" t="s">
        <v>36874</v>
      </c>
      <c r="BB4268" s="3" t="s">
        <v>36875</v>
      </c>
      <c r="BC4268" s="3" t="s">
        <v>82</v>
      </c>
      <c r="BD4268" s="3" t="s">
        <v>70</v>
      </c>
      <c r="BF4268" s="3" t="s">
        <v>36875</v>
      </c>
      <c r="BG4268" s="3" t="s">
        <v>36876</v>
      </c>
    </row>
    <row r="4269" spans="1:59" ht="60" x14ac:dyDescent="0.25">
      <c r="A4269" s="2" t="s">
        <v>59</v>
      </c>
      <c r="B4269" s="2" t="s">
        <v>60</v>
      </c>
      <c r="C4269" s="2" t="s">
        <v>36877</v>
      </c>
      <c r="D4269" s="2" t="s">
        <v>36878</v>
      </c>
      <c r="E4269" s="2" t="s">
        <v>36879</v>
      </c>
      <c r="G4269" s="3" t="s">
        <v>63</v>
      </c>
      <c r="I4269" s="3" t="s">
        <v>63</v>
      </c>
      <c r="J4269" s="3" t="s">
        <v>63</v>
      </c>
      <c r="K4269" s="3" t="s">
        <v>64</v>
      </c>
      <c r="L4269" s="2" t="s">
        <v>36848</v>
      </c>
      <c r="M4269" s="2" t="s">
        <v>36880</v>
      </c>
      <c r="N4269" s="3" t="s">
        <v>10181</v>
      </c>
      <c r="P4269" s="3" t="s">
        <v>66</v>
      </c>
      <c r="R4269" s="3" t="s">
        <v>67</v>
      </c>
      <c r="S4269" s="4">
        <v>6</v>
      </c>
      <c r="T4269" s="4">
        <v>6</v>
      </c>
      <c r="U4269" s="5" t="s">
        <v>276</v>
      </c>
      <c r="V4269" s="5" t="s">
        <v>276</v>
      </c>
      <c r="W4269" s="5" t="s">
        <v>69</v>
      </c>
      <c r="X4269" s="5" t="s">
        <v>69</v>
      </c>
      <c r="Y4269" s="4">
        <v>64</v>
      </c>
      <c r="Z4269" s="4">
        <v>5</v>
      </c>
      <c r="AA4269" s="4">
        <v>11</v>
      </c>
      <c r="AB4269" s="4">
        <v>1</v>
      </c>
      <c r="AC4269" s="4">
        <v>1</v>
      </c>
      <c r="AD4269" s="4">
        <v>26</v>
      </c>
      <c r="AE4269" s="4">
        <v>59</v>
      </c>
      <c r="AF4269" s="4">
        <v>0</v>
      </c>
      <c r="AG4269" s="4">
        <v>0</v>
      </c>
      <c r="AH4269" s="4">
        <v>24</v>
      </c>
      <c r="AI4269" s="4">
        <v>55</v>
      </c>
      <c r="AJ4269" s="4">
        <v>4</v>
      </c>
      <c r="AK4269" s="4">
        <v>8</v>
      </c>
      <c r="AL4269" s="4">
        <v>14</v>
      </c>
      <c r="AM4269" s="4">
        <v>35</v>
      </c>
      <c r="AN4269" s="4">
        <v>0</v>
      </c>
      <c r="AO4269" s="4">
        <v>0</v>
      </c>
      <c r="AP4269" s="4">
        <v>4</v>
      </c>
      <c r="AQ4269" s="4">
        <v>8</v>
      </c>
      <c r="AR4269" s="3" t="s">
        <v>63</v>
      </c>
      <c r="AS4269" s="3" t="s">
        <v>63</v>
      </c>
      <c r="AT4269" s="3" t="s">
        <v>63</v>
      </c>
      <c r="AV4269" s="6" t="str">
        <f>HYPERLINK("http://mcgill.on.worldcat.org/oclc/2865405","Catalog Record")</f>
        <v>Catalog Record</v>
      </c>
      <c r="AW4269" s="6" t="str">
        <f>HYPERLINK("http://www.worldcat.org/oclc/2865405","WorldCat Record")</f>
        <v>WorldCat Record</v>
      </c>
      <c r="AX4269" s="3" t="s">
        <v>36881</v>
      </c>
      <c r="AY4269" s="3" t="s">
        <v>36882</v>
      </c>
      <c r="AZ4269" s="3" t="s">
        <v>36883</v>
      </c>
      <c r="BA4269" s="3" t="s">
        <v>36883</v>
      </c>
      <c r="BB4269" s="3" t="s">
        <v>36884</v>
      </c>
      <c r="BC4269" s="3" t="s">
        <v>82</v>
      </c>
      <c r="BD4269" s="3" t="s">
        <v>70</v>
      </c>
      <c r="BF4269" s="3" t="s">
        <v>36884</v>
      </c>
      <c r="BG4269" s="3" t="s">
        <v>36885</v>
      </c>
    </row>
    <row r="4270" spans="1:59" ht="75" x14ac:dyDescent="0.25">
      <c r="A4270" s="2" t="s">
        <v>59</v>
      </c>
      <c r="B4270" s="2" t="s">
        <v>60</v>
      </c>
      <c r="C4270" s="2" t="s">
        <v>36886</v>
      </c>
      <c r="D4270" s="2" t="s">
        <v>36887</v>
      </c>
      <c r="E4270" s="2" t="s">
        <v>36888</v>
      </c>
      <c r="G4270" s="3" t="s">
        <v>63</v>
      </c>
      <c r="I4270" s="3" t="s">
        <v>63</v>
      </c>
      <c r="J4270" s="3" t="s">
        <v>62</v>
      </c>
      <c r="K4270" s="3" t="s">
        <v>64</v>
      </c>
      <c r="L4270" s="2" t="s">
        <v>36848</v>
      </c>
      <c r="M4270" s="2" t="s">
        <v>36889</v>
      </c>
      <c r="N4270" s="3" t="s">
        <v>1113</v>
      </c>
      <c r="O4270" s="2" t="s">
        <v>590</v>
      </c>
      <c r="P4270" s="3" t="s">
        <v>66</v>
      </c>
      <c r="R4270" s="3" t="s">
        <v>67</v>
      </c>
      <c r="S4270" s="4">
        <v>6</v>
      </c>
      <c r="T4270" s="4">
        <v>6</v>
      </c>
      <c r="U4270" s="5" t="s">
        <v>482</v>
      </c>
      <c r="V4270" s="5" t="s">
        <v>482</v>
      </c>
      <c r="W4270" s="5" t="s">
        <v>69</v>
      </c>
      <c r="X4270" s="5" t="s">
        <v>69</v>
      </c>
      <c r="Y4270" s="4">
        <v>330</v>
      </c>
      <c r="Z4270" s="4">
        <v>13</v>
      </c>
      <c r="AA4270" s="4">
        <v>60</v>
      </c>
      <c r="AB4270" s="4">
        <v>1</v>
      </c>
      <c r="AC4270" s="4">
        <v>6</v>
      </c>
      <c r="AD4270" s="4">
        <v>61</v>
      </c>
      <c r="AE4270" s="4">
        <v>110</v>
      </c>
      <c r="AF4270" s="4">
        <v>0</v>
      </c>
      <c r="AG4270" s="4">
        <v>0</v>
      </c>
      <c r="AH4270" s="4">
        <v>58</v>
      </c>
      <c r="AI4270" s="4">
        <v>94</v>
      </c>
      <c r="AJ4270" s="4">
        <v>6</v>
      </c>
      <c r="AK4270" s="4">
        <v>16</v>
      </c>
      <c r="AL4270" s="4">
        <v>33</v>
      </c>
      <c r="AM4270" s="4">
        <v>52</v>
      </c>
      <c r="AN4270" s="4">
        <v>0</v>
      </c>
      <c r="AO4270" s="4">
        <v>0</v>
      </c>
      <c r="AP4270" s="4">
        <v>7</v>
      </c>
      <c r="AQ4270" s="4">
        <v>22</v>
      </c>
      <c r="AR4270" s="3" t="s">
        <v>63</v>
      </c>
      <c r="AS4270" s="3" t="s">
        <v>63</v>
      </c>
      <c r="AT4270" s="3" t="s">
        <v>63</v>
      </c>
      <c r="AV4270" s="6" t="str">
        <f>HYPERLINK("http://mcgill.on.worldcat.org/oclc/36138444","Catalog Record")</f>
        <v>Catalog Record</v>
      </c>
      <c r="AW4270" s="6" t="str">
        <f>HYPERLINK("http://www.worldcat.org/oclc/36138444","WorldCat Record")</f>
        <v>WorldCat Record</v>
      </c>
      <c r="AX4270" s="3" t="s">
        <v>36890</v>
      </c>
      <c r="AY4270" s="3" t="s">
        <v>36891</v>
      </c>
      <c r="AZ4270" s="3" t="s">
        <v>36892</v>
      </c>
      <c r="BA4270" s="3" t="s">
        <v>36892</v>
      </c>
      <c r="BB4270" s="3" t="s">
        <v>36893</v>
      </c>
      <c r="BC4270" s="3" t="s">
        <v>82</v>
      </c>
      <c r="BD4270" s="3" t="s">
        <v>70</v>
      </c>
      <c r="BE4270" s="3" t="s">
        <v>36894</v>
      </c>
      <c r="BF4270" s="3" t="s">
        <v>36893</v>
      </c>
      <c r="BG4270" s="3" t="s">
        <v>36895</v>
      </c>
    </row>
    <row r="4271" spans="1:59" ht="60" x14ac:dyDescent="0.25">
      <c r="A4271" s="2" t="s">
        <v>59</v>
      </c>
      <c r="B4271" s="2" t="s">
        <v>60</v>
      </c>
      <c r="C4271" s="2" t="s">
        <v>36896</v>
      </c>
      <c r="D4271" s="2" t="s">
        <v>36897</v>
      </c>
      <c r="E4271" s="2" t="s">
        <v>36898</v>
      </c>
      <c r="G4271" s="3" t="s">
        <v>63</v>
      </c>
      <c r="I4271" s="3" t="s">
        <v>63</v>
      </c>
      <c r="J4271" s="3" t="s">
        <v>63</v>
      </c>
      <c r="K4271" s="3" t="s">
        <v>64</v>
      </c>
      <c r="L4271" s="2" t="s">
        <v>36899</v>
      </c>
      <c r="M4271" s="2" t="s">
        <v>36900</v>
      </c>
      <c r="N4271" s="3" t="s">
        <v>9782</v>
      </c>
      <c r="P4271" s="3" t="s">
        <v>66</v>
      </c>
      <c r="R4271" s="3" t="s">
        <v>67</v>
      </c>
      <c r="S4271" s="4">
        <v>1</v>
      </c>
      <c r="T4271" s="4">
        <v>1</v>
      </c>
      <c r="U4271" s="5" t="s">
        <v>482</v>
      </c>
      <c r="V4271" s="5" t="s">
        <v>482</v>
      </c>
      <c r="W4271" s="5" t="s">
        <v>69</v>
      </c>
      <c r="X4271" s="5" t="s">
        <v>69</v>
      </c>
      <c r="Y4271" s="4">
        <v>155</v>
      </c>
      <c r="Z4271" s="4">
        <v>10</v>
      </c>
      <c r="AA4271" s="4">
        <v>30</v>
      </c>
      <c r="AB4271" s="4">
        <v>1</v>
      </c>
      <c r="AC4271" s="4">
        <v>2</v>
      </c>
      <c r="AD4271" s="4">
        <v>56</v>
      </c>
      <c r="AE4271" s="4">
        <v>113</v>
      </c>
      <c r="AF4271" s="4">
        <v>0</v>
      </c>
      <c r="AG4271" s="4">
        <v>1</v>
      </c>
      <c r="AH4271" s="4">
        <v>51</v>
      </c>
      <c r="AI4271" s="4">
        <v>95</v>
      </c>
      <c r="AJ4271" s="4">
        <v>4</v>
      </c>
      <c r="AK4271" s="4">
        <v>19</v>
      </c>
      <c r="AL4271" s="4">
        <v>33</v>
      </c>
      <c r="AM4271" s="4">
        <v>53</v>
      </c>
      <c r="AN4271" s="4">
        <v>0</v>
      </c>
      <c r="AO4271" s="4">
        <v>0</v>
      </c>
      <c r="AP4271" s="4">
        <v>5</v>
      </c>
      <c r="AQ4271" s="4">
        <v>24</v>
      </c>
      <c r="AR4271" s="3" t="s">
        <v>63</v>
      </c>
      <c r="AS4271" s="3" t="s">
        <v>63</v>
      </c>
      <c r="AT4271" s="3" t="s">
        <v>63</v>
      </c>
      <c r="AU4271" s="6" t="str">
        <f>HYPERLINK("http://catalog.hathitrust.org/Record/001370305","HathiTrust Record")</f>
        <v>HathiTrust Record</v>
      </c>
      <c r="AV4271" s="6" t="str">
        <f>HYPERLINK("http://mcgill.on.worldcat.org/oclc/544304","Catalog Record")</f>
        <v>Catalog Record</v>
      </c>
      <c r="AW4271" s="6" t="str">
        <f>HYPERLINK("http://www.worldcat.org/oclc/544304","WorldCat Record")</f>
        <v>WorldCat Record</v>
      </c>
      <c r="AX4271" s="3" t="s">
        <v>36901</v>
      </c>
      <c r="AY4271" s="3" t="s">
        <v>36902</v>
      </c>
      <c r="AZ4271" s="3" t="s">
        <v>36903</v>
      </c>
      <c r="BA4271" s="3" t="s">
        <v>36903</v>
      </c>
      <c r="BB4271" s="3" t="s">
        <v>36904</v>
      </c>
      <c r="BC4271" s="3" t="s">
        <v>82</v>
      </c>
      <c r="BD4271" s="3" t="s">
        <v>70</v>
      </c>
      <c r="BF4271" s="3" t="s">
        <v>36904</v>
      </c>
      <c r="BG4271" s="3" t="s">
        <v>36905</v>
      </c>
    </row>
    <row r="4272" spans="1:59" ht="60" x14ac:dyDescent="0.25">
      <c r="A4272" s="2" t="s">
        <v>59</v>
      </c>
      <c r="B4272" s="2" t="s">
        <v>60</v>
      </c>
      <c r="C4272" s="2" t="s">
        <v>36906</v>
      </c>
      <c r="D4272" s="2" t="s">
        <v>36907</v>
      </c>
      <c r="E4272" s="2" t="s">
        <v>36908</v>
      </c>
      <c r="G4272" s="3" t="s">
        <v>63</v>
      </c>
      <c r="I4272" s="3" t="s">
        <v>63</v>
      </c>
      <c r="J4272" s="3" t="s">
        <v>63</v>
      </c>
      <c r="K4272" s="3" t="s">
        <v>64</v>
      </c>
      <c r="L4272" s="2" t="s">
        <v>36848</v>
      </c>
      <c r="M4272" s="2" t="s">
        <v>21589</v>
      </c>
      <c r="N4272" s="3" t="s">
        <v>693</v>
      </c>
      <c r="P4272" s="3" t="s">
        <v>66</v>
      </c>
      <c r="Q4272" s="2" t="s">
        <v>9341</v>
      </c>
      <c r="R4272" s="3" t="s">
        <v>67</v>
      </c>
      <c r="S4272" s="4">
        <v>16</v>
      </c>
      <c r="T4272" s="4">
        <v>16</v>
      </c>
      <c r="U4272" s="5" t="s">
        <v>15268</v>
      </c>
      <c r="V4272" s="5" t="s">
        <v>15268</v>
      </c>
      <c r="W4272" s="5" t="s">
        <v>69</v>
      </c>
      <c r="X4272" s="5" t="s">
        <v>69</v>
      </c>
      <c r="Y4272" s="4">
        <v>259</v>
      </c>
      <c r="Z4272" s="4">
        <v>17</v>
      </c>
      <c r="AA4272" s="4">
        <v>51</v>
      </c>
      <c r="AB4272" s="4">
        <v>3</v>
      </c>
      <c r="AC4272" s="4">
        <v>6</v>
      </c>
      <c r="AD4272" s="4">
        <v>74</v>
      </c>
      <c r="AE4272" s="4">
        <v>128</v>
      </c>
      <c r="AF4272" s="4">
        <v>1</v>
      </c>
      <c r="AG4272" s="4">
        <v>1</v>
      </c>
      <c r="AH4272" s="4">
        <v>66</v>
      </c>
      <c r="AI4272" s="4">
        <v>105</v>
      </c>
      <c r="AJ4272" s="4">
        <v>7</v>
      </c>
      <c r="AK4272" s="4">
        <v>19</v>
      </c>
      <c r="AL4272" s="4">
        <v>40</v>
      </c>
      <c r="AM4272" s="4">
        <v>60</v>
      </c>
      <c r="AN4272" s="4">
        <v>0</v>
      </c>
      <c r="AO4272" s="4">
        <v>8</v>
      </c>
      <c r="AP4272" s="4">
        <v>10</v>
      </c>
      <c r="AQ4272" s="4">
        <v>27</v>
      </c>
      <c r="AR4272" s="3" t="s">
        <v>63</v>
      </c>
      <c r="AS4272" s="3" t="s">
        <v>63</v>
      </c>
      <c r="AT4272" s="3" t="s">
        <v>63</v>
      </c>
      <c r="AV4272" s="6" t="str">
        <f>HYPERLINK("http://mcgill.on.worldcat.org/oclc/52895643","Catalog Record")</f>
        <v>Catalog Record</v>
      </c>
      <c r="AW4272" s="6" t="str">
        <f>HYPERLINK("http://www.worldcat.org/oclc/52895643","WorldCat Record")</f>
        <v>WorldCat Record</v>
      </c>
      <c r="AX4272" s="3" t="s">
        <v>36909</v>
      </c>
      <c r="AY4272" s="3" t="s">
        <v>36910</v>
      </c>
      <c r="AZ4272" s="3" t="s">
        <v>36911</v>
      </c>
      <c r="BA4272" s="3" t="s">
        <v>36911</v>
      </c>
      <c r="BB4272" s="3" t="s">
        <v>36912</v>
      </c>
      <c r="BC4272" s="3" t="s">
        <v>82</v>
      </c>
      <c r="BD4272" s="3" t="s">
        <v>70</v>
      </c>
      <c r="BE4272" s="3" t="s">
        <v>36913</v>
      </c>
      <c r="BF4272" s="3" t="s">
        <v>36912</v>
      </c>
      <c r="BG4272" s="3" t="s">
        <v>36914</v>
      </c>
    </row>
    <row r="4273" spans="1:59" ht="60" x14ac:dyDescent="0.25">
      <c r="A4273" s="2" t="s">
        <v>59</v>
      </c>
      <c r="B4273" s="2" t="s">
        <v>60</v>
      </c>
      <c r="C4273" s="2" t="s">
        <v>36915</v>
      </c>
      <c r="D4273" s="2" t="s">
        <v>36916</v>
      </c>
      <c r="E4273" s="2" t="s">
        <v>36917</v>
      </c>
      <c r="G4273" s="3" t="s">
        <v>63</v>
      </c>
      <c r="I4273" s="3" t="s">
        <v>63</v>
      </c>
      <c r="J4273" s="3" t="s">
        <v>63</v>
      </c>
      <c r="K4273" s="3" t="s">
        <v>64</v>
      </c>
      <c r="M4273" s="2" t="s">
        <v>36918</v>
      </c>
      <c r="N4273" s="3" t="s">
        <v>2144</v>
      </c>
      <c r="P4273" s="3" t="s">
        <v>66</v>
      </c>
      <c r="Q4273" s="2" t="s">
        <v>23433</v>
      </c>
      <c r="R4273" s="3" t="s">
        <v>67</v>
      </c>
      <c r="S4273" s="4">
        <v>16</v>
      </c>
      <c r="T4273" s="4">
        <v>16</v>
      </c>
      <c r="U4273" s="5" t="s">
        <v>36919</v>
      </c>
      <c r="V4273" s="5" t="s">
        <v>36919</v>
      </c>
      <c r="W4273" s="5" t="s">
        <v>69</v>
      </c>
      <c r="X4273" s="5" t="s">
        <v>69</v>
      </c>
      <c r="Y4273" s="4">
        <v>652</v>
      </c>
      <c r="Z4273" s="4">
        <v>39</v>
      </c>
      <c r="AA4273" s="4">
        <v>43</v>
      </c>
      <c r="AB4273" s="4">
        <v>4</v>
      </c>
      <c r="AC4273" s="4">
        <v>4</v>
      </c>
      <c r="AD4273" s="4">
        <v>93</v>
      </c>
      <c r="AE4273" s="4">
        <v>108</v>
      </c>
      <c r="AF4273" s="4">
        <v>1</v>
      </c>
      <c r="AG4273" s="4">
        <v>1</v>
      </c>
      <c r="AH4273" s="4">
        <v>75</v>
      </c>
      <c r="AI4273" s="4">
        <v>87</v>
      </c>
      <c r="AJ4273" s="4">
        <v>16</v>
      </c>
      <c r="AK4273" s="4">
        <v>19</v>
      </c>
      <c r="AL4273" s="4">
        <v>39</v>
      </c>
      <c r="AM4273" s="4">
        <v>50</v>
      </c>
      <c r="AN4273" s="4">
        <v>0</v>
      </c>
      <c r="AO4273" s="4">
        <v>0</v>
      </c>
      <c r="AP4273" s="4">
        <v>26</v>
      </c>
      <c r="AQ4273" s="4">
        <v>29</v>
      </c>
      <c r="AR4273" s="3" t="s">
        <v>63</v>
      </c>
      <c r="AS4273" s="3" t="s">
        <v>63</v>
      </c>
      <c r="AT4273" s="3" t="s">
        <v>63</v>
      </c>
      <c r="AV4273" s="6" t="str">
        <f>HYPERLINK("http://mcgill.on.worldcat.org/oclc/3891189","Catalog Record")</f>
        <v>Catalog Record</v>
      </c>
      <c r="AW4273" s="6" t="str">
        <f>HYPERLINK("http://www.worldcat.org/oclc/3891189","WorldCat Record")</f>
        <v>WorldCat Record</v>
      </c>
      <c r="AX4273" s="3" t="s">
        <v>36920</v>
      </c>
      <c r="AY4273" s="3" t="s">
        <v>36921</v>
      </c>
      <c r="AZ4273" s="3" t="s">
        <v>36922</v>
      </c>
      <c r="BA4273" s="3" t="s">
        <v>36922</v>
      </c>
      <c r="BB4273" s="3" t="s">
        <v>36923</v>
      </c>
      <c r="BC4273" s="3" t="s">
        <v>82</v>
      </c>
      <c r="BD4273" s="3" t="s">
        <v>70</v>
      </c>
      <c r="BE4273" s="3" t="s">
        <v>36924</v>
      </c>
      <c r="BF4273" s="3" t="s">
        <v>36923</v>
      </c>
      <c r="BG4273" s="3" t="s">
        <v>36925</v>
      </c>
    </row>
    <row r="4274" spans="1:59" ht="60" x14ac:dyDescent="0.25">
      <c r="A4274" s="2" t="s">
        <v>59</v>
      </c>
      <c r="B4274" s="2" t="s">
        <v>60</v>
      </c>
      <c r="C4274" s="2" t="s">
        <v>36926</v>
      </c>
      <c r="D4274" s="2" t="s">
        <v>36927</v>
      </c>
      <c r="E4274" s="2" t="s">
        <v>36928</v>
      </c>
      <c r="G4274" s="3" t="s">
        <v>63</v>
      </c>
      <c r="I4274" s="3" t="s">
        <v>63</v>
      </c>
      <c r="J4274" s="3" t="s">
        <v>63</v>
      </c>
      <c r="K4274" s="3" t="s">
        <v>64</v>
      </c>
      <c r="L4274" s="2" t="s">
        <v>36899</v>
      </c>
      <c r="M4274" s="2" t="s">
        <v>36929</v>
      </c>
      <c r="N4274" s="3" t="s">
        <v>441</v>
      </c>
      <c r="P4274" s="3" t="s">
        <v>66</v>
      </c>
      <c r="R4274" s="3" t="s">
        <v>67</v>
      </c>
      <c r="S4274" s="4">
        <v>4</v>
      </c>
      <c r="T4274" s="4">
        <v>4</v>
      </c>
      <c r="U4274" s="5" t="s">
        <v>7126</v>
      </c>
      <c r="V4274" s="5" t="s">
        <v>7126</v>
      </c>
      <c r="W4274" s="5" t="s">
        <v>69</v>
      </c>
      <c r="X4274" s="5" t="s">
        <v>69</v>
      </c>
      <c r="Y4274" s="4">
        <v>41</v>
      </c>
      <c r="Z4274" s="4">
        <v>2</v>
      </c>
      <c r="AA4274" s="4">
        <v>36</v>
      </c>
      <c r="AB4274" s="4">
        <v>1</v>
      </c>
      <c r="AC4274" s="4">
        <v>4</v>
      </c>
      <c r="AD4274" s="4">
        <v>20</v>
      </c>
      <c r="AE4274" s="4">
        <v>102</v>
      </c>
      <c r="AF4274" s="4">
        <v>0</v>
      </c>
      <c r="AG4274" s="4">
        <v>1</v>
      </c>
      <c r="AH4274" s="4">
        <v>19</v>
      </c>
      <c r="AI4274" s="4">
        <v>86</v>
      </c>
      <c r="AJ4274" s="4">
        <v>1</v>
      </c>
      <c r="AK4274" s="4">
        <v>16</v>
      </c>
      <c r="AL4274" s="4">
        <v>13</v>
      </c>
      <c r="AM4274" s="4">
        <v>52</v>
      </c>
      <c r="AN4274" s="4">
        <v>0</v>
      </c>
      <c r="AO4274" s="4">
        <v>0</v>
      </c>
      <c r="AP4274" s="4">
        <v>1</v>
      </c>
      <c r="AQ4274" s="4">
        <v>17</v>
      </c>
      <c r="AR4274" s="3" t="s">
        <v>63</v>
      </c>
      <c r="AS4274" s="3" t="s">
        <v>63</v>
      </c>
      <c r="AT4274" s="3" t="s">
        <v>63</v>
      </c>
      <c r="AV4274" s="6" t="str">
        <f>HYPERLINK("http://mcgill.on.worldcat.org/oclc/8297092","Catalog Record")</f>
        <v>Catalog Record</v>
      </c>
      <c r="AW4274" s="6" t="str">
        <f>HYPERLINK("http://www.worldcat.org/oclc/8297092","WorldCat Record")</f>
        <v>WorldCat Record</v>
      </c>
      <c r="AX4274" s="3" t="s">
        <v>36930</v>
      </c>
      <c r="AY4274" s="3" t="s">
        <v>36931</v>
      </c>
      <c r="AZ4274" s="3" t="s">
        <v>36932</v>
      </c>
      <c r="BA4274" s="3" t="s">
        <v>36932</v>
      </c>
      <c r="BB4274" s="3" t="s">
        <v>36933</v>
      </c>
      <c r="BC4274" s="3" t="s">
        <v>82</v>
      </c>
      <c r="BD4274" s="3" t="s">
        <v>70</v>
      </c>
      <c r="BF4274" s="3" t="s">
        <v>36933</v>
      </c>
      <c r="BG4274" s="3" t="s">
        <v>36934</v>
      </c>
    </row>
    <row r="4275" spans="1:59" ht="60" x14ac:dyDescent="0.25">
      <c r="A4275" s="2" t="s">
        <v>59</v>
      </c>
      <c r="B4275" s="2" t="s">
        <v>60</v>
      </c>
      <c r="C4275" s="2" t="s">
        <v>36935</v>
      </c>
      <c r="D4275" s="2" t="s">
        <v>36936</v>
      </c>
      <c r="E4275" s="2" t="s">
        <v>36937</v>
      </c>
      <c r="G4275" s="3" t="s">
        <v>63</v>
      </c>
      <c r="I4275" s="3" t="s">
        <v>63</v>
      </c>
      <c r="J4275" s="3" t="s">
        <v>62</v>
      </c>
      <c r="K4275" s="3" t="s">
        <v>64</v>
      </c>
      <c r="L4275" s="2" t="s">
        <v>36848</v>
      </c>
      <c r="M4275" s="2" t="s">
        <v>36938</v>
      </c>
      <c r="N4275" s="3" t="s">
        <v>918</v>
      </c>
      <c r="O4275" s="2" t="s">
        <v>36939</v>
      </c>
      <c r="P4275" s="3" t="s">
        <v>66</v>
      </c>
      <c r="Q4275" s="2" t="s">
        <v>36940</v>
      </c>
      <c r="R4275" s="3" t="s">
        <v>67</v>
      </c>
      <c r="S4275" s="4">
        <v>10</v>
      </c>
      <c r="T4275" s="4">
        <v>10</v>
      </c>
      <c r="U4275" s="5" t="s">
        <v>36941</v>
      </c>
      <c r="V4275" s="5" t="s">
        <v>36941</v>
      </c>
      <c r="W4275" s="5" t="s">
        <v>69</v>
      </c>
      <c r="X4275" s="5" t="s">
        <v>69</v>
      </c>
      <c r="Y4275" s="4">
        <v>81</v>
      </c>
      <c r="Z4275" s="4">
        <v>2</v>
      </c>
      <c r="AA4275" s="4">
        <v>58</v>
      </c>
      <c r="AB4275" s="4">
        <v>1</v>
      </c>
      <c r="AC4275" s="4">
        <v>6</v>
      </c>
      <c r="AD4275" s="4">
        <v>24</v>
      </c>
      <c r="AE4275" s="4">
        <v>142</v>
      </c>
      <c r="AF4275" s="4">
        <v>0</v>
      </c>
      <c r="AG4275" s="4">
        <v>2</v>
      </c>
      <c r="AH4275" s="4">
        <v>23</v>
      </c>
      <c r="AI4275" s="4">
        <v>113</v>
      </c>
      <c r="AJ4275" s="4">
        <v>0</v>
      </c>
      <c r="AK4275" s="4">
        <v>25</v>
      </c>
      <c r="AL4275" s="4">
        <v>14</v>
      </c>
      <c r="AM4275" s="4">
        <v>62</v>
      </c>
      <c r="AN4275" s="4">
        <v>5</v>
      </c>
      <c r="AO4275" s="4">
        <v>5</v>
      </c>
      <c r="AP4275" s="4">
        <v>1</v>
      </c>
      <c r="AQ4275" s="4">
        <v>35</v>
      </c>
      <c r="AR4275" s="3" t="s">
        <v>63</v>
      </c>
      <c r="AS4275" s="3" t="s">
        <v>63</v>
      </c>
      <c r="AT4275" s="3" t="s">
        <v>62</v>
      </c>
      <c r="AU4275" s="6" t="str">
        <f>HYPERLINK("http://catalog.hathitrust.org/Record/102091418","HathiTrust Record")</f>
        <v>HathiTrust Record</v>
      </c>
      <c r="AV4275" s="6" t="str">
        <f>HYPERLINK("http://mcgill.on.worldcat.org/oclc/761113","Catalog Record")</f>
        <v>Catalog Record</v>
      </c>
      <c r="AW4275" s="6" t="str">
        <f>HYPERLINK("http://www.worldcat.org/oclc/761113","WorldCat Record")</f>
        <v>WorldCat Record</v>
      </c>
      <c r="AX4275" s="3" t="s">
        <v>36942</v>
      </c>
      <c r="AY4275" s="3" t="s">
        <v>36943</v>
      </c>
      <c r="AZ4275" s="3" t="s">
        <v>36944</v>
      </c>
      <c r="BA4275" s="3" t="s">
        <v>36944</v>
      </c>
      <c r="BB4275" s="3" t="s">
        <v>36945</v>
      </c>
      <c r="BC4275" s="3" t="s">
        <v>82</v>
      </c>
      <c r="BD4275" s="3" t="s">
        <v>70</v>
      </c>
      <c r="BF4275" s="3" t="s">
        <v>36945</v>
      </c>
      <c r="BG4275" s="3" t="s">
        <v>36946</v>
      </c>
    </row>
    <row r="4276" spans="1:59" ht="60" x14ac:dyDescent="0.25">
      <c r="A4276" s="2" t="s">
        <v>59</v>
      </c>
      <c r="B4276" s="2" t="s">
        <v>60</v>
      </c>
      <c r="C4276" s="2" t="s">
        <v>36947</v>
      </c>
      <c r="D4276" s="2" t="s">
        <v>36948</v>
      </c>
      <c r="E4276" s="2" t="s">
        <v>36949</v>
      </c>
      <c r="G4276" s="3" t="s">
        <v>63</v>
      </c>
      <c r="I4276" s="3" t="s">
        <v>63</v>
      </c>
      <c r="J4276" s="3" t="s">
        <v>62</v>
      </c>
      <c r="K4276" s="3" t="s">
        <v>64</v>
      </c>
      <c r="L4276" s="2" t="s">
        <v>36848</v>
      </c>
      <c r="M4276" s="2" t="s">
        <v>36950</v>
      </c>
      <c r="N4276" s="3" t="s">
        <v>731</v>
      </c>
      <c r="P4276" s="3" t="s">
        <v>66</v>
      </c>
      <c r="Q4276" s="2" t="s">
        <v>36951</v>
      </c>
      <c r="R4276" s="3" t="s">
        <v>67</v>
      </c>
      <c r="S4276" s="4">
        <v>5</v>
      </c>
      <c r="T4276" s="4">
        <v>5</v>
      </c>
      <c r="U4276" s="5" t="s">
        <v>36952</v>
      </c>
      <c r="V4276" s="5" t="s">
        <v>36952</v>
      </c>
      <c r="W4276" s="5" t="s">
        <v>69</v>
      </c>
      <c r="X4276" s="5" t="s">
        <v>69</v>
      </c>
      <c r="Y4276" s="4">
        <v>165</v>
      </c>
      <c r="Z4276" s="4">
        <v>15</v>
      </c>
      <c r="AA4276" s="4">
        <v>58</v>
      </c>
      <c r="AB4276" s="4">
        <v>1</v>
      </c>
      <c r="AC4276" s="4">
        <v>6</v>
      </c>
      <c r="AD4276" s="4">
        <v>29</v>
      </c>
      <c r="AE4276" s="4">
        <v>142</v>
      </c>
      <c r="AF4276" s="4">
        <v>0</v>
      </c>
      <c r="AG4276" s="4">
        <v>2</v>
      </c>
      <c r="AH4276" s="4">
        <v>20</v>
      </c>
      <c r="AI4276" s="4">
        <v>113</v>
      </c>
      <c r="AJ4276" s="4">
        <v>5</v>
      </c>
      <c r="AK4276" s="4">
        <v>25</v>
      </c>
      <c r="AL4276" s="4">
        <v>14</v>
      </c>
      <c r="AM4276" s="4">
        <v>62</v>
      </c>
      <c r="AN4276" s="4">
        <v>0</v>
      </c>
      <c r="AO4276" s="4">
        <v>5</v>
      </c>
      <c r="AP4276" s="4">
        <v>9</v>
      </c>
      <c r="AQ4276" s="4">
        <v>35</v>
      </c>
      <c r="AR4276" s="3" t="s">
        <v>63</v>
      </c>
      <c r="AS4276" s="3" t="s">
        <v>63</v>
      </c>
      <c r="AT4276" s="3" t="s">
        <v>62</v>
      </c>
      <c r="AU4276" s="6" t="str">
        <f>HYPERLINK("http://catalog.hathitrust.org/Record/004432257","HathiTrust Record")</f>
        <v>HathiTrust Record</v>
      </c>
      <c r="AV4276" s="6" t="str">
        <f>HYPERLINK("http://mcgill.on.worldcat.org/oclc/1487359","Catalog Record")</f>
        <v>Catalog Record</v>
      </c>
      <c r="AW4276" s="6" t="str">
        <f>HYPERLINK("http://www.worldcat.org/oclc/1487359","WorldCat Record")</f>
        <v>WorldCat Record</v>
      </c>
      <c r="AX4276" s="3" t="s">
        <v>36942</v>
      </c>
      <c r="AY4276" s="3" t="s">
        <v>36953</v>
      </c>
      <c r="AZ4276" s="3" t="s">
        <v>36954</v>
      </c>
      <c r="BA4276" s="3" t="s">
        <v>36954</v>
      </c>
      <c r="BB4276" s="3" t="s">
        <v>36955</v>
      </c>
      <c r="BC4276" s="3" t="s">
        <v>82</v>
      </c>
      <c r="BD4276" s="3" t="s">
        <v>70</v>
      </c>
      <c r="BE4276" s="3" t="s">
        <v>36956</v>
      </c>
      <c r="BF4276" s="3" t="s">
        <v>36955</v>
      </c>
      <c r="BG4276" s="3" t="s">
        <v>36957</v>
      </c>
    </row>
    <row r="4277" spans="1:59" ht="60" x14ac:dyDescent="0.25">
      <c r="A4277" s="2" t="s">
        <v>59</v>
      </c>
      <c r="B4277" s="2" t="s">
        <v>60</v>
      </c>
      <c r="C4277" s="2" t="s">
        <v>36958</v>
      </c>
      <c r="D4277" s="2" t="s">
        <v>36959</v>
      </c>
      <c r="E4277" s="2" t="s">
        <v>36960</v>
      </c>
      <c r="G4277" s="3" t="s">
        <v>63</v>
      </c>
      <c r="I4277" s="3" t="s">
        <v>63</v>
      </c>
      <c r="J4277" s="3" t="s">
        <v>62</v>
      </c>
      <c r="K4277" s="3" t="s">
        <v>64</v>
      </c>
      <c r="L4277" s="2" t="s">
        <v>36848</v>
      </c>
      <c r="M4277" s="2" t="s">
        <v>36961</v>
      </c>
      <c r="N4277" s="3" t="s">
        <v>668</v>
      </c>
      <c r="P4277" s="3" t="s">
        <v>66</v>
      </c>
      <c r="R4277" s="3" t="s">
        <v>67</v>
      </c>
      <c r="S4277" s="4">
        <v>13</v>
      </c>
      <c r="T4277" s="4">
        <v>13</v>
      </c>
      <c r="U4277" s="5" t="s">
        <v>36962</v>
      </c>
      <c r="V4277" s="5" t="s">
        <v>36962</v>
      </c>
      <c r="W4277" s="5" t="s">
        <v>69</v>
      </c>
      <c r="X4277" s="5" t="s">
        <v>69</v>
      </c>
      <c r="Y4277" s="4">
        <v>321</v>
      </c>
      <c r="Z4277" s="4">
        <v>12</v>
      </c>
      <c r="AA4277" s="4">
        <v>58</v>
      </c>
      <c r="AB4277" s="4">
        <v>3</v>
      </c>
      <c r="AC4277" s="4">
        <v>6</v>
      </c>
      <c r="AD4277" s="4">
        <v>58</v>
      </c>
      <c r="AE4277" s="4">
        <v>142</v>
      </c>
      <c r="AF4277" s="4">
        <v>1</v>
      </c>
      <c r="AG4277" s="4">
        <v>2</v>
      </c>
      <c r="AH4277" s="4">
        <v>51</v>
      </c>
      <c r="AI4277" s="4">
        <v>113</v>
      </c>
      <c r="AJ4277" s="4">
        <v>6</v>
      </c>
      <c r="AK4277" s="4">
        <v>25</v>
      </c>
      <c r="AL4277" s="4">
        <v>32</v>
      </c>
      <c r="AM4277" s="4">
        <v>62</v>
      </c>
      <c r="AN4277" s="4">
        <v>0</v>
      </c>
      <c r="AO4277" s="4">
        <v>5</v>
      </c>
      <c r="AP4277" s="4">
        <v>8</v>
      </c>
      <c r="AQ4277" s="4">
        <v>35</v>
      </c>
      <c r="AR4277" s="3" t="s">
        <v>63</v>
      </c>
      <c r="AS4277" s="3" t="s">
        <v>63</v>
      </c>
      <c r="AT4277" s="3" t="s">
        <v>62</v>
      </c>
      <c r="AU4277" s="6" t="str">
        <f>HYPERLINK("http://catalog.hathitrust.org/Record/002053560","HathiTrust Record")</f>
        <v>HathiTrust Record</v>
      </c>
      <c r="AV4277" s="6" t="str">
        <f>HYPERLINK("http://mcgill.on.worldcat.org/oclc/20631270","Catalog Record")</f>
        <v>Catalog Record</v>
      </c>
      <c r="AW4277" s="6" t="str">
        <f>HYPERLINK("http://www.worldcat.org/oclc/20631270","WorldCat Record")</f>
        <v>WorldCat Record</v>
      </c>
      <c r="AX4277" s="3" t="s">
        <v>36942</v>
      </c>
      <c r="AY4277" s="3" t="s">
        <v>36963</v>
      </c>
      <c r="AZ4277" s="3" t="s">
        <v>36964</v>
      </c>
      <c r="BA4277" s="3" t="s">
        <v>36964</v>
      </c>
      <c r="BB4277" s="3" t="s">
        <v>36965</v>
      </c>
      <c r="BC4277" s="3" t="s">
        <v>82</v>
      </c>
      <c r="BD4277" s="3" t="s">
        <v>70</v>
      </c>
      <c r="BE4277" s="3" t="s">
        <v>36966</v>
      </c>
      <c r="BF4277" s="3" t="s">
        <v>36965</v>
      </c>
      <c r="BG4277" s="3" t="s">
        <v>36967</v>
      </c>
    </row>
    <row r="4278" spans="1:59" ht="60" x14ac:dyDescent="0.25">
      <c r="A4278" s="2" t="s">
        <v>59</v>
      </c>
      <c r="B4278" s="2" t="s">
        <v>60</v>
      </c>
      <c r="C4278" s="2" t="s">
        <v>36968</v>
      </c>
      <c r="D4278" s="2" t="s">
        <v>36969</v>
      </c>
      <c r="E4278" s="2" t="s">
        <v>36970</v>
      </c>
      <c r="G4278" s="3" t="s">
        <v>63</v>
      </c>
      <c r="I4278" s="3" t="s">
        <v>63</v>
      </c>
      <c r="J4278" s="3" t="s">
        <v>63</v>
      </c>
      <c r="K4278" s="3" t="s">
        <v>64</v>
      </c>
      <c r="L4278" s="2" t="s">
        <v>36848</v>
      </c>
      <c r="M4278" s="2" t="s">
        <v>36971</v>
      </c>
      <c r="N4278" s="3" t="s">
        <v>731</v>
      </c>
      <c r="O4278" s="2" t="s">
        <v>36757</v>
      </c>
      <c r="P4278" s="3" t="s">
        <v>36758</v>
      </c>
      <c r="Q4278" s="2" t="s">
        <v>36972</v>
      </c>
      <c r="R4278" s="3" t="s">
        <v>67</v>
      </c>
      <c r="S4278" s="4">
        <v>2</v>
      </c>
      <c r="T4278" s="4">
        <v>2</v>
      </c>
      <c r="U4278" s="5" t="s">
        <v>28965</v>
      </c>
      <c r="V4278" s="5" t="s">
        <v>28965</v>
      </c>
      <c r="W4278" s="5" t="s">
        <v>69</v>
      </c>
      <c r="X4278" s="5" t="s">
        <v>69</v>
      </c>
      <c r="Y4278" s="4">
        <v>63</v>
      </c>
      <c r="Z4278" s="4">
        <v>3</v>
      </c>
      <c r="AA4278" s="4">
        <v>3</v>
      </c>
      <c r="AB4278" s="4">
        <v>1</v>
      </c>
      <c r="AC4278" s="4">
        <v>1</v>
      </c>
      <c r="AD4278" s="4">
        <v>28</v>
      </c>
      <c r="AE4278" s="4">
        <v>29</v>
      </c>
      <c r="AF4278" s="4">
        <v>0</v>
      </c>
      <c r="AG4278" s="4">
        <v>0</v>
      </c>
      <c r="AH4278" s="4">
        <v>26</v>
      </c>
      <c r="AI4278" s="4">
        <v>27</v>
      </c>
      <c r="AJ4278" s="4">
        <v>2</v>
      </c>
      <c r="AK4278" s="4">
        <v>2</v>
      </c>
      <c r="AL4278" s="4">
        <v>21</v>
      </c>
      <c r="AM4278" s="4">
        <v>22</v>
      </c>
      <c r="AN4278" s="4">
        <v>0</v>
      </c>
      <c r="AO4278" s="4">
        <v>0</v>
      </c>
      <c r="AP4278" s="4">
        <v>2</v>
      </c>
      <c r="AQ4278" s="4">
        <v>2</v>
      </c>
      <c r="AR4278" s="3" t="s">
        <v>63</v>
      </c>
      <c r="AS4278" s="3" t="s">
        <v>63</v>
      </c>
      <c r="AT4278" s="3" t="s">
        <v>62</v>
      </c>
      <c r="AU4278" s="6" t="str">
        <f>HYPERLINK("http://catalog.hathitrust.org/Record/001397541","HathiTrust Record")</f>
        <v>HathiTrust Record</v>
      </c>
      <c r="AV4278" s="6" t="str">
        <f>HYPERLINK("http://mcgill.on.worldcat.org/oclc/2620782","Catalog Record")</f>
        <v>Catalog Record</v>
      </c>
      <c r="AW4278" s="6" t="str">
        <f>HYPERLINK("http://www.worldcat.org/oclc/2620782","WorldCat Record")</f>
        <v>WorldCat Record</v>
      </c>
      <c r="AX4278" s="3" t="s">
        <v>36973</v>
      </c>
      <c r="AY4278" s="3" t="s">
        <v>36974</v>
      </c>
      <c r="AZ4278" s="3" t="s">
        <v>36975</v>
      </c>
      <c r="BA4278" s="3" t="s">
        <v>36975</v>
      </c>
      <c r="BB4278" s="3" t="s">
        <v>36976</v>
      </c>
      <c r="BC4278" s="3" t="s">
        <v>82</v>
      </c>
      <c r="BD4278" s="3" t="s">
        <v>70</v>
      </c>
      <c r="BF4278" s="3" t="s">
        <v>36976</v>
      </c>
      <c r="BG4278" s="3" t="s">
        <v>36977</v>
      </c>
    </row>
    <row r="4279" spans="1:59" ht="60" x14ac:dyDescent="0.25">
      <c r="A4279" s="2" t="s">
        <v>59</v>
      </c>
      <c r="B4279" s="2" t="s">
        <v>60</v>
      </c>
      <c r="C4279" s="2" t="s">
        <v>36978</v>
      </c>
      <c r="D4279" s="2" t="s">
        <v>36979</v>
      </c>
      <c r="E4279" s="2" t="s">
        <v>36980</v>
      </c>
      <c r="G4279" s="3" t="s">
        <v>63</v>
      </c>
      <c r="I4279" s="3" t="s">
        <v>63</v>
      </c>
      <c r="J4279" s="3" t="s">
        <v>63</v>
      </c>
      <c r="K4279" s="3" t="s">
        <v>64</v>
      </c>
      <c r="L4279" s="2" t="s">
        <v>36981</v>
      </c>
      <c r="M4279" s="2" t="s">
        <v>36982</v>
      </c>
      <c r="N4279" s="3" t="s">
        <v>1046</v>
      </c>
      <c r="P4279" s="3" t="s">
        <v>66</v>
      </c>
      <c r="Q4279" s="2" t="s">
        <v>2705</v>
      </c>
      <c r="R4279" s="3" t="s">
        <v>67</v>
      </c>
      <c r="S4279" s="4">
        <v>8</v>
      </c>
      <c r="T4279" s="4">
        <v>8</v>
      </c>
      <c r="U4279" s="5" t="s">
        <v>36983</v>
      </c>
      <c r="V4279" s="5" t="s">
        <v>36983</v>
      </c>
      <c r="W4279" s="5" t="s">
        <v>69</v>
      </c>
      <c r="X4279" s="5" t="s">
        <v>69</v>
      </c>
      <c r="Y4279" s="4">
        <v>530</v>
      </c>
      <c r="Z4279" s="4">
        <v>24</v>
      </c>
      <c r="AA4279" s="4">
        <v>25</v>
      </c>
      <c r="AB4279" s="4">
        <v>1</v>
      </c>
      <c r="AC4279" s="4">
        <v>2</v>
      </c>
      <c r="AD4279" s="4">
        <v>104</v>
      </c>
      <c r="AE4279" s="4">
        <v>106</v>
      </c>
      <c r="AF4279" s="4">
        <v>0</v>
      </c>
      <c r="AG4279" s="4">
        <v>1</v>
      </c>
      <c r="AH4279" s="4">
        <v>90</v>
      </c>
      <c r="AI4279" s="4">
        <v>91</v>
      </c>
      <c r="AJ4279" s="4">
        <v>15</v>
      </c>
      <c r="AK4279" s="4">
        <v>16</v>
      </c>
      <c r="AL4279" s="4">
        <v>54</v>
      </c>
      <c r="AM4279" s="4">
        <v>54</v>
      </c>
      <c r="AN4279" s="4">
        <v>0</v>
      </c>
      <c r="AO4279" s="4">
        <v>0</v>
      </c>
      <c r="AP4279" s="4">
        <v>18</v>
      </c>
      <c r="AQ4279" s="4">
        <v>19</v>
      </c>
      <c r="AR4279" s="3" t="s">
        <v>63</v>
      </c>
      <c r="AS4279" s="3" t="s">
        <v>62</v>
      </c>
      <c r="AT4279" s="3" t="s">
        <v>63</v>
      </c>
      <c r="AU4279" s="6" t="str">
        <f>HYPERLINK("http://catalog.hathitrust.org/Record/000980975","HathiTrust Record")</f>
        <v>HathiTrust Record</v>
      </c>
      <c r="AV4279" s="6" t="str">
        <f>HYPERLINK("http://mcgill.on.worldcat.org/oclc/1021177","Catalog Record")</f>
        <v>Catalog Record</v>
      </c>
      <c r="AW4279" s="6" t="str">
        <f>HYPERLINK("http://www.worldcat.org/oclc/1021177","WorldCat Record")</f>
        <v>WorldCat Record</v>
      </c>
      <c r="AX4279" s="3" t="s">
        <v>36984</v>
      </c>
      <c r="AY4279" s="3" t="s">
        <v>36985</v>
      </c>
      <c r="AZ4279" s="3" t="s">
        <v>36986</v>
      </c>
      <c r="BA4279" s="3" t="s">
        <v>36986</v>
      </c>
      <c r="BB4279" s="3" t="s">
        <v>36987</v>
      </c>
      <c r="BC4279" s="3" t="s">
        <v>82</v>
      </c>
      <c r="BD4279" s="3" t="s">
        <v>70</v>
      </c>
      <c r="BF4279" s="3" t="s">
        <v>36987</v>
      </c>
      <c r="BG4279" s="3" t="s">
        <v>36988</v>
      </c>
    </row>
    <row r="4280" spans="1:59" ht="75" x14ac:dyDescent="0.25">
      <c r="A4280" s="2" t="s">
        <v>59</v>
      </c>
      <c r="B4280" s="2" t="s">
        <v>60</v>
      </c>
      <c r="C4280" s="2" t="s">
        <v>36989</v>
      </c>
      <c r="D4280" s="2" t="s">
        <v>36990</v>
      </c>
      <c r="E4280" s="2" t="s">
        <v>36991</v>
      </c>
      <c r="G4280" s="3" t="s">
        <v>63</v>
      </c>
      <c r="I4280" s="3" t="s">
        <v>63</v>
      </c>
      <c r="J4280" s="3" t="s">
        <v>63</v>
      </c>
      <c r="K4280" s="3" t="s">
        <v>64</v>
      </c>
      <c r="L4280" s="2" t="s">
        <v>36992</v>
      </c>
      <c r="M4280" s="2" t="s">
        <v>36849</v>
      </c>
      <c r="N4280" s="3" t="s">
        <v>2103</v>
      </c>
      <c r="O4280" s="2" t="s">
        <v>36850</v>
      </c>
      <c r="P4280" s="3" t="s">
        <v>66</v>
      </c>
      <c r="R4280" s="3" t="s">
        <v>67</v>
      </c>
      <c r="S4280" s="4">
        <v>2</v>
      </c>
      <c r="T4280" s="4">
        <v>2</v>
      </c>
      <c r="U4280" s="5" t="s">
        <v>36983</v>
      </c>
      <c r="V4280" s="5" t="s">
        <v>36983</v>
      </c>
      <c r="W4280" s="5" t="s">
        <v>69</v>
      </c>
      <c r="X4280" s="5" t="s">
        <v>69</v>
      </c>
      <c r="Y4280" s="4">
        <v>458</v>
      </c>
      <c r="Z4280" s="4">
        <v>21</v>
      </c>
      <c r="AA4280" s="4">
        <v>22</v>
      </c>
      <c r="AB4280" s="4">
        <v>2</v>
      </c>
      <c r="AC4280" s="4">
        <v>2</v>
      </c>
      <c r="AD4280" s="4">
        <v>90</v>
      </c>
      <c r="AE4280" s="4">
        <v>92</v>
      </c>
      <c r="AF4280" s="4">
        <v>0</v>
      </c>
      <c r="AG4280" s="4">
        <v>0</v>
      </c>
      <c r="AH4280" s="4">
        <v>84</v>
      </c>
      <c r="AI4280" s="4">
        <v>85</v>
      </c>
      <c r="AJ4280" s="4">
        <v>9</v>
      </c>
      <c r="AK4280" s="4">
        <v>10</v>
      </c>
      <c r="AL4280" s="4">
        <v>48</v>
      </c>
      <c r="AM4280" s="4">
        <v>48</v>
      </c>
      <c r="AN4280" s="4">
        <v>0</v>
      </c>
      <c r="AO4280" s="4">
        <v>0</v>
      </c>
      <c r="AP4280" s="4">
        <v>10</v>
      </c>
      <c r="AQ4280" s="4">
        <v>10</v>
      </c>
      <c r="AR4280" s="3" t="s">
        <v>63</v>
      </c>
      <c r="AS4280" s="3" t="s">
        <v>63</v>
      </c>
      <c r="AT4280" s="3" t="s">
        <v>62</v>
      </c>
      <c r="AU4280" s="6" t="str">
        <f>HYPERLINK("http://catalog.hathitrust.org/Record/004250391","HathiTrust Record")</f>
        <v>HathiTrust Record</v>
      </c>
      <c r="AV4280" s="6" t="str">
        <f>HYPERLINK("http://mcgill.on.worldcat.org/oclc/48920194","Catalog Record")</f>
        <v>Catalog Record</v>
      </c>
      <c r="AW4280" s="6" t="str">
        <f>HYPERLINK("http://www.worldcat.org/oclc/48920194","WorldCat Record")</f>
        <v>WorldCat Record</v>
      </c>
      <c r="AX4280" s="3" t="s">
        <v>36993</v>
      </c>
      <c r="AY4280" s="3" t="s">
        <v>36994</v>
      </c>
      <c r="AZ4280" s="3" t="s">
        <v>36995</v>
      </c>
      <c r="BA4280" s="3" t="s">
        <v>36995</v>
      </c>
      <c r="BB4280" s="3" t="s">
        <v>36996</v>
      </c>
      <c r="BC4280" s="3" t="s">
        <v>82</v>
      </c>
      <c r="BD4280" s="3" t="s">
        <v>70</v>
      </c>
      <c r="BE4280" s="3" t="s">
        <v>36997</v>
      </c>
      <c r="BF4280" s="3" t="s">
        <v>36996</v>
      </c>
      <c r="BG4280" s="3" t="s">
        <v>36998</v>
      </c>
    </row>
    <row r="4281" spans="1:59" ht="60" x14ac:dyDescent="0.25">
      <c r="A4281" s="2" t="s">
        <v>59</v>
      </c>
      <c r="B4281" s="2" t="s">
        <v>60</v>
      </c>
      <c r="C4281" s="2" t="s">
        <v>36999</v>
      </c>
      <c r="D4281" s="2" t="s">
        <v>37000</v>
      </c>
      <c r="E4281" s="2" t="s">
        <v>37001</v>
      </c>
      <c r="G4281" s="3" t="s">
        <v>63</v>
      </c>
      <c r="I4281" s="3" t="s">
        <v>63</v>
      </c>
      <c r="J4281" s="3" t="s">
        <v>63</v>
      </c>
      <c r="K4281" s="3" t="s">
        <v>64</v>
      </c>
      <c r="L4281" s="2" t="s">
        <v>37002</v>
      </c>
      <c r="M4281" s="2" t="s">
        <v>37003</v>
      </c>
      <c r="N4281" s="3" t="s">
        <v>1432</v>
      </c>
      <c r="P4281" s="3" t="s">
        <v>36758</v>
      </c>
      <c r="Q4281" s="2" t="s">
        <v>37004</v>
      </c>
      <c r="R4281" s="3" t="s">
        <v>67</v>
      </c>
      <c r="S4281" s="4">
        <v>1</v>
      </c>
      <c r="T4281" s="4">
        <v>1</v>
      </c>
      <c r="U4281" s="5" t="s">
        <v>5995</v>
      </c>
      <c r="V4281" s="5" t="s">
        <v>5995</v>
      </c>
      <c r="W4281" s="5" t="s">
        <v>69</v>
      </c>
      <c r="X4281" s="5" t="s">
        <v>69</v>
      </c>
      <c r="Y4281" s="4">
        <v>7</v>
      </c>
      <c r="Z4281" s="4">
        <v>1</v>
      </c>
      <c r="AA4281" s="4">
        <v>3</v>
      </c>
      <c r="AB4281" s="4">
        <v>1</v>
      </c>
      <c r="AC4281" s="4">
        <v>1</v>
      </c>
      <c r="AD4281" s="4">
        <v>3</v>
      </c>
      <c r="AE4281" s="4">
        <v>5</v>
      </c>
      <c r="AF4281" s="4">
        <v>0</v>
      </c>
      <c r="AG4281" s="4">
        <v>0</v>
      </c>
      <c r="AH4281" s="4">
        <v>3</v>
      </c>
      <c r="AI4281" s="4">
        <v>5</v>
      </c>
      <c r="AJ4281" s="4">
        <v>0</v>
      </c>
      <c r="AK4281" s="4">
        <v>1</v>
      </c>
      <c r="AL4281" s="4">
        <v>3</v>
      </c>
      <c r="AM4281" s="4">
        <v>5</v>
      </c>
      <c r="AN4281" s="4">
        <v>0</v>
      </c>
      <c r="AO4281" s="4">
        <v>0</v>
      </c>
      <c r="AP4281" s="4">
        <v>0</v>
      </c>
      <c r="AQ4281" s="4">
        <v>1</v>
      </c>
      <c r="AR4281" s="3" t="s">
        <v>63</v>
      </c>
      <c r="AS4281" s="3" t="s">
        <v>63</v>
      </c>
      <c r="AT4281" s="3" t="s">
        <v>62</v>
      </c>
      <c r="AU4281" s="6" t="str">
        <f>HYPERLINK("http://catalog.hathitrust.org/Record/008561690","HathiTrust Record")</f>
        <v>HathiTrust Record</v>
      </c>
      <c r="AV4281" s="6" t="str">
        <f>HYPERLINK("http://mcgill.on.worldcat.org/oclc/19541788","Catalog Record")</f>
        <v>Catalog Record</v>
      </c>
      <c r="AW4281" s="6" t="str">
        <f>HYPERLINK("http://www.worldcat.org/oclc/19541788","WorldCat Record")</f>
        <v>WorldCat Record</v>
      </c>
      <c r="AX4281" s="3" t="s">
        <v>37005</v>
      </c>
      <c r="AY4281" s="3" t="s">
        <v>37006</v>
      </c>
      <c r="AZ4281" s="3" t="s">
        <v>37007</v>
      </c>
      <c r="BA4281" s="3" t="s">
        <v>37007</v>
      </c>
      <c r="BB4281" s="3" t="s">
        <v>37008</v>
      </c>
      <c r="BC4281" s="3" t="s">
        <v>82</v>
      </c>
      <c r="BD4281" s="3" t="s">
        <v>70</v>
      </c>
      <c r="BF4281" s="3" t="s">
        <v>37008</v>
      </c>
      <c r="BG4281" s="3" t="s">
        <v>37009</v>
      </c>
    </row>
    <row r="4282" spans="1:59" ht="60" x14ac:dyDescent="0.25">
      <c r="A4282" s="2" t="s">
        <v>59</v>
      </c>
      <c r="B4282" s="2" t="s">
        <v>60</v>
      </c>
      <c r="C4282" s="2" t="s">
        <v>37010</v>
      </c>
      <c r="D4282" s="2" t="s">
        <v>37011</v>
      </c>
      <c r="E4282" s="2" t="s">
        <v>37012</v>
      </c>
      <c r="G4282" s="3" t="s">
        <v>63</v>
      </c>
      <c r="I4282" s="3" t="s">
        <v>63</v>
      </c>
      <c r="J4282" s="3" t="s">
        <v>63</v>
      </c>
      <c r="K4282" s="3" t="s">
        <v>64</v>
      </c>
      <c r="L4282" s="2" t="s">
        <v>37013</v>
      </c>
      <c r="M4282" s="2" t="s">
        <v>37014</v>
      </c>
      <c r="N4282" s="3" t="s">
        <v>668</v>
      </c>
      <c r="O4282" s="2" t="s">
        <v>37015</v>
      </c>
      <c r="P4282" s="3" t="s">
        <v>36758</v>
      </c>
      <c r="R4282" s="3" t="s">
        <v>67</v>
      </c>
      <c r="S4282" s="4">
        <v>1</v>
      </c>
      <c r="T4282" s="4">
        <v>1</v>
      </c>
      <c r="U4282" s="5" t="s">
        <v>1099</v>
      </c>
      <c r="V4282" s="5" t="s">
        <v>1099</v>
      </c>
      <c r="W4282" s="5" t="s">
        <v>69</v>
      </c>
      <c r="X4282" s="5" t="s">
        <v>69</v>
      </c>
      <c r="Y4282" s="4">
        <v>28</v>
      </c>
      <c r="Z4282" s="4">
        <v>4</v>
      </c>
      <c r="AA4282" s="4">
        <v>4</v>
      </c>
      <c r="AB4282" s="4">
        <v>1</v>
      </c>
      <c r="AC4282" s="4">
        <v>1</v>
      </c>
      <c r="AD4282" s="4">
        <v>13</v>
      </c>
      <c r="AE4282" s="4">
        <v>15</v>
      </c>
      <c r="AF4282" s="4">
        <v>0</v>
      </c>
      <c r="AG4282" s="4">
        <v>0</v>
      </c>
      <c r="AH4282" s="4">
        <v>12</v>
      </c>
      <c r="AI4282" s="4">
        <v>14</v>
      </c>
      <c r="AJ4282" s="4">
        <v>1</v>
      </c>
      <c r="AK4282" s="4">
        <v>1</v>
      </c>
      <c r="AL4282" s="4">
        <v>11</v>
      </c>
      <c r="AM4282" s="4">
        <v>13</v>
      </c>
      <c r="AN4282" s="4">
        <v>0</v>
      </c>
      <c r="AO4282" s="4">
        <v>0</v>
      </c>
      <c r="AP4282" s="4">
        <v>1</v>
      </c>
      <c r="AQ4282" s="4">
        <v>1</v>
      </c>
      <c r="AR4282" s="3" t="s">
        <v>63</v>
      </c>
      <c r="AS4282" s="3" t="s">
        <v>63</v>
      </c>
      <c r="AT4282" s="3" t="s">
        <v>62</v>
      </c>
      <c r="AU4282" s="6" t="str">
        <f>HYPERLINK("http://catalog.hathitrust.org/Record/003155474","HathiTrust Record")</f>
        <v>HathiTrust Record</v>
      </c>
      <c r="AV4282" s="6" t="str">
        <f>HYPERLINK("http://mcgill.on.worldcat.org/oclc/23159285","Catalog Record")</f>
        <v>Catalog Record</v>
      </c>
      <c r="AW4282" s="6" t="str">
        <f>HYPERLINK("http://www.worldcat.org/oclc/23159285","WorldCat Record")</f>
        <v>WorldCat Record</v>
      </c>
      <c r="AX4282" s="3" t="s">
        <v>37016</v>
      </c>
      <c r="AY4282" s="3" t="s">
        <v>37017</v>
      </c>
      <c r="AZ4282" s="3" t="s">
        <v>37018</v>
      </c>
      <c r="BA4282" s="3" t="s">
        <v>37018</v>
      </c>
      <c r="BB4282" s="3" t="s">
        <v>37019</v>
      </c>
      <c r="BC4282" s="3" t="s">
        <v>82</v>
      </c>
      <c r="BD4282" s="3" t="s">
        <v>70</v>
      </c>
      <c r="BE4282" s="3" t="s">
        <v>37020</v>
      </c>
      <c r="BF4282" s="3" t="s">
        <v>37019</v>
      </c>
      <c r="BG4282" s="3" t="s">
        <v>37021</v>
      </c>
    </row>
    <row r="4283" spans="1:59" ht="60" x14ac:dyDescent="0.25">
      <c r="A4283" s="2" t="s">
        <v>59</v>
      </c>
      <c r="B4283" s="2" t="s">
        <v>60</v>
      </c>
      <c r="C4283" s="2" t="s">
        <v>37022</v>
      </c>
      <c r="D4283" s="2" t="s">
        <v>37023</v>
      </c>
      <c r="E4283" s="2" t="s">
        <v>37024</v>
      </c>
      <c r="G4283" s="3" t="s">
        <v>63</v>
      </c>
      <c r="I4283" s="3" t="s">
        <v>63</v>
      </c>
      <c r="J4283" s="3" t="s">
        <v>63</v>
      </c>
      <c r="K4283" s="3" t="s">
        <v>64</v>
      </c>
      <c r="L4283" s="2" t="s">
        <v>37025</v>
      </c>
      <c r="M4283" s="2" t="s">
        <v>37026</v>
      </c>
      <c r="N4283" s="3" t="s">
        <v>3640</v>
      </c>
      <c r="P4283" s="3" t="s">
        <v>66</v>
      </c>
      <c r="R4283" s="3" t="s">
        <v>67</v>
      </c>
      <c r="S4283" s="4">
        <v>2</v>
      </c>
      <c r="T4283" s="4">
        <v>2</v>
      </c>
      <c r="U4283" s="5" t="s">
        <v>4050</v>
      </c>
      <c r="V4283" s="5" t="s">
        <v>4050</v>
      </c>
      <c r="W4283" s="5" t="s">
        <v>69</v>
      </c>
      <c r="X4283" s="5" t="s">
        <v>69</v>
      </c>
      <c r="Y4283" s="4">
        <v>29</v>
      </c>
      <c r="Z4283" s="4">
        <v>2</v>
      </c>
      <c r="AA4283" s="4">
        <v>2</v>
      </c>
      <c r="AB4283" s="4">
        <v>1</v>
      </c>
      <c r="AC4283" s="4">
        <v>1</v>
      </c>
      <c r="AD4283" s="4">
        <v>15</v>
      </c>
      <c r="AE4283" s="4">
        <v>15</v>
      </c>
      <c r="AF4283" s="4">
        <v>0</v>
      </c>
      <c r="AG4283" s="4">
        <v>0</v>
      </c>
      <c r="AH4283" s="4">
        <v>15</v>
      </c>
      <c r="AI4283" s="4">
        <v>15</v>
      </c>
      <c r="AJ4283" s="4">
        <v>1</v>
      </c>
      <c r="AK4283" s="4">
        <v>1</v>
      </c>
      <c r="AL4283" s="4">
        <v>12</v>
      </c>
      <c r="AM4283" s="4">
        <v>12</v>
      </c>
      <c r="AN4283" s="4">
        <v>0</v>
      </c>
      <c r="AO4283" s="4">
        <v>0</v>
      </c>
      <c r="AP4283" s="4">
        <v>1</v>
      </c>
      <c r="AQ4283" s="4">
        <v>1</v>
      </c>
      <c r="AR4283" s="3" t="s">
        <v>63</v>
      </c>
      <c r="AS4283" s="3" t="s">
        <v>63</v>
      </c>
      <c r="AT4283" s="3" t="s">
        <v>62</v>
      </c>
      <c r="AU4283" s="6" t="str">
        <f>HYPERLINK("http://catalog.hathitrust.org/Record/007020697","HathiTrust Record")</f>
        <v>HathiTrust Record</v>
      </c>
      <c r="AV4283" s="6" t="str">
        <f>HYPERLINK("http://mcgill.on.worldcat.org/oclc/11664675","Catalog Record")</f>
        <v>Catalog Record</v>
      </c>
      <c r="AW4283" s="6" t="str">
        <f>HYPERLINK("http://www.worldcat.org/oclc/11664675","WorldCat Record")</f>
        <v>WorldCat Record</v>
      </c>
      <c r="AX4283" s="3" t="s">
        <v>37027</v>
      </c>
      <c r="AY4283" s="3" t="s">
        <v>37028</v>
      </c>
      <c r="AZ4283" s="3" t="s">
        <v>37029</v>
      </c>
      <c r="BA4283" s="3" t="s">
        <v>37029</v>
      </c>
      <c r="BB4283" s="3" t="s">
        <v>37030</v>
      </c>
      <c r="BC4283" s="3" t="s">
        <v>82</v>
      </c>
      <c r="BD4283" s="3" t="s">
        <v>70</v>
      </c>
      <c r="BF4283" s="3" t="s">
        <v>37030</v>
      </c>
      <c r="BG4283" s="3" t="s">
        <v>37031</v>
      </c>
    </row>
    <row r="4284" spans="1:59" ht="90" x14ac:dyDescent="0.25">
      <c r="A4284" s="2" t="s">
        <v>59</v>
      </c>
      <c r="B4284" s="2" t="s">
        <v>60</v>
      </c>
      <c r="C4284" s="2" t="s">
        <v>37032</v>
      </c>
      <c r="D4284" s="2" t="s">
        <v>37033</v>
      </c>
      <c r="E4284" s="2" t="s">
        <v>37034</v>
      </c>
      <c r="G4284" s="3" t="s">
        <v>63</v>
      </c>
      <c r="I4284" s="3" t="s">
        <v>63</v>
      </c>
      <c r="J4284" s="3" t="s">
        <v>62</v>
      </c>
      <c r="K4284" s="3" t="s">
        <v>64</v>
      </c>
      <c r="L4284" s="2" t="s">
        <v>37035</v>
      </c>
      <c r="M4284" s="2" t="s">
        <v>37036</v>
      </c>
      <c r="N4284" s="3" t="s">
        <v>2535</v>
      </c>
      <c r="P4284" s="3" t="s">
        <v>66</v>
      </c>
      <c r="R4284" s="3" t="s">
        <v>67</v>
      </c>
      <c r="S4284" s="4">
        <v>55</v>
      </c>
      <c r="T4284" s="4">
        <v>55</v>
      </c>
      <c r="U4284" s="5" t="s">
        <v>37037</v>
      </c>
      <c r="V4284" s="5" t="s">
        <v>37037</v>
      </c>
      <c r="W4284" s="5" t="s">
        <v>69</v>
      </c>
      <c r="X4284" s="5" t="s">
        <v>69</v>
      </c>
      <c r="Y4284" s="4">
        <v>225</v>
      </c>
      <c r="Z4284" s="4">
        <v>23</v>
      </c>
      <c r="AA4284" s="4">
        <v>83</v>
      </c>
      <c r="AB4284" s="4">
        <v>2</v>
      </c>
      <c r="AC4284" s="4">
        <v>6</v>
      </c>
      <c r="AD4284" s="4">
        <v>49</v>
      </c>
      <c r="AE4284" s="4">
        <v>150</v>
      </c>
      <c r="AF4284" s="4">
        <v>0</v>
      </c>
      <c r="AG4284" s="4">
        <v>2</v>
      </c>
      <c r="AH4284" s="4">
        <v>41</v>
      </c>
      <c r="AI4284" s="4">
        <v>111</v>
      </c>
      <c r="AJ4284" s="4">
        <v>10</v>
      </c>
      <c r="AK4284" s="4">
        <v>23</v>
      </c>
      <c r="AL4284" s="4">
        <v>22</v>
      </c>
      <c r="AM4284" s="4">
        <v>61</v>
      </c>
      <c r="AN4284" s="4">
        <v>0</v>
      </c>
      <c r="AO4284" s="4">
        <v>5</v>
      </c>
      <c r="AP4284" s="4">
        <v>13</v>
      </c>
      <c r="AQ4284" s="4">
        <v>44</v>
      </c>
      <c r="AR4284" s="3" t="s">
        <v>63</v>
      </c>
      <c r="AS4284" s="3" t="s">
        <v>63</v>
      </c>
      <c r="AT4284" s="3" t="s">
        <v>63</v>
      </c>
      <c r="AV4284" s="6" t="str">
        <f>HYPERLINK("http://mcgill.on.worldcat.org/oclc/837611","Catalog Record")</f>
        <v>Catalog Record</v>
      </c>
      <c r="AW4284" s="6" t="str">
        <f>HYPERLINK("http://www.worldcat.org/oclc/837611","WorldCat Record")</f>
        <v>WorldCat Record</v>
      </c>
      <c r="AX4284" s="3" t="s">
        <v>37038</v>
      </c>
      <c r="AY4284" s="3" t="s">
        <v>37039</v>
      </c>
      <c r="AZ4284" s="3" t="s">
        <v>37040</v>
      </c>
      <c r="BA4284" s="3" t="s">
        <v>37040</v>
      </c>
      <c r="BB4284" s="3" t="s">
        <v>37041</v>
      </c>
      <c r="BC4284" s="3" t="s">
        <v>82</v>
      </c>
      <c r="BD4284" s="3" t="s">
        <v>70</v>
      </c>
      <c r="BE4284" s="3" t="s">
        <v>37042</v>
      </c>
      <c r="BF4284" s="3" t="s">
        <v>37041</v>
      </c>
      <c r="BG4284" s="3" t="s">
        <v>37043</v>
      </c>
    </row>
    <row r="4285" spans="1:59" ht="60" x14ac:dyDescent="0.25">
      <c r="A4285" s="2" t="s">
        <v>59</v>
      </c>
      <c r="B4285" s="2" t="s">
        <v>60</v>
      </c>
      <c r="C4285" s="2" t="s">
        <v>37044</v>
      </c>
      <c r="D4285" s="2" t="s">
        <v>37045</v>
      </c>
      <c r="E4285" s="2" t="s">
        <v>37046</v>
      </c>
      <c r="G4285" s="3" t="s">
        <v>63</v>
      </c>
      <c r="I4285" s="3" t="s">
        <v>63</v>
      </c>
      <c r="J4285" s="3" t="s">
        <v>63</v>
      </c>
      <c r="K4285" s="3" t="s">
        <v>64</v>
      </c>
      <c r="L4285" s="2" t="s">
        <v>37047</v>
      </c>
      <c r="M4285" s="2" t="s">
        <v>18877</v>
      </c>
      <c r="N4285" s="3" t="s">
        <v>826</v>
      </c>
      <c r="P4285" s="3" t="s">
        <v>66</v>
      </c>
      <c r="Q4285" s="2" t="s">
        <v>37048</v>
      </c>
      <c r="R4285" s="3" t="s">
        <v>67</v>
      </c>
      <c r="S4285" s="4">
        <v>13</v>
      </c>
      <c r="T4285" s="4">
        <v>13</v>
      </c>
      <c r="U4285" s="5" t="s">
        <v>37049</v>
      </c>
      <c r="V4285" s="5" t="s">
        <v>37049</v>
      </c>
      <c r="W4285" s="5" t="s">
        <v>69</v>
      </c>
      <c r="X4285" s="5" t="s">
        <v>69</v>
      </c>
      <c r="Y4285" s="4">
        <v>79</v>
      </c>
      <c r="Z4285" s="4">
        <v>10</v>
      </c>
      <c r="AA4285" s="4">
        <v>10</v>
      </c>
      <c r="AB4285" s="4">
        <v>1</v>
      </c>
      <c r="AC4285" s="4">
        <v>1</v>
      </c>
      <c r="AD4285" s="4">
        <v>31</v>
      </c>
      <c r="AE4285" s="4">
        <v>31</v>
      </c>
      <c r="AF4285" s="4">
        <v>0</v>
      </c>
      <c r="AG4285" s="4">
        <v>0</v>
      </c>
      <c r="AH4285" s="4">
        <v>27</v>
      </c>
      <c r="AI4285" s="4">
        <v>27</v>
      </c>
      <c r="AJ4285" s="4">
        <v>8</v>
      </c>
      <c r="AK4285" s="4">
        <v>8</v>
      </c>
      <c r="AL4285" s="4">
        <v>19</v>
      </c>
      <c r="AM4285" s="4">
        <v>19</v>
      </c>
      <c r="AN4285" s="4">
        <v>0</v>
      </c>
      <c r="AO4285" s="4">
        <v>0</v>
      </c>
      <c r="AP4285" s="4">
        <v>8</v>
      </c>
      <c r="AQ4285" s="4">
        <v>8</v>
      </c>
      <c r="AR4285" s="3" t="s">
        <v>63</v>
      </c>
      <c r="AS4285" s="3" t="s">
        <v>63</v>
      </c>
      <c r="AT4285" s="3" t="s">
        <v>63</v>
      </c>
      <c r="AV4285" s="6" t="str">
        <f>HYPERLINK("http://mcgill.on.worldcat.org/oclc/667804","Catalog Record")</f>
        <v>Catalog Record</v>
      </c>
      <c r="AW4285" s="6" t="str">
        <f>HYPERLINK("http://www.worldcat.org/oclc/667804","WorldCat Record")</f>
        <v>WorldCat Record</v>
      </c>
      <c r="AX4285" s="3" t="s">
        <v>37050</v>
      </c>
      <c r="AY4285" s="3" t="s">
        <v>37051</v>
      </c>
      <c r="AZ4285" s="3" t="s">
        <v>37052</v>
      </c>
      <c r="BA4285" s="3" t="s">
        <v>37052</v>
      </c>
      <c r="BB4285" s="3" t="s">
        <v>37053</v>
      </c>
      <c r="BC4285" s="3" t="s">
        <v>82</v>
      </c>
      <c r="BD4285" s="3" t="s">
        <v>70</v>
      </c>
      <c r="BE4285" s="3" t="s">
        <v>37054</v>
      </c>
      <c r="BF4285" s="3" t="s">
        <v>37053</v>
      </c>
      <c r="BG4285" s="3" t="s">
        <v>37055</v>
      </c>
    </row>
    <row r="4286" spans="1:59" ht="60" x14ac:dyDescent="0.25">
      <c r="A4286" s="2" t="s">
        <v>59</v>
      </c>
      <c r="B4286" s="2" t="s">
        <v>60</v>
      </c>
      <c r="C4286" s="2" t="s">
        <v>37056</v>
      </c>
      <c r="D4286" s="2" t="s">
        <v>37057</v>
      </c>
      <c r="E4286" s="2" t="s">
        <v>37058</v>
      </c>
      <c r="G4286" s="3" t="s">
        <v>63</v>
      </c>
      <c r="I4286" s="3" t="s">
        <v>62</v>
      </c>
      <c r="J4286" s="3" t="s">
        <v>63</v>
      </c>
      <c r="K4286" s="3" t="s">
        <v>64</v>
      </c>
      <c r="L4286" s="2" t="s">
        <v>37059</v>
      </c>
      <c r="M4286" s="2" t="s">
        <v>37060</v>
      </c>
      <c r="N4286" s="3" t="s">
        <v>918</v>
      </c>
      <c r="P4286" s="3" t="s">
        <v>66</v>
      </c>
      <c r="Q4286" s="2" t="s">
        <v>37048</v>
      </c>
      <c r="R4286" s="3" t="s">
        <v>67</v>
      </c>
      <c r="S4286" s="4">
        <v>6</v>
      </c>
      <c r="T4286" s="4">
        <v>6</v>
      </c>
      <c r="U4286" s="5" t="s">
        <v>1298</v>
      </c>
      <c r="V4286" s="5" t="s">
        <v>1298</v>
      </c>
      <c r="W4286" s="5" t="s">
        <v>69</v>
      </c>
      <c r="X4286" s="5" t="s">
        <v>69</v>
      </c>
      <c r="Y4286" s="4">
        <v>112</v>
      </c>
      <c r="Z4286" s="4">
        <v>9</v>
      </c>
      <c r="AA4286" s="4">
        <v>19</v>
      </c>
      <c r="AB4286" s="4">
        <v>1</v>
      </c>
      <c r="AC4286" s="4">
        <v>2</v>
      </c>
      <c r="AD4286" s="4">
        <v>33</v>
      </c>
      <c r="AE4286" s="4">
        <v>81</v>
      </c>
      <c r="AF4286" s="4">
        <v>0</v>
      </c>
      <c r="AG4286" s="4">
        <v>1</v>
      </c>
      <c r="AH4286" s="4">
        <v>25</v>
      </c>
      <c r="AI4286" s="4">
        <v>69</v>
      </c>
      <c r="AJ4286" s="4">
        <v>6</v>
      </c>
      <c r="AK4286" s="4">
        <v>12</v>
      </c>
      <c r="AL4286" s="4">
        <v>14</v>
      </c>
      <c r="AM4286" s="4">
        <v>38</v>
      </c>
      <c r="AN4286" s="4">
        <v>0</v>
      </c>
      <c r="AO4286" s="4">
        <v>0</v>
      </c>
      <c r="AP4286" s="4">
        <v>8</v>
      </c>
      <c r="AQ4286" s="4">
        <v>16</v>
      </c>
      <c r="AR4286" s="3" t="s">
        <v>63</v>
      </c>
      <c r="AS4286" s="3" t="s">
        <v>63</v>
      </c>
      <c r="AT4286" s="3" t="s">
        <v>63</v>
      </c>
      <c r="AV4286" s="6" t="str">
        <f>HYPERLINK("http://mcgill.on.worldcat.org/oclc/954899","Catalog Record")</f>
        <v>Catalog Record</v>
      </c>
      <c r="AW4286" s="6" t="str">
        <f>HYPERLINK("http://www.worldcat.org/oclc/954899","WorldCat Record")</f>
        <v>WorldCat Record</v>
      </c>
      <c r="AX4286" s="3" t="s">
        <v>37061</v>
      </c>
      <c r="AY4286" s="3" t="s">
        <v>37062</v>
      </c>
      <c r="AZ4286" s="3" t="s">
        <v>37063</v>
      </c>
      <c r="BA4286" s="3" t="s">
        <v>37063</v>
      </c>
      <c r="BB4286" s="3" t="s">
        <v>37064</v>
      </c>
      <c r="BC4286" s="3" t="s">
        <v>82</v>
      </c>
      <c r="BD4286" s="3" t="s">
        <v>70</v>
      </c>
      <c r="BF4286" s="3" t="s">
        <v>37064</v>
      </c>
      <c r="BG4286" s="3" t="s">
        <v>37065</v>
      </c>
    </row>
    <row r="4287" spans="1:59" ht="60" x14ac:dyDescent="0.25">
      <c r="A4287" s="2" t="s">
        <v>59</v>
      </c>
      <c r="B4287" s="2" t="s">
        <v>60</v>
      </c>
      <c r="C4287" s="2" t="s">
        <v>37066</v>
      </c>
      <c r="D4287" s="2" t="s">
        <v>37067</v>
      </c>
      <c r="E4287" s="2" t="s">
        <v>37068</v>
      </c>
      <c r="G4287" s="3" t="s">
        <v>63</v>
      </c>
      <c r="I4287" s="3" t="s">
        <v>63</v>
      </c>
      <c r="J4287" s="3" t="s">
        <v>63</v>
      </c>
      <c r="K4287" s="3" t="s">
        <v>64</v>
      </c>
      <c r="L4287" s="2" t="s">
        <v>37069</v>
      </c>
      <c r="M4287" s="2" t="s">
        <v>37070</v>
      </c>
      <c r="N4287" s="3" t="s">
        <v>2448</v>
      </c>
      <c r="P4287" s="3" t="s">
        <v>66</v>
      </c>
      <c r="R4287" s="3" t="s">
        <v>67</v>
      </c>
      <c r="S4287" s="4">
        <v>1</v>
      </c>
      <c r="T4287" s="4">
        <v>1</v>
      </c>
      <c r="U4287" s="5" t="s">
        <v>4687</v>
      </c>
      <c r="V4287" s="5" t="s">
        <v>4687</v>
      </c>
      <c r="W4287" s="5" t="s">
        <v>69</v>
      </c>
      <c r="X4287" s="5" t="s">
        <v>69</v>
      </c>
      <c r="Y4287" s="4">
        <v>1</v>
      </c>
      <c r="Z4287" s="4">
        <v>1</v>
      </c>
      <c r="AA4287" s="4">
        <v>9</v>
      </c>
      <c r="AB4287" s="4">
        <v>1</v>
      </c>
      <c r="AC4287" s="4">
        <v>4</v>
      </c>
      <c r="AD4287" s="4">
        <v>0</v>
      </c>
      <c r="AE4287" s="4">
        <v>66</v>
      </c>
      <c r="AF4287" s="4">
        <v>0</v>
      </c>
      <c r="AG4287" s="4">
        <v>0</v>
      </c>
      <c r="AH4287" s="4">
        <v>0</v>
      </c>
      <c r="AI4287" s="4">
        <v>60</v>
      </c>
      <c r="AJ4287" s="4">
        <v>0</v>
      </c>
      <c r="AK4287" s="4">
        <v>4</v>
      </c>
      <c r="AL4287" s="4">
        <v>0</v>
      </c>
      <c r="AM4287" s="4">
        <v>40</v>
      </c>
      <c r="AN4287" s="4">
        <v>0</v>
      </c>
      <c r="AO4287" s="4">
        <v>0</v>
      </c>
      <c r="AP4287" s="4">
        <v>0</v>
      </c>
      <c r="AQ4287" s="4">
        <v>3</v>
      </c>
      <c r="AR4287" s="3" t="s">
        <v>63</v>
      </c>
      <c r="AS4287" s="3" t="s">
        <v>63</v>
      </c>
      <c r="AT4287" s="3" t="s">
        <v>63</v>
      </c>
      <c r="AV4287" s="6" t="str">
        <f>HYPERLINK("http://mcgill.on.worldcat.org/oclc/427250176","Catalog Record")</f>
        <v>Catalog Record</v>
      </c>
      <c r="AW4287" s="6" t="str">
        <f>HYPERLINK("http://www.worldcat.org/oclc/427250176","WorldCat Record")</f>
        <v>WorldCat Record</v>
      </c>
      <c r="AX4287" s="3" t="s">
        <v>37071</v>
      </c>
      <c r="AY4287" s="3" t="s">
        <v>37072</v>
      </c>
      <c r="AZ4287" s="3" t="s">
        <v>37073</v>
      </c>
      <c r="BA4287" s="3" t="s">
        <v>37073</v>
      </c>
      <c r="BB4287" s="3" t="s">
        <v>37074</v>
      </c>
      <c r="BC4287" s="3" t="s">
        <v>82</v>
      </c>
      <c r="BD4287" s="3" t="s">
        <v>70</v>
      </c>
      <c r="BF4287" s="3" t="s">
        <v>37074</v>
      </c>
      <c r="BG4287" s="3" t="s">
        <v>37075</v>
      </c>
    </row>
    <row r="4288" spans="1:59" ht="75" x14ac:dyDescent="0.25">
      <c r="A4288" s="2" t="s">
        <v>59</v>
      </c>
      <c r="B4288" s="2" t="s">
        <v>60</v>
      </c>
      <c r="C4288" s="2" t="s">
        <v>37076</v>
      </c>
      <c r="D4288" s="2" t="s">
        <v>37077</v>
      </c>
      <c r="E4288" s="2" t="s">
        <v>37078</v>
      </c>
      <c r="G4288" s="3" t="s">
        <v>63</v>
      </c>
      <c r="I4288" s="3" t="s">
        <v>63</v>
      </c>
      <c r="J4288" s="3" t="s">
        <v>63</v>
      </c>
      <c r="K4288" s="3" t="s">
        <v>64</v>
      </c>
      <c r="L4288" s="2" t="s">
        <v>37079</v>
      </c>
      <c r="M4288" s="2" t="s">
        <v>37080</v>
      </c>
      <c r="N4288" s="3" t="s">
        <v>1343</v>
      </c>
      <c r="O4288" s="2" t="s">
        <v>590</v>
      </c>
      <c r="P4288" s="3" t="s">
        <v>66</v>
      </c>
      <c r="R4288" s="3" t="s">
        <v>67</v>
      </c>
      <c r="S4288" s="4">
        <v>4</v>
      </c>
      <c r="T4288" s="4">
        <v>4</v>
      </c>
      <c r="U4288" s="5" t="s">
        <v>4625</v>
      </c>
      <c r="V4288" s="5" t="s">
        <v>4625</v>
      </c>
      <c r="W4288" s="5" t="s">
        <v>69</v>
      </c>
      <c r="X4288" s="5" t="s">
        <v>69</v>
      </c>
      <c r="Y4288" s="4">
        <v>62</v>
      </c>
      <c r="Z4288" s="4">
        <v>8</v>
      </c>
      <c r="AA4288" s="4">
        <v>8</v>
      </c>
      <c r="AB4288" s="4">
        <v>2</v>
      </c>
      <c r="AC4288" s="4">
        <v>2</v>
      </c>
      <c r="AD4288" s="4">
        <v>36</v>
      </c>
      <c r="AE4288" s="4">
        <v>36</v>
      </c>
      <c r="AF4288" s="4">
        <v>0</v>
      </c>
      <c r="AG4288" s="4">
        <v>0</v>
      </c>
      <c r="AH4288" s="4">
        <v>35</v>
      </c>
      <c r="AI4288" s="4">
        <v>35</v>
      </c>
      <c r="AJ4288" s="4">
        <v>4</v>
      </c>
      <c r="AK4288" s="4">
        <v>4</v>
      </c>
      <c r="AL4288" s="4">
        <v>23</v>
      </c>
      <c r="AM4288" s="4">
        <v>23</v>
      </c>
      <c r="AN4288" s="4">
        <v>0</v>
      </c>
      <c r="AO4288" s="4">
        <v>0</v>
      </c>
      <c r="AP4288" s="4">
        <v>4</v>
      </c>
      <c r="AQ4288" s="4">
        <v>4</v>
      </c>
      <c r="AR4288" s="3" t="s">
        <v>63</v>
      </c>
      <c r="AS4288" s="3" t="s">
        <v>63</v>
      </c>
      <c r="AT4288" s="3" t="s">
        <v>62</v>
      </c>
      <c r="AU4288" s="6" t="str">
        <f>HYPERLINK("http://catalog.hathitrust.org/Record/004200664","HathiTrust Record")</f>
        <v>HathiTrust Record</v>
      </c>
      <c r="AV4288" s="6" t="str">
        <f>HYPERLINK("http://mcgill.on.worldcat.org/oclc/45623497","Catalog Record")</f>
        <v>Catalog Record</v>
      </c>
      <c r="AW4288" s="6" t="str">
        <f>HYPERLINK("http://www.worldcat.org/oclc/45623497","WorldCat Record")</f>
        <v>WorldCat Record</v>
      </c>
      <c r="AX4288" s="3" t="s">
        <v>37081</v>
      </c>
      <c r="AY4288" s="3" t="s">
        <v>37082</v>
      </c>
      <c r="AZ4288" s="3" t="s">
        <v>37083</v>
      </c>
      <c r="BA4288" s="3" t="s">
        <v>37083</v>
      </c>
      <c r="BB4288" s="3" t="s">
        <v>37084</v>
      </c>
      <c r="BC4288" s="3" t="s">
        <v>82</v>
      </c>
      <c r="BD4288" s="3" t="s">
        <v>70</v>
      </c>
      <c r="BE4288" s="3" t="s">
        <v>37085</v>
      </c>
      <c r="BF4288" s="3" t="s">
        <v>37084</v>
      </c>
      <c r="BG4288" s="3" t="s">
        <v>37086</v>
      </c>
    </row>
    <row r="4289" spans="1:59" ht="60" x14ac:dyDescent="0.25">
      <c r="A4289" s="2" t="s">
        <v>59</v>
      </c>
      <c r="B4289" s="2" t="s">
        <v>60</v>
      </c>
      <c r="C4289" s="2" t="s">
        <v>37087</v>
      </c>
      <c r="D4289" s="2" t="s">
        <v>37088</v>
      </c>
      <c r="E4289" s="2" t="s">
        <v>37089</v>
      </c>
      <c r="G4289" s="3" t="s">
        <v>63</v>
      </c>
      <c r="I4289" s="3" t="s">
        <v>63</v>
      </c>
      <c r="J4289" s="3" t="s">
        <v>63</v>
      </c>
      <c r="K4289" s="3" t="s">
        <v>64</v>
      </c>
      <c r="L4289" s="2" t="s">
        <v>37090</v>
      </c>
      <c r="M4289" s="2" t="s">
        <v>37091</v>
      </c>
      <c r="N4289" s="3" t="s">
        <v>65</v>
      </c>
      <c r="P4289" s="3" t="s">
        <v>66</v>
      </c>
      <c r="R4289" s="3" t="s">
        <v>67</v>
      </c>
      <c r="S4289" s="4">
        <v>2</v>
      </c>
      <c r="T4289" s="4">
        <v>2</v>
      </c>
      <c r="U4289" s="5" t="s">
        <v>4105</v>
      </c>
      <c r="V4289" s="5" t="s">
        <v>4105</v>
      </c>
      <c r="W4289" s="5" t="s">
        <v>69</v>
      </c>
      <c r="X4289" s="5" t="s">
        <v>69</v>
      </c>
      <c r="Y4289" s="4">
        <v>286</v>
      </c>
      <c r="Z4289" s="4">
        <v>17</v>
      </c>
      <c r="AA4289" s="4">
        <v>24</v>
      </c>
      <c r="AB4289" s="4">
        <v>2</v>
      </c>
      <c r="AC4289" s="4">
        <v>2</v>
      </c>
      <c r="AD4289" s="4">
        <v>88</v>
      </c>
      <c r="AE4289" s="4">
        <v>115</v>
      </c>
      <c r="AF4289" s="4">
        <v>1</v>
      </c>
      <c r="AG4289" s="4">
        <v>1</v>
      </c>
      <c r="AH4289" s="4">
        <v>80</v>
      </c>
      <c r="AI4289" s="4">
        <v>103</v>
      </c>
      <c r="AJ4289" s="4">
        <v>11</v>
      </c>
      <c r="AK4289" s="4">
        <v>16</v>
      </c>
      <c r="AL4289" s="4">
        <v>41</v>
      </c>
      <c r="AM4289" s="4">
        <v>57</v>
      </c>
      <c r="AN4289" s="4">
        <v>0</v>
      </c>
      <c r="AO4289" s="4">
        <v>0</v>
      </c>
      <c r="AP4289" s="4">
        <v>12</v>
      </c>
      <c r="AQ4289" s="4">
        <v>18</v>
      </c>
      <c r="AR4289" s="3" t="s">
        <v>63</v>
      </c>
      <c r="AS4289" s="3" t="s">
        <v>63</v>
      </c>
      <c r="AT4289" s="3" t="s">
        <v>62</v>
      </c>
      <c r="AU4289" s="6" t="str">
        <f>HYPERLINK("http://catalog.hathitrust.org/Record/000129681","HathiTrust Record")</f>
        <v>HathiTrust Record</v>
      </c>
      <c r="AV4289" s="6" t="str">
        <f>HYPERLINK("http://mcgill.on.worldcat.org/oclc/2644326","Catalog Record")</f>
        <v>Catalog Record</v>
      </c>
      <c r="AW4289" s="6" t="str">
        <f>HYPERLINK("http://www.worldcat.org/oclc/2644326","WorldCat Record")</f>
        <v>WorldCat Record</v>
      </c>
      <c r="AX4289" s="3" t="s">
        <v>37092</v>
      </c>
      <c r="AY4289" s="3" t="s">
        <v>37093</v>
      </c>
      <c r="AZ4289" s="3" t="s">
        <v>37094</v>
      </c>
      <c r="BA4289" s="3" t="s">
        <v>37094</v>
      </c>
      <c r="BB4289" s="3" t="s">
        <v>37095</v>
      </c>
      <c r="BC4289" s="3" t="s">
        <v>82</v>
      </c>
      <c r="BD4289" s="3" t="s">
        <v>70</v>
      </c>
      <c r="BE4289" s="3" t="s">
        <v>37096</v>
      </c>
      <c r="BF4289" s="3" t="s">
        <v>37095</v>
      </c>
      <c r="BG4289" s="3" t="s">
        <v>37097</v>
      </c>
    </row>
    <row r="4290" spans="1:59" ht="60" x14ac:dyDescent="0.25">
      <c r="A4290" s="2" t="s">
        <v>59</v>
      </c>
      <c r="B4290" s="2" t="s">
        <v>60</v>
      </c>
      <c r="C4290" s="2" t="s">
        <v>37098</v>
      </c>
      <c r="D4290" s="2" t="s">
        <v>37099</v>
      </c>
      <c r="E4290" s="2" t="s">
        <v>37100</v>
      </c>
      <c r="G4290" s="3" t="s">
        <v>63</v>
      </c>
      <c r="I4290" s="3" t="s">
        <v>62</v>
      </c>
      <c r="J4290" s="3" t="s">
        <v>63</v>
      </c>
      <c r="K4290" s="3" t="s">
        <v>64</v>
      </c>
      <c r="L4290" s="2" t="s">
        <v>37101</v>
      </c>
      <c r="M4290" s="2" t="s">
        <v>24328</v>
      </c>
      <c r="N4290" s="3" t="s">
        <v>427</v>
      </c>
      <c r="P4290" s="3" t="s">
        <v>66</v>
      </c>
      <c r="R4290" s="3" t="s">
        <v>67</v>
      </c>
      <c r="S4290" s="4">
        <v>5</v>
      </c>
      <c r="T4290" s="4">
        <v>5</v>
      </c>
      <c r="U4290" s="5" t="s">
        <v>8574</v>
      </c>
      <c r="V4290" s="5" t="s">
        <v>8574</v>
      </c>
      <c r="W4290" s="5" t="s">
        <v>69</v>
      </c>
      <c r="X4290" s="5" t="s">
        <v>69</v>
      </c>
      <c r="Y4290" s="4">
        <v>431</v>
      </c>
      <c r="Z4290" s="4">
        <v>19</v>
      </c>
      <c r="AA4290" s="4">
        <v>20</v>
      </c>
      <c r="AB4290" s="4">
        <v>2</v>
      </c>
      <c r="AC4290" s="4">
        <v>3</v>
      </c>
      <c r="AD4290" s="4">
        <v>101</v>
      </c>
      <c r="AE4290" s="4">
        <v>104</v>
      </c>
      <c r="AF4290" s="4">
        <v>0</v>
      </c>
      <c r="AG4290" s="4">
        <v>1</v>
      </c>
      <c r="AH4290" s="4">
        <v>89</v>
      </c>
      <c r="AI4290" s="4">
        <v>91</v>
      </c>
      <c r="AJ4290" s="4">
        <v>12</v>
      </c>
      <c r="AK4290" s="4">
        <v>13</v>
      </c>
      <c r="AL4290" s="4">
        <v>54</v>
      </c>
      <c r="AM4290" s="4">
        <v>55</v>
      </c>
      <c r="AN4290" s="4">
        <v>0</v>
      </c>
      <c r="AO4290" s="4">
        <v>0</v>
      </c>
      <c r="AP4290" s="4">
        <v>12</v>
      </c>
      <c r="AQ4290" s="4">
        <v>13</v>
      </c>
      <c r="AR4290" s="3" t="s">
        <v>63</v>
      </c>
      <c r="AS4290" s="3" t="s">
        <v>63</v>
      </c>
      <c r="AT4290" s="3" t="s">
        <v>62</v>
      </c>
      <c r="AU4290" s="6" t="str">
        <f>HYPERLINK("http://catalog.hathitrust.org/Record/000914870","HathiTrust Record")</f>
        <v>HathiTrust Record</v>
      </c>
      <c r="AV4290" s="6" t="str">
        <f>HYPERLINK("http://mcgill.on.worldcat.org/oclc/17546761","Catalog Record")</f>
        <v>Catalog Record</v>
      </c>
      <c r="AW4290" s="6" t="str">
        <f>HYPERLINK("http://www.worldcat.org/oclc/17546761","WorldCat Record")</f>
        <v>WorldCat Record</v>
      </c>
      <c r="AX4290" s="3" t="s">
        <v>37102</v>
      </c>
      <c r="AY4290" s="3" t="s">
        <v>37103</v>
      </c>
      <c r="AZ4290" s="3" t="s">
        <v>37104</v>
      </c>
      <c r="BA4290" s="3" t="s">
        <v>37104</v>
      </c>
      <c r="BB4290" s="3" t="s">
        <v>37105</v>
      </c>
      <c r="BC4290" s="3" t="s">
        <v>82</v>
      </c>
      <c r="BD4290" s="3" t="s">
        <v>70</v>
      </c>
      <c r="BE4290" s="3" t="s">
        <v>37106</v>
      </c>
      <c r="BF4290" s="3" t="s">
        <v>37105</v>
      </c>
      <c r="BG4290" s="3" t="s">
        <v>37107</v>
      </c>
    </row>
    <row r="4291" spans="1:59" ht="60" x14ac:dyDescent="0.25">
      <c r="A4291" s="2" t="s">
        <v>59</v>
      </c>
      <c r="B4291" s="2" t="s">
        <v>60</v>
      </c>
      <c r="C4291" s="2" t="s">
        <v>37108</v>
      </c>
      <c r="D4291" s="2" t="s">
        <v>37109</v>
      </c>
      <c r="E4291" s="2" t="s">
        <v>37110</v>
      </c>
      <c r="G4291" s="3" t="s">
        <v>63</v>
      </c>
      <c r="I4291" s="3" t="s">
        <v>63</v>
      </c>
      <c r="J4291" s="3" t="s">
        <v>63</v>
      </c>
      <c r="K4291" s="3" t="s">
        <v>64</v>
      </c>
      <c r="L4291" s="2" t="s">
        <v>37111</v>
      </c>
      <c r="M4291" s="2" t="s">
        <v>10213</v>
      </c>
      <c r="N4291" s="3" t="s">
        <v>362</v>
      </c>
      <c r="P4291" s="3" t="s">
        <v>66</v>
      </c>
      <c r="Q4291" s="2" t="s">
        <v>37112</v>
      </c>
      <c r="R4291" s="3" t="s">
        <v>67</v>
      </c>
      <c r="S4291" s="4">
        <v>1</v>
      </c>
      <c r="T4291" s="4">
        <v>1</v>
      </c>
      <c r="U4291" s="5" t="s">
        <v>8574</v>
      </c>
      <c r="V4291" s="5" t="s">
        <v>8574</v>
      </c>
      <c r="W4291" s="5" t="s">
        <v>69</v>
      </c>
      <c r="X4291" s="5" t="s">
        <v>69</v>
      </c>
      <c r="Y4291" s="4">
        <v>153</v>
      </c>
      <c r="Z4291" s="4">
        <v>7</v>
      </c>
      <c r="AA4291" s="4">
        <v>7</v>
      </c>
      <c r="AB4291" s="4">
        <v>2</v>
      </c>
      <c r="AC4291" s="4">
        <v>2</v>
      </c>
      <c r="AD4291" s="4">
        <v>68</v>
      </c>
      <c r="AE4291" s="4">
        <v>68</v>
      </c>
      <c r="AF4291" s="4">
        <v>0</v>
      </c>
      <c r="AG4291" s="4">
        <v>0</v>
      </c>
      <c r="AH4291" s="4">
        <v>66</v>
      </c>
      <c r="AI4291" s="4">
        <v>66</v>
      </c>
      <c r="AJ4291" s="4">
        <v>2</v>
      </c>
      <c r="AK4291" s="4">
        <v>2</v>
      </c>
      <c r="AL4291" s="4">
        <v>47</v>
      </c>
      <c r="AM4291" s="4">
        <v>47</v>
      </c>
      <c r="AN4291" s="4">
        <v>0</v>
      </c>
      <c r="AO4291" s="4">
        <v>0</v>
      </c>
      <c r="AP4291" s="4">
        <v>2</v>
      </c>
      <c r="AQ4291" s="4">
        <v>2</v>
      </c>
      <c r="AR4291" s="3" t="s">
        <v>63</v>
      </c>
      <c r="AS4291" s="3" t="s">
        <v>63</v>
      </c>
      <c r="AT4291" s="3" t="s">
        <v>62</v>
      </c>
      <c r="AU4291" s="6" t="str">
        <f>HYPERLINK("http://catalog.hathitrust.org/Record/004198837","HathiTrust Record")</f>
        <v>HathiTrust Record</v>
      </c>
      <c r="AV4291" s="6" t="str">
        <f>HYPERLINK("http://mcgill.on.worldcat.org/oclc/46969933","Catalog Record")</f>
        <v>Catalog Record</v>
      </c>
      <c r="AW4291" s="6" t="str">
        <f>HYPERLINK("http://www.worldcat.org/oclc/46969933","WorldCat Record")</f>
        <v>WorldCat Record</v>
      </c>
      <c r="AX4291" s="3" t="s">
        <v>37113</v>
      </c>
      <c r="AY4291" s="3" t="s">
        <v>37114</v>
      </c>
      <c r="AZ4291" s="3" t="s">
        <v>37115</v>
      </c>
      <c r="BA4291" s="3" t="s">
        <v>37115</v>
      </c>
      <c r="BB4291" s="3" t="s">
        <v>37116</v>
      </c>
      <c r="BC4291" s="3" t="s">
        <v>82</v>
      </c>
      <c r="BD4291" s="3" t="s">
        <v>70</v>
      </c>
      <c r="BE4291" s="3" t="s">
        <v>37117</v>
      </c>
      <c r="BF4291" s="3" t="s">
        <v>37116</v>
      </c>
      <c r="BG4291" s="3" t="s">
        <v>37118</v>
      </c>
    </row>
    <row r="4292" spans="1:59" ht="60" x14ac:dyDescent="0.25">
      <c r="A4292" s="2" t="s">
        <v>59</v>
      </c>
      <c r="B4292" s="2" t="s">
        <v>60</v>
      </c>
      <c r="C4292" s="2" t="s">
        <v>37119</v>
      </c>
      <c r="D4292" s="2" t="s">
        <v>37120</v>
      </c>
      <c r="E4292" s="2" t="s">
        <v>37121</v>
      </c>
      <c r="G4292" s="3" t="s">
        <v>63</v>
      </c>
      <c r="I4292" s="3" t="s">
        <v>63</v>
      </c>
      <c r="J4292" s="3" t="s">
        <v>62</v>
      </c>
      <c r="K4292" s="3" t="s">
        <v>64</v>
      </c>
      <c r="L4292" s="2" t="s">
        <v>37101</v>
      </c>
      <c r="M4292" s="2" t="s">
        <v>37122</v>
      </c>
      <c r="N4292" s="3" t="s">
        <v>1916</v>
      </c>
      <c r="P4292" s="3" t="s">
        <v>66</v>
      </c>
      <c r="R4292" s="3" t="s">
        <v>67</v>
      </c>
      <c r="S4292" s="4">
        <v>10</v>
      </c>
      <c r="T4292" s="4">
        <v>10</v>
      </c>
      <c r="U4292" s="5" t="s">
        <v>37123</v>
      </c>
      <c r="V4292" s="5" t="s">
        <v>37123</v>
      </c>
      <c r="W4292" s="5" t="s">
        <v>69</v>
      </c>
      <c r="X4292" s="5" t="s">
        <v>69</v>
      </c>
      <c r="Y4292" s="4">
        <v>113</v>
      </c>
      <c r="Z4292" s="4">
        <v>3</v>
      </c>
      <c r="AA4292" s="4">
        <v>26</v>
      </c>
      <c r="AB4292" s="4">
        <v>1</v>
      </c>
      <c r="AC4292" s="4">
        <v>4</v>
      </c>
      <c r="AD4292" s="4">
        <v>31</v>
      </c>
      <c r="AE4292" s="4">
        <v>103</v>
      </c>
      <c r="AF4292" s="4">
        <v>0</v>
      </c>
      <c r="AG4292" s="4">
        <v>2</v>
      </c>
      <c r="AH4292" s="4">
        <v>30</v>
      </c>
      <c r="AI4292" s="4">
        <v>93</v>
      </c>
      <c r="AJ4292" s="4">
        <v>2</v>
      </c>
      <c r="AK4292" s="4">
        <v>14</v>
      </c>
      <c r="AL4292" s="4">
        <v>18</v>
      </c>
      <c r="AM4292" s="4">
        <v>51</v>
      </c>
      <c r="AN4292" s="4">
        <v>0</v>
      </c>
      <c r="AO4292" s="4">
        <v>0</v>
      </c>
      <c r="AP4292" s="4">
        <v>2</v>
      </c>
      <c r="AQ4292" s="4">
        <v>16</v>
      </c>
      <c r="AR4292" s="3" t="s">
        <v>63</v>
      </c>
      <c r="AS4292" s="3" t="s">
        <v>63</v>
      </c>
      <c r="AT4292" s="3" t="s">
        <v>62</v>
      </c>
      <c r="AU4292" s="6" t="str">
        <f>HYPERLINK("http://catalog.hathitrust.org/Record/002514049","HathiTrust Record")</f>
        <v>HathiTrust Record</v>
      </c>
      <c r="AV4292" s="6" t="str">
        <f>HYPERLINK("http://mcgill.on.worldcat.org/oclc/12558492","Catalog Record")</f>
        <v>Catalog Record</v>
      </c>
      <c r="AW4292" s="6" t="str">
        <f>HYPERLINK("http://www.worldcat.org/oclc/12558492","WorldCat Record")</f>
        <v>WorldCat Record</v>
      </c>
      <c r="AX4292" s="3" t="s">
        <v>37124</v>
      </c>
      <c r="AY4292" s="3" t="s">
        <v>37125</v>
      </c>
      <c r="AZ4292" s="3" t="s">
        <v>37126</v>
      </c>
      <c r="BA4292" s="3" t="s">
        <v>37126</v>
      </c>
      <c r="BB4292" s="3" t="s">
        <v>37127</v>
      </c>
      <c r="BC4292" s="3" t="s">
        <v>82</v>
      </c>
      <c r="BD4292" s="3" t="s">
        <v>70</v>
      </c>
      <c r="BE4292" s="3" t="s">
        <v>37128</v>
      </c>
      <c r="BF4292" s="3" t="s">
        <v>37127</v>
      </c>
      <c r="BG4292" s="3" t="s">
        <v>37129</v>
      </c>
    </row>
    <row r="4293" spans="1:59" ht="60" x14ac:dyDescent="0.25">
      <c r="A4293" s="2" t="s">
        <v>59</v>
      </c>
      <c r="B4293" s="2" t="s">
        <v>60</v>
      </c>
      <c r="C4293" s="2" t="s">
        <v>37130</v>
      </c>
      <c r="D4293" s="2" t="s">
        <v>37131</v>
      </c>
      <c r="E4293" s="2" t="s">
        <v>37132</v>
      </c>
      <c r="G4293" s="3" t="s">
        <v>63</v>
      </c>
      <c r="I4293" s="3" t="s">
        <v>62</v>
      </c>
      <c r="J4293" s="3" t="s">
        <v>62</v>
      </c>
      <c r="K4293" s="3" t="s">
        <v>64</v>
      </c>
      <c r="L4293" s="2" t="s">
        <v>37101</v>
      </c>
      <c r="M4293" s="2" t="s">
        <v>37122</v>
      </c>
      <c r="N4293" s="3" t="s">
        <v>1916</v>
      </c>
      <c r="P4293" s="3" t="s">
        <v>66</v>
      </c>
      <c r="R4293" s="3" t="s">
        <v>67</v>
      </c>
      <c r="S4293" s="4">
        <v>7</v>
      </c>
      <c r="T4293" s="4">
        <v>7</v>
      </c>
      <c r="U4293" s="5" t="s">
        <v>37123</v>
      </c>
      <c r="V4293" s="5" t="s">
        <v>37123</v>
      </c>
      <c r="W4293" s="5" t="s">
        <v>69</v>
      </c>
      <c r="X4293" s="5" t="s">
        <v>69</v>
      </c>
      <c r="Y4293" s="4">
        <v>101</v>
      </c>
      <c r="Z4293" s="4">
        <v>5</v>
      </c>
      <c r="AA4293" s="4">
        <v>24</v>
      </c>
      <c r="AB4293" s="4">
        <v>2</v>
      </c>
      <c r="AC4293" s="4">
        <v>4</v>
      </c>
      <c r="AD4293" s="4">
        <v>34</v>
      </c>
      <c r="AE4293" s="4">
        <v>106</v>
      </c>
      <c r="AF4293" s="4">
        <v>1</v>
      </c>
      <c r="AG4293" s="4">
        <v>2</v>
      </c>
      <c r="AH4293" s="4">
        <v>31</v>
      </c>
      <c r="AI4293" s="4">
        <v>94</v>
      </c>
      <c r="AJ4293" s="4">
        <v>3</v>
      </c>
      <c r="AK4293" s="4">
        <v>14</v>
      </c>
      <c r="AL4293" s="4">
        <v>20</v>
      </c>
      <c r="AM4293" s="4">
        <v>54</v>
      </c>
      <c r="AN4293" s="4">
        <v>0</v>
      </c>
      <c r="AO4293" s="4">
        <v>0</v>
      </c>
      <c r="AP4293" s="4">
        <v>3</v>
      </c>
      <c r="AQ4293" s="4">
        <v>16</v>
      </c>
      <c r="AR4293" s="3" t="s">
        <v>63</v>
      </c>
      <c r="AS4293" s="3" t="s">
        <v>63</v>
      </c>
      <c r="AT4293" s="3" t="s">
        <v>62</v>
      </c>
      <c r="AU4293" s="6" t="str">
        <f>HYPERLINK("http://catalog.hathitrust.org/Record/006226223","HathiTrust Record")</f>
        <v>HathiTrust Record</v>
      </c>
      <c r="AV4293" s="6" t="str">
        <f>HYPERLINK("http://mcgill.on.worldcat.org/oclc/12558489","Catalog Record")</f>
        <v>Catalog Record</v>
      </c>
      <c r="AW4293" s="6" t="str">
        <f>HYPERLINK("http://www.worldcat.org/oclc/12558489","WorldCat Record")</f>
        <v>WorldCat Record</v>
      </c>
      <c r="AX4293" s="3" t="s">
        <v>37133</v>
      </c>
      <c r="AY4293" s="3" t="s">
        <v>37134</v>
      </c>
      <c r="AZ4293" s="3" t="s">
        <v>37135</v>
      </c>
      <c r="BA4293" s="3" t="s">
        <v>37135</v>
      </c>
      <c r="BB4293" s="3" t="s">
        <v>37136</v>
      </c>
      <c r="BC4293" s="3" t="s">
        <v>82</v>
      </c>
      <c r="BD4293" s="3" t="s">
        <v>70</v>
      </c>
      <c r="BE4293" s="3" t="s">
        <v>37137</v>
      </c>
      <c r="BF4293" s="3" t="s">
        <v>37136</v>
      </c>
      <c r="BG4293" s="3" t="s">
        <v>37138</v>
      </c>
    </row>
    <row r="4294" spans="1:59" ht="75" x14ac:dyDescent="0.25">
      <c r="A4294" s="2" t="s">
        <v>59</v>
      </c>
      <c r="B4294" s="2" t="s">
        <v>60</v>
      </c>
      <c r="C4294" s="2" t="s">
        <v>37139</v>
      </c>
      <c r="D4294" s="2" t="s">
        <v>37140</v>
      </c>
      <c r="E4294" s="2" t="s">
        <v>37141</v>
      </c>
      <c r="G4294" s="3" t="s">
        <v>63</v>
      </c>
      <c r="I4294" s="3" t="s">
        <v>63</v>
      </c>
      <c r="J4294" s="3" t="s">
        <v>63</v>
      </c>
      <c r="K4294" s="3" t="s">
        <v>64</v>
      </c>
      <c r="L4294" s="2" t="s">
        <v>37142</v>
      </c>
      <c r="M4294" s="2" t="s">
        <v>37143</v>
      </c>
      <c r="N4294" s="3" t="s">
        <v>5468</v>
      </c>
      <c r="P4294" s="3" t="s">
        <v>66</v>
      </c>
      <c r="R4294" s="3" t="s">
        <v>67</v>
      </c>
      <c r="S4294" s="4">
        <v>4</v>
      </c>
      <c r="T4294" s="4">
        <v>4</v>
      </c>
      <c r="U4294" s="5" t="s">
        <v>214</v>
      </c>
      <c r="V4294" s="5" t="s">
        <v>214</v>
      </c>
      <c r="W4294" s="5" t="s">
        <v>69</v>
      </c>
      <c r="X4294" s="5" t="s">
        <v>69</v>
      </c>
      <c r="Y4294" s="4">
        <v>71</v>
      </c>
      <c r="Z4294" s="4">
        <v>9</v>
      </c>
      <c r="AA4294" s="4">
        <v>14</v>
      </c>
      <c r="AB4294" s="4">
        <v>1</v>
      </c>
      <c r="AC4294" s="4">
        <v>1</v>
      </c>
      <c r="AD4294" s="4">
        <v>44</v>
      </c>
      <c r="AE4294" s="4">
        <v>67</v>
      </c>
      <c r="AF4294" s="4">
        <v>0</v>
      </c>
      <c r="AG4294" s="4">
        <v>0</v>
      </c>
      <c r="AH4294" s="4">
        <v>39</v>
      </c>
      <c r="AI4294" s="4">
        <v>58</v>
      </c>
      <c r="AJ4294" s="4">
        <v>5</v>
      </c>
      <c r="AK4294" s="4">
        <v>6</v>
      </c>
      <c r="AL4294" s="4">
        <v>30</v>
      </c>
      <c r="AM4294" s="4">
        <v>44</v>
      </c>
      <c r="AN4294" s="4">
        <v>0</v>
      </c>
      <c r="AO4294" s="4">
        <v>0</v>
      </c>
      <c r="AP4294" s="4">
        <v>6</v>
      </c>
      <c r="AQ4294" s="4">
        <v>9</v>
      </c>
      <c r="AR4294" s="3" t="s">
        <v>63</v>
      </c>
      <c r="AS4294" s="3" t="s">
        <v>63</v>
      </c>
      <c r="AT4294" s="3" t="s">
        <v>62</v>
      </c>
      <c r="AU4294" s="6" t="str">
        <f>HYPERLINK("http://catalog.hathitrust.org/Record/001231201","HathiTrust Record")</f>
        <v>HathiTrust Record</v>
      </c>
      <c r="AV4294" s="6" t="str">
        <f>HYPERLINK("http://mcgill.on.worldcat.org/oclc/2829961","Catalog Record")</f>
        <v>Catalog Record</v>
      </c>
      <c r="AW4294" s="6" t="str">
        <f>HYPERLINK("http://www.worldcat.org/oclc/2829961","WorldCat Record")</f>
        <v>WorldCat Record</v>
      </c>
      <c r="AX4294" s="3" t="s">
        <v>37144</v>
      </c>
      <c r="AY4294" s="3" t="s">
        <v>37145</v>
      </c>
      <c r="AZ4294" s="3" t="s">
        <v>37146</v>
      </c>
      <c r="BA4294" s="3" t="s">
        <v>37146</v>
      </c>
      <c r="BB4294" s="3" t="s">
        <v>37147</v>
      </c>
      <c r="BC4294" s="3" t="s">
        <v>82</v>
      </c>
      <c r="BD4294" s="3" t="s">
        <v>70</v>
      </c>
      <c r="BF4294" s="3" t="s">
        <v>37147</v>
      </c>
      <c r="BG4294" s="3" t="s">
        <v>37148</v>
      </c>
    </row>
    <row r="4295" spans="1:59" ht="75" x14ac:dyDescent="0.25">
      <c r="A4295" s="2" t="s">
        <v>59</v>
      </c>
      <c r="B4295" s="2" t="s">
        <v>60</v>
      </c>
      <c r="C4295" s="2" t="s">
        <v>37149</v>
      </c>
      <c r="D4295" s="2" t="s">
        <v>37150</v>
      </c>
      <c r="E4295" s="2" t="s">
        <v>37151</v>
      </c>
      <c r="G4295" s="3" t="s">
        <v>63</v>
      </c>
      <c r="I4295" s="3" t="s">
        <v>63</v>
      </c>
      <c r="J4295" s="3" t="s">
        <v>63</v>
      </c>
      <c r="K4295" s="3" t="s">
        <v>64</v>
      </c>
      <c r="L4295" s="2" t="s">
        <v>37152</v>
      </c>
      <c r="M4295" s="2" t="s">
        <v>7765</v>
      </c>
      <c r="N4295" s="3" t="s">
        <v>2182</v>
      </c>
      <c r="P4295" s="3" t="s">
        <v>66</v>
      </c>
      <c r="Q4295" s="2" t="s">
        <v>37153</v>
      </c>
      <c r="R4295" s="3" t="s">
        <v>67</v>
      </c>
      <c r="S4295" s="4">
        <v>3</v>
      </c>
      <c r="T4295" s="4">
        <v>3</v>
      </c>
      <c r="U4295" s="5" t="s">
        <v>214</v>
      </c>
      <c r="V4295" s="5" t="s">
        <v>214</v>
      </c>
      <c r="W4295" s="5" t="s">
        <v>69</v>
      </c>
      <c r="X4295" s="5" t="s">
        <v>69</v>
      </c>
      <c r="Y4295" s="4">
        <v>278</v>
      </c>
      <c r="Z4295" s="4">
        <v>21</v>
      </c>
      <c r="AA4295" s="4">
        <v>21</v>
      </c>
      <c r="AB4295" s="4">
        <v>2</v>
      </c>
      <c r="AC4295" s="4">
        <v>2</v>
      </c>
      <c r="AD4295" s="4">
        <v>101</v>
      </c>
      <c r="AE4295" s="4">
        <v>101</v>
      </c>
      <c r="AF4295" s="4">
        <v>1</v>
      </c>
      <c r="AG4295" s="4">
        <v>1</v>
      </c>
      <c r="AH4295" s="4">
        <v>90</v>
      </c>
      <c r="AI4295" s="4">
        <v>90</v>
      </c>
      <c r="AJ4295" s="4">
        <v>14</v>
      </c>
      <c r="AK4295" s="4">
        <v>14</v>
      </c>
      <c r="AL4295" s="4">
        <v>55</v>
      </c>
      <c r="AM4295" s="4">
        <v>55</v>
      </c>
      <c r="AN4295" s="4">
        <v>0</v>
      </c>
      <c r="AO4295" s="4">
        <v>0</v>
      </c>
      <c r="AP4295" s="4">
        <v>15</v>
      </c>
      <c r="AQ4295" s="4">
        <v>15</v>
      </c>
      <c r="AR4295" s="3" t="s">
        <v>63</v>
      </c>
      <c r="AS4295" s="3" t="s">
        <v>63</v>
      </c>
      <c r="AT4295" s="3" t="s">
        <v>62</v>
      </c>
      <c r="AU4295" s="6" t="str">
        <f>HYPERLINK("http://catalog.hathitrust.org/Record/001231412","HathiTrust Record")</f>
        <v>HathiTrust Record</v>
      </c>
      <c r="AV4295" s="6" t="str">
        <f>HYPERLINK("http://mcgill.on.worldcat.org/oclc/230553","Catalog Record")</f>
        <v>Catalog Record</v>
      </c>
      <c r="AW4295" s="6" t="str">
        <f>HYPERLINK("http://www.worldcat.org/oclc/230553","WorldCat Record")</f>
        <v>WorldCat Record</v>
      </c>
      <c r="AX4295" s="3" t="s">
        <v>37154</v>
      </c>
      <c r="AY4295" s="3" t="s">
        <v>37155</v>
      </c>
      <c r="AZ4295" s="3" t="s">
        <v>37156</v>
      </c>
      <c r="BA4295" s="3" t="s">
        <v>37156</v>
      </c>
      <c r="BB4295" s="3" t="s">
        <v>37157</v>
      </c>
      <c r="BC4295" s="3" t="s">
        <v>82</v>
      </c>
      <c r="BD4295" s="3" t="s">
        <v>70</v>
      </c>
      <c r="BF4295" s="3" t="s">
        <v>37157</v>
      </c>
      <c r="BG4295" s="3" t="s">
        <v>37158</v>
      </c>
    </row>
    <row r="4296" spans="1:59" ht="75" x14ac:dyDescent="0.25">
      <c r="A4296" s="2" t="s">
        <v>59</v>
      </c>
      <c r="B4296" s="2" t="s">
        <v>60</v>
      </c>
      <c r="C4296" s="2" t="s">
        <v>37159</v>
      </c>
      <c r="D4296" s="2" t="s">
        <v>37160</v>
      </c>
      <c r="E4296" s="2" t="s">
        <v>37161</v>
      </c>
      <c r="G4296" s="3" t="s">
        <v>63</v>
      </c>
      <c r="I4296" s="3" t="s">
        <v>63</v>
      </c>
      <c r="J4296" s="3" t="s">
        <v>63</v>
      </c>
      <c r="K4296" s="3" t="s">
        <v>64</v>
      </c>
      <c r="L4296" s="2" t="s">
        <v>37162</v>
      </c>
      <c r="M4296" s="2" t="s">
        <v>37163</v>
      </c>
      <c r="N4296" s="3" t="s">
        <v>26431</v>
      </c>
      <c r="P4296" s="3" t="s">
        <v>36758</v>
      </c>
      <c r="Q4296" s="2" t="s">
        <v>37164</v>
      </c>
      <c r="R4296" s="3" t="s">
        <v>67</v>
      </c>
      <c r="S4296" s="4">
        <v>1</v>
      </c>
      <c r="T4296" s="4">
        <v>1</v>
      </c>
      <c r="U4296" s="5" t="s">
        <v>214</v>
      </c>
      <c r="V4296" s="5" t="s">
        <v>214</v>
      </c>
      <c r="W4296" s="5" t="s">
        <v>69</v>
      </c>
      <c r="X4296" s="5" t="s">
        <v>69</v>
      </c>
      <c r="Y4296" s="4">
        <v>20</v>
      </c>
      <c r="Z4296" s="4">
        <v>1</v>
      </c>
      <c r="AA4296" s="4">
        <v>3</v>
      </c>
      <c r="AB4296" s="4">
        <v>1</v>
      </c>
      <c r="AC4296" s="4">
        <v>1</v>
      </c>
      <c r="AD4296" s="4">
        <v>11</v>
      </c>
      <c r="AE4296" s="4">
        <v>12</v>
      </c>
      <c r="AF4296" s="4">
        <v>0</v>
      </c>
      <c r="AG4296" s="4">
        <v>0</v>
      </c>
      <c r="AH4296" s="4">
        <v>10</v>
      </c>
      <c r="AI4296" s="4">
        <v>11</v>
      </c>
      <c r="AJ4296" s="4">
        <v>0</v>
      </c>
      <c r="AK4296" s="4">
        <v>1</v>
      </c>
      <c r="AL4296" s="4">
        <v>9</v>
      </c>
      <c r="AM4296" s="4">
        <v>10</v>
      </c>
      <c r="AN4296" s="4">
        <v>0</v>
      </c>
      <c r="AO4296" s="4">
        <v>0</v>
      </c>
      <c r="AP4296" s="4">
        <v>0</v>
      </c>
      <c r="AQ4296" s="4">
        <v>1</v>
      </c>
      <c r="AR4296" s="3" t="s">
        <v>63</v>
      </c>
      <c r="AS4296" s="3" t="s">
        <v>63</v>
      </c>
      <c r="AT4296" s="3" t="s">
        <v>62</v>
      </c>
      <c r="AU4296" s="6" t="str">
        <f>HYPERLINK("http://catalog.hathitrust.org/Record/009160576","HathiTrust Record")</f>
        <v>HathiTrust Record</v>
      </c>
      <c r="AV4296" s="6" t="str">
        <f>HYPERLINK("http://mcgill.on.worldcat.org/oclc/7349402","Catalog Record")</f>
        <v>Catalog Record</v>
      </c>
      <c r="AW4296" s="6" t="str">
        <f>HYPERLINK("http://www.worldcat.org/oclc/7349402","WorldCat Record")</f>
        <v>WorldCat Record</v>
      </c>
      <c r="AX4296" s="3" t="s">
        <v>37165</v>
      </c>
      <c r="AY4296" s="3" t="s">
        <v>37166</v>
      </c>
      <c r="AZ4296" s="3" t="s">
        <v>37167</v>
      </c>
      <c r="BA4296" s="3" t="s">
        <v>37167</v>
      </c>
      <c r="BB4296" s="3" t="s">
        <v>37168</v>
      </c>
      <c r="BC4296" s="3" t="s">
        <v>82</v>
      </c>
      <c r="BD4296" s="3" t="s">
        <v>70</v>
      </c>
      <c r="BF4296" s="3" t="s">
        <v>37168</v>
      </c>
      <c r="BG4296" s="3" t="s">
        <v>37169</v>
      </c>
    </row>
    <row r="4297" spans="1:59" ht="75" x14ac:dyDescent="0.25">
      <c r="A4297" s="2" t="s">
        <v>59</v>
      </c>
      <c r="B4297" s="2" t="s">
        <v>60</v>
      </c>
      <c r="C4297" s="2" t="s">
        <v>37170</v>
      </c>
      <c r="D4297" s="2" t="s">
        <v>37171</v>
      </c>
      <c r="E4297" s="2" t="s">
        <v>37172</v>
      </c>
      <c r="G4297" s="3" t="s">
        <v>63</v>
      </c>
      <c r="I4297" s="3" t="s">
        <v>63</v>
      </c>
      <c r="J4297" s="3" t="s">
        <v>63</v>
      </c>
      <c r="K4297" s="3" t="s">
        <v>64</v>
      </c>
      <c r="L4297" s="2" t="s">
        <v>37173</v>
      </c>
      <c r="M4297" s="2" t="s">
        <v>37174</v>
      </c>
      <c r="N4297" s="3" t="s">
        <v>213</v>
      </c>
      <c r="P4297" s="3" t="s">
        <v>548</v>
      </c>
      <c r="Q4297" s="2" t="s">
        <v>37175</v>
      </c>
      <c r="R4297" s="3" t="s">
        <v>67</v>
      </c>
      <c r="S4297" s="4">
        <v>3</v>
      </c>
      <c r="T4297" s="4">
        <v>3</v>
      </c>
      <c r="U4297" s="5" t="s">
        <v>214</v>
      </c>
      <c r="V4297" s="5" t="s">
        <v>214</v>
      </c>
      <c r="W4297" s="5" t="s">
        <v>69</v>
      </c>
      <c r="X4297" s="5" t="s">
        <v>69</v>
      </c>
      <c r="Y4297" s="4">
        <v>74</v>
      </c>
      <c r="Z4297" s="4">
        <v>6</v>
      </c>
      <c r="AA4297" s="4">
        <v>6</v>
      </c>
      <c r="AB4297" s="4">
        <v>1</v>
      </c>
      <c r="AC4297" s="4">
        <v>1</v>
      </c>
      <c r="AD4297" s="4">
        <v>38</v>
      </c>
      <c r="AE4297" s="4">
        <v>38</v>
      </c>
      <c r="AF4297" s="4">
        <v>0</v>
      </c>
      <c r="AG4297" s="4">
        <v>0</v>
      </c>
      <c r="AH4297" s="4">
        <v>35</v>
      </c>
      <c r="AI4297" s="4">
        <v>35</v>
      </c>
      <c r="AJ4297" s="4">
        <v>5</v>
      </c>
      <c r="AK4297" s="4">
        <v>5</v>
      </c>
      <c r="AL4297" s="4">
        <v>25</v>
      </c>
      <c r="AM4297" s="4">
        <v>25</v>
      </c>
      <c r="AN4297" s="4">
        <v>0</v>
      </c>
      <c r="AO4297" s="4">
        <v>0</v>
      </c>
      <c r="AP4297" s="4">
        <v>4</v>
      </c>
      <c r="AQ4297" s="4">
        <v>4</v>
      </c>
      <c r="AR4297" s="3" t="s">
        <v>63</v>
      </c>
      <c r="AS4297" s="3" t="s">
        <v>63</v>
      </c>
      <c r="AT4297" s="3" t="s">
        <v>62</v>
      </c>
      <c r="AU4297" s="6" t="str">
        <f>HYPERLINK("http://catalog.hathitrust.org/Record/001670079","HathiTrust Record")</f>
        <v>HathiTrust Record</v>
      </c>
      <c r="AV4297" s="6" t="str">
        <f>HYPERLINK("http://mcgill.on.worldcat.org/oclc/6683566","Catalog Record")</f>
        <v>Catalog Record</v>
      </c>
      <c r="AW4297" s="6" t="str">
        <f>HYPERLINK("http://www.worldcat.org/oclc/6683566","WorldCat Record")</f>
        <v>WorldCat Record</v>
      </c>
      <c r="AX4297" s="3" t="s">
        <v>37176</v>
      </c>
      <c r="AY4297" s="3" t="s">
        <v>37177</v>
      </c>
      <c r="AZ4297" s="3" t="s">
        <v>37178</v>
      </c>
      <c r="BA4297" s="3" t="s">
        <v>37178</v>
      </c>
      <c r="BB4297" s="3" t="s">
        <v>37179</v>
      </c>
      <c r="BC4297" s="3" t="s">
        <v>82</v>
      </c>
      <c r="BD4297" s="3" t="s">
        <v>70</v>
      </c>
      <c r="BF4297" s="3" t="s">
        <v>37179</v>
      </c>
      <c r="BG4297" s="3" t="s">
        <v>37180</v>
      </c>
    </row>
    <row r="4298" spans="1:59" ht="75" x14ac:dyDescent="0.25">
      <c r="A4298" s="2" t="s">
        <v>59</v>
      </c>
      <c r="B4298" s="2" t="s">
        <v>60</v>
      </c>
      <c r="C4298" s="2" t="s">
        <v>37181</v>
      </c>
      <c r="D4298" s="2" t="s">
        <v>37182</v>
      </c>
      <c r="E4298" s="2" t="s">
        <v>37183</v>
      </c>
      <c r="G4298" s="3" t="s">
        <v>63</v>
      </c>
      <c r="I4298" s="3" t="s">
        <v>63</v>
      </c>
      <c r="J4298" s="3" t="s">
        <v>63</v>
      </c>
      <c r="K4298" s="3" t="s">
        <v>64</v>
      </c>
      <c r="L4298" s="2" t="s">
        <v>37184</v>
      </c>
      <c r="M4298" s="2" t="s">
        <v>37185</v>
      </c>
      <c r="N4298" s="3" t="s">
        <v>3091</v>
      </c>
      <c r="P4298" s="3" t="s">
        <v>36758</v>
      </c>
      <c r="R4298" s="3" t="s">
        <v>67</v>
      </c>
      <c r="S4298" s="4">
        <v>1</v>
      </c>
      <c r="T4298" s="4">
        <v>1</v>
      </c>
      <c r="U4298" s="5" t="s">
        <v>12910</v>
      </c>
      <c r="V4298" s="5" t="s">
        <v>12910</v>
      </c>
      <c r="W4298" s="5" t="s">
        <v>69</v>
      </c>
      <c r="X4298" s="5" t="s">
        <v>69</v>
      </c>
      <c r="Y4298" s="4">
        <v>6</v>
      </c>
      <c r="Z4298" s="4">
        <v>1</v>
      </c>
      <c r="AA4298" s="4">
        <v>4</v>
      </c>
      <c r="AB4298" s="4">
        <v>1</v>
      </c>
      <c r="AC4298" s="4">
        <v>1</v>
      </c>
      <c r="AD4298" s="4">
        <v>3</v>
      </c>
      <c r="AE4298" s="4">
        <v>13</v>
      </c>
      <c r="AF4298" s="4">
        <v>0</v>
      </c>
      <c r="AG4298" s="4">
        <v>0</v>
      </c>
      <c r="AH4298" s="4">
        <v>3</v>
      </c>
      <c r="AI4298" s="4">
        <v>13</v>
      </c>
      <c r="AJ4298" s="4">
        <v>0</v>
      </c>
      <c r="AK4298" s="4">
        <v>1</v>
      </c>
      <c r="AL4298" s="4">
        <v>2</v>
      </c>
      <c r="AM4298" s="4">
        <v>11</v>
      </c>
      <c r="AN4298" s="4">
        <v>0</v>
      </c>
      <c r="AO4298" s="4">
        <v>0</v>
      </c>
      <c r="AP4298" s="4">
        <v>0</v>
      </c>
      <c r="AQ4298" s="4">
        <v>1</v>
      </c>
      <c r="AR4298" s="3" t="s">
        <v>63</v>
      </c>
      <c r="AS4298" s="3" t="s">
        <v>63</v>
      </c>
      <c r="AT4298" s="3" t="s">
        <v>63</v>
      </c>
      <c r="AV4298" s="6" t="str">
        <f>HYPERLINK("http://mcgill.on.worldcat.org/oclc/7617877","Catalog Record")</f>
        <v>Catalog Record</v>
      </c>
      <c r="AW4298" s="6" t="str">
        <f>HYPERLINK("http://www.worldcat.org/oclc/7617877","WorldCat Record")</f>
        <v>WorldCat Record</v>
      </c>
      <c r="AX4298" s="3" t="s">
        <v>37186</v>
      </c>
      <c r="AY4298" s="3" t="s">
        <v>37187</v>
      </c>
      <c r="AZ4298" s="3" t="s">
        <v>37188</v>
      </c>
      <c r="BA4298" s="3" t="s">
        <v>37188</v>
      </c>
      <c r="BB4298" s="3" t="s">
        <v>37189</v>
      </c>
      <c r="BC4298" s="3" t="s">
        <v>82</v>
      </c>
      <c r="BD4298" s="3" t="s">
        <v>70</v>
      </c>
      <c r="BF4298" s="3" t="s">
        <v>37189</v>
      </c>
      <c r="BG4298" s="3" t="s">
        <v>37190</v>
      </c>
    </row>
    <row r="4299" spans="1:59" ht="75" x14ac:dyDescent="0.25">
      <c r="A4299" s="2" t="s">
        <v>59</v>
      </c>
      <c r="B4299" s="2" t="s">
        <v>60</v>
      </c>
      <c r="C4299" s="2" t="s">
        <v>37191</v>
      </c>
      <c r="D4299" s="2" t="s">
        <v>37192</v>
      </c>
      <c r="E4299" s="2" t="s">
        <v>37193</v>
      </c>
      <c r="G4299" s="3" t="s">
        <v>63</v>
      </c>
      <c r="I4299" s="3" t="s">
        <v>63</v>
      </c>
      <c r="J4299" s="3" t="s">
        <v>63</v>
      </c>
      <c r="K4299" s="3" t="s">
        <v>64</v>
      </c>
      <c r="L4299" s="2" t="s">
        <v>37194</v>
      </c>
      <c r="M4299" s="2" t="s">
        <v>37195</v>
      </c>
      <c r="N4299" s="3" t="s">
        <v>247</v>
      </c>
      <c r="O4299" s="2" t="s">
        <v>37196</v>
      </c>
      <c r="P4299" s="3" t="s">
        <v>36758</v>
      </c>
      <c r="R4299" s="3" t="s">
        <v>67</v>
      </c>
      <c r="S4299" s="4">
        <v>1</v>
      </c>
      <c r="T4299" s="4">
        <v>1</v>
      </c>
      <c r="U4299" s="5" t="s">
        <v>37197</v>
      </c>
      <c r="V4299" s="5" t="s">
        <v>37197</v>
      </c>
      <c r="W4299" s="5" t="s">
        <v>69</v>
      </c>
      <c r="X4299" s="5" t="s">
        <v>69</v>
      </c>
      <c r="Y4299" s="4">
        <v>43</v>
      </c>
      <c r="Z4299" s="4">
        <v>4</v>
      </c>
      <c r="AA4299" s="4">
        <v>8</v>
      </c>
      <c r="AB4299" s="4">
        <v>1</v>
      </c>
      <c r="AC4299" s="4">
        <v>1</v>
      </c>
      <c r="AD4299" s="4">
        <v>24</v>
      </c>
      <c r="AE4299" s="4">
        <v>31</v>
      </c>
      <c r="AF4299" s="4">
        <v>0</v>
      </c>
      <c r="AG4299" s="4">
        <v>0</v>
      </c>
      <c r="AH4299" s="4">
        <v>24</v>
      </c>
      <c r="AI4299" s="4">
        <v>30</v>
      </c>
      <c r="AJ4299" s="4">
        <v>2</v>
      </c>
      <c r="AK4299" s="4">
        <v>4</v>
      </c>
      <c r="AL4299" s="4">
        <v>17</v>
      </c>
      <c r="AM4299" s="4">
        <v>23</v>
      </c>
      <c r="AN4299" s="4">
        <v>0</v>
      </c>
      <c r="AO4299" s="4">
        <v>0</v>
      </c>
      <c r="AP4299" s="4">
        <v>2</v>
      </c>
      <c r="AQ4299" s="4">
        <v>3</v>
      </c>
      <c r="AR4299" s="3" t="s">
        <v>62</v>
      </c>
      <c r="AS4299" s="3" t="s">
        <v>63</v>
      </c>
      <c r="AT4299" s="3" t="s">
        <v>63</v>
      </c>
      <c r="AV4299" s="6" t="str">
        <f>HYPERLINK("http://mcgill.on.worldcat.org/oclc/9194827","Catalog Record")</f>
        <v>Catalog Record</v>
      </c>
      <c r="AW4299" s="6" t="str">
        <f>HYPERLINK("http://www.worldcat.org/oclc/9194827","WorldCat Record")</f>
        <v>WorldCat Record</v>
      </c>
      <c r="AX4299" s="3" t="s">
        <v>37198</v>
      </c>
      <c r="AY4299" s="3" t="s">
        <v>37199</v>
      </c>
      <c r="AZ4299" s="3" t="s">
        <v>37200</v>
      </c>
      <c r="BA4299" s="3" t="s">
        <v>37200</v>
      </c>
      <c r="BB4299" s="3" t="s">
        <v>37201</v>
      </c>
      <c r="BC4299" s="3" t="s">
        <v>82</v>
      </c>
      <c r="BD4299" s="3" t="s">
        <v>70</v>
      </c>
      <c r="BE4299" s="3" t="s">
        <v>37202</v>
      </c>
      <c r="BF4299" s="3" t="s">
        <v>37201</v>
      </c>
      <c r="BG4299" s="3" t="s">
        <v>37203</v>
      </c>
    </row>
    <row r="4300" spans="1:59" ht="60" x14ac:dyDescent="0.25">
      <c r="A4300" s="2" t="s">
        <v>59</v>
      </c>
      <c r="B4300" s="2" t="s">
        <v>60</v>
      </c>
      <c r="C4300" s="2" t="s">
        <v>37236</v>
      </c>
      <c r="D4300" s="2" t="s">
        <v>37237</v>
      </c>
      <c r="E4300" s="2" t="s">
        <v>37238</v>
      </c>
      <c r="F4300" s="3" t="s">
        <v>37239</v>
      </c>
      <c r="G4300" s="3" t="s">
        <v>62</v>
      </c>
      <c r="I4300" s="3" t="s">
        <v>63</v>
      </c>
      <c r="J4300" s="3" t="s">
        <v>63</v>
      </c>
      <c r="K4300" s="3" t="s">
        <v>64</v>
      </c>
      <c r="L4300" s="2" t="s">
        <v>37208</v>
      </c>
      <c r="M4300" s="2" t="s">
        <v>37240</v>
      </c>
      <c r="N4300" s="3" t="s">
        <v>37241</v>
      </c>
      <c r="P4300" s="3" t="s">
        <v>36758</v>
      </c>
      <c r="R4300" s="3" t="s">
        <v>67</v>
      </c>
      <c r="S4300" s="4">
        <v>0</v>
      </c>
      <c r="T4300" s="4">
        <v>2</v>
      </c>
      <c r="V4300" s="5" t="s">
        <v>20607</v>
      </c>
      <c r="W4300" s="5" t="s">
        <v>69</v>
      </c>
      <c r="X4300" s="5" t="s">
        <v>69</v>
      </c>
      <c r="Y4300" s="4">
        <v>25</v>
      </c>
      <c r="Z4300" s="4">
        <v>2</v>
      </c>
      <c r="AA4300" s="4">
        <v>2</v>
      </c>
      <c r="AB4300" s="4">
        <v>1</v>
      </c>
      <c r="AC4300" s="4">
        <v>1</v>
      </c>
      <c r="AD4300" s="4">
        <v>21</v>
      </c>
      <c r="AE4300" s="4">
        <v>23</v>
      </c>
      <c r="AF4300" s="4">
        <v>0</v>
      </c>
      <c r="AG4300" s="4">
        <v>0</v>
      </c>
      <c r="AH4300" s="4">
        <v>19</v>
      </c>
      <c r="AI4300" s="4">
        <v>21</v>
      </c>
      <c r="AJ4300" s="4">
        <v>1</v>
      </c>
      <c r="AK4300" s="4">
        <v>1</v>
      </c>
      <c r="AL4300" s="4">
        <v>17</v>
      </c>
      <c r="AM4300" s="4">
        <v>18</v>
      </c>
      <c r="AN4300" s="4">
        <v>0</v>
      </c>
      <c r="AO4300" s="4">
        <v>0</v>
      </c>
      <c r="AP4300" s="4">
        <v>1</v>
      </c>
      <c r="AQ4300" s="4">
        <v>1</v>
      </c>
      <c r="AR4300" s="3" t="s">
        <v>63</v>
      </c>
      <c r="AS4300" s="3" t="s">
        <v>63</v>
      </c>
      <c r="AT4300" s="3" t="s">
        <v>63</v>
      </c>
      <c r="AU4300" s="6" t="str">
        <f>HYPERLINK("http://catalog.hathitrust.org/Record/005343200","HathiTrust Record")</f>
        <v>HathiTrust Record</v>
      </c>
      <c r="AV4300" s="6" t="str">
        <f>HYPERLINK("http://mcgill.on.worldcat.org/oclc/7160526","Catalog Record")</f>
        <v>Catalog Record</v>
      </c>
      <c r="AW4300" s="6" t="str">
        <f>HYPERLINK("http://www.worldcat.org/oclc/7160526","WorldCat Record")</f>
        <v>WorldCat Record</v>
      </c>
      <c r="AX4300" s="3" t="s">
        <v>37242</v>
      </c>
      <c r="AY4300" s="3" t="s">
        <v>37243</v>
      </c>
      <c r="AZ4300" s="3" t="s">
        <v>37244</v>
      </c>
      <c r="BA4300" s="3" t="s">
        <v>37244</v>
      </c>
      <c r="BB4300" s="3" t="s">
        <v>37245</v>
      </c>
      <c r="BC4300" s="3" t="s">
        <v>82</v>
      </c>
      <c r="BD4300" s="3" t="s">
        <v>70</v>
      </c>
      <c r="BF4300" s="3" t="s">
        <v>37245</v>
      </c>
      <c r="BG4300" s="3" t="s">
        <v>37246</v>
      </c>
    </row>
    <row r="4301" spans="1:59" ht="60" x14ac:dyDescent="0.25">
      <c r="A4301" s="2" t="s">
        <v>59</v>
      </c>
      <c r="B4301" s="2" t="s">
        <v>60</v>
      </c>
      <c r="C4301" s="2" t="s">
        <v>37236</v>
      </c>
      <c r="D4301" s="2" t="s">
        <v>37237</v>
      </c>
      <c r="E4301" s="2" t="s">
        <v>37238</v>
      </c>
      <c r="F4301" s="3" t="s">
        <v>37247</v>
      </c>
      <c r="G4301" s="3" t="s">
        <v>62</v>
      </c>
      <c r="I4301" s="3" t="s">
        <v>63</v>
      </c>
      <c r="J4301" s="3" t="s">
        <v>63</v>
      </c>
      <c r="K4301" s="3" t="s">
        <v>64</v>
      </c>
      <c r="L4301" s="2" t="s">
        <v>37208</v>
      </c>
      <c r="M4301" s="2" t="s">
        <v>37240</v>
      </c>
      <c r="N4301" s="3" t="s">
        <v>37241</v>
      </c>
      <c r="P4301" s="3" t="s">
        <v>36758</v>
      </c>
      <c r="R4301" s="3" t="s">
        <v>67</v>
      </c>
      <c r="S4301" s="4">
        <v>2</v>
      </c>
      <c r="T4301" s="4">
        <v>2</v>
      </c>
      <c r="U4301" s="5" t="s">
        <v>20607</v>
      </c>
      <c r="V4301" s="5" t="s">
        <v>20607</v>
      </c>
      <c r="W4301" s="5" t="s">
        <v>69</v>
      </c>
      <c r="X4301" s="5" t="s">
        <v>69</v>
      </c>
      <c r="Y4301" s="4">
        <v>25</v>
      </c>
      <c r="Z4301" s="4">
        <v>2</v>
      </c>
      <c r="AA4301" s="4">
        <v>2</v>
      </c>
      <c r="AB4301" s="4">
        <v>1</v>
      </c>
      <c r="AC4301" s="4">
        <v>1</v>
      </c>
      <c r="AD4301" s="4">
        <v>21</v>
      </c>
      <c r="AE4301" s="4">
        <v>23</v>
      </c>
      <c r="AF4301" s="4">
        <v>0</v>
      </c>
      <c r="AG4301" s="4">
        <v>0</v>
      </c>
      <c r="AH4301" s="4">
        <v>19</v>
      </c>
      <c r="AI4301" s="4">
        <v>21</v>
      </c>
      <c r="AJ4301" s="4">
        <v>1</v>
      </c>
      <c r="AK4301" s="4">
        <v>1</v>
      </c>
      <c r="AL4301" s="4">
        <v>17</v>
      </c>
      <c r="AM4301" s="4">
        <v>18</v>
      </c>
      <c r="AN4301" s="4">
        <v>0</v>
      </c>
      <c r="AO4301" s="4">
        <v>0</v>
      </c>
      <c r="AP4301" s="4">
        <v>1</v>
      </c>
      <c r="AQ4301" s="4">
        <v>1</v>
      </c>
      <c r="AR4301" s="3" t="s">
        <v>63</v>
      </c>
      <c r="AS4301" s="3" t="s">
        <v>63</v>
      </c>
      <c r="AT4301" s="3" t="s">
        <v>63</v>
      </c>
      <c r="AU4301" s="6" t="str">
        <f>HYPERLINK("http://catalog.hathitrust.org/Record/005343200","HathiTrust Record")</f>
        <v>HathiTrust Record</v>
      </c>
      <c r="AV4301" s="6" t="str">
        <f>HYPERLINK("http://mcgill.on.worldcat.org/oclc/7160526","Catalog Record")</f>
        <v>Catalog Record</v>
      </c>
      <c r="AW4301" s="6" t="str">
        <f>HYPERLINK("http://www.worldcat.org/oclc/7160526","WorldCat Record")</f>
        <v>WorldCat Record</v>
      </c>
      <c r="AX4301" s="3" t="s">
        <v>37242</v>
      </c>
      <c r="AY4301" s="3" t="s">
        <v>37243</v>
      </c>
      <c r="AZ4301" s="3" t="s">
        <v>37244</v>
      </c>
      <c r="BA4301" s="3" t="s">
        <v>37244</v>
      </c>
      <c r="BB4301" s="3" t="s">
        <v>37248</v>
      </c>
      <c r="BC4301" s="3" t="s">
        <v>82</v>
      </c>
      <c r="BD4301" s="3" t="s">
        <v>70</v>
      </c>
      <c r="BF4301" s="3" t="s">
        <v>37248</v>
      </c>
      <c r="BG4301" s="3" t="s">
        <v>37249</v>
      </c>
    </row>
    <row r="4302" spans="1:59" ht="60" x14ac:dyDescent="0.25">
      <c r="A4302" s="2" t="s">
        <v>59</v>
      </c>
      <c r="B4302" s="2" t="s">
        <v>60</v>
      </c>
      <c r="C4302" s="2" t="s">
        <v>37236</v>
      </c>
      <c r="D4302" s="2" t="s">
        <v>37237</v>
      </c>
      <c r="E4302" s="2" t="s">
        <v>37238</v>
      </c>
      <c r="F4302" s="3" t="s">
        <v>37250</v>
      </c>
      <c r="G4302" s="3" t="s">
        <v>62</v>
      </c>
      <c r="I4302" s="3" t="s">
        <v>63</v>
      </c>
      <c r="J4302" s="3" t="s">
        <v>63</v>
      </c>
      <c r="K4302" s="3" t="s">
        <v>64</v>
      </c>
      <c r="L4302" s="2" t="s">
        <v>37208</v>
      </c>
      <c r="M4302" s="2" t="s">
        <v>37240</v>
      </c>
      <c r="N4302" s="3" t="s">
        <v>37241</v>
      </c>
      <c r="P4302" s="3" t="s">
        <v>36758</v>
      </c>
      <c r="R4302" s="3" t="s">
        <v>67</v>
      </c>
      <c r="S4302" s="4">
        <v>0</v>
      </c>
      <c r="T4302" s="4">
        <v>2</v>
      </c>
      <c r="V4302" s="5" t="s">
        <v>20607</v>
      </c>
      <c r="W4302" s="5" t="s">
        <v>69</v>
      </c>
      <c r="X4302" s="5" t="s">
        <v>69</v>
      </c>
      <c r="Y4302" s="4">
        <v>25</v>
      </c>
      <c r="Z4302" s="4">
        <v>2</v>
      </c>
      <c r="AA4302" s="4">
        <v>2</v>
      </c>
      <c r="AB4302" s="4">
        <v>1</v>
      </c>
      <c r="AC4302" s="4">
        <v>1</v>
      </c>
      <c r="AD4302" s="4">
        <v>21</v>
      </c>
      <c r="AE4302" s="4">
        <v>23</v>
      </c>
      <c r="AF4302" s="4">
        <v>0</v>
      </c>
      <c r="AG4302" s="4">
        <v>0</v>
      </c>
      <c r="AH4302" s="4">
        <v>19</v>
      </c>
      <c r="AI4302" s="4">
        <v>21</v>
      </c>
      <c r="AJ4302" s="4">
        <v>1</v>
      </c>
      <c r="AK4302" s="4">
        <v>1</v>
      </c>
      <c r="AL4302" s="4">
        <v>17</v>
      </c>
      <c r="AM4302" s="4">
        <v>18</v>
      </c>
      <c r="AN4302" s="4">
        <v>0</v>
      </c>
      <c r="AO4302" s="4">
        <v>0</v>
      </c>
      <c r="AP4302" s="4">
        <v>1</v>
      </c>
      <c r="AQ4302" s="4">
        <v>1</v>
      </c>
      <c r="AR4302" s="3" t="s">
        <v>63</v>
      </c>
      <c r="AS4302" s="3" t="s">
        <v>63</v>
      </c>
      <c r="AT4302" s="3" t="s">
        <v>63</v>
      </c>
      <c r="AU4302" s="6" t="str">
        <f>HYPERLINK("http://catalog.hathitrust.org/Record/005343200","HathiTrust Record")</f>
        <v>HathiTrust Record</v>
      </c>
      <c r="AV4302" s="6" t="str">
        <f>HYPERLINK("http://mcgill.on.worldcat.org/oclc/7160526","Catalog Record")</f>
        <v>Catalog Record</v>
      </c>
      <c r="AW4302" s="6" t="str">
        <f>HYPERLINK("http://www.worldcat.org/oclc/7160526","WorldCat Record")</f>
        <v>WorldCat Record</v>
      </c>
      <c r="AX4302" s="3" t="s">
        <v>37242</v>
      </c>
      <c r="AY4302" s="3" t="s">
        <v>37243</v>
      </c>
      <c r="AZ4302" s="3" t="s">
        <v>37244</v>
      </c>
      <c r="BA4302" s="3" t="s">
        <v>37244</v>
      </c>
      <c r="BB4302" s="3" t="s">
        <v>37251</v>
      </c>
      <c r="BC4302" s="3" t="s">
        <v>82</v>
      </c>
      <c r="BD4302" s="3" t="s">
        <v>70</v>
      </c>
      <c r="BF4302" s="3" t="s">
        <v>37251</v>
      </c>
      <c r="BG4302" s="3" t="s">
        <v>37252</v>
      </c>
    </row>
    <row r="4303" spans="1:59" ht="60" x14ac:dyDescent="0.25">
      <c r="A4303" s="2" t="s">
        <v>59</v>
      </c>
      <c r="B4303" s="2" t="s">
        <v>60</v>
      </c>
      <c r="C4303" s="2" t="s">
        <v>37204</v>
      </c>
      <c r="D4303" s="2" t="s">
        <v>37205</v>
      </c>
      <c r="E4303" s="2" t="s">
        <v>37206</v>
      </c>
      <c r="F4303" s="3" t="s">
        <v>37207</v>
      </c>
      <c r="G4303" s="3" t="s">
        <v>62</v>
      </c>
      <c r="I4303" s="3" t="s">
        <v>63</v>
      </c>
      <c r="J4303" s="3" t="s">
        <v>63</v>
      </c>
      <c r="K4303" s="3" t="s">
        <v>64</v>
      </c>
      <c r="L4303" s="2" t="s">
        <v>37208</v>
      </c>
      <c r="M4303" s="2" t="s">
        <v>37209</v>
      </c>
      <c r="N4303" s="3" t="s">
        <v>11417</v>
      </c>
      <c r="P4303" s="3" t="s">
        <v>36758</v>
      </c>
      <c r="R4303" s="3" t="s">
        <v>67</v>
      </c>
      <c r="S4303" s="4">
        <v>5</v>
      </c>
      <c r="T4303" s="4">
        <v>11</v>
      </c>
      <c r="U4303" s="5" t="s">
        <v>37210</v>
      </c>
      <c r="V4303" s="5" t="s">
        <v>37210</v>
      </c>
      <c r="W4303" s="5" t="s">
        <v>69</v>
      </c>
      <c r="X4303" s="5" t="s">
        <v>69</v>
      </c>
      <c r="Y4303" s="4">
        <v>1</v>
      </c>
      <c r="Z4303" s="4">
        <v>1</v>
      </c>
      <c r="AA4303" s="4">
        <v>1</v>
      </c>
      <c r="AB4303" s="4">
        <v>1</v>
      </c>
      <c r="AC4303" s="4">
        <v>1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3" t="s">
        <v>63</v>
      </c>
      <c r="AS4303" s="3" t="s">
        <v>63</v>
      </c>
      <c r="AT4303" s="3" t="s">
        <v>63</v>
      </c>
      <c r="AV4303" s="6" t="str">
        <f>HYPERLINK("http://mcgill.on.worldcat.org/oclc/427917559","Catalog Record")</f>
        <v>Catalog Record</v>
      </c>
      <c r="AW4303" s="6" t="str">
        <f>HYPERLINK("http://www.worldcat.org/oclc/427917559","WorldCat Record")</f>
        <v>WorldCat Record</v>
      </c>
      <c r="AX4303" s="3" t="s">
        <v>37211</v>
      </c>
      <c r="AY4303" s="3" t="s">
        <v>37212</v>
      </c>
      <c r="AZ4303" s="3" t="s">
        <v>37213</v>
      </c>
      <c r="BA4303" s="3" t="s">
        <v>37213</v>
      </c>
      <c r="BB4303" s="3" t="s">
        <v>37214</v>
      </c>
      <c r="BC4303" s="3" t="s">
        <v>82</v>
      </c>
      <c r="BD4303" s="3" t="s">
        <v>70</v>
      </c>
      <c r="BF4303" s="3" t="s">
        <v>37214</v>
      </c>
      <c r="BG4303" s="3" t="s">
        <v>37215</v>
      </c>
    </row>
    <row r="4304" spans="1:59" ht="60" x14ac:dyDescent="0.25">
      <c r="A4304" s="2" t="s">
        <v>59</v>
      </c>
      <c r="B4304" s="2" t="s">
        <v>60</v>
      </c>
      <c r="C4304" s="2" t="s">
        <v>37204</v>
      </c>
      <c r="D4304" s="2" t="s">
        <v>37205</v>
      </c>
      <c r="E4304" s="2" t="s">
        <v>37206</v>
      </c>
      <c r="F4304" s="3" t="s">
        <v>37216</v>
      </c>
      <c r="G4304" s="3" t="s">
        <v>62</v>
      </c>
      <c r="I4304" s="3" t="s">
        <v>63</v>
      </c>
      <c r="J4304" s="3" t="s">
        <v>63</v>
      </c>
      <c r="K4304" s="3" t="s">
        <v>64</v>
      </c>
      <c r="L4304" s="2" t="s">
        <v>37208</v>
      </c>
      <c r="M4304" s="2" t="s">
        <v>37209</v>
      </c>
      <c r="N4304" s="3" t="s">
        <v>11417</v>
      </c>
      <c r="P4304" s="3" t="s">
        <v>36758</v>
      </c>
      <c r="R4304" s="3" t="s">
        <v>67</v>
      </c>
      <c r="S4304" s="4">
        <v>1</v>
      </c>
      <c r="T4304" s="4">
        <v>11</v>
      </c>
      <c r="U4304" s="5" t="s">
        <v>10010</v>
      </c>
      <c r="V4304" s="5" t="s">
        <v>37210</v>
      </c>
      <c r="W4304" s="5" t="s">
        <v>69</v>
      </c>
      <c r="X4304" s="5" t="s">
        <v>69</v>
      </c>
      <c r="Y4304" s="4">
        <v>1</v>
      </c>
      <c r="Z4304" s="4">
        <v>1</v>
      </c>
      <c r="AA4304" s="4">
        <v>1</v>
      </c>
      <c r="AB4304" s="4">
        <v>1</v>
      </c>
      <c r="AC4304" s="4">
        <v>1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3" t="s">
        <v>63</v>
      </c>
      <c r="AS4304" s="3" t="s">
        <v>63</v>
      </c>
      <c r="AT4304" s="3" t="s">
        <v>63</v>
      </c>
      <c r="AV4304" s="6" t="str">
        <f>HYPERLINK("http://mcgill.on.worldcat.org/oclc/427917559","Catalog Record")</f>
        <v>Catalog Record</v>
      </c>
      <c r="AW4304" s="6" t="str">
        <f>HYPERLINK("http://www.worldcat.org/oclc/427917559","WorldCat Record")</f>
        <v>WorldCat Record</v>
      </c>
      <c r="AX4304" s="3" t="s">
        <v>37211</v>
      </c>
      <c r="AY4304" s="3" t="s">
        <v>37212</v>
      </c>
      <c r="AZ4304" s="3" t="s">
        <v>37213</v>
      </c>
      <c r="BA4304" s="3" t="s">
        <v>37213</v>
      </c>
      <c r="BB4304" s="3" t="s">
        <v>37217</v>
      </c>
      <c r="BC4304" s="3" t="s">
        <v>82</v>
      </c>
      <c r="BD4304" s="3" t="s">
        <v>70</v>
      </c>
      <c r="BF4304" s="3" t="s">
        <v>37217</v>
      </c>
      <c r="BG4304" s="3" t="s">
        <v>37218</v>
      </c>
    </row>
    <row r="4305" spans="1:59" ht="60" x14ac:dyDescent="0.25">
      <c r="A4305" s="2" t="s">
        <v>59</v>
      </c>
      <c r="B4305" s="2" t="s">
        <v>60</v>
      </c>
      <c r="C4305" s="2" t="s">
        <v>37204</v>
      </c>
      <c r="D4305" s="2" t="s">
        <v>37205</v>
      </c>
      <c r="E4305" s="2" t="s">
        <v>37206</v>
      </c>
      <c r="F4305" s="3" t="s">
        <v>37219</v>
      </c>
      <c r="G4305" s="3" t="s">
        <v>62</v>
      </c>
      <c r="I4305" s="3" t="s">
        <v>63</v>
      </c>
      <c r="J4305" s="3" t="s">
        <v>63</v>
      </c>
      <c r="K4305" s="3" t="s">
        <v>64</v>
      </c>
      <c r="L4305" s="2" t="s">
        <v>37208</v>
      </c>
      <c r="M4305" s="2" t="s">
        <v>37209</v>
      </c>
      <c r="N4305" s="3" t="s">
        <v>11417</v>
      </c>
      <c r="P4305" s="3" t="s">
        <v>36758</v>
      </c>
      <c r="R4305" s="3" t="s">
        <v>67</v>
      </c>
      <c r="S4305" s="4">
        <v>0</v>
      </c>
      <c r="T4305" s="4">
        <v>11</v>
      </c>
      <c r="V4305" s="5" t="s">
        <v>37210</v>
      </c>
      <c r="W4305" s="5" t="s">
        <v>69</v>
      </c>
      <c r="X4305" s="5" t="s">
        <v>69</v>
      </c>
      <c r="Y4305" s="4">
        <v>1</v>
      </c>
      <c r="Z4305" s="4">
        <v>1</v>
      </c>
      <c r="AA4305" s="4">
        <v>1</v>
      </c>
      <c r="AB4305" s="4">
        <v>1</v>
      </c>
      <c r="AC4305" s="4">
        <v>1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3" t="s">
        <v>63</v>
      </c>
      <c r="AS4305" s="3" t="s">
        <v>63</v>
      </c>
      <c r="AT4305" s="3" t="s">
        <v>63</v>
      </c>
      <c r="AV4305" s="6" t="str">
        <f>HYPERLINK("http://mcgill.on.worldcat.org/oclc/427917559","Catalog Record")</f>
        <v>Catalog Record</v>
      </c>
      <c r="AW4305" s="6" t="str">
        <f>HYPERLINK("http://www.worldcat.org/oclc/427917559","WorldCat Record")</f>
        <v>WorldCat Record</v>
      </c>
      <c r="AX4305" s="3" t="s">
        <v>37211</v>
      </c>
      <c r="AY4305" s="3" t="s">
        <v>37212</v>
      </c>
      <c r="AZ4305" s="3" t="s">
        <v>37213</v>
      </c>
      <c r="BA4305" s="3" t="s">
        <v>37213</v>
      </c>
      <c r="BB4305" s="3" t="s">
        <v>37220</v>
      </c>
      <c r="BC4305" s="3" t="s">
        <v>82</v>
      </c>
      <c r="BD4305" s="3" t="s">
        <v>70</v>
      </c>
      <c r="BF4305" s="3" t="s">
        <v>37220</v>
      </c>
      <c r="BG4305" s="3" t="s">
        <v>37221</v>
      </c>
    </row>
    <row r="4306" spans="1:59" ht="60" x14ac:dyDescent="0.25">
      <c r="A4306" s="2" t="s">
        <v>59</v>
      </c>
      <c r="B4306" s="2" t="s">
        <v>60</v>
      </c>
      <c r="C4306" s="2" t="s">
        <v>37204</v>
      </c>
      <c r="D4306" s="2" t="s">
        <v>37205</v>
      </c>
      <c r="E4306" s="2" t="s">
        <v>37206</v>
      </c>
      <c r="F4306" s="3" t="s">
        <v>37222</v>
      </c>
      <c r="G4306" s="3" t="s">
        <v>62</v>
      </c>
      <c r="I4306" s="3" t="s">
        <v>63</v>
      </c>
      <c r="J4306" s="3" t="s">
        <v>63</v>
      </c>
      <c r="K4306" s="3" t="s">
        <v>64</v>
      </c>
      <c r="L4306" s="2" t="s">
        <v>37208</v>
      </c>
      <c r="M4306" s="2" t="s">
        <v>37209</v>
      </c>
      <c r="N4306" s="3" t="s">
        <v>11417</v>
      </c>
      <c r="P4306" s="3" t="s">
        <v>36758</v>
      </c>
      <c r="R4306" s="3" t="s">
        <v>67</v>
      </c>
      <c r="S4306" s="4">
        <v>5</v>
      </c>
      <c r="T4306" s="4">
        <v>11</v>
      </c>
      <c r="U4306" s="5" t="s">
        <v>10010</v>
      </c>
      <c r="V4306" s="5" t="s">
        <v>37210</v>
      </c>
      <c r="W4306" s="5" t="s">
        <v>69</v>
      </c>
      <c r="X4306" s="5" t="s">
        <v>69</v>
      </c>
      <c r="Y4306" s="4">
        <v>1</v>
      </c>
      <c r="Z4306" s="4">
        <v>1</v>
      </c>
      <c r="AA4306" s="4">
        <v>1</v>
      </c>
      <c r="AB4306" s="4">
        <v>1</v>
      </c>
      <c r="AC4306" s="4">
        <v>1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3" t="s">
        <v>63</v>
      </c>
      <c r="AS4306" s="3" t="s">
        <v>63</v>
      </c>
      <c r="AT4306" s="3" t="s">
        <v>63</v>
      </c>
      <c r="AV4306" s="6" t="str">
        <f>HYPERLINK("http://mcgill.on.worldcat.org/oclc/427917559","Catalog Record")</f>
        <v>Catalog Record</v>
      </c>
      <c r="AW4306" s="6" t="str">
        <f>HYPERLINK("http://www.worldcat.org/oclc/427917559","WorldCat Record")</f>
        <v>WorldCat Record</v>
      </c>
      <c r="AX4306" s="3" t="s">
        <v>37211</v>
      </c>
      <c r="AY4306" s="3" t="s">
        <v>37212</v>
      </c>
      <c r="AZ4306" s="3" t="s">
        <v>37213</v>
      </c>
      <c r="BA4306" s="3" t="s">
        <v>37213</v>
      </c>
      <c r="BB4306" s="3" t="s">
        <v>37223</v>
      </c>
      <c r="BC4306" s="3" t="s">
        <v>82</v>
      </c>
      <c r="BD4306" s="3" t="s">
        <v>70</v>
      </c>
      <c r="BF4306" s="3" t="s">
        <v>37223</v>
      </c>
      <c r="BG4306" s="3" t="s">
        <v>37224</v>
      </c>
    </row>
    <row r="4307" spans="1:59" ht="60" x14ac:dyDescent="0.25">
      <c r="A4307" s="2" t="s">
        <v>59</v>
      </c>
      <c r="B4307" s="2" t="s">
        <v>60</v>
      </c>
      <c r="C4307" s="2" t="s">
        <v>37225</v>
      </c>
      <c r="D4307" s="2" t="s">
        <v>37226</v>
      </c>
      <c r="E4307" s="2" t="s">
        <v>37227</v>
      </c>
      <c r="G4307" s="3" t="s">
        <v>63</v>
      </c>
      <c r="I4307" s="3" t="s">
        <v>63</v>
      </c>
      <c r="J4307" s="3" t="s">
        <v>63</v>
      </c>
      <c r="K4307" s="3" t="s">
        <v>64</v>
      </c>
      <c r="L4307" s="2" t="s">
        <v>37208</v>
      </c>
      <c r="M4307" s="2" t="s">
        <v>37228</v>
      </c>
      <c r="N4307" s="3" t="s">
        <v>204</v>
      </c>
      <c r="P4307" s="3" t="s">
        <v>66</v>
      </c>
      <c r="Q4307" s="2" t="s">
        <v>37229</v>
      </c>
      <c r="R4307" s="3" t="s">
        <v>67</v>
      </c>
      <c r="S4307" s="4">
        <v>14</v>
      </c>
      <c r="T4307" s="4">
        <v>14</v>
      </c>
      <c r="U4307" s="5" t="s">
        <v>17751</v>
      </c>
      <c r="V4307" s="5" t="s">
        <v>17751</v>
      </c>
      <c r="W4307" s="5" t="s">
        <v>69</v>
      </c>
      <c r="X4307" s="5" t="s">
        <v>69</v>
      </c>
      <c r="Y4307" s="4">
        <v>155</v>
      </c>
      <c r="Z4307" s="4">
        <v>5</v>
      </c>
      <c r="AA4307" s="4">
        <v>25</v>
      </c>
      <c r="AB4307" s="4">
        <v>1</v>
      </c>
      <c r="AC4307" s="4">
        <v>1</v>
      </c>
      <c r="AD4307" s="4">
        <v>40</v>
      </c>
      <c r="AE4307" s="4">
        <v>97</v>
      </c>
      <c r="AF4307" s="4">
        <v>0</v>
      </c>
      <c r="AG4307" s="4">
        <v>0</v>
      </c>
      <c r="AH4307" s="4">
        <v>38</v>
      </c>
      <c r="AI4307" s="4">
        <v>88</v>
      </c>
      <c r="AJ4307" s="4">
        <v>2</v>
      </c>
      <c r="AK4307" s="4">
        <v>13</v>
      </c>
      <c r="AL4307" s="4">
        <v>19</v>
      </c>
      <c r="AM4307" s="4">
        <v>52</v>
      </c>
      <c r="AN4307" s="4">
        <v>0</v>
      </c>
      <c r="AO4307" s="4">
        <v>0</v>
      </c>
      <c r="AP4307" s="4">
        <v>2</v>
      </c>
      <c r="AQ4307" s="4">
        <v>14</v>
      </c>
      <c r="AR4307" s="3" t="s">
        <v>63</v>
      </c>
      <c r="AS4307" s="3" t="s">
        <v>63</v>
      </c>
      <c r="AT4307" s="3" t="s">
        <v>63</v>
      </c>
      <c r="AV4307" s="6" t="str">
        <f>HYPERLINK("http://mcgill.on.worldcat.org/oclc/34496403","Catalog Record")</f>
        <v>Catalog Record</v>
      </c>
      <c r="AW4307" s="6" t="str">
        <f>HYPERLINK("http://www.worldcat.org/oclc/34496403","WorldCat Record")</f>
        <v>WorldCat Record</v>
      </c>
      <c r="AX4307" s="3" t="s">
        <v>37230</v>
      </c>
      <c r="AY4307" s="3" t="s">
        <v>37231</v>
      </c>
      <c r="AZ4307" s="3" t="s">
        <v>37232</v>
      </c>
      <c r="BA4307" s="3" t="s">
        <v>37232</v>
      </c>
      <c r="BB4307" s="3" t="s">
        <v>37233</v>
      </c>
      <c r="BC4307" s="3" t="s">
        <v>82</v>
      </c>
      <c r="BD4307" s="3" t="s">
        <v>70</v>
      </c>
      <c r="BE4307" s="3" t="s">
        <v>37234</v>
      </c>
      <c r="BF4307" s="3" t="s">
        <v>37233</v>
      </c>
      <c r="BG4307" s="3" t="s">
        <v>37235</v>
      </c>
    </row>
    <row r="4308" spans="1:59" ht="75" x14ac:dyDescent="0.25">
      <c r="A4308" s="2" t="s">
        <v>59</v>
      </c>
      <c r="B4308" s="2" t="s">
        <v>60</v>
      </c>
      <c r="C4308" s="2" t="s">
        <v>37253</v>
      </c>
      <c r="D4308" s="2" t="s">
        <v>37254</v>
      </c>
      <c r="E4308" s="2" t="s">
        <v>37255</v>
      </c>
      <c r="G4308" s="3" t="s">
        <v>63</v>
      </c>
      <c r="I4308" s="3" t="s">
        <v>63</v>
      </c>
      <c r="J4308" s="3" t="s">
        <v>62</v>
      </c>
      <c r="K4308" s="3" t="s">
        <v>64</v>
      </c>
      <c r="L4308" s="2" t="s">
        <v>37256</v>
      </c>
      <c r="M4308" s="2" t="s">
        <v>37257</v>
      </c>
      <c r="N4308" s="3" t="s">
        <v>681</v>
      </c>
      <c r="P4308" s="3" t="s">
        <v>66</v>
      </c>
      <c r="R4308" s="3" t="s">
        <v>67</v>
      </c>
      <c r="S4308" s="4">
        <v>1</v>
      </c>
      <c r="T4308" s="4">
        <v>1</v>
      </c>
      <c r="U4308" s="5" t="s">
        <v>482</v>
      </c>
      <c r="V4308" s="5" t="s">
        <v>482</v>
      </c>
      <c r="W4308" s="5" t="s">
        <v>69</v>
      </c>
      <c r="X4308" s="5" t="s">
        <v>69</v>
      </c>
      <c r="Y4308" s="4">
        <v>52</v>
      </c>
      <c r="Z4308" s="4">
        <v>7</v>
      </c>
      <c r="AA4308" s="4">
        <v>18</v>
      </c>
      <c r="AB4308" s="4">
        <v>1</v>
      </c>
      <c r="AC4308" s="4">
        <v>3</v>
      </c>
      <c r="AD4308" s="4">
        <v>22</v>
      </c>
      <c r="AE4308" s="4">
        <v>80</v>
      </c>
      <c r="AF4308" s="4">
        <v>0</v>
      </c>
      <c r="AG4308" s="4">
        <v>1</v>
      </c>
      <c r="AH4308" s="4">
        <v>21</v>
      </c>
      <c r="AI4308" s="4">
        <v>71</v>
      </c>
      <c r="AJ4308" s="4">
        <v>3</v>
      </c>
      <c r="AK4308" s="4">
        <v>7</v>
      </c>
      <c r="AL4308" s="4">
        <v>15</v>
      </c>
      <c r="AM4308" s="4">
        <v>42</v>
      </c>
      <c r="AN4308" s="4">
        <v>0</v>
      </c>
      <c r="AO4308" s="4">
        <v>0</v>
      </c>
      <c r="AP4308" s="4">
        <v>3</v>
      </c>
      <c r="AQ4308" s="4">
        <v>9</v>
      </c>
      <c r="AR4308" s="3" t="s">
        <v>63</v>
      </c>
      <c r="AS4308" s="3" t="s">
        <v>63</v>
      </c>
      <c r="AT4308" s="3" t="s">
        <v>62</v>
      </c>
      <c r="AU4308" s="6" t="str">
        <f>HYPERLINK("http://catalog.hathitrust.org/Record/001231253","HathiTrust Record")</f>
        <v>HathiTrust Record</v>
      </c>
      <c r="AV4308" s="6" t="str">
        <f>HYPERLINK("http://mcgill.on.worldcat.org/oclc/103266","Catalog Record")</f>
        <v>Catalog Record</v>
      </c>
      <c r="AW4308" s="6" t="str">
        <f>HYPERLINK("http://www.worldcat.org/oclc/103266","WorldCat Record")</f>
        <v>WorldCat Record</v>
      </c>
      <c r="AX4308" s="3" t="s">
        <v>37258</v>
      </c>
      <c r="AY4308" s="3" t="s">
        <v>37259</v>
      </c>
      <c r="AZ4308" s="3" t="s">
        <v>37260</v>
      </c>
      <c r="BA4308" s="3" t="s">
        <v>37260</v>
      </c>
      <c r="BB4308" s="3" t="s">
        <v>37261</v>
      </c>
      <c r="BC4308" s="3" t="s">
        <v>82</v>
      </c>
      <c r="BD4308" s="3" t="s">
        <v>70</v>
      </c>
      <c r="BE4308" s="3" t="s">
        <v>37262</v>
      </c>
      <c r="BF4308" s="3" t="s">
        <v>37261</v>
      </c>
      <c r="BG4308" s="3" t="s">
        <v>37263</v>
      </c>
    </row>
    <row r="4309" spans="1:59" ht="60" x14ac:dyDescent="0.25">
      <c r="A4309" s="2" t="s">
        <v>59</v>
      </c>
      <c r="B4309" s="2" t="s">
        <v>60</v>
      </c>
      <c r="C4309" s="2" t="s">
        <v>37264</v>
      </c>
      <c r="D4309" s="2" t="s">
        <v>37265</v>
      </c>
      <c r="E4309" s="2" t="s">
        <v>37266</v>
      </c>
      <c r="G4309" s="3" t="s">
        <v>63</v>
      </c>
      <c r="I4309" s="3" t="s">
        <v>63</v>
      </c>
      <c r="J4309" s="3" t="s">
        <v>63</v>
      </c>
      <c r="K4309" s="3" t="s">
        <v>64</v>
      </c>
      <c r="L4309" s="2" t="s">
        <v>37267</v>
      </c>
      <c r="M4309" s="2" t="s">
        <v>37268</v>
      </c>
      <c r="N4309" s="3" t="s">
        <v>2103</v>
      </c>
      <c r="P4309" s="3" t="s">
        <v>66</v>
      </c>
      <c r="R4309" s="3" t="s">
        <v>67</v>
      </c>
      <c r="S4309" s="4">
        <v>6</v>
      </c>
      <c r="T4309" s="4">
        <v>6</v>
      </c>
      <c r="U4309" s="5" t="s">
        <v>22266</v>
      </c>
      <c r="V4309" s="5" t="s">
        <v>22266</v>
      </c>
      <c r="W4309" s="5" t="s">
        <v>69</v>
      </c>
      <c r="X4309" s="5" t="s">
        <v>69</v>
      </c>
      <c r="Y4309" s="4">
        <v>60</v>
      </c>
      <c r="Z4309" s="4">
        <v>3</v>
      </c>
      <c r="AA4309" s="4">
        <v>3</v>
      </c>
      <c r="AB4309" s="4">
        <v>1</v>
      </c>
      <c r="AC4309" s="4">
        <v>1</v>
      </c>
      <c r="AD4309" s="4">
        <v>32</v>
      </c>
      <c r="AE4309" s="4">
        <v>32</v>
      </c>
      <c r="AF4309" s="4">
        <v>0</v>
      </c>
      <c r="AG4309" s="4">
        <v>0</v>
      </c>
      <c r="AH4309" s="4">
        <v>32</v>
      </c>
      <c r="AI4309" s="4">
        <v>32</v>
      </c>
      <c r="AJ4309" s="4">
        <v>1</v>
      </c>
      <c r="AK4309" s="4">
        <v>1</v>
      </c>
      <c r="AL4309" s="4">
        <v>22</v>
      </c>
      <c r="AM4309" s="4">
        <v>22</v>
      </c>
      <c r="AN4309" s="4">
        <v>0</v>
      </c>
      <c r="AO4309" s="4">
        <v>0</v>
      </c>
      <c r="AP4309" s="4">
        <v>1</v>
      </c>
      <c r="AQ4309" s="4">
        <v>1</v>
      </c>
      <c r="AR4309" s="3" t="s">
        <v>63</v>
      </c>
      <c r="AS4309" s="3" t="s">
        <v>63</v>
      </c>
      <c r="AT4309" s="3" t="s">
        <v>63</v>
      </c>
      <c r="AV4309" s="6" t="str">
        <f>HYPERLINK("http://mcgill.on.worldcat.org/oclc/57470869","Catalog Record")</f>
        <v>Catalog Record</v>
      </c>
      <c r="AW4309" s="6" t="str">
        <f>HYPERLINK("http://www.worldcat.org/oclc/57470869","WorldCat Record")</f>
        <v>WorldCat Record</v>
      </c>
      <c r="AX4309" s="3" t="s">
        <v>37269</v>
      </c>
      <c r="AY4309" s="3" t="s">
        <v>37270</v>
      </c>
      <c r="AZ4309" s="3" t="s">
        <v>37271</v>
      </c>
      <c r="BA4309" s="3" t="s">
        <v>37271</v>
      </c>
      <c r="BB4309" s="3" t="s">
        <v>37272</v>
      </c>
      <c r="BC4309" s="3" t="s">
        <v>82</v>
      </c>
      <c r="BD4309" s="3" t="s">
        <v>70</v>
      </c>
      <c r="BE4309" s="3" t="s">
        <v>37273</v>
      </c>
      <c r="BF4309" s="3" t="s">
        <v>37272</v>
      </c>
      <c r="BG4309" s="3" t="s">
        <v>37274</v>
      </c>
    </row>
    <row r="4310" spans="1:59" ht="60" x14ac:dyDescent="0.25">
      <c r="A4310" s="2" t="s">
        <v>59</v>
      </c>
      <c r="B4310" s="2" t="s">
        <v>60</v>
      </c>
      <c r="C4310" s="2" t="s">
        <v>37275</v>
      </c>
      <c r="D4310" s="2" t="s">
        <v>37276</v>
      </c>
      <c r="E4310" s="2" t="s">
        <v>37277</v>
      </c>
      <c r="G4310" s="3" t="s">
        <v>63</v>
      </c>
      <c r="I4310" s="3" t="s">
        <v>63</v>
      </c>
      <c r="J4310" s="3" t="s">
        <v>63</v>
      </c>
      <c r="K4310" s="3" t="s">
        <v>64</v>
      </c>
      <c r="L4310" s="2" t="s">
        <v>37267</v>
      </c>
      <c r="M4310" s="2" t="s">
        <v>25383</v>
      </c>
      <c r="N4310" s="3" t="s">
        <v>362</v>
      </c>
      <c r="P4310" s="3" t="s">
        <v>66</v>
      </c>
      <c r="Q4310" s="2" t="s">
        <v>37278</v>
      </c>
      <c r="R4310" s="3" t="s">
        <v>67</v>
      </c>
      <c r="S4310" s="4">
        <v>5</v>
      </c>
      <c r="T4310" s="4">
        <v>5</v>
      </c>
      <c r="U4310" s="5" t="s">
        <v>3466</v>
      </c>
      <c r="V4310" s="5" t="s">
        <v>3466</v>
      </c>
      <c r="W4310" s="5" t="s">
        <v>69</v>
      </c>
      <c r="X4310" s="5" t="s">
        <v>69</v>
      </c>
      <c r="Y4310" s="4">
        <v>106</v>
      </c>
      <c r="Z4310" s="4">
        <v>6</v>
      </c>
      <c r="AA4310" s="4">
        <v>6</v>
      </c>
      <c r="AB4310" s="4">
        <v>2</v>
      </c>
      <c r="AC4310" s="4">
        <v>2</v>
      </c>
      <c r="AD4310" s="4">
        <v>58</v>
      </c>
      <c r="AE4310" s="4">
        <v>58</v>
      </c>
      <c r="AF4310" s="4">
        <v>0</v>
      </c>
      <c r="AG4310" s="4">
        <v>0</v>
      </c>
      <c r="AH4310" s="4">
        <v>54</v>
      </c>
      <c r="AI4310" s="4">
        <v>54</v>
      </c>
      <c r="AJ4310" s="4">
        <v>3</v>
      </c>
      <c r="AK4310" s="4">
        <v>3</v>
      </c>
      <c r="AL4310" s="4">
        <v>35</v>
      </c>
      <c r="AM4310" s="4">
        <v>35</v>
      </c>
      <c r="AN4310" s="4">
        <v>0</v>
      </c>
      <c r="AO4310" s="4">
        <v>0</v>
      </c>
      <c r="AP4310" s="4">
        <v>3</v>
      </c>
      <c r="AQ4310" s="4">
        <v>3</v>
      </c>
      <c r="AR4310" s="3" t="s">
        <v>63</v>
      </c>
      <c r="AS4310" s="3" t="s">
        <v>63</v>
      </c>
      <c r="AT4310" s="3" t="s">
        <v>63</v>
      </c>
      <c r="AV4310" s="6" t="str">
        <f>HYPERLINK("http://mcgill.on.worldcat.org/oclc/47885863","Catalog Record")</f>
        <v>Catalog Record</v>
      </c>
      <c r="AW4310" s="6" t="str">
        <f>HYPERLINK("http://www.worldcat.org/oclc/47885863","WorldCat Record")</f>
        <v>WorldCat Record</v>
      </c>
      <c r="AX4310" s="3" t="s">
        <v>37279</v>
      </c>
      <c r="AY4310" s="3" t="s">
        <v>37280</v>
      </c>
      <c r="AZ4310" s="3" t="s">
        <v>37281</v>
      </c>
      <c r="BA4310" s="3" t="s">
        <v>37281</v>
      </c>
      <c r="BB4310" s="3" t="s">
        <v>37282</v>
      </c>
      <c r="BC4310" s="3" t="s">
        <v>82</v>
      </c>
      <c r="BD4310" s="3" t="s">
        <v>70</v>
      </c>
      <c r="BE4310" s="3" t="s">
        <v>37283</v>
      </c>
      <c r="BF4310" s="3" t="s">
        <v>37282</v>
      </c>
      <c r="BG4310" s="3" t="s">
        <v>37284</v>
      </c>
    </row>
    <row r="4311" spans="1:59" ht="75" x14ac:dyDescent="0.25">
      <c r="A4311" s="2" t="s">
        <v>59</v>
      </c>
      <c r="B4311" s="2" t="s">
        <v>60</v>
      </c>
      <c r="C4311" s="2" t="s">
        <v>37285</v>
      </c>
      <c r="D4311" s="2" t="s">
        <v>37286</v>
      </c>
      <c r="E4311" s="2" t="s">
        <v>37287</v>
      </c>
      <c r="G4311" s="3" t="s">
        <v>63</v>
      </c>
      <c r="I4311" s="3" t="s">
        <v>63</v>
      </c>
      <c r="J4311" s="3" t="s">
        <v>63</v>
      </c>
      <c r="K4311" s="3" t="s">
        <v>64</v>
      </c>
      <c r="L4311" s="2" t="s">
        <v>37267</v>
      </c>
      <c r="M4311" s="2" t="s">
        <v>37288</v>
      </c>
      <c r="N4311" s="3" t="s">
        <v>743</v>
      </c>
      <c r="P4311" s="3" t="s">
        <v>36758</v>
      </c>
      <c r="R4311" s="3" t="s">
        <v>67</v>
      </c>
      <c r="S4311" s="4">
        <v>3</v>
      </c>
      <c r="T4311" s="4">
        <v>3</v>
      </c>
      <c r="U4311" s="5" t="s">
        <v>26742</v>
      </c>
      <c r="V4311" s="5" t="s">
        <v>26742</v>
      </c>
      <c r="W4311" s="5" t="s">
        <v>69</v>
      </c>
      <c r="X4311" s="5" t="s">
        <v>69</v>
      </c>
      <c r="Y4311" s="4">
        <v>1</v>
      </c>
      <c r="Z4311" s="4">
        <v>1</v>
      </c>
      <c r="AA4311" s="4">
        <v>3</v>
      </c>
      <c r="AB4311" s="4">
        <v>1</v>
      </c>
      <c r="AC4311" s="4">
        <v>1</v>
      </c>
      <c r="AD4311" s="4">
        <v>0</v>
      </c>
      <c r="AE4311" s="4">
        <v>8</v>
      </c>
      <c r="AF4311" s="4">
        <v>0</v>
      </c>
      <c r="AG4311" s="4">
        <v>0</v>
      </c>
      <c r="AH4311" s="4">
        <v>0</v>
      </c>
      <c r="AI4311" s="4">
        <v>8</v>
      </c>
      <c r="AJ4311" s="4">
        <v>0</v>
      </c>
      <c r="AK4311" s="4">
        <v>1</v>
      </c>
      <c r="AL4311" s="4">
        <v>0</v>
      </c>
      <c r="AM4311" s="4">
        <v>8</v>
      </c>
      <c r="AN4311" s="4">
        <v>0</v>
      </c>
      <c r="AO4311" s="4">
        <v>1</v>
      </c>
      <c r="AP4311" s="4">
        <v>0</v>
      </c>
      <c r="AQ4311" s="4">
        <v>1</v>
      </c>
      <c r="AR4311" s="3" t="s">
        <v>63</v>
      </c>
      <c r="AS4311" s="3" t="s">
        <v>63</v>
      </c>
      <c r="AT4311" s="3" t="s">
        <v>63</v>
      </c>
      <c r="AV4311" s="6" t="str">
        <f>HYPERLINK("http://mcgill.on.worldcat.org/oclc/427515367","Catalog Record")</f>
        <v>Catalog Record</v>
      </c>
      <c r="AW4311" s="6" t="str">
        <f>HYPERLINK("http://www.worldcat.org/oclc/427515367","WorldCat Record")</f>
        <v>WorldCat Record</v>
      </c>
      <c r="AX4311" s="3" t="s">
        <v>37289</v>
      </c>
      <c r="AY4311" s="3" t="s">
        <v>37290</v>
      </c>
      <c r="AZ4311" s="3" t="s">
        <v>37291</v>
      </c>
      <c r="BA4311" s="3" t="s">
        <v>37291</v>
      </c>
      <c r="BB4311" s="3" t="s">
        <v>37292</v>
      </c>
      <c r="BC4311" s="3" t="s">
        <v>82</v>
      </c>
      <c r="BD4311" s="3" t="s">
        <v>70</v>
      </c>
      <c r="BE4311" s="3" t="s">
        <v>37293</v>
      </c>
      <c r="BF4311" s="3" t="s">
        <v>37292</v>
      </c>
      <c r="BG4311" s="3" t="s">
        <v>37294</v>
      </c>
    </row>
    <row r="4312" spans="1:59" ht="60" x14ac:dyDescent="0.25">
      <c r="A4312" s="2" t="s">
        <v>59</v>
      </c>
      <c r="B4312" s="2" t="s">
        <v>60</v>
      </c>
      <c r="C4312" s="2" t="s">
        <v>37295</v>
      </c>
      <c r="D4312" s="2" t="s">
        <v>37296</v>
      </c>
      <c r="E4312" s="2" t="s">
        <v>37297</v>
      </c>
      <c r="G4312" s="3" t="s">
        <v>63</v>
      </c>
      <c r="I4312" s="3" t="s">
        <v>63</v>
      </c>
      <c r="J4312" s="3" t="s">
        <v>63</v>
      </c>
      <c r="K4312" s="3" t="s">
        <v>64</v>
      </c>
      <c r="L4312" s="2" t="s">
        <v>37298</v>
      </c>
      <c r="M4312" s="2" t="s">
        <v>37299</v>
      </c>
      <c r="N4312" s="3" t="s">
        <v>468</v>
      </c>
      <c r="O4312" s="2" t="s">
        <v>37300</v>
      </c>
      <c r="P4312" s="3" t="s">
        <v>36758</v>
      </c>
      <c r="R4312" s="3" t="s">
        <v>67</v>
      </c>
      <c r="S4312" s="4">
        <v>2</v>
      </c>
      <c r="T4312" s="4">
        <v>2</v>
      </c>
      <c r="U4312" s="5" t="s">
        <v>37301</v>
      </c>
      <c r="V4312" s="5" t="s">
        <v>37301</v>
      </c>
      <c r="W4312" s="5" t="s">
        <v>69</v>
      </c>
      <c r="X4312" s="5" t="s">
        <v>69</v>
      </c>
      <c r="Y4312" s="4">
        <v>39</v>
      </c>
      <c r="Z4312" s="4">
        <v>5</v>
      </c>
      <c r="AA4312" s="4">
        <v>5</v>
      </c>
      <c r="AB4312" s="4">
        <v>1</v>
      </c>
      <c r="AC4312" s="4">
        <v>1</v>
      </c>
      <c r="AD4312" s="4">
        <v>19</v>
      </c>
      <c r="AE4312" s="4">
        <v>19</v>
      </c>
      <c r="AF4312" s="4">
        <v>0</v>
      </c>
      <c r="AG4312" s="4">
        <v>0</v>
      </c>
      <c r="AH4312" s="4">
        <v>17</v>
      </c>
      <c r="AI4312" s="4">
        <v>17</v>
      </c>
      <c r="AJ4312" s="4">
        <v>3</v>
      </c>
      <c r="AK4312" s="4">
        <v>3</v>
      </c>
      <c r="AL4312" s="4">
        <v>15</v>
      </c>
      <c r="AM4312" s="4">
        <v>15</v>
      </c>
      <c r="AN4312" s="4">
        <v>0</v>
      </c>
      <c r="AO4312" s="4">
        <v>0</v>
      </c>
      <c r="AP4312" s="4">
        <v>3</v>
      </c>
      <c r="AQ4312" s="4">
        <v>3</v>
      </c>
      <c r="AR4312" s="3" t="s">
        <v>63</v>
      </c>
      <c r="AS4312" s="3" t="s">
        <v>63</v>
      </c>
      <c r="AT4312" s="3" t="s">
        <v>62</v>
      </c>
      <c r="AU4312" s="6" t="str">
        <f>HYPERLINK("http://catalog.hathitrust.org/Record/006113255","HathiTrust Record")</f>
        <v>HathiTrust Record</v>
      </c>
      <c r="AV4312" s="6" t="str">
        <f>HYPERLINK("http://mcgill.on.worldcat.org/oclc/3038197","Catalog Record")</f>
        <v>Catalog Record</v>
      </c>
      <c r="AW4312" s="6" t="str">
        <f>HYPERLINK("http://www.worldcat.org/oclc/3038197","WorldCat Record")</f>
        <v>WorldCat Record</v>
      </c>
      <c r="AX4312" s="3" t="s">
        <v>37302</v>
      </c>
      <c r="AY4312" s="3" t="s">
        <v>37303</v>
      </c>
      <c r="AZ4312" s="3" t="s">
        <v>37304</v>
      </c>
      <c r="BA4312" s="3" t="s">
        <v>37304</v>
      </c>
      <c r="BB4312" s="3" t="s">
        <v>37305</v>
      </c>
      <c r="BC4312" s="3" t="s">
        <v>82</v>
      </c>
      <c r="BD4312" s="3" t="s">
        <v>70</v>
      </c>
      <c r="BF4312" s="3" t="s">
        <v>37305</v>
      </c>
      <c r="BG4312" s="3" t="s">
        <v>37306</v>
      </c>
    </row>
    <row r="4313" spans="1:59" ht="60" x14ac:dyDescent="0.25">
      <c r="A4313" s="2" t="s">
        <v>59</v>
      </c>
      <c r="B4313" s="2" t="s">
        <v>60</v>
      </c>
      <c r="C4313" s="2" t="s">
        <v>37307</v>
      </c>
      <c r="D4313" s="2" t="s">
        <v>37308</v>
      </c>
      <c r="E4313" s="2" t="s">
        <v>37309</v>
      </c>
      <c r="G4313" s="3" t="s">
        <v>63</v>
      </c>
      <c r="I4313" s="3" t="s">
        <v>63</v>
      </c>
      <c r="J4313" s="3" t="s">
        <v>63</v>
      </c>
      <c r="K4313" s="3" t="s">
        <v>64</v>
      </c>
      <c r="L4313" s="2" t="s">
        <v>37310</v>
      </c>
      <c r="M4313" s="2" t="s">
        <v>37311</v>
      </c>
      <c r="N4313" s="3" t="s">
        <v>1113</v>
      </c>
      <c r="P4313" s="3" t="s">
        <v>66</v>
      </c>
      <c r="R4313" s="3" t="s">
        <v>67</v>
      </c>
      <c r="S4313" s="4">
        <v>12</v>
      </c>
      <c r="T4313" s="4">
        <v>12</v>
      </c>
      <c r="U4313" s="5" t="s">
        <v>1593</v>
      </c>
      <c r="V4313" s="5" t="s">
        <v>1593</v>
      </c>
      <c r="W4313" s="5" t="s">
        <v>69</v>
      </c>
      <c r="X4313" s="5" t="s">
        <v>69</v>
      </c>
      <c r="Y4313" s="4">
        <v>239</v>
      </c>
      <c r="Z4313" s="4">
        <v>13</v>
      </c>
      <c r="AA4313" s="4">
        <v>14</v>
      </c>
      <c r="AB4313" s="4">
        <v>2</v>
      </c>
      <c r="AC4313" s="4">
        <v>2</v>
      </c>
      <c r="AD4313" s="4">
        <v>85</v>
      </c>
      <c r="AE4313" s="4">
        <v>86</v>
      </c>
      <c r="AF4313" s="4">
        <v>0</v>
      </c>
      <c r="AG4313" s="4">
        <v>0</v>
      </c>
      <c r="AH4313" s="4">
        <v>80</v>
      </c>
      <c r="AI4313" s="4">
        <v>81</v>
      </c>
      <c r="AJ4313" s="4">
        <v>6</v>
      </c>
      <c r="AK4313" s="4">
        <v>7</v>
      </c>
      <c r="AL4313" s="4">
        <v>52</v>
      </c>
      <c r="AM4313" s="4">
        <v>52</v>
      </c>
      <c r="AN4313" s="4">
        <v>0</v>
      </c>
      <c r="AO4313" s="4">
        <v>0</v>
      </c>
      <c r="AP4313" s="4">
        <v>7</v>
      </c>
      <c r="AQ4313" s="4">
        <v>8</v>
      </c>
      <c r="AR4313" s="3" t="s">
        <v>63</v>
      </c>
      <c r="AS4313" s="3" t="s">
        <v>63</v>
      </c>
      <c r="AT4313" s="3" t="s">
        <v>62</v>
      </c>
      <c r="AU4313" s="6" t="str">
        <f>HYPERLINK("http://catalog.hathitrust.org/Record/003943698","HathiTrust Record")</f>
        <v>HathiTrust Record</v>
      </c>
      <c r="AV4313" s="6" t="str">
        <f>HYPERLINK("http://mcgill.on.worldcat.org/oclc/36597751","Catalog Record")</f>
        <v>Catalog Record</v>
      </c>
      <c r="AW4313" s="6" t="str">
        <f>HYPERLINK("http://www.worldcat.org/oclc/36597751","WorldCat Record")</f>
        <v>WorldCat Record</v>
      </c>
      <c r="AX4313" s="3" t="s">
        <v>37312</v>
      </c>
      <c r="AY4313" s="3" t="s">
        <v>37313</v>
      </c>
      <c r="AZ4313" s="3" t="s">
        <v>37314</v>
      </c>
      <c r="BA4313" s="3" t="s">
        <v>37314</v>
      </c>
      <c r="BB4313" s="3" t="s">
        <v>37315</v>
      </c>
      <c r="BC4313" s="3" t="s">
        <v>82</v>
      </c>
      <c r="BD4313" s="3" t="s">
        <v>538</v>
      </c>
      <c r="BE4313" s="3" t="s">
        <v>37316</v>
      </c>
      <c r="BF4313" s="3" t="s">
        <v>37315</v>
      </c>
      <c r="BG4313" s="3" t="s">
        <v>37317</v>
      </c>
    </row>
    <row r="4314" spans="1:59" ht="60" x14ac:dyDescent="0.25">
      <c r="A4314" s="2" t="s">
        <v>59</v>
      </c>
      <c r="B4314" s="2" t="s">
        <v>60</v>
      </c>
      <c r="C4314" s="2" t="s">
        <v>37318</v>
      </c>
      <c r="D4314" s="2" t="s">
        <v>37319</v>
      </c>
      <c r="E4314" s="2" t="s">
        <v>37320</v>
      </c>
      <c r="G4314" s="3" t="s">
        <v>63</v>
      </c>
      <c r="I4314" s="3" t="s">
        <v>63</v>
      </c>
      <c r="J4314" s="3" t="s">
        <v>63</v>
      </c>
      <c r="K4314" s="3" t="s">
        <v>64</v>
      </c>
      <c r="L4314" s="2" t="s">
        <v>37310</v>
      </c>
      <c r="M4314" s="2" t="s">
        <v>37321</v>
      </c>
      <c r="N4314" s="3" t="s">
        <v>176</v>
      </c>
      <c r="P4314" s="3" t="s">
        <v>66</v>
      </c>
      <c r="R4314" s="3" t="s">
        <v>67</v>
      </c>
      <c r="S4314" s="4">
        <v>10</v>
      </c>
      <c r="T4314" s="4">
        <v>10</v>
      </c>
      <c r="U4314" s="5" t="s">
        <v>1593</v>
      </c>
      <c r="V4314" s="5" t="s">
        <v>1593</v>
      </c>
      <c r="W4314" s="5" t="s">
        <v>69</v>
      </c>
      <c r="X4314" s="5" t="s">
        <v>69</v>
      </c>
      <c r="Y4314" s="4">
        <v>339</v>
      </c>
      <c r="Z4314" s="4">
        <v>13</v>
      </c>
      <c r="AA4314" s="4">
        <v>17</v>
      </c>
      <c r="AB4314" s="4">
        <v>2</v>
      </c>
      <c r="AC4314" s="4">
        <v>3</v>
      </c>
      <c r="AD4314" s="4">
        <v>60</v>
      </c>
      <c r="AE4314" s="4">
        <v>61</v>
      </c>
      <c r="AF4314" s="4">
        <v>0</v>
      </c>
      <c r="AG4314" s="4">
        <v>0</v>
      </c>
      <c r="AH4314" s="4">
        <v>55</v>
      </c>
      <c r="AI4314" s="4">
        <v>56</v>
      </c>
      <c r="AJ4314" s="4">
        <v>6</v>
      </c>
      <c r="AK4314" s="4">
        <v>6</v>
      </c>
      <c r="AL4314" s="4">
        <v>30</v>
      </c>
      <c r="AM4314" s="4">
        <v>31</v>
      </c>
      <c r="AN4314" s="4">
        <v>0</v>
      </c>
      <c r="AO4314" s="4">
        <v>0</v>
      </c>
      <c r="AP4314" s="4">
        <v>7</v>
      </c>
      <c r="AQ4314" s="4">
        <v>7</v>
      </c>
      <c r="AR4314" s="3" t="s">
        <v>63</v>
      </c>
      <c r="AS4314" s="3" t="s">
        <v>63</v>
      </c>
      <c r="AT4314" s="3" t="s">
        <v>63</v>
      </c>
      <c r="AV4314" s="6" t="str">
        <f>HYPERLINK("http://mcgill.on.worldcat.org/oclc/37712970","Catalog Record")</f>
        <v>Catalog Record</v>
      </c>
      <c r="AW4314" s="6" t="str">
        <f>HYPERLINK("http://www.worldcat.org/oclc/37712970","WorldCat Record")</f>
        <v>WorldCat Record</v>
      </c>
      <c r="AX4314" s="3" t="s">
        <v>37322</v>
      </c>
      <c r="AY4314" s="3" t="s">
        <v>37323</v>
      </c>
      <c r="AZ4314" s="3" t="s">
        <v>37324</v>
      </c>
      <c r="BA4314" s="3" t="s">
        <v>37324</v>
      </c>
      <c r="BB4314" s="3" t="s">
        <v>37325</v>
      </c>
      <c r="BC4314" s="3" t="s">
        <v>82</v>
      </c>
      <c r="BD4314" s="3" t="s">
        <v>70</v>
      </c>
      <c r="BE4314" s="3" t="s">
        <v>37326</v>
      </c>
      <c r="BF4314" s="3" t="s">
        <v>37325</v>
      </c>
      <c r="BG4314" s="3" t="s">
        <v>37327</v>
      </c>
    </row>
    <row r="4315" spans="1:59" ht="60" x14ac:dyDescent="0.25">
      <c r="A4315" s="2" t="s">
        <v>59</v>
      </c>
      <c r="B4315" s="2" t="s">
        <v>60</v>
      </c>
      <c r="C4315" s="2" t="s">
        <v>37328</v>
      </c>
      <c r="D4315" s="2" t="s">
        <v>37329</v>
      </c>
      <c r="E4315" s="2" t="s">
        <v>37330</v>
      </c>
      <c r="G4315" s="3" t="s">
        <v>63</v>
      </c>
      <c r="I4315" s="3" t="s">
        <v>63</v>
      </c>
      <c r="J4315" s="3" t="s">
        <v>63</v>
      </c>
      <c r="K4315" s="3" t="s">
        <v>64</v>
      </c>
      <c r="L4315" s="2" t="s">
        <v>37310</v>
      </c>
      <c r="M4315" s="2" t="s">
        <v>37331</v>
      </c>
      <c r="N4315" s="3" t="s">
        <v>706</v>
      </c>
      <c r="P4315" s="3" t="s">
        <v>66</v>
      </c>
      <c r="R4315" s="3" t="s">
        <v>67</v>
      </c>
      <c r="S4315" s="4">
        <v>8</v>
      </c>
      <c r="T4315" s="4">
        <v>8</v>
      </c>
      <c r="U4315" s="5" t="s">
        <v>1593</v>
      </c>
      <c r="V4315" s="5" t="s">
        <v>1593</v>
      </c>
      <c r="W4315" s="5" t="s">
        <v>69</v>
      </c>
      <c r="X4315" s="5" t="s">
        <v>69</v>
      </c>
      <c r="Y4315" s="4">
        <v>577</v>
      </c>
      <c r="Z4315" s="4">
        <v>19</v>
      </c>
      <c r="AA4315" s="4">
        <v>28</v>
      </c>
      <c r="AB4315" s="4">
        <v>1</v>
      </c>
      <c r="AC4315" s="4">
        <v>1</v>
      </c>
      <c r="AD4315" s="4">
        <v>98</v>
      </c>
      <c r="AE4315" s="4">
        <v>108</v>
      </c>
      <c r="AF4315" s="4">
        <v>0</v>
      </c>
      <c r="AG4315" s="4">
        <v>0</v>
      </c>
      <c r="AH4315" s="4">
        <v>89</v>
      </c>
      <c r="AI4315" s="4">
        <v>99</v>
      </c>
      <c r="AJ4315" s="4">
        <v>9</v>
      </c>
      <c r="AK4315" s="4">
        <v>15</v>
      </c>
      <c r="AL4315" s="4">
        <v>50</v>
      </c>
      <c r="AM4315" s="4">
        <v>54</v>
      </c>
      <c r="AN4315" s="4">
        <v>0</v>
      </c>
      <c r="AO4315" s="4">
        <v>0</v>
      </c>
      <c r="AP4315" s="4">
        <v>9</v>
      </c>
      <c r="AQ4315" s="4">
        <v>15</v>
      </c>
      <c r="AR4315" s="3" t="s">
        <v>63</v>
      </c>
      <c r="AS4315" s="3" t="s">
        <v>63</v>
      </c>
      <c r="AT4315" s="3" t="s">
        <v>63</v>
      </c>
      <c r="AU4315" s="6" t="str">
        <f>HYPERLINK("http://catalog.hathitrust.org/Record/000631545","HathiTrust Record")</f>
        <v>HathiTrust Record</v>
      </c>
      <c r="AV4315" s="6" t="str">
        <f>HYPERLINK("http://mcgill.on.worldcat.org/oclc/12978793","Catalog Record")</f>
        <v>Catalog Record</v>
      </c>
      <c r="AW4315" s="6" t="str">
        <f>HYPERLINK("http://www.worldcat.org/oclc/12978793","WorldCat Record")</f>
        <v>WorldCat Record</v>
      </c>
      <c r="AX4315" s="3" t="s">
        <v>37332</v>
      </c>
      <c r="AY4315" s="3" t="s">
        <v>37333</v>
      </c>
      <c r="AZ4315" s="3" t="s">
        <v>37334</v>
      </c>
      <c r="BA4315" s="3" t="s">
        <v>37334</v>
      </c>
      <c r="BB4315" s="3" t="s">
        <v>37335</v>
      </c>
      <c r="BC4315" s="3" t="s">
        <v>82</v>
      </c>
      <c r="BD4315" s="3" t="s">
        <v>70</v>
      </c>
      <c r="BE4315" s="3" t="s">
        <v>37336</v>
      </c>
      <c r="BF4315" s="3" t="s">
        <v>37335</v>
      </c>
      <c r="BG4315" s="3" t="s">
        <v>37337</v>
      </c>
    </row>
    <row r="4316" spans="1:59" ht="90" x14ac:dyDescent="0.25">
      <c r="A4316" s="2" t="s">
        <v>59</v>
      </c>
      <c r="B4316" s="2" t="s">
        <v>60</v>
      </c>
      <c r="C4316" s="2" t="s">
        <v>37338</v>
      </c>
      <c r="D4316" s="2" t="s">
        <v>37339</v>
      </c>
      <c r="E4316" s="2" t="s">
        <v>37340</v>
      </c>
      <c r="G4316" s="3" t="s">
        <v>63</v>
      </c>
      <c r="I4316" s="3" t="s">
        <v>63</v>
      </c>
      <c r="J4316" s="3" t="s">
        <v>62</v>
      </c>
      <c r="K4316" s="3" t="s">
        <v>64</v>
      </c>
      <c r="M4316" s="2" t="s">
        <v>37341</v>
      </c>
      <c r="N4316" s="3" t="s">
        <v>220</v>
      </c>
      <c r="P4316" s="3" t="s">
        <v>66</v>
      </c>
      <c r="R4316" s="3" t="s">
        <v>67</v>
      </c>
      <c r="S4316" s="4">
        <v>13</v>
      </c>
      <c r="T4316" s="4">
        <v>13</v>
      </c>
      <c r="U4316" s="5" t="s">
        <v>4698</v>
      </c>
      <c r="V4316" s="5" t="s">
        <v>4698</v>
      </c>
      <c r="W4316" s="5" t="s">
        <v>69</v>
      </c>
      <c r="X4316" s="5" t="s">
        <v>69</v>
      </c>
      <c r="Y4316" s="4">
        <v>12</v>
      </c>
      <c r="Z4316" s="4">
        <v>10</v>
      </c>
      <c r="AA4316" s="4">
        <v>84</v>
      </c>
      <c r="AB4316" s="4">
        <v>1</v>
      </c>
      <c r="AC4316" s="4">
        <v>4</v>
      </c>
      <c r="AD4316" s="4">
        <v>3</v>
      </c>
      <c r="AE4316" s="4">
        <v>138</v>
      </c>
      <c r="AF4316" s="4">
        <v>0</v>
      </c>
      <c r="AG4316" s="4">
        <v>2</v>
      </c>
      <c r="AH4316" s="4">
        <v>1</v>
      </c>
      <c r="AI4316" s="4">
        <v>102</v>
      </c>
      <c r="AJ4316" s="4">
        <v>3</v>
      </c>
      <c r="AK4316" s="4">
        <v>24</v>
      </c>
      <c r="AL4316" s="4">
        <v>1</v>
      </c>
      <c r="AM4316" s="4">
        <v>58</v>
      </c>
      <c r="AN4316" s="4">
        <v>0</v>
      </c>
      <c r="AO4316" s="4">
        <v>1</v>
      </c>
      <c r="AP4316" s="4">
        <v>2</v>
      </c>
      <c r="AQ4316" s="4">
        <v>42</v>
      </c>
      <c r="AR4316" s="3" t="s">
        <v>62</v>
      </c>
      <c r="AS4316" s="3" t="s">
        <v>63</v>
      </c>
      <c r="AT4316" s="3" t="s">
        <v>63</v>
      </c>
      <c r="AV4316" s="6" t="str">
        <f>HYPERLINK("http://mcgill.on.worldcat.org/oclc/28670264","Catalog Record")</f>
        <v>Catalog Record</v>
      </c>
      <c r="AW4316" s="6" t="str">
        <f>HYPERLINK("http://www.worldcat.org/oclc/28670264","WorldCat Record")</f>
        <v>WorldCat Record</v>
      </c>
      <c r="AX4316" s="3" t="s">
        <v>37342</v>
      </c>
      <c r="AY4316" s="3" t="s">
        <v>37343</v>
      </c>
      <c r="AZ4316" s="3" t="s">
        <v>37344</v>
      </c>
      <c r="BA4316" s="3" t="s">
        <v>37344</v>
      </c>
      <c r="BB4316" s="3" t="s">
        <v>37345</v>
      </c>
      <c r="BC4316" s="3" t="s">
        <v>82</v>
      </c>
      <c r="BD4316" s="3" t="s">
        <v>70</v>
      </c>
      <c r="BE4316" s="3" t="s">
        <v>37346</v>
      </c>
      <c r="BF4316" s="3" t="s">
        <v>37345</v>
      </c>
      <c r="BG4316" s="3" t="s">
        <v>37347</v>
      </c>
    </row>
    <row r="4317" spans="1:59" ht="75" x14ac:dyDescent="0.25">
      <c r="A4317" s="2" t="s">
        <v>59</v>
      </c>
      <c r="B4317" s="2" t="s">
        <v>60</v>
      </c>
      <c r="C4317" s="2" t="s">
        <v>37348</v>
      </c>
      <c r="D4317" s="2" t="s">
        <v>37349</v>
      </c>
      <c r="E4317" s="2" t="s">
        <v>37350</v>
      </c>
      <c r="G4317" s="3" t="s">
        <v>63</v>
      </c>
      <c r="I4317" s="3" t="s">
        <v>63</v>
      </c>
      <c r="J4317" s="3" t="s">
        <v>63</v>
      </c>
      <c r="K4317" s="3" t="s">
        <v>64</v>
      </c>
      <c r="L4317" s="2" t="s">
        <v>37351</v>
      </c>
      <c r="M4317" s="2" t="s">
        <v>37352</v>
      </c>
      <c r="N4317" s="3" t="s">
        <v>1343</v>
      </c>
      <c r="P4317" s="3" t="s">
        <v>66</v>
      </c>
      <c r="R4317" s="3" t="s">
        <v>67</v>
      </c>
      <c r="S4317" s="4">
        <v>4</v>
      </c>
      <c r="T4317" s="4">
        <v>4</v>
      </c>
      <c r="U4317" s="5" t="s">
        <v>5995</v>
      </c>
      <c r="V4317" s="5" t="s">
        <v>5995</v>
      </c>
      <c r="W4317" s="5" t="s">
        <v>69</v>
      </c>
      <c r="X4317" s="5" t="s">
        <v>69</v>
      </c>
      <c r="Y4317" s="4">
        <v>83</v>
      </c>
      <c r="Z4317" s="4">
        <v>55</v>
      </c>
      <c r="AA4317" s="4">
        <v>57</v>
      </c>
      <c r="AB4317" s="4">
        <v>2</v>
      </c>
      <c r="AC4317" s="4">
        <v>3</v>
      </c>
      <c r="AD4317" s="4">
        <v>46</v>
      </c>
      <c r="AE4317" s="4">
        <v>46</v>
      </c>
      <c r="AF4317" s="4">
        <v>0</v>
      </c>
      <c r="AG4317" s="4">
        <v>0</v>
      </c>
      <c r="AH4317" s="4">
        <v>30</v>
      </c>
      <c r="AI4317" s="4">
        <v>30</v>
      </c>
      <c r="AJ4317" s="4">
        <v>21</v>
      </c>
      <c r="AK4317" s="4">
        <v>21</v>
      </c>
      <c r="AL4317" s="4">
        <v>11</v>
      </c>
      <c r="AM4317" s="4">
        <v>11</v>
      </c>
      <c r="AN4317" s="4">
        <v>0</v>
      </c>
      <c r="AO4317" s="4">
        <v>0</v>
      </c>
      <c r="AP4317" s="4">
        <v>28</v>
      </c>
      <c r="AQ4317" s="4">
        <v>28</v>
      </c>
      <c r="AR4317" s="3" t="s">
        <v>62</v>
      </c>
      <c r="AS4317" s="3" t="s">
        <v>63</v>
      </c>
      <c r="AT4317" s="3" t="s">
        <v>63</v>
      </c>
      <c r="AV4317" s="6" t="str">
        <f>HYPERLINK("http://mcgill.on.worldcat.org/oclc/44545856","Catalog Record")</f>
        <v>Catalog Record</v>
      </c>
      <c r="AW4317" s="6" t="str">
        <f>HYPERLINK("http://www.worldcat.org/oclc/44545856","WorldCat Record")</f>
        <v>WorldCat Record</v>
      </c>
      <c r="AX4317" s="3" t="s">
        <v>37353</v>
      </c>
      <c r="AY4317" s="3" t="s">
        <v>37354</v>
      </c>
      <c r="AZ4317" s="3" t="s">
        <v>37355</v>
      </c>
      <c r="BA4317" s="3" t="s">
        <v>37355</v>
      </c>
      <c r="BB4317" s="3" t="s">
        <v>37356</v>
      </c>
      <c r="BC4317" s="3" t="s">
        <v>82</v>
      </c>
      <c r="BD4317" s="3" t="s">
        <v>70</v>
      </c>
      <c r="BE4317" s="3" t="s">
        <v>37357</v>
      </c>
      <c r="BF4317" s="3" t="s">
        <v>37356</v>
      </c>
      <c r="BG4317" s="3" t="s">
        <v>37358</v>
      </c>
    </row>
    <row r="4318" spans="1:59" ht="60" x14ac:dyDescent="0.25">
      <c r="A4318" s="2" t="s">
        <v>59</v>
      </c>
      <c r="B4318" s="2" t="s">
        <v>60</v>
      </c>
      <c r="C4318" s="2" t="s">
        <v>37359</v>
      </c>
      <c r="D4318" s="2" t="s">
        <v>37360</v>
      </c>
      <c r="E4318" s="2" t="s">
        <v>37361</v>
      </c>
      <c r="G4318" s="3" t="s">
        <v>63</v>
      </c>
      <c r="I4318" s="3" t="s">
        <v>62</v>
      </c>
      <c r="J4318" s="3" t="s">
        <v>63</v>
      </c>
      <c r="K4318" s="3" t="s">
        <v>64</v>
      </c>
      <c r="M4318" s="2" t="s">
        <v>37362</v>
      </c>
      <c r="N4318" s="3" t="s">
        <v>1023</v>
      </c>
      <c r="P4318" s="3" t="s">
        <v>66</v>
      </c>
      <c r="R4318" s="3" t="s">
        <v>67</v>
      </c>
      <c r="S4318" s="4">
        <v>6</v>
      </c>
      <c r="T4318" s="4">
        <v>8</v>
      </c>
      <c r="U4318" s="5" t="s">
        <v>37363</v>
      </c>
      <c r="V4318" s="5" t="s">
        <v>37364</v>
      </c>
      <c r="W4318" s="5" t="s">
        <v>69</v>
      </c>
      <c r="X4318" s="5" t="s">
        <v>69</v>
      </c>
      <c r="Y4318" s="4">
        <v>264</v>
      </c>
      <c r="Z4318" s="4">
        <v>50</v>
      </c>
      <c r="AA4318" s="4">
        <v>71</v>
      </c>
      <c r="AB4318" s="4">
        <v>1</v>
      </c>
      <c r="AC4318" s="4">
        <v>6</v>
      </c>
      <c r="AD4318" s="4">
        <v>106</v>
      </c>
      <c r="AE4318" s="4">
        <v>114</v>
      </c>
      <c r="AF4318" s="4">
        <v>0</v>
      </c>
      <c r="AG4318" s="4">
        <v>0</v>
      </c>
      <c r="AH4318" s="4">
        <v>82</v>
      </c>
      <c r="AI4318" s="4">
        <v>86</v>
      </c>
      <c r="AJ4318" s="4">
        <v>20</v>
      </c>
      <c r="AK4318" s="4">
        <v>23</v>
      </c>
      <c r="AL4318" s="4">
        <v>48</v>
      </c>
      <c r="AM4318" s="4">
        <v>48</v>
      </c>
      <c r="AN4318" s="4">
        <v>0</v>
      </c>
      <c r="AO4318" s="4">
        <v>0</v>
      </c>
      <c r="AP4318" s="4">
        <v>32</v>
      </c>
      <c r="AQ4318" s="4">
        <v>38</v>
      </c>
      <c r="AR4318" s="3" t="s">
        <v>62</v>
      </c>
      <c r="AS4318" s="3" t="s">
        <v>63</v>
      </c>
      <c r="AT4318" s="3" t="s">
        <v>62</v>
      </c>
      <c r="AU4318" s="6" t="str">
        <f>HYPERLINK("http://catalog.hathitrust.org/Record/002878873","HathiTrust Record")</f>
        <v>HathiTrust Record</v>
      </c>
      <c r="AV4318" s="6" t="str">
        <f>HYPERLINK("http://mcgill.on.worldcat.org/oclc/29910656","Catalog Record")</f>
        <v>Catalog Record</v>
      </c>
      <c r="AW4318" s="6" t="str">
        <f>HYPERLINK("http://www.worldcat.org/oclc/29910656","WorldCat Record")</f>
        <v>WorldCat Record</v>
      </c>
      <c r="AX4318" s="3" t="s">
        <v>37365</v>
      </c>
      <c r="AY4318" s="3" t="s">
        <v>37366</v>
      </c>
      <c r="AZ4318" s="3" t="s">
        <v>37367</v>
      </c>
      <c r="BA4318" s="3" t="s">
        <v>37367</v>
      </c>
      <c r="BB4318" s="3" t="s">
        <v>37368</v>
      </c>
      <c r="BC4318" s="3" t="s">
        <v>82</v>
      </c>
      <c r="BD4318" s="3" t="s">
        <v>70</v>
      </c>
      <c r="BE4318" s="3" t="s">
        <v>37369</v>
      </c>
      <c r="BF4318" s="3" t="s">
        <v>37368</v>
      </c>
      <c r="BG4318" s="3" t="s">
        <v>37370</v>
      </c>
    </row>
    <row r="4319" spans="1:59" ht="60" x14ac:dyDescent="0.25">
      <c r="A4319" s="2" t="s">
        <v>59</v>
      </c>
      <c r="B4319" s="2" t="s">
        <v>60</v>
      </c>
      <c r="C4319" s="2" t="s">
        <v>37359</v>
      </c>
      <c r="D4319" s="2" t="s">
        <v>37360</v>
      </c>
      <c r="E4319" s="2" t="s">
        <v>37361</v>
      </c>
      <c r="G4319" s="3" t="s">
        <v>63</v>
      </c>
      <c r="I4319" s="3" t="s">
        <v>62</v>
      </c>
      <c r="J4319" s="3" t="s">
        <v>63</v>
      </c>
      <c r="K4319" s="3" t="s">
        <v>64</v>
      </c>
      <c r="M4319" s="2" t="s">
        <v>37362</v>
      </c>
      <c r="N4319" s="3" t="s">
        <v>1023</v>
      </c>
      <c r="P4319" s="3" t="s">
        <v>66</v>
      </c>
      <c r="R4319" s="3" t="s">
        <v>67</v>
      </c>
      <c r="S4319" s="4">
        <v>2</v>
      </c>
      <c r="T4319" s="4">
        <v>8</v>
      </c>
      <c r="U4319" s="5" t="s">
        <v>37364</v>
      </c>
      <c r="V4319" s="5" t="s">
        <v>37364</v>
      </c>
      <c r="W4319" s="5" t="s">
        <v>69</v>
      </c>
      <c r="X4319" s="5" t="s">
        <v>69</v>
      </c>
      <c r="Y4319" s="4">
        <v>264</v>
      </c>
      <c r="Z4319" s="4">
        <v>50</v>
      </c>
      <c r="AA4319" s="4">
        <v>71</v>
      </c>
      <c r="AB4319" s="4">
        <v>1</v>
      </c>
      <c r="AC4319" s="4">
        <v>6</v>
      </c>
      <c r="AD4319" s="4">
        <v>106</v>
      </c>
      <c r="AE4319" s="4">
        <v>114</v>
      </c>
      <c r="AF4319" s="4">
        <v>0</v>
      </c>
      <c r="AG4319" s="4">
        <v>0</v>
      </c>
      <c r="AH4319" s="4">
        <v>82</v>
      </c>
      <c r="AI4319" s="4">
        <v>86</v>
      </c>
      <c r="AJ4319" s="4">
        <v>20</v>
      </c>
      <c r="AK4319" s="4">
        <v>23</v>
      </c>
      <c r="AL4319" s="4">
        <v>48</v>
      </c>
      <c r="AM4319" s="4">
        <v>48</v>
      </c>
      <c r="AN4319" s="4">
        <v>0</v>
      </c>
      <c r="AO4319" s="4">
        <v>0</v>
      </c>
      <c r="AP4319" s="4">
        <v>32</v>
      </c>
      <c r="AQ4319" s="4">
        <v>38</v>
      </c>
      <c r="AR4319" s="3" t="s">
        <v>62</v>
      </c>
      <c r="AS4319" s="3" t="s">
        <v>63</v>
      </c>
      <c r="AT4319" s="3" t="s">
        <v>62</v>
      </c>
      <c r="AU4319" s="6" t="str">
        <f>HYPERLINK("http://catalog.hathitrust.org/Record/002878873","HathiTrust Record")</f>
        <v>HathiTrust Record</v>
      </c>
      <c r="AV4319" s="6" t="str">
        <f>HYPERLINK("http://mcgill.on.worldcat.org/oclc/29910656","Catalog Record")</f>
        <v>Catalog Record</v>
      </c>
      <c r="AW4319" s="6" t="str">
        <f>HYPERLINK("http://www.worldcat.org/oclc/29910656","WorldCat Record")</f>
        <v>WorldCat Record</v>
      </c>
      <c r="AX4319" s="3" t="s">
        <v>37365</v>
      </c>
      <c r="AY4319" s="3" t="s">
        <v>37366</v>
      </c>
      <c r="AZ4319" s="3" t="s">
        <v>37367</v>
      </c>
      <c r="BA4319" s="3" t="s">
        <v>37367</v>
      </c>
      <c r="BB4319" s="3" t="s">
        <v>37371</v>
      </c>
      <c r="BC4319" s="3" t="s">
        <v>82</v>
      </c>
      <c r="BD4319" s="3" t="s">
        <v>70</v>
      </c>
      <c r="BE4319" s="3" t="s">
        <v>37369</v>
      </c>
      <c r="BF4319" s="3" t="s">
        <v>37371</v>
      </c>
      <c r="BG4319" s="3" t="s">
        <v>37372</v>
      </c>
    </row>
    <row r="4320" spans="1:59" ht="75" x14ac:dyDescent="0.25">
      <c r="A4320" s="2" t="s">
        <v>59</v>
      </c>
      <c r="B4320" s="2" t="s">
        <v>60</v>
      </c>
      <c r="C4320" s="2" t="s">
        <v>37373</v>
      </c>
      <c r="D4320" s="2" t="s">
        <v>37374</v>
      </c>
      <c r="E4320" s="2" t="s">
        <v>37375</v>
      </c>
      <c r="G4320" s="3" t="s">
        <v>63</v>
      </c>
      <c r="I4320" s="3" t="s">
        <v>62</v>
      </c>
      <c r="J4320" s="3" t="s">
        <v>63</v>
      </c>
      <c r="K4320" s="3" t="s">
        <v>64</v>
      </c>
      <c r="L4320" s="2" t="s">
        <v>37376</v>
      </c>
      <c r="M4320" s="2" t="s">
        <v>37377</v>
      </c>
      <c r="N4320" s="3" t="s">
        <v>161</v>
      </c>
      <c r="P4320" s="3" t="s">
        <v>66</v>
      </c>
      <c r="Q4320" s="2" t="s">
        <v>37378</v>
      </c>
      <c r="R4320" s="3" t="s">
        <v>67</v>
      </c>
      <c r="S4320" s="4">
        <v>7</v>
      </c>
      <c r="T4320" s="4">
        <v>7</v>
      </c>
      <c r="U4320" s="5" t="s">
        <v>4687</v>
      </c>
      <c r="V4320" s="5" t="s">
        <v>4687</v>
      </c>
      <c r="W4320" s="5" t="s">
        <v>69</v>
      </c>
      <c r="X4320" s="5" t="s">
        <v>69</v>
      </c>
      <c r="Y4320" s="4">
        <v>442</v>
      </c>
      <c r="Z4320" s="4">
        <v>18</v>
      </c>
      <c r="AA4320" s="4">
        <v>27</v>
      </c>
      <c r="AB4320" s="4">
        <v>3</v>
      </c>
      <c r="AC4320" s="4">
        <v>4</v>
      </c>
      <c r="AD4320" s="4">
        <v>82</v>
      </c>
      <c r="AE4320" s="4">
        <v>108</v>
      </c>
      <c r="AF4320" s="4">
        <v>2</v>
      </c>
      <c r="AG4320" s="4">
        <v>2</v>
      </c>
      <c r="AH4320" s="4">
        <v>75</v>
      </c>
      <c r="AI4320" s="4">
        <v>96</v>
      </c>
      <c r="AJ4320" s="4">
        <v>10</v>
      </c>
      <c r="AK4320" s="4">
        <v>12</v>
      </c>
      <c r="AL4320" s="4">
        <v>40</v>
      </c>
      <c r="AM4320" s="4">
        <v>54</v>
      </c>
      <c r="AN4320" s="4">
        <v>0</v>
      </c>
      <c r="AO4320" s="4">
        <v>1</v>
      </c>
      <c r="AP4320" s="4">
        <v>12</v>
      </c>
      <c r="AQ4320" s="4">
        <v>17</v>
      </c>
      <c r="AR4320" s="3" t="s">
        <v>63</v>
      </c>
      <c r="AS4320" s="3" t="s">
        <v>63</v>
      </c>
      <c r="AT4320" s="3" t="s">
        <v>63</v>
      </c>
      <c r="AV4320" s="6" t="str">
        <f>HYPERLINK("http://mcgill.on.worldcat.org/oclc/18291742","Catalog Record")</f>
        <v>Catalog Record</v>
      </c>
      <c r="AW4320" s="6" t="str">
        <f>HYPERLINK("http://www.worldcat.org/oclc/18291742","WorldCat Record")</f>
        <v>WorldCat Record</v>
      </c>
      <c r="AX4320" s="3" t="s">
        <v>37379</v>
      </c>
      <c r="AY4320" s="3" t="s">
        <v>37380</v>
      </c>
      <c r="AZ4320" s="3" t="s">
        <v>37381</v>
      </c>
      <c r="BA4320" s="3" t="s">
        <v>37381</v>
      </c>
      <c r="BB4320" s="3" t="s">
        <v>37382</v>
      </c>
      <c r="BC4320" s="3" t="s">
        <v>82</v>
      </c>
      <c r="BD4320" s="3" t="s">
        <v>70</v>
      </c>
      <c r="BE4320" s="3" t="s">
        <v>37383</v>
      </c>
      <c r="BF4320" s="3" t="s">
        <v>37382</v>
      </c>
      <c r="BG4320" s="3" t="s">
        <v>37384</v>
      </c>
    </row>
    <row r="4321" spans="1:59" ht="60" x14ac:dyDescent="0.25">
      <c r="A4321" s="2" t="s">
        <v>59</v>
      </c>
      <c r="B4321" s="2" t="s">
        <v>60</v>
      </c>
      <c r="C4321" s="2" t="s">
        <v>37385</v>
      </c>
      <c r="D4321" s="2" t="s">
        <v>37386</v>
      </c>
      <c r="E4321" s="2" t="s">
        <v>37387</v>
      </c>
      <c r="G4321" s="3" t="s">
        <v>63</v>
      </c>
      <c r="I4321" s="3" t="s">
        <v>63</v>
      </c>
      <c r="J4321" s="3" t="s">
        <v>63</v>
      </c>
      <c r="K4321" s="3" t="s">
        <v>64</v>
      </c>
      <c r="L4321" s="2" t="s">
        <v>37388</v>
      </c>
      <c r="M4321" s="2" t="s">
        <v>37389</v>
      </c>
      <c r="N4321" s="3" t="s">
        <v>247</v>
      </c>
      <c r="P4321" s="3" t="s">
        <v>66</v>
      </c>
      <c r="R4321" s="3" t="s">
        <v>67</v>
      </c>
      <c r="S4321" s="4">
        <v>1</v>
      </c>
      <c r="T4321" s="4">
        <v>1</v>
      </c>
      <c r="U4321" s="5" t="s">
        <v>37390</v>
      </c>
      <c r="V4321" s="5" t="s">
        <v>37390</v>
      </c>
      <c r="W4321" s="5" t="s">
        <v>69</v>
      </c>
      <c r="X4321" s="5" t="s">
        <v>69</v>
      </c>
      <c r="Y4321" s="4">
        <v>311</v>
      </c>
      <c r="Z4321" s="4">
        <v>18</v>
      </c>
      <c r="AA4321" s="4">
        <v>19</v>
      </c>
      <c r="AB4321" s="4">
        <v>1</v>
      </c>
      <c r="AC4321" s="4">
        <v>1</v>
      </c>
      <c r="AD4321" s="4">
        <v>87</v>
      </c>
      <c r="AE4321" s="4">
        <v>100</v>
      </c>
      <c r="AF4321" s="4">
        <v>0</v>
      </c>
      <c r="AG4321" s="4">
        <v>0</v>
      </c>
      <c r="AH4321" s="4">
        <v>76</v>
      </c>
      <c r="AI4321" s="4">
        <v>88</v>
      </c>
      <c r="AJ4321" s="4">
        <v>11</v>
      </c>
      <c r="AK4321" s="4">
        <v>12</v>
      </c>
      <c r="AL4321" s="4">
        <v>46</v>
      </c>
      <c r="AM4321" s="4">
        <v>51</v>
      </c>
      <c r="AN4321" s="4">
        <v>0</v>
      </c>
      <c r="AO4321" s="4">
        <v>5</v>
      </c>
      <c r="AP4321" s="4">
        <v>12</v>
      </c>
      <c r="AQ4321" s="4">
        <v>13</v>
      </c>
      <c r="AR4321" s="3" t="s">
        <v>63</v>
      </c>
      <c r="AS4321" s="3" t="s">
        <v>63</v>
      </c>
      <c r="AT4321" s="3" t="s">
        <v>63</v>
      </c>
      <c r="AV4321" s="6" t="str">
        <f>HYPERLINK("http://mcgill.on.worldcat.org/oclc/8347273","Catalog Record")</f>
        <v>Catalog Record</v>
      </c>
      <c r="AW4321" s="6" t="str">
        <f>HYPERLINK("http://www.worldcat.org/oclc/8347273","WorldCat Record")</f>
        <v>WorldCat Record</v>
      </c>
      <c r="AX4321" s="3" t="s">
        <v>37391</v>
      </c>
      <c r="AY4321" s="3" t="s">
        <v>37392</v>
      </c>
      <c r="AZ4321" s="3" t="s">
        <v>37393</v>
      </c>
      <c r="BA4321" s="3" t="s">
        <v>37393</v>
      </c>
      <c r="BB4321" s="3" t="s">
        <v>37394</v>
      </c>
      <c r="BC4321" s="3" t="s">
        <v>82</v>
      </c>
      <c r="BD4321" s="3" t="s">
        <v>70</v>
      </c>
      <c r="BE4321" s="3" t="s">
        <v>37395</v>
      </c>
      <c r="BF4321" s="3" t="s">
        <v>37394</v>
      </c>
      <c r="BG4321" s="3" t="s">
        <v>37396</v>
      </c>
    </row>
    <row r="4322" spans="1:59" ht="60" x14ac:dyDescent="0.25">
      <c r="A4322" s="2" t="s">
        <v>59</v>
      </c>
      <c r="B4322" s="2" t="s">
        <v>60</v>
      </c>
      <c r="C4322" s="2" t="s">
        <v>37397</v>
      </c>
      <c r="D4322" s="2" t="s">
        <v>37398</v>
      </c>
      <c r="E4322" s="2" t="s">
        <v>37399</v>
      </c>
      <c r="G4322" s="3" t="s">
        <v>63</v>
      </c>
      <c r="I4322" s="3" t="s">
        <v>63</v>
      </c>
      <c r="J4322" s="3" t="s">
        <v>63</v>
      </c>
      <c r="K4322" s="3" t="s">
        <v>64</v>
      </c>
      <c r="L4322" s="2" t="s">
        <v>37400</v>
      </c>
      <c r="M4322" s="2" t="s">
        <v>37401</v>
      </c>
      <c r="N4322" s="3" t="s">
        <v>1023</v>
      </c>
      <c r="P4322" s="3" t="s">
        <v>66</v>
      </c>
      <c r="R4322" s="3" t="s">
        <v>67</v>
      </c>
      <c r="S4322" s="4">
        <v>14</v>
      </c>
      <c r="T4322" s="4">
        <v>14</v>
      </c>
      <c r="U4322" s="5" t="s">
        <v>2767</v>
      </c>
      <c r="V4322" s="5" t="s">
        <v>2767</v>
      </c>
      <c r="W4322" s="5" t="s">
        <v>69</v>
      </c>
      <c r="X4322" s="5" t="s">
        <v>69</v>
      </c>
      <c r="Y4322" s="4">
        <v>147</v>
      </c>
      <c r="Z4322" s="4">
        <v>17</v>
      </c>
      <c r="AA4322" s="4">
        <v>17</v>
      </c>
      <c r="AB4322" s="4">
        <v>2</v>
      </c>
      <c r="AC4322" s="4">
        <v>2</v>
      </c>
      <c r="AD4322" s="4">
        <v>68</v>
      </c>
      <c r="AE4322" s="4">
        <v>68</v>
      </c>
      <c r="AF4322" s="4">
        <v>1</v>
      </c>
      <c r="AG4322" s="4">
        <v>1</v>
      </c>
      <c r="AH4322" s="4">
        <v>61</v>
      </c>
      <c r="AI4322" s="4">
        <v>61</v>
      </c>
      <c r="AJ4322" s="4">
        <v>12</v>
      </c>
      <c r="AK4322" s="4">
        <v>12</v>
      </c>
      <c r="AL4322" s="4">
        <v>35</v>
      </c>
      <c r="AM4322" s="4">
        <v>35</v>
      </c>
      <c r="AN4322" s="4">
        <v>0</v>
      </c>
      <c r="AO4322" s="4">
        <v>0</v>
      </c>
      <c r="AP4322" s="4">
        <v>14</v>
      </c>
      <c r="AQ4322" s="4">
        <v>14</v>
      </c>
      <c r="AR4322" s="3" t="s">
        <v>63</v>
      </c>
      <c r="AS4322" s="3" t="s">
        <v>63</v>
      </c>
      <c r="AT4322" s="3" t="s">
        <v>63</v>
      </c>
      <c r="AV4322" s="6" t="str">
        <f>HYPERLINK("http://mcgill.on.worldcat.org/oclc/34966657","Catalog Record")</f>
        <v>Catalog Record</v>
      </c>
      <c r="AW4322" s="6" t="str">
        <f>HYPERLINK("http://www.worldcat.org/oclc/34966657","WorldCat Record")</f>
        <v>WorldCat Record</v>
      </c>
      <c r="AX4322" s="3" t="s">
        <v>37402</v>
      </c>
      <c r="AY4322" s="3" t="s">
        <v>37403</v>
      </c>
      <c r="AZ4322" s="3" t="s">
        <v>37404</v>
      </c>
      <c r="BA4322" s="3" t="s">
        <v>37404</v>
      </c>
      <c r="BB4322" s="3" t="s">
        <v>37405</v>
      </c>
      <c r="BC4322" s="3" t="s">
        <v>82</v>
      </c>
      <c r="BD4322" s="3" t="s">
        <v>70</v>
      </c>
      <c r="BE4322" s="3" t="s">
        <v>37406</v>
      </c>
      <c r="BF4322" s="3" t="s">
        <v>37405</v>
      </c>
      <c r="BG4322" s="3" t="s">
        <v>37407</v>
      </c>
    </row>
    <row r="4323" spans="1:59" ht="60" x14ac:dyDescent="0.25">
      <c r="A4323" s="2" t="s">
        <v>59</v>
      </c>
      <c r="B4323" s="2" t="s">
        <v>60</v>
      </c>
      <c r="C4323" s="2" t="s">
        <v>37408</v>
      </c>
      <c r="D4323" s="2" t="s">
        <v>37409</v>
      </c>
      <c r="E4323" s="2" t="s">
        <v>37410</v>
      </c>
      <c r="G4323" s="3" t="s">
        <v>63</v>
      </c>
      <c r="I4323" s="3" t="s">
        <v>63</v>
      </c>
      <c r="J4323" s="3" t="s">
        <v>63</v>
      </c>
      <c r="K4323" s="3" t="s">
        <v>64</v>
      </c>
      <c r="L4323" s="2" t="s">
        <v>37400</v>
      </c>
      <c r="M4323" s="2" t="s">
        <v>37411</v>
      </c>
      <c r="N4323" s="3" t="s">
        <v>531</v>
      </c>
      <c r="P4323" s="3" t="s">
        <v>66</v>
      </c>
      <c r="R4323" s="3" t="s">
        <v>67</v>
      </c>
      <c r="S4323" s="4">
        <v>31</v>
      </c>
      <c r="T4323" s="4">
        <v>31</v>
      </c>
      <c r="U4323" s="5" t="s">
        <v>2250</v>
      </c>
      <c r="V4323" s="5" t="s">
        <v>2250</v>
      </c>
      <c r="W4323" s="5" t="s">
        <v>69</v>
      </c>
      <c r="X4323" s="5" t="s">
        <v>69</v>
      </c>
      <c r="Y4323" s="4">
        <v>27</v>
      </c>
      <c r="Z4323" s="4">
        <v>3</v>
      </c>
      <c r="AA4323" s="4">
        <v>19</v>
      </c>
      <c r="AB4323" s="4">
        <v>1</v>
      </c>
      <c r="AC4323" s="4">
        <v>2</v>
      </c>
      <c r="AD4323" s="4">
        <v>7</v>
      </c>
      <c r="AE4323" s="4">
        <v>68</v>
      </c>
      <c r="AF4323" s="4">
        <v>0</v>
      </c>
      <c r="AG4323" s="4">
        <v>1</v>
      </c>
      <c r="AH4323" s="4">
        <v>6</v>
      </c>
      <c r="AI4323" s="4">
        <v>60</v>
      </c>
      <c r="AJ4323" s="4">
        <v>2</v>
      </c>
      <c r="AK4323" s="4">
        <v>12</v>
      </c>
      <c r="AL4323" s="4">
        <v>3</v>
      </c>
      <c r="AM4323" s="4">
        <v>34</v>
      </c>
      <c r="AN4323" s="4">
        <v>0</v>
      </c>
      <c r="AO4323" s="4">
        <v>0</v>
      </c>
      <c r="AP4323" s="4">
        <v>2</v>
      </c>
      <c r="AQ4323" s="4">
        <v>15</v>
      </c>
      <c r="AR4323" s="3" t="s">
        <v>63</v>
      </c>
      <c r="AS4323" s="3" t="s">
        <v>63</v>
      </c>
      <c r="AT4323" s="3" t="s">
        <v>62</v>
      </c>
      <c r="AU4323" s="6" t="str">
        <f>HYPERLINK("http://catalog.hathitrust.org/Record/002169267","HathiTrust Record")</f>
        <v>HathiTrust Record</v>
      </c>
      <c r="AV4323" s="6" t="str">
        <f>HYPERLINK("http://mcgill.on.worldcat.org/oclc/427960789","Catalog Record")</f>
        <v>Catalog Record</v>
      </c>
      <c r="AW4323" s="6" t="str">
        <f>HYPERLINK("http://www.worldcat.org/oclc/427960789","WorldCat Record")</f>
        <v>WorldCat Record</v>
      </c>
      <c r="AX4323" s="3" t="s">
        <v>37412</v>
      </c>
      <c r="AY4323" s="3" t="s">
        <v>37413</v>
      </c>
      <c r="AZ4323" s="3" t="s">
        <v>37414</v>
      </c>
      <c r="BA4323" s="3" t="s">
        <v>37414</v>
      </c>
      <c r="BB4323" s="3" t="s">
        <v>37415</v>
      </c>
      <c r="BC4323" s="3" t="s">
        <v>82</v>
      </c>
      <c r="BD4323" s="3" t="s">
        <v>70</v>
      </c>
      <c r="BE4323" s="3" t="s">
        <v>37416</v>
      </c>
      <c r="BF4323" s="3" t="s">
        <v>37415</v>
      </c>
      <c r="BG4323" s="3" t="s">
        <v>37417</v>
      </c>
    </row>
    <row r="4324" spans="1:59" ht="60" x14ac:dyDescent="0.25">
      <c r="A4324" s="2" t="s">
        <v>59</v>
      </c>
      <c r="B4324" s="2" t="s">
        <v>60</v>
      </c>
      <c r="C4324" s="2" t="s">
        <v>37418</v>
      </c>
      <c r="D4324" s="2" t="s">
        <v>37419</v>
      </c>
      <c r="E4324" s="2" t="s">
        <v>37420</v>
      </c>
      <c r="G4324" s="3" t="s">
        <v>63</v>
      </c>
      <c r="I4324" s="3" t="s">
        <v>63</v>
      </c>
      <c r="J4324" s="3" t="s">
        <v>63</v>
      </c>
      <c r="K4324" s="3" t="s">
        <v>64</v>
      </c>
      <c r="L4324" s="2" t="s">
        <v>37400</v>
      </c>
      <c r="M4324" s="2" t="s">
        <v>37421</v>
      </c>
      <c r="N4324" s="3" t="s">
        <v>1418</v>
      </c>
      <c r="P4324" s="3" t="s">
        <v>66</v>
      </c>
      <c r="R4324" s="3" t="s">
        <v>67</v>
      </c>
      <c r="S4324" s="4">
        <v>6</v>
      </c>
      <c r="T4324" s="4">
        <v>6</v>
      </c>
      <c r="U4324" s="5" t="s">
        <v>8082</v>
      </c>
      <c r="V4324" s="5" t="s">
        <v>8082</v>
      </c>
      <c r="W4324" s="5" t="s">
        <v>69</v>
      </c>
      <c r="X4324" s="5" t="s">
        <v>69</v>
      </c>
      <c r="Y4324" s="4">
        <v>109</v>
      </c>
      <c r="Z4324" s="4">
        <v>8</v>
      </c>
      <c r="AA4324" s="4">
        <v>40</v>
      </c>
      <c r="AB4324" s="4">
        <v>2</v>
      </c>
      <c r="AC4324" s="4">
        <v>6</v>
      </c>
      <c r="AD4324" s="4">
        <v>49</v>
      </c>
      <c r="AE4324" s="4">
        <v>113</v>
      </c>
      <c r="AF4324" s="4">
        <v>0</v>
      </c>
      <c r="AG4324" s="4">
        <v>2</v>
      </c>
      <c r="AH4324" s="4">
        <v>44</v>
      </c>
      <c r="AI4324" s="4">
        <v>95</v>
      </c>
      <c r="AJ4324" s="4">
        <v>4</v>
      </c>
      <c r="AK4324" s="4">
        <v>15</v>
      </c>
      <c r="AL4324" s="4">
        <v>32</v>
      </c>
      <c r="AM4324" s="4">
        <v>55</v>
      </c>
      <c r="AN4324" s="4">
        <v>0</v>
      </c>
      <c r="AO4324" s="4">
        <v>0</v>
      </c>
      <c r="AP4324" s="4">
        <v>5</v>
      </c>
      <c r="AQ4324" s="4">
        <v>21</v>
      </c>
      <c r="AR4324" s="3" t="s">
        <v>63</v>
      </c>
      <c r="AS4324" s="3" t="s">
        <v>63</v>
      </c>
      <c r="AT4324" s="3" t="s">
        <v>63</v>
      </c>
      <c r="AV4324" s="6" t="str">
        <f>HYPERLINK("http://mcgill.on.worldcat.org/oclc/12500565","Catalog Record")</f>
        <v>Catalog Record</v>
      </c>
      <c r="AW4324" s="6" t="str">
        <f>HYPERLINK("http://www.worldcat.org/oclc/12500565","WorldCat Record")</f>
        <v>WorldCat Record</v>
      </c>
      <c r="AX4324" s="3" t="s">
        <v>37422</v>
      </c>
      <c r="AY4324" s="3" t="s">
        <v>37423</v>
      </c>
      <c r="AZ4324" s="3" t="s">
        <v>37424</v>
      </c>
      <c r="BA4324" s="3" t="s">
        <v>37424</v>
      </c>
      <c r="BB4324" s="3" t="s">
        <v>37425</v>
      </c>
      <c r="BC4324" s="3" t="s">
        <v>82</v>
      </c>
      <c r="BD4324" s="3" t="s">
        <v>70</v>
      </c>
      <c r="BE4324" s="3" t="s">
        <v>37426</v>
      </c>
      <c r="BF4324" s="3" t="s">
        <v>37425</v>
      </c>
      <c r="BG4324" s="3" t="s">
        <v>37427</v>
      </c>
    </row>
    <row r="4325" spans="1:59" ht="60" x14ac:dyDescent="0.25">
      <c r="A4325" s="2" t="s">
        <v>59</v>
      </c>
      <c r="B4325" s="2" t="s">
        <v>60</v>
      </c>
      <c r="C4325" s="2" t="s">
        <v>37428</v>
      </c>
      <c r="D4325" s="2" t="s">
        <v>37429</v>
      </c>
      <c r="E4325" s="2" t="s">
        <v>37430</v>
      </c>
      <c r="G4325" s="3" t="s">
        <v>63</v>
      </c>
      <c r="I4325" s="3" t="s">
        <v>63</v>
      </c>
      <c r="J4325" s="3" t="s">
        <v>63</v>
      </c>
      <c r="K4325" s="3" t="s">
        <v>64</v>
      </c>
      <c r="L4325" s="2" t="s">
        <v>37400</v>
      </c>
      <c r="M4325" s="2" t="s">
        <v>37431</v>
      </c>
      <c r="N4325" s="3" t="s">
        <v>2043</v>
      </c>
      <c r="P4325" s="3" t="s">
        <v>66</v>
      </c>
      <c r="Q4325" s="2" t="s">
        <v>37432</v>
      </c>
      <c r="R4325" s="3" t="s">
        <v>67</v>
      </c>
      <c r="S4325" s="4">
        <v>21</v>
      </c>
      <c r="T4325" s="4">
        <v>21</v>
      </c>
      <c r="U4325" s="5" t="s">
        <v>2767</v>
      </c>
      <c r="V4325" s="5" t="s">
        <v>2767</v>
      </c>
      <c r="W4325" s="5" t="s">
        <v>69</v>
      </c>
      <c r="X4325" s="5" t="s">
        <v>69</v>
      </c>
      <c r="Y4325" s="4">
        <v>80</v>
      </c>
      <c r="Z4325" s="4">
        <v>8</v>
      </c>
      <c r="AA4325" s="4">
        <v>42</v>
      </c>
      <c r="AB4325" s="4">
        <v>2</v>
      </c>
      <c r="AC4325" s="4">
        <v>3</v>
      </c>
      <c r="AD4325" s="4">
        <v>21</v>
      </c>
      <c r="AE4325" s="4">
        <v>130</v>
      </c>
      <c r="AF4325" s="4">
        <v>1</v>
      </c>
      <c r="AG4325" s="4">
        <v>2</v>
      </c>
      <c r="AH4325" s="4">
        <v>17</v>
      </c>
      <c r="AI4325" s="4">
        <v>105</v>
      </c>
      <c r="AJ4325" s="4">
        <v>5</v>
      </c>
      <c r="AK4325" s="4">
        <v>19</v>
      </c>
      <c r="AL4325" s="4">
        <v>10</v>
      </c>
      <c r="AM4325" s="4">
        <v>59</v>
      </c>
      <c r="AN4325" s="4">
        <v>0</v>
      </c>
      <c r="AO4325" s="4">
        <v>0</v>
      </c>
      <c r="AP4325" s="4">
        <v>6</v>
      </c>
      <c r="AQ4325" s="4">
        <v>30</v>
      </c>
      <c r="AR4325" s="3" t="s">
        <v>63</v>
      </c>
      <c r="AS4325" s="3" t="s">
        <v>63</v>
      </c>
      <c r="AT4325" s="3" t="s">
        <v>62</v>
      </c>
      <c r="AU4325" s="6" t="str">
        <f>HYPERLINK("http://catalog.hathitrust.org/Record/007275497","HathiTrust Record")</f>
        <v>HathiTrust Record</v>
      </c>
      <c r="AV4325" s="6" t="str">
        <f>HYPERLINK("http://mcgill.on.worldcat.org/oclc/7525046","Catalog Record")</f>
        <v>Catalog Record</v>
      </c>
      <c r="AW4325" s="6" t="str">
        <f>HYPERLINK("http://www.worldcat.org/oclc/7525046","WorldCat Record")</f>
        <v>WorldCat Record</v>
      </c>
      <c r="AX4325" s="3" t="s">
        <v>37433</v>
      </c>
      <c r="AY4325" s="3" t="s">
        <v>37434</v>
      </c>
      <c r="AZ4325" s="3" t="s">
        <v>37435</v>
      </c>
      <c r="BA4325" s="3" t="s">
        <v>37435</v>
      </c>
      <c r="BB4325" s="3" t="s">
        <v>37436</v>
      </c>
      <c r="BC4325" s="3" t="s">
        <v>82</v>
      </c>
      <c r="BD4325" s="3" t="s">
        <v>70</v>
      </c>
      <c r="BE4325" s="3" t="s">
        <v>37437</v>
      </c>
      <c r="BF4325" s="3" t="s">
        <v>37436</v>
      </c>
      <c r="BG4325" s="3" t="s">
        <v>37438</v>
      </c>
    </row>
    <row r="4326" spans="1:59" ht="60" x14ac:dyDescent="0.25">
      <c r="A4326" s="2" t="s">
        <v>59</v>
      </c>
      <c r="B4326" s="2" t="s">
        <v>60</v>
      </c>
      <c r="C4326" s="2" t="s">
        <v>37439</v>
      </c>
      <c r="D4326" s="2" t="s">
        <v>37440</v>
      </c>
      <c r="E4326" s="2" t="s">
        <v>37441</v>
      </c>
      <c r="G4326" s="3" t="s">
        <v>63</v>
      </c>
      <c r="I4326" s="3" t="s">
        <v>63</v>
      </c>
      <c r="J4326" s="3" t="s">
        <v>63</v>
      </c>
      <c r="K4326" s="3" t="s">
        <v>64</v>
      </c>
      <c r="L4326" s="2" t="s">
        <v>37400</v>
      </c>
      <c r="M4326" s="2" t="s">
        <v>37442</v>
      </c>
      <c r="N4326" s="3" t="s">
        <v>362</v>
      </c>
      <c r="P4326" s="3" t="s">
        <v>66</v>
      </c>
      <c r="R4326" s="3" t="s">
        <v>67</v>
      </c>
      <c r="S4326" s="4">
        <v>5</v>
      </c>
      <c r="T4326" s="4">
        <v>5</v>
      </c>
      <c r="U4326" s="5" t="s">
        <v>2767</v>
      </c>
      <c r="V4326" s="5" t="s">
        <v>2767</v>
      </c>
      <c r="W4326" s="5" t="s">
        <v>69</v>
      </c>
      <c r="X4326" s="5" t="s">
        <v>69</v>
      </c>
      <c r="Y4326" s="4">
        <v>442</v>
      </c>
      <c r="Z4326" s="4">
        <v>28</v>
      </c>
      <c r="AA4326" s="4">
        <v>28</v>
      </c>
      <c r="AB4326" s="4">
        <v>3</v>
      </c>
      <c r="AC4326" s="4">
        <v>3</v>
      </c>
      <c r="AD4326" s="4">
        <v>104</v>
      </c>
      <c r="AE4326" s="4">
        <v>106</v>
      </c>
      <c r="AF4326" s="4">
        <v>2</v>
      </c>
      <c r="AG4326" s="4">
        <v>2</v>
      </c>
      <c r="AH4326" s="4">
        <v>94</v>
      </c>
      <c r="AI4326" s="4">
        <v>96</v>
      </c>
      <c r="AJ4326" s="4">
        <v>14</v>
      </c>
      <c r="AK4326" s="4">
        <v>14</v>
      </c>
      <c r="AL4326" s="4">
        <v>54</v>
      </c>
      <c r="AM4326" s="4">
        <v>55</v>
      </c>
      <c r="AN4326" s="4">
        <v>0</v>
      </c>
      <c r="AO4326" s="4">
        <v>0</v>
      </c>
      <c r="AP4326" s="4">
        <v>16</v>
      </c>
      <c r="AQ4326" s="4">
        <v>16</v>
      </c>
      <c r="AR4326" s="3" t="s">
        <v>63</v>
      </c>
      <c r="AS4326" s="3" t="s">
        <v>63</v>
      </c>
      <c r="AT4326" s="3" t="s">
        <v>63</v>
      </c>
      <c r="AV4326" s="6" t="str">
        <f>HYPERLINK("http://mcgill.on.worldcat.org/oclc/45123233","Catalog Record")</f>
        <v>Catalog Record</v>
      </c>
      <c r="AW4326" s="6" t="str">
        <f>HYPERLINK("http://www.worldcat.org/oclc/45123233","WorldCat Record")</f>
        <v>WorldCat Record</v>
      </c>
      <c r="AX4326" s="3" t="s">
        <v>37443</v>
      </c>
      <c r="AY4326" s="3" t="s">
        <v>37444</v>
      </c>
      <c r="AZ4326" s="3" t="s">
        <v>37445</v>
      </c>
      <c r="BA4326" s="3" t="s">
        <v>37445</v>
      </c>
      <c r="BB4326" s="3" t="s">
        <v>37446</v>
      </c>
      <c r="BC4326" s="3" t="s">
        <v>82</v>
      </c>
      <c r="BD4326" s="3" t="s">
        <v>70</v>
      </c>
      <c r="BE4326" s="3" t="s">
        <v>37447</v>
      </c>
      <c r="BF4326" s="3" t="s">
        <v>37446</v>
      </c>
      <c r="BG4326" s="3" t="s">
        <v>37448</v>
      </c>
    </row>
    <row r="4327" spans="1:59" ht="60" x14ac:dyDescent="0.25">
      <c r="A4327" s="2" t="s">
        <v>59</v>
      </c>
      <c r="B4327" s="2" t="s">
        <v>60</v>
      </c>
      <c r="C4327" s="2" t="s">
        <v>37449</v>
      </c>
      <c r="D4327" s="2" t="s">
        <v>37450</v>
      </c>
      <c r="E4327" s="2" t="s">
        <v>37451</v>
      </c>
      <c r="G4327" s="3" t="s">
        <v>63</v>
      </c>
      <c r="I4327" s="3" t="s">
        <v>63</v>
      </c>
      <c r="J4327" s="3" t="s">
        <v>63</v>
      </c>
      <c r="K4327" s="3" t="s">
        <v>64</v>
      </c>
      <c r="L4327" s="2" t="s">
        <v>37400</v>
      </c>
      <c r="M4327" s="2" t="s">
        <v>37452</v>
      </c>
      <c r="N4327" s="3" t="s">
        <v>743</v>
      </c>
      <c r="P4327" s="3" t="s">
        <v>66</v>
      </c>
      <c r="Q4327" s="2" t="s">
        <v>37453</v>
      </c>
      <c r="R4327" s="3" t="s">
        <v>67</v>
      </c>
      <c r="S4327" s="4">
        <v>14</v>
      </c>
      <c r="T4327" s="4">
        <v>14</v>
      </c>
      <c r="U4327" s="5" t="s">
        <v>2239</v>
      </c>
      <c r="V4327" s="5" t="s">
        <v>2239</v>
      </c>
      <c r="W4327" s="5" t="s">
        <v>69</v>
      </c>
      <c r="X4327" s="5" t="s">
        <v>69</v>
      </c>
      <c r="Y4327" s="4">
        <v>96</v>
      </c>
      <c r="Z4327" s="4">
        <v>14</v>
      </c>
      <c r="AA4327" s="4">
        <v>14</v>
      </c>
      <c r="AB4327" s="4">
        <v>1</v>
      </c>
      <c r="AC4327" s="4">
        <v>1</v>
      </c>
      <c r="AD4327" s="4">
        <v>44</v>
      </c>
      <c r="AE4327" s="4">
        <v>44</v>
      </c>
      <c r="AF4327" s="4">
        <v>0</v>
      </c>
      <c r="AG4327" s="4">
        <v>0</v>
      </c>
      <c r="AH4327" s="4">
        <v>38</v>
      </c>
      <c r="AI4327" s="4">
        <v>38</v>
      </c>
      <c r="AJ4327" s="4">
        <v>11</v>
      </c>
      <c r="AK4327" s="4">
        <v>11</v>
      </c>
      <c r="AL4327" s="4">
        <v>23</v>
      </c>
      <c r="AM4327" s="4">
        <v>23</v>
      </c>
      <c r="AN4327" s="4">
        <v>0</v>
      </c>
      <c r="AO4327" s="4">
        <v>0</v>
      </c>
      <c r="AP4327" s="4">
        <v>11</v>
      </c>
      <c r="AQ4327" s="4">
        <v>11</v>
      </c>
      <c r="AR4327" s="3" t="s">
        <v>63</v>
      </c>
      <c r="AS4327" s="3" t="s">
        <v>63</v>
      </c>
      <c r="AT4327" s="3" t="s">
        <v>62</v>
      </c>
      <c r="AU4327" s="6" t="str">
        <f>HYPERLINK("http://catalog.hathitrust.org/Record/001244772","HathiTrust Record")</f>
        <v>HathiTrust Record</v>
      </c>
      <c r="AV4327" s="6" t="str">
        <f>HYPERLINK("http://mcgill.on.worldcat.org/oclc/495978","Catalog Record")</f>
        <v>Catalog Record</v>
      </c>
      <c r="AW4327" s="6" t="str">
        <f>HYPERLINK("http://www.worldcat.org/oclc/495978","WorldCat Record")</f>
        <v>WorldCat Record</v>
      </c>
      <c r="AX4327" s="3" t="s">
        <v>37454</v>
      </c>
      <c r="AY4327" s="3" t="s">
        <v>37455</v>
      </c>
      <c r="AZ4327" s="3" t="s">
        <v>37456</v>
      </c>
      <c r="BA4327" s="3" t="s">
        <v>37456</v>
      </c>
      <c r="BB4327" s="3" t="s">
        <v>37457</v>
      </c>
      <c r="BC4327" s="3" t="s">
        <v>82</v>
      </c>
      <c r="BD4327" s="3" t="s">
        <v>538</v>
      </c>
      <c r="BE4327" s="3" t="s">
        <v>37458</v>
      </c>
      <c r="BF4327" s="3" t="s">
        <v>37457</v>
      </c>
      <c r="BG4327" s="3" t="s">
        <v>37459</v>
      </c>
    </row>
    <row r="4328" spans="1:59" ht="60" x14ac:dyDescent="0.25">
      <c r="A4328" s="2" t="s">
        <v>59</v>
      </c>
      <c r="B4328" s="2" t="s">
        <v>60</v>
      </c>
      <c r="C4328" s="2" t="s">
        <v>37460</v>
      </c>
      <c r="D4328" s="2" t="s">
        <v>37461</v>
      </c>
      <c r="E4328" s="2" t="s">
        <v>37462</v>
      </c>
      <c r="G4328" s="3" t="s">
        <v>63</v>
      </c>
      <c r="I4328" s="3" t="s">
        <v>63</v>
      </c>
      <c r="J4328" s="3" t="s">
        <v>63</v>
      </c>
      <c r="K4328" s="3" t="s">
        <v>64</v>
      </c>
      <c r="L4328" s="2" t="s">
        <v>37400</v>
      </c>
      <c r="M4328" s="2" t="s">
        <v>37463</v>
      </c>
      <c r="N4328" s="3" t="s">
        <v>480</v>
      </c>
      <c r="P4328" s="3" t="s">
        <v>66</v>
      </c>
      <c r="R4328" s="3" t="s">
        <v>67</v>
      </c>
      <c r="S4328" s="4">
        <v>39</v>
      </c>
      <c r="T4328" s="4">
        <v>39</v>
      </c>
      <c r="U4328" s="5" t="s">
        <v>12637</v>
      </c>
      <c r="V4328" s="5" t="s">
        <v>12637</v>
      </c>
      <c r="W4328" s="5" t="s">
        <v>69</v>
      </c>
      <c r="X4328" s="5" t="s">
        <v>69</v>
      </c>
      <c r="Y4328" s="4">
        <v>16</v>
      </c>
      <c r="Z4328" s="4">
        <v>3</v>
      </c>
      <c r="AA4328" s="4">
        <v>50</v>
      </c>
      <c r="AB4328" s="4">
        <v>1</v>
      </c>
      <c r="AC4328" s="4">
        <v>1</v>
      </c>
      <c r="AD4328" s="4">
        <v>4</v>
      </c>
      <c r="AE4328" s="4">
        <v>128</v>
      </c>
      <c r="AF4328" s="4">
        <v>0</v>
      </c>
      <c r="AG4328" s="4">
        <v>0</v>
      </c>
      <c r="AH4328" s="4">
        <v>4</v>
      </c>
      <c r="AI4328" s="4">
        <v>107</v>
      </c>
      <c r="AJ4328" s="4">
        <v>1</v>
      </c>
      <c r="AK4328" s="4">
        <v>16</v>
      </c>
      <c r="AL4328" s="4">
        <v>1</v>
      </c>
      <c r="AM4328" s="4">
        <v>60</v>
      </c>
      <c r="AN4328" s="4">
        <v>0</v>
      </c>
      <c r="AO4328" s="4">
        <v>0</v>
      </c>
      <c r="AP4328" s="4">
        <v>1</v>
      </c>
      <c r="AQ4328" s="4">
        <v>26</v>
      </c>
      <c r="AR4328" s="3" t="s">
        <v>63</v>
      </c>
      <c r="AS4328" s="3" t="s">
        <v>63</v>
      </c>
      <c r="AT4328" s="3" t="s">
        <v>63</v>
      </c>
      <c r="AV4328" s="6" t="str">
        <f>HYPERLINK("http://mcgill.on.worldcat.org/oclc/61655885","Catalog Record")</f>
        <v>Catalog Record</v>
      </c>
      <c r="AW4328" s="6" t="str">
        <f>HYPERLINK("http://www.worldcat.org/oclc/61655885","WorldCat Record")</f>
        <v>WorldCat Record</v>
      </c>
      <c r="AX4328" s="3" t="s">
        <v>37464</v>
      </c>
      <c r="AY4328" s="3" t="s">
        <v>37465</v>
      </c>
      <c r="AZ4328" s="3" t="s">
        <v>37466</v>
      </c>
      <c r="BA4328" s="3" t="s">
        <v>37466</v>
      </c>
      <c r="BB4328" s="3" t="s">
        <v>37467</v>
      </c>
      <c r="BC4328" s="3" t="s">
        <v>82</v>
      </c>
      <c r="BD4328" s="3" t="s">
        <v>70</v>
      </c>
      <c r="BE4328" s="3" t="s">
        <v>37468</v>
      </c>
      <c r="BF4328" s="3" t="s">
        <v>37467</v>
      </c>
      <c r="BG4328" s="3" t="s">
        <v>37469</v>
      </c>
    </row>
    <row r="4329" spans="1:59" ht="75" x14ac:dyDescent="0.25">
      <c r="A4329" s="2" t="s">
        <v>59</v>
      </c>
      <c r="B4329" s="2" t="s">
        <v>60</v>
      </c>
      <c r="C4329" s="2" t="s">
        <v>37470</v>
      </c>
      <c r="D4329" s="2" t="s">
        <v>37471</v>
      </c>
      <c r="E4329" s="2" t="s">
        <v>37472</v>
      </c>
      <c r="G4329" s="3" t="s">
        <v>63</v>
      </c>
      <c r="I4329" s="3" t="s">
        <v>63</v>
      </c>
      <c r="J4329" s="3" t="s">
        <v>63</v>
      </c>
      <c r="K4329" s="3" t="s">
        <v>64</v>
      </c>
      <c r="L4329" s="2" t="s">
        <v>37473</v>
      </c>
      <c r="M4329" s="2" t="s">
        <v>37474</v>
      </c>
      <c r="N4329" s="3" t="s">
        <v>427</v>
      </c>
      <c r="O4329" s="2" t="s">
        <v>33420</v>
      </c>
      <c r="P4329" s="3" t="s">
        <v>66</v>
      </c>
      <c r="R4329" s="3" t="s">
        <v>67</v>
      </c>
      <c r="S4329" s="4">
        <v>28</v>
      </c>
      <c r="T4329" s="4">
        <v>28</v>
      </c>
      <c r="U4329" s="5" t="s">
        <v>2767</v>
      </c>
      <c r="V4329" s="5" t="s">
        <v>2767</v>
      </c>
      <c r="W4329" s="5" t="s">
        <v>69</v>
      </c>
      <c r="X4329" s="5" t="s">
        <v>69</v>
      </c>
      <c r="Y4329" s="4">
        <v>400</v>
      </c>
      <c r="Z4329" s="4">
        <v>23</v>
      </c>
      <c r="AA4329" s="4">
        <v>32</v>
      </c>
      <c r="AB4329" s="4">
        <v>2</v>
      </c>
      <c r="AC4329" s="4">
        <v>2</v>
      </c>
      <c r="AD4329" s="4">
        <v>91</v>
      </c>
      <c r="AE4329" s="4">
        <v>113</v>
      </c>
      <c r="AF4329" s="4">
        <v>0</v>
      </c>
      <c r="AG4329" s="4">
        <v>0</v>
      </c>
      <c r="AH4329" s="4">
        <v>83</v>
      </c>
      <c r="AI4329" s="4">
        <v>101</v>
      </c>
      <c r="AJ4329" s="4">
        <v>11</v>
      </c>
      <c r="AK4329" s="4">
        <v>16</v>
      </c>
      <c r="AL4329" s="4">
        <v>51</v>
      </c>
      <c r="AM4329" s="4">
        <v>56</v>
      </c>
      <c r="AN4329" s="4">
        <v>0</v>
      </c>
      <c r="AO4329" s="4">
        <v>0</v>
      </c>
      <c r="AP4329" s="4">
        <v>12</v>
      </c>
      <c r="AQ4329" s="4">
        <v>19</v>
      </c>
      <c r="AR4329" s="3" t="s">
        <v>63</v>
      </c>
      <c r="AS4329" s="3" t="s">
        <v>63</v>
      </c>
      <c r="AT4329" s="3" t="s">
        <v>62</v>
      </c>
      <c r="AU4329" s="6" t="str">
        <f>HYPERLINK("http://catalog.hathitrust.org/Record/000901033","HathiTrust Record")</f>
        <v>HathiTrust Record</v>
      </c>
      <c r="AV4329" s="6" t="str">
        <f>HYPERLINK("http://mcgill.on.worldcat.org/oclc/16005605","Catalog Record")</f>
        <v>Catalog Record</v>
      </c>
      <c r="AW4329" s="6" t="str">
        <f>HYPERLINK("http://www.worldcat.org/oclc/16005605","WorldCat Record")</f>
        <v>WorldCat Record</v>
      </c>
      <c r="AX4329" s="3" t="s">
        <v>37475</v>
      </c>
      <c r="AY4329" s="3" t="s">
        <v>37476</v>
      </c>
      <c r="AZ4329" s="3" t="s">
        <v>37477</v>
      </c>
      <c r="BA4329" s="3" t="s">
        <v>37477</v>
      </c>
      <c r="BB4329" s="3" t="s">
        <v>37478</v>
      </c>
      <c r="BC4329" s="3" t="s">
        <v>82</v>
      </c>
      <c r="BD4329" s="3" t="s">
        <v>70</v>
      </c>
      <c r="BE4329" s="3" t="s">
        <v>37479</v>
      </c>
      <c r="BF4329" s="3" t="s">
        <v>37478</v>
      </c>
      <c r="BG4329" s="3" t="s">
        <v>37480</v>
      </c>
    </row>
    <row r="4330" spans="1:59" ht="60" x14ac:dyDescent="0.25">
      <c r="A4330" s="2" t="s">
        <v>59</v>
      </c>
      <c r="B4330" s="2" t="s">
        <v>60</v>
      </c>
      <c r="C4330" s="2" t="s">
        <v>37481</v>
      </c>
      <c r="D4330" s="2" t="s">
        <v>37482</v>
      </c>
      <c r="E4330" s="2" t="s">
        <v>37483</v>
      </c>
      <c r="G4330" s="3" t="s">
        <v>63</v>
      </c>
      <c r="I4330" s="3" t="s">
        <v>63</v>
      </c>
      <c r="J4330" s="3" t="s">
        <v>63</v>
      </c>
      <c r="K4330" s="3" t="s">
        <v>64</v>
      </c>
      <c r="L4330" s="2" t="s">
        <v>37484</v>
      </c>
      <c r="M4330" s="2" t="s">
        <v>37485</v>
      </c>
      <c r="N4330" s="3" t="s">
        <v>2765</v>
      </c>
      <c r="P4330" s="3" t="s">
        <v>66</v>
      </c>
      <c r="R4330" s="3" t="s">
        <v>67</v>
      </c>
      <c r="S4330" s="4">
        <v>3</v>
      </c>
      <c r="T4330" s="4">
        <v>3</v>
      </c>
      <c r="U4330" s="5" t="s">
        <v>37486</v>
      </c>
      <c r="V4330" s="5" t="s">
        <v>37486</v>
      </c>
      <c r="W4330" s="5" t="s">
        <v>69</v>
      </c>
      <c r="X4330" s="5" t="s">
        <v>69</v>
      </c>
      <c r="Y4330" s="4">
        <v>117</v>
      </c>
      <c r="Z4330" s="4">
        <v>14</v>
      </c>
      <c r="AA4330" s="4">
        <v>91</v>
      </c>
      <c r="AB4330" s="4">
        <v>1</v>
      </c>
      <c r="AC4330" s="4">
        <v>16</v>
      </c>
      <c r="AD4330" s="4">
        <v>54</v>
      </c>
      <c r="AE4330" s="4">
        <v>117</v>
      </c>
      <c r="AF4330" s="4">
        <v>0</v>
      </c>
      <c r="AG4330" s="4">
        <v>8</v>
      </c>
      <c r="AH4330" s="4">
        <v>49</v>
      </c>
      <c r="AI4330" s="4">
        <v>78</v>
      </c>
      <c r="AJ4330" s="4">
        <v>8</v>
      </c>
      <c r="AK4330" s="4">
        <v>22</v>
      </c>
      <c r="AL4330" s="4">
        <v>33</v>
      </c>
      <c r="AM4330" s="4">
        <v>44</v>
      </c>
      <c r="AN4330" s="4">
        <v>0</v>
      </c>
      <c r="AO4330" s="4">
        <v>0</v>
      </c>
      <c r="AP4330" s="4">
        <v>8</v>
      </c>
      <c r="AQ4330" s="4">
        <v>47</v>
      </c>
      <c r="AR4330" s="3" t="s">
        <v>62</v>
      </c>
      <c r="AS4330" s="3" t="s">
        <v>63</v>
      </c>
      <c r="AT4330" s="3" t="s">
        <v>63</v>
      </c>
      <c r="AV4330" s="6" t="str">
        <f>HYPERLINK("http://mcgill.on.worldcat.org/oclc/898089310","Catalog Record")</f>
        <v>Catalog Record</v>
      </c>
      <c r="AW4330" s="6" t="str">
        <f>HYPERLINK("http://www.worldcat.org/oclc/898089310","WorldCat Record")</f>
        <v>WorldCat Record</v>
      </c>
      <c r="AX4330" s="3" t="s">
        <v>37487</v>
      </c>
      <c r="AY4330" s="3" t="s">
        <v>37488</v>
      </c>
      <c r="AZ4330" s="3" t="s">
        <v>37489</v>
      </c>
      <c r="BA4330" s="3" t="s">
        <v>37489</v>
      </c>
      <c r="BB4330" s="3" t="s">
        <v>37490</v>
      </c>
      <c r="BC4330" s="3" t="s">
        <v>82</v>
      </c>
      <c r="BD4330" s="3" t="s">
        <v>70</v>
      </c>
      <c r="BE4330" s="3" t="s">
        <v>37491</v>
      </c>
      <c r="BF4330" s="3" t="s">
        <v>37490</v>
      </c>
      <c r="BG4330" s="3" t="s">
        <v>37492</v>
      </c>
    </row>
    <row r="4331" spans="1:59" ht="60" x14ac:dyDescent="0.25">
      <c r="A4331" s="2" t="s">
        <v>59</v>
      </c>
      <c r="B4331" s="2" t="s">
        <v>60</v>
      </c>
      <c r="C4331" s="2" t="s">
        <v>37493</v>
      </c>
      <c r="D4331" s="2" t="s">
        <v>37494</v>
      </c>
      <c r="E4331" s="2" t="s">
        <v>37495</v>
      </c>
      <c r="G4331" s="3" t="s">
        <v>63</v>
      </c>
      <c r="I4331" s="3" t="s">
        <v>63</v>
      </c>
      <c r="J4331" s="3" t="s">
        <v>63</v>
      </c>
      <c r="K4331" s="3" t="s">
        <v>64</v>
      </c>
      <c r="L4331" s="2" t="s">
        <v>37496</v>
      </c>
      <c r="M4331" s="2" t="s">
        <v>37497</v>
      </c>
      <c r="N4331" s="3" t="s">
        <v>76</v>
      </c>
      <c r="P4331" s="3" t="s">
        <v>66</v>
      </c>
      <c r="R4331" s="3" t="s">
        <v>67</v>
      </c>
      <c r="S4331" s="4">
        <v>5</v>
      </c>
      <c r="T4331" s="4">
        <v>5</v>
      </c>
      <c r="U4331" s="5" t="s">
        <v>37498</v>
      </c>
      <c r="V4331" s="5" t="s">
        <v>37498</v>
      </c>
      <c r="W4331" s="5" t="s">
        <v>69</v>
      </c>
      <c r="X4331" s="5" t="s">
        <v>69</v>
      </c>
      <c r="Y4331" s="4">
        <v>115</v>
      </c>
      <c r="Z4331" s="4">
        <v>10</v>
      </c>
      <c r="AA4331" s="4">
        <v>28</v>
      </c>
      <c r="AB4331" s="4">
        <v>1</v>
      </c>
      <c r="AC4331" s="4">
        <v>3</v>
      </c>
      <c r="AD4331" s="4">
        <v>44</v>
      </c>
      <c r="AE4331" s="4">
        <v>77</v>
      </c>
      <c r="AF4331" s="4">
        <v>0</v>
      </c>
      <c r="AG4331" s="4">
        <v>0</v>
      </c>
      <c r="AH4331" s="4">
        <v>41</v>
      </c>
      <c r="AI4331" s="4">
        <v>64</v>
      </c>
      <c r="AJ4331" s="4">
        <v>7</v>
      </c>
      <c r="AK4331" s="4">
        <v>12</v>
      </c>
      <c r="AL4331" s="4">
        <v>27</v>
      </c>
      <c r="AM4331" s="4">
        <v>36</v>
      </c>
      <c r="AN4331" s="4">
        <v>0</v>
      </c>
      <c r="AO4331" s="4">
        <v>0</v>
      </c>
      <c r="AP4331" s="4">
        <v>8</v>
      </c>
      <c r="AQ4331" s="4">
        <v>20</v>
      </c>
      <c r="AR4331" s="3" t="s">
        <v>63</v>
      </c>
      <c r="AS4331" s="3" t="s">
        <v>63</v>
      </c>
      <c r="AT4331" s="3" t="s">
        <v>63</v>
      </c>
      <c r="AV4331" s="6" t="str">
        <f>HYPERLINK("http://mcgill.on.worldcat.org/oclc/748331448","Catalog Record")</f>
        <v>Catalog Record</v>
      </c>
      <c r="AW4331" s="6" t="str">
        <f>HYPERLINK("http://www.worldcat.org/oclc/748331448","WorldCat Record")</f>
        <v>WorldCat Record</v>
      </c>
      <c r="AX4331" s="3" t="s">
        <v>37499</v>
      </c>
      <c r="AY4331" s="3" t="s">
        <v>37500</v>
      </c>
      <c r="AZ4331" s="3" t="s">
        <v>37501</v>
      </c>
      <c r="BA4331" s="3" t="s">
        <v>37501</v>
      </c>
      <c r="BB4331" s="3" t="s">
        <v>37502</v>
      </c>
      <c r="BC4331" s="3" t="s">
        <v>82</v>
      </c>
      <c r="BD4331" s="3" t="s">
        <v>70</v>
      </c>
      <c r="BE4331" s="3" t="s">
        <v>37503</v>
      </c>
      <c r="BF4331" s="3" t="s">
        <v>37502</v>
      </c>
      <c r="BG4331" s="3" t="s">
        <v>37504</v>
      </c>
    </row>
    <row r="4332" spans="1:59" ht="60" x14ac:dyDescent="0.25">
      <c r="A4332" s="2" t="s">
        <v>59</v>
      </c>
      <c r="B4332" s="2" t="s">
        <v>60</v>
      </c>
      <c r="C4332" s="2" t="s">
        <v>37505</v>
      </c>
      <c r="D4332" s="2" t="s">
        <v>37506</v>
      </c>
      <c r="E4332" s="2" t="s">
        <v>37507</v>
      </c>
      <c r="G4332" s="3" t="s">
        <v>63</v>
      </c>
      <c r="I4332" s="3" t="s">
        <v>63</v>
      </c>
      <c r="J4332" s="3" t="s">
        <v>63</v>
      </c>
      <c r="K4332" s="3" t="s">
        <v>64</v>
      </c>
      <c r="L4332" s="2" t="s">
        <v>37508</v>
      </c>
      <c r="M4332" s="2" t="s">
        <v>37509</v>
      </c>
      <c r="N4332" s="3" t="s">
        <v>190</v>
      </c>
      <c r="O4332" s="2" t="s">
        <v>590</v>
      </c>
      <c r="P4332" s="3" t="s">
        <v>66</v>
      </c>
      <c r="R4332" s="3" t="s">
        <v>67</v>
      </c>
      <c r="S4332" s="4">
        <v>10</v>
      </c>
      <c r="T4332" s="4">
        <v>10</v>
      </c>
      <c r="U4332" s="5" t="s">
        <v>12637</v>
      </c>
      <c r="V4332" s="5" t="s">
        <v>12637</v>
      </c>
      <c r="W4332" s="5" t="s">
        <v>69</v>
      </c>
      <c r="X4332" s="5" t="s">
        <v>69</v>
      </c>
      <c r="Y4332" s="4">
        <v>371</v>
      </c>
      <c r="Z4332" s="4">
        <v>13</v>
      </c>
      <c r="AA4332" s="4">
        <v>13</v>
      </c>
      <c r="AB4332" s="4">
        <v>1</v>
      </c>
      <c r="AC4332" s="4">
        <v>1</v>
      </c>
      <c r="AD4332" s="4">
        <v>82</v>
      </c>
      <c r="AE4332" s="4">
        <v>82</v>
      </c>
      <c r="AF4332" s="4">
        <v>0</v>
      </c>
      <c r="AG4332" s="4">
        <v>0</v>
      </c>
      <c r="AH4332" s="4">
        <v>75</v>
      </c>
      <c r="AI4332" s="4">
        <v>75</v>
      </c>
      <c r="AJ4332" s="4">
        <v>5</v>
      </c>
      <c r="AK4332" s="4">
        <v>5</v>
      </c>
      <c r="AL4332" s="4">
        <v>45</v>
      </c>
      <c r="AM4332" s="4">
        <v>45</v>
      </c>
      <c r="AN4332" s="4">
        <v>0</v>
      </c>
      <c r="AO4332" s="4">
        <v>0</v>
      </c>
      <c r="AP4332" s="4">
        <v>8</v>
      </c>
      <c r="AQ4332" s="4">
        <v>8</v>
      </c>
      <c r="AR4332" s="3" t="s">
        <v>63</v>
      </c>
      <c r="AS4332" s="3" t="s">
        <v>63</v>
      </c>
      <c r="AT4332" s="3" t="s">
        <v>62</v>
      </c>
      <c r="AU4332" s="6" t="str">
        <f>HYPERLINK("http://catalog.hathitrust.org/Record/004959394","HathiTrust Record")</f>
        <v>HathiTrust Record</v>
      </c>
      <c r="AV4332" s="6" t="str">
        <f>HYPERLINK("http://mcgill.on.worldcat.org/oclc/53000554","Catalog Record")</f>
        <v>Catalog Record</v>
      </c>
      <c r="AW4332" s="6" t="str">
        <f>HYPERLINK("http://www.worldcat.org/oclc/53000554","WorldCat Record")</f>
        <v>WorldCat Record</v>
      </c>
      <c r="AX4332" s="3" t="s">
        <v>37510</v>
      </c>
      <c r="AY4332" s="3" t="s">
        <v>37511</v>
      </c>
      <c r="AZ4332" s="3" t="s">
        <v>37512</v>
      </c>
      <c r="BA4332" s="3" t="s">
        <v>37512</v>
      </c>
      <c r="BB4332" s="3" t="s">
        <v>37513</v>
      </c>
      <c r="BC4332" s="3" t="s">
        <v>82</v>
      </c>
      <c r="BD4332" s="3" t="s">
        <v>70</v>
      </c>
      <c r="BE4332" s="3" t="s">
        <v>37514</v>
      </c>
      <c r="BF4332" s="3" t="s">
        <v>37513</v>
      </c>
      <c r="BG4332" s="3" t="s">
        <v>37515</v>
      </c>
    </row>
    <row r="4333" spans="1:59" ht="75" x14ac:dyDescent="0.25">
      <c r="A4333" s="2" t="s">
        <v>59</v>
      </c>
      <c r="B4333" s="2" t="s">
        <v>60</v>
      </c>
      <c r="C4333" s="2" t="s">
        <v>37516</v>
      </c>
      <c r="D4333" s="2" t="s">
        <v>37517</v>
      </c>
      <c r="E4333" s="2" t="s">
        <v>37518</v>
      </c>
      <c r="G4333" s="3" t="s">
        <v>63</v>
      </c>
      <c r="I4333" s="3" t="s">
        <v>63</v>
      </c>
      <c r="J4333" s="3" t="s">
        <v>63</v>
      </c>
      <c r="K4333" s="3" t="s">
        <v>64</v>
      </c>
      <c r="L4333" s="2" t="s">
        <v>37473</v>
      </c>
      <c r="M4333" s="2" t="s">
        <v>37519</v>
      </c>
      <c r="N4333" s="3" t="s">
        <v>1418</v>
      </c>
      <c r="P4333" s="3" t="s">
        <v>66</v>
      </c>
      <c r="R4333" s="3" t="s">
        <v>67</v>
      </c>
      <c r="S4333" s="4">
        <v>33</v>
      </c>
      <c r="T4333" s="4">
        <v>33</v>
      </c>
      <c r="U4333" s="5" t="s">
        <v>8082</v>
      </c>
      <c r="V4333" s="5" t="s">
        <v>8082</v>
      </c>
      <c r="W4333" s="5" t="s">
        <v>69</v>
      </c>
      <c r="X4333" s="5" t="s">
        <v>69</v>
      </c>
      <c r="Y4333" s="4">
        <v>255</v>
      </c>
      <c r="Z4333" s="4">
        <v>17</v>
      </c>
      <c r="AA4333" s="4">
        <v>39</v>
      </c>
      <c r="AB4333" s="4">
        <v>4</v>
      </c>
      <c r="AC4333" s="4">
        <v>5</v>
      </c>
      <c r="AD4333" s="4">
        <v>73</v>
      </c>
      <c r="AE4333" s="4">
        <v>112</v>
      </c>
      <c r="AF4333" s="4">
        <v>2</v>
      </c>
      <c r="AG4333" s="4">
        <v>3</v>
      </c>
      <c r="AH4333" s="4">
        <v>65</v>
      </c>
      <c r="AI4333" s="4">
        <v>98</v>
      </c>
      <c r="AJ4333" s="4">
        <v>11</v>
      </c>
      <c r="AK4333" s="4">
        <v>17</v>
      </c>
      <c r="AL4333" s="4">
        <v>35</v>
      </c>
      <c r="AM4333" s="4">
        <v>52</v>
      </c>
      <c r="AN4333" s="4">
        <v>0</v>
      </c>
      <c r="AO4333" s="4">
        <v>2</v>
      </c>
      <c r="AP4333" s="4">
        <v>13</v>
      </c>
      <c r="AQ4333" s="4">
        <v>23</v>
      </c>
      <c r="AR4333" s="3" t="s">
        <v>63</v>
      </c>
      <c r="AS4333" s="3" t="s">
        <v>63</v>
      </c>
      <c r="AT4333" s="3" t="s">
        <v>62</v>
      </c>
      <c r="AU4333" s="6" t="str">
        <f>HYPERLINK("http://catalog.hathitrust.org/Record/000848624","HathiTrust Record")</f>
        <v>HathiTrust Record</v>
      </c>
      <c r="AV4333" s="6" t="str">
        <f>HYPERLINK("http://mcgill.on.worldcat.org/oclc/14718006","Catalog Record")</f>
        <v>Catalog Record</v>
      </c>
      <c r="AW4333" s="6" t="str">
        <f>HYPERLINK("http://www.worldcat.org/oclc/14718006","WorldCat Record")</f>
        <v>WorldCat Record</v>
      </c>
      <c r="AX4333" s="3" t="s">
        <v>37520</v>
      </c>
      <c r="AY4333" s="3" t="s">
        <v>37521</v>
      </c>
      <c r="AZ4333" s="3" t="s">
        <v>37522</v>
      </c>
      <c r="BA4333" s="3" t="s">
        <v>37522</v>
      </c>
      <c r="BB4333" s="3" t="s">
        <v>37523</v>
      </c>
      <c r="BC4333" s="3" t="s">
        <v>82</v>
      </c>
      <c r="BD4333" s="3" t="s">
        <v>538</v>
      </c>
      <c r="BE4333" s="3" t="s">
        <v>37524</v>
      </c>
      <c r="BF4333" s="3" t="s">
        <v>37523</v>
      </c>
      <c r="BG4333" s="3" t="s">
        <v>37525</v>
      </c>
    </row>
    <row r="4334" spans="1:59" ht="60" x14ac:dyDescent="0.25">
      <c r="A4334" s="2" t="s">
        <v>59</v>
      </c>
      <c r="B4334" s="2" t="s">
        <v>60</v>
      </c>
      <c r="C4334" s="2" t="s">
        <v>37526</v>
      </c>
      <c r="D4334" s="2" t="s">
        <v>37527</v>
      </c>
      <c r="E4334" s="2" t="s">
        <v>37528</v>
      </c>
      <c r="G4334" s="3" t="s">
        <v>63</v>
      </c>
      <c r="I4334" s="3" t="s">
        <v>63</v>
      </c>
      <c r="J4334" s="3" t="s">
        <v>63</v>
      </c>
      <c r="K4334" s="3" t="s">
        <v>64</v>
      </c>
      <c r="L4334" s="2" t="s">
        <v>37529</v>
      </c>
      <c r="M4334" s="2" t="s">
        <v>37530</v>
      </c>
      <c r="N4334" s="3" t="s">
        <v>287</v>
      </c>
      <c r="P4334" s="3" t="s">
        <v>66</v>
      </c>
      <c r="R4334" s="3" t="s">
        <v>67</v>
      </c>
      <c r="S4334" s="4">
        <v>2</v>
      </c>
      <c r="T4334" s="4">
        <v>2</v>
      </c>
      <c r="U4334" s="5" t="s">
        <v>37531</v>
      </c>
      <c r="V4334" s="5" t="s">
        <v>37531</v>
      </c>
      <c r="W4334" s="5" t="s">
        <v>7007</v>
      </c>
      <c r="X4334" s="5" t="s">
        <v>7007</v>
      </c>
      <c r="Y4334" s="4">
        <v>46</v>
      </c>
      <c r="Z4334" s="4">
        <v>4</v>
      </c>
      <c r="AA4334" s="4">
        <v>4</v>
      </c>
      <c r="AB4334" s="4">
        <v>1</v>
      </c>
      <c r="AC4334" s="4">
        <v>1</v>
      </c>
      <c r="AD4334" s="4">
        <v>31</v>
      </c>
      <c r="AE4334" s="4">
        <v>31</v>
      </c>
      <c r="AF4334" s="4">
        <v>0</v>
      </c>
      <c r="AG4334" s="4">
        <v>0</v>
      </c>
      <c r="AH4334" s="4">
        <v>31</v>
      </c>
      <c r="AI4334" s="4">
        <v>31</v>
      </c>
      <c r="AJ4334" s="4">
        <v>2</v>
      </c>
      <c r="AK4334" s="4">
        <v>2</v>
      </c>
      <c r="AL4334" s="4">
        <v>22</v>
      </c>
      <c r="AM4334" s="4">
        <v>22</v>
      </c>
      <c r="AN4334" s="4">
        <v>0</v>
      </c>
      <c r="AO4334" s="4">
        <v>0</v>
      </c>
      <c r="AP4334" s="4">
        <v>2</v>
      </c>
      <c r="AQ4334" s="4">
        <v>2</v>
      </c>
      <c r="AR4334" s="3" t="s">
        <v>63</v>
      </c>
      <c r="AS4334" s="3" t="s">
        <v>63</v>
      </c>
      <c r="AT4334" s="3" t="s">
        <v>63</v>
      </c>
      <c r="AV4334" s="6" t="str">
        <f>HYPERLINK("http://mcgill.on.worldcat.org/oclc/1028612282","Catalog Record")</f>
        <v>Catalog Record</v>
      </c>
      <c r="AW4334" s="6" t="str">
        <f>HYPERLINK("http://www.worldcat.org/oclc/1028612282","WorldCat Record")</f>
        <v>WorldCat Record</v>
      </c>
      <c r="AX4334" s="3" t="s">
        <v>37532</v>
      </c>
      <c r="AY4334" s="3" t="s">
        <v>37533</v>
      </c>
      <c r="AZ4334" s="3" t="s">
        <v>37534</v>
      </c>
      <c r="BA4334" s="3" t="s">
        <v>37534</v>
      </c>
      <c r="BB4334" s="3" t="s">
        <v>37535</v>
      </c>
      <c r="BC4334" s="3" t="s">
        <v>82</v>
      </c>
      <c r="BD4334" s="3" t="s">
        <v>538</v>
      </c>
      <c r="BE4334" s="3" t="s">
        <v>37536</v>
      </c>
      <c r="BF4334" s="3" t="s">
        <v>37535</v>
      </c>
      <c r="BG4334" s="3" t="s">
        <v>37537</v>
      </c>
    </row>
    <row r="4335" spans="1:59" ht="75" x14ac:dyDescent="0.25">
      <c r="A4335" s="2" t="s">
        <v>59</v>
      </c>
      <c r="B4335" s="2" t="s">
        <v>60</v>
      </c>
      <c r="C4335" s="2" t="s">
        <v>37538</v>
      </c>
      <c r="D4335" s="2" t="s">
        <v>37539</v>
      </c>
      <c r="E4335" s="2" t="s">
        <v>37540</v>
      </c>
      <c r="G4335" s="3" t="s">
        <v>63</v>
      </c>
      <c r="I4335" s="3" t="s">
        <v>63</v>
      </c>
      <c r="J4335" s="3" t="s">
        <v>63</v>
      </c>
      <c r="K4335" s="3" t="s">
        <v>64</v>
      </c>
      <c r="L4335" s="2" t="s">
        <v>37529</v>
      </c>
      <c r="M4335" s="2" t="s">
        <v>37541</v>
      </c>
      <c r="N4335" s="3" t="s">
        <v>731</v>
      </c>
      <c r="O4335" s="2" t="s">
        <v>1605</v>
      </c>
      <c r="P4335" s="3" t="s">
        <v>66</v>
      </c>
      <c r="R4335" s="3" t="s">
        <v>67</v>
      </c>
      <c r="S4335" s="4">
        <v>13</v>
      </c>
      <c r="T4335" s="4">
        <v>13</v>
      </c>
      <c r="U4335" s="5" t="s">
        <v>37531</v>
      </c>
      <c r="V4335" s="5" t="s">
        <v>37531</v>
      </c>
      <c r="W4335" s="5" t="s">
        <v>69</v>
      </c>
      <c r="X4335" s="5" t="s">
        <v>69</v>
      </c>
      <c r="Y4335" s="4">
        <v>280</v>
      </c>
      <c r="Z4335" s="4">
        <v>15</v>
      </c>
      <c r="AA4335" s="4">
        <v>19</v>
      </c>
      <c r="AB4335" s="4">
        <v>2</v>
      </c>
      <c r="AC4335" s="4">
        <v>2</v>
      </c>
      <c r="AD4335" s="4">
        <v>70</v>
      </c>
      <c r="AE4335" s="4">
        <v>88</v>
      </c>
      <c r="AF4335" s="4">
        <v>1</v>
      </c>
      <c r="AG4335" s="4">
        <v>1</v>
      </c>
      <c r="AH4335" s="4">
        <v>64</v>
      </c>
      <c r="AI4335" s="4">
        <v>80</v>
      </c>
      <c r="AJ4335" s="4">
        <v>10</v>
      </c>
      <c r="AK4335" s="4">
        <v>14</v>
      </c>
      <c r="AL4335" s="4">
        <v>40</v>
      </c>
      <c r="AM4335" s="4">
        <v>50</v>
      </c>
      <c r="AN4335" s="4">
        <v>0</v>
      </c>
      <c r="AO4335" s="4">
        <v>0</v>
      </c>
      <c r="AP4335" s="4">
        <v>10</v>
      </c>
      <c r="AQ4335" s="4">
        <v>14</v>
      </c>
      <c r="AR4335" s="3" t="s">
        <v>63</v>
      </c>
      <c r="AS4335" s="3" t="s">
        <v>63</v>
      </c>
      <c r="AT4335" s="3" t="s">
        <v>62</v>
      </c>
      <c r="AU4335" s="6" t="str">
        <f>HYPERLINK("http://catalog.hathitrust.org/Record/001231121","HathiTrust Record")</f>
        <v>HathiTrust Record</v>
      </c>
      <c r="AV4335" s="6" t="str">
        <f>HYPERLINK("http://mcgill.on.worldcat.org/oclc/902794","Catalog Record")</f>
        <v>Catalog Record</v>
      </c>
      <c r="AW4335" s="6" t="str">
        <f>HYPERLINK("http://www.worldcat.org/oclc/902794","WorldCat Record")</f>
        <v>WorldCat Record</v>
      </c>
      <c r="AX4335" s="3" t="s">
        <v>37542</v>
      </c>
      <c r="AY4335" s="3" t="s">
        <v>37543</v>
      </c>
      <c r="AZ4335" s="3" t="s">
        <v>37544</v>
      </c>
      <c r="BA4335" s="3" t="s">
        <v>37544</v>
      </c>
      <c r="BB4335" s="3" t="s">
        <v>37545</v>
      </c>
      <c r="BC4335" s="3" t="s">
        <v>82</v>
      </c>
      <c r="BD4335" s="3" t="s">
        <v>70</v>
      </c>
      <c r="BE4335" s="3" t="s">
        <v>37546</v>
      </c>
      <c r="BF4335" s="3" t="s">
        <v>37545</v>
      </c>
      <c r="BG4335" s="3" t="s">
        <v>37547</v>
      </c>
    </row>
    <row r="4336" spans="1:59" ht="60" x14ac:dyDescent="0.25">
      <c r="A4336" s="2" t="s">
        <v>59</v>
      </c>
      <c r="B4336" s="2" t="s">
        <v>60</v>
      </c>
      <c r="C4336" s="2" t="s">
        <v>37548</v>
      </c>
      <c r="D4336" s="2" t="s">
        <v>37549</v>
      </c>
      <c r="E4336" s="2" t="s">
        <v>37550</v>
      </c>
      <c r="G4336" s="3" t="s">
        <v>63</v>
      </c>
      <c r="I4336" s="3" t="s">
        <v>63</v>
      </c>
      <c r="J4336" s="3" t="s">
        <v>63</v>
      </c>
      <c r="K4336" s="3" t="s">
        <v>64</v>
      </c>
      <c r="L4336" s="2" t="s">
        <v>37551</v>
      </c>
      <c r="M4336" s="2" t="s">
        <v>37552</v>
      </c>
      <c r="N4336" s="3" t="s">
        <v>161</v>
      </c>
      <c r="O4336" s="2" t="s">
        <v>9903</v>
      </c>
      <c r="P4336" s="3" t="s">
        <v>66</v>
      </c>
      <c r="R4336" s="3" t="s">
        <v>67</v>
      </c>
      <c r="S4336" s="4">
        <v>25</v>
      </c>
      <c r="T4336" s="4">
        <v>25</v>
      </c>
      <c r="U4336" s="5" t="s">
        <v>17751</v>
      </c>
      <c r="V4336" s="5" t="s">
        <v>17751</v>
      </c>
      <c r="W4336" s="5" t="s">
        <v>69</v>
      </c>
      <c r="X4336" s="5" t="s">
        <v>69</v>
      </c>
      <c r="Y4336" s="4">
        <v>380</v>
      </c>
      <c r="Z4336" s="4">
        <v>14</v>
      </c>
      <c r="AA4336" s="4">
        <v>25</v>
      </c>
      <c r="AB4336" s="4">
        <v>1</v>
      </c>
      <c r="AC4336" s="4">
        <v>2</v>
      </c>
      <c r="AD4336" s="4">
        <v>68</v>
      </c>
      <c r="AE4336" s="4">
        <v>94</v>
      </c>
      <c r="AF4336" s="4">
        <v>0</v>
      </c>
      <c r="AG4336" s="4">
        <v>0</v>
      </c>
      <c r="AH4336" s="4">
        <v>64</v>
      </c>
      <c r="AI4336" s="4">
        <v>87</v>
      </c>
      <c r="AJ4336" s="4">
        <v>7</v>
      </c>
      <c r="AK4336" s="4">
        <v>11</v>
      </c>
      <c r="AL4336" s="4">
        <v>37</v>
      </c>
      <c r="AM4336" s="4">
        <v>52</v>
      </c>
      <c r="AN4336" s="4">
        <v>0</v>
      </c>
      <c r="AO4336" s="4">
        <v>0</v>
      </c>
      <c r="AP4336" s="4">
        <v>7</v>
      </c>
      <c r="AQ4336" s="4">
        <v>11</v>
      </c>
      <c r="AR4336" s="3" t="s">
        <v>63</v>
      </c>
      <c r="AS4336" s="3" t="s">
        <v>63</v>
      </c>
      <c r="AT4336" s="3" t="s">
        <v>62</v>
      </c>
      <c r="AU4336" s="6" t="str">
        <f>HYPERLINK("http://catalog.hathitrust.org/Record/007107067","HathiTrust Record")</f>
        <v>HathiTrust Record</v>
      </c>
      <c r="AV4336" s="6" t="str">
        <f>HYPERLINK("http://mcgill.on.worldcat.org/oclc/18014559","Catalog Record")</f>
        <v>Catalog Record</v>
      </c>
      <c r="AW4336" s="6" t="str">
        <f>HYPERLINK("http://www.worldcat.org/oclc/18014559","WorldCat Record")</f>
        <v>WorldCat Record</v>
      </c>
      <c r="AX4336" s="3" t="s">
        <v>37553</v>
      </c>
      <c r="AY4336" s="3" t="s">
        <v>37554</v>
      </c>
      <c r="AZ4336" s="3" t="s">
        <v>37555</v>
      </c>
      <c r="BA4336" s="3" t="s">
        <v>37555</v>
      </c>
      <c r="BB4336" s="3" t="s">
        <v>37556</v>
      </c>
      <c r="BC4336" s="3" t="s">
        <v>82</v>
      </c>
      <c r="BD4336" s="3" t="s">
        <v>70</v>
      </c>
      <c r="BE4336" s="3" t="s">
        <v>37557</v>
      </c>
      <c r="BF4336" s="3" t="s">
        <v>37556</v>
      </c>
      <c r="BG4336" s="3" t="s">
        <v>37558</v>
      </c>
    </row>
    <row r="4337" spans="1:59" ht="60" x14ac:dyDescent="0.25">
      <c r="A4337" s="2" t="s">
        <v>59</v>
      </c>
      <c r="B4337" s="2" t="s">
        <v>60</v>
      </c>
      <c r="C4337" s="2" t="s">
        <v>37559</v>
      </c>
      <c r="D4337" s="2" t="s">
        <v>37560</v>
      </c>
      <c r="E4337" s="2" t="s">
        <v>37561</v>
      </c>
      <c r="G4337" s="3" t="s">
        <v>63</v>
      </c>
      <c r="I4337" s="3" t="s">
        <v>63</v>
      </c>
      <c r="J4337" s="3" t="s">
        <v>63</v>
      </c>
      <c r="K4337" s="3" t="s">
        <v>64</v>
      </c>
      <c r="L4337" s="2" t="s">
        <v>37551</v>
      </c>
      <c r="M4337" s="2" t="s">
        <v>37562</v>
      </c>
      <c r="N4337" s="3" t="s">
        <v>939</v>
      </c>
      <c r="P4337" s="3" t="s">
        <v>66</v>
      </c>
      <c r="Q4337" s="2" t="s">
        <v>37563</v>
      </c>
      <c r="R4337" s="3" t="s">
        <v>67</v>
      </c>
      <c r="S4337" s="4">
        <v>35</v>
      </c>
      <c r="T4337" s="4">
        <v>35</v>
      </c>
      <c r="U4337" s="5" t="s">
        <v>4338</v>
      </c>
      <c r="V4337" s="5" t="s">
        <v>4338</v>
      </c>
      <c r="W4337" s="5" t="s">
        <v>69</v>
      </c>
      <c r="X4337" s="5" t="s">
        <v>69</v>
      </c>
      <c r="Y4337" s="4">
        <v>290</v>
      </c>
      <c r="Z4337" s="4">
        <v>14</v>
      </c>
      <c r="AA4337" s="4">
        <v>47</v>
      </c>
      <c r="AB4337" s="4">
        <v>1</v>
      </c>
      <c r="AC4337" s="4">
        <v>4</v>
      </c>
      <c r="AD4337" s="4">
        <v>54</v>
      </c>
      <c r="AE4337" s="4">
        <v>130</v>
      </c>
      <c r="AF4337" s="4">
        <v>0</v>
      </c>
      <c r="AG4337" s="4">
        <v>1</v>
      </c>
      <c r="AH4337" s="4">
        <v>49</v>
      </c>
      <c r="AI4337" s="4">
        <v>109</v>
      </c>
      <c r="AJ4337" s="4">
        <v>8</v>
      </c>
      <c r="AK4337" s="4">
        <v>20</v>
      </c>
      <c r="AL4337" s="4">
        <v>23</v>
      </c>
      <c r="AM4337" s="4">
        <v>59</v>
      </c>
      <c r="AN4337" s="4">
        <v>0</v>
      </c>
      <c r="AO4337" s="4">
        <v>5</v>
      </c>
      <c r="AP4337" s="4">
        <v>9</v>
      </c>
      <c r="AQ4337" s="4">
        <v>28</v>
      </c>
      <c r="AR4337" s="3" t="s">
        <v>63</v>
      </c>
      <c r="AS4337" s="3" t="s">
        <v>63</v>
      </c>
      <c r="AT4337" s="3" t="s">
        <v>63</v>
      </c>
      <c r="AV4337" s="6" t="str">
        <f>HYPERLINK("http://mcgill.on.worldcat.org/oclc/1298954","Catalog Record")</f>
        <v>Catalog Record</v>
      </c>
      <c r="AW4337" s="6" t="str">
        <f>HYPERLINK("http://www.worldcat.org/oclc/1298954","WorldCat Record")</f>
        <v>WorldCat Record</v>
      </c>
      <c r="AX4337" s="3" t="s">
        <v>37564</v>
      </c>
      <c r="AY4337" s="3" t="s">
        <v>37565</v>
      </c>
      <c r="AZ4337" s="3" t="s">
        <v>37566</v>
      </c>
      <c r="BA4337" s="3" t="s">
        <v>37566</v>
      </c>
      <c r="BB4337" s="3" t="s">
        <v>37567</v>
      </c>
      <c r="BC4337" s="3" t="s">
        <v>82</v>
      </c>
      <c r="BD4337" s="3" t="s">
        <v>70</v>
      </c>
      <c r="BF4337" s="3" t="s">
        <v>37567</v>
      </c>
      <c r="BG4337" s="3" t="s">
        <v>37568</v>
      </c>
    </row>
    <row r="4338" spans="1:59" ht="60" x14ac:dyDescent="0.25">
      <c r="A4338" s="2" t="s">
        <v>59</v>
      </c>
      <c r="B4338" s="2" t="s">
        <v>60</v>
      </c>
      <c r="C4338" s="2" t="s">
        <v>37569</v>
      </c>
      <c r="D4338" s="2" t="s">
        <v>37570</v>
      </c>
      <c r="E4338" s="2" t="s">
        <v>37571</v>
      </c>
      <c r="G4338" s="3" t="s">
        <v>63</v>
      </c>
      <c r="I4338" s="3" t="s">
        <v>62</v>
      </c>
      <c r="J4338" s="3" t="s">
        <v>63</v>
      </c>
      <c r="K4338" s="3" t="s">
        <v>64</v>
      </c>
      <c r="L4338" s="2" t="s">
        <v>37551</v>
      </c>
      <c r="M4338" s="2" t="s">
        <v>37572</v>
      </c>
      <c r="N4338" s="3" t="s">
        <v>668</v>
      </c>
      <c r="O4338" s="2" t="s">
        <v>9903</v>
      </c>
      <c r="P4338" s="3" t="s">
        <v>66</v>
      </c>
      <c r="R4338" s="3" t="s">
        <v>67</v>
      </c>
      <c r="S4338" s="4">
        <v>10</v>
      </c>
      <c r="T4338" s="4">
        <v>18</v>
      </c>
      <c r="U4338" s="5" t="s">
        <v>37573</v>
      </c>
      <c r="V4338" s="5" t="s">
        <v>14022</v>
      </c>
      <c r="W4338" s="5" t="s">
        <v>69</v>
      </c>
      <c r="X4338" s="5" t="s">
        <v>69</v>
      </c>
      <c r="Y4338" s="4">
        <v>485</v>
      </c>
      <c r="Z4338" s="4">
        <v>23</v>
      </c>
      <c r="AA4338" s="4">
        <v>29</v>
      </c>
      <c r="AB4338" s="4">
        <v>2</v>
      </c>
      <c r="AC4338" s="4">
        <v>6</v>
      </c>
      <c r="AD4338" s="4">
        <v>90</v>
      </c>
      <c r="AE4338" s="4">
        <v>98</v>
      </c>
      <c r="AF4338" s="4">
        <v>0</v>
      </c>
      <c r="AG4338" s="4">
        <v>2</v>
      </c>
      <c r="AH4338" s="4">
        <v>83</v>
      </c>
      <c r="AI4338" s="4">
        <v>89</v>
      </c>
      <c r="AJ4338" s="4">
        <v>10</v>
      </c>
      <c r="AK4338" s="4">
        <v>13</v>
      </c>
      <c r="AL4338" s="4">
        <v>50</v>
      </c>
      <c r="AM4338" s="4">
        <v>52</v>
      </c>
      <c r="AN4338" s="4">
        <v>0</v>
      </c>
      <c r="AO4338" s="4">
        <v>0</v>
      </c>
      <c r="AP4338" s="4">
        <v>11</v>
      </c>
      <c r="AQ4338" s="4">
        <v>14</v>
      </c>
      <c r="AR4338" s="3" t="s">
        <v>63</v>
      </c>
      <c r="AS4338" s="3" t="s">
        <v>63</v>
      </c>
      <c r="AT4338" s="3" t="s">
        <v>62</v>
      </c>
      <c r="AU4338" s="6" t="str">
        <f>HYPERLINK("http://catalog.hathitrust.org/Record/002435343","HathiTrust Record")</f>
        <v>HathiTrust Record</v>
      </c>
      <c r="AV4338" s="6" t="str">
        <f>HYPERLINK("http://mcgill.on.worldcat.org/oclc/21295027","Catalog Record")</f>
        <v>Catalog Record</v>
      </c>
      <c r="AW4338" s="6" t="str">
        <f>HYPERLINK("http://www.worldcat.org/oclc/21295027","WorldCat Record")</f>
        <v>WorldCat Record</v>
      </c>
      <c r="AX4338" s="3" t="s">
        <v>37574</v>
      </c>
      <c r="AY4338" s="3" t="s">
        <v>37575</v>
      </c>
      <c r="AZ4338" s="3" t="s">
        <v>37576</v>
      </c>
      <c r="BA4338" s="3" t="s">
        <v>37576</v>
      </c>
      <c r="BB4338" s="3" t="s">
        <v>37577</v>
      </c>
      <c r="BC4338" s="3" t="s">
        <v>82</v>
      </c>
      <c r="BD4338" s="3" t="s">
        <v>538</v>
      </c>
      <c r="BE4338" s="3" t="s">
        <v>37578</v>
      </c>
      <c r="BF4338" s="3" t="s">
        <v>37577</v>
      </c>
      <c r="BG4338" s="3" t="s">
        <v>37579</v>
      </c>
    </row>
    <row r="4339" spans="1:59" ht="60" x14ac:dyDescent="0.25">
      <c r="A4339" s="2" t="s">
        <v>59</v>
      </c>
      <c r="B4339" s="2" t="s">
        <v>60</v>
      </c>
      <c r="C4339" s="2" t="s">
        <v>37569</v>
      </c>
      <c r="D4339" s="2" t="s">
        <v>37570</v>
      </c>
      <c r="E4339" s="2" t="s">
        <v>37571</v>
      </c>
      <c r="G4339" s="3" t="s">
        <v>63</v>
      </c>
      <c r="I4339" s="3" t="s">
        <v>62</v>
      </c>
      <c r="J4339" s="3" t="s">
        <v>63</v>
      </c>
      <c r="K4339" s="3" t="s">
        <v>64</v>
      </c>
      <c r="L4339" s="2" t="s">
        <v>37551</v>
      </c>
      <c r="M4339" s="2" t="s">
        <v>37572</v>
      </c>
      <c r="N4339" s="3" t="s">
        <v>668</v>
      </c>
      <c r="O4339" s="2" t="s">
        <v>9903</v>
      </c>
      <c r="P4339" s="3" t="s">
        <v>66</v>
      </c>
      <c r="R4339" s="3" t="s">
        <v>67</v>
      </c>
      <c r="S4339" s="4">
        <v>8</v>
      </c>
      <c r="T4339" s="4">
        <v>18</v>
      </c>
      <c r="U4339" s="5" t="s">
        <v>14022</v>
      </c>
      <c r="V4339" s="5" t="s">
        <v>14022</v>
      </c>
      <c r="W4339" s="5" t="s">
        <v>69</v>
      </c>
      <c r="X4339" s="5" t="s">
        <v>69</v>
      </c>
      <c r="Y4339" s="4">
        <v>485</v>
      </c>
      <c r="Z4339" s="4">
        <v>23</v>
      </c>
      <c r="AA4339" s="4">
        <v>29</v>
      </c>
      <c r="AB4339" s="4">
        <v>2</v>
      </c>
      <c r="AC4339" s="4">
        <v>6</v>
      </c>
      <c r="AD4339" s="4">
        <v>90</v>
      </c>
      <c r="AE4339" s="4">
        <v>98</v>
      </c>
      <c r="AF4339" s="4">
        <v>0</v>
      </c>
      <c r="AG4339" s="4">
        <v>2</v>
      </c>
      <c r="AH4339" s="4">
        <v>83</v>
      </c>
      <c r="AI4339" s="4">
        <v>89</v>
      </c>
      <c r="AJ4339" s="4">
        <v>10</v>
      </c>
      <c r="AK4339" s="4">
        <v>13</v>
      </c>
      <c r="AL4339" s="4">
        <v>50</v>
      </c>
      <c r="AM4339" s="4">
        <v>52</v>
      </c>
      <c r="AN4339" s="4">
        <v>0</v>
      </c>
      <c r="AO4339" s="4">
        <v>0</v>
      </c>
      <c r="AP4339" s="4">
        <v>11</v>
      </c>
      <c r="AQ4339" s="4">
        <v>14</v>
      </c>
      <c r="AR4339" s="3" t="s">
        <v>63</v>
      </c>
      <c r="AS4339" s="3" t="s">
        <v>63</v>
      </c>
      <c r="AT4339" s="3" t="s">
        <v>62</v>
      </c>
      <c r="AU4339" s="6" t="str">
        <f>HYPERLINK("http://catalog.hathitrust.org/Record/002435343","HathiTrust Record")</f>
        <v>HathiTrust Record</v>
      </c>
      <c r="AV4339" s="6" t="str">
        <f>HYPERLINK("http://mcgill.on.worldcat.org/oclc/21295027","Catalog Record")</f>
        <v>Catalog Record</v>
      </c>
      <c r="AW4339" s="6" t="str">
        <f>HYPERLINK("http://www.worldcat.org/oclc/21295027","WorldCat Record")</f>
        <v>WorldCat Record</v>
      </c>
      <c r="AX4339" s="3" t="s">
        <v>37574</v>
      </c>
      <c r="AY4339" s="3" t="s">
        <v>37575</v>
      </c>
      <c r="AZ4339" s="3" t="s">
        <v>37576</v>
      </c>
      <c r="BA4339" s="3" t="s">
        <v>37576</v>
      </c>
      <c r="BB4339" s="3" t="s">
        <v>37580</v>
      </c>
      <c r="BC4339" s="3" t="s">
        <v>82</v>
      </c>
      <c r="BD4339" s="3" t="s">
        <v>70</v>
      </c>
      <c r="BE4339" s="3" t="s">
        <v>37578</v>
      </c>
      <c r="BF4339" s="3" t="s">
        <v>37580</v>
      </c>
      <c r="BG4339" s="3" t="s">
        <v>37581</v>
      </c>
    </row>
    <row r="4340" spans="1:59" ht="60" x14ac:dyDescent="0.25">
      <c r="A4340" s="2" t="s">
        <v>59</v>
      </c>
      <c r="B4340" s="2" t="s">
        <v>60</v>
      </c>
      <c r="C4340" s="2" t="s">
        <v>37582</v>
      </c>
      <c r="D4340" s="2" t="s">
        <v>37583</v>
      </c>
      <c r="E4340" s="2" t="s">
        <v>37584</v>
      </c>
      <c r="G4340" s="3" t="s">
        <v>63</v>
      </c>
      <c r="I4340" s="3" t="s">
        <v>62</v>
      </c>
      <c r="J4340" s="3" t="s">
        <v>63</v>
      </c>
      <c r="K4340" s="3" t="s">
        <v>64</v>
      </c>
      <c r="L4340" s="2" t="s">
        <v>37551</v>
      </c>
      <c r="M4340" s="2" t="s">
        <v>37585</v>
      </c>
      <c r="N4340" s="3" t="s">
        <v>374</v>
      </c>
      <c r="O4340" s="2" t="s">
        <v>590</v>
      </c>
      <c r="P4340" s="3" t="s">
        <v>66</v>
      </c>
      <c r="Q4340" s="2" t="s">
        <v>37586</v>
      </c>
      <c r="R4340" s="3" t="s">
        <v>67</v>
      </c>
      <c r="S4340" s="4">
        <v>5</v>
      </c>
      <c r="T4340" s="4">
        <v>14</v>
      </c>
      <c r="U4340" s="5" t="s">
        <v>14022</v>
      </c>
      <c r="V4340" s="5" t="s">
        <v>14022</v>
      </c>
      <c r="W4340" s="5" t="s">
        <v>69</v>
      </c>
      <c r="X4340" s="5" t="s">
        <v>69</v>
      </c>
      <c r="Y4340" s="4">
        <v>351</v>
      </c>
      <c r="Z4340" s="4">
        <v>18</v>
      </c>
      <c r="AA4340" s="4">
        <v>23</v>
      </c>
      <c r="AB4340" s="4">
        <v>1</v>
      </c>
      <c r="AC4340" s="4">
        <v>3</v>
      </c>
      <c r="AD4340" s="4">
        <v>80</v>
      </c>
      <c r="AE4340" s="4">
        <v>87</v>
      </c>
      <c r="AF4340" s="4">
        <v>0</v>
      </c>
      <c r="AG4340" s="4">
        <v>0</v>
      </c>
      <c r="AH4340" s="4">
        <v>75</v>
      </c>
      <c r="AI4340" s="4">
        <v>80</v>
      </c>
      <c r="AJ4340" s="4">
        <v>7</v>
      </c>
      <c r="AK4340" s="4">
        <v>9</v>
      </c>
      <c r="AL4340" s="4">
        <v>48</v>
      </c>
      <c r="AM4340" s="4">
        <v>51</v>
      </c>
      <c r="AN4340" s="4">
        <v>0</v>
      </c>
      <c r="AO4340" s="4">
        <v>1</v>
      </c>
      <c r="AP4340" s="4">
        <v>8</v>
      </c>
      <c r="AQ4340" s="4">
        <v>10</v>
      </c>
      <c r="AR4340" s="3" t="s">
        <v>63</v>
      </c>
      <c r="AS4340" s="3" t="s">
        <v>63</v>
      </c>
      <c r="AT4340" s="3" t="s">
        <v>62</v>
      </c>
      <c r="AU4340" s="6" t="str">
        <f>HYPERLINK("http://catalog.hathitrust.org/Record/003043106","HathiTrust Record")</f>
        <v>HathiTrust Record</v>
      </c>
      <c r="AV4340" s="6" t="str">
        <f>HYPERLINK("http://mcgill.on.worldcat.org/oclc/32242437","Catalog Record")</f>
        <v>Catalog Record</v>
      </c>
      <c r="AW4340" s="6" t="str">
        <f>HYPERLINK("http://www.worldcat.org/oclc/32242437","WorldCat Record")</f>
        <v>WorldCat Record</v>
      </c>
      <c r="AX4340" s="3" t="s">
        <v>37587</v>
      </c>
      <c r="AY4340" s="3" t="s">
        <v>37588</v>
      </c>
      <c r="AZ4340" s="3" t="s">
        <v>37589</v>
      </c>
      <c r="BA4340" s="3" t="s">
        <v>37589</v>
      </c>
      <c r="BB4340" s="3" t="s">
        <v>37590</v>
      </c>
      <c r="BC4340" s="3" t="s">
        <v>82</v>
      </c>
      <c r="BD4340" s="3" t="s">
        <v>70</v>
      </c>
      <c r="BE4340" s="3" t="s">
        <v>37591</v>
      </c>
      <c r="BF4340" s="3" t="s">
        <v>37590</v>
      </c>
      <c r="BG4340" s="3" t="s">
        <v>37592</v>
      </c>
    </row>
    <row r="4341" spans="1:59" ht="60" x14ac:dyDescent="0.25">
      <c r="A4341" s="2" t="s">
        <v>59</v>
      </c>
      <c r="B4341" s="2" t="s">
        <v>60</v>
      </c>
      <c r="C4341" s="2" t="s">
        <v>37582</v>
      </c>
      <c r="D4341" s="2" t="s">
        <v>37583</v>
      </c>
      <c r="E4341" s="2" t="s">
        <v>37584</v>
      </c>
      <c r="G4341" s="3" t="s">
        <v>63</v>
      </c>
      <c r="I4341" s="3" t="s">
        <v>62</v>
      </c>
      <c r="J4341" s="3" t="s">
        <v>63</v>
      </c>
      <c r="K4341" s="3" t="s">
        <v>64</v>
      </c>
      <c r="L4341" s="2" t="s">
        <v>37551</v>
      </c>
      <c r="M4341" s="2" t="s">
        <v>37585</v>
      </c>
      <c r="N4341" s="3" t="s">
        <v>374</v>
      </c>
      <c r="O4341" s="2" t="s">
        <v>590</v>
      </c>
      <c r="P4341" s="3" t="s">
        <v>66</v>
      </c>
      <c r="Q4341" s="2" t="s">
        <v>37586</v>
      </c>
      <c r="R4341" s="3" t="s">
        <v>67</v>
      </c>
      <c r="S4341" s="4">
        <v>9</v>
      </c>
      <c r="T4341" s="4">
        <v>14</v>
      </c>
      <c r="U4341" s="5" t="s">
        <v>37531</v>
      </c>
      <c r="V4341" s="5" t="s">
        <v>14022</v>
      </c>
      <c r="W4341" s="5" t="s">
        <v>69</v>
      </c>
      <c r="X4341" s="5" t="s">
        <v>69</v>
      </c>
      <c r="Y4341" s="4">
        <v>351</v>
      </c>
      <c r="Z4341" s="4">
        <v>18</v>
      </c>
      <c r="AA4341" s="4">
        <v>23</v>
      </c>
      <c r="AB4341" s="4">
        <v>1</v>
      </c>
      <c r="AC4341" s="4">
        <v>3</v>
      </c>
      <c r="AD4341" s="4">
        <v>80</v>
      </c>
      <c r="AE4341" s="4">
        <v>87</v>
      </c>
      <c r="AF4341" s="4">
        <v>0</v>
      </c>
      <c r="AG4341" s="4">
        <v>0</v>
      </c>
      <c r="AH4341" s="4">
        <v>75</v>
      </c>
      <c r="AI4341" s="4">
        <v>80</v>
      </c>
      <c r="AJ4341" s="4">
        <v>7</v>
      </c>
      <c r="AK4341" s="4">
        <v>9</v>
      </c>
      <c r="AL4341" s="4">
        <v>48</v>
      </c>
      <c r="AM4341" s="4">
        <v>51</v>
      </c>
      <c r="AN4341" s="4">
        <v>0</v>
      </c>
      <c r="AO4341" s="4">
        <v>1</v>
      </c>
      <c r="AP4341" s="4">
        <v>8</v>
      </c>
      <c r="AQ4341" s="4">
        <v>10</v>
      </c>
      <c r="AR4341" s="3" t="s">
        <v>63</v>
      </c>
      <c r="AS4341" s="3" t="s">
        <v>63</v>
      </c>
      <c r="AT4341" s="3" t="s">
        <v>62</v>
      </c>
      <c r="AU4341" s="6" t="str">
        <f>HYPERLINK("http://catalog.hathitrust.org/Record/003043106","HathiTrust Record")</f>
        <v>HathiTrust Record</v>
      </c>
      <c r="AV4341" s="6" t="str">
        <f>HYPERLINK("http://mcgill.on.worldcat.org/oclc/32242437","Catalog Record")</f>
        <v>Catalog Record</v>
      </c>
      <c r="AW4341" s="6" t="str">
        <f>HYPERLINK("http://www.worldcat.org/oclc/32242437","WorldCat Record")</f>
        <v>WorldCat Record</v>
      </c>
      <c r="AX4341" s="3" t="s">
        <v>37587</v>
      </c>
      <c r="AY4341" s="3" t="s">
        <v>37588</v>
      </c>
      <c r="AZ4341" s="3" t="s">
        <v>37589</v>
      </c>
      <c r="BA4341" s="3" t="s">
        <v>37589</v>
      </c>
      <c r="BB4341" s="3" t="s">
        <v>37593</v>
      </c>
      <c r="BC4341" s="3" t="s">
        <v>82</v>
      </c>
      <c r="BD4341" s="3" t="s">
        <v>70</v>
      </c>
      <c r="BE4341" s="3" t="s">
        <v>37591</v>
      </c>
      <c r="BF4341" s="3" t="s">
        <v>37593</v>
      </c>
      <c r="BG4341" s="3" t="s">
        <v>37594</v>
      </c>
    </row>
    <row r="4342" spans="1:59" ht="60" x14ac:dyDescent="0.25">
      <c r="A4342" s="2" t="s">
        <v>59</v>
      </c>
      <c r="B4342" s="2" t="s">
        <v>60</v>
      </c>
      <c r="C4342" s="2" t="s">
        <v>37595</v>
      </c>
      <c r="D4342" s="2" t="s">
        <v>37596</v>
      </c>
      <c r="E4342" s="2" t="s">
        <v>37597</v>
      </c>
      <c r="G4342" s="3" t="s">
        <v>63</v>
      </c>
      <c r="I4342" s="3" t="s">
        <v>63</v>
      </c>
      <c r="J4342" s="3" t="s">
        <v>63</v>
      </c>
      <c r="K4342" s="3" t="s">
        <v>64</v>
      </c>
      <c r="L4342" s="2" t="s">
        <v>37598</v>
      </c>
      <c r="M4342" s="2" t="s">
        <v>37599</v>
      </c>
      <c r="N4342" s="3" t="s">
        <v>1418</v>
      </c>
      <c r="P4342" s="3" t="s">
        <v>66</v>
      </c>
      <c r="R4342" s="3" t="s">
        <v>67</v>
      </c>
      <c r="S4342" s="4">
        <v>3</v>
      </c>
      <c r="T4342" s="4">
        <v>3</v>
      </c>
      <c r="U4342" s="5" t="s">
        <v>17007</v>
      </c>
      <c r="V4342" s="5" t="s">
        <v>17007</v>
      </c>
      <c r="W4342" s="5" t="s">
        <v>69</v>
      </c>
      <c r="X4342" s="5" t="s">
        <v>69</v>
      </c>
      <c r="Y4342" s="4">
        <v>318</v>
      </c>
      <c r="Z4342" s="4">
        <v>10</v>
      </c>
      <c r="AA4342" s="4">
        <v>11</v>
      </c>
      <c r="AB4342" s="4">
        <v>1</v>
      </c>
      <c r="AC4342" s="4">
        <v>1</v>
      </c>
      <c r="AD4342" s="4">
        <v>77</v>
      </c>
      <c r="AE4342" s="4">
        <v>80</v>
      </c>
      <c r="AF4342" s="4">
        <v>0</v>
      </c>
      <c r="AG4342" s="4">
        <v>0</v>
      </c>
      <c r="AH4342" s="4">
        <v>72</v>
      </c>
      <c r="AI4342" s="4">
        <v>73</v>
      </c>
      <c r="AJ4342" s="4">
        <v>7</v>
      </c>
      <c r="AK4342" s="4">
        <v>8</v>
      </c>
      <c r="AL4342" s="4">
        <v>43</v>
      </c>
      <c r="AM4342" s="4">
        <v>45</v>
      </c>
      <c r="AN4342" s="4">
        <v>0</v>
      </c>
      <c r="AO4342" s="4">
        <v>0</v>
      </c>
      <c r="AP4342" s="4">
        <v>7</v>
      </c>
      <c r="AQ4342" s="4">
        <v>8</v>
      </c>
      <c r="AR4342" s="3" t="s">
        <v>63</v>
      </c>
      <c r="AS4342" s="3" t="s">
        <v>63</v>
      </c>
      <c r="AT4342" s="3" t="s">
        <v>62</v>
      </c>
      <c r="AU4342" s="6" t="str">
        <f>HYPERLINK("http://catalog.hathitrust.org/Record/001301715","HathiTrust Record")</f>
        <v>HathiTrust Record</v>
      </c>
      <c r="AV4342" s="6" t="str">
        <f>HYPERLINK("http://mcgill.on.worldcat.org/oclc/15316465","Catalog Record")</f>
        <v>Catalog Record</v>
      </c>
      <c r="AW4342" s="6" t="str">
        <f>HYPERLINK("http://www.worldcat.org/oclc/15316465","WorldCat Record")</f>
        <v>WorldCat Record</v>
      </c>
      <c r="AX4342" s="3" t="s">
        <v>37600</v>
      </c>
      <c r="AY4342" s="3" t="s">
        <v>37601</v>
      </c>
      <c r="AZ4342" s="3" t="s">
        <v>37602</v>
      </c>
      <c r="BA4342" s="3" t="s">
        <v>37602</v>
      </c>
      <c r="BB4342" s="3" t="s">
        <v>37603</v>
      </c>
      <c r="BC4342" s="3" t="s">
        <v>82</v>
      </c>
      <c r="BD4342" s="3" t="s">
        <v>70</v>
      </c>
      <c r="BE4342" s="3" t="s">
        <v>37604</v>
      </c>
      <c r="BF4342" s="3" t="s">
        <v>37603</v>
      </c>
      <c r="BG4342" s="3" t="s">
        <v>37605</v>
      </c>
    </row>
    <row r="4343" spans="1:59" ht="60" x14ac:dyDescent="0.25">
      <c r="A4343" s="2" t="s">
        <v>59</v>
      </c>
      <c r="B4343" s="2" t="s">
        <v>60</v>
      </c>
      <c r="C4343" s="2" t="s">
        <v>37606</v>
      </c>
      <c r="D4343" s="2" t="s">
        <v>37607</v>
      </c>
      <c r="E4343" s="2" t="s">
        <v>37608</v>
      </c>
      <c r="G4343" s="3" t="s">
        <v>63</v>
      </c>
      <c r="I4343" s="3" t="s">
        <v>63</v>
      </c>
      <c r="J4343" s="3" t="s">
        <v>63</v>
      </c>
      <c r="K4343" s="3" t="s">
        <v>64</v>
      </c>
      <c r="L4343" s="2" t="s">
        <v>37609</v>
      </c>
      <c r="M4343" s="2" t="s">
        <v>37610</v>
      </c>
      <c r="N4343" s="3" t="s">
        <v>1023</v>
      </c>
      <c r="P4343" s="3" t="s">
        <v>66</v>
      </c>
      <c r="R4343" s="3" t="s">
        <v>67</v>
      </c>
      <c r="S4343" s="4">
        <v>16</v>
      </c>
      <c r="T4343" s="4">
        <v>16</v>
      </c>
      <c r="U4343" s="5" t="s">
        <v>9601</v>
      </c>
      <c r="V4343" s="5" t="s">
        <v>9601</v>
      </c>
      <c r="W4343" s="5" t="s">
        <v>69</v>
      </c>
      <c r="X4343" s="5" t="s">
        <v>69</v>
      </c>
      <c r="Y4343" s="4">
        <v>119</v>
      </c>
      <c r="Z4343" s="4">
        <v>17</v>
      </c>
      <c r="AA4343" s="4">
        <v>24</v>
      </c>
      <c r="AB4343" s="4">
        <v>1</v>
      </c>
      <c r="AC4343" s="4">
        <v>1</v>
      </c>
      <c r="AD4343" s="4">
        <v>31</v>
      </c>
      <c r="AE4343" s="4">
        <v>79</v>
      </c>
      <c r="AF4343" s="4">
        <v>0</v>
      </c>
      <c r="AG4343" s="4">
        <v>0</v>
      </c>
      <c r="AH4343" s="4">
        <v>27</v>
      </c>
      <c r="AI4343" s="4">
        <v>73</v>
      </c>
      <c r="AJ4343" s="4">
        <v>9</v>
      </c>
      <c r="AK4343" s="4">
        <v>10</v>
      </c>
      <c r="AL4343" s="4">
        <v>17</v>
      </c>
      <c r="AM4343" s="4">
        <v>42</v>
      </c>
      <c r="AN4343" s="4">
        <v>5</v>
      </c>
      <c r="AO4343" s="4">
        <v>5</v>
      </c>
      <c r="AP4343" s="4">
        <v>9</v>
      </c>
      <c r="AQ4343" s="4">
        <v>11</v>
      </c>
      <c r="AR4343" s="3" t="s">
        <v>63</v>
      </c>
      <c r="AS4343" s="3" t="s">
        <v>63</v>
      </c>
      <c r="AT4343" s="3" t="s">
        <v>62</v>
      </c>
      <c r="AU4343" s="6" t="str">
        <f>HYPERLINK("http://catalog.hathitrust.org/Record/007131524","HathiTrust Record")</f>
        <v>HathiTrust Record</v>
      </c>
      <c r="AV4343" s="6" t="str">
        <f>HYPERLINK("http://mcgill.on.worldcat.org/oclc/59937439","Catalog Record")</f>
        <v>Catalog Record</v>
      </c>
      <c r="AW4343" s="6" t="str">
        <f>HYPERLINK("http://www.worldcat.org/oclc/59937439","WorldCat Record")</f>
        <v>WorldCat Record</v>
      </c>
      <c r="AX4343" s="3" t="s">
        <v>37611</v>
      </c>
      <c r="AY4343" s="3" t="s">
        <v>37612</v>
      </c>
      <c r="AZ4343" s="3" t="s">
        <v>37613</v>
      </c>
      <c r="BA4343" s="3" t="s">
        <v>37613</v>
      </c>
      <c r="BB4343" s="3" t="s">
        <v>37614</v>
      </c>
      <c r="BC4343" s="3" t="s">
        <v>82</v>
      </c>
      <c r="BD4343" s="3" t="s">
        <v>70</v>
      </c>
      <c r="BE4343" s="3" t="s">
        <v>37615</v>
      </c>
      <c r="BF4343" s="3" t="s">
        <v>37614</v>
      </c>
      <c r="BG4343" s="3" t="s">
        <v>37616</v>
      </c>
    </row>
    <row r="4344" spans="1:59" ht="60" x14ac:dyDescent="0.25">
      <c r="A4344" s="2" t="s">
        <v>59</v>
      </c>
      <c r="B4344" s="2" t="s">
        <v>60</v>
      </c>
      <c r="C4344" s="2" t="s">
        <v>37617</v>
      </c>
      <c r="D4344" s="2" t="s">
        <v>37618</v>
      </c>
      <c r="E4344" s="2" t="s">
        <v>37619</v>
      </c>
      <c r="G4344" s="3" t="s">
        <v>63</v>
      </c>
      <c r="I4344" s="3" t="s">
        <v>63</v>
      </c>
      <c r="J4344" s="3" t="s">
        <v>63</v>
      </c>
      <c r="K4344" s="3" t="s">
        <v>64</v>
      </c>
      <c r="L4344" s="2" t="s">
        <v>36992</v>
      </c>
      <c r="M4344" s="2" t="s">
        <v>37620</v>
      </c>
      <c r="N4344" s="3" t="s">
        <v>681</v>
      </c>
      <c r="P4344" s="3" t="s">
        <v>66</v>
      </c>
      <c r="R4344" s="3" t="s">
        <v>67</v>
      </c>
      <c r="S4344" s="4">
        <v>10</v>
      </c>
      <c r="T4344" s="4">
        <v>10</v>
      </c>
      <c r="U4344" s="5" t="s">
        <v>1882</v>
      </c>
      <c r="V4344" s="5" t="s">
        <v>1882</v>
      </c>
      <c r="W4344" s="5" t="s">
        <v>69</v>
      </c>
      <c r="X4344" s="5" t="s">
        <v>69</v>
      </c>
      <c r="Y4344" s="4">
        <v>75</v>
      </c>
      <c r="Z4344" s="4">
        <v>4</v>
      </c>
      <c r="AA4344" s="4">
        <v>4</v>
      </c>
      <c r="AB4344" s="4">
        <v>1</v>
      </c>
      <c r="AC4344" s="4">
        <v>1</v>
      </c>
      <c r="AD4344" s="4">
        <v>33</v>
      </c>
      <c r="AE4344" s="4">
        <v>34</v>
      </c>
      <c r="AF4344" s="4">
        <v>0</v>
      </c>
      <c r="AG4344" s="4">
        <v>0</v>
      </c>
      <c r="AH4344" s="4">
        <v>29</v>
      </c>
      <c r="AI4344" s="4">
        <v>30</v>
      </c>
      <c r="AJ4344" s="4">
        <v>3</v>
      </c>
      <c r="AK4344" s="4">
        <v>3</v>
      </c>
      <c r="AL4344" s="4">
        <v>22</v>
      </c>
      <c r="AM4344" s="4">
        <v>23</v>
      </c>
      <c r="AN4344" s="4">
        <v>0</v>
      </c>
      <c r="AO4344" s="4">
        <v>0</v>
      </c>
      <c r="AP4344" s="4">
        <v>3</v>
      </c>
      <c r="AQ4344" s="4">
        <v>3</v>
      </c>
      <c r="AR4344" s="3" t="s">
        <v>63</v>
      </c>
      <c r="AS4344" s="3" t="s">
        <v>63</v>
      </c>
      <c r="AT4344" s="3" t="s">
        <v>62</v>
      </c>
      <c r="AU4344" s="6" t="str">
        <f>HYPERLINK("http://catalog.hathitrust.org/Record/000980981","HathiTrust Record")</f>
        <v>HathiTrust Record</v>
      </c>
      <c r="AV4344" s="6" t="str">
        <f>HYPERLINK("http://mcgill.on.worldcat.org/oclc/163862","Catalog Record")</f>
        <v>Catalog Record</v>
      </c>
      <c r="AW4344" s="6" t="str">
        <f>HYPERLINK("http://www.worldcat.org/oclc/163862","WorldCat Record")</f>
        <v>WorldCat Record</v>
      </c>
      <c r="AX4344" s="3" t="s">
        <v>37621</v>
      </c>
      <c r="AY4344" s="3" t="s">
        <v>37622</v>
      </c>
      <c r="AZ4344" s="3" t="s">
        <v>37623</v>
      </c>
      <c r="BA4344" s="3" t="s">
        <v>37623</v>
      </c>
      <c r="BB4344" s="3" t="s">
        <v>37624</v>
      </c>
      <c r="BC4344" s="3" t="s">
        <v>82</v>
      </c>
      <c r="BD4344" s="3" t="s">
        <v>70</v>
      </c>
      <c r="BE4344" s="3" t="s">
        <v>37625</v>
      </c>
      <c r="BF4344" s="3" t="s">
        <v>37624</v>
      </c>
      <c r="BG4344" s="3" t="s">
        <v>37626</v>
      </c>
    </row>
    <row r="4345" spans="1:59" ht="60" x14ac:dyDescent="0.25">
      <c r="A4345" s="2" t="s">
        <v>59</v>
      </c>
      <c r="B4345" s="2" t="s">
        <v>60</v>
      </c>
      <c r="C4345" s="2" t="s">
        <v>37627</v>
      </c>
      <c r="D4345" s="2" t="s">
        <v>37628</v>
      </c>
      <c r="E4345" s="2" t="s">
        <v>37629</v>
      </c>
      <c r="G4345" s="3" t="s">
        <v>63</v>
      </c>
      <c r="I4345" s="3" t="s">
        <v>63</v>
      </c>
      <c r="J4345" s="3" t="s">
        <v>63</v>
      </c>
      <c r="K4345" s="3" t="s">
        <v>64</v>
      </c>
      <c r="L4345" s="2" t="s">
        <v>36992</v>
      </c>
      <c r="M4345" s="2" t="s">
        <v>37630</v>
      </c>
      <c r="N4345" s="3" t="s">
        <v>706</v>
      </c>
      <c r="P4345" s="3" t="s">
        <v>66</v>
      </c>
      <c r="R4345" s="3" t="s">
        <v>67</v>
      </c>
      <c r="S4345" s="4">
        <v>13</v>
      </c>
      <c r="T4345" s="4">
        <v>13</v>
      </c>
      <c r="U4345" s="5" t="s">
        <v>37631</v>
      </c>
      <c r="V4345" s="5" t="s">
        <v>37631</v>
      </c>
      <c r="W4345" s="5" t="s">
        <v>69</v>
      </c>
      <c r="X4345" s="5" t="s">
        <v>69</v>
      </c>
      <c r="Y4345" s="4">
        <v>128</v>
      </c>
      <c r="Z4345" s="4">
        <v>12</v>
      </c>
      <c r="AA4345" s="4">
        <v>19</v>
      </c>
      <c r="AB4345" s="4">
        <v>1</v>
      </c>
      <c r="AC4345" s="4">
        <v>1</v>
      </c>
      <c r="AD4345" s="4">
        <v>60</v>
      </c>
      <c r="AE4345" s="4">
        <v>93</v>
      </c>
      <c r="AF4345" s="4">
        <v>0</v>
      </c>
      <c r="AG4345" s="4">
        <v>0</v>
      </c>
      <c r="AH4345" s="4">
        <v>56</v>
      </c>
      <c r="AI4345" s="4">
        <v>83</v>
      </c>
      <c r="AJ4345" s="4">
        <v>9</v>
      </c>
      <c r="AK4345" s="4">
        <v>13</v>
      </c>
      <c r="AL4345" s="4">
        <v>34</v>
      </c>
      <c r="AM4345" s="4">
        <v>48</v>
      </c>
      <c r="AN4345" s="4">
        <v>5</v>
      </c>
      <c r="AO4345" s="4">
        <v>5</v>
      </c>
      <c r="AP4345" s="4">
        <v>9</v>
      </c>
      <c r="AQ4345" s="4">
        <v>14</v>
      </c>
      <c r="AR4345" s="3" t="s">
        <v>63</v>
      </c>
      <c r="AS4345" s="3" t="s">
        <v>63</v>
      </c>
      <c r="AT4345" s="3" t="s">
        <v>62</v>
      </c>
      <c r="AU4345" s="6" t="str">
        <f>HYPERLINK("http://catalog.hathitrust.org/Record/007105098","HathiTrust Record")</f>
        <v>HathiTrust Record</v>
      </c>
      <c r="AV4345" s="6" t="str">
        <f>HYPERLINK("http://mcgill.on.worldcat.org/oclc/18019637","Catalog Record")</f>
        <v>Catalog Record</v>
      </c>
      <c r="AW4345" s="6" t="str">
        <f>HYPERLINK("http://www.worldcat.org/oclc/18019637","WorldCat Record")</f>
        <v>WorldCat Record</v>
      </c>
      <c r="AX4345" s="3" t="s">
        <v>37632</v>
      </c>
      <c r="AY4345" s="3" t="s">
        <v>37633</v>
      </c>
      <c r="AZ4345" s="3" t="s">
        <v>37634</v>
      </c>
      <c r="BA4345" s="3" t="s">
        <v>37634</v>
      </c>
      <c r="BB4345" s="3" t="s">
        <v>37635</v>
      </c>
      <c r="BC4345" s="3" t="s">
        <v>82</v>
      </c>
      <c r="BD4345" s="3" t="s">
        <v>70</v>
      </c>
      <c r="BE4345" s="3" t="s">
        <v>37636</v>
      </c>
      <c r="BF4345" s="3" t="s">
        <v>37635</v>
      </c>
      <c r="BG4345" s="3" t="s">
        <v>37637</v>
      </c>
    </row>
    <row r="4346" spans="1:59" ht="60" x14ac:dyDescent="0.25">
      <c r="A4346" s="2" t="s">
        <v>59</v>
      </c>
      <c r="B4346" s="2" t="s">
        <v>60</v>
      </c>
      <c r="C4346" s="2" t="s">
        <v>37638</v>
      </c>
      <c r="D4346" s="2" t="s">
        <v>37639</v>
      </c>
      <c r="E4346" s="2" t="s">
        <v>37640</v>
      </c>
      <c r="G4346" s="3" t="s">
        <v>63</v>
      </c>
      <c r="I4346" s="3" t="s">
        <v>63</v>
      </c>
      <c r="J4346" s="3" t="s">
        <v>63</v>
      </c>
      <c r="K4346" s="3" t="s">
        <v>64</v>
      </c>
      <c r="L4346" s="2" t="s">
        <v>36992</v>
      </c>
      <c r="M4346" s="2" t="s">
        <v>12257</v>
      </c>
      <c r="N4346" s="3" t="s">
        <v>220</v>
      </c>
      <c r="O4346" s="2" t="s">
        <v>23323</v>
      </c>
      <c r="P4346" s="3" t="s">
        <v>66</v>
      </c>
      <c r="R4346" s="3" t="s">
        <v>67</v>
      </c>
      <c r="S4346" s="4">
        <v>9</v>
      </c>
      <c r="T4346" s="4">
        <v>9</v>
      </c>
      <c r="U4346" s="5" t="s">
        <v>25527</v>
      </c>
      <c r="V4346" s="5" t="s">
        <v>25527</v>
      </c>
      <c r="W4346" s="5" t="s">
        <v>69</v>
      </c>
      <c r="X4346" s="5" t="s">
        <v>69</v>
      </c>
      <c r="Y4346" s="4">
        <v>475</v>
      </c>
      <c r="Z4346" s="4">
        <v>7</v>
      </c>
      <c r="AA4346" s="4">
        <v>28</v>
      </c>
      <c r="AB4346" s="4">
        <v>1</v>
      </c>
      <c r="AC4346" s="4">
        <v>3</v>
      </c>
      <c r="AD4346" s="4">
        <v>58</v>
      </c>
      <c r="AE4346" s="4">
        <v>105</v>
      </c>
      <c r="AF4346" s="4">
        <v>0</v>
      </c>
      <c r="AG4346" s="4">
        <v>1</v>
      </c>
      <c r="AH4346" s="4">
        <v>53</v>
      </c>
      <c r="AI4346" s="4">
        <v>92</v>
      </c>
      <c r="AJ4346" s="4">
        <v>3</v>
      </c>
      <c r="AK4346" s="4">
        <v>12</v>
      </c>
      <c r="AL4346" s="4">
        <v>26</v>
      </c>
      <c r="AM4346" s="4">
        <v>55</v>
      </c>
      <c r="AN4346" s="4">
        <v>0</v>
      </c>
      <c r="AO4346" s="4">
        <v>3</v>
      </c>
      <c r="AP4346" s="4">
        <v>5</v>
      </c>
      <c r="AQ4346" s="4">
        <v>15</v>
      </c>
      <c r="AR4346" s="3" t="s">
        <v>63</v>
      </c>
      <c r="AS4346" s="3" t="s">
        <v>63</v>
      </c>
      <c r="AT4346" s="3" t="s">
        <v>62</v>
      </c>
      <c r="AU4346" s="6" t="str">
        <f>HYPERLINK("http://catalog.hathitrust.org/Record/002643410","HathiTrust Record")</f>
        <v>HathiTrust Record</v>
      </c>
      <c r="AV4346" s="6" t="str">
        <f>HYPERLINK("http://mcgill.on.worldcat.org/oclc/26552778","Catalog Record")</f>
        <v>Catalog Record</v>
      </c>
      <c r="AW4346" s="6" t="str">
        <f>HYPERLINK("http://www.worldcat.org/oclc/26552778","WorldCat Record")</f>
        <v>WorldCat Record</v>
      </c>
      <c r="AX4346" s="3" t="s">
        <v>37641</v>
      </c>
      <c r="AY4346" s="3" t="s">
        <v>37642</v>
      </c>
      <c r="AZ4346" s="3" t="s">
        <v>37643</v>
      </c>
      <c r="BA4346" s="3" t="s">
        <v>37643</v>
      </c>
      <c r="BB4346" s="3" t="s">
        <v>37644</v>
      </c>
      <c r="BC4346" s="3" t="s">
        <v>82</v>
      </c>
      <c r="BD4346" s="3" t="s">
        <v>70</v>
      </c>
      <c r="BE4346" s="3" t="s">
        <v>37645</v>
      </c>
      <c r="BF4346" s="3" t="s">
        <v>37644</v>
      </c>
      <c r="BG4346" s="3" t="s">
        <v>37646</v>
      </c>
    </row>
    <row r="4347" spans="1:59" ht="60" x14ac:dyDescent="0.25">
      <c r="A4347" s="2" t="s">
        <v>59</v>
      </c>
      <c r="B4347" s="2" t="s">
        <v>60</v>
      </c>
      <c r="C4347" s="2" t="s">
        <v>37647</v>
      </c>
      <c r="D4347" s="2" t="s">
        <v>37648</v>
      </c>
      <c r="E4347" s="2" t="s">
        <v>37649</v>
      </c>
      <c r="G4347" s="3" t="s">
        <v>63</v>
      </c>
      <c r="I4347" s="3" t="s">
        <v>63</v>
      </c>
      <c r="J4347" s="3" t="s">
        <v>63</v>
      </c>
      <c r="K4347" s="3" t="s">
        <v>64</v>
      </c>
      <c r="L4347" s="2" t="s">
        <v>37650</v>
      </c>
      <c r="M4347" s="2" t="s">
        <v>37651</v>
      </c>
      <c r="N4347" s="3" t="s">
        <v>130</v>
      </c>
      <c r="P4347" s="3" t="s">
        <v>66</v>
      </c>
      <c r="R4347" s="3" t="s">
        <v>67</v>
      </c>
      <c r="S4347" s="4">
        <v>1</v>
      </c>
      <c r="T4347" s="4">
        <v>1</v>
      </c>
      <c r="U4347" s="5" t="s">
        <v>37652</v>
      </c>
      <c r="V4347" s="5" t="s">
        <v>37652</v>
      </c>
      <c r="W4347" s="5" t="s">
        <v>69</v>
      </c>
      <c r="X4347" s="5" t="s">
        <v>69</v>
      </c>
      <c r="Y4347" s="4">
        <v>401</v>
      </c>
      <c r="Z4347" s="4">
        <v>24</v>
      </c>
      <c r="AA4347" s="4">
        <v>27</v>
      </c>
      <c r="AB4347" s="4">
        <v>4</v>
      </c>
      <c r="AC4347" s="4">
        <v>7</v>
      </c>
      <c r="AD4347" s="4">
        <v>68</v>
      </c>
      <c r="AE4347" s="4">
        <v>69</v>
      </c>
      <c r="AF4347" s="4">
        <v>0</v>
      </c>
      <c r="AG4347" s="4">
        <v>0</v>
      </c>
      <c r="AH4347" s="4">
        <v>63</v>
      </c>
      <c r="AI4347" s="4">
        <v>64</v>
      </c>
      <c r="AJ4347" s="4">
        <v>12</v>
      </c>
      <c r="AK4347" s="4">
        <v>12</v>
      </c>
      <c r="AL4347" s="4">
        <v>43</v>
      </c>
      <c r="AM4347" s="4">
        <v>43</v>
      </c>
      <c r="AN4347" s="4">
        <v>0</v>
      </c>
      <c r="AO4347" s="4">
        <v>0</v>
      </c>
      <c r="AP4347" s="4">
        <v>12</v>
      </c>
      <c r="AQ4347" s="4">
        <v>12</v>
      </c>
      <c r="AR4347" s="3" t="s">
        <v>63</v>
      </c>
      <c r="AS4347" s="3" t="s">
        <v>63</v>
      </c>
      <c r="AT4347" s="3" t="s">
        <v>63</v>
      </c>
      <c r="AV4347" s="6" t="str">
        <f>HYPERLINK("http://mcgill.on.worldcat.org/oclc/837956382","Catalog Record")</f>
        <v>Catalog Record</v>
      </c>
      <c r="AW4347" s="6" t="str">
        <f>HYPERLINK("http://www.worldcat.org/oclc/837956382","WorldCat Record")</f>
        <v>WorldCat Record</v>
      </c>
      <c r="AX4347" s="3" t="s">
        <v>37653</v>
      </c>
      <c r="AY4347" s="3" t="s">
        <v>37654</v>
      </c>
      <c r="AZ4347" s="3" t="s">
        <v>37655</v>
      </c>
      <c r="BA4347" s="3" t="s">
        <v>37655</v>
      </c>
      <c r="BB4347" s="3" t="s">
        <v>37656</v>
      </c>
      <c r="BC4347" s="3" t="s">
        <v>82</v>
      </c>
      <c r="BD4347" s="3" t="s">
        <v>70</v>
      </c>
      <c r="BE4347" s="3" t="s">
        <v>37657</v>
      </c>
      <c r="BF4347" s="3" t="s">
        <v>37656</v>
      </c>
      <c r="BG4347" s="3" t="s">
        <v>37658</v>
      </c>
    </row>
    <row r="4348" spans="1:59" ht="60" x14ac:dyDescent="0.25">
      <c r="A4348" s="2" t="s">
        <v>59</v>
      </c>
      <c r="B4348" s="2" t="s">
        <v>60</v>
      </c>
      <c r="C4348" s="2" t="s">
        <v>37659</v>
      </c>
      <c r="D4348" s="2" t="s">
        <v>37660</v>
      </c>
      <c r="E4348" s="2" t="s">
        <v>37661</v>
      </c>
      <c r="G4348" s="3" t="s">
        <v>63</v>
      </c>
      <c r="I4348" s="3" t="s">
        <v>62</v>
      </c>
      <c r="J4348" s="3" t="s">
        <v>62</v>
      </c>
      <c r="K4348" s="3" t="s">
        <v>64</v>
      </c>
      <c r="L4348" s="2" t="s">
        <v>37662</v>
      </c>
      <c r="M4348" s="2" t="s">
        <v>37663</v>
      </c>
      <c r="N4348" s="3" t="s">
        <v>176</v>
      </c>
      <c r="O4348" s="2" t="s">
        <v>590</v>
      </c>
      <c r="P4348" s="3" t="s">
        <v>66</v>
      </c>
      <c r="R4348" s="3" t="s">
        <v>67</v>
      </c>
      <c r="S4348" s="4">
        <v>49</v>
      </c>
      <c r="T4348" s="4">
        <v>66</v>
      </c>
      <c r="U4348" s="5" t="s">
        <v>26945</v>
      </c>
      <c r="V4348" s="5" t="s">
        <v>26945</v>
      </c>
      <c r="W4348" s="5" t="s">
        <v>69</v>
      </c>
      <c r="X4348" s="5" t="s">
        <v>69</v>
      </c>
      <c r="Y4348" s="4">
        <v>773</v>
      </c>
      <c r="Z4348" s="4">
        <v>30</v>
      </c>
      <c r="AA4348" s="4">
        <v>46</v>
      </c>
      <c r="AB4348" s="4">
        <v>2</v>
      </c>
      <c r="AC4348" s="4">
        <v>4</v>
      </c>
      <c r="AD4348" s="4">
        <v>96</v>
      </c>
      <c r="AE4348" s="4">
        <v>105</v>
      </c>
      <c r="AF4348" s="4">
        <v>0</v>
      </c>
      <c r="AG4348" s="4">
        <v>0</v>
      </c>
      <c r="AH4348" s="4">
        <v>88</v>
      </c>
      <c r="AI4348" s="4">
        <v>94</v>
      </c>
      <c r="AJ4348" s="4">
        <v>9</v>
      </c>
      <c r="AK4348" s="4">
        <v>11</v>
      </c>
      <c r="AL4348" s="4">
        <v>52</v>
      </c>
      <c r="AM4348" s="4">
        <v>55</v>
      </c>
      <c r="AN4348" s="4">
        <v>0</v>
      </c>
      <c r="AO4348" s="4">
        <v>0</v>
      </c>
      <c r="AP4348" s="4">
        <v>10</v>
      </c>
      <c r="AQ4348" s="4">
        <v>14</v>
      </c>
      <c r="AR4348" s="3" t="s">
        <v>63</v>
      </c>
      <c r="AS4348" s="3" t="s">
        <v>63</v>
      </c>
      <c r="AT4348" s="3" t="s">
        <v>63</v>
      </c>
      <c r="AV4348" s="6" t="str">
        <f>HYPERLINK("http://mcgill.on.worldcat.org/oclc/37688257","Catalog Record")</f>
        <v>Catalog Record</v>
      </c>
      <c r="AW4348" s="6" t="str">
        <f>HYPERLINK("http://www.worldcat.org/oclc/37688257","WorldCat Record")</f>
        <v>WorldCat Record</v>
      </c>
      <c r="AX4348" s="3" t="s">
        <v>37664</v>
      </c>
      <c r="AY4348" s="3" t="s">
        <v>37665</v>
      </c>
      <c r="AZ4348" s="3" t="s">
        <v>37666</v>
      </c>
      <c r="BA4348" s="3" t="s">
        <v>37666</v>
      </c>
      <c r="BB4348" s="3" t="s">
        <v>37667</v>
      </c>
      <c r="BC4348" s="3" t="s">
        <v>82</v>
      </c>
      <c r="BD4348" s="3" t="s">
        <v>70</v>
      </c>
      <c r="BE4348" s="3" t="s">
        <v>37668</v>
      </c>
      <c r="BF4348" s="3" t="s">
        <v>37667</v>
      </c>
      <c r="BG4348" s="3" t="s">
        <v>37669</v>
      </c>
    </row>
    <row r="4349" spans="1:59" ht="60" x14ac:dyDescent="0.25">
      <c r="A4349" s="2" t="s">
        <v>59</v>
      </c>
      <c r="B4349" s="2" t="s">
        <v>60</v>
      </c>
      <c r="C4349" s="2" t="s">
        <v>37659</v>
      </c>
      <c r="D4349" s="2" t="s">
        <v>37660</v>
      </c>
      <c r="E4349" s="2" t="s">
        <v>37661</v>
      </c>
      <c r="G4349" s="3" t="s">
        <v>63</v>
      </c>
      <c r="I4349" s="3" t="s">
        <v>62</v>
      </c>
      <c r="J4349" s="3" t="s">
        <v>62</v>
      </c>
      <c r="K4349" s="3" t="s">
        <v>64</v>
      </c>
      <c r="L4349" s="2" t="s">
        <v>37662</v>
      </c>
      <c r="M4349" s="2" t="s">
        <v>37663</v>
      </c>
      <c r="N4349" s="3" t="s">
        <v>176</v>
      </c>
      <c r="O4349" s="2" t="s">
        <v>590</v>
      </c>
      <c r="P4349" s="3" t="s">
        <v>66</v>
      </c>
      <c r="R4349" s="3" t="s">
        <v>67</v>
      </c>
      <c r="S4349" s="4">
        <v>17</v>
      </c>
      <c r="T4349" s="4">
        <v>66</v>
      </c>
      <c r="U4349" s="5" t="s">
        <v>37670</v>
      </c>
      <c r="V4349" s="5" t="s">
        <v>26945</v>
      </c>
      <c r="W4349" s="5" t="s">
        <v>69</v>
      </c>
      <c r="X4349" s="5" t="s">
        <v>69</v>
      </c>
      <c r="Y4349" s="4">
        <v>773</v>
      </c>
      <c r="Z4349" s="4">
        <v>30</v>
      </c>
      <c r="AA4349" s="4">
        <v>46</v>
      </c>
      <c r="AB4349" s="4">
        <v>2</v>
      </c>
      <c r="AC4349" s="4">
        <v>4</v>
      </c>
      <c r="AD4349" s="4">
        <v>96</v>
      </c>
      <c r="AE4349" s="4">
        <v>105</v>
      </c>
      <c r="AF4349" s="4">
        <v>0</v>
      </c>
      <c r="AG4349" s="4">
        <v>0</v>
      </c>
      <c r="AH4349" s="4">
        <v>88</v>
      </c>
      <c r="AI4349" s="4">
        <v>94</v>
      </c>
      <c r="AJ4349" s="4">
        <v>9</v>
      </c>
      <c r="AK4349" s="4">
        <v>11</v>
      </c>
      <c r="AL4349" s="4">
        <v>52</v>
      </c>
      <c r="AM4349" s="4">
        <v>55</v>
      </c>
      <c r="AN4349" s="4">
        <v>0</v>
      </c>
      <c r="AO4349" s="4">
        <v>0</v>
      </c>
      <c r="AP4349" s="4">
        <v>10</v>
      </c>
      <c r="AQ4349" s="4">
        <v>14</v>
      </c>
      <c r="AR4349" s="3" t="s">
        <v>63</v>
      </c>
      <c r="AS4349" s="3" t="s">
        <v>63</v>
      </c>
      <c r="AT4349" s="3" t="s">
        <v>63</v>
      </c>
      <c r="AV4349" s="6" t="str">
        <f>HYPERLINK("http://mcgill.on.worldcat.org/oclc/37688257","Catalog Record")</f>
        <v>Catalog Record</v>
      </c>
      <c r="AW4349" s="6" t="str">
        <f>HYPERLINK("http://www.worldcat.org/oclc/37688257","WorldCat Record")</f>
        <v>WorldCat Record</v>
      </c>
      <c r="AX4349" s="3" t="s">
        <v>37664</v>
      </c>
      <c r="AY4349" s="3" t="s">
        <v>37665</v>
      </c>
      <c r="AZ4349" s="3" t="s">
        <v>37666</v>
      </c>
      <c r="BA4349" s="3" t="s">
        <v>37666</v>
      </c>
      <c r="BB4349" s="3" t="s">
        <v>37671</v>
      </c>
      <c r="BC4349" s="3" t="s">
        <v>82</v>
      </c>
      <c r="BD4349" s="3" t="s">
        <v>70</v>
      </c>
      <c r="BE4349" s="3" t="s">
        <v>37668</v>
      </c>
      <c r="BF4349" s="3" t="s">
        <v>37671</v>
      </c>
      <c r="BG4349" s="3" t="s">
        <v>37672</v>
      </c>
    </row>
    <row r="4350" spans="1:59" ht="60" x14ac:dyDescent="0.25">
      <c r="A4350" s="2" t="s">
        <v>59</v>
      </c>
      <c r="B4350" s="2" t="s">
        <v>60</v>
      </c>
      <c r="C4350" s="2" t="s">
        <v>37673</v>
      </c>
      <c r="D4350" s="2" t="s">
        <v>37674</v>
      </c>
      <c r="E4350" s="2" t="s">
        <v>37675</v>
      </c>
      <c r="G4350" s="3" t="s">
        <v>63</v>
      </c>
      <c r="I4350" s="3" t="s">
        <v>63</v>
      </c>
      <c r="J4350" s="3" t="s">
        <v>63</v>
      </c>
      <c r="K4350" s="3" t="s">
        <v>64</v>
      </c>
      <c r="L4350" s="2" t="s">
        <v>37662</v>
      </c>
      <c r="M4350" s="2" t="s">
        <v>37676</v>
      </c>
      <c r="N4350" s="3" t="s">
        <v>190</v>
      </c>
      <c r="P4350" s="3" t="s">
        <v>548</v>
      </c>
      <c r="Q4350" s="2" t="s">
        <v>37677</v>
      </c>
      <c r="R4350" s="3" t="s">
        <v>67</v>
      </c>
      <c r="S4350" s="4">
        <v>16</v>
      </c>
      <c r="T4350" s="4">
        <v>16</v>
      </c>
      <c r="U4350" s="5" t="s">
        <v>907</v>
      </c>
      <c r="V4350" s="5" t="s">
        <v>907</v>
      </c>
      <c r="W4350" s="5" t="s">
        <v>69</v>
      </c>
      <c r="X4350" s="5" t="s">
        <v>69</v>
      </c>
      <c r="Y4350" s="4">
        <v>34</v>
      </c>
      <c r="Z4350" s="4">
        <v>5</v>
      </c>
      <c r="AA4350" s="4">
        <v>44</v>
      </c>
      <c r="AB4350" s="4">
        <v>2</v>
      </c>
      <c r="AC4350" s="4">
        <v>17</v>
      </c>
      <c r="AD4350" s="4">
        <v>5</v>
      </c>
      <c r="AE4350" s="4">
        <v>57</v>
      </c>
      <c r="AF4350" s="4">
        <v>0</v>
      </c>
      <c r="AG4350" s="4">
        <v>5</v>
      </c>
      <c r="AH4350" s="4">
        <v>3</v>
      </c>
      <c r="AI4350" s="4">
        <v>40</v>
      </c>
      <c r="AJ4350" s="4">
        <v>2</v>
      </c>
      <c r="AK4350" s="4">
        <v>17</v>
      </c>
      <c r="AL4350" s="4">
        <v>2</v>
      </c>
      <c r="AM4350" s="4">
        <v>28</v>
      </c>
      <c r="AN4350" s="4">
        <v>0</v>
      </c>
      <c r="AO4350" s="4">
        <v>0</v>
      </c>
      <c r="AP4350" s="4">
        <v>3</v>
      </c>
      <c r="AQ4350" s="4">
        <v>20</v>
      </c>
      <c r="AR4350" s="3" t="s">
        <v>63</v>
      </c>
      <c r="AS4350" s="3" t="s">
        <v>63</v>
      </c>
      <c r="AT4350" s="3" t="s">
        <v>63</v>
      </c>
      <c r="AV4350" s="6" t="str">
        <f>HYPERLINK("http://mcgill.on.worldcat.org/oclc/57765937","Catalog Record")</f>
        <v>Catalog Record</v>
      </c>
      <c r="AW4350" s="6" t="str">
        <f>HYPERLINK("http://www.worldcat.org/oclc/57765937","WorldCat Record")</f>
        <v>WorldCat Record</v>
      </c>
      <c r="AX4350" s="3" t="s">
        <v>37678</v>
      </c>
      <c r="AY4350" s="3" t="s">
        <v>37679</v>
      </c>
      <c r="AZ4350" s="3" t="s">
        <v>37680</v>
      </c>
      <c r="BA4350" s="3" t="s">
        <v>37680</v>
      </c>
      <c r="BB4350" s="3" t="s">
        <v>37681</v>
      </c>
      <c r="BC4350" s="3" t="s">
        <v>82</v>
      </c>
      <c r="BD4350" s="3" t="s">
        <v>70</v>
      </c>
      <c r="BE4350" s="3" t="s">
        <v>37682</v>
      </c>
      <c r="BF4350" s="3" t="s">
        <v>37681</v>
      </c>
      <c r="BG4350" s="3" t="s">
        <v>37683</v>
      </c>
    </row>
    <row r="4351" spans="1:59" ht="60" x14ac:dyDescent="0.25">
      <c r="A4351" s="2" t="s">
        <v>59</v>
      </c>
      <c r="B4351" s="2" t="s">
        <v>60</v>
      </c>
      <c r="C4351" s="2" t="s">
        <v>37684</v>
      </c>
      <c r="D4351" s="2" t="s">
        <v>37685</v>
      </c>
      <c r="E4351" s="2" t="s">
        <v>37686</v>
      </c>
      <c r="G4351" s="3" t="s">
        <v>63</v>
      </c>
      <c r="I4351" s="3" t="s">
        <v>62</v>
      </c>
      <c r="J4351" s="3" t="s">
        <v>63</v>
      </c>
      <c r="K4351" s="3" t="s">
        <v>64</v>
      </c>
      <c r="L4351" s="2" t="s">
        <v>37687</v>
      </c>
      <c r="M4351" s="2" t="s">
        <v>37688</v>
      </c>
      <c r="N4351" s="3" t="s">
        <v>2103</v>
      </c>
      <c r="O4351" s="2" t="s">
        <v>37689</v>
      </c>
      <c r="P4351" s="3" t="s">
        <v>66</v>
      </c>
      <c r="R4351" s="3" t="s">
        <v>67</v>
      </c>
      <c r="S4351" s="4">
        <v>35</v>
      </c>
      <c r="T4351" s="4">
        <v>70</v>
      </c>
      <c r="U4351" s="5" t="s">
        <v>37690</v>
      </c>
      <c r="V4351" s="5" t="s">
        <v>23035</v>
      </c>
      <c r="W4351" s="5" t="s">
        <v>69</v>
      </c>
      <c r="X4351" s="5" t="s">
        <v>69</v>
      </c>
      <c r="Y4351" s="4">
        <v>1051</v>
      </c>
      <c r="Z4351" s="4">
        <v>50</v>
      </c>
      <c r="AA4351" s="4">
        <v>61</v>
      </c>
      <c r="AB4351" s="4">
        <v>2</v>
      </c>
      <c r="AC4351" s="4">
        <v>5</v>
      </c>
      <c r="AD4351" s="4">
        <v>105</v>
      </c>
      <c r="AE4351" s="4">
        <v>110</v>
      </c>
      <c r="AF4351" s="4">
        <v>1</v>
      </c>
      <c r="AG4351" s="4">
        <v>1</v>
      </c>
      <c r="AH4351" s="4">
        <v>92</v>
      </c>
      <c r="AI4351" s="4">
        <v>97</v>
      </c>
      <c r="AJ4351" s="4">
        <v>8</v>
      </c>
      <c r="AK4351" s="4">
        <v>12</v>
      </c>
      <c r="AL4351" s="4">
        <v>56</v>
      </c>
      <c r="AM4351" s="4">
        <v>57</v>
      </c>
      <c r="AN4351" s="4">
        <v>0</v>
      </c>
      <c r="AO4351" s="4">
        <v>0</v>
      </c>
      <c r="AP4351" s="4">
        <v>14</v>
      </c>
      <c r="AQ4351" s="4">
        <v>18</v>
      </c>
      <c r="AR4351" s="3" t="s">
        <v>63</v>
      </c>
      <c r="AS4351" s="3" t="s">
        <v>63</v>
      </c>
      <c r="AT4351" s="3" t="s">
        <v>63</v>
      </c>
      <c r="AV4351" s="6" t="str">
        <f>HYPERLINK("http://mcgill.on.worldcat.org/oclc/50492937","Catalog Record")</f>
        <v>Catalog Record</v>
      </c>
      <c r="AW4351" s="6" t="str">
        <f>HYPERLINK("http://www.worldcat.org/oclc/50492937","WorldCat Record")</f>
        <v>WorldCat Record</v>
      </c>
      <c r="AX4351" s="3" t="s">
        <v>37691</v>
      </c>
      <c r="AY4351" s="3" t="s">
        <v>37692</v>
      </c>
      <c r="AZ4351" s="3" t="s">
        <v>37693</v>
      </c>
      <c r="BA4351" s="3" t="s">
        <v>37693</v>
      </c>
      <c r="BB4351" s="3" t="s">
        <v>37694</v>
      </c>
      <c r="BC4351" s="3" t="s">
        <v>82</v>
      </c>
      <c r="BD4351" s="3" t="s">
        <v>70</v>
      </c>
      <c r="BE4351" s="3" t="s">
        <v>37695</v>
      </c>
      <c r="BF4351" s="3" t="s">
        <v>37694</v>
      </c>
      <c r="BG4351" s="3" t="s">
        <v>37696</v>
      </c>
    </row>
    <row r="4352" spans="1:59" ht="60" x14ac:dyDescent="0.25">
      <c r="A4352" s="2" t="s">
        <v>59</v>
      </c>
      <c r="B4352" s="2" t="s">
        <v>60</v>
      </c>
      <c r="C4352" s="2" t="s">
        <v>37684</v>
      </c>
      <c r="D4352" s="2" t="s">
        <v>37685</v>
      </c>
      <c r="E4352" s="2" t="s">
        <v>37686</v>
      </c>
      <c r="G4352" s="3" t="s">
        <v>63</v>
      </c>
      <c r="I4352" s="3" t="s">
        <v>62</v>
      </c>
      <c r="J4352" s="3" t="s">
        <v>63</v>
      </c>
      <c r="K4352" s="3" t="s">
        <v>64</v>
      </c>
      <c r="L4352" s="2" t="s">
        <v>37687</v>
      </c>
      <c r="M4352" s="2" t="s">
        <v>37688</v>
      </c>
      <c r="N4352" s="3" t="s">
        <v>2103</v>
      </c>
      <c r="O4352" s="2" t="s">
        <v>37689</v>
      </c>
      <c r="P4352" s="3" t="s">
        <v>66</v>
      </c>
      <c r="R4352" s="3" t="s">
        <v>67</v>
      </c>
      <c r="S4352" s="4">
        <v>12</v>
      </c>
      <c r="T4352" s="4">
        <v>70</v>
      </c>
      <c r="U4352" s="5" t="s">
        <v>27800</v>
      </c>
      <c r="V4352" s="5" t="s">
        <v>23035</v>
      </c>
      <c r="W4352" s="5" t="s">
        <v>69</v>
      </c>
      <c r="X4352" s="5" t="s">
        <v>69</v>
      </c>
      <c r="Y4352" s="4">
        <v>1051</v>
      </c>
      <c r="Z4352" s="4">
        <v>50</v>
      </c>
      <c r="AA4352" s="4">
        <v>61</v>
      </c>
      <c r="AB4352" s="4">
        <v>2</v>
      </c>
      <c r="AC4352" s="4">
        <v>5</v>
      </c>
      <c r="AD4352" s="4">
        <v>105</v>
      </c>
      <c r="AE4352" s="4">
        <v>110</v>
      </c>
      <c r="AF4352" s="4">
        <v>1</v>
      </c>
      <c r="AG4352" s="4">
        <v>1</v>
      </c>
      <c r="AH4352" s="4">
        <v>92</v>
      </c>
      <c r="AI4352" s="4">
        <v>97</v>
      </c>
      <c r="AJ4352" s="4">
        <v>8</v>
      </c>
      <c r="AK4352" s="4">
        <v>12</v>
      </c>
      <c r="AL4352" s="4">
        <v>56</v>
      </c>
      <c r="AM4352" s="4">
        <v>57</v>
      </c>
      <c r="AN4352" s="4">
        <v>0</v>
      </c>
      <c r="AO4352" s="4">
        <v>0</v>
      </c>
      <c r="AP4352" s="4">
        <v>14</v>
      </c>
      <c r="AQ4352" s="4">
        <v>18</v>
      </c>
      <c r="AR4352" s="3" t="s">
        <v>63</v>
      </c>
      <c r="AS4352" s="3" t="s">
        <v>63</v>
      </c>
      <c r="AT4352" s="3" t="s">
        <v>63</v>
      </c>
      <c r="AV4352" s="6" t="str">
        <f>HYPERLINK("http://mcgill.on.worldcat.org/oclc/50492937","Catalog Record")</f>
        <v>Catalog Record</v>
      </c>
      <c r="AW4352" s="6" t="str">
        <f>HYPERLINK("http://www.worldcat.org/oclc/50492937","WorldCat Record")</f>
        <v>WorldCat Record</v>
      </c>
      <c r="AX4352" s="3" t="s">
        <v>37691</v>
      </c>
      <c r="AY4352" s="3" t="s">
        <v>37692</v>
      </c>
      <c r="AZ4352" s="3" t="s">
        <v>37693</v>
      </c>
      <c r="BA4352" s="3" t="s">
        <v>37693</v>
      </c>
      <c r="BB4352" s="3" t="s">
        <v>37697</v>
      </c>
      <c r="BC4352" s="3" t="s">
        <v>82</v>
      </c>
      <c r="BD4352" s="3" t="s">
        <v>538</v>
      </c>
      <c r="BE4352" s="3" t="s">
        <v>37695</v>
      </c>
      <c r="BF4352" s="3" t="s">
        <v>37697</v>
      </c>
      <c r="BG4352" s="3" t="s">
        <v>37698</v>
      </c>
    </row>
    <row r="4353" spans="1:59" ht="60" x14ac:dyDescent="0.25">
      <c r="A4353" s="2" t="s">
        <v>59</v>
      </c>
      <c r="B4353" s="2" t="s">
        <v>60</v>
      </c>
      <c r="C4353" s="2" t="s">
        <v>37684</v>
      </c>
      <c r="D4353" s="2" t="s">
        <v>37685</v>
      </c>
      <c r="E4353" s="2" t="s">
        <v>37686</v>
      </c>
      <c r="G4353" s="3" t="s">
        <v>63</v>
      </c>
      <c r="I4353" s="3" t="s">
        <v>62</v>
      </c>
      <c r="J4353" s="3" t="s">
        <v>63</v>
      </c>
      <c r="K4353" s="3" t="s">
        <v>64</v>
      </c>
      <c r="L4353" s="2" t="s">
        <v>37687</v>
      </c>
      <c r="M4353" s="2" t="s">
        <v>37688</v>
      </c>
      <c r="N4353" s="3" t="s">
        <v>2103</v>
      </c>
      <c r="O4353" s="2" t="s">
        <v>37689</v>
      </c>
      <c r="P4353" s="3" t="s">
        <v>66</v>
      </c>
      <c r="R4353" s="3" t="s">
        <v>67</v>
      </c>
      <c r="S4353" s="4">
        <v>23</v>
      </c>
      <c r="T4353" s="4">
        <v>70</v>
      </c>
      <c r="U4353" s="5" t="s">
        <v>23035</v>
      </c>
      <c r="V4353" s="5" t="s">
        <v>23035</v>
      </c>
      <c r="W4353" s="5" t="s">
        <v>69</v>
      </c>
      <c r="X4353" s="5" t="s">
        <v>69</v>
      </c>
      <c r="Y4353" s="4">
        <v>1051</v>
      </c>
      <c r="Z4353" s="4">
        <v>50</v>
      </c>
      <c r="AA4353" s="4">
        <v>61</v>
      </c>
      <c r="AB4353" s="4">
        <v>2</v>
      </c>
      <c r="AC4353" s="4">
        <v>5</v>
      </c>
      <c r="AD4353" s="4">
        <v>105</v>
      </c>
      <c r="AE4353" s="4">
        <v>110</v>
      </c>
      <c r="AF4353" s="4">
        <v>1</v>
      </c>
      <c r="AG4353" s="4">
        <v>1</v>
      </c>
      <c r="AH4353" s="4">
        <v>92</v>
      </c>
      <c r="AI4353" s="4">
        <v>97</v>
      </c>
      <c r="AJ4353" s="4">
        <v>8</v>
      </c>
      <c r="AK4353" s="4">
        <v>12</v>
      </c>
      <c r="AL4353" s="4">
        <v>56</v>
      </c>
      <c r="AM4353" s="4">
        <v>57</v>
      </c>
      <c r="AN4353" s="4">
        <v>0</v>
      </c>
      <c r="AO4353" s="4">
        <v>0</v>
      </c>
      <c r="AP4353" s="4">
        <v>14</v>
      </c>
      <c r="AQ4353" s="4">
        <v>18</v>
      </c>
      <c r="AR4353" s="3" t="s">
        <v>63</v>
      </c>
      <c r="AS4353" s="3" t="s">
        <v>63</v>
      </c>
      <c r="AT4353" s="3" t="s">
        <v>63</v>
      </c>
      <c r="AV4353" s="6" t="str">
        <f>HYPERLINK("http://mcgill.on.worldcat.org/oclc/50492937","Catalog Record")</f>
        <v>Catalog Record</v>
      </c>
      <c r="AW4353" s="6" t="str">
        <f>HYPERLINK("http://www.worldcat.org/oclc/50492937","WorldCat Record")</f>
        <v>WorldCat Record</v>
      </c>
      <c r="AX4353" s="3" t="s">
        <v>37691</v>
      </c>
      <c r="AY4353" s="3" t="s">
        <v>37692</v>
      </c>
      <c r="AZ4353" s="3" t="s">
        <v>37693</v>
      </c>
      <c r="BA4353" s="3" t="s">
        <v>37693</v>
      </c>
      <c r="BB4353" s="3" t="s">
        <v>37699</v>
      </c>
      <c r="BC4353" s="3" t="s">
        <v>82</v>
      </c>
      <c r="BD4353" s="3" t="s">
        <v>538</v>
      </c>
      <c r="BE4353" s="3" t="s">
        <v>37695</v>
      </c>
      <c r="BF4353" s="3" t="s">
        <v>37699</v>
      </c>
      <c r="BG4353" s="3" t="s">
        <v>37700</v>
      </c>
    </row>
    <row r="4354" spans="1:59" ht="60" x14ac:dyDescent="0.25">
      <c r="A4354" s="2" t="s">
        <v>59</v>
      </c>
      <c r="B4354" s="2" t="s">
        <v>60</v>
      </c>
      <c r="C4354" s="2" t="s">
        <v>37701</v>
      </c>
      <c r="D4354" s="2" t="s">
        <v>37702</v>
      </c>
      <c r="E4354" s="2" t="s">
        <v>37703</v>
      </c>
      <c r="G4354" s="3" t="s">
        <v>63</v>
      </c>
      <c r="I4354" s="3" t="s">
        <v>63</v>
      </c>
      <c r="J4354" s="3" t="s">
        <v>63</v>
      </c>
      <c r="K4354" s="3" t="s">
        <v>64</v>
      </c>
      <c r="L4354" s="2" t="s">
        <v>37662</v>
      </c>
      <c r="M4354" s="2" t="s">
        <v>37704</v>
      </c>
      <c r="N4354" s="3" t="s">
        <v>2043</v>
      </c>
      <c r="P4354" s="3" t="s">
        <v>548</v>
      </c>
      <c r="Q4354" s="2" t="s">
        <v>37705</v>
      </c>
      <c r="R4354" s="3" t="s">
        <v>67</v>
      </c>
      <c r="S4354" s="4">
        <v>38</v>
      </c>
      <c r="T4354" s="4">
        <v>38</v>
      </c>
      <c r="U4354" s="5" t="s">
        <v>907</v>
      </c>
      <c r="V4354" s="5" t="s">
        <v>907</v>
      </c>
      <c r="W4354" s="5" t="s">
        <v>69</v>
      </c>
      <c r="X4354" s="5" t="s">
        <v>69</v>
      </c>
      <c r="Y4354" s="4">
        <v>12</v>
      </c>
      <c r="Z4354" s="4">
        <v>5</v>
      </c>
      <c r="AA4354" s="4">
        <v>15</v>
      </c>
      <c r="AB4354" s="4">
        <v>1</v>
      </c>
      <c r="AC4354" s="4">
        <v>4</v>
      </c>
      <c r="AD4354" s="4">
        <v>4</v>
      </c>
      <c r="AE4354" s="4">
        <v>31</v>
      </c>
      <c r="AF4354" s="4">
        <v>0</v>
      </c>
      <c r="AG4354" s="4">
        <v>2</v>
      </c>
      <c r="AH4354" s="4">
        <v>2</v>
      </c>
      <c r="AI4354" s="4">
        <v>23</v>
      </c>
      <c r="AJ4354" s="4">
        <v>2</v>
      </c>
      <c r="AK4354" s="4">
        <v>9</v>
      </c>
      <c r="AL4354" s="4">
        <v>0</v>
      </c>
      <c r="AM4354" s="4">
        <v>15</v>
      </c>
      <c r="AN4354" s="4">
        <v>0</v>
      </c>
      <c r="AO4354" s="4">
        <v>0</v>
      </c>
      <c r="AP4354" s="4">
        <v>4</v>
      </c>
      <c r="AQ4354" s="4">
        <v>11</v>
      </c>
      <c r="AR4354" s="3" t="s">
        <v>63</v>
      </c>
      <c r="AS4354" s="3" t="s">
        <v>63</v>
      </c>
      <c r="AT4354" s="3" t="s">
        <v>63</v>
      </c>
      <c r="AV4354" s="6" t="str">
        <f>HYPERLINK("http://mcgill.on.worldcat.org/oclc/263706355","Catalog Record")</f>
        <v>Catalog Record</v>
      </c>
      <c r="AW4354" s="6" t="str">
        <f>HYPERLINK("http://www.worldcat.org/oclc/263706355","WorldCat Record")</f>
        <v>WorldCat Record</v>
      </c>
      <c r="AX4354" s="3" t="s">
        <v>37706</v>
      </c>
      <c r="AY4354" s="3" t="s">
        <v>37707</v>
      </c>
      <c r="AZ4354" s="3" t="s">
        <v>37708</v>
      </c>
      <c r="BA4354" s="3" t="s">
        <v>37708</v>
      </c>
      <c r="BB4354" s="3" t="s">
        <v>37709</v>
      </c>
      <c r="BC4354" s="3" t="s">
        <v>82</v>
      </c>
      <c r="BD4354" s="3" t="s">
        <v>70</v>
      </c>
      <c r="BF4354" s="3" t="s">
        <v>37709</v>
      </c>
      <c r="BG4354" s="3" t="s">
        <v>37710</v>
      </c>
    </row>
    <row r="4355" spans="1:59" ht="60" x14ac:dyDescent="0.25">
      <c r="A4355" s="2" t="s">
        <v>59</v>
      </c>
      <c r="B4355" s="2" t="s">
        <v>60</v>
      </c>
      <c r="C4355" s="2" t="s">
        <v>37711</v>
      </c>
      <c r="D4355" s="2" t="s">
        <v>37712</v>
      </c>
      <c r="E4355" s="2" t="s">
        <v>37713</v>
      </c>
      <c r="G4355" s="3" t="s">
        <v>63</v>
      </c>
      <c r="I4355" s="3" t="s">
        <v>62</v>
      </c>
      <c r="J4355" s="3" t="s">
        <v>62</v>
      </c>
      <c r="K4355" s="3" t="s">
        <v>64</v>
      </c>
      <c r="L4355" s="2" t="s">
        <v>37662</v>
      </c>
      <c r="M4355" s="2" t="s">
        <v>37714</v>
      </c>
      <c r="N4355" s="3" t="s">
        <v>204</v>
      </c>
      <c r="P4355" s="3" t="s">
        <v>66</v>
      </c>
      <c r="R4355" s="3" t="s">
        <v>67</v>
      </c>
      <c r="S4355" s="4">
        <v>90</v>
      </c>
      <c r="T4355" s="4">
        <v>121</v>
      </c>
      <c r="U4355" s="5" t="s">
        <v>23565</v>
      </c>
      <c r="V4355" s="5" t="s">
        <v>23565</v>
      </c>
      <c r="W4355" s="5" t="s">
        <v>69</v>
      </c>
      <c r="X4355" s="5" t="s">
        <v>69</v>
      </c>
      <c r="Y4355" s="4">
        <v>240</v>
      </c>
      <c r="Z4355" s="4">
        <v>11</v>
      </c>
      <c r="AA4355" s="4">
        <v>80</v>
      </c>
      <c r="AB4355" s="4">
        <v>2</v>
      </c>
      <c r="AC4355" s="4">
        <v>8</v>
      </c>
      <c r="AD4355" s="4">
        <v>51</v>
      </c>
      <c r="AE4355" s="4">
        <v>147</v>
      </c>
      <c r="AF4355" s="4">
        <v>1</v>
      </c>
      <c r="AG4355" s="4">
        <v>3</v>
      </c>
      <c r="AH4355" s="4">
        <v>46</v>
      </c>
      <c r="AI4355" s="4">
        <v>112</v>
      </c>
      <c r="AJ4355" s="4">
        <v>4</v>
      </c>
      <c r="AK4355" s="4">
        <v>22</v>
      </c>
      <c r="AL4355" s="4">
        <v>28</v>
      </c>
      <c r="AM4355" s="4">
        <v>62</v>
      </c>
      <c r="AN4355" s="4">
        <v>0</v>
      </c>
      <c r="AO4355" s="4">
        <v>0</v>
      </c>
      <c r="AP4355" s="4">
        <v>6</v>
      </c>
      <c r="AQ4355" s="4">
        <v>40</v>
      </c>
      <c r="AR4355" s="3" t="s">
        <v>63</v>
      </c>
      <c r="AS4355" s="3" t="s">
        <v>63</v>
      </c>
      <c r="AT4355" s="3" t="s">
        <v>63</v>
      </c>
      <c r="AV4355" s="6" t="str">
        <f>HYPERLINK("http://mcgill.on.worldcat.org/oclc/34357201","Catalog Record")</f>
        <v>Catalog Record</v>
      </c>
      <c r="AW4355" s="6" t="str">
        <f>HYPERLINK("http://www.worldcat.org/oclc/34357201","WorldCat Record")</f>
        <v>WorldCat Record</v>
      </c>
      <c r="AX4355" s="3" t="s">
        <v>37715</v>
      </c>
      <c r="AY4355" s="3" t="s">
        <v>37716</v>
      </c>
      <c r="AZ4355" s="3" t="s">
        <v>37717</v>
      </c>
      <c r="BA4355" s="3" t="s">
        <v>37717</v>
      </c>
      <c r="BB4355" s="3" t="s">
        <v>37718</v>
      </c>
      <c r="BC4355" s="3" t="s">
        <v>82</v>
      </c>
      <c r="BD4355" s="3" t="s">
        <v>70</v>
      </c>
      <c r="BE4355" s="3" t="s">
        <v>37719</v>
      </c>
      <c r="BF4355" s="3" t="s">
        <v>37718</v>
      </c>
      <c r="BG4355" s="3" t="s">
        <v>37720</v>
      </c>
    </row>
    <row r="4356" spans="1:59" ht="60" x14ac:dyDescent="0.25">
      <c r="A4356" s="2" t="s">
        <v>59</v>
      </c>
      <c r="B4356" s="2" t="s">
        <v>60</v>
      </c>
      <c r="C4356" s="2" t="s">
        <v>37711</v>
      </c>
      <c r="D4356" s="2" t="s">
        <v>37712</v>
      </c>
      <c r="E4356" s="2" t="s">
        <v>37713</v>
      </c>
      <c r="G4356" s="3" t="s">
        <v>63</v>
      </c>
      <c r="I4356" s="3" t="s">
        <v>62</v>
      </c>
      <c r="J4356" s="3" t="s">
        <v>62</v>
      </c>
      <c r="K4356" s="3" t="s">
        <v>64</v>
      </c>
      <c r="L4356" s="2" t="s">
        <v>37662</v>
      </c>
      <c r="M4356" s="2" t="s">
        <v>37714</v>
      </c>
      <c r="N4356" s="3" t="s">
        <v>204</v>
      </c>
      <c r="P4356" s="3" t="s">
        <v>66</v>
      </c>
      <c r="R4356" s="3" t="s">
        <v>67</v>
      </c>
      <c r="S4356" s="4">
        <v>31</v>
      </c>
      <c r="T4356" s="4">
        <v>121</v>
      </c>
      <c r="U4356" s="5" t="s">
        <v>11397</v>
      </c>
      <c r="V4356" s="5" t="s">
        <v>23565</v>
      </c>
      <c r="W4356" s="5" t="s">
        <v>69</v>
      </c>
      <c r="X4356" s="5" t="s">
        <v>69</v>
      </c>
      <c r="Y4356" s="4">
        <v>240</v>
      </c>
      <c r="Z4356" s="4">
        <v>11</v>
      </c>
      <c r="AA4356" s="4">
        <v>80</v>
      </c>
      <c r="AB4356" s="4">
        <v>2</v>
      </c>
      <c r="AC4356" s="4">
        <v>8</v>
      </c>
      <c r="AD4356" s="4">
        <v>51</v>
      </c>
      <c r="AE4356" s="4">
        <v>147</v>
      </c>
      <c r="AF4356" s="4">
        <v>1</v>
      </c>
      <c r="AG4356" s="4">
        <v>3</v>
      </c>
      <c r="AH4356" s="4">
        <v>46</v>
      </c>
      <c r="AI4356" s="4">
        <v>112</v>
      </c>
      <c r="AJ4356" s="4">
        <v>4</v>
      </c>
      <c r="AK4356" s="4">
        <v>22</v>
      </c>
      <c r="AL4356" s="4">
        <v>28</v>
      </c>
      <c r="AM4356" s="4">
        <v>62</v>
      </c>
      <c r="AN4356" s="4">
        <v>0</v>
      </c>
      <c r="AO4356" s="4">
        <v>0</v>
      </c>
      <c r="AP4356" s="4">
        <v>6</v>
      </c>
      <c r="AQ4356" s="4">
        <v>40</v>
      </c>
      <c r="AR4356" s="3" t="s">
        <v>63</v>
      </c>
      <c r="AS4356" s="3" t="s">
        <v>63</v>
      </c>
      <c r="AT4356" s="3" t="s">
        <v>63</v>
      </c>
      <c r="AV4356" s="6" t="str">
        <f>HYPERLINK("http://mcgill.on.worldcat.org/oclc/34357201","Catalog Record")</f>
        <v>Catalog Record</v>
      </c>
      <c r="AW4356" s="6" t="str">
        <f>HYPERLINK("http://www.worldcat.org/oclc/34357201","WorldCat Record")</f>
        <v>WorldCat Record</v>
      </c>
      <c r="AX4356" s="3" t="s">
        <v>37715</v>
      </c>
      <c r="AY4356" s="3" t="s">
        <v>37716</v>
      </c>
      <c r="AZ4356" s="3" t="s">
        <v>37717</v>
      </c>
      <c r="BA4356" s="3" t="s">
        <v>37717</v>
      </c>
      <c r="BB4356" s="3" t="s">
        <v>37721</v>
      </c>
      <c r="BC4356" s="3" t="s">
        <v>82</v>
      </c>
      <c r="BD4356" s="3" t="s">
        <v>70</v>
      </c>
      <c r="BE4356" s="3" t="s">
        <v>37719</v>
      </c>
      <c r="BF4356" s="3" t="s">
        <v>37721</v>
      </c>
      <c r="BG4356" s="3" t="s">
        <v>37722</v>
      </c>
    </row>
    <row r="4357" spans="1:59" ht="60" x14ac:dyDescent="0.25">
      <c r="A4357" s="2" t="s">
        <v>59</v>
      </c>
      <c r="B4357" s="2" t="s">
        <v>60</v>
      </c>
      <c r="C4357" s="2" t="s">
        <v>37723</v>
      </c>
      <c r="D4357" s="2" t="s">
        <v>37724</v>
      </c>
      <c r="E4357" s="2" t="s">
        <v>37725</v>
      </c>
      <c r="G4357" s="3" t="s">
        <v>63</v>
      </c>
      <c r="I4357" s="3" t="s">
        <v>63</v>
      </c>
      <c r="J4357" s="3" t="s">
        <v>63</v>
      </c>
      <c r="K4357" s="3" t="s">
        <v>64</v>
      </c>
      <c r="L4357" s="2" t="s">
        <v>37662</v>
      </c>
      <c r="M4357" s="2" t="s">
        <v>37726</v>
      </c>
      <c r="N4357" s="3" t="s">
        <v>849</v>
      </c>
      <c r="P4357" s="3" t="s">
        <v>548</v>
      </c>
      <c r="R4357" s="3" t="s">
        <v>67</v>
      </c>
      <c r="S4357" s="4">
        <v>71</v>
      </c>
      <c r="T4357" s="4">
        <v>71</v>
      </c>
      <c r="U4357" s="5" t="s">
        <v>16620</v>
      </c>
      <c r="V4357" s="5" t="s">
        <v>16620</v>
      </c>
      <c r="W4357" s="5" t="s">
        <v>69</v>
      </c>
      <c r="X4357" s="5" t="s">
        <v>69</v>
      </c>
      <c r="Y4357" s="4">
        <v>45</v>
      </c>
      <c r="Z4357" s="4">
        <v>2</v>
      </c>
      <c r="AA4357" s="4">
        <v>18</v>
      </c>
      <c r="AB4357" s="4">
        <v>1</v>
      </c>
      <c r="AC4357" s="4">
        <v>13</v>
      </c>
      <c r="AD4357" s="4">
        <v>12</v>
      </c>
      <c r="AE4357" s="4">
        <v>26</v>
      </c>
      <c r="AF4357" s="4">
        <v>0</v>
      </c>
      <c r="AG4357" s="4">
        <v>6</v>
      </c>
      <c r="AH4357" s="4">
        <v>12</v>
      </c>
      <c r="AI4357" s="4">
        <v>18</v>
      </c>
      <c r="AJ4357" s="4">
        <v>0</v>
      </c>
      <c r="AK4357" s="4">
        <v>8</v>
      </c>
      <c r="AL4357" s="4">
        <v>10</v>
      </c>
      <c r="AM4357" s="4">
        <v>14</v>
      </c>
      <c r="AN4357" s="4">
        <v>0</v>
      </c>
      <c r="AO4357" s="4">
        <v>0</v>
      </c>
      <c r="AP4357" s="4">
        <v>0</v>
      </c>
      <c r="AQ4357" s="4">
        <v>7</v>
      </c>
      <c r="AR4357" s="3" t="s">
        <v>63</v>
      </c>
      <c r="AS4357" s="3" t="s">
        <v>63</v>
      </c>
      <c r="AT4357" s="3" t="s">
        <v>63</v>
      </c>
      <c r="AV4357" s="6" t="str">
        <f>HYPERLINK("http://mcgill.on.worldcat.org/oclc/5901197","Catalog Record")</f>
        <v>Catalog Record</v>
      </c>
      <c r="AW4357" s="6" t="str">
        <f>HYPERLINK("http://www.worldcat.org/oclc/5901197","WorldCat Record")</f>
        <v>WorldCat Record</v>
      </c>
      <c r="AX4357" s="3" t="s">
        <v>37727</v>
      </c>
      <c r="AY4357" s="3" t="s">
        <v>37728</v>
      </c>
      <c r="AZ4357" s="3" t="s">
        <v>37729</v>
      </c>
      <c r="BA4357" s="3" t="s">
        <v>37729</v>
      </c>
      <c r="BB4357" s="3" t="s">
        <v>37730</v>
      </c>
      <c r="BC4357" s="3" t="s">
        <v>82</v>
      </c>
      <c r="BD4357" s="3" t="s">
        <v>70</v>
      </c>
      <c r="BF4357" s="3" t="s">
        <v>37730</v>
      </c>
      <c r="BG4357" s="3" t="s">
        <v>37731</v>
      </c>
    </row>
    <row r="4358" spans="1:59" ht="60" x14ac:dyDescent="0.25">
      <c r="A4358" s="2" t="s">
        <v>59</v>
      </c>
      <c r="B4358" s="2" t="s">
        <v>60</v>
      </c>
      <c r="C4358" s="2" t="s">
        <v>37732</v>
      </c>
      <c r="D4358" s="2" t="s">
        <v>37733</v>
      </c>
      <c r="E4358" s="2" t="s">
        <v>37734</v>
      </c>
      <c r="G4358" s="3" t="s">
        <v>63</v>
      </c>
      <c r="I4358" s="3" t="s">
        <v>63</v>
      </c>
      <c r="J4358" s="3" t="s">
        <v>63</v>
      </c>
      <c r="K4358" s="3" t="s">
        <v>64</v>
      </c>
      <c r="L4358" s="2" t="s">
        <v>37662</v>
      </c>
      <c r="M4358" s="2" t="s">
        <v>37735</v>
      </c>
      <c r="N4358" s="3" t="s">
        <v>176</v>
      </c>
      <c r="P4358" s="3" t="s">
        <v>548</v>
      </c>
      <c r="Q4358" s="2" t="s">
        <v>37736</v>
      </c>
      <c r="R4358" s="3" t="s">
        <v>67</v>
      </c>
      <c r="S4358" s="4">
        <v>12</v>
      </c>
      <c r="T4358" s="4">
        <v>12</v>
      </c>
      <c r="U4358" s="5" t="s">
        <v>907</v>
      </c>
      <c r="V4358" s="5" t="s">
        <v>907</v>
      </c>
      <c r="W4358" s="5" t="s">
        <v>69</v>
      </c>
      <c r="X4358" s="5" t="s">
        <v>69</v>
      </c>
      <c r="Y4358" s="4">
        <v>34</v>
      </c>
      <c r="Z4358" s="4">
        <v>6</v>
      </c>
      <c r="AA4358" s="4">
        <v>35</v>
      </c>
      <c r="AB4358" s="4">
        <v>2</v>
      </c>
      <c r="AC4358" s="4">
        <v>13</v>
      </c>
      <c r="AD4358" s="4">
        <v>6</v>
      </c>
      <c r="AE4358" s="4">
        <v>78</v>
      </c>
      <c r="AF4358" s="4">
        <v>0</v>
      </c>
      <c r="AG4358" s="4">
        <v>5</v>
      </c>
      <c r="AH4358" s="4">
        <v>3</v>
      </c>
      <c r="AI4358" s="4">
        <v>66</v>
      </c>
      <c r="AJ4358" s="4">
        <v>3</v>
      </c>
      <c r="AK4358" s="4">
        <v>14</v>
      </c>
      <c r="AL4358" s="4">
        <v>4</v>
      </c>
      <c r="AM4358" s="4">
        <v>41</v>
      </c>
      <c r="AN4358" s="4">
        <v>0</v>
      </c>
      <c r="AO4358" s="4">
        <v>0</v>
      </c>
      <c r="AP4358" s="4">
        <v>3</v>
      </c>
      <c r="AQ4358" s="4">
        <v>15</v>
      </c>
      <c r="AR4358" s="3" t="s">
        <v>63</v>
      </c>
      <c r="AS4358" s="3" t="s">
        <v>63</v>
      </c>
      <c r="AT4358" s="3" t="s">
        <v>63</v>
      </c>
      <c r="AV4358" s="6" t="str">
        <f>HYPERLINK("http://mcgill.on.worldcat.org/oclc/44156157","Catalog Record")</f>
        <v>Catalog Record</v>
      </c>
      <c r="AW4358" s="6" t="str">
        <f>HYPERLINK("http://www.worldcat.org/oclc/44156157","WorldCat Record")</f>
        <v>WorldCat Record</v>
      </c>
      <c r="AX4358" s="3" t="s">
        <v>37737</v>
      </c>
      <c r="AY4358" s="3" t="s">
        <v>37738</v>
      </c>
      <c r="AZ4358" s="3" t="s">
        <v>37739</v>
      </c>
      <c r="BA4358" s="3" t="s">
        <v>37739</v>
      </c>
      <c r="BB4358" s="3" t="s">
        <v>37740</v>
      </c>
      <c r="BC4358" s="3" t="s">
        <v>82</v>
      </c>
      <c r="BD4358" s="3" t="s">
        <v>70</v>
      </c>
      <c r="BE4358" s="3" t="s">
        <v>37741</v>
      </c>
      <c r="BF4358" s="3" t="s">
        <v>37740</v>
      </c>
      <c r="BG4358" s="3" t="s">
        <v>37742</v>
      </c>
    </row>
    <row r="4359" spans="1:59" ht="60" x14ac:dyDescent="0.25">
      <c r="A4359" s="2" t="s">
        <v>59</v>
      </c>
      <c r="B4359" s="2" t="s">
        <v>60</v>
      </c>
      <c r="C4359" s="2" t="s">
        <v>37743</v>
      </c>
      <c r="D4359" s="2" t="s">
        <v>37744</v>
      </c>
      <c r="E4359" s="2" t="s">
        <v>37745</v>
      </c>
      <c r="G4359" s="3" t="s">
        <v>63</v>
      </c>
      <c r="I4359" s="3" t="s">
        <v>63</v>
      </c>
      <c r="J4359" s="3" t="s">
        <v>62</v>
      </c>
      <c r="K4359" s="3" t="s">
        <v>64</v>
      </c>
      <c r="L4359" s="2" t="s">
        <v>37662</v>
      </c>
      <c r="M4359" s="2" t="s">
        <v>37746</v>
      </c>
      <c r="N4359" s="3" t="s">
        <v>204</v>
      </c>
      <c r="O4359" s="2" t="s">
        <v>590</v>
      </c>
      <c r="P4359" s="3" t="s">
        <v>66</v>
      </c>
      <c r="R4359" s="3" t="s">
        <v>67</v>
      </c>
      <c r="S4359" s="4">
        <v>24</v>
      </c>
      <c r="T4359" s="4">
        <v>24</v>
      </c>
      <c r="U4359" s="5" t="s">
        <v>23035</v>
      </c>
      <c r="V4359" s="5" t="s">
        <v>23035</v>
      </c>
      <c r="W4359" s="5" t="s">
        <v>69</v>
      </c>
      <c r="X4359" s="5" t="s">
        <v>69</v>
      </c>
      <c r="Y4359" s="4">
        <v>46</v>
      </c>
      <c r="Z4359" s="4">
        <v>1</v>
      </c>
      <c r="AA4359" s="4">
        <v>65</v>
      </c>
      <c r="AB4359" s="4">
        <v>1</v>
      </c>
      <c r="AC4359" s="4">
        <v>5</v>
      </c>
      <c r="AD4359" s="4">
        <v>3</v>
      </c>
      <c r="AE4359" s="4">
        <v>117</v>
      </c>
      <c r="AF4359" s="4">
        <v>0</v>
      </c>
      <c r="AG4359" s="4">
        <v>2</v>
      </c>
      <c r="AH4359" s="4">
        <v>3</v>
      </c>
      <c r="AI4359" s="4">
        <v>100</v>
      </c>
      <c r="AJ4359" s="4">
        <v>0</v>
      </c>
      <c r="AK4359" s="4">
        <v>16</v>
      </c>
      <c r="AL4359" s="4">
        <v>2</v>
      </c>
      <c r="AM4359" s="4">
        <v>54</v>
      </c>
      <c r="AN4359" s="4">
        <v>0</v>
      </c>
      <c r="AO4359" s="4">
        <v>0</v>
      </c>
      <c r="AP4359" s="4">
        <v>0</v>
      </c>
      <c r="AQ4359" s="4">
        <v>24</v>
      </c>
      <c r="AR4359" s="3" t="s">
        <v>63</v>
      </c>
      <c r="AS4359" s="3" t="s">
        <v>63</v>
      </c>
      <c r="AT4359" s="3" t="s">
        <v>63</v>
      </c>
      <c r="AV4359" s="6" t="str">
        <f>HYPERLINK("http://mcgill.on.worldcat.org/oclc/34777481","Catalog Record")</f>
        <v>Catalog Record</v>
      </c>
      <c r="AW4359" s="6" t="str">
        <f>HYPERLINK("http://www.worldcat.org/oclc/34777481","WorldCat Record")</f>
        <v>WorldCat Record</v>
      </c>
      <c r="AX4359" s="3" t="s">
        <v>37747</v>
      </c>
      <c r="AY4359" s="3" t="s">
        <v>37748</v>
      </c>
      <c r="AZ4359" s="3" t="s">
        <v>37749</v>
      </c>
      <c r="BA4359" s="3" t="s">
        <v>37749</v>
      </c>
      <c r="BB4359" s="3" t="s">
        <v>37750</v>
      </c>
      <c r="BC4359" s="3" t="s">
        <v>82</v>
      </c>
      <c r="BD4359" s="3" t="s">
        <v>538</v>
      </c>
      <c r="BE4359" s="3" t="s">
        <v>37751</v>
      </c>
      <c r="BF4359" s="3" t="s">
        <v>37750</v>
      </c>
      <c r="BG4359" s="3" t="s">
        <v>37752</v>
      </c>
    </row>
    <row r="4360" spans="1:59" ht="60" x14ac:dyDescent="0.25">
      <c r="A4360" s="2" t="s">
        <v>59</v>
      </c>
      <c r="B4360" s="2" t="s">
        <v>60</v>
      </c>
      <c r="C4360" s="2" t="s">
        <v>37753</v>
      </c>
      <c r="D4360" s="2" t="s">
        <v>37754</v>
      </c>
      <c r="E4360" s="2" t="s">
        <v>37745</v>
      </c>
      <c r="G4360" s="3" t="s">
        <v>63</v>
      </c>
      <c r="I4360" s="3" t="s">
        <v>63</v>
      </c>
      <c r="J4360" s="3" t="s">
        <v>62</v>
      </c>
      <c r="K4360" s="3" t="s">
        <v>64</v>
      </c>
      <c r="L4360" s="2" t="s">
        <v>37662</v>
      </c>
      <c r="M4360" s="2" t="s">
        <v>37755</v>
      </c>
      <c r="N4360" s="3" t="s">
        <v>1113</v>
      </c>
      <c r="O4360" s="2" t="s">
        <v>37756</v>
      </c>
      <c r="P4360" s="3" t="s">
        <v>66</v>
      </c>
      <c r="R4360" s="3" t="s">
        <v>67</v>
      </c>
      <c r="S4360" s="4">
        <v>52</v>
      </c>
      <c r="T4360" s="4">
        <v>52</v>
      </c>
      <c r="U4360" s="5" t="s">
        <v>37757</v>
      </c>
      <c r="V4360" s="5" t="s">
        <v>37757</v>
      </c>
      <c r="W4360" s="5" t="s">
        <v>69</v>
      </c>
      <c r="X4360" s="5" t="s">
        <v>69</v>
      </c>
      <c r="Y4360" s="4">
        <v>135</v>
      </c>
      <c r="Z4360" s="4">
        <v>9</v>
      </c>
      <c r="AA4360" s="4">
        <v>65</v>
      </c>
      <c r="AB4360" s="4">
        <v>2</v>
      </c>
      <c r="AC4360" s="4">
        <v>5</v>
      </c>
      <c r="AD4360" s="4">
        <v>16</v>
      </c>
      <c r="AE4360" s="4">
        <v>117</v>
      </c>
      <c r="AF4360" s="4">
        <v>1</v>
      </c>
      <c r="AG4360" s="4">
        <v>2</v>
      </c>
      <c r="AH4360" s="4">
        <v>10</v>
      </c>
      <c r="AI4360" s="4">
        <v>100</v>
      </c>
      <c r="AJ4360" s="4">
        <v>2</v>
      </c>
      <c r="AK4360" s="4">
        <v>16</v>
      </c>
      <c r="AL4360" s="4">
        <v>9</v>
      </c>
      <c r="AM4360" s="4">
        <v>54</v>
      </c>
      <c r="AN4360" s="4">
        <v>0</v>
      </c>
      <c r="AO4360" s="4">
        <v>0</v>
      </c>
      <c r="AP4360" s="4">
        <v>4</v>
      </c>
      <c r="AQ4360" s="4">
        <v>24</v>
      </c>
      <c r="AR4360" s="3" t="s">
        <v>63</v>
      </c>
      <c r="AS4360" s="3" t="s">
        <v>63</v>
      </c>
      <c r="AT4360" s="3" t="s">
        <v>62</v>
      </c>
      <c r="AU4360" s="6" t="str">
        <f>HYPERLINK("http://catalog.hathitrust.org/Record/003083472","HathiTrust Record")</f>
        <v>HathiTrust Record</v>
      </c>
      <c r="AV4360" s="6" t="str">
        <f>HYPERLINK("http://mcgill.on.worldcat.org/oclc/36959797","Catalog Record")</f>
        <v>Catalog Record</v>
      </c>
      <c r="AW4360" s="6" t="str">
        <f>HYPERLINK("http://www.worldcat.org/oclc/36959797","WorldCat Record")</f>
        <v>WorldCat Record</v>
      </c>
      <c r="AX4360" s="3" t="s">
        <v>37747</v>
      </c>
      <c r="AY4360" s="3" t="s">
        <v>37758</v>
      </c>
      <c r="AZ4360" s="3" t="s">
        <v>37759</v>
      </c>
      <c r="BA4360" s="3" t="s">
        <v>37759</v>
      </c>
      <c r="BB4360" s="3" t="s">
        <v>37760</v>
      </c>
      <c r="BC4360" s="3" t="s">
        <v>82</v>
      </c>
      <c r="BD4360" s="3" t="s">
        <v>538</v>
      </c>
      <c r="BE4360" s="3" t="s">
        <v>37761</v>
      </c>
      <c r="BF4360" s="3" t="s">
        <v>37760</v>
      </c>
      <c r="BG4360" s="3" t="s">
        <v>37762</v>
      </c>
    </row>
    <row r="4361" spans="1:59" ht="60" x14ac:dyDescent="0.25">
      <c r="A4361" s="2" t="s">
        <v>59</v>
      </c>
      <c r="B4361" s="2" t="s">
        <v>60</v>
      </c>
      <c r="C4361" s="2" t="s">
        <v>37763</v>
      </c>
      <c r="D4361" s="2" t="s">
        <v>37764</v>
      </c>
      <c r="E4361" s="2" t="s">
        <v>37765</v>
      </c>
      <c r="G4361" s="3" t="s">
        <v>63</v>
      </c>
      <c r="I4361" s="3" t="s">
        <v>63</v>
      </c>
      <c r="J4361" s="3" t="s">
        <v>62</v>
      </c>
      <c r="K4361" s="3" t="s">
        <v>64</v>
      </c>
      <c r="L4361" s="2" t="s">
        <v>37662</v>
      </c>
      <c r="M4361" s="2" t="s">
        <v>37766</v>
      </c>
      <c r="N4361" s="3" t="s">
        <v>480</v>
      </c>
      <c r="O4361" s="2" t="s">
        <v>23323</v>
      </c>
      <c r="P4361" s="3" t="s">
        <v>66</v>
      </c>
      <c r="R4361" s="3" t="s">
        <v>67</v>
      </c>
      <c r="S4361" s="4">
        <v>93</v>
      </c>
      <c r="T4361" s="4">
        <v>93</v>
      </c>
      <c r="U4361" s="5" t="s">
        <v>23035</v>
      </c>
      <c r="V4361" s="5" t="s">
        <v>23035</v>
      </c>
      <c r="W4361" s="5" t="s">
        <v>69</v>
      </c>
      <c r="X4361" s="5" t="s">
        <v>69</v>
      </c>
      <c r="Y4361" s="4">
        <v>1413</v>
      </c>
      <c r="Z4361" s="4">
        <v>44</v>
      </c>
      <c r="AA4361" s="4">
        <v>62</v>
      </c>
      <c r="AB4361" s="4">
        <v>4</v>
      </c>
      <c r="AC4361" s="4">
        <v>6</v>
      </c>
      <c r="AD4361" s="4">
        <v>116</v>
      </c>
      <c r="AE4361" s="4">
        <v>130</v>
      </c>
      <c r="AF4361" s="4">
        <v>1</v>
      </c>
      <c r="AG4361" s="4">
        <v>2</v>
      </c>
      <c r="AH4361" s="4">
        <v>97</v>
      </c>
      <c r="AI4361" s="4">
        <v>106</v>
      </c>
      <c r="AJ4361" s="4">
        <v>13</v>
      </c>
      <c r="AK4361" s="4">
        <v>18</v>
      </c>
      <c r="AL4361" s="4">
        <v>53</v>
      </c>
      <c r="AM4361" s="4">
        <v>56</v>
      </c>
      <c r="AN4361" s="4">
        <v>0</v>
      </c>
      <c r="AO4361" s="4">
        <v>0</v>
      </c>
      <c r="AP4361" s="4">
        <v>23</v>
      </c>
      <c r="AQ4361" s="4">
        <v>31</v>
      </c>
      <c r="AR4361" s="3" t="s">
        <v>63</v>
      </c>
      <c r="AS4361" s="3" t="s">
        <v>63</v>
      </c>
      <c r="AT4361" s="3" t="s">
        <v>63</v>
      </c>
      <c r="AV4361" s="6" t="str">
        <f>HYPERLINK("http://mcgill.on.worldcat.org/oclc/22983257","Catalog Record")</f>
        <v>Catalog Record</v>
      </c>
      <c r="AW4361" s="6" t="str">
        <f>HYPERLINK("http://www.worldcat.org/oclc/22983257","WorldCat Record")</f>
        <v>WorldCat Record</v>
      </c>
      <c r="AX4361" s="3" t="s">
        <v>37767</v>
      </c>
      <c r="AY4361" s="3" t="s">
        <v>37768</v>
      </c>
      <c r="AZ4361" s="3" t="s">
        <v>37769</v>
      </c>
      <c r="BA4361" s="3" t="s">
        <v>37769</v>
      </c>
      <c r="BB4361" s="3" t="s">
        <v>37770</v>
      </c>
      <c r="BC4361" s="3" t="s">
        <v>82</v>
      </c>
      <c r="BD4361" s="3" t="s">
        <v>538</v>
      </c>
      <c r="BE4361" s="3" t="s">
        <v>37771</v>
      </c>
      <c r="BF4361" s="3" t="s">
        <v>37770</v>
      </c>
      <c r="BG4361" s="3" t="s">
        <v>37772</v>
      </c>
    </row>
    <row r="4362" spans="1:59" ht="60" x14ac:dyDescent="0.25">
      <c r="A4362" s="2" t="s">
        <v>59</v>
      </c>
      <c r="B4362" s="2" t="s">
        <v>60</v>
      </c>
      <c r="C4362" s="2" t="s">
        <v>37773</v>
      </c>
      <c r="D4362" s="2" t="s">
        <v>37774</v>
      </c>
      <c r="E4362" s="2" t="s">
        <v>37765</v>
      </c>
      <c r="G4362" s="3" t="s">
        <v>63</v>
      </c>
      <c r="I4362" s="3" t="s">
        <v>62</v>
      </c>
      <c r="J4362" s="3" t="s">
        <v>62</v>
      </c>
      <c r="K4362" s="3" t="s">
        <v>64</v>
      </c>
      <c r="L4362" s="2" t="s">
        <v>37662</v>
      </c>
      <c r="M4362" s="2" t="s">
        <v>37775</v>
      </c>
      <c r="N4362" s="3" t="s">
        <v>274</v>
      </c>
      <c r="O4362" s="2" t="s">
        <v>37776</v>
      </c>
      <c r="P4362" s="3" t="s">
        <v>66</v>
      </c>
      <c r="R4362" s="3" t="s">
        <v>67</v>
      </c>
      <c r="S4362" s="4">
        <v>29</v>
      </c>
      <c r="T4362" s="4">
        <v>67</v>
      </c>
      <c r="U4362" s="5" t="s">
        <v>37777</v>
      </c>
      <c r="V4362" s="5" t="s">
        <v>18556</v>
      </c>
      <c r="W4362" s="5" t="s">
        <v>69</v>
      </c>
      <c r="X4362" s="5" t="s">
        <v>69</v>
      </c>
      <c r="Y4362" s="4">
        <v>144</v>
      </c>
      <c r="Z4362" s="4">
        <v>4</v>
      </c>
      <c r="AA4362" s="4">
        <v>62</v>
      </c>
      <c r="AB4362" s="4">
        <v>1</v>
      </c>
      <c r="AC4362" s="4">
        <v>6</v>
      </c>
      <c r="AD4362" s="4">
        <v>16</v>
      </c>
      <c r="AE4362" s="4">
        <v>130</v>
      </c>
      <c r="AF4362" s="4">
        <v>0</v>
      </c>
      <c r="AG4362" s="4">
        <v>2</v>
      </c>
      <c r="AH4362" s="4">
        <v>15</v>
      </c>
      <c r="AI4362" s="4">
        <v>106</v>
      </c>
      <c r="AJ4362" s="4">
        <v>1</v>
      </c>
      <c r="AK4362" s="4">
        <v>18</v>
      </c>
      <c r="AL4362" s="4">
        <v>9</v>
      </c>
      <c r="AM4362" s="4">
        <v>56</v>
      </c>
      <c r="AN4362" s="4">
        <v>0</v>
      </c>
      <c r="AO4362" s="4">
        <v>0</v>
      </c>
      <c r="AP4362" s="4">
        <v>1</v>
      </c>
      <c r="AQ4362" s="4">
        <v>31</v>
      </c>
      <c r="AR4362" s="3" t="s">
        <v>63</v>
      </c>
      <c r="AS4362" s="3" t="s">
        <v>63</v>
      </c>
      <c r="AT4362" s="3" t="s">
        <v>63</v>
      </c>
      <c r="AV4362" s="6" t="str">
        <f>HYPERLINK("http://mcgill.on.worldcat.org/oclc/42995989","Catalog Record")</f>
        <v>Catalog Record</v>
      </c>
      <c r="AW4362" s="6" t="str">
        <f>HYPERLINK("http://www.worldcat.org/oclc/42995989","WorldCat Record")</f>
        <v>WorldCat Record</v>
      </c>
      <c r="AX4362" s="3" t="s">
        <v>37767</v>
      </c>
      <c r="AY4362" s="3" t="s">
        <v>37778</v>
      </c>
      <c r="AZ4362" s="3" t="s">
        <v>37779</v>
      </c>
      <c r="BA4362" s="3" t="s">
        <v>37779</v>
      </c>
      <c r="BB4362" s="3" t="s">
        <v>37780</v>
      </c>
      <c r="BC4362" s="3" t="s">
        <v>82</v>
      </c>
      <c r="BD4362" s="3" t="s">
        <v>1611</v>
      </c>
      <c r="BE4362" s="3" t="s">
        <v>37781</v>
      </c>
      <c r="BF4362" s="3" t="s">
        <v>37780</v>
      </c>
      <c r="BG4362" s="3" t="s">
        <v>37782</v>
      </c>
    </row>
    <row r="4363" spans="1:59" ht="60" x14ac:dyDescent="0.25">
      <c r="A4363" s="2" t="s">
        <v>59</v>
      </c>
      <c r="B4363" s="2" t="s">
        <v>60</v>
      </c>
      <c r="C4363" s="2" t="s">
        <v>37773</v>
      </c>
      <c r="D4363" s="2" t="s">
        <v>37774</v>
      </c>
      <c r="E4363" s="2" t="s">
        <v>37765</v>
      </c>
      <c r="G4363" s="3" t="s">
        <v>63</v>
      </c>
      <c r="I4363" s="3" t="s">
        <v>62</v>
      </c>
      <c r="J4363" s="3" t="s">
        <v>62</v>
      </c>
      <c r="K4363" s="3" t="s">
        <v>64</v>
      </c>
      <c r="L4363" s="2" t="s">
        <v>37662</v>
      </c>
      <c r="M4363" s="2" t="s">
        <v>37775</v>
      </c>
      <c r="N4363" s="3" t="s">
        <v>274</v>
      </c>
      <c r="O4363" s="2" t="s">
        <v>37776</v>
      </c>
      <c r="P4363" s="3" t="s">
        <v>66</v>
      </c>
      <c r="R4363" s="3" t="s">
        <v>67</v>
      </c>
      <c r="S4363" s="4">
        <v>38</v>
      </c>
      <c r="T4363" s="4">
        <v>67</v>
      </c>
      <c r="U4363" s="5" t="s">
        <v>18556</v>
      </c>
      <c r="V4363" s="5" t="s">
        <v>18556</v>
      </c>
      <c r="W4363" s="5" t="s">
        <v>69</v>
      </c>
      <c r="X4363" s="5" t="s">
        <v>69</v>
      </c>
      <c r="Y4363" s="4">
        <v>144</v>
      </c>
      <c r="Z4363" s="4">
        <v>4</v>
      </c>
      <c r="AA4363" s="4">
        <v>62</v>
      </c>
      <c r="AB4363" s="4">
        <v>1</v>
      </c>
      <c r="AC4363" s="4">
        <v>6</v>
      </c>
      <c r="AD4363" s="4">
        <v>16</v>
      </c>
      <c r="AE4363" s="4">
        <v>130</v>
      </c>
      <c r="AF4363" s="4">
        <v>0</v>
      </c>
      <c r="AG4363" s="4">
        <v>2</v>
      </c>
      <c r="AH4363" s="4">
        <v>15</v>
      </c>
      <c r="AI4363" s="4">
        <v>106</v>
      </c>
      <c r="AJ4363" s="4">
        <v>1</v>
      </c>
      <c r="AK4363" s="4">
        <v>18</v>
      </c>
      <c r="AL4363" s="4">
        <v>9</v>
      </c>
      <c r="AM4363" s="4">
        <v>56</v>
      </c>
      <c r="AN4363" s="4">
        <v>0</v>
      </c>
      <c r="AO4363" s="4">
        <v>0</v>
      </c>
      <c r="AP4363" s="4">
        <v>1</v>
      </c>
      <c r="AQ4363" s="4">
        <v>31</v>
      </c>
      <c r="AR4363" s="3" t="s">
        <v>63</v>
      </c>
      <c r="AS4363" s="3" t="s">
        <v>63</v>
      </c>
      <c r="AT4363" s="3" t="s">
        <v>63</v>
      </c>
      <c r="AV4363" s="6" t="str">
        <f>HYPERLINK("http://mcgill.on.worldcat.org/oclc/42995989","Catalog Record")</f>
        <v>Catalog Record</v>
      </c>
      <c r="AW4363" s="6" t="str">
        <f>HYPERLINK("http://www.worldcat.org/oclc/42995989","WorldCat Record")</f>
        <v>WorldCat Record</v>
      </c>
      <c r="AX4363" s="3" t="s">
        <v>37767</v>
      </c>
      <c r="AY4363" s="3" t="s">
        <v>37778</v>
      </c>
      <c r="AZ4363" s="3" t="s">
        <v>37779</v>
      </c>
      <c r="BA4363" s="3" t="s">
        <v>37779</v>
      </c>
      <c r="BB4363" s="3" t="s">
        <v>37783</v>
      </c>
      <c r="BC4363" s="3" t="s">
        <v>82</v>
      </c>
      <c r="BD4363" s="3" t="s">
        <v>538</v>
      </c>
      <c r="BE4363" s="3" t="s">
        <v>37781</v>
      </c>
      <c r="BF4363" s="3" t="s">
        <v>37783</v>
      </c>
      <c r="BG4363" s="3" t="s">
        <v>37784</v>
      </c>
    </row>
    <row r="4364" spans="1:59" ht="60" x14ac:dyDescent="0.25">
      <c r="A4364" s="2" t="s">
        <v>59</v>
      </c>
      <c r="B4364" s="2" t="s">
        <v>60</v>
      </c>
      <c r="C4364" s="2" t="s">
        <v>37785</v>
      </c>
      <c r="D4364" s="2" t="s">
        <v>37786</v>
      </c>
      <c r="E4364" s="2" t="s">
        <v>37787</v>
      </c>
      <c r="G4364" s="3" t="s">
        <v>63</v>
      </c>
      <c r="I4364" s="3" t="s">
        <v>63</v>
      </c>
      <c r="J4364" s="3" t="s">
        <v>63</v>
      </c>
      <c r="K4364" s="3" t="s">
        <v>64</v>
      </c>
      <c r="L4364" s="2" t="s">
        <v>37662</v>
      </c>
      <c r="M4364" s="2" t="s">
        <v>37788</v>
      </c>
      <c r="N4364" s="3" t="s">
        <v>668</v>
      </c>
      <c r="P4364" s="3" t="s">
        <v>548</v>
      </c>
      <c r="R4364" s="3" t="s">
        <v>67</v>
      </c>
      <c r="S4364" s="4">
        <v>53</v>
      </c>
      <c r="T4364" s="4">
        <v>53</v>
      </c>
      <c r="U4364" s="5" t="s">
        <v>907</v>
      </c>
      <c r="V4364" s="5" t="s">
        <v>907</v>
      </c>
      <c r="W4364" s="5" t="s">
        <v>69</v>
      </c>
      <c r="X4364" s="5" t="s">
        <v>69</v>
      </c>
      <c r="Y4364" s="4">
        <v>77</v>
      </c>
      <c r="Z4364" s="4">
        <v>16</v>
      </c>
      <c r="AA4364" s="4">
        <v>38</v>
      </c>
      <c r="AB4364" s="4">
        <v>1</v>
      </c>
      <c r="AC4364" s="4">
        <v>16</v>
      </c>
      <c r="AD4364" s="4">
        <v>25</v>
      </c>
      <c r="AE4364" s="4">
        <v>37</v>
      </c>
      <c r="AF4364" s="4">
        <v>0</v>
      </c>
      <c r="AG4364" s="4">
        <v>5</v>
      </c>
      <c r="AH4364" s="4">
        <v>18</v>
      </c>
      <c r="AI4364" s="4">
        <v>23</v>
      </c>
      <c r="AJ4364" s="4">
        <v>7</v>
      </c>
      <c r="AK4364" s="4">
        <v>13</v>
      </c>
      <c r="AL4364" s="4">
        <v>13</v>
      </c>
      <c r="AM4364" s="4">
        <v>16</v>
      </c>
      <c r="AN4364" s="4">
        <v>0</v>
      </c>
      <c r="AO4364" s="4">
        <v>0</v>
      </c>
      <c r="AP4364" s="4">
        <v>9</v>
      </c>
      <c r="AQ4364" s="4">
        <v>17</v>
      </c>
      <c r="AR4364" s="3" t="s">
        <v>63</v>
      </c>
      <c r="AS4364" s="3" t="s">
        <v>63</v>
      </c>
      <c r="AT4364" s="3" t="s">
        <v>63</v>
      </c>
      <c r="AV4364" s="6" t="str">
        <f>HYPERLINK("http://mcgill.on.worldcat.org/oclc/22355245","Catalog Record")</f>
        <v>Catalog Record</v>
      </c>
      <c r="AW4364" s="6" t="str">
        <f>HYPERLINK("http://www.worldcat.org/oclc/22355245","WorldCat Record")</f>
        <v>WorldCat Record</v>
      </c>
      <c r="AX4364" s="3" t="s">
        <v>37789</v>
      </c>
      <c r="AY4364" s="3" t="s">
        <v>37790</v>
      </c>
      <c r="AZ4364" s="3" t="s">
        <v>37791</v>
      </c>
      <c r="BA4364" s="3" t="s">
        <v>37791</v>
      </c>
      <c r="BB4364" s="3" t="s">
        <v>37792</v>
      </c>
      <c r="BC4364" s="3" t="s">
        <v>82</v>
      </c>
      <c r="BD4364" s="3" t="s">
        <v>70</v>
      </c>
      <c r="BE4364" s="3" t="s">
        <v>37793</v>
      </c>
      <c r="BF4364" s="3" t="s">
        <v>37792</v>
      </c>
      <c r="BG4364" s="3" t="s">
        <v>37794</v>
      </c>
    </row>
    <row r="4365" spans="1:59" ht="60" x14ac:dyDescent="0.25">
      <c r="A4365" s="2" t="s">
        <v>59</v>
      </c>
      <c r="B4365" s="2" t="s">
        <v>60</v>
      </c>
      <c r="C4365" s="2" t="s">
        <v>37795</v>
      </c>
      <c r="D4365" s="2" t="s">
        <v>37796</v>
      </c>
      <c r="E4365" s="2" t="s">
        <v>37797</v>
      </c>
      <c r="G4365" s="3" t="s">
        <v>63</v>
      </c>
      <c r="I4365" s="3" t="s">
        <v>63</v>
      </c>
      <c r="J4365" s="3" t="s">
        <v>62</v>
      </c>
      <c r="K4365" s="3" t="s">
        <v>64</v>
      </c>
      <c r="L4365" s="2" t="s">
        <v>37687</v>
      </c>
      <c r="M4365" s="2" t="s">
        <v>37798</v>
      </c>
      <c r="N4365" s="3" t="s">
        <v>455</v>
      </c>
      <c r="O4365" s="2" t="s">
        <v>1605</v>
      </c>
      <c r="P4365" s="3" t="s">
        <v>66</v>
      </c>
      <c r="R4365" s="3" t="s">
        <v>67</v>
      </c>
      <c r="S4365" s="4">
        <v>225</v>
      </c>
      <c r="T4365" s="4">
        <v>225</v>
      </c>
      <c r="U4365" s="5" t="s">
        <v>4338</v>
      </c>
      <c r="V4365" s="5" t="s">
        <v>4338</v>
      </c>
      <c r="W4365" s="5" t="s">
        <v>69</v>
      </c>
      <c r="X4365" s="5" t="s">
        <v>69</v>
      </c>
      <c r="Y4365" s="4">
        <v>1518</v>
      </c>
      <c r="Z4365" s="4">
        <v>62</v>
      </c>
      <c r="AA4365" s="4">
        <v>118</v>
      </c>
      <c r="AB4365" s="4">
        <v>4</v>
      </c>
      <c r="AC4365" s="4">
        <v>11</v>
      </c>
      <c r="AD4365" s="4">
        <v>104</v>
      </c>
      <c r="AE4365" s="4">
        <v>154</v>
      </c>
      <c r="AF4365" s="4">
        <v>1</v>
      </c>
      <c r="AG4365" s="4">
        <v>5</v>
      </c>
      <c r="AH4365" s="4">
        <v>83</v>
      </c>
      <c r="AI4365" s="4">
        <v>112</v>
      </c>
      <c r="AJ4365" s="4">
        <v>16</v>
      </c>
      <c r="AK4365" s="4">
        <v>24</v>
      </c>
      <c r="AL4365" s="4">
        <v>42</v>
      </c>
      <c r="AM4365" s="4">
        <v>61</v>
      </c>
      <c r="AN4365" s="4">
        <v>0</v>
      </c>
      <c r="AO4365" s="4">
        <v>5</v>
      </c>
      <c r="AP4365" s="4">
        <v>28</v>
      </c>
      <c r="AQ4365" s="4">
        <v>47</v>
      </c>
      <c r="AR4365" s="3" t="s">
        <v>63</v>
      </c>
      <c r="AS4365" s="3" t="s">
        <v>63</v>
      </c>
      <c r="AT4365" s="3" t="s">
        <v>62</v>
      </c>
      <c r="AU4365" s="6" t="str">
        <f>HYPERLINK("http://catalog.hathitrust.org/Record/000781521","HathiTrust Record")</f>
        <v>HathiTrust Record</v>
      </c>
      <c r="AV4365" s="6" t="str">
        <f>HYPERLINK("http://mcgill.on.worldcat.org/oclc/10072333","Catalog Record")</f>
        <v>Catalog Record</v>
      </c>
      <c r="AW4365" s="6" t="str">
        <f>HYPERLINK("http://www.worldcat.org/oclc/10072333","WorldCat Record")</f>
        <v>WorldCat Record</v>
      </c>
      <c r="AX4365" s="3" t="s">
        <v>37799</v>
      </c>
      <c r="AY4365" s="3" t="s">
        <v>37800</v>
      </c>
      <c r="AZ4365" s="3" t="s">
        <v>37801</v>
      </c>
      <c r="BA4365" s="3" t="s">
        <v>37801</v>
      </c>
      <c r="BB4365" s="3" t="s">
        <v>37802</v>
      </c>
      <c r="BC4365" s="3" t="s">
        <v>82</v>
      </c>
      <c r="BD4365" s="3" t="s">
        <v>70</v>
      </c>
      <c r="BE4365" s="3" t="s">
        <v>37803</v>
      </c>
      <c r="BF4365" s="3" t="s">
        <v>37802</v>
      </c>
      <c r="BG4365" s="3" t="s">
        <v>37804</v>
      </c>
    </row>
    <row r="4366" spans="1:59" ht="60" x14ac:dyDescent="0.25">
      <c r="A4366" s="2" t="s">
        <v>59</v>
      </c>
      <c r="B4366" s="2" t="s">
        <v>60</v>
      </c>
      <c r="C4366" s="2" t="s">
        <v>37805</v>
      </c>
      <c r="D4366" s="2" t="s">
        <v>37806</v>
      </c>
      <c r="E4366" s="2" t="s">
        <v>37797</v>
      </c>
      <c r="G4366" s="3" t="s">
        <v>63</v>
      </c>
      <c r="I4366" s="3" t="s">
        <v>62</v>
      </c>
      <c r="J4366" s="3" t="s">
        <v>62</v>
      </c>
      <c r="K4366" s="3" t="s">
        <v>64</v>
      </c>
      <c r="L4366" s="2" t="s">
        <v>37662</v>
      </c>
      <c r="M4366" s="2" t="s">
        <v>37807</v>
      </c>
      <c r="N4366" s="3" t="s">
        <v>693</v>
      </c>
      <c r="O4366" s="2" t="s">
        <v>590</v>
      </c>
      <c r="P4366" s="3" t="s">
        <v>66</v>
      </c>
      <c r="R4366" s="3" t="s">
        <v>67</v>
      </c>
      <c r="S4366" s="4">
        <v>19</v>
      </c>
      <c r="T4366" s="4">
        <v>207</v>
      </c>
      <c r="U4366" s="5" t="s">
        <v>27489</v>
      </c>
      <c r="V4366" s="5" t="s">
        <v>15943</v>
      </c>
      <c r="W4366" s="5" t="s">
        <v>69</v>
      </c>
      <c r="X4366" s="5" t="s">
        <v>69</v>
      </c>
      <c r="Y4366" s="4">
        <v>444</v>
      </c>
      <c r="Z4366" s="4">
        <v>13</v>
      </c>
      <c r="AA4366" s="4">
        <v>118</v>
      </c>
      <c r="AB4366" s="4">
        <v>2</v>
      </c>
      <c r="AC4366" s="4">
        <v>11</v>
      </c>
      <c r="AD4366" s="4">
        <v>35</v>
      </c>
      <c r="AE4366" s="4">
        <v>154</v>
      </c>
      <c r="AF4366" s="4">
        <v>0</v>
      </c>
      <c r="AG4366" s="4">
        <v>5</v>
      </c>
      <c r="AH4366" s="4">
        <v>30</v>
      </c>
      <c r="AI4366" s="4">
        <v>112</v>
      </c>
      <c r="AJ4366" s="4">
        <v>1</v>
      </c>
      <c r="AK4366" s="4">
        <v>24</v>
      </c>
      <c r="AL4366" s="4">
        <v>18</v>
      </c>
      <c r="AM4366" s="4">
        <v>61</v>
      </c>
      <c r="AN4366" s="4">
        <v>0</v>
      </c>
      <c r="AO4366" s="4">
        <v>5</v>
      </c>
      <c r="AP4366" s="4">
        <v>4</v>
      </c>
      <c r="AQ4366" s="4">
        <v>47</v>
      </c>
      <c r="AR4366" s="3" t="s">
        <v>63</v>
      </c>
      <c r="AS4366" s="3" t="s">
        <v>63</v>
      </c>
      <c r="AT4366" s="3" t="s">
        <v>63</v>
      </c>
      <c r="AV4366" s="6" t="str">
        <f>HYPERLINK("http://mcgill.on.worldcat.org/oclc/55128287","Catalog Record")</f>
        <v>Catalog Record</v>
      </c>
      <c r="AW4366" s="6" t="str">
        <f>HYPERLINK("http://www.worldcat.org/oclc/55128287","WorldCat Record")</f>
        <v>WorldCat Record</v>
      </c>
      <c r="AX4366" s="3" t="s">
        <v>37799</v>
      </c>
      <c r="AY4366" s="3" t="s">
        <v>37808</v>
      </c>
      <c r="AZ4366" s="3" t="s">
        <v>37809</v>
      </c>
      <c r="BA4366" s="3" t="s">
        <v>37809</v>
      </c>
      <c r="BB4366" s="3" t="s">
        <v>37810</v>
      </c>
      <c r="BC4366" s="3" t="s">
        <v>82</v>
      </c>
      <c r="BD4366" s="3" t="s">
        <v>70</v>
      </c>
      <c r="BE4366" s="3" t="s">
        <v>37811</v>
      </c>
      <c r="BF4366" s="3" t="s">
        <v>37810</v>
      </c>
      <c r="BG4366" s="3" t="s">
        <v>37812</v>
      </c>
    </row>
    <row r="4367" spans="1:59" ht="60" x14ac:dyDescent="0.25">
      <c r="A4367" s="2" t="s">
        <v>59</v>
      </c>
      <c r="B4367" s="2" t="s">
        <v>60</v>
      </c>
      <c r="C4367" s="2" t="s">
        <v>37805</v>
      </c>
      <c r="D4367" s="2" t="s">
        <v>37806</v>
      </c>
      <c r="E4367" s="2" t="s">
        <v>37797</v>
      </c>
      <c r="G4367" s="3" t="s">
        <v>63</v>
      </c>
      <c r="I4367" s="3" t="s">
        <v>62</v>
      </c>
      <c r="J4367" s="3" t="s">
        <v>62</v>
      </c>
      <c r="K4367" s="3" t="s">
        <v>64</v>
      </c>
      <c r="L4367" s="2" t="s">
        <v>37662</v>
      </c>
      <c r="M4367" s="2" t="s">
        <v>37807</v>
      </c>
      <c r="N4367" s="3" t="s">
        <v>693</v>
      </c>
      <c r="O4367" s="2" t="s">
        <v>590</v>
      </c>
      <c r="P4367" s="3" t="s">
        <v>66</v>
      </c>
      <c r="R4367" s="3" t="s">
        <v>67</v>
      </c>
      <c r="S4367" s="4">
        <v>50</v>
      </c>
      <c r="T4367" s="4">
        <v>207</v>
      </c>
      <c r="U4367" s="5" t="s">
        <v>22735</v>
      </c>
      <c r="V4367" s="5" t="s">
        <v>15943</v>
      </c>
      <c r="W4367" s="5" t="s">
        <v>69</v>
      </c>
      <c r="X4367" s="5" t="s">
        <v>69</v>
      </c>
      <c r="Y4367" s="4">
        <v>444</v>
      </c>
      <c r="Z4367" s="4">
        <v>13</v>
      </c>
      <c r="AA4367" s="4">
        <v>118</v>
      </c>
      <c r="AB4367" s="4">
        <v>2</v>
      </c>
      <c r="AC4367" s="4">
        <v>11</v>
      </c>
      <c r="AD4367" s="4">
        <v>35</v>
      </c>
      <c r="AE4367" s="4">
        <v>154</v>
      </c>
      <c r="AF4367" s="4">
        <v>0</v>
      </c>
      <c r="AG4367" s="4">
        <v>5</v>
      </c>
      <c r="AH4367" s="4">
        <v>30</v>
      </c>
      <c r="AI4367" s="4">
        <v>112</v>
      </c>
      <c r="AJ4367" s="4">
        <v>1</v>
      </c>
      <c r="AK4367" s="4">
        <v>24</v>
      </c>
      <c r="AL4367" s="4">
        <v>18</v>
      </c>
      <c r="AM4367" s="4">
        <v>61</v>
      </c>
      <c r="AN4367" s="4">
        <v>0</v>
      </c>
      <c r="AO4367" s="4">
        <v>5</v>
      </c>
      <c r="AP4367" s="4">
        <v>4</v>
      </c>
      <c r="AQ4367" s="4">
        <v>47</v>
      </c>
      <c r="AR4367" s="3" t="s">
        <v>63</v>
      </c>
      <c r="AS4367" s="3" t="s">
        <v>63</v>
      </c>
      <c r="AT4367" s="3" t="s">
        <v>63</v>
      </c>
      <c r="AV4367" s="6" t="str">
        <f>HYPERLINK("http://mcgill.on.worldcat.org/oclc/55128287","Catalog Record")</f>
        <v>Catalog Record</v>
      </c>
      <c r="AW4367" s="6" t="str">
        <f>HYPERLINK("http://www.worldcat.org/oclc/55128287","WorldCat Record")</f>
        <v>WorldCat Record</v>
      </c>
      <c r="AX4367" s="3" t="s">
        <v>37799</v>
      </c>
      <c r="AY4367" s="3" t="s">
        <v>37808</v>
      </c>
      <c r="AZ4367" s="3" t="s">
        <v>37809</v>
      </c>
      <c r="BA4367" s="3" t="s">
        <v>37809</v>
      </c>
      <c r="BB4367" s="3" t="s">
        <v>37813</v>
      </c>
      <c r="BC4367" s="3" t="s">
        <v>82</v>
      </c>
      <c r="BD4367" s="3" t="s">
        <v>538</v>
      </c>
      <c r="BE4367" s="3" t="s">
        <v>37811</v>
      </c>
      <c r="BF4367" s="3" t="s">
        <v>37813</v>
      </c>
      <c r="BG4367" s="3" t="s">
        <v>37814</v>
      </c>
    </row>
    <row r="4368" spans="1:59" ht="60" x14ac:dyDescent="0.25">
      <c r="A4368" s="2" t="s">
        <v>59</v>
      </c>
      <c r="B4368" s="2" t="s">
        <v>60</v>
      </c>
      <c r="C4368" s="2" t="s">
        <v>37805</v>
      </c>
      <c r="D4368" s="2" t="s">
        <v>37806</v>
      </c>
      <c r="E4368" s="2" t="s">
        <v>37797</v>
      </c>
      <c r="G4368" s="3" t="s">
        <v>63</v>
      </c>
      <c r="I4368" s="3" t="s">
        <v>62</v>
      </c>
      <c r="J4368" s="3" t="s">
        <v>62</v>
      </c>
      <c r="K4368" s="3" t="s">
        <v>64</v>
      </c>
      <c r="L4368" s="2" t="s">
        <v>37662</v>
      </c>
      <c r="M4368" s="2" t="s">
        <v>37807</v>
      </c>
      <c r="N4368" s="3" t="s">
        <v>693</v>
      </c>
      <c r="O4368" s="2" t="s">
        <v>590</v>
      </c>
      <c r="P4368" s="3" t="s">
        <v>66</v>
      </c>
      <c r="R4368" s="3" t="s">
        <v>67</v>
      </c>
      <c r="S4368" s="4">
        <v>25</v>
      </c>
      <c r="T4368" s="4">
        <v>207</v>
      </c>
      <c r="U4368" s="5" t="s">
        <v>37815</v>
      </c>
      <c r="V4368" s="5" t="s">
        <v>15943</v>
      </c>
      <c r="W4368" s="5" t="s">
        <v>69</v>
      </c>
      <c r="X4368" s="5" t="s">
        <v>69</v>
      </c>
      <c r="Y4368" s="4">
        <v>444</v>
      </c>
      <c r="Z4368" s="4">
        <v>13</v>
      </c>
      <c r="AA4368" s="4">
        <v>118</v>
      </c>
      <c r="AB4368" s="4">
        <v>2</v>
      </c>
      <c r="AC4368" s="4">
        <v>11</v>
      </c>
      <c r="AD4368" s="4">
        <v>35</v>
      </c>
      <c r="AE4368" s="4">
        <v>154</v>
      </c>
      <c r="AF4368" s="4">
        <v>0</v>
      </c>
      <c r="AG4368" s="4">
        <v>5</v>
      </c>
      <c r="AH4368" s="4">
        <v>30</v>
      </c>
      <c r="AI4368" s="4">
        <v>112</v>
      </c>
      <c r="AJ4368" s="4">
        <v>1</v>
      </c>
      <c r="AK4368" s="4">
        <v>24</v>
      </c>
      <c r="AL4368" s="4">
        <v>18</v>
      </c>
      <c r="AM4368" s="4">
        <v>61</v>
      </c>
      <c r="AN4368" s="4">
        <v>0</v>
      </c>
      <c r="AO4368" s="4">
        <v>5</v>
      </c>
      <c r="AP4368" s="4">
        <v>4</v>
      </c>
      <c r="AQ4368" s="4">
        <v>47</v>
      </c>
      <c r="AR4368" s="3" t="s">
        <v>63</v>
      </c>
      <c r="AS4368" s="3" t="s">
        <v>63</v>
      </c>
      <c r="AT4368" s="3" t="s">
        <v>63</v>
      </c>
      <c r="AV4368" s="6" t="str">
        <f>HYPERLINK("http://mcgill.on.worldcat.org/oclc/55128287","Catalog Record")</f>
        <v>Catalog Record</v>
      </c>
      <c r="AW4368" s="6" t="str">
        <f>HYPERLINK("http://www.worldcat.org/oclc/55128287","WorldCat Record")</f>
        <v>WorldCat Record</v>
      </c>
      <c r="AX4368" s="3" t="s">
        <v>37799</v>
      </c>
      <c r="AY4368" s="3" t="s">
        <v>37808</v>
      </c>
      <c r="AZ4368" s="3" t="s">
        <v>37809</v>
      </c>
      <c r="BA4368" s="3" t="s">
        <v>37809</v>
      </c>
      <c r="BB4368" s="3" t="s">
        <v>37816</v>
      </c>
      <c r="BC4368" s="3" t="s">
        <v>82</v>
      </c>
      <c r="BD4368" s="3" t="s">
        <v>538</v>
      </c>
      <c r="BE4368" s="3" t="s">
        <v>37811</v>
      </c>
      <c r="BF4368" s="3" t="s">
        <v>37816</v>
      </c>
      <c r="BG4368" s="3" t="s">
        <v>37817</v>
      </c>
    </row>
    <row r="4369" spans="1:59" ht="60" x14ac:dyDescent="0.25">
      <c r="A4369" s="2" t="s">
        <v>59</v>
      </c>
      <c r="B4369" s="2" t="s">
        <v>60</v>
      </c>
      <c r="C4369" s="2" t="s">
        <v>37805</v>
      </c>
      <c r="D4369" s="2" t="s">
        <v>37806</v>
      </c>
      <c r="E4369" s="2" t="s">
        <v>37797</v>
      </c>
      <c r="G4369" s="3" t="s">
        <v>63</v>
      </c>
      <c r="I4369" s="3" t="s">
        <v>62</v>
      </c>
      <c r="J4369" s="3" t="s">
        <v>62</v>
      </c>
      <c r="K4369" s="3" t="s">
        <v>64</v>
      </c>
      <c r="L4369" s="2" t="s">
        <v>37662</v>
      </c>
      <c r="M4369" s="2" t="s">
        <v>37807</v>
      </c>
      <c r="N4369" s="3" t="s">
        <v>693</v>
      </c>
      <c r="O4369" s="2" t="s">
        <v>590</v>
      </c>
      <c r="P4369" s="3" t="s">
        <v>66</v>
      </c>
      <c r="R4369" s="3" t="s">
        <v>67</v>
      </c>
      <c r="S4369" s="4">
        <v>45</v>
      </c>
      <c r="T4369" s="4">
        <v>207</v>
      </c>
      <c r="U4369" s="5" t="s">
        <v>12377</v>
      </c>
      <c r="V4369" s="5" t="s">
        <v>15943</v>
      </c>
      <c r="W4369" s="5" t="s">
        <v>69</v>
      </c>
      <c r="X4369" s="5" t="s">
        <v>69</v>
      </c>
      <c r="Y4369" s="4">
        <v>444</v>
      </c>
      <c r="Z4369" s="4">
        <v>13</v>
      </c>
      <c r="AA4369" s="4">
        <v>118</v>
      </c>
      <c r="AB4369" s="4">
        <v>2</v>
      </c>
      <c r="AC4369" s="4">
        <v>11</v>
      </c>
      <c r="AD4369" s="4">
        <v>35</v>
      </c>
      <c r="AE4369" s="4">
        <v>154</v>
      </c>
      <c r="AF4369" s="4">
        <v>0</v>
      </c>
      <c r="AG4369" s="4">
        <v>5</v>
      </c>
      <c r="AH4369" s="4">
        <v>30</v>
      </c>
      <c r="AI4369" s="4">
        <v>112</v>
      </c>
      <c r="AJ4369" s="4">
        <v>1</v>
      </c>
      <c r="AK4369" s="4">
        <v>24</v>
      </c>
      <c r="AL4369" s="4">
        <v>18</v>
      </c>
      <c r="AM4369" s="4">
        <v>61</v>
      </c>
      <c r="AN4369" s="4">
        <v>0</v>
      </c>
      <c r="AO4369" s="4">
        <v>5</v>
      </c>
      <c r="AP4369" s="4">
        <v>4</v>
      </c>
      <c r="AQ4369" s="4">
        <v>47</v>
      </c>
      <c r="AR4369" s="3" t="s">
        <v>63</v>
      </c>
      <c r="AS4369" s="3" t="s">
        <v>63</v>
      </c>
      <c r="AT4369" s="3" t="s">
        <v>63</v>
      </c>
      <c r="AV4369" s="6" t="str">
        <f>HYPERLINK("http://mcgill.on.worldcat.org/oclc/55128287","Catalog Record")</f>
        <v>Catalog Record</v>
      </c>
      <c r="AW4369" s="6" t="str">
        <f>HYPERLINK("http://www.worldcat.org/oclc/55128287","WorldCat Record")</f>
        <v>WorldCat Record</v>
      </c>
      <c r="AX4369" s="3" t="s">
        <v>37799</v>
      </c>
      <c r="AY4369" s="3" t="s">
        <v>37808</v>
      </c>
      <c r="AZ4369" s="3" t="s">
        <v>37809</v>
      </c>
      <c r="BA4369" s="3" t="s">
        <v>37809</v>
      </c>
      <c r="BB4369" s="3" t="s">
        <v>37818</v>
      </c>
      <c r="BC4369" s="3" t="s">
        <v>82</v>
      </c>
      <c r="BD4369" s="3" t="s">
        <v>538</v>
      </c>
      <c r="BE4369" s="3" t="s">
        <v>37811</v>
      </c>
      <c r="BF4369" s="3" t="s">
        <v>37818</v>
      </c>
      <c r="BG4369" s="3" t="s">
        <v>37819</v>
      </c>
    </row>
    <row r="4370" spans="1:59" ht="60" x14ac:dyDescent="0.25">
      <c r="A4370" s="2" t="s">
        <v>59</v>
      </c>
      <c r="B4370" s="2" t="s">
        <v>60</v>
      </c>
      <c r="C4370" s="2" t="s">
        <v>37805</v>
      </c>
      <c r="D4370" s="2" t="s">
        <v>37806</v>
      </c>
      <c r="E4370" s="2" t="s">
        <v>37797</v>
      </c>
      <c r="G4370" s="3" t="s">
        <v>63</v>
      </c>
      <c r="I4370" s="3" t="s">
        <v>62</v>
      </c>
      <c r="J4370" s="3" t="s">
        <v>62</v>
      </c>
      <c r="K4370" s="3" t="s">
        <v>64</v>
      </c>
      <c r="L4370" s="2" t="s">
        <v>37662</v>
      </c>
      <c r="M4370" s="2" t="s">
        <v>37807</v>
      </c>
      <c r="N4370" s="3" t="s">
        <v>693</v>
      </c>
      <c r="O4370" s="2" t="s">
        <v>590</v>
      </c>
      <c r="P4370" s="3" t="s">
        <v>66</v>
      </c>
      <c r="R4370" s="3" t="s">
        <v>67</v>
      </c>
      <c r="S4370" s="4">
        <v>68</v>
      </c>
      <c r="T4370" s="4">
        <v>207</v>
      </c>
      <c r="U4370" s="5" t="s">
        <v>15943</v>
      </c>
      <c r="V4370" s="5" t="s">
        <v>15943</v>
      </c>
      <c r="W4370" s="5" t="s">
        <v>69</v>
      </c>
      <c r="X4370" s="5" t="s">
        <v>69</v>
      </c>
      <c r="Y4370" s="4">
        <v>444</v>
      </c>
      <c r="Z4370" s="4">
        <v>13</v>
      </c>
      <c r="AA4370" s="4">
        <v>118</v>
      </c>
      <c r="AB4370" s="4">
        <v>2</v>
      </c>
      <c r="AC4370" s="4">
        <v>11</v>
      </c>
      <c r="AD4370" s="4">
        <v>35</v>
      </c>
      <c r="AE4370" s="4">
        <v>154</v>
      </c>
      <c r="AF4370" s="4">
        <v>0</v>
      </c>
      <c r="AG4370" s="4">
        <v>5</v>
      </c>
      <c r="AH4370" s="4">
        <v>30</v>
      </c>
      <c r="AI4370" s="4">
        <v>112</v>
      </c>
      <c r="AJ4370" s="4">
        <v>1</v>
      </c>
      <c r="AK4370" s="4">
        <v>24</v>
      </c>
      <c r="AL4370" s="4">
        <v>18</v>
      </c>
      <c r="AM4370" s="4">
        <v>61</v>
      </c>
      <c r="AN4370" s="4">
        <v>0</v>
      </c>
      <c r="AO4370" s="4">
        <v>5</v>
      </c>
      <c r="AP4370" s="4">
        <v>4</v>
      </c>
      <c r="AQ4370" s="4">
        <v>47</v>
      </c>
      <c r="AR4370" s="3" t="s">
        <v>63</v>
      </c>
      <c r="AS4370" s="3" t="s">
        <v>63</v>
      </c>
      <c r="AT4370" s="3" t="s">
        <v>63</v>
      </c>
      <c r="AV4370" s="6" t="str">
        <f>HYPERLINK("http://mcgill.on.worldcat.org/oclc/55128287","Catalog Record")</f>
        <v>Catalog Record</v>
      </c>
      <c r="AW4370" s="6" t="str">
        <f>HYPERLINK("http://www.worldcat.org/oclc/55128287","WorldCat Record")</f>
        <v>WorldCat Record</v>
      </c>
      <c r="AX4370" s="3" t="s">
        <v>37799</v>
      </c>
      <c r="AY4370" s="3" t="s">
        <v>37808</v>
      </c>
      <c r="AZ4370" s="3" t="s">
        <v>37809</v>
      </c>
      <c r="BA4370" s="3" t="s">
        <v>37809</v>
      </c>
      <c r="BB4370" s="3" t="s">
        <v>37820</v>
      </c>
      <c r="BC4370" s="3" t="s">
        <v>82</v>
      </c>
      <c r="BD4370" s="3" t="s">
        <v>70</v>
      </c>
      <c r="BE4370" s="3" t="s">
        <v>37811</v>
      </c>
      <c r="BF4370" s="3" t="s">
        <v>37820</v>
      </c>
      <c r="BG4370" s="3" t="s">
        <v>37821</v>
      </c>
    </row>
    <row r="4371" spans="1:59" ht="75" x14ac:dyDescent="0.25">
      <c r="A4371" s="2" t="s">
        <v>59</v>
      </c>
      <c r="B4371" s="2" t="s">
        <v>60</v>
      </c>
      <c r="C4371" s="2" t="s">
        <v>37822</v>
      </c>
      <c r="D4371" s="2" t="s">
        <v>37823</v>
      </c>
      <c r="E4371" s="2" t="s">
        <v>37824</v>
      </c>
      <c r="G4371" s="3" t="s">
        <v>63</v>
      </c>
      <c r="I4371" s="3" t="s">
        <v>63</v>
      </c>
      <c r="J4371" s="3" t="s">
        <v>63</v>
      </c>
      <c r="K4371" s="3" t="s">
        <v>64</v>
      </c>
      <c r="L4371" s="2" t="s">
        <v>37662</v>
      </c>
      <c r="M4371" s="2" t="s">
        <v>37825</v>
      </c>
      <c r="N4371" s="3" t="s">
        <v>161</v>
      </c>
      <c r="O4371" s="2" t="s">
        <v>37826</v>
      </c>
      <c r="P4371" s="3" t="s">
        <v>548</v>
      </c>
      <c r="Q4371" s="2" t="s">
        <v>37827</v>
      </c>
      <c r="R4371" s="3" t="s">
        <v>67</v>
      </c>
      <c r="S4371" s="4">
        <v>23</v>
      </c>
      <c r="T4371" s="4">
        <v>23</v>
      </c>
      <c r="U4371" s="5" t="s">
        <v>5995</v>
      </c>
      <c r="V4371" s="5" t="s">
        <v>5995</v>
      </c>
      <c r="W4371" s="5" t="s">
        <v>69</v>
      </c>
      <c r="X4371" s="5" t="s">
        <v>69</v>
      </c>
      <c r="Y4371" s="4">
        <v>68</v>
      </c>
      <c r="Z4371" s="4">
        <v>5</v>
      </c>
      <c r="AA4371" s="4">
        <v>43</v>
      </c>
      <c r="AB4371" s="4">
        <v>2</v>
      </c>
      <c r="AC4371" s="4">
        <v>19</v>
      </c>
      <c r="AD4371" s="4">
        <v>3</v>
      </c>
      <c r="AE4371" s="4">
        <v>42</v>
      </c>
      <c r="AF4371" s="4">
        <v>0</v>
      </c>
      <c r="AG4371" s="4">
        <v>6</v>
      </c>
      <c r="AH4371" s="4">
        <v>2</v>
      </c>
      <c r="AI4371" s="4">
        <v>26</v>
      </c>
      <c r="AJ4371" s="4">
        <v>1</v>
      </c>
      <c r="AK4371" s="4">
        <v>14</v>
      </c>
      <c r="AL4371" s="4">
        <v>2</v>
      </c>
      <c r="AM4371" s="4">
        <v>16</v>
      </c>
      <c r="AN4371" s="4">
        <v>0</v>
      </c>
      <c r="AO4371" s="4">
        <v>3</v>
      </c>
      <c r="AP4371" s="4">
        <v>1</v>
      </c>
      <c r="AQ4371" s="4">
        <v>20</v>
      </c>
      <c r="AR4371" s="3" t="s">
        <v>63</v>
      </c>
      <c r="AS4371" s="3" t="s">
        <v>63</v>
      </c>
      <c r="AT4371" s="3" t="s">
        <v>63</v>
      </c>
      <c r="AV4371" s="6" t="str">
        <f>HYPERLINK("http://mcgill.on.worldcat.org/oclc/31945594","Catalog Record")</f>
        <v>Catalog Record</v>
      </c>
      <c r="AW4371" s="6" t="str">
        <f>HYPERLINK("http://www.worldcat.org/oclc/31945594","WorldCat Record")</f>
        <v>WorldCat Record</v>
      </c>
      <c r="AX4371" s="3" t="s">
        <v>37828</v>
      </c>
      <c r="AY4371" s="3" t="s">
        <v>37829</v>
      </c>
      <c r="AZ4371" s="3" t="s">
        <v>37830</v>
      </c>
      <c r="BA4371" s="3" t="s">
        <v>37830</v>
      </c>
      <c r="BB4371" s="3" t="s">
        <v>37831</v>
      </c>
      <c r="BC4371" s="3" t="s">
        <v>82</v>
      </c>
      <c r="BD4371" s="3" t="s">
        <v>70</v>
      </c>
      <c r="BE4371" s="3" t="s">
        <v>37832</v>
      </c>
      <c r="BF4371" s="3" t="s">
        <v>37831</v>
      </c>
      <c r="BG4371" s="3" t="s">
        <v>37833</v>
      </c>
    </row>
    <row r="4372" spans="1:59" ht="60" x14ac:dyDescent="0.25">
      <c r="A4372" s="2" t="s">
        <v>59</v>
      </c>
      <c r="B4372" s="2" t="s">
        <v>60</v>
      </c>
      <c r="C4372" s="2" t="s">
        <v>37834</v>
      </c>
      <c r="D4372" s="2" t="s">
        <v>37835</v>
      </c>
      <c r="E4372" s="2" t="s">
        <v>37661</v>
      </c>
      <c r="G4372" s="3" t="s">
        <v>63</v>
      </c>
      <c r="I4372" s="3" t="s">
        <v>63</v>
      </c>
      <c r="J4372" s="3" t="s">
        <v>62</v>
      </c>
      <c r="K4372" s="3" t="s">
        <v>64</v>
      </c>
      <c r="L4372" s="2" t="s">
        <v>37662</v>
      </c>
      <c r="M4372" s="2" t="s">
        <v>37775</v>
      </c>
      <c r="N4372" s="3" t="s">
        <v>274</v>
      </c>
      <c r="P4372" s="3" t="s">
        <v>66</v>
      </c>
      <c r="R4372" s="3" t="s">
        <v>67</v>
      </c>
      <c r="S4372" s="4">
        <v>52</v>
      </c>
      <c r="T4372" s="4">
        <v>52</v>
      </c>
      <c r="U4372" s="5" t="s">
        <v>3802</v>
      </c>
      <c r="V4372" s="5" t="s">
        <v>3802</v>
      </c>
      <c r="W4372" s="5" t="s">
        <v>69</v>
      </c>
      <c r="X4372" s="5" t="s">
        <v>69</v>
      </c>
      <c r="Y4372" s="4">
        <v>160</v>
      </c>
      <c r="Z4372" s="4">
        <v>5</v>
      </c>
      <c r="AA4372" s="4">
        <v>46</v>
      </c>
      <c r="AB4372" s="4">
        <v>2</v>
      </c>
      <c r="AC4372" s="4">
        <v>4</v>
      </c>
      <c r="AD4372" s="4">
        <v>10</v>
      </c>
      <c r="AE4372" s="4">
        <v>105</v>
      </c>
      <c r="AF4372" s="4">
        <v>0</v>
      </c>
      <c r="AG4372" s="4">
        <v>0</v>
      </c>
      <c r="AH4372" s="4">
        <v>9</v>
      </c>
      <c r="AI4372" s="4">
        <v>94</v>
      </c>
      <c r="AJ4372" s="4">
        <v>0</v>
      </c>
      <c r="AK4372" s="4">
        <v>11</v>
      </c>
      <c r="AL4372" s="4">
        <v>6</v>
      </c>
      <c r="AM4372" s="4">
        <v>55</v>
      </c>
      <c r="AN4372" s="4">
        <v>0</v>
      </c>
      <c r="AO4372" s="4">
        <v>0</v>
      </c>
      <c r="AP4372" s="4">
        <v>1</v>
      </c>
      <c r="AQ4372" s="4">
        <v>14</v>
      </c>
      <c r="AR4372" s="3" t="s">
        <v>63</v>
      </c>
      <c r="AS4372" s="3" t="s">
        <v>63</v>
      </c>
      <c r="AT4372" s="3" t="s">
        <v>63</v>
      </c>
      <c r="AV4372" s="6" t="str">
        <f>HYPERLINK("http://mcgill.on.worldcat.org/oclc/41626081","Catalog Record")</f>
        <v>Catalog Record</v>
      </c>
      <c r="AW4372" s="6" t="str">
        <f>HYPERLINK("http://www.worldcat.org/oclc/41626081","WorldCat Record")</f>
        <v>WorldCat Record</v>
      </c>
      <c r="AX4372" s="3" t="s">
        <v>37664</v>
      </c>
      <c r="AY4372" s="3" t="s">
        <v>37836</v>
      </c>
      <c r="AZ4372" s="3" t="s">
        <v>37837</v>
      </c>
      <c r="BA4372" s="3" t="s">
        <v>37837</v>
      </c>
      <c r="BB4372" s="3" t="s">
        <v>37838</v>
      </c>
      <c r="BC4372" s="3" t="s">
        <v>82</v>
      </c>
      <c r="BD4372" s="3" t="s">
        <v>538</v>
      </c>
      <c r="BE4372" s="3" t="s">
        <v>37839</v>
      </c>
      <c r="BF4372" s="3" t="s">
        <v>37838</v>
      </c>
      <c r="BG4372" s="3" t="s">
        <v>37840</v>
      </c>
    </row>
    <row r="4373" spans="1:59" ht="75" x14ac:dyDescent="0.25">
      <c r="A4373" s="2" t="s">
        <v>59</v>
      </c>
      <c r="B4373" s="2" t="s">
        <v>60</v>
      </c>
      <c r="C4373" s="2" t="s">
        <v>37841</v>
      </c>
      <c r="D4373" s="2" t="s">
        <v>37842</v>
      </c>
      <c r="E4373" s="2" t="s">
        <v>37843</v>
      </c>
      <c r="G4373" s="3" t="s">
        <v>63</v>
      </c>
      <c r="I4373" s="3" t="s">
        <v>63</v>
      </c>
      <c r="J4373" s="3" t="s">
        <v>63</v>
      </c>
      <c r="K4373" s="3" t="s">
        <v>64</v>
      </c>
      <c r="L4373" s="2" t="s">
        <v>37844</v>
      </c>
      <c r="M4373" s="2" t="s">
        <v>37845</v>
      </c>
      <c r="N4373" s="3" t="s">
        <v>1343</v>
      </c>
      <c r="O4373" s="2" t="s">
        <v>37846</v>
      </c>
      <c r="P4373" s="3" t="s">
        <v>548</v>
      </c>
      <c r="Q4373" s="2" t="s">
        <v>37847</v>
      </c>
      <c r="R4373" s="3" t="s">
        <v>67</v>
      </c>
      <c r="S4373" s="4">
        <v>13</v>
      </c>
      <c r="T4373" s="4">
        <v>13</v>
      </c>
      <c r="U4373" s="5" t="s">
        <v>907</v>
      </c>
      <c r="V4373" s="5" t="s">
        <v>907</v>
      </c>
      <c r="W4373" s="5" t="s">
        <v>69</v>
      </c>
      <c r="X4373" s="5" t="s">
        <v>69</v>
      </c>
      <c r="Y4373" s="4">
        <v>18</v>
      </c>
      <c r="Z4373" s="4">
        <v>5</v>
      </c>
      <c r="AA4373" s="4">
        <v>23</v>
      </c>
      <c r="AB4373" s="4">
        <v>4</v>
      </c>
      <c r="AC4373" s="4">
        <v>12</v>
      </c>
      <c r="AD4373" s="4">
        <v>1</v>
      </c>
      <c r="AE4373" s="4">
        <v>25</v>
      </c>
      <c r="AF4373" s="4">
        <v>1</v>
      </c>
      <c r="AG4373" s="4">
        <v>5</v>
      </c>
      <c r="AH4373" s="4">
        <v>0</v>
      </c>
      <c r="AI4373" s="4">
        <v>17</v>
      </c>
      <c r="AJ4373" s="4">
        <v>1</v>
      </c>
      <c r="AK4373" s="4">
        <v>7</v>
      </c>
      <c r="AL4373" s="4">
        <v>0</v>
      </c>
      <c r="AM4373" s="4">
        <v>14</v>
      </c>
      <c r="AN4373" s="4">
        <v>0</v>
      </c>
      <c r="AO4373" s="4">
        <v>2</v>
      </c>
      <c r="AP4373" s="4">
        <v>1</v>
      </c>
      <c r="AQ4373" s="4">
        <v>9</v>
      </c>
      <c r="AR4373" s="3" t="s">
        <v>63</v>
      </c>
      <c r="AS4373" s="3" t="s">
        <v>63</v>
      </c>
      <c r="AT4373" s="3" t="s">
        <v>63</v>
      </c>
      <c r="AV4373" s="6" t="str">
        <f>HYPERLINK("http://mcgill.on.worldcat.org/oclc/494711902","Catalog Record")</f>
        <v>Catalog Record</v>
      </c>
      <c r="AW4373" s="6" t="str">
        <f>HYPERLINK("http://www.worldcat.org/oclc/494711902","WorldCat Record")</f>
        <v>WorldCat Record</v>
      </c>
      <c r="AX4373" s="3" t="s">
        <v>37848</v>
      </c>
      <c r="AY4373" s="3" t="s">
        <v>37849</v>
      </c>
      <c r="AZ4373" s="3" t="s">
        <v>37850</v>
      </c>
      <c r="BA4373" s="3" t="s">
        <v>37850</v>
      </c>
      <c r="BB4373" s="3" t="s">
        <v>37851</v>
      </c>
      <c r="BC4373" s="3" t="s">
        <v>82</v>
      </c>
      <c r="BD4373" s="3" t="s">
        <v>70</v>
      </c>
      <c r="BE4373" s="3" t="s">
        <v>37852</v>
      </c>
      <c r="BF4373" s="3" t="s">
        <v>37851</v>
      </c>
      <c r="BG4373" s="3" t="s">
        <v>37853</v>
      </c>
    </row>
    <row r="4374" spans="1:59" ht="60" x14ac:dyDescent="0.25">
      <c r="A4374" s="2" t="s">
        <v>59</v>
      </c>
      <c r="B4374" s="2" t="s">
        <v>60</v>
      </c>
      <c r="C4374" s="2" t="s">
        <v>37854</v>
      </c>
      <c r="D4374" s="2" t="s">
        <v>37855</v>
      </c>
      <c r="E4374" s="2" t="s">
        <v>37856</v>
      </c>
      <c r="G4374" s="3" t="s">
        <v>63</v>
      </c>
      <c r="I4374" s="3" t="s">
        <v>63</v>
      </c>
      <c r="J4374" s="3" t="s">
        <v>62</v>
      </c>
      <c r="K4374" s="3" t="s">
        <v>64</v>
      </c>
      <c r="L4374" s="2" t="s">
        <v>37662</v>
      </c>
      <c r="M4374" s="2" t="s">
        <v>37857</v>
      </c>
      <c r="N4374" s="3" t="s">
        <v>3640</v>
      </c>
      <c r="P4374" s="3" t="s">
        <v>66</v>
      </c>
      <c r="Q4374" s="2" t="s">
        <v>37858</v>
      </c>
      <c r="R4374" s="3" t="s">
        <v>67</v>
      </c>
      <c r="S4374" s="4">
        <v>80</v>
      </c>
      <c r="T4374" s="4">
        <v>80</v>
      </c>
      <c r="U4374" s="5" t="s">
        <v>2145</v>
      </c>
      <c r="V4374" s="5" t="s">
        <v>2145</v>
      </c>
      <c r="W4374" s="5" t="s">
        <v>69</v>
      </c>
      <c r="X4374" s="5" t="s">
        <v>69</v>
      </c>
      <c r="Y4374" s="4">
        <v>226</v>
      </c>
      <c r="Z4374" s="4">
        <v>12</v>
      </c>
      <c r="AA4374" s="4">
        <v>68</v>
      </c>
      <c r="AB4374" s="4">
        <v>1</v>
      </c>
      <c r="AC4374" s="4">
        <v>5</v>
      </c>
      <c r="AD4374" s="4">
        <v>37</v>
      </c>
      <c r="AE4374" s="4">
        <v>144</v>
      </c>
      <c r="AF4374" s="4">
        <v>0</v>
      </c>
      <c r="AG4374" s="4">
        <v>2</v>
      </c>
      <c r="AH4374" s="4">
        <v>30</v>
      </c>
      <c r="AI4374" s="4">
        <v>112</v>
      </c>
      <c r="AJ4374" s="4">
        <v>4</v>
      </c>
      <c r="AK4374" s="4">
        <v>21</v>
      </c>
      <c r="AL4374" s="4">
        <v>15</v>
      </c>
      <c r="AM4374" s="4">
        <v>61</v>
      </c>
      <c r="AN4374" s="4">
        <v>5</v>
      </c>
      <c r="AO4374" s="4">
        <v>5</v>
      </c>
      <c r="AP4374" s="4">
        <v>8</v>
      </c>
      <c r="AQ4374" s="4">
        <v>38</v>
      </c>
      <c r="AR4374" s="3" t="s">
        <v>63</v>
      </c>
      <c r="AS4374" s="3" t="s">
        <v>63</v>
      </c>
      <c r="AT4374" s="3" t="s">
        <v>62</v>
      </c>
      <c r="AU4374" s="6" t="str">
        <f>HYPERLINK("http://catalog.hathitrust.org/Record/002521348","HathiTrust Record")</f>
        <v>HathiTrust Record</v>
      </c>
      <c r="AV4374" s="6" t="str">
        <f>HYPERLINK("http://mcgill.on.worldcat.org/oclc/9575166","Catalog Record")</f>
        <v>Catalog Record</v>
      </c>
      <c r="AW4374" s="6" t="str">
        <f>HYPERLINK("http://www.worldcat.org/oclc/9575166","WorldCat Record")</f>
        <v>WorldCat Record</v>
      </c>
      <c r="AX4374" s="3" t="s">
        <v>37859</v>
      </c>
      <c r="AY4374" s="3" t="s">
        <v>37860</v>
      </c>
      <c r="AZ4374" s="3" t="s">
        <v>37861</v>
      </c>
      <c r="BA4374" s="3" t="s">
        <v>37861</v>
      </c>
      <c r="BB4374" s="3" t="s">
        <v>37862</v>
      </c>
      <c r="BC4374" s="3" t="s">
        <v>82</v>
      </c>
      <c r="BD4374" s="3" t="s">
        <v>70</v>
      </c>
      <c r="BE4374" s="3" t="s">
        <v>37863</v>
      </c>
      <c r="BF4374" s="3" t="s">
        <v>37862</v>
      </c>
      <c r="BG4374" s="3" t="s">
        <v>37864</v>
      </c>
    </row>
    <row r="4375" spans="1:59" ht="75" x14ac:dyDescent="0.25">
      <c r="A4375" s="2" t="s">
        <v>59</v>
      </c>
      <c r="B4375" s="2" t="s">
        <v>60</v>
      </c>
      <c r="C4375" s="2" t="s">
        <v>37865</v>
      </c>
      <c r="D4375" s="2" t="s">
        <v>37866</v>
      </c>
      <c r="E4375" s="2" t="s">
        <v>37867</v>
      </c>
      <c r="G4375" s="3" t="s">
        <v>63</v>
      </c>
      <c r="I4375" s="3" t="s">
        <v>63</v>
      </c>
      <c r="J4375" s="3" t="s">
        <v>62</v>
      </c>
      <c r="K4375" s="3" t="s">
        <v>64</v>
      </c>
      <c r="L4375" s="2" t="s">
        <v>37868</v>
      </c>
      <c r="M4375" s="2" t="s">
        <v>37869</v>
      </c>
      <c r="N4375" s="3" t="s">
        <v>531</v>
      </c>
      <c r="O4375" s="2" t="s">
        <v>37870</v>
      </c>
      <c r="P4375" s="3" t="s">
        <v>66</v>
      </c>
      <c r="R4375" s="3" t="s">
        <v>67</v>
      </c>
      <c r="S4375" s="4">
        <v>79</v>
      </c>
      <c r="T4375" s="4">
        <v>79</v>
      </c>
      <c r="U4375" s="5" t="s">
        <v>37037</v>
      </c>
      <c r="V4375" s="5" t="s">
        <v>37037</v>
      </c>
      <c r="W4375" s="5" t="s">
        <v>69</v>
      </c>
      <c r="X4375" s="5" t="s">
        <v>69</v>
      </c>
      <c r="Y4375" s="4">
        <v>77</v>
      </c>
      <c r="Z4375" s="4">
        <v>1</v>
      </c>
      <c r="AA4375" s="4">
        <v>68</v>
      </c>
      <c r="AB4375" s="4">
        <v>1</v>
      </c>
      <c r="AC4375" s="4">
        <v>5</v>
      </c>
      <c r="AD4375" s="4">
        <v>6</v>
      </c>
      <c r="AE4375" s="4">
        <v>144</v>
      </c>
      <c r="AF4375" s="4">
        <v>0</v>
      </c>
      <c r="AG4375" s="4">
        <v>2</v>
      </c>
      <c r="AH4375" s="4">
        <v>6</v>
      </c>
      <c r="AI4375" s="4">
        <v>112</v>
      </c>
      <c r="AJ4375" s="4">
        <v>0</v>
      </c>
      <c r="AK4375" s="4">
        <v>21</v>
      </c>
      <c r="AL4375" s="4">
        <v>4</v>
      </c>
      <c r="AM4375" s="4">
        <v>61</v>
      </c>
      <c r="AN4375" s="4">
        <v>0</v>
      </c>
      <c r="AO4375" s="4">
        <v>5</v>
      </c>
      <c r="AP4375" s="4">
        <v>0</v>
      </c>
      <c r="AQ4375" s="4">
        <v>38</v>
      </c>
      <c r="AR4375" s="3" t="s">
        <v>63</v>
      </c>
      <c r="AS4375" s="3" t="s">
        <v>63</v>
      </c>
      <c r="AT4375" s="3" t="s">
        <v>63</v>
      </c>
      <c r="AV4375" s="6" t="str">
        <f>HYPERLINK("http://mcgill.on.worldcat.org/oclc/59977449","Catalog Record")</f>
        <v>Catalog Record</v>
      </c>
      <c r="AW4375" s="6" t="str">
        <f>HYPERLINK("http://www.worldcat.org/oclc/59977449","WorldCat Record")</f>
        <v>WorldCat Record</v>
      </c>
      <c r="AX4375" s="3" t="s">
        <v>37859</v>
      </c>
      <c r="AY4375" s="3" t="s">
        <v>37871</v>
      </c>
      <c r="AZ4375" s="3" t="s">
        <v>37872</v>
      </c>
      <c r="BA4375" s="3" t="s">
        <v>37872</v>
      </c>
      <c r="BB4375" s="3" t="s">
        <v>37873</v>
      </c>
      <c r="BC4375" s="3" t="s">
        <v>82</v>
      </c>
      <c r="BD4375" s="3" t="s">
        <v>70</v>
      </c>
      <c r="BE4375" s="3" t="s">
        <v>37874</v>
      </c>
      <c r="BF4375" s="3" t="s">
        <v>37873</v>
      </c>
      <c r="BG4375" s="3" t="s">
        <v>37875</v>
      </c>
    </row>
    <row r="4376" spans="1:59" ht="60" x14ac:dyDescent="0.25">
      <c r="A4376" s="2" t="s">
        <v>59</v>
      </c>
      <c r="B4376" s="2" t="s">
        <v>60</v>
      </c>
      <c r="C4376" s="2" t="s">
        <v>37876</v>
      </c>
      <c r="D4376" s="2" t="s">
        <v>37877</v>
      </c>
      <c r="E4376" s="2" t="s">
        <v>37878</v>
      </c>
      <c r="G4376" s="3" t="s">
        <v>63</v>
      </c>
      <c r="I4376" s="3" t="s">
        <v>63</v>
      </c>
      <c r="J4376" s="3" t="s">
        <v>62</v>
      </c>
      <c r="K4376" s="3" t="s">
        <v>64</v>
      </c>
      <c r="L4376" s="2" t="s">
        <v>37662</v>
      </c>
      <c r="M4376" s="2" t="s">
        <v>37879</v>
      </c>
      <c r="N4376" s="3" t="s">
        <v>220</v>
      </c>
      <c r="O4376" s="2" t="s">
        <v>37756</v>
      </c>
      <c r="P4376" s="3" t="s">
        <v>66</v>
      </c>
      <c r="R4376" s="3" t="s">
        <v>67</v>
      </c>
      <c r="S4376" s="4">
        <v>36</v>
      </c>
      <c r="T4376" s="4">
        <v>36</v>
      </c>
      <c r="U4376" s="5" t="s">
        <v>11535</v>
      </c>
      <c r="V4376" s="5" t="s">
        <v>11535</v>
      </c>
      <c r="W4376" s="5" t="s">
        <v>69</v>
      </c>
      <c r="X4376" s="5" t="s">
        <v>69</v>
      </c>
      <c r="Y4376" s="4">
        <v>261</v>
      </c>
      <c r="Z4376" s="4">
        <v>11</v>
      </c>
      <c r="AA4376" s="4">
        <v>68</v>
      </c>
      <c r="AB4376" s="4">
        <v>1</v>
      </c>
      <c r="AC4376" s="4">
        <v>5</v>
      </c>
      <c r="AD4376" s="4">
        <v>30</v>
      </c>
      <c r="AE4376" s="4">
        <v>144</v>
      </c>
      <c r="AF4376" s="4">
        <v>0</v>
      </c>
      <c r="AG4376" s="4">
        <v>2</v>
      </c>
      <c r="AH4376" s="4">
        <v>23</v>
      </c>
      <c r="AI4376" s="4">
        <v>112</v>
      </c>
      <c r="AJ4376" s="4">
        <v>3</v>
      </c>
      <c r="AK4376" s="4">
        <v>21</v>
      </c>
      <c r="AL4376" s="4">
        <v>16</v>
      </c>
      <c r="AM4376" s="4">
        <v>61</v>
      </c>
      <c r="AN4376" s="4">
        <v>0</v>
      </c>
      <c r="AO4376" s="4">
        <v>5</v>
      </c>
      <c r="AP4376" s="4">
        <v>5</v>
      </c>
      <c r="AQ4376" s="4">
        <v>38</v>
      </c>
      <c r="AR4376" s="3" t="s">
        <v>63</v>
      </c>
      <c r="AS4376" s="3" t="s">
        <v>63</v>
      </c>
      <c r="AT4376" s="3" t="s">
        <v>62</v>
      </c>
      <c r="AU4376" s="6" t="str">
        <f>HYPERLINK("http://catalog.hathitrust.org/Record/002610065","HathiTrust Record")</f>
        <v>HathiTrust Record</v>
      </c>
      <c r="AV4376" s="6" t="str">
        <f>HYPERLINK("http://mcgill.on.worldcat.org/oclc/28124158","Catalog Record")</f>
        <v>Catalog Record</v>
      </c>
      <c r="AW4376" s="6" t="str">
        <f>HYPERLINK("http://www.worldcat.org/oclc/28124158","WorldCat Record")</f>
        <v>WorldCat Record</v>
      </c>
      <c r="AX4376" s="3" t="s">
        <v>37859</v>
      </c>
      <c r="AY4376" s="3" t="s">
        <v>37880</v>
      </c>
      <c r="AZ4376" s="3" t="s">
        <v>37881</v>
      </c>
      <c r="BA4376" s="3" t="s">
        <v>37881</v>
      </c>
      <c r="BB4376" s="3" t="s">
        <v>37882</v>
      </c>
      <c r="BC4376" s="3" t="s">
        <v>82</v>
      </c>
      <c r="BD4376" s="3" t="s">
        <v>538</v>
      </c>
      <c r="BE4376" s="3" t="s">
        <v>37883</v>
      </c>
      <c r="BF4376" s="3" t="s">
        <v>37882</v>
      </c>
      <c r="BG4376" s="3" t="s">
        <v>37884</v>
      </c>
    </row>
    <row r="4377" spans="1:59" ht="165" x14ac:dyDescent="0.25">
      <c r="A4377" s="2" t="s">
        <v>59</v>
      </c>
      <c r="B4377" s="2" t="s">
        <v>60</v>
      </c>
      <c r="C4377" s="2" t="s">
        <v>37885</v>
      </c>
      <c r="D4377" s="2" t="s">
        <v>37886</v>
      </c>
      <c r="E4377" s="2" t="s">
        <v>37887</v>
      </c>
      <c r="G4377" s="3" t="s">
        <v>63</v>
      </c>
      <c r="I4377" s="3" t="s">
        <v>63</v>
      </c>
      <c r="J4377" s="3" t="s">
        <v>63</v>
      </c>
      <c r="K4377" s="3" t="s">
        <v>64</v>
      </c>
      <c r="L4377" s="2" t="s">
        <v>37662</v>
      </c>
      <c r="M4377" s="2" t="s">
        <v>37888</v>
      </c>
      <c r="N4377" s="3" t="s">
        <v>693</v>
      </c>
      <c r="O4377" s="2" t="s">
        <v>37889</v>
      </c>
      <c r="P4377" s="3" t="s">
        <v>548</v>
      </c>
      <c r="Q4377" s="2" t="s">
        <v>37890</v>
      </c>
      <c r="R4377" s="3" t="s">
        <v>67</v>
      </c>
      <c r="S4377" s="4">
        <v>13</v>
      </c>
      <c r="T4377" s="4">
        <v>13</v>
      </c>
      <c r="U4377" s="5" t="s">
        <v>24069</v>
      </c>
      <c r="V4377" s="5" t="s">
        <v>24069</v>
      </c>
      <c r="W4377" s="5" t="s">
        <v>69</v>
      </c>
      <c r="X4377" s="5" t="s">
        <v>69</v>
      </c>
      <c r="Y4377" s="4">
        <v>4</v>
      </c>
      <c r="Z4377" s="4">
        <v>2</v>
      </c>
      <c r="AA4377" s="4">
        <v>27</v>
      </c>
      <c r="AB4377" s="4">
        <v>2</v>
      </c>
      <c r="AC4377" s="4">
        <v>15</v>
      </c>
      <c r="AD4377" s="4">
        <v>0</v>
      </c>
      <c r="AE4377" s="4">
        <v>24</v>
      </c>
      <c r="AF4377" s="4">
        <v>0</v>
      </c>
      <c r="AG4377" s="4">
        <v>5</v>
      </c>
      <c r="AH4377" s="4">
        <v>0</v>
      </c>
      <c r="AI4377" s="4">
        <v>14</v>
      </c>
      <c r="AJ4377" s="4">
        <v>0</v>
      </c>
      <c r="AK4377" s="4">
        <v>9</v>
      </c>
      <c r="AL4377" s="4">
        <v>0</v>
      </c>
      <c r="AM4377" s="4">
        <v>8</v>
      </c>
      <c r="AN4377" s="4">
        <v>0</v>
      </c>
      <c r="AO4377" s="4">
        <v>3</v>
      </c>
      <c r="AP4377" s="4">
        <v>0</v>
      </c>
      <c r="AQ4377" s="4">
        <v>11</v>
      </c>
      <c r="AR4377" s="3" t="s">
        <v>63</v>
      </c>
      <c r="AS4377" s="3" t="s">
        <v>63</v>
      </c>
      <c r="AT4377" s="3" t="s">
        <v>63</v>
      </c>
      <c r="AV4377" s="6" t="str">
        <f>HYPERLINK("http://mcgill.on.worldcat.org/oclc/64395928","Catalog Record")</f>
        <v>Catalog Record</v>
      </c>
      <c r="AW4377" s="6" t="str">
        <f>HYPERLINK("http://www.worldcat.org/oclc/64395928","WorldCat Record")</f>
        <v>WorldCat Record</v>
      </c>
      <c r="AX4377" s="3" t="s">
        <v>37891</v>
      </c>
      <c r="AY4377" s="3" t="s">
        <v>37892</v>
      </c>
      <c r="AZ4377" s="3" t="s">
        <v>37893</v>
      </c>
      <c r="BA4377" s="3" t="s">
        <v>37893</v>
      </c>
      <c r="BB4377" s="3" t="s">
        <v>37894</v>
      </c>
      <c r="BC4377" s="3" t="s">
        <v>82</v>
      </c>
      <c r="BD4377" s="3" t="s">
        <v>70</v>
      </c>
      <c r="BE4377" s="3" t="s">
        <v>37895</v>
      </c>
      <c r="BF4377" s="3" t="s">
        <v>37894</v>
      </c>
      <c r="BG4377" s="3" t="s">
        <v>37896</v>
      </c>
    </row>
    <row r="4378" spans="1:59" ht="60" x14ac:dyDescent="0.25">
      <c r="A4378" s="2" t="s">
        <v>59</v>
      </c>
      <c r="B4378" s="2" t="s">
        <v>60</v>
      </c>
      <c r="C4378" s="2" t="s">
        <v>37897</v>
      </c>
      <c r="D4378" s="2" t="s">
        <v>37898</v>
      </c>
      <c r="E4378" s="2" t="s">
        <v>37899</v>
      </c>
      <c r="G4378" s="3" t="s">
        <v>63</v>
      </c>
      <c r="I4378" s="3" t="s">
        <v>63</v>
      </c>
      <c r="J4378" s="3" t="s">
        <v>63</v>
      </c>
      <c r="K4378" s="3" t="s">
        <v>64</v>
      </c>
      <c r="L4378" s="2" t="s">
        <v>37687</v>
      </c>
      <c r="M4378" s="2" t="s">
        <v>37900</v>
      </c>
      <c r="N4378" s="3" t="s">
        <v>2393</v>
      </c>
      <c r="O4378" s="2" t="s">
        <v>1605</v>
      </c>
      <c r="P4378" s="3" t="s">
        <v>66</v>
      </c>
      <c r="R4378" s="3" t="s">
        <v>67</v>
      </c>
      <c r="S4378" s="4">
        <v>74</v>
      </c>
      <c r="T4378" s="4">
        <v>74</v>
      </c>
      <c r="U4378" s="5" t="s">
        <v>37901</v>
      </c>
      <c r="V4378" s="5" t="s">
        <v>37901</v>
      </c>
      <c r="W4378" s="5" t="s">
        <v>69</v>
      </c>
      <c r="X4378" s="5" t="s">
        <v>69</v>
      </c>
      <c r="Y4378" s="4">
        <v>477</v>
      </c>
      <c r="Z4378" s="4">
        <v>25</v>
      </c>
      <c r="AA4378" s="4">
        <v>49</v>
      </c>
      <c r="AB4378" s="4">
        <v>3</v>
      </c>
      <c r="AC4378" s="4">
        <v>6</v>
      </c>
      <c r="AD4378" s="4">
        <v>93</v>
      </c>
      <c r="AE4378" s="4">
        <v>125</v>
      </c>
      <c r="AF4378" s="4">
        <v>2</v>
      </c>
      <c r="AG4378" s="4">
        <v>4</v>
      </c>
      <c r="AH4378" s="4">
        <v>81</v>
      </c>
      <c r="AI4378" s="4">
        <v>101</v>
      </c>
      <c r="AJ4378" s="4">
        <v>16</v>
      </c>
      <c r="AK4378" s="4">
        <v>23</v>
      </c>
      <c r="AL4378" s="4">
        <v>45</v>
      </c>
      <c r="AM4378" s="4">
        <v>55</v>
      </c>
      <c r="AN4378" s="4">
        <v>0</v>
      </c>
      <c r="AO4378" s="4">
        <v>0</v>
      </c>
      <c r="AP4378" s="4">
        <v>19</v>
      </c>
      <c r="AQ4378" s="4">
        <v>31</v>
      </c>
      <c r="AR4378" s="3" t="s">
        <v>63</v>
      </c>
      <c r="AS4378" s="3" t="s">
        <v>63</v>
      </c>
      <c r="AT4378" s="3" t="s">
        <v>62</v>
      </c>
      <c r="AU4378" s="6" t="str">
        <f>HYPERLINK("http://catalog.hathitrust.org/Record/000012915","HathiTrust Record")</f>
        <v>HathiTrust Record</v>
      </c>
      <c r="AV4378" s="6" t="str">
        <f>HYPERLINK("http://mcgill.on.worldcat.org/oclc/841348","Catalog Record")</f>
        <v>Catalog Record</v>
      </c>
      <c r="AW4378" s="6" t="str">
        <f>HYPERLINK("http://www.worldcat.org/oclc/841348","WorldCat Record")</f>
        <v>WorldCat Record</v>
      </c>
      <c r="AX4378" s="3" t="s">
        <v>37902</v>
      </c>
      <c r="AY4378" s="3" t="s">
        <v>37903</v>
      </c>
      <c r="AZ4378" s="3" t="s">
        <v>37904</v>
      </c>
      <c r="BA4378" s="3" t="s">
        <v>37904</v>
      </c>
      <c r="BB4378" s="3" t="s">
        <v>37905</v>
      </c>
      <c r="BC4378" s="3" t="s">
        <v>82</v>
      </c>
      <c r="BD4378" s="3" t="s">
        <v>538</v>
      </c>
      <c r="BE4378" s="3" t="s">
        <v>37906</v>
      </c>
      <c r="BF4378" s="3" t="s">
        <v>37905</v>
      </c>
      <c r="BG4378" s="3" t="s">
        <v>37907</v>
      </c>
    </row>
    <row r="4379" spans="1:59" ht="75" x14ac:dyDescent="0.25">
      <c r="A4379" s="2" t="s">
        <v>59</v>
      </c>
      <c r="B4379" s="2" t="s">
        <v>60</v>
      </c>
      <c r="C4379" s="2" t="s">
        <v>37908</v>
      </c>
      <c r="D4379" s="2" t="s">
        <v>37909</v>
      </c>
      <c r="E4379" s="2" t="s">
        <v>37910</v>
      </c>
      <c r="G4379" s="3" t="s">
        <v>63</v>
      </c>
      <c r="I4379" s="3" t="s">
        <v>63</v>
      </c>
      <c r="J4379" s="3" t="s">
        <v>62</v>
      </c>
      <c r="K4379" s="3" t="s">
        <v>64</v>
      </c>
      <c r="L4379" s="2" t="s">
        <v>37662</v>
      </c>
      <c r="M4379" s="2" t="s">
        <v>37911</v>
      </c>
      <c r="N4379" s="3" t="s">
        <v>1418</v>
      </c>
      <c r="O4379" s="2" t="s">
        <v>37912</v>
      </c>
      <c r="P4379" s="3" t="s">
        <v>548</v>
      </c>
      <c r="Q4379" s="2" t="s">
        <v>37913</v>
      </c>
      <c r="R4379" s="3" t="s">
        <v>67</v>
      </c>
      <c r="S4379" s="4">
        <v>12</v>
      </c>
      <c r="T4379" s="4">
        <v>12</v>
      </c>
      <c r="U4379" s="5" t="s">
        <v>907</v>
      </c>
      <c r="V4379" s="5" t="s">
        <v>907</v>
      </c>
      <c r="W4379" s="5" t="s">
        <v>69</v>
      </c>
      <c r="X4379" s="5" t="s">
        <v>69</v>
      </c>
      <c r="Y4379" s="4">
        <v>32</v>
      </c>
      <c r="Z4379" s="4">
        <v>3</v>
      </c>
      <c r="AA4379" s="4">
        <v>29</v>
      </c>
      <c r="AB4379" s="4">
        <v>2</v>
      </c>
      <c r="AC4379" s="4">
        <v>14</v>
      </c>
      <c r="AD4379" s="4">
        <v>2</v>
      </c>
      <c r="AE4379" s="4">
        <v>30</v>
      </c>
      <c r="AF4379" s="4">
        <v>0</v>
      </c>
      <c r="AG4379" s="4">
        <v>4</v>
      </c>
      <c r="AH4379" s="4">
        <v>1</v>
      </c>
      <c r="AI4379" s="4">
        <v>22</v>
      </c>
      <c r="AJ4379" s="4">
        <v>0</v>
      </c>
      <c r="AK4379" s="4">
        <v>9</v>
      </c>
      <c r="AL4379" s="4">
        <v>1</v>
      </c>
      <c r="AM4379" s="4">
        <v>11</v>
      </c>
      <c r="AN4379" s="4">
        <v>0</v>
      </c>
      <c r="AO4379" s="4">
        <v>0</v>
      </c>
      <c r="AP4379" s="4">
        <v>0</v>
      </c>
      <c r="AQ4379" s="4">
        <v>9</v>
      </c>
      <c r="AR4379" s="3" t="s">
        <v>63</v>
      </c>
      <c r="AS4379" s="3" t="s">
        <v>63</v>
      </c>
      <c r="AT4379" s="3" t="s">
        <v>63</v>
      </c>
      <c r="AV4379" s="6" t="str">
        <f>HYPERLINK("http://mcgill.on.worldcat.org/oclc/22170819","Catalog Record")</f>
        <v>Catalog Record</v>
      </c>
      <c r="AW4379" s="6" t="str">
        <f>HYPERLINK("http://www.worldcat.org/oclc/22170819","WorldCat Record")</f>
        <v>WorldCat Record</v>
      </c>
      <c r="AX4379" s="3" t="s">
        <v>37914</v>
      </c>
      <c r="AY4379" s="3" t="s">
        <v>37915</v>
      </c>
      <c r="AZ4379" s="3" t="s">
        <v>37916</v>
      </c>
      <c r="BA4379" s="3" t="s">
        <v>37916</v>
      </c>
      <c r="BB4379" s="3" t="s">
        <v>37917</v>
      </c>
      <c r="BC4379" s="3" t="s">
        <v>82</v>
      </c>
      <c r="BD4379" s="3" t="s">
        <v>70</v>
      </c>
      <c r="BE4379" s="3" t="s">
        <v>37918</v>
      </c>
      <c r="BF4379" s="3" t="s">
        <v>37917</v>
      </c>
      <c r="BG4379" s="3" t="s">
        <v>37919</v>
      </c>
    </row>
    <row r="4380" spans="1:59" ht="60" x14ac:dyDescent="0.25">
      <c r="A4380" s="2" t="s">
        <v>59</v>
      </c>
      <c r="B4380" s="2" t="s">
        <v>60</v>
      </c>
      <c r="C4380" s="2" t="s">
        <v>37908</v>
      </c>
      <c r="D4380" s="2" t="s">
        <v>37909</v>
      </c>
      <c r="E4380" s="2" t="s">
        <v>37920</v>
      </c>
      <c r="G4380" s="3" t="s">
        <v>63</v>
      </c>
      <c r="I4380" s="3" t="s">
        <v>63</v>
      </c>
      <c r="J4380" s="3" t="s">
        <v>62</v>
      </c>
      <c r="K4380" s="3" t="s">
        <v>64</v>
      </c>
      <c r="L4380" s="2" t="s">
        <v>37662</v>
      </c>
      <c r="M4380" s="2" t="s">
        <v>37921</v>
      </c>
      <c r="N4380" s="3" t="s">
        <v>1418</v>
      </c>
      <c r="P4380" s="3" t="s">
        <v>548</v>
      </c>
      <c r="R4380" s="3" t="s">
        <v>67</v>
      </c>
      <c r="S4380" s="4">
        <v>4</v>
      </c>
      <c r="T4380" s="4">
        <v>4</v>
      </c>
      <c r="U4380" s="5" t="s">
        <v>37922</v>
      </c>
      <c r="V4380" s="5" t="s">
        <v>37922</v>
      </c>
      <c r="W4380" s="5" t="s">
        <v>69</v>
      </c>
      <c r="X4380" s="5" t="s">
        <v>69</v>
      </c>
      <c r="Y4380" s="4">
        <v>3</v>
      </c>
      <c r="Z4380" s="4">
        <v>2</v>
      </c>
      <c r="AA4380" s="4">
        <v>29</v>
      </c>
      <c r="AB4380" s="4">
        <v>2</v>
      </c>
      <c r="AC4380" s="4">
        <v>14</v>
      </c>
      <c r="AD4380" s="4">
        <v>0</v>
      </c>
      <c r="AE4380" s="4">
        <v>30</v>
      </c>
      <c r="AF4380" s="4">
        <v>0</v>
      </c>
      <c r="AG4380" s="4">
        <v>4</v>
      </c>
      <c r="AH4380" s="4">
        <v>0</v>
      </c>
      <c r="AI4380" s="4">
        <v>22</v>
      </c>
      <c r="AJ4380" s="4">
        <v>0</v>
      </c>
      <c r="AK4380" s="4">
        <v>9</v>
      </c>
      <c r="AL4380" s="4">
        <v>0</v>
      </c>
      <c r="AM4380" s="4">
        <v>11</v>
      </c>
      <c r="AN4380" s="4">
        <v>0</v>
      </c>
      <c r="AO4380" s="4">
        <v>0</v>
      </c>
      <c r="AP4380" s="4">
        <v>0</v>
      </c>
      <c r="AQ4380" s="4">
        <v>9</v>
      </c>
      <c r="AR4380" s="3" t="s">
        <v>63</v>
      </c>
      <c r="AS4380" s="3" t="s">
        <v>63</v>
      </c>
      <c r="AT4380" s="3" t="s">
        <v>63</v>
      </c>
      <c r="AV4380" s="6" t="str">
        <f>HYPERLINK("http://mcgill.on.worldcat.org/oclc/317445395","Catalog Record")</f>
        <v>Catalog Record</v>
      </c>
      <c r="AW4380" s="6" t="str">
        <f>HYPERLINK("http://www.worldcat.org/oclc/317445395","WorldCat Record")</f>
        <v>WorldCat Record</v>
      </c>
      <c r="AX4380" s="3" t="s">
        <v>37914</v>
      </c>
      <c r="AY4380" s="3" t="s">
        <v>37923</v>
      </c>
      <c r="AZ4380" s="3" t="s">
        <v>37924</v>
      </c>
      <c r="BA4380" s="3" t="s">
        <v>37924</v>
      </c>
      <c r="BB4380" s="3" t="s">
        <v>37925</v>
      </c>
      <c r="BC4380" s="3" t="s">
        <v>82</v>
      </c>
      <c r="BD4380" s="3" t="s">
        <v>70</v>
      </c>
      <c r="BE4380" s="3" t="s">
        <v>37926</v>
      </c>
      <c r="BF4380" s="3" t="s">
        <v>37925</v>
      </c>
      <c r="BG4380" s="3" t="s">
        <v>37927</v>
      </c>
    </row>
    <row r="4381" spans="1:59" ht="60" x14ac:dyDescent="0.25">
      <c r="A4381" s="2" t="s">
        <v>59</v>
      </c>
      <c r="B4381" s="2" t="s">
        <v>60</v>
      </c>
      <c r="C4381" s="2" t="s">
        <v>37928</v>
      </c>
      <c r="D4381" s="2" t="s">
        <v>37929</v>
      </c>
      <c r="E4381" s="2" t="s">
        <v>37930</v>
      </c>
      <c r="G4381" s="3" t="s">
        <v>63</v>
      </c>
      <c r="I4381" s="3" t="s">
        <v>63</v>
      </c>
      <c r="J4381" s="3" t="s">
        <v>63</v>
      </c>
      <c r="K4381" s="3" t="s">
        <v>64</v>
      </c>
      <c r="L4381" s="2" t="s">
        <v>10907</v>
      </c>
      <c r="M4381" s="2" t="s">
        <v>37931</v>
      </c>
      <c r="N4381" s="3" t="s">
        <v>668</v>
      </c>
      <c r="O4381" s="2" t="s">
        <v>590</v>
      </c>
      <c r="P4381" s="3" t="s">
        <v>66</v>
      </c>
      <c r="R4381" s="3" t="s">
        <v>67</v>
      </c>
      <c r="S4381" s="4">
        <v>57</v>
      </c>
      <c r="T4381" s="4">
        <v>57</v>
      </c>
      <c r="U4381" s="5" t="s">
        <v>21373</v>
      </c>
      <c r="V4381" s="5" t="s">
        <v>21373</v>
      </c>
      <c r="W4381" s="5" t="s">
        <v>69</v>
      </c>
      <c r="X4381" s="5" t="s">
        <v>69</v>
      </c>
      <c r="Y4381" s="4">
        <v>379</v>
      </c>
      <c r="Z4381" s="4">
        <v>24</v>
      </c>
      <c r="AA4381" s="4">
        <v>28</v>
      </c>
      <c r="AB4381" s="4">
        <v>1</v>
      </c>
      <c r="AC4381" s="4">
        <v>2</v>
      </c>
      <c r="AD4381" s="4">
        <v>98</v>
      </c>
      <c r="AE4381" s="4">
        <v>104</v>
      </c>
      <c r="AF4381" s="4">
        <v>0</v>
      </c>
      <c r="AG4381" s="4">
        <v>1</v>
      </c>
      <c r="AH4381" s="4">
        <v>89</v>
      </c>
      <c r="AI4381" s="4">
        <v>94</v>
      </c>
      <c r="AJ4381" s="4">
        <v>14</v>
      </c>
      <c r="AK4381" s="4">
        <v>15</v>
      </c>
      <c r="AL4381" s="4">
        <v>46</v>
      </c>
      <c r="AM4381" s="4">
        <v>50</v>
      </c>
      <c r="AN4381" s="4">
        <v>0</v>
      </c>
      <c r="AO4381" s="4">
        <v>0</v>
      </c>
      <c r="AP4381" s="4">
        <v>14</v>
      </c>
      <c r="AQ4381" s="4">
        <v>16</v>
      </c>
      <c r="AR4381" s="3" t="s">
        <v>63</v>
      </c>
      <c r="AS4381" s="3" t="s">
        <v>63</v>
      </c>
      <c r="AT4381" s="3" t="s">
        <v>63</v>
      </c>
      <c r="AV4381" s="6" t="str">
        <f>HYPERLINK("http://mcgill.on.worldcat.org/oclc/20827754","Catalog Record")</f>
        <v>Catalog Record</v>
      </c>
      <c r="AW4381" s="6" t="str">
        <f>HYPERLINK("http://www.worldcat.org/oclc/20827754","WorldCat Record")</f>
        <v>WorldCat Record</v>
      </c>
      <c r="AX4381" s="3" t="s">
        <v>37932</v>
      </c>
      <c r="AY4381" s="3" t="s">
        <v>37933</v>
      </c>
      <c r="AZ4381" s="3" t="s">
        <v>37934</v>
      </c>
      <c r="BA4381" s="3" t="s">
        <v>37934</v>
      </c>
      <c r="BB4381" s="3" t="s">
        <v>37935</v>
      </c>
      <c r="BC4381" s="3" t="s">
        <v>82</v>
      </c>
      <c r="BD4381" s="3" t="s">
        <v>538</v>
      </c>
      <c r="BE4381" s="3" t="s">
        <v>37936</v>
      </c>
      <c r="BF4381" s="3" t="s">
        <v>37935</v>
      </c>
      <c r="BG4381" s="3" t="s">
        <v>37937</v>
      </c>
    </row>
    <row r="4382" spans="1:59" ht="60" x14ac:dyDescent="0.25">
      <c r="A4382" s="2" t="s">
        <v>59</v>
      </c>
      <c r="B4382" s="2" t="s">
        <v>60</v>
      </c>
      <c r="C4382" s="2" t="s">
        <v>37938</v>
      </c>
      <c r="D4382" s="2" t="s">
        <v>37939</v>
      </c>
      <c r="E4382" s="2" t="s">
        <v>37940</v>
      </c>
      <c r="G4382" s="3" t="s">
        <v>63</v>
      </c>
      <c r="I4382" s="3" t="s">
        <v>63</v>
      </c>
      <c r="J4382" s="3" t="s">
        <v>63</v>
      </c>
      <c r="K4382" s="3" t="s">
        <v>64</v>
      </c>
      <c r="L4382" s="2" t="s">
        <v>37941</v>
      </c>
      <c r="M4382" s="2" t="s">
        <v>37942</v>
      </c>
      <c r="N4382" s="3" t="s">
        <v>130</v>
      </c>
      <c r="P4382" s="3" t="s">
        <v>66</v>
      </c>
      <c r="R4382" s="3" t="s">
        <v>67</v>
      </c>
      <c r="S4382" s="4">
        <v>1</v>
      </c>
      <c r="T4382" s="4">
        <v>1</v>
      </c>
      <c r="U4382" s="5" t="s">
        <v>37943</v>
      </c>
      <c r="V4382" s="5" t="s">
        <v>37943</v>
      </c>
      <c r="W4382" s="5" t="s">
        <v>69</v>
      </c>
      <c r="X4382" s="5" t="s">
        <v>69</v>
      </c>
      <c r="Y4382" s="4">
        <v>73</v>
      </c>
      <c r="Z4382" s="4">
        <v>12</v>
      </c>
      <c r="AA4382" s="4">
        <v>26</v>
      </c>
      <c r="AB4382" s="4">
        <v>1</v>
      </c>
      <c r="AC4382" s="4">
        <v>5</v>
      </c>
      <c r="AD4382" s="4">
        <v>43</v>
      </c>
      <c r="AE4382" s="4">
        <v>52</v>
      </c>
      <c r="AF4382" s="4">
        <v>0</v>
      </c>
      <c r="AG4382" s="4">
        <v>1</v>
      </c>
      <c r="AH4382" s="4">
        <v>40</v>
      </c>
      <c r="AI4382" s="4">
        <v>46</v>
      </c>
      <c r="AJ4382" s="4">
        <v>9</v>
      </c>
      <c r="AK4382" s="4">
        <v>10</v>
      </c>
      <c r="AL4382" s="4">
        <v>29</v>
      </c>
      <c r="AM4382" s="4">
        <v>31</v>
      </c>
      <c r="AN4382" s="4">
        <v>0</v>
      </c>
      <c r="AO4382" s="4">
        <v>0</v>
      </c>
      <c r="AP4382" s="4">
        <v>9</v>
      </c>
      <c r="AQ4382" s="4">
        <v>11</v>
      </c>
      <c r="AR4382" s="3" t="s">
        <v>63</v>
      </c>
      <c r="AS4382" s="3" t="s">
        <v>63</v>
      </c>
      <c r="AT4382" s="3" t="s">
        <v>63</v>
      </c>
      <c r="AV4382" s="6" t="str">
        <f>HYPERLINK("http://mcgill.on.worldcat.org/oclc/811426950","Catalog Record")</f>
        <v>Catalog Record</v>
      </c>
      <c r="AW4382" s="6" t="str">
        <f>HYPERLINK("http://www.worldcat.org/oclc/811426950","WorldCat Record")</f>
        <v>WorldCat Record</v>
      </c>
      <c r="AX4382" s="3" t="s">
        <v>37944</v>
      </c>
      <c r="AY4382" s="3" t="s">
        <v>37945</v>
      </c>
      <c r="AZ4382" s="3" t="s">
        <v>37946</v>
      </c>
      <c r="BA4382" s="3" t="s">
        <v>37946</v>
      </c>
      <c r="BB4382" s="3" t="s">
        <v>37947</v>
      </c>
      <c r="BC4382" s="3" t="s">
        <v>82</v>
      </c>
      <c r="BD4382" s="3" t="s">
        <v>70</v>
      </c>
      <c r="BE4382" s="3" t="s">
        <v>37948</v>
      </c>
      <c r="BF4382" s="3" t="s">
        <v>37947</v>
      </c>
      <c r="BG4382" s="3" t="s">
        <v>37949</v>
      </c>
    </row>
    <row r="4383" spans="1:59" ht="60" x14ac:dyDescent="0.25">
      <c r="A4383" s="2" t="s">
        <v>59</v>
      </c>
      <c r="B4383" s="2" t="s">
        <v>60</v>
      </c>
      <c r="C4383" s="2" t="s">
        <v>37950</v>
      </c>
      <c r="D4383" s="2" t="s">
        <v>37951</v>
      </c>
      <c r="E4383" s="2" t="s">
        <v>37952</v>
      </c>
      <c r="G4383" s="3" t="s">
        <v>63</v>
      </c>
      <c r="I4383" s="3" t="s">
        <v>62</v>
      </c>
      <c r="J4383" s="3" t="s">
        <v>63</v>
      </c>
      <c r="K4383" s="3" t="s">
        <v>64</v>
      </c>
      <c r="M4383" s="2" t="s">
        <v>37953</v>
      </c>
      <c r="N4383" s="3" t="s">
        <v>531</v>
      </c>
      <c r="P4383" s="3" t="s">
        <v>66</v>
      </c>
      <c r="Q4383" s="2" t="s">
        <v>37954</v>
      </c>
      <c r="R4383" s="3" t="s">
        <v>67</v>
      </c>
      <c r="S4383" s="4">
        <v>57</v>
      </c>
      <c r="T4383" s="4">
        <v>58</v>
      </c>
      <c r="U4383" s="5" t="s">
        <v>15128</v>
      </c>
      <c r="V4383" s="5" t="s">
        <v>37955</v>
      </c>
      <c r="W4383" s="5" t="s">
        <v>69</v>
      </c>
      <c r="X4383" s="5" t="s">
        <v>69</v>
      </c>
      <c r="Y4383" s="4">
        <v>147</v>
      </c>
      <c r="Z4383" s="4">
        <v>9</v>
      </c>
      <c r="AA4383" s="4">
        <v>10</v>
      </c>
      <c r="AB4383" s="4">
        <v>1</v>
      </c>
      <c r="AC4383" s="4">
        <v>2</v>
      </c>
      <c r="AD4383" s="4">
        <v>58</v>
      </c>
      <c r="AE4383" s="4">
        <v>59</v>
      </c>
      <c r="AF4383" s="4">
        <v>0</v>
      </c>
      <c r="AG4383" s="4">
        <v>1</v>
      </c>
      <c r="AH4383" s="4">
        <v>55</v>
      </c>
      <c r="AI4383" s="4">
        <v>56</v>
      </c>
      <c r="AJ4383" s="4">
        <v>7</v>
      </c>
      <c r="AK4383" s="4">
        <v>8</v>
      </c>
      <c r="AL4383" s="4">
        <v>30</v>
      </c>
      <c r="AM4383" s="4">
        <v>30</v>
      </c>
      <c r="AN4383" s="4">
        <v>0</v>
      </c>
      <c r="AO4383" s="4">
        <v>0</v>
      </c>
      <c r="AP4383" s="4">
        <v>7</v>
      </c>
      <c r="AQ4383" s="4">
        <v>8</v>
      </c>
      <c r="AR4383" s="3" t="s">
        <v>63</v>
      </c>
      <c r="AS4383" s="3" t="s">
        <v>63</v>
      </c>
      <c r="AT4383" s="3" t="s">
        <v>63</v>
      </c>
      <c r="AV4383" s="6" t="str">
        <f>HYPERLINK("http://mcgill.on.worldcat.org/oclc/25412672","Catalog Record")</f>
        <v>Catalog Record</v>
      </c>
      <c r="AW4383" s="6" t="str">
        <f>HYPERLINK("http://www.worldcat.org/oclc/25412672","WorldCat Record")</f>
        <v>WorldCat Record</v>
      </c>
      <c r="AX4383" s="3" t="s">
        <v>37956</v>
      </c>
      <c r="AY4383" s="3" t="s">
        <v>37957</v>
      </c>
      <c r="AZ4383" s="3" t="s">
        <v>37958</v>
      </c>
      <c r="BA4383" s="3" t="s">
        <v>37958</v>
      </c>
      <c r="BB4383" s="3" t="s">
        <v>37959</v>
      </c>
      <c r="BC4383" s="3" t="s">
        <v>82</v>
      </c>
      <c r="BD4383" s="3" t="s">
        <v>70</v>
      </c>
      <c r="BE4383" s="3" t="s">
        <v>37960</v>
      </c>
      <c r="BF4383" s="3" t="s">
        <v>37959</v>
      </c>
      <c r="BG4383" s="3" t="s">
        <v>37961</v>
      </c>
    </row>
    <row r="4384" spans="1:59" ht="60" x14ac:dyDescent="0.25">
      <c r="A4384" s="2" t="s">
        <v>59</v>
      </c>
      <c r="B4384" s="2" t="s">
        <v>60</v>
      </c>
      <c r="C4384" s="2" t="s">
        <v>37950</v>
      </c>
      <c r="D4384" s="2" t="s">
        <v>37951</v>
      </c>
      <c r="E4384" s="2" t="s">
        <v>37952</v>
      </c>
      <c r="G4384" s="3" t="s">
        <v>63</v>
      </c>
      <c r="I4384" s="3" t="s">
        <v>62</v>
      </c>
      <c r="J4384" s="3" t="s">
        <v>63</v>
      </c>
      <c r="K4384" s="3" t="s">
        <v>64</v>
      </c>
      <c r="M4384" s="2" t="s">
        <v>37953</v>
      </c>
      <c r="N4384" s="3" t="s">
        <v>531</v>
      </c>
      <c r="P4384" s="3" t="s">
        <v>66</v>
      </c>
      <c r="Q4384" s="2" t="s">
        <v>37954</v>
      </c>
      <c r="R4384" s="3" t="s">
        <v>67</v>
      </c>
      <c r="S4384" s="4">
        <v>1</v>
      </c>
      <c r="T4384" s="4">
        <v>58</v>
      </c>
      <c r="U4384" s="5" t="s">
        <v>37955</v>
      </c>
      <c r="V4384" s="5" t="s">
        <v>37955</v>
      </c>
      <c r="W4384" s="5" t="s">
        <v>69</v>
      </c>
      <c r="X4384" s="5" t="s">
        <v>69</v>
      </c>
      <c r="Y4384" s="4">
        <v>147</v>
      </c>
      <c r="Z4384" s="4">
        <v>9</v>
      </c>
      <c r="AA4384" s="4">
        <v>10</v>
      </c>
      <c r="AB4384" s="4">
        <v>1</v>
      </c>
      <c r="AC4384" s="4">
        <v>2</v>
      </c>
      <c r="AD4384" s="4">
        <v>58</v>
      </c>
      <c r="AE4384" s="4">
        <v>59</v>
      </c>
      <c r="AF4384" s="4">
        <v>0</v>
      </c>
      <c r="AG4384" s="4">
        <v>1</v>
      </c>
      <c r="AH4384" s="4">
        <v>55</v>
      </c>
      <c r="AI4384" s="4">
        <v>56</v>
      </c>
      <c r="AJ4384" s="4">
        <v>7</v>
      </c>
      <c r="AK4384" s="4">
        <v>8</v>
      </c>
      <c r="AL4384" s="4">
        <v>30</v>
      </c>
      <c r="AM4384" s="4">
        <v>30</v>
      </c>
      <c r="AN4384" s="4">
        <v>0</v>
      </c>
      <c r="AO4384" s="4">
        <v>0</v>
      </c>
      <c r="AP4384" s="4">
        <v>7</v>
      </c>
      <c r="AQ4384" s="4">
        <v>8</v>
      </c>
      <c r="AR4384" s="3" t="s">
        <v>63</v>
      </c>
      <c r="AS4384" s="3" t="s">
        <v>63</v>
      </c>
      <c r="AT4384" s="3" t="s">
        <v>63</v>
      </c>
      <c r="AV4384" s="6" t="str">
        <f>HYPERLINK("http://mcgill.on.worldcat.org/oclc/25412672","Catalog Record")</f>
        <v>Catalog Record</v>
      </c>
      <c r="AW4384" s="6" t="str">
        <f>HYPERLINK("http://www.worldcat.org/oclc/25412672","WorldCat Record")</f>
        <v>WorldCat Record</v>
      </c>
      <c r="AX4384" s="3" t="s">
        <v>37956</v>
      </c>
      <c r="AY4384" s="3" t="s">
        <v>37957</v>
      </c>
      <c r="AZ4384" s="3" t="s">
        <v>37958</v>
      </c>
      <c r="BA4384" s="3" t="s">
        <v>37958</v>
      </c>
      <c r="BB4384" s="3" t="s">
        <v>37962</v>
      </c>
      <c r="BC4384" s="3" t="s">
        <v>82</v>
      </c>
      <c r="BD4384" s="3" t="s">
        <v>70</v>
      </c>
      <c r="BE4384" s="3" t="s">
        <v>37960</v>
      </c>
      <c r="BF4384" s="3" t="s">
        <v>37962</v>
      </c>
      <c r="BG4384" s="3" t="s">
        <v>37963</v>
      </c>
    </row>
    <row r="4385" spans="1:59" ht="60" x14ac:dyDescent="0.25">
      <c r="A4385" s="2" t="s">
        <v>59</v>
      </c>
      <c r="B4385" s="2" t="s">
        <v>60</v>
      </c>
      <c r="C4385" s="2" t="s">
        <v>37964</v>
      </c>
      <c r="D4385" s="2" t="s">
        <v>37965</v>
      </c>
      <c r="E4385" s="2" t="s">
        <v>37966</v>
      </c>
      <c r="G4385" s="3" t="s">
        <v>63</v>
      </c>
      <c r="I4385" s="3" t="s">
        <v>63</v>
      </c>
      <c r="J4385" s="3" t="s">
        <v>63</v>
      </c>
      <c r="K4385" s="3" t="s">
        <v>64</v>
      </c>
      <c r="L4385" s="2" t="s">
        <v>37967</v>
      </c>
      <c r="M4385" s="2" t="s">
        <v>37968</v>
      </c>
      <c r="N4385" s="3" t="s">
        <v>220</v>
      </c>
      <c r="P4385" s="3" t="s">
        <v>66</v>
      </c>
      <c r="Q4385" s="2" t="s">
        <v>27689</v>
      </c>
      <c r="R4385" s="3" t="s">
        <v>67</v>
      </c>
      <c r="S4385" s="4">
        <v>2</v>
      </c>
      <c r="T4385" s="4">
        <v>2</v>
      </c>
      <c r="U4385" s="5" t="s">
        <v>23035</v>
      </c>
      <c r="V4385" s="5" t="s">
        <v>23035</v>
      </c>
      <c r="W4385" s="5" t="s">
        <v>69</v>
      </c>
      <c r="X4385" s="5" t="s">
        <v>69</v>
      </c>
      <c r="Y4385" s="4">
        <v>394</v>
      </c>
      <c r="Z4385" s="4">
        <v>20</v>
      </c>
      <c r="AA4385" s="4">
        <v>23</v>
      </c>
      <c r="AB4385" s="4">
        <v>1</v>
      </c>
      <c r="AC4385" s="4">
        <v>4</v>
      </c>
      <c r="AD4385" s="4">
        <v>106</v>
      </c>
      <c r="AE4385" s="4">
        <v>109</v>
      </c>
      <c r="AF4385" s="4">
        <v>0</v>
      </c>
      <c r="AG4385" s="4">
        <v>3</v>
      </c>
      <c r="AH4385" s="4">
        <v>98</v>
      </c>
      <c r="AI4385" s="4">
        <v>99</v>
      </c>
      <c r="AJ4385" s="4">
        <v>12</v>
      </c>
      <c r="AK4385" s="4">
        <v>15</v>
      </c>
      <c r="AL4385" s="4">
        <v>54</v>
      </c>
      <c r="AM4385" s="4">
        <v>54</v>
      </c>
      <c r="AN4385" s="4">
        <v>0</v>
      </c>
      <c r="AO4385" s="4">
        <v>0</v>
      </c>
      <c r="AP4385" s="4">
        <v>14</v>
      </c>
      <c r="AQ4385" s="4">
        <v>16</v>
      </c>
      <c r="AR4385" s="3" t="s">
        <v>63</v>
      </c>
      <c r="AS4385" s="3" t="s">
        <v>63</v>
      </c>
      <c r="AT4385" s="3" t="s">
        <v>62</v>
      </c>
      <c r="AU4385" s="6" t="str">
        <f>HYPERLINK("http://catalog.hathitrust.org/Record/002633175","HathiTrust Record")</f>
        <v>HathiTrust Record</v>
      </c>
      <c r="AV4385" s="6" t="str">
        <f>HYPERLINK("http://mcgill.on.worldcat.org/oclc/26306564","Catalog Record")</f>
        <v>Catalog Record</v>
      </c>
      <c r="AW4385" s="6" t="str">
        <f>HYPERLINK("http://www.worldcat.org/oclc/26306564","WorldCat Record")</f>
        <v>WorldCat Record</v>
      </c>
      <c r="AX4385" s="3" t="s">
        <v>37969</v>
      </c>
      <c r="AY4385" s="3" t="s">
        <v>37970</v>
      </c>
      <c r="AZ4385" s="3" t="s">
        <v>37971</v>
      </c>
      <c r="BA4385" s="3" t="s">
        <v>37971</v>
      </c>
      <c r="BB4385" s="3" t="s">
        <v>37972</v>
      </c>
      <c r="BC4385" s="3" t="s">
        <v>82</v>
      </c>
      <c r="BD4385" s="3" t="s">
        <v>538</v>
      </c>
      <c r="BE4385" s="3" t="s">
        <v>37973</v>
      </c>
      <c r="BF4385" s="3" t="s">
        <v>37972</v>
      </c>
      <c r="BG4385" s="3" t="s">
        <v>37974</v>
      </c>
    </row>
    <row r="4386" spans="1:59" ht="60" x14ac:dyDescent="0.25">
      <c r="A4386" s="2" t="s">
        <v>59</v>
      </c>
      <c r="B4386" s="2" t="s">
        <v>60</v>
      </c>
      <c r="C4386" s="2" t="s">
        <v>37975</v>
      </c>
      <c r="D4386" s="2" t="s">
        <v>37976</v>
      </c>
      <c r="E4386" s="2" t="s">
        <v>37977</v>
      </c>
      <c r="G4386" s="3" t="s">
        <v>63</v>
      </c>
      <c r="I4386" s="3" t="s">
        <v>63</v>
      </c>
      <c r="J4386" s="3" t="s">
        <v>63</v>
      </c>
      <c r="K4386" s="3" t="s">
        <v>64</v>
      </c>
      <c r="L4386" s="2" t="s">
        <v>37978</v>
      </c>
      <c r="M4386" s="2" t="s">
        <v>37979</v>
      </c>
      <c r="N4386" s="3" t="s">
        <v>374</v>
      </c>
      <c r="P4386" s="3" t="s">
        <v>66</v>
      </c>
      <c r="R4386" s="3" t="s">
        <v>67</v>
      </c>
      <c r="S4386" s="4">
        <v>25</v>
      </c>
      <c r="T4386" s="4">
        <v>25</v>
      </c>
      <c r="U4386" s="5" t="s">
        <v>22931</v>
      </c>
      <c r="V4386" s="5" t="s">
        <v>22931</v>
      </c>
      <c r="W4386" s="5" t="s">
        <v>69</v>
      </c>
      <c r="X4386" s="5" t="s">
        <v>69</v>
      </c>
      <c r="Y4386" s="4">
        <v>290</v>
      </c>
      <c r="Z4386" s="4">
        <v>17</v>
      </c>
      <c r="AA4386" s="4">
        <v>19</v>
      </c>
      <c r="AB4386" s="4">
        <v>1</v>
      </c>
      <c r="AC4386" s="4">
        <v>3</v>
      </c>
      <c r="AD4386" s="4">
        <v>104</v>
      </c>
      <c r="AE4386" s="4">
        <v>107</v>
      </c>
      <c r="AF4386" s="4">
        <v>0</v>
      </c>
      <c r="AG4386" s="4">
        <v>2</v>
      </c>
      <c r="AH4386" s="4">
        <v>96</v>
      </c>
      <c r="AI4386" s="4">
        <v>98</v>
      </c>
      <c r="AJ4386" s="4">
        <v>10</v>
      </c>
      <c r="AK4386" s="4">
        <v>12</v>
      </c>
      <c r="AL4386" s="4">
        <v>54</v>
      </c>
      <c r="AM4386" s="4">
        <v>55</v>
      </c>
      <c r="AN4386" s="4">
        <v>0</v>
      </c>
      <c r="AO4386" s="4">
        <v>0</v>
      </c>
      <c r="AP4386" s="4">
        <v>12</v>
      </c>
      <c r="AQ4386" s="4">
        <v>14</v>
      </c>
      <c r="AR4386" s="3" t="s">
        <v>63</v>
      </c>
      <c r="AS4386" s="3" t="s">
        <v>63</v>
      </c>
      <c r="AT4386" s="3" t="s">
        <v>62</v>
      </c>
      <c r="AU4386" s="6" t="str">
        <f>HYPERLINK("http://catalog.hathitrust.org/Record/002996040","HathiTrust Record")</f>
        <v>HathiTrust Record</v>
      </c>
      <c r="AV4386" s="6" t="str">
        <f>HYPERLINK("http://mcgill.on.worldcat.org/oclc/31708372","Catalog Record")</f>
        <v>Catalog Record</v>
      </c>
      <c r="AW4386" s="6" t="str">
        <f>HYPERLINK("http://www.worldcat.org/oclc/31708372","WorldCat Record")</f>
        <v>WorldCat Record</v>
      </c>
      <c r="AX4386" s="3" t="s">
        <v>37980</v>
      </c>
      <c r="AY4386" s="3" t="s">
        <v>37981</v>
      </c>
      <c r="AZ4386" s="3" t="s">
        <v>37982</v>
      </c>
      <c r="BA4386" s="3" t="s">
        <v>37982</v>
      </c>
      <c r="BB4386" s="3" t="s">
        <v>37983</v>
      </c>
      <c r="BC4386" s="3" t="s">
        <v>82</v>
      </c>
      <c r="BD4386" s="3" t="s">
        <v>538</v>
      </c>
      <c r="BE4386" s="3" t="s">
        <v>37984</v>
      </c>
      <c r="BF4386" s="3" t="s">
        <v>37983</v>
      </c>
      <c r="BG4386" s="3" t="s">
        <v>37985</v>
      </c>
    </row>
    <row r="4387" spans="1:59" ht="60" x14ac:dyDescent="0.25">
      <c r="A4387" s="2" t="s">
        <v>59</v>
      </c>
      <c r="B4387" s="2" t="s">
        <v>60</v>
      </c>
      <c r="C4387" s="2" t="s">
        <v>37986</v>
      </c>
      <c r="D4387" s="2" t="s">
        <v>37987</v>
      </c>
      <c r="E4387" s="2" t="s">
        <v>37988</v>
      </c>
      <c r="G4387" s="3" t="s">
        <v>63</v>
      </c>
      <c r="I4387" s="3" t="s">
        <v>63</v>
      </c>
      <c r="J4387" s="3" t="s">
        <v>63</v>
      </c>
      <c r="K4387" s="3" t="s">
        <v>64</v>
      </c>
      <c r="L4387" s="2" t="s">
        <v>37989</v>
      </c>
      <c r="M4387" s="2" t="s">
        <v>37990</v>
      </c>
      <c r="N4387" s="3" t="s">
        <v>106</v>
      </c>
      <c r="O4387" s="2" t="s">
        <v>1605</v>
      </c>
      <c r="P4387" s="3" t="s">
        <v>66</v>
      </c>
      <c r="Q4387" s="2" t="s">
        <v>37991</v>
      </c>
      <c r="R4387" s="3" t="s">
        <v>67</v>
      </c>
      <c r="S4387" s="4">
        <v>1</v>
      </c>
      <c r="T4387" s="4">
        <v>1</v>
      </c>
      <c r="W4387" s="5" t="s">
        <v>69</v>
      </c>
      <c r="X4387" s="5" t="s">
        <v>69</v>
      </c>
      <c r="Y4387" s="4">
        <v>75</v>
      </c>
      <c r="Z4387" s="4">
        <v>9</v>
      </c>
      <c r="AA4387" s="4">
        <v>36</v>
      </c>
      <c r="AB4387" s="4">
        <v>1</v>
      </c>
      <c r="AC4387" s="4">
        <v>11</v>
      </c>
      <c r="AD4387" s="4">
        <v>41</v>
      </c>
      <c r="AE4387" s="4">
        <v>82</v>
      </c>
      <c r="AF4387" s="4">
        <v>0</v>
      </c>
      <c r="AG4387" s="4">
        <v>5</v>
      </c>
      <c r="AH4387" s="4">
        <v>40</v>
      </c>
      <c r="AI4387" s="4">
        <v>65</v>
      </c>
      <c r="AJ4387" s="4">
        <v>5</v>
      </c>
      <c r="AK4387" s="4">
        <v>17</v>
      </c>
      <c r="AL4387" s="4">
        <v>28</v>
      </c>
      <c r="AM4387" s="4">
        <v>40</v>
      </c>
      <c r="AN4387" s="4">
        <v>0</v>
      </c>
      <c r="AO4387" s="4">
        <v>0</v>
      </c>
      <c r="AP4387" s="4">
        <v>5</v>
      </c>
      <c r="AQ4387" s="4">
        <v>22</v>
      </c>
      <c r="AR4387" s="3" t="s">
        <v>63</v>
      </c>
      <c r="AS4387" s="3" t="s">
        <v>63</v>
      </c>
      <c r="AT4387" s="3" t="s">
        <v>63</v>
      </c>
      <c r="AV4387" s="6" t="str">
        <f>HYPERLINK("http://mcgill.on.worldcat.org/oclc/918148703","Catalog Record")</f>
        <v>Catalog Record</v>
      </c>
      <c r="AW4387" s="6" t="str">
        <f>HYPERLINK("http://www.worldcat.org/oclc/918148703","WorldCat Record")</f>
        <v>WorldCat Record</v>
      </c>
      <c r="AX4387" s="3" t="s">
        <v>37992</v>
      </c>
      <c r="AY4387" s="3" t="s">
        <v>37993</v>
      </c>
      <c r="AZ4387" s="3" t="s">
        <v>37994</v>
      </c>
      <c r="BA4387" s="3" t="s">
        <v>37994</v>
      </c>
      <c r="BB4387" s="3" t="s">
        <v>37995</v>
      </c>
      <c r="BC4387" s="3" t="s">
        <v>82</v>
      </c>
      <c r="BD4387" s="3" t="s">
        <v>538</v>
      </c>
      <c r="BE4387" s="3" t="s">
        <v>37996</v>
      </c>
      <c r="BF4387" s="3" t="s">
        <v>37995</v>
      </c>
      <c r="BG4387" s="3" t="s">
        <v>37997</v>
      </c>
    </row>
    <row r="4388" spans="1:59" ht="60" x14ac:dyDescent="0.25">
      <c r="A4388" s="2" t="s">
        <v>59</v>
      </c>
      <c r="B4388" s="2" t="s">
        <v>60</v>
      </c>
      <c r="C4388" s="2" t="s">
        <v>37998</v>
      </c>
      <c r="D4388" s="2" t="s">
        <v>37999</v>
      </c>
      <c r="E4388" s="2" t="s">
        <v>38000</v>
      </c>
      <c r="G4388" s="3" t="s">
        <v>63</v>
      </c>
      <c r="I4388" s="3" t="s">
        <v>63</v>
      </c>
      <c r="J4388" s="3" t="s">
        <v>63</v>
      </c>
      <c r="K4388" s="3" t="s">
        <v>64</v>
      </c>
      <c r="L4388" s="2" t="s">
        <v>38001</v>
      </c>
      <c r="M4388" s="2" t="s">
        <v>38002</v>
      </c>
      <c r="N4388" s="3" t="s">
        <v>274</v>
      </c>
      <c r="O4388" s="2" t="s">
        <v>590</v>
      </c>
      <c r="P4388" s="3" t="s">
        <v>66</v>
      </c>
      <c r="R4388" s="3" t="s">
        <v>67</v>
      </c>
      <c r="S4388" s="4">
        <v>4</v>
      </c>
      <c r="T4388" s="4">
        <v>4</v>
      </c>
      <c r="U4388" s="5" t="s">
        <v>4955</v>
      </c>
      <c r="V4388" s="5" t="s">
        <v>4955</v>
      </c>
      <c r="W4388" s="5" t="s">
        <v>69</v>
      </c>
      <c r="X4388" s="5" t="s">
        <v>69</v>
      </c>
      <c r="Y4388" s="4">
        <v>52</v>
      </c>
      <c r="Z4388" s="4">
        <v>4</v>
      </c>
      <c r="AA4388" s="4">
        <v>4</v>
      </c>
      <c r="AB4388" s="4">
        <v>1</v>
      </c>
      <c r="AC4388" s="4">
        <v>1</v>
      </c>
      <c r="AD4388" s="4">
        <v>28</v>
      </c>
      <c r="AE4388" s="4">
        <v>28</v>
      </c>
      <c r="AF4388" s="4">
        <v>0</v>
      </c>
      <c r="AG4388" s="4">
        <v>0</v>
      </c>
      <c r="AH4388" s="4">
        <v>27</v>
      </c>
      <c r="AI4388" s="4">
        <v>27</v>
      </c>
      <c r="AJ4388" s="4">
        <v>2</v>
      </c>
      <c r="AK4388" s="4">
        <v>2</v>
      </c>
      <c r="AL4388" s="4">
        <v>18</v>
      </c>
      <c r="AM4388" s="4">
        <v>18</v>
      </c>
      <c r="AN4388" s="4">
        <v>0</v>
      </c>
      <c r="AO4388" s="4">
        <v>0</v>
      </c>
      <c r="AP4388" s="4">
        <v>2</v>
      </c>
      <c r="AQ4388" s="4">
        <v>2</v>
      </c>
      <c r="AR4388" s="3" t="s">
        <v>63</v>
      </c>
      <c r="AS4388" s="3" t="s">
        <v>63</v>
      </c>
      <c r="AT4388" s="3" t="s">
        <v>63</v>
      </c>
      <c r="AV4388" s="6" t="str">
        <f>HYPERLINK("http://mcgill.on.worldcat.org/oclc/42758204","Catalog Record")</f>
        <v>Catalog Record</v>
      </c>
      <c r="AW4388" s="6" t="str">
        <f>HYPERLINK("http://www.worldcat.org/oclc/42758204","WorldCat Record")</f>
        <v>WorldCat Record</v>
      </c>
      <c r="AX4388" s="3" t="s">
        <v>38003</v>
      </c>
      <c r="AY4388" s="3" t="s">
        <v>38004</v>
      </c>
      <c r="AZ4388" s="3" t="s">
        <v>38005</v>
      </c>
      <c r="BA4388" s="3" t="s">
        <v>38005</v>
      </c>
      <c r="BB4388" s="3" t="s">
        <v>38006</v>
      </c>
      <c r="BC4388" s="3" t="s">
        <v>82</v>
      </c>
      <c r="BD4388" s="3" t="s">
        <v>70</v>
      </c>
      <c r="BE4388" s="3" t="s">
        <v>38007</v>
      </c>
      <c r="BF4388" s="3" t="s">
        <v>38006</v>
      </c>
      <c r="BG4388" s="3" t="s">
        <v>38008</v>
      </c>
    </row>
    <row r="4389" spans="1:59" ht="75" x14ac:dyDescent="0.25">
      <c r="A4389" s="2" t="s">
        <v>59</v>
      </c>
      <c r="B4389" s="2" t="s">
        <v>60</v>
      </c>
      <c r="C4389" s="2" t="s">
        <v>38009</v>
      </c>
      <c r="D4389" s="2" t="s">
        <v>38010</v>
      </c>
      <c r="E4389" s="2" t="s">
        <v>38011</v>
      </c>
      <c r="G4389" s="3" t="s">
        <v>63</v>
      </c>
      <c r="I4389" s="3" t="s">
        <v>63</v>
      </c>
      <c r="J4389" s="3" t="s">
        <v>63</v>
      </c>
      <c r="K4389" s="3" t="s">
        <v>64</v>
      </c>
      <c r="L4389" s="2" t="s">
        <v>38012</v>
      </c>
      <c r="M4389" s="2" t="s">
        <v>38013</v>
      </c>
      <c r="N4389" s="3" t="s">
        <v>1343</v>
      </c>
      <c r="O4389" s="2" t="s">
        <v>36850</v>
      </c>
      <c r="P4389" s="3" t="s">
        <v>66</v>
      </c>
      <c r="R4389" s="3" t="s">
        <v>67</v>
      </c>
      <c r="S4389" s="4">
        <v>5</v>
      </c>
      <c r="T4389" s="4">
        <v>5</v>
      </c>
      <c r="U4389" s="5" t="s">
        <v>17666</v>
      </c>
      <c r="V4389" s="5" t="s">
        <v>17666</v>
      </c>
      <c r="W4389" s="5" t="s">
        <v>69</v>
      </c>
      <c r="X4389" s="5" t="s">
        <v>69</v>
      </c>
      <c r="Y4389" s="4">
        <v>248</v>
      </c>
      <c r="Z4389" s="4">
        <v>16</v>
      </c>
      <c r="AA4389" s="4">
        <v>28</v>
      </c>
      <c r="AB4389" s="4">
        <v>1</v>
      </c>
      <c r="AC4389" s="4">
        <v>3</v>
      </c>
      <c r="AD4389" s="4">
        <v>72</v>
      </c>
      <c r="AE4389" s="4">
        <v>74</v>
      </c>
      <c r="AF4389" s="4">
        <v>0</v>
      </c>
      <c r="AG4389" s="4">
        <v>0</v>
      </c>
      <c r="AH4389" s="4">
        <v>65</v>
      </c>
      <c r="AI4389" s="4">
        <v>66</v>
      </c>
      <c r="AJ4389" s="4">
        <v>6</v>
      </c>
      <c r="AK4389" s="4">
        <v>7</v>
      </c>
      <c r="AL4389" s="4">
        <v>41</v>
      </c>
      <c r="AM4389" s="4">
        <v>42</v>
      </c>
      <c r="AN4389" s="4">
        <v>0</v>
      </c>
      <c r="AO4389" s="4">
        <v>0</v>
      </c>
      <c r="AP4389" s="4">
        <v>8</v>
      </c>
      <c r="AQ4389" s="4">
        <v>9</v>
      </c>
      <c r="AR4389" s="3" t="s">
        <v>63</v>
      </c>
      <c r="AS4389" s="3" t="s">
        <v>63</v>
      </c>
      <c r="AT4389" s="3" t="s">
        <v>62</v>
      </c>
      <c r="AU4389" s="6" t="str">
        <f>HYPERLINK("http://catalog.hathitrust.org/Record/004077270","HathiTrust Record")</f>
        <v>HathiTrust Record</v>
      </c>
      <c r="AV4389" s="6" t="str">
        <f>HYPERLINK("http://mcgill.on.worldcat.org/oclc/41531570","Catalog Record")</f>
        <v>Catalog Record</v>
      </c>
      <c r="AW4389" s="6" t="str">
        <f>HYPERLINK("http://www.worldcat.org/oclc/41531570","WorldCat Record")</f>
        <v>WorldCat Record</v>
      </c>
      <c r="AX4389" s="3" t="s">
        <v>38014</v>
      </c>
      <c r="AY4389" s="3" t="s">
        <v>38015</v>
      </c>
      <c r="AZ4389" s="3" t="s">
        <v>38016</v>
      </c>
      <c r="BA4389" s="3" t="s">
        <v>38016</v>
      </c>
      <c r="BB4389" s="3" t="s">
        <v>38017</v>
      </c>
      <c r="BC4389" s="3" t="s">
        <v>82</v>
      </c>
      <c r="BD4389" s="3" t="s">
        <v>538</v>
      </c>
      <c r="BE4389" s="3" t="s">
        <v>38018</v>
      </c>
      <c r="BF4389" s="3" t="s">
        <v>38017</v>
      </c>
      <c r="BG4389" s="3" t="s">
        <v>38019</v>
      </c>
    </row>
    <row r="4390" spans="1:59" ht="60" x14ac:dyDescent="0.25">
      <c r="A4390" s="2" t="s">
        <v>59</v>
      </c>
      <c r="B4390" s="2" t="s">
        <v>60</v>
      </c>
      <c r="C4390" s="2" t="s">
        <v>38020</v>
      </c>
      <c r="D4390" s="2" t="s">
        <v>38021</v>
      </c>
      <c r="E4390" s="2" t="s">
        <v>38022</v>
      </c>
      <c r="G4390" s="3" t="s">
        <v>63</v>
      </c>
      <c r="I4390" s="3" t="s">
        <v>63</v>
      </c>
      <c r="J4390" s="3" t="s">
        <v>63</v>
      </c>
      <c r="K4390" s="3" t="s">
        <v>64</v>
      </c>
      <c r="L4390" s="2" t="s">
        <v>38023</v>
      </c>
      <c r="M4390" s="2" t="s">
        <v>38024</v>
      </c>
      <c r="N4390" s="3" t="s">
        <v>2535</v>
      </c>
      <c r="P4390" s="3" t="s">
        <v>66</v>
      </c>
      <c r="R4390" s="3" t="s">
        <v>67</v>
      </c>
      <c r="S4390" s="4">
        <v>4</v>
      </c>
      <c r="T4390" s="4">
        <v>4</v>
      </c>
      <c r="U4390" s="5" t="s">
        <v>38025</v>
      </c>
      <c r="V4390" s="5" t="s">
        <v>38025</v>
      </c>
      <c r="W4390" s="5" t="s">
        <v>69</v>
      </c>
      <c r="X4390" s="5" t="s">
        <v>69</v>
      </c>
      <c r="Y4390" s="4">
        <v>98</v>
      </c>
      <c r="Z4390" s="4">
        <v>12</v>
      </c>
      <c r="AA4390" s="4">
        <v>19</v>
      </c>
      <c r="AB4390" s="4">
        <v>1</v>
      </c>
      <c r="AC4390" s="4">
        <v>2</v>
      </c>
      <c r="AD4390" s="4">
        <v>33</v>
      </c>
      <c r="AE4390" s="4">
        <v>102</v>
      </c>
      <c r="AF4390" s="4">
        <v>0</v>
      </c>
      <c r="AG4390" s="4">
        <v>1</v>
      </c>
      <c r="AH4390" s="4">
        <v>29</v>
      </c>
      <c r="AI4390" s="4">
        <v>93</v>
      </c>
      <c r="AJ4390" s="4">
        <v>7</v>
      </c>
      <c r="AK4390" s="4">
        <v>12</v>
      </c>
      <c r="AL4390" s="4">
        <v>21</v>
      </c>
      <c r="AM4390" s="4">
        <v>54</v>
      </c>
      <c r="AN4390" s="4">
        <v>0</v>
      </c>
      <c r="AO4390" s="4">
        <v>5</v>
      </c>
      <c r="AP4390" s="4">
        <v>6</v>
      </c>
      <c r="AQ4390" s="4">
        <v>12</v>
      </c>
      <c r="AR4390" s="3" t="s">
        <v>63</v>
      </c>
      <c r="AS4390" s="3" t="s">
        <v>63</v>
      </c>
      <c r="AT4390" s="3" t="s">
        <v>62</v>
      </c>
      <c r="AU4390" s="6" t="str">
        <f>HYPERLINK("http://catalog.hathitrust.org/Record/001231333","HathiTrust Record")</f>
        <v>HathiTrust Record</v>
      </c>
      <c r="AV4390" s="6" t="str">
        <f>HYPERLINK("http://mcgill.on.worldcat.org/oclc/731650","Catalog Record")</f>
        <v>Catalog Record</v>
      </c>
      <c r="AW4390" s="6" t="str">
        <f>HYPERLINK("http://www.worldcat.org/oclc/731650","WorldCat Record")</f>
        <v>WorldCat Record</v>
      </c>
      <c r="AX4390" s="3" t="s">
        <v>38026</v>
      </c>
      <c r="AY4390" s="3" t="s">
        <v>38027</v>
      </c>
      <c r="AZ4390" s="3" t="s">
        <v>38028</v>
      </c>
      <c r="BA4390" s="3" t="s">
        <v>38028</v>
      </c>
      <c r="BB4390" s="3" t="s">
        <v>38029</v>
      </c>
      <c r="BC4390" s="3" t="s">
        <v>82</v>
      </c>
      <c r="BD4390" s="3" t="s">
        <v>70</v>
      </c>
      <c r="BE4390" s="3" t="s">
        <v>38030</v>
      </c>
      <c r="BF4390" s="3" t="s">
        <v>38029</v>
      </c>
      <c r="BG4390" s="3" t="s">
        <v>38031</v>
      </c>
    </row>
    <row r="4391" spans="1:59" ht="75" x14ac:dyDescent="0.25">
      <c r="A4391" s="2" t="s">
        <v>59</v>
      </c>
      <c r="B4391" s="2" t="s">
        <v>60</v>
      </c>
      <c r="C4391" s="2" t="s">
        <v>38032</v>
      </c>
      <c r="D4391" s="2" t="s">
        <v>38033</v>
      </c>
      <c r="E4391" s="2" t="s">
        <v>38034</v>
      </c>
      <c r="G4391" s="3" t="s">
        <v>63</v>
      </c>
      <c r="I4391" s="3" t="s">
        <v>63</v>
      </c>
      <c r="J4391" s="3" t="s">
        <v>63</v>
      </c>
      <c r="K4391" s="3" t="s">
        <v>64</v>
      </c>
      <c r="L4391" s="2" t="s">
        <v>38035</v>
      </c>
      <c r="M4391" s="2" t="s">
        <v>38036</v>
      </c>
      <c r="N4391" s="3" t="s">
        <v>1418</v>
      </c>
      <c r="P4391" s="3" t="s">
        <v>66</v>
      </c>
      <c r="R4391" s="3" t="s">
        <v>67</v>
      </c>
      <c r="S4391" s="4">
        <v>24</v>
      </c>
      <c r="T4391" s="4">
        <v>24</v>
      </c>
      <c r="U4391" s="5" t="s">
        <v>38037</v>
      </c>
      <c r="V4391" s="5" t="s">
        <v>38037</v>
      </c>
      <c r="W4391" s="5" t="s">
        <v>69</v>
      </c>
      <c r="X4391" s="5" t="s">
        <v>69</v>
      </c>
      <c r="Y4391" s="4">
        <v>372</v>
      </c>
      <c r="Z4391" s="4">
        <v>19</v>
      </c>
      <c r="AA4391" s="4">
        <v>20</v>
      </c>
      <c r="AB4391" s="4">
        <v>2</v>
      </c>
      <c r="AC4391" s="4">
        <v>3</v>
      </c>
      <c r="AD4391" s="4">
        <v>92</v>
      </c>
      <c r="AE4391" s="4">
        <v>93</v>
      </c>
      <c r="AF4391" s="4">
        <v>0</v>
      </c>
      <c r="AG4391" s="4">
        <v>1</v>
      </c>
      <c r="AH4391" s="4">
        <v>84</v>
      </c>
      <c r="AI4391" s="4">
        <v>84</v>
      </c>
      <c r="AJ4391" s="4">
        <v>13</v>
      </c>
      <c r="AK4391" s="4">
        <v>14</v>
      </c>
      <c r="AL4391" s="4">
        <v>49</v>
      </c>
      <c r="AM4391" s="4">
        <v>49</v>
      </c>
      <c r="AN4391" s="4">
        <v>0</v>
      </c>
      <c r="AO4391" s="4">
        <v>0</v>
      </c>
      <c r="AP4391" s="4">
        <v>15</v>
      </c>
      <c r="AQ4391" s="4">
        <v>15</v>
      </c>
      <c r="AR4391" s="3" t="s">
        <v>63</v>
      </c>
      <c r="AS4391" s="3" t="s">
        <v>63</v>
      </c>
      <c r="AT4391" s="3" t="s">
        <v>62</v>
      </c>
      <c r="AU4391" s="6" t="str">
        <f>HYPERLINK("http://catalog.hathitrust.org/Record/007105666","HathiTrust Record")</f>
        <v>HathiTrust Record</v>
      </c>
      <c r="AV4391" s="6" t="str">
        <f>HYPERLINK("http://mcgill.on.worldcat.org/oclc/16794170","Catalog Record")</f>
        <v>Catalog Record</v>
      </c>
      <c r="AW4391" s="6" t="str">
        <f>HYPERLINK("http://www.worldcat.org/oclc/16794170","WorldCat Record")</f>
        <v>WorldCat Record</v>
      </c>
      <c r="AX4391" s="3" t="s">
        <v>38038</v>
      </c>
      <c r="AY4391" s="3" t="s">
        <v>38039</v>
      </c>
      <c r="AZ4391" s="3" t="s">
        <v>38040</v>
      </c>
      <c r="BA4391" s="3" t="s">
        <v>38040</v>
      </c>
      <c r="BB4391" s="3" t="s">
        <v>38041</v>
      </c>
      <c r="BC4391" s="3" t="s">
        <v>82</v>
      </c>
      <c r="BD4391" s="3" t="s">
        <v>70</v>
      </c>
      <c r="BE4391" s="3" t="s">
        <v>38042</v>
      </c>
      <c r="BF4391" s="3" t="s">
        <v>38041</v>
      </c>
      <c r="BG4391" s="3" t="s">
        <v>38043</v>
      </c>
    </row>
    <row r="4392" spans="1:59" ht="60" x14ac:dyDescent="0.25">
      <c r="A4392" s="2" t="s">
        <v>59</v>
      </c>
      <c r="B4392" s="2" t="s">
        <v>60</v>
      </c>
      <c r="C4392" s="2" t="s">
        <v>335</v>
      </c>
      <c r="D4392" s="2" t="s">
        <v>336</v>
      </c>
      <c r="E4392" s="2" t="s">
        <v>337</v>
      </c>
      <c r="G4392" s="3" t="s">
        <v>63</v>
      </c>
      <c r="I4392" s="3" t="s">
        <v>63</v>
      </c>
      <c r="J4392" s="3" t="s">
        <v>63</v>
      </c>
      <c r="K4392" s="3" t="s">
        <v>64</v>
      </c>
      <c r="M4392" s="2" t="s">
        <v>338</v>
      </c>
      <c r="N4392" s="3" t="s">
        <v>204</v>
      </c>
      <c r="P4392" s="3" t="s">
        <v>66</v>
      </c>
      <c r="R4392" s="3" t="s">
        <v>67</v>
      </c>
      <c r="S4392" s="4">
        <v>12</v>
      </c>
      <c r="T4392" s="4">
        <v>12</v>
      </c>
      <c r="U4392" s="5" t="s">
        <v>339</v>
      </c>
      <c r="V4392" s="5" t="s">
        <v>339</v>
      </c>
      <c r="W4392" s="5" t="s">
        <v>69</v>
      </c>
      <c r="X4392" s="5" t="s">
        <v>69</v>
      </c>
      <c r="Y4392" s="4">
        <v>343</v>
      </c>
      <c r="Z4392" s="4">
        <v>21</v>
      </c>
      <c r="AA4392" s="4">
        <v>21</v>
      </c>
      <c r="AB4392" s="4">
        <v>1</v>
      </c>
      <c r="AC4392" s="4">
        <v>1</v>
      </c>
      <c r="AD4392" s="4">
        <v>112</v>
      </c>
      <c r="AE4392" s="4">
        <v>112</v>
      </c>
      <c r="AF4392" s="4">
        <v>0</v>
      </c>
      <c r="AG4392" s="4">
        <v>0</v>
      </c>
      <c r="AH4392" s="4">
        <v>103</v>
      </c>
      <c r="AI4392" s="4">
        <v>103</v>
      </c>
      <c r="AJ4392" s="4">
        <v>14</v>
      </c>
      <c r="AK4392" s="4">
        <v>14</v>
      </c>
      <c r="AL4392" s="4">
        <v>59</v>
      </c>
      <c r="AM4392" s="4">
        <v>59</v>
      </c>
      <c r="AN4392" s="4">
        <v>0</v>
      </c>
      <c r="AO4392" s="4">
        <v>0</v>
      </c>
      <c r="AP4392" s="4">
        <v>15</v>
      </c>
      <c r="AQ4392" s="4">
        <v>15</v>
      </c>
      <c r="AR4392" s="3" t="s">
        <v>63</v>
      </c>
      <c r="AS4392" s="3" t="s">
        <v>63</v>
      </c>
      <c r="AT4392" s="3" t="s">
        <v>62</v>
      </c>
      <c r="AU4392" s="6" t="str">
        <f>HYPERLINK("http://catalog.hathitrust.org/Record/003067297","HathiTrust Record")</f>
        <v>HathiTrust Record</v>
      </c>
      <c r="AV4392" s="6" t="str">
        <f>HYPERLINK("http://mcgill.on.worldcat.org/oclc/33443392","Catalog Record")</f>
        <v>Catalog Record</v>
      </c>
      <c r="AW4392" s="6" t="str">
        <f>HYPERLINK("http://www.worldcat.org/oclc/33443392","WorldCat Record")</f>
        <v>WorldCat Record</v>
      </c>
      <c r="AX4392" s="3" t="s">
        <v>340</v>
      </c>
      <c r="AY4392" s="3" t="s">
        <v>341</v>
      </c>
      <c r="AZ4392" s="3" t="s">
        <v>342</v>
      </c>
      <c r="BA4392" s="3" t="s">
        <v>342</v>
      </c>
      <c r="BB4392" s="3" t="s">
        <v>343</v>
      </c>
      <c r="BC4392" s="3" t="s">
        <v>82</v>
      </c>
      <c r="BD4392" s="3" t="s">
        <v>70</v>
      </c>
      <c r="BE4392" s="3" t="s">
        <v>344</v>
      </c>
      <c r="BF4392" s="3" t="s">
        <v>343</v>
      </c>
      <c r="BG4392" s="3" t="s">
        <v>345</v>
      </c>
    </row>
    <row r="4393" spans="1:59" ht="75" x14ac:dyDescent="0.25">
      <c r="A4393" s="2" t="s">
        <v>59</v>
      </c>
      <c r="B4393" s="2" t="s">
        <v>60</v>
      </c>
      <c r="C4393" s="2" t="s">
        <v>38044</v>
      </c>
      <c r="D4393" s="2" t="s">
        <v>38045</v>
      </c>
      <c r="E4393" s="2" t="s">
        <v>38046</v>
      </c>
      <c r="G4393" s="3" t="s">
        <v>63</v>
      </c>
      <c r="I4393" s="3" t="s">
        <v>63</v>
      </c>
      <c r="J4393" s="3" t="s">
        <v>62</v>
      </c>
      <c r="K4393" s="3" t="s">
        <v>64</v>
      </c>
      <c r="L4393" s="2" t="s">
        <v>37256</v>
      </c>
      <c r="M4393" s="2" t="s">
        <v>38047</v>
      </c>
      <c r="N4393" s="3" t="s">
        <v>826</v>
      </c>
      <c r="P4393" s="3" t="s">
        <v>66</v>
      </c>
      <c r="R4393" s="3" t="s">
        <v>67</v>
      </c>
      <c r="S4393" s="4">
        <v>4</v>
      </c>
      <c r="T4393" s="4">
        <v>4</v>
      </c>
      <c r="U4393" s="5" t="s">
        <v>2284</v>
      </c>
      <c r="V4393" s="5" t="s">
        <v>2284</v>
      </c>
      <c r="W4393" s="5" t="s">
        <v>69</v>
      </c>
      <c r="X4393" s="5" t="s">
        <v>69</v>
      </c>
      <c r="Y4393" s="4">
        <v>233</v>
      </c>
      <c r="Z4393" s="4">
        <v>11</v>
      </c>
      <c r="AA4393" s="4">
        <v>18</v>
      </c>
      <c r="AB4393" s="4">
        <v>1</v>
      </c>
      <c r="AC4393" s="4">
        <v>3</v>
      </c>
      <c r="AD4393" s="4">
        <v>67</v>
      </c>
      <c r="AE4393" s="4">
        <v>80</v>
      </c>
      <c r="AF4393" s="4">
        <v>0</v>
      </c>
      <c r="AG4393" s="4">
        <v>1</v>
      </c>
      <c r="AH4393" s="4">
        <v>61</v>
      </c>
      <c r="AI4393" s="4">
        <v>71</v>
      </c>
      <c r="AJ4393" s="4">
        <v>4</v>
      </c>
      <c r="AK4393" s="4">
        <v>7</v>
      </c>
      <c r="AL4393" s="4">
        <v>34</v>
      </c>
      <c r="AM4393" s="4">
        <v>42</v>
      </c>
      <c r="AN4393" s="4">
        <v>0</v>
      </c>
      <c r="AO4393" s="4">
        <v>0</v>
      </c>
      <c r="AP4393" s="4">
        <v>7</v>
      </c>
      <c r="AQ4393" s="4">
        <v>9</v>
      </c>
      <c r="AR4393" s="3" t="s">
        <v>63</v>
      </c>
      <c r="AS4393" s="3" t="s">
        <v>63</v>
      </c>
      <c r="AT4393" s="3" t="s">
        <v>62</v>
      </c>
      <c r="AU4393" s="6" t="str">
        <f>HYPERLINK("http://catalog.hathitrust.org/Record/001231252","HathiTrust Record")</f>
        <v>HathiTrust Record</v>
      </c>
      <c r="AV4393" s="6" t="str">
        <f>HYPERLINK("http://mcgill.on.worldcat.org/oclc/128724","Catalog Record")</f>
        <v>Catalog Record</v>
      </c>
      <c r="AW4393" s="6" t="str">
        <f>HYPERLINK("http://www.worldcat.org/oclc/128724","WorldCat Record")</f>
        <v>WorldCat Record</v>
      </c>
      <c r="AX4393" s="3" t="s">
        <v>37258</v>
      </c>
      <c r="AY4393" s="3" t="s">
        <v>38048</v>
      </c>
      <c r="AZ4393" s="3" t="s">
        <v>38049</v>
      </c>
      <c r="BA4393" s="3" t="s">
        <v>38049</v>
      </c>
      <c r="BB4393" s="3" t="s">
        <v>38050</v>
      </c>
      <c r="BC4393" s="3" t="s">
        <v>82</v>
      </c>
      <c r="BD4393" s="3" t="s">
        <v>70</v>
      </c>
      <c r="BE4393" s="3" t="s">
        <v>38051</v>
      </c>
      <c r="BF4393" s="3" t="s">
        <v>38050</v>
      </c>
      <c r="BG4393" s="3" t="s">
        <v>38052</v>
      </c>
    </row>
    <row r="4394" spans="1:59" ht="90" x14ac:dyDescent="0.25">
      <c r="A4394" s="2" t="s">
        <v>59</v>
      </c>
      <c r="B4394" s="2" t="s">
        <v>60</v>
      </c>
      <c r="C4394" s="2" t="s">
        <v>38053</v>
      </c>
      <c r="D4394" s="2" t="s">
        <v>38054</v>
      </c>
      <c r="E4394" s="2" t="s">
        <v>38055</v>
      </c>
      <c r="G4394" s="3" t="s">
        <v>63</v>
      </c>
      <c r="I4394" s="3" t="s">
        <v>63</v>
      </c>
      <c r="J4394" s="3" t="s">
        <v>63</v>
      </c>
      <c r="K4394" s="3" t="s">
        <v>64</v>
      </c>
      <c r="M4394" s="2" t="s">
        <v>38056</v>
      </c>
      <c r="N4394" s="3" t="s">
        <v>826</v>
      </c>
      <c r="P4394" s="3" t="s">
        <v>66</v>
      </c>
      <c r="Q4394" s="2" t="s">
        <v>37048</v>
      </c>
      <c r="R4394" s="3" t="s">
        <v>67</v>
      </c>
      <c r="S4394" s="4">
        <v>16</v>
      </c>
      <c r="T4394" s="4">
        <v>16</v>
      </c>
      <c r="U4394" s="5" t="s">
        <v>1593</v>
      </c>
      <c r="V4394" s="5" t="s">
        <v>1593</v>
      </c>
      <c r="W4394" s="5" t="s">
        <v>69</v>
      </c>
      <c r="X4394" s="5" t="s">
        <v>69</v>
      </c>
      <c r="Y4394" s="4">
        <v>117</v>
      </c>
      <c r="Z4394" s="4">
        <v>9</v>
      </c>
      <c r="AA4394" s="4">
        <v>9</v>
      </c>
      <c r="AB4394" s="4">
        <v>1</v>
      </c>
      <c r="AC4394" s="4">
        <v>1</v>
      </c>
      <c r="AD4394" s="4">
        <v>52</v>
      </c>
      <c r="AE4394" s="4">
        <v>52</v>
      </c>
      <c r="AF4394" s="4">
        <v>0</v>
      </c>
      <c r="AG4394" s="4">
        <v>0</v>
      </c>
      <c r="AH4394" s="4">
        <v>46</v>
      </c>
      <c r="AI4394" s="4">
        <v>46</v>
      </c>
      <c r="AJ4394" s="4">
        <v>6</v>
      </c>
      <c r="AK4394" s="4">
        <v>6</v>
      </c>
      <c r="AL4394" s="4">
        <v>30</v>
      </c>
      <c r="AM4394" s="4">
        <v>30</v>
      </c>
      <c r="AN4394" s="4">
        <v>5</v>
      </c>
      <c r="AO4394" s="4">
        <v>5</v>
      </c>
      <c r="AP4394" s="4">
        <v>8</v>
      </c>
      <c r="AQ4394" s="4">
        <v>8</v>
      </c>
      <c r="AR4394" s="3" t="s">
        <v>63</v>
      </c>
      <c r="AS4394" s="3" t="s">
        <v>63</v>
      </c>
      <c r="AT4394" s="3" t="s">
        <v>62</v>
      </c>
      <c r="AU4394" s="6" t="str">
        <f>HYPERLINK("http://catalog.hathitrust.org/Record/007113046","HathiTrust Record")</f>
        <v>HathiTrust Record</v>
      </c>
      <c r="AV4394" s="6" t="str">
        <f>HYPERLINK("http://mcgill.on.worldcat.org/oclc/1165025","Catalog Record")</f>
        <v>Catalog Record</v>
      </c>
      <c r="AW4394" s="6" t="str">
        <f>HYPERLINK("http://www.worldcat.org/oclc/1165025","WorldCat Record")</f>
        <v>WorldCat Record</v>
      </c>
      <c r="AX4394" s="3" t="s">
        <v>38057</v>
      </c>
      <c r="AY4394" s="3" t="s">
        <v>38058</v>
      </c>
      <c r="AZ4394" s="3" t="s">
        <v>38059</v>
      </c>
      <c r="BA4394" s="3" t="s">
        <v>38059</v>
      </c>
      <c r="BB4394" s="3" t="s">
        <v>38060</v>
      </c>
      <c r="BC4394" s="3" t="s">
        <v>82</v>
      </c>
      <c r="BD4394" s="3" t="s">
        <v>70</v>
      </c>
      <c r="BE4394" s="3" t="s">
        <v>38061</v>
      </c>
      <c r="BF4394" s="3" t="s">
        <v>38060</v>
      </c>
      <c r="BG4394" s="3" t="s">
        <v>38062</v>
      </c>
    </row>
    <row r="4395" spans="1:59" ht="60" x14ac:dyDescent="0.25">
      <c r="A4395" s="2" t="s">
        <v>59</v>
      </c>
      <c r="B4395" s="2" t="s">
        <v>60</v>
      </c>
      <c r="C4395" s="2" t="s">
        <v>38063</v>
      </c>
      <c r="D4395" s="2" t="s">
        <v>38064</v>
      </c>
      <c r="E4395" s="2" t="s">
        <v>38065</v>
      </c>
      <c r="G4395" s="3" t="s">
        <v>63</v>
      </c>
      <c r="I4395" s="3" t="s">
        <v>63</v>
      </c>
      <c r="J4395" s="3" t="s">
        <v>63</v>
      </c>
      <c r="K4395" s="3" t="s">
        <v>64</v>
      </c>
      <c r="M4395" s="2" t="s">
        <v>38066</v>
      </c>
      <c r="N4395" s="3" t="s">
        <v>1418</v>
      </c>
      <c r="P4395" s="3" t="s">
        <v>66</v>
      </c>
      <c r="R4395" s="3" t="s">
        <v>67</v>
      </c>
      <c r="S4395" s="4">
        <v>4</v>
      </c>
      <c r="T4395" s="4">
        <v>4</v>
      </c>
      <c r="U4395" s="5" t="s">
        <v>469</v>
      </c>
      <c r="V4395" s="5" t="s">
        <v>469</v>
      </c>
      <c r="W4395" s="5" t="s">
        <v>69</v>
      </c>
      <c r="X4395" s="5" t="s">
        <v>69</v>
      </c>
      <c r="Y4395" s="4">
        <v>258</v>
      </c>
      <c r="Z4395" s="4">
        <v>40</v>
      </c>
      <c r="AA4395" s="4">
        <v>42</v>
      </c>
      <c r="AB4395" s="4">
        <v>4</v>
      </c>
      <c r="AC4395" s="4">
        <v>5</v>
      </c>
      <c r="AD4395" s="4">
        <v>107</v>
      </c>
      <c r="AE4395" s="4">
        <v>109</v>
      </c>
      <c r="AF4395" s="4">
        <v>2</v>
      </c>
      <c r="AG4395" s="4">
        <v>3</v>
      </c>
      <c r="AH4395" s="4">
        <v>87</v>
      </c>
      <c r="AI4395" s="4">
        <v>87</v>
      </c>
      <c r="AJ4395" s="4">
        <v>20</v>
      </c>
      <c r="AK4395" s="4">
        <v>21</v>
      </c>
      <c r="AL4395" s="4">
        <v>49</v>
      </c>
      <c r="AM4395" s="4">
        <v>49</v>
      </c>
      <c r="AN4395" s="4">
        <v>0</v>
      </c>
      <c r="AO4395" s="4">
        <v>0</v>
      </c>
      <c r="AP4395" s="4">
        <v>26</v>
      </c>
      <c r="AQ4395" s="4">
        <v>27</v>
      </c>
      <c r="AR4395" s="3" t="s">
        <v>62</v>
      </c>
      <c r="AS4395" s="3" t="s">
        <v>63</v>
      </c>
      <c r="AT4395" s="3" t="s">
        <v>62</v>
      </c>
      <c r="AU4395" s="6" t="str">
        <f>HYPERLINK("http://catalog.hathitrust.org/Record/000885210","HathiTrust Record")</f>
        <v>HathiTrust Record</v>
      </c>
      <c r="AV4395" s="6" t="str">
        <f>HYPERLINK("http://mcgill.on.worldcat.org/oclc/18835530","Catalog Record")</f>
        <v>Catalog Record</v>
      </c>
      <c r="AW4395" s="6" t="str">
        <f>HYPERLINK("http://www.worldcat.org/oclc/18835530","WorldCat Record")</f>
        <v>WorldCat Record</v>
      </c>
      <c r="AX4395" s="3" t="s">
        <v>38067</v>
      </c>
      <c r="AY4395" s="3" t="s">
        <v>38068</v>
      </c>
      <c r="AZ4395" s="3" t="s">
        <v>38069</v>
      </c>
      <c r="BA4395" s="3" t="s">
        <v>38069</v>
      </c>
      <c r="BB4395" s="3" t="s">
        <v>38070</v>
      </c>
      <c r="BC4395" s="3" t="s">
        <v>82</v>
      </c>
      <c r="BD4395" s="3" t="s">
        <v>70</v>
      </c>
      <c r="BE4395" s="3" t="s">
        <v>38071</v>
      </c>
      <c r="BF4395" s="3" t="s">
        <v>38070</v>
      </c>
      <c r="BG4395" s="3" t="s">
        <v>38072</v>
      </c>
    </row>
    <row r="4396" spans="1:59" ht="60" x14ac:dyDescent="0.25">
      <c r="A4396" s="2" t="s">
        <v>59</v>
      </c>
      <c r="B4396" s="2" t="s">
        <v>60</v>
      </c>
      <c r="C4396" s="2" t="s">
        <v>38073</v>
      </c>
      <c r="D4396" s="2" t="s">
        <v>38074</v>
      </c>
      <c r="E4396" s="2" t="s">
        <v>38075</v>
      </c>
      <c r="G4396" s="3" t="s">
        <v>63</v>
      </c>
      <c r="I4396" s="3" t="s">
        <v>63</v>
      </c>
      <c r="J4396" s="3" t="s">
        <v>63</v>
      </c>
      <c r="K4396" s="3" t="s">
        <v>64</v>
      </c>
      <c r="M4396" s="2" t="s">
        <v>38076</v>
      </c>
      <c r="N4396" s="3" t="s">
        <v>3640</v>
      </c>
      <c r="P4396" s="3" t="s">
        <v>66</v>
      </c>
      <c r="Q4396" s="2" t="s">
        <v>38077</v>
      </c>
      <c r="R4396" s="3" t="s">
        <v>67</v>
      </c>
      <c r="S4396" s="4">
        <v>3</v>
      </c>
      <c r="T4396" s="4">
        <v>3</v>
      </c>
      <c r="U4396" s="5" t="s">
        <v>28965</v>
      </c>
      <c r="V4396" s="5" t="s">
        <v>28965</v>
      </c>
      <c r="W4396" s="5" t="s">
        <v>69</v>
      </c>
      <c r="X4396" s="5" t="s">
        <v>69</v>
      </c>
      <c r="Y4396" s="4">
        <v>177</v>
      </c>
      <c r="Z4396" s="4">
        <v>14</v>
      </c>
      <c r="AA4396" s="4">
        <v>14</v>
      </c>
      <c r="AB4396" s="4">
        <v>1</v>
      </c>
      <c r="AC4396" s="4">
        <v>1</v>
      </c>
      <c r="AD4396" s="4">
        <v>78</v>
      </c>
      <c r="AE4396" s="4">
        <v>78</v>
      </c>
      <c r="AF4396" s="4">
        <v>0</v>
      </c>
      <c r="AG4396" s="4">
        <v>0</v>
      </c>
      <c r="AH4396" s="4">
        <v>73</v>
      </c>
      <c r="AI4396" s="4">
        <v>73</v>
      </c>
      <c r="AJ4396" s="4">
        <v>10</v>
      </c>
      <c r="AK4396" s="4">
        <v>10</v>
      </c>
      <c r="AL4396" s="4">
        <v>47</v>
      </c>
      <c r="AM4396" s="4">
        <v>47</v>
      </c>
      <c r="AN4396" s="4">
        <v>0</v>
      </c>
      <c r="AO4396" s="4">
        <v>0</v>
      </c>
      <c r="AP4396" s="4">
        <v>10</v>
      </c>
      <c r="AQ4396" s="4">
        <v>10</v>
      </c>
      <c r="AR4396" s="3" t="s">
        <v>63</v>
      </c>
      <c r="AS4396" s="3" t="s">
        <v>63</v>
      </c>
      <c r="AT4396" s="3" t="s">
        <v>63</v>
      </c>
      <c r="AV4396" s="6" t="str">
        <f>HYPERLINK("http://mcgill.on.worldcat.org/oclc/10274929","Catalog Record")</f>
        <v>Catalog Record</v>
      </c>
      <c r="AW4396" s="6" t="str">
        <f>HYPERLINK("http://www.worldcat.org/oclc/10274929","WorldCat Record")</f>
        <v>WorldCat Record</v>
      </c>
      <c r="AX4396" s="3" t="s">
        <v>38078</v>
      </c>
      <c r="AY4396" s="3" t="s">
        <v>38079</v>
      </c>
      <c r="AZ4396" s="3" t="s">
        <v>38080</v>
      </c>
      <c r="BA4396" s="3" t="s">
        <v>38080</v>
      </c>
      <c r="BB4396" s="3" t="s">
        <v>38081</v>
      </c>
      <c r="BC4396" s="3" t="s">
        <v>82</v>
      </c>
      <c r="BD4396" s="3" t="s">
        <v>70</v>
      </c>
      <c r="BE4396" s="3" t="s">
        <v>38082</v>
      </c>
      <c r="BF4396" s="3" t="s">
        <v>38081</v>
      </c>
      <c r="BG4396" s="3" t="s">
        <v>38083</v>
      </c>
    </row>
    <row r="4397" spans="1:59" ht="60" x14ac:dyDescent="0.25">
      <c r="A4397" s="2" t="s">
        <v>59</v>
      </c>
      <c r="B4397" s="2" t="s">
        <v>60</v>
      </c>
      <c r="C4397" s="2" t="s">
        <v>38084</v>
      </c>
      <c r="D4397" s="2" t="s">
        <v>38085</v>
      </c>
      <c r="E4397" s="2" t="s">
        <v>38086</v>
      </c>
      <c r="G4397" s="3" t="s">
        <v>63</v>
      </c>
      <c r="I4397" s="3" t="s">
        <v>63</v>
      </c>
      <c r="J4397" s="3" t="s">
        <v>63</v>
      </c>
      <c r="K4397" s="3" t="s">
        <v>64</v>
      </c>
      <c r="M4397" s="2" t="s">
        <v>38087</v>
      </c>
      <c r="N4397" s="3" t="s">
        <v>1113</v>
      </c>
      <c r="O4397" s="2" t="s">
        <v>590</v>
      </c>
      <c r="P4397" s="3" t="s">
        <v>66</v>
      </c>
      <c r="R4397" s="3" t="s">
        <v>67</v>
      </c>
      <c r="S4397" s="4">
        <v>7</v>
      </c>
      <c r="T4397" s="4">
        <v>7</v>
      </c>
      <c r="U4397" s="5" t="s">
        <v>9601</v>
      </c>
      <c r="V4397" s="5" t="s">
        <v>9601</v>
      </c>
      <c r="W4397" s="5" t="s">
        <v>69</v>
      </c>
      <c r="X4397" s="5" t="s">
        <v>69</v>
      </c>
      <c r="Y4397" s="4">
        <v>285</v>
      </c>
      <c r="Z4397" s="4">
        <v>13</v>
      </c>
      <c r="AA4397" s="4">
        <v>20</v>
      </c>
      <c r="AB4397" s="4">
        <v>1</v>
      </c>
      <c r="AC4397" s="4">
        <v>3</v>
      </c>
      <c r="AD4397" s="4">
        <v>69</v>
      </c>
      <c r="AE4397" s="4">
        <v>70</v>
      </c>
      <c r="AF4397" s="4">
        <v>0</v>
      </c>
      <c r="AG4397" s="4">
        <v>0</v>
      </c>
      <c r="AH4397" s="4">
        <v>66</v>
      </c>
      <c r="AI4397" s="4">
        <v>66</v>
      </c>
      <c r="AJ4397" s="4">
        <v>7</v>
      </c>
      <c r="AK4397" s="4">
        <v>7</v>
      </c>
      <c r="AL4397" s="4">
        <v>40</v>
      </c>
      <c r="AM4397" s="4">
        <v>40</v>
      </c>
      <c r="AN4397" s="4">
        <v>0</v>
      </c>
      <c r="AO4397" s="4">
        <v>0</v>
      </c>
      <c r="AP4397" s="4">
        <v>8</v>
      </c>
      <c r="AQ4397" s="4">
        <v>9</v>
      </c>
      <c r="AR4397" s="3" t="s">
        <v>63</v>
      </c>
      <c r="AS4397" s="3" t="s">
        <v>63</v>
      </c>
      <c r="AT4397" s="3" t="s">
        <v>63</v>
      </c>
      <c r="AV4397" s="6" t="str">
        <f>HYPERLINK("http://mcgill.on.worldcat.org/oclc/35450560","Catalog Record")</f>
        <v>Catalog Record</v>
      </c>
      <c r="AW4397" s="6" t="str">
        <f>HYPERLINK("http://www.worldcat.org/oclc/35450560","WorldCat Record")</f>
        <v>WorldCat Record</v>
      </c>
      <c r="AX4397" s="3" t="s">
        <v>38088</v>
      </c>
      <c r="AY4397" s="3" t="s">
        <v>38089</v>
      </c>
      <c r="AZ4397" s="3" t="s">
        <v>38090</v>
      </c>
      <c r="BA4397" s="3" t="s">
        <v>38090</v>
      </c>
      <c r="BB4397" s="3" t="s">
        <v>38091</v>
      </c>
      <c r="BC4397" s="3" t="s">
        <v>82</v>
      </c>
      <c r="BD4397" s="3" t="s">
        <v>70</v>
      </c>
      <c r="BE4397" s="3" t="s">
        <v>38092</v>
      </c>
      <c r="BF4397" s="3" t="s">
        <v>38091</v>
      </c>
      <c r="BG4397" s="3" t="s">
        <v>38093</v>
      </c>
    </row>
    <row r="4398" spans="1:59" ht="60" x14ac:dyDescent="0.25">
      <c r="A4398" s="2" t="s">
        <v>59</v>
      </c>
      <c r="B4398" s="2" t="s">
        <v>60</v>
      </c>
      <c r="C4398" s="2" t="s">
        <v>38094</v>
      </c>
      <c r="D4398" s="2" t="s">
        <v>38095</v>
      </c>
      <c r="E4398" s="2" t="s">
        <v>38096</v>
      </c>
      <c r="G4398" s="3" t="s">
        <v>63</v>
      </c>
      <c r="I4398" s="3" t="s">
        <v>63</v>
      </c>
      <c r="J4398" s="3" t="s">
        <v>63</v>
      </c>
      <c r="K4398" s="3" t="s">
        <v>64</v>
      </c>
      <c r="L4398" s="2" t="s">
        <v>38097</v>
      </c>
      <c r="M4398" s="2" t="s">
        <v>38098</v>
      </c>
      <c r="N4398" s="3" t="s">
        <v>161</v>
      </c>
      <c r="O4398" s="2" t="s">
        <v>38099</v>
      </c>
      <c r="P4398" s="3" t="s">
        <v>66</v>
      </c>
      <c r="R4398" s="3" t="s">
        <v>67</v>
      </c>
      <c r="S4398" s="4">
        <v>6</v>
      </c>
      <c r="T4398" s="4">
        <v>6</v>
      </c>
      <c r="U4398" s="5" t="s">
        <v>14994</v>
      </c>
      <c r="V4398" s="5" t="s">
        <v>14994</v>
      </c>
      <c r="W4398" s="5" t="s">
        <v>69</v>
      </c>
      <c r="X4398" s="5" t="s">
        <v>69</v>
      </c>
      <c r="Y4398" s="4">
        <v>13</v>
      </c>
      <c r="Z4398" s="4">
        <v>3</v>
      </c>
      <c r="AA4398" s="4">
        <v>9</v>
      </c>
      <c r="AB4398" s="4">
        <v>1</v>
      </c>
      <c r="AC4398" s="4">
        <v>1</v>
      </c>
      <c r="AD4398" s="4">
        <v>5</v>
      </c>
      <c r="AE4398" s="4">
        <v>34</v>
      </c>
      <c r="AF4398" s="4">
        <v>0</v>
      </c>
      <c r="AG4398" s="4">
        <v>0</v>
      </c>
      <c r="AH4398" s="4">
        <v>5</v>
      </c>
      <c r="AI4398" s="4">
        <v>31</v>
      </c>
      <c r="AJ4398" s="4">
        <v>1</v>
      </c>
      <c r="AK4398" s="4">
        <v>5</v>
      </c>
      <c r="AL4398" s="4">
        <v>4</v>
      </c>
      <c r="AM4398" s="4">
        <v>24</v>
      </c>
      <c r="AN4398" s="4">
        <v>0</v>
      </c>
      <c r="AO4398" s="4">
        <v>0</v>
      </c>
      <c r="AP4398" s="4">
        <v>1</v>
      </c>
      <c r="AQ4398" s="4">
        <v>6</v>
      </c>
      <c r="AR4398" s="3" t="s">
        <v>63</v>
      </c>
      <c r="AS4398" s="3" t="s">
        <v>63</v>
      </c>
      <c r="AT4398" s="3" t="s">
        <v>63</v>
      </c>
      <c r="AV4398" s="6" t="str">
        <f>HYPERLINK("http://mcgill.on.worldcat.org/oclc/19946579","Catalog Record")</f>
        <v>Catalog Record</v>
      </c>
      <c r="AW4398" s="6" t="str">
        <f>HYPERLINK("http://www.worldcat.org/oclc/19946579","WorldCat Record")</f>
        <v>WorldCat Record</v>
      </c>
      <c r="AX4398" s="3" t="s">
        <v>38100</v>
      </c>
      <c r="AY4398" s="3" t="s">
        <v>38101</v>
      </c>
      <c r="AZ4398" s="3" t="s">
        <v>38102</v>
      </c>
      <c r="BA4398" s="3" t="s">
        <v>38102</v>
      </c>
      <c r="BB4398" s="3" t="s">
        <v>38103</v>
      </c>
      <c r="BC4398" s="3" t="s">
        <v>82</v>
      </c>
      <c r="BD4398" s="3" t="s">
        <v>70</v>
      </c>
      <c r="BF4398" s="3" t="s">
        <v>38103</v>
      </c>
      <c r="BG4398" s="3" t="s">
        <v>38104</v>
      </c>
    </row>
    <row r="4399" spans="1:59" ht="60" x14ac:dyDescent="0.25">
      <c r="A4399" s="2" t="s">
        <v>59</v>
      </c>
      <c r="B4399" s="2" t="s">
        <v>60</v>
      </c>
      <c r="C4399" s="2" t="s">
        <v>38105</v>
      </c>
      <c r="D4399" s="2" t="s">
        <v>38106</v>
      </c>
      <c r="E4399" s="2" t="s">
        <v>38107</v>
      </c>
      <c r="G4399" s="3" t="s">
        <v>63</v>
      </c>
      <c r="I4399" s="3" t="s">
        <v>63</v>
      </c>
      <c r="J4399" s="3" t="s">
        <v>63</v>
      </c>
      <c r="K4399" s="3" t="s">
        <v>64</v>
      </c>
      <c r="M4399" s="2" t="s">
        <v>38108</v>
      </c>
      <c r="N4399" s="3" t="s">
        <v>401</v>
      </c>
      <c r="O4399" s="2" t="s">
        <v>38109</v>
      </c>
      <c r="P4399" s="3" t="s">
        <v>38110</v>
      </c>
      <c r="R4399" s="3" t="s">
        <v>67</v>
      </c>
      <c r="S4399" s="4">
        <v>3</v>
      </c>
      <c r="T4399" s="4">
        <v>3</v>
      </c>
      <c r="U4399" s="5" t="s">
        <v>28965</v>
      </c>
      <c r="V4399" s="5" t="s">
        <v>28965</v>
      </c>
      <c r="W4399" s="5" t="s">
        <v>69</v>
      </c>
      <c r="X4399" s="5" t="s">
        <v>69</v>
      </c>
      <c r="Y4399" s="4">
        <v>86</v>
      </c>
      <c r="Z4399" s="4">
        <v>6</v>
      </c>
      <c r="AA4399" s="4">
        <v>9</v>
      </c>
      <c r="AB4399" s="4">
        <v>1</v>
      </c>
      <c r="AC4399" s="4">
        <v>1</v>
      </c>
      <c r="AD4399" s="4">
        <v>54</v>
      </c>
      <c r="AE4399" s="4">
        <v>55</v>
      </c>
      <c r="AF4399" s="4">
        <v>0</v>
      </c>
      <c r="AG4399" s="4">
        <v>0</v>
      </c>
      <c r="AH4399" s="4">
        <v>51</v>
      </c>
      <c r="AI4399" s="4">
        <v>52</v>
      </c>
      <c r="AJ4399" s="4">
        <v>5</v>
      </c>
      <c r="AK4399" s="4">
        <v>6</v>
      </c>
      <c r="AL4399" s="4">
        <v>37</v>
      </c>
      <c r="AM4399" s="4">
        <v>38</v>
      </c>
      <c r="AN4399" s="4">
        <v>0</v>
      </c>
      <c r="AO4399" s="4">
        <v>0</v>
      </c>
      <c r="AP4399" s="4">
        <v>5</v>
      </c>
      <c r="AQ4399" s="4">
        <v>6</v>
      </c>
      <c r="AR4399" s="3" t="s">
        <v>63</v>
      </c>
      <c r="AS4399" s="3" t="s">
        <v>63</v>
      </c>
      <c r="AT4399" s="3" t="s">
        <v>62</v>
      </c>
      <c r="AU4399" s="6" t="str">
        <f>HYPERLINK("http://catalog.hathitrust.org/Record/001244958","HathiTrust Record")</f>
        <v>HathiTrust Record</v>
      </c>
      <c r="AV4399" s="6" t="str">
        <f>HYPERLINK("http://mcgill.on.worldcat.org/oclc/3656077","Catalog Record")</f>
        <v>Catalog Record</v>
      </c>
      <c r="AW4399" s="6" t="str">
        <f>HYPERLINK("http://www.worldcat.org/oclc/3656077","WorldCat Record")</f>
        <v>WorldCat Record</v>
      </c>
      <c r="AX4399" s="3" t="s">
        <v>38111</v>
      </c>
      <c r="AY4399" s="3" t="s">
        <v>38112</v>
      </c>
      <c r="AZ4399" s="3" t="s">
        <v>38113</v>
      </c>
      <c r="BA4399" s="3" t="s">
        <v>38113</v>
      </c>
      <c r="BB4399" s="3" t="s">
        <v>38114</v>
      </c>
      <c r="BC4399" s="3" t="s">
        <v>82</v>
      </c>
      <c r="BD4399" s="3" t="s">
        <v>70</v>
      </c>
      <c r="BF4399" s="3" t="s">
        <v>38114</v>
      </c>
      <c r="BG4399" s="3" t="s">
        <v>38115</v>
      </c>
    </row>
    <row r="4400" spans="1:59" ht="60" x14ac:dyDescent="0.25">
      <c r="A4400" s="2" t="s">
        <v>59</v>
      </c>
      <c r="B4400" s="2" t="s">
        <v>60</v>
      </c>
      <c r="C4400" s="2" t="s">
        <v>38116</v>
      </c>
      <c r="D4400" s="2" t="s">
        <v>38117</v>
      </c>
      <c r="E4400" s="2" t="s">
        <v>38118</v>
      </c>
      <c r="G4400" s="3" t="s">
        <v>63</v>
      </c>
      <c r="I4400" s="3" t="s">
        <v>63</v>
      </c>
      <c r="J4400" s="3" t="s">
        <v>63</v>
      </c>
      <c r="K4400" s="3" t="s">
        <v>64</v>
      </c>
      <c r="L4400" s="2" t="s">
        <v>38119</v>
      </c>
      <c r="M4400" s="2" t="s">
        <v>38120</v>
      </c>
      <c r="N4400" s="3" t="s">
        <v>374</v>
      </c>
      <c r="P4400" s="3" t="s">
        <v>66</v>
      </c>
      <c r="R4400" s="3" t="s">
        <v>67</v>
      </c>
      <c r="S4400" s="4">
        <v>3</v>
      </c>
      <c r="T4400" s="4">
        <v>3</v>
      </c>
      <c r="U4400" s="5" t="s">
        <v>37301</v>
      </c>
      <c r="V4400" s="5" t="s">
        <v>37301</v>
      </c>
      <c r="W4400" s="5" t="s">
        <v>69</v>
      </c>
      <c r="X4400" s="5" t="s">
        <v>69</v>
      </c>
      <c r="Y4400" s="4">
        <v>352</v>
      </c>
      <c r="Z4400" s="4">
        <v>27</v>
      </c>
      <c r="AA4400" s="4">
        <v>136</v>
      </c>
      <c r="AB4400" s="4">
        <v>1</v>
      </c>
      <c r="AC4400" s="4">
        <v>24</v>
      </c>
      <c r="AD4400" s="4">
        <v>101</v>
      </c>
      <c r="AE4400" s="4">
        <v>158</v>
      </c>
      <c r="AF4400" s="4">
        <v>0</v>
      </c>
      <c r="AG4400" s="4">
        <v>9</v>
      </c>
      <c r="AH4400" s="4">
        <v>89</v>
      </c>
      <c r="AI4400" s="4">
        <v>108</v>
      </c>
      <c r="AJ4400" s="4">
        <v>16</v>
      </c>
      <c r="AK4400" s="4">
        <v>29</v>
      </c>
      <c r="AL4400" s="4">
        <v>48</v>
      </c>
      <c r="AM4400" s="4">
        <v>53</v>
      </c>
      <c r="AN4400" s="4">
        <v>0</v>
      </c>
      <c r="AO4400" s="4">
        <v>0</v>
      </c>
      <c r="AP4400" s="4">
        <v>19</v>
      </c>
      <c r="AQ4400" s="4">
        <v>59</v>
      </c>
      <c r="AR4400" s="3" t="s">
        <v>62</v>
      </c>
      <c r="AS4400" s="3" t="s">
        <v>63</v>
      </c>
      <c r="AT4400" s="3" t="s">
        <v>62</v>
      </c>
      <c r="AU4400" s="6" t="str">
        <f>HYPERLINK("http://catalog.hathitrust.org/Record/003019565","HathiTrust Record")</f>
        <v>HathiTrust Record</v>
      </c>
      <c r="AV4400" s="6" t="str">
        <f>HYPERLINK("http://mcgill.on.worldcat.org/oclc/32547086","Catalog Record")</f>
        <v>Catalog Record</v>
      </c>
      <c r="AW4400" s="6" t="str">
        <f>HYPERLINK("http://www.worldcat.org/oclc/32547086","WorldCat Record")</f>
        <v>WorldCat Record</v>
      </c>
      <c r="AX4400" s="3" t="s">
        <v>38121</v>
      </c>
      <c r="AY4400" s="3" t="s">
        <v>38122</v>
      </c>
      <c r="AZ4400" s="3" t="s">
        <v>38123</v>
      </c>
      <c r="BA4400" s="3" t="s">
        <v>38123</v>
      </c>
      <c r="BB4400" s="3" t="s">
        <v>38124</v>
      </c>
      <c r="BC4400" s="3" t="s">
        <v>82</v>
      </c>
      <c r="BD4400" s="3" t="s">
        <v>70</v>
      </c>
      <c r="BE4400" s="3" t="s">
        <v>38125</v>
      </c>
      <c r="BF4400" s="3" t="s">
        <v>38124</v>
      </c>
      <c r="BG4400" s="3" t="s">
        <v>38126</v>
      </c>
    </row>
    <row r="4401" spans="1:59" ht="60" x14ac:dyDescent="0.25">
      <c r="A4401" s="2" t="s">
        <v>59</v>
      </c>
      <c r="B4401" s="2" t="s">
        <v>60</v>
      </c>
      <c r="C4401" s="2" t="s">
        <v>38127</v>
      </c>
      <c r="D4401" s="2" t="s">
        <v>38128</v>
      </c>
      <c r="E4401" s="2" t="s">
        <v>38129</v>
      </c>
      <c r="G4401" s="3" t="s">
        <v>63</v>
      </c>
      <c r="I4401" s="3" t="s">
        <v>63</v>
      </c>
      <c r="J4401" s="3" t="s">
        <v>63</v>
      </c>
      <c r="K4401" s="3" t="s">
        <v>64</v>
      </c>
      <c r="L4401" s="2" t="s">
        <v>38130</v>
      </c>
      <c r="M4401" s="2" t="s">
        <v>38131</v>
      </c>
      <c r="N4401" s="3" t="s">
        <v>220</v>
      </c>
      <c r="P4401" s="3" t="s">
        <v>66</v>
      </c>
      <c r="Q4401" s="2" t="s">
        <v>38132</v>
      </c>
      <c r="R4401" s="3" t="s">
        <v>67</v>
      </c>
      <c r="S4401" s="4">
        <v>6</v>
      </c>
      <c r="T4401" s="4">
        <v>6</v>
      </c>
      <c r="U4401" s="5" t="s">
        <v>16864</v>
      </c>
      <c r="V4401" s="5" t="s">
        <v>16864</v>
      </c>
      <c r="W4401" s="5" t="s">
        <v>69</v>
      </c>
      <c r="X4401" s="5" t="s">
        <v>69</v>
      </c>
      <c r="Y4401" s="4">
        <v>380</v>
      </c>
      <c r="Z4401" s="4">
        <v>11</v>
      </c>
      <c r="AA4401" s="4">
        <v>14</v>
      </c>
      <c r="AB4401" s="4">
        <v>1</v>
      </c>
      <c r="AC4401" s="4">
        <v>1</v>
      </c>
      <c r="AD4401" s="4">
        <v>90</v>
      </c>
      <c r="AE4401" s="4">
        <v>90</v>
      </c>
      <c r="AF4401" s="4">
        <v>0</v>
      </c>
      <c r="AG4401" s="4">
        <v>0</v>
      </c>
      <c r="AH4401" s="4">
        <v>85</v>
      </c>
      <c r="AI4401" s="4">
        <v>85</v>
      </c>
      <c r="AJ4401" s="4">
        <v>7</v>
      </c>
      <c r="AK4401" s="4">
        <v>7</v>
      </c>
      <c r="AL4401" s="4">
        <v>54</v>
      </c>
      <c r="AM4401" s="4">
        <v>54</v>
      </c>
      <c r="AN4401" s="4">
        <v>0</v>
      </c>
      <c r="AO4401" s="4">
        <v>0</v>
      </c>
      <c r="AP4401" s="4">
        <v>7</v>
      </c>
      <c r="AQ4401" s="4">
        <v>7</v>
      </c>
      <c r="AR4401" s="3" t="s">
        <v>63</v>
      </c>
      <c r="AS4401" s="3" t="s">
        <v>63</v>
      </c>
      <c r="AT4401" s="3" t="s">
        <v>63</v>
      </c>
      <c r="AV4401" s="6" t="str">
        <f>HYPERLINK("http://mcgill.on.worldcat.org/oclc/27976051","Catalog Record")</f>
        <v>Catalog Record</v>
      </c>
      <c r="AW4401" s="6" t="str">
        <f>HYPERLINK("http://www.worldcat.org/oclc/27976051","WorldCat Record")</f>
        <v>WorldCat Record</v>
      </c>
      <c r="AX4401" s="3" t="s">
        <v>38133</v>
      </c>
      <c r="AY4401" s="3" t="s">
        <v>38134</v>
      </c>
      <c r="AZ4401" s="3" t="s">
        <v>38135</v>
      </c>
      <c r="BA4401" s="3" t="s">
        <v>38135</v>
      </c>
      <c r="BB4401" s="3" t="s">
        <v>38136</v>
      </c>
      <c r="BC4401" s="3" t="s">
        <v>82</v>
      </c>
      <c r="BD4401" s="3" t="s">
        <v>70</v>
      </c>
      <c r="BE4401" s="3" t="s">
        <v>38137</v>
      </c>
      <c r="BF4401" s="3" t="s">
        <v>38136</v>
      </c>
      <c r="BG4401" s="3" t="s">
        <v>38138</v>
      </c>
    </row>
    <row r="4402" spans="1:59" ht="60" x14ac:dyDescent="0.25">
      <c r="A4402" s="2" t="s">
        <v>59</v>
      </c>
      <c r="B4402" s="2" t="s">
        <v>60</v>
      </c>
      <c r="C4402" s="2" t="s">
        <v>38139</v>
      </c>
      <c r="D4402" s="2" t="s">
        <v>38140</v>
      </c>
      <c r="E4402" s="2" t="s">
        <v>38141</v>
      </c>
      <c r="G4402" s="3" t="s">
        <v>63</v>
      </c>
      <c r="I4402" s="3" t="s">
        <v>63</v>
      </c>
      <c r="J4402" s="3" t="s">
        <v>63</v>
      </c>
      <c r="K4402" s="3" t="s">
        <v>64</v>
      </c>
      <c r="L4402" s="2" t="s">
        <v>38142</v>
      </c>
      <c r="M4402" s="2" t="s">
        <v>38143</v>
      </c>
      <c r="N4402" s="3" t="s">
        <v>204</v>
      </c>
      <c r="P4402" s="3" t="s">
        <v>66</v>
      </c>
      <c r="Q4402" s="2" t="s">
        <v>38144</v>
      </c>
      <c r="R4402" s="3" t="s">
        <v>67</v>
      </c>
      <c r="S4402" s="4">
        <v>1</v>
      </c>
      <c r="T4402" s="4">
        <v>1</v>
      </c>
      <c r="U4402" s="5" t="s">
        <v>25527</v>
      </c>
      <c r="V4402" s="5" t="s">
        <v>25527</v>
      </c>
      <c r="W4402" s="5" t="s">
        <v>69</v>
      </c>
      <c r="X4402" s="5" t="s">
        <v>69</v>
      </c>
      <c r="Y4402" s="4">
        <v>88</v>
      </c>
      <c r="Z4402" s="4">
        <v>9</v>
      </c>
      <c r="AA4402" s="4">
        <v>9</v>
      </c>
      <c r="AB4402" s="4">
        <v>1</v>
      </c>
      <c r="AC4402" s="4">
        <v>1</v>
      </c>
      <c r="AD4402" s="4">
        <v>48</v>
      </c>
      <c r="AE4402" s="4">
        <v>48</v>
      </c>
      <c r="AF4402" s="4">
        <v>0</v>
      </c>
      <c r="AG4402" s="4">
        <v>0</v>
      </c>
      <c r="AH4402" s="4">
        <v>45</v>
      </c>
      <c r="AI4402" s="4">
        <v>45</v>
      </c>
      <c r="AJ4402" s="4">
        <v>7</v>
      </c>
      <c r="AK4402" s="4">
        <v>7</v>
      </c>
      <c r="AL4402" s="4">
        <v>30</v>
      </c>
      <c r="AM4402" s="4">
        <v>30</v>
      </c>
      <c r="AN4402" s="4">
        <v>0</v>
      </c>
      <c r="AO4402" s="4">
        <v>0</v>
      </c>
      <c r="AP4402" s="4">
        <v>7</v>
      </c>
      <c r="AQ4402" s="4">
        <v>7</v>
      </c>
      <c r="AR4402" s="3" t="s">
        <v>63</v>
      </c>
      <c r="AS4402" s="3" t="s">
        <v>63</v>
      </c>
      <c r="AT4402" s="3" t="s">
        <v>62</v>
      </c>
      <c r="AU4402" s="6" t="str">
        <f>HYPERLINK("http://catalog.hathitrust.org/Record/004038031","HathiTrust Record")</f>
        <v>HathiTrust Record</v>
      </c>
      <c r="AV4402" s="6" t="str">
        <f>HYPERLINK("http://mcgill.on.worldcat.org/oclc/36583043","Catalog Record")</f>
        <v>Catalog Record</v>
      </c>
      <c r="AW4402" s="6" t="str">
        <f>HYPERLINK("http://www.worldcat.org/oclc/36583043","WorldCat Record")</f>
        <v>WorldCat Record</v>
      </c>
      <c r="AX4402" s="3" t="s">
        <v>38145</v>
      </c>
      <c r="AY4402" s="3" t="s">
        <v>38146</v>
      </c>
      <c r="AZ4402" s="3" t="s">
        <v>38147</v>
      </c>
      <c r="BA4402" s="3" t="s">
        <v>38147</v>
      </c>
      <c r="BB4402" s="3" t="s">
        <v>38148</v>
      </c>
      <c r="BC4402" s="3" t="s">
        <v>82</v>
      </c>
      <c r="BD4402" s="3" t="s">
        <v>70</v>
      </c>
      <c r="BE4402" s="3" t="s">
        <v>38149</v>
      </c>
      <c r="BF4402" s="3" t="s">
        <v>38148</v>
      </c>
      <c r="BG4402" s="3" t="s">
        <v>38150</v>
      </c>
    </row>
    <row r="4403" spans="1:59" ht="60" x14ac:dyDescent="0.25">
      <c r="A4403" s="2" t="s">
        <v>59</v>
      </c>
      <c r="B4403" s="2" t="s">
        <v>60</v>
      </c>
      <c r="C4403" s="2" t="s">
        <v>346</v>
      </c>
      <c r="D4403" s="2" t="s">
        <v>347</v>
      </c>
      <c r="E4403" s="2" t="s">
        <v>348</v>
      </c>
      <c r="G4403" s="3" t="s">
        <v>63</v>
      </c>
      <c r="I4403" s="3" t="s">
        <v>63</v>
      </c>
      <c r="J4403" s="3" t="s">
        <v>63</v>
      </c>
      <c r="K4403" s="3" t="s">
        <v>64</v>
      </c>
      <c r="M4403" s="2" t="s">
        <v>349</v>
      </c>
      <c r="N4403" s="3" t="s">
        <v>313</v>
      </c>
      <c r="P4403" s="3" t="s">
        <v>66</v>
      </c>
      <c r="Q4403" s="2" t="s">
        <v>350</v>
      </c>
      <c r="R4403" s="3" t="s">
        <v>67</v>
      </c>
      <c r="S4403" s="4">
        <v>1</v>
      </c>
      <c r="T4403" s="4">
        <v>1</v>
      </c>
      <c r="U4403" s="5" t="s">
        <v>351</v>
      </c>
      <c r="V4403" s="5" t="s">
        <v>351</v>
      </c>
      <c r="W4403" s="5" t="s">
        <v>69</v>
      </c>
      <c r="X4403" s="5" t="s">
        <v>69</v>
      </c>
      <c r="Y4403" s="4">
        <v>71</v>
      </c>
      <c r="Z4403" s="4">
        <v>8</v>
      </c>
      <c r="AA4403" s="4">
        <v>94</v>
      </c>
      <c r="AB4403" s="4">
        <v>1</v>
      </c>
      <c r="AC4403" s="4">
        <v>17</v>
      </c>
      <c r="AD4403" s="4">
        <v>48</v>
      </c>
      <c r="AE4403" s="4">
        <v>117</v>
      </c>
      <c r="AF4403" s="4">
        <v>0</v>
      </c>
      <c r="AG4403" s="4">
        <v>8</v>
      </c>
      <c r="AH4403" s="4">
        <v>47</v>
      </c>
      <c r="AI4403" s="4">
        <v>83</v>
      </c>
      <c r="AJ4403" s="4">
        <v>5</v>
      </c>
      <c r="AK4403" s="4">
        <v>20</v>
      </c>
      <c r="AL4403" s="4">
        <v>34</v>
      </c>
      <c r="AM4403" s="4">
        <v>45</v>
      </c>
      <c r="AN4403" s="4">
        <v>0</v>
      </c>
      <c r="AO4403" s="4">
        <v>0</v>
      </c>
      <c r="AP4403" s="4">
        <v>5</v>
      </c>
      <c r="AQ4403" s="4">
        <v>41</v>
      </c>
      <c r="AR4403" s="3" t="s">
        <v>63</v>
      </c>
      <c r="AS4403" s="3" t="s">
        <v>63</v>
      </c>
      <c r="AT4403" s="3" t="s">
        <v>63</v>
      </c>
      <c r="AV4403" s="6" t="str">
        <f>HYPERLINK("http://mcgill.on.worldcat.org/oclc/643058174","Catalog Record")</f>
        <v>Catalog Record</v>
      </c>
      <c r="AW4403" s="6" t="str">
        <f>HYPERLINK("http://www.worldcat.org/oclc/643058174","WorldCat Record")</f>
        <v>WorldCat Record</v>
      </c>
      <c r="AX4403" s="3" t="s">
        <v>352</v>
      </c>
      <c r="AY4403" s="3" t="s">
        <v>353</v>
      </c>
      <c r="AZ4403" s="3" t="s">
        <v>354</v>
      </c>
      <c r="BA4403" s="3" t="s">
        <v>354</v>
      </c>
      <c r="BB4403" s="3" t="s">
        <v>355</v>
      </c>
      <c r="BC4403" s="3" t="s">
        <v>82</v>
      </c>
      <c r="BD4403" s="3" t="s">
        <v>70</v>
      </c>
      <c r="BE4403" s="3" t="s">
        <v>356</v>
      </c>
      <c r="BF4403" s="3" t="s">
        <v>355</v>
      </c>
      <c r="BG4403" s="3" t="s">
        <v>357</v>
      </c>
    </row>
    <row r="4404" spans="1:59" ht="60" x14ac:dyDescent="0.25">
      <c r="A4404" s="2" t="s">
        <v>59</v>
      </c>
      <c r="B4404" s="2" t="s">
        <v>60</v>
      </c>
      <c r="C4404" s="2" t="s">
        <v>358</v>
      </c>
      <c r="D4404" s="2" t="s">
        <v>359</v>
      </c>
      <c r="E4404" s="2" t="s">
        <v>360</v>
      </c>
      <c r="G4404" s="3" t="s">
        <v>63</v>
      </c>
      <c r="I4404" s="3" t="s">
        <v>63</v>
      </c>
      <c r="J4404" s="3" t="s">
        <v>63</v>
      </c>
      <c r="K4404" s="3" t="s">
        <v>64</v>
      </c>
      <c r="M4404" s="2" t="s">
        <v>361</v>
      </c>
      <c r="N4404" s="3" t="s">
        <v>362</v>
      </c>
      <c r="P4404" s="3" t="s">
        <v>363</v>
      </c>
      <c r="R4404" s="3" t="s">
        <v>67</v>
      </c>
      <c r="S4404" s="4">
        <v>2</v>
      </c>
      <c r="T4404" s="4">
        <v>2</v>
      </c>
      <c r="U4404" s="5" t="s">
        <v>364</v>
      </c>
      <c r="V4404" s="5" t="s">
        <v>364</v>
      </c>
      <c r="W4404" s="5" t="s">
        <v>69</v>
      </c>
      <c r="X4404" s="5" t="s">
        <v>69</v>
      </c>
      <c r="Y4404" s="4">
        <v>17</v>
      </c>
      <c r="Z4404" s="4">
        <v>3</v>
      </c>
      <c r="AA4404" s="4">
        <v>3</v>
      </c>
      <c r="AB4404" s="4">
        <v>2</v>
      </c>
      <c r="AC4404" s="4">
        <v>2</v>
      </c>
      <c r="AD4404" s="4">
        <v>11</v>
      </c>
      <c r="AE4404" s="4">
        <v>11</v>
      </c>
      <c r="AF4404" s="4">
        <v>0</v>
      </c>
      <c r="AG4404" s="4">
        <v>0</v>
      </c>
      <c r="AH4404" s="4">
        <v>11</v>
      </c>
      <c r="AI4404" s="4">
        <v>11</v>
      </c>
      <c r="AJ4404" s="4">
        <v>1</v>
      </c>
      <c r="AK4404" s="4">
        <v>1</v>
      </c>
      <c r="AL4404" s="4">
        <v>7</v>
      </c>
      <c r="AM4404" s="4">
        <v>7</v>
      </c>
      <c r="AN4404" s="4">
        <v>0</v>
      </c>
      <c r="AO4404" s="4">
        <v>0</v>
      </c>
      <c r="AP4404" s="4">
        <v>1</v>
      </c>
      <c r="AQ4404" s="4">
        <v>1</v>
      </c>
      <c r="AR4404" s="3" t="s">
        <v>63</v>
      </c>
      <c r="AS4404" s="3" t="s">
        <v>63</v>
      </c>
      <c r="AT4404" s="3" t="s">
        <v>63</v>
      </c>
      <c r="AV4404" s="6" t="str">
        <f>HYPERLINK("http://mcgill.on.worldcat.org/oclc/47935568","Catalog Record")</f>
        <v>Catalog Record</v>
      </c>
      <c r="AW4404" s="6" t="str">
        <f>HYPERLINK("http://www.worldcat.org/oclc/47935568","WorldCat Record")</f>
        <v>WorldCat Record</v>
      </c>
      <c r="AX4404" s="3" t="s">
        <v>365</v>
      </c>
      <c r="AY4404" s="3" t="s">
        <v>366</v>
      </c>
      <c r="AZ4404" s="3" t="s">
        <v>367</v>
      </c>
      <c r="BA4404" s="3" t="s">
        <v>367</v>
      </c>
      <c r="BB4404" s="3" t="s">
        <v>368</v>
      </c>
      <c r="BC4404" s="3" t="s">
        <v>82</v>
      </c>
      <c r="BD4404" s="3" t="s">
        <v>70</v>
      </c>
      <c r="BF4404" s="3" t="s">
        <v>368</v>
      </c>
      <c r="BG4404" s="3" t="s">
        <v>369</v>
      </c>
    </row>
    <row r="4405" spans="1:59" ht="60" x14ac:dyDescent="0.25">
      <c r="A4405" s="2" t="s">
        <v>59</v>
      </c>
      <c r="B4405" s="2" t="s">
        <v>60</v>
      </c>
      <c r="C4405" s="2" t="s">
        <v>370</v>
      </c>
      <c r="D4405" s="2" t="s">
        <v>371</v>
      </c>
      <c r="E4405" s="2" t="s">
        <v>372</v>
      </c>
      <c r="G4405" s="3" t="s">
        <v>63</v>
      </c>
      <c r="I4405" s="3" t="s">
        <v>63</v>
      </c>
      <c r="J4405" s="3" t="s">
        <v>63</v>
      </c>
      <c r="K4405" s="3" t="s">
        <v>64</v>
      </c>
      <c r="M4405" s="2" t="s">
        <v>373</v>
      </c>
      <c r="N4405" s="3" t="s">
        <v>374</v>
      </c>
      <c r="P4405" s="3" t="s">
        <v>66</v>
      </c>
      <c r="Q4405" s="2" t="s">
        <v>375</v>
      </c>
      <c r="R4405" s="3" t="s">
        <v>67</v>
      </c>
      <c r="S4405" s="4">
        <v>11</v>
      </c>
      <c r="T4405" s="4">
        <v>11</v>
      </c>
      <c r="U4405" s="5" t="s">
        <v>376</v>
      </c>
      <c r="V4405" s="5" t="s">
        <v>376</v>
      </c>
      <c r="W4405" s="5" t="s">
        <v>69</v>
      </c>
      <c r="X4405" s="5" t="s">
        <v>69</v>
      </c>
      <c r="Y4405" s="4">
        <v>181</v>
      </c>
      <c r="Z4405" s="4">
        <v>7</v>
      </c>
      <c r="AA4405" s="4">
        <v>7</v>
      </c>
      <c r="AB4405" s="4">
        <v>1</v>
      </c>
      <c r="AC4405" s="4">
        <v>1</v>
      </c>
      <c r="AD4405" s="4">
        <v>66</v>
      </c>
      <c r="AE4405" s="4">
        <v>66</v>
      </c>
      <c r="AF4405" s="4">
        <v>0</v>
      </c>
      <c r="AG4405" s="4">
        <v>0</v>
      </c>
      <c r="AH4405" s="4">
        <v>64</v>
      </c>
      <c r="AI4405" s="4">
        <v>64</v>
      </c>
      <c r="AJ4405" s="4">
        <v>5</v>
      </c>
      <c r="AK4405" s="4">
        <v>5</v>
      </c>
      <c r="AL4405" s="4">
        <v>40</v>
      </c>
      <c r="AM4405" s="4">
        <v>40</v>
      </c>
      <c r="AN4405" s="4">
        <v>0</v>
      </c>
      <c r="AO4405" s="4">
        <v>0</v>
      </c>
      <c r="AP4405" s="4">
        <v>5</v>
      </c>
      <c r="AQ4405" s="4">
        <v>5</v>
      </c>
      <c r="AR4405" s="3" t="s">
        <v>63</v>
      </c>
      <c r="AS4405" s="3" t="s">
        <v>63</v>
      </c>
      <c r="AT4405" s="3" t="s">
        <v>62</v>
      </c>
      <c r="AU4405" s="6" t="str">
        <f>HYPERLINK("http://catalog.hathitrust.org/Record/003022953","HathiTrust Record")</f>
        <v>HathiTrust Record</v>
      </c>
      <c r="AV4405" s="6" t="str">
        <f>HYPERLINK("http://mcgill.on.worldcat.org/oclc/33013625","Catalog Record")</f>
        <v>Catalog Record</v>
      </c>
      <c r="AW4405" s="6" t="str">
        <f>HYPERLINK("http://www.worldcat.org/oclc/33013625","WorldCat Record")</f>
        <v>WorldCat Record</v>
      </c>
      <c r="AX4405" s="3" t="s">
        <v>377</v>
      </c>
      <c r="AY4405" s="3" t="s">
        <v>378</v>
      </c>
      <c r="AZ4405" s="3" t="s">
        <v>379</v>
      </c>
      <c r="BA4405" s="3" t="s">
        <v>379</v>
      </c>
      <c r="BB4405" s="3" t="s">
        <v>380</v>
      </c>
      <c r="BC4405" s="3" t="s">
        <v>82</v>
      </c>
      <c r="BD4405" s="3" t="s">
        <v>70</v>
      </c>
      <c r="BE4405" s="3" t="s">
        <v>381</v>
      </c>
      <c r="BF4405" s="3" t="s">
        <v>380</v>
      </c>
      <c r="BG4405" s="3" t="s">
        <v>382</v>
      </c>
    </row>
    <row r="4406" spans="1:59" ht="60" x14ac:dyDescent="0.25">
      <c r="A4406" s="2" t="s">
        <v>59</v>
      </c>
      <c r="B4406" s="2" t="s">
        <v>60</v>
      </c>
      <c r="C4406" s="2" t="s">
        <v>270</v>
      </c>
      <c r="D4406" s="2" t="s">
        <v>271</v>
      </c>
      <c r="E4406" s="2" t="s">
        <v>272</v>
      </c>
      <c r="G4406" s="3" t="s">
        <v>63</v>
      </c>
      <c r="I4406" s="3" t="s">
        <v>63</v>
      </c>
      <c r="J4406" s="3" t="s">
        <v>63</v>
      </c>
      <c r="K4406" s="3" t="s">
        <v>64</v>
      </c>
      <c r="M4406" s="2" t="s">
        <v>273</v>
      </c>
      <c r="N4406" s="3" t="s">
        <v>274</v>
      </c>
      <c r="P4406" s="3" t="s">
        <v>66</v>
      </c>
      <c r="Q4406" s="2" t="s">
        <v>275</v>
      </c>
      <c r="R4406" s="3" t="s">
        <v>67</v>
      </c>
      <c r="S4406" s="4">
        <v>1</v>
      </c>
      <c r="T4406" s="4">
        <v>1</v>
      </c>
      <c r="U4406" s="5" t="s">
        <v>276</v>
      </c>
      <c r="V4406" s="5" t="s">
        <v>276</v>
      </c>
      <c r="W4406" s="5" t="s">
        <v>69</v>
      </c>
      <c r="X4406" s="5" t="s">
        <v>69</v>
      </c>
      <c r="Y4406" s="4">
        <v>116</v>
      </c>
      <c r="Z4406" s="4">
        <v>10</v>
      </c>
      <c r="AA4406" s="4">
        <v>11</v>
      </c>
      <c r="AB4406" s="4">
        <v>2</v>
      </c>
      <c r="AC4406" s="4">
        <v>3</v>
      </c>
      <c r="AD4406" s="4">
        <v>70</v>
      </c>
      <c r="AE4406" s="4">
        <v>72</v>
      </c>
      <c r="AF4406" s="4">
        <v>1</v>
      </c>
      <c r="AG4406" s="4">
        <v>2</v>
      </c>
      <c r="AH4406" s="4">
        <v>65</v>
      </c>
      <c r="AI4406" s="4">
        <v>66</v>
      </c>
      <c r="AJ4406" s="4">
        <v>8</v>
      </c>
      <c r="AK4406" s="4">
        <v>9</v>
      </c>
      <c r="AL4406" s="4">
        <v>41</v>
      </c>
      <c r="AM4406" s="4">
        <v>41</v>
      </c>
      <c r="AN4406" s="4">
        <v>0</v>
      </c>
      <c r="AO4406" s="4">
        <v>0</v>
      </c>
      <c r="AP4406" s="4">
        <v>8</v>
      </c>
      <c r="AQ4406" s="4">
        <v>9</v>
      </c>
      <c r="AR4406" s="3" t="s">
        <v>63</v>
      </c>
      <c r="AS4406" s="3" t="s">
        <v>63</v>
      </c>
      <c r="AT4406" s="3" t="s">
        <v>63</v>
      </c>
      <c r="AV4406" s="6" t="str">
        <f>HYPERLINK("http://mcgill.on.worldcat.org/oclc/40783963","Catalog Record")</f>
        <v>Catalog Record</v>
      </c>
      <c r="AW4406" s="6" t="str">
        <f>HYPERLINK("http://www.worldcat.org/oclc/40783963","WorldCat Record")</f>
        <v>WorldCat Record</v>
      </c>
      <c r="AX4406" s="3" t="s">
        <v>277</v>
      </c>
      <c r="AY4406" s="3" t="s">
        <v>278</v>
      </c>
      <c r="AZ4406" s="3" t="s">
        <v>279</v>
      </c>
      <c r="BA4406" s="3" t="s">
        <v>279</v>
      </c>
      <c r="BB4406" s="3" t="s">
        <v>280</v>
      </c>
      <c r="BC4406" s="3" t="s">
        <v>82</v>
      </c>
      <c r="BD4406" s="3" t="s">
        <v>70</v>
      </c>
      <c r="BE4406" s="3" t="s">
        <v>281</v>
      </c>
      <c r="BF4406" s="3" t="s">
        <v>280</v>
      </c>
      <c r="BG4406" s="3" t="s">
        <v>282</v>
      </c>
    </row>
    <row r="4407" spans="1:59" ht="60" x14ac:dyDescent="0.25">
      <c r="A4407" s="2" t="s">
        <v>59</v>
      </c>
      <c r="B4407" s="2" t="s">
        <v>60</v>
      </c>
      <c r="C4407" s="2" t="s">
        <v>38151</v>
      </c>
      <c r="D4407" s="2" t="s">
        <v>38152</v>
      </c>
      <c r="E4407" s="2" t="s">
        <v>38153</v>
      </c>
      <c r="G4407" s="3" t="s">
        <v>63</v>
      </c>
      <c r="I4407" s="3" t="s">
        <v>63</v>
      </c>
      <c r="J4407" s="3" t="s">
        <v>63</v>
      </c>
      <c r="K4407" s="3" t="s">
        <v>64</v>
      </c>
      <c r="L4407" s="2" t="s">
        <v>38154</v>
      </c>
      <c r="M4407" s="2" t="s">
        <v>38155</v>
      </c>
      <c r="N4407" s="3" t="s">
        <v>814</v>
      </c>
      <c r="P4407" s="3" t="s">
        <v>66</v>
      </c>
      <c r="R4407" s="3" t="s">
        <v>67</v>
      </c>
      <c r="S4407" s="4">
        <v>15</v>
      </c>
      <c r="T4407" s="4">
        <v>15</v>
      </c>
      <c r="U4407" s="5" t="s">
        <v>3057</v>
      </c>
      <c r="V4407" s="5" t="s">
        <v>3057</v>
      </c>
      <c r="W4407" s="5" t="s">
        <v>69</v>
      </c>
      <c r="X4407" s="5" t="s">
        <v>69</v>
      </c>
      <c r="Y4407" s="4">
        <v>99</v>
      </c>
      <c r="Z4407" s="4">
        <v>11</v>
      </c>
      <c r="AA4407" s="4">
        <v>11</v>
      </c>
      <c r="AB4407" s="4">
        <v>1</v>
      </c>
      <c r="AC4407" s="4">
        <v>1</v>
      </c>
      <c r="AD4407" s="4">
        <v>50</v>
      </c>
      <c r="AE4407" s="4">
        <v>52</v>
      </c>
      <c r="AF4407" s="4">
        <v>0</v>
      </c>
      <c r="AG4407" s="4">
        <v>0</v>
      </c>
      <c r="AH4407" s="4">
        <v>46</v>
      </c>
      <c r="AI4407" s="4">
        <v>48</v>
      </c>
      <c r="AJ4407" s="4">
        <v>9</v>
      </c>
      <c r="AK4407" s="4">
        <v>9</v>
      </c>
      <c r="AL4407" s="4">
        <v>34</v>
      </c>
      <c r="AM4407" s="4">
        <v>35</v>
      </c>
      <c r="AN4407" s="4">
        <v>0</v>
      </c>
      <c r="AO4407" s="4">
        <v>0</v>
      </c>
      <c r="AP4407" s="4">
        <v>9</v>
      </c>
      <c r="AQ4407" s="4">
        <v>9</v>
      </c>
      <c r="AR4407" s="3" t="s">
        <v>63</v>
      </c>
      <c r="AS4407" s="3" t="s">
        <v>63</v>
      </c>
      <c r="AT4407" s="3" t="s">
        <v>62</v>
      </c>
      <c r="AU4407" s="6" t="str">
        <f>HYPERLINK("http://catalog.hathitrust.org/Record/002490254","HathiTrust Record")</f>
        <v>HathiTrust Record</v>
      </c>
      <c r="AV4407" s="6" t="str">
        <f>HYPERLINK("http://mcgill.on.worldcat.org/oclc/5288838","Catalog Record")</f>
        <v>Catalog Record</v>
      </c>
      <c r="AW4407" s="6" t="str">
        <f>HYPERLINK("http://www.worldcat.org/oclc/5288838","WorldCat Record")</f>
        <v>WorldCat Record</v>
      </c>
      <c r="AX4407" s="3" t="s">
        <v>38156</v>
      </c>
      <c r="AY4407" s="3" t="s">
        <v>38157</v>
      </c>
      <c r="AZ4407" s="3" t="s">
        <v>38158</v>
      </c>
      <c r="BA4407" s="3" t="s">
        <v>38158</v>
      </c>
      <c r="BB4407" s="3" t="s">
        <v>38159</v>
      </c>
      <c r="BC4407" s="3" t="s">
        <v>82</v>
      </c>
      <c r="BD4407" s="3" t="s">
        <v>70</v>
      </c>
      <c r="BE4407" s="3" t="s">
        <v>38160</v>
      </c>
      <c r="BF4407" s="3" t="s">
        <v>38159</v>
      </c>
      <c r="BG4407" s="3" t="s">
        <v>38161</v>
      </c>
    </row>
    <row r="4408" spans="1:59" ht="60" x14ac:dyDescent="0.25">
      <c r="A4408" s="2" t="s">
        <v>59</v>
      </c>
      <c r="B4408" s="2" t="s">
        <v>60</v>
      </c>
      <c r="C4408" s="2" t="s">
        <v>38162</v>
      </c>
      <c r="D4408" s="2" t="s">
        <v>38163</v>
      </c>
      <c r="E4408" s="2" t="s">
        <v>38164</v>
      </c>
      <c r="G4408" s="3" t="s">
        <v>63</v>
      </c>
      <c r="I4408" s="3" t="s">
        <v>63</v>
      </c>
      <c r="J4408" s="3" t="s">
        <v>63</v>
      </c>
      <c r="K4408" s="3" t="s">
        <v>64</v>
      </c>
      <c r="L4408" s="2" t="s">
        <v>38165</v>
      </c>
      <c r="M4408" s="2" t="s">
        <v>38166</v>
      </c>
      <c r="N4408" s="3" t="s">
        <v>814</v>
      </c>
      <c r="P4408" s="3" t="s">
        <v>66</v>
      </c>
      <c r="R4408" s="3" t="s">
        <v>67</v>
      </c>
      <c r="S4408" s="4">
        <v>25</v>
      </c>
      <c r="T4408" s="4">
        <v>25</v>
      </c>
      <c r="U4408" s="5" t="s">
        <v>38167</v>
      </c>
      <c r="V4408" s="5" t="s">
        <v>38167</v>
      </c>
      <c r="W4408" s="5" t="s">
        <v>69</v>
      </c>
      <c r="X4408" s="5" t="s">
        <v>69</v>
      </c>
      <c r="Y4408" s="4">
        <v>66</v>
      </c>
      <c r="Z4408" s="4">
        <v>4</v>
      </c>
      <c r="AA4408" s="4">
        <v>13</v>
      </c>
      <c r="AB4408" s="4">
        <v>1</v>
      </c>
      <c r="AC4408" s="4">
        <v>2</v>
      </c>
      <c r="AD4408" s="4">
        <v>26</v>
      </c>
      <c r="AE4408" s="4">
        <v>76</v>
      </c>
      <c r="AF4408" s="4">
        <v>0</v>
      </c>
      <c r="AG4408" s="4">
        <v>1</v>
      </c>
      <c r="AH4408" s="4">
        <v>24</v>
      </c>
      <c r="AI4408" s="4">
        <v>70</v>
      </c>
      <c r="AJ4408" s="4">
        <v>2</v>
      </c>
      <c r="AK4408" s="4">
        <v>9</v>
      </c>
      <c r="AL4408" s="4">
        <v>16</v>
      </c>
      <c r="AM4408" s="4">
        <v>42</v>
      </c>
      <c r="AN4408" s="4">
        <v>0</v>
      </c>
      <c r="AO4408" s="4">
        <v>0</v>
      </c>
      <c r="AP4408" s="4">
        <v>2</v>
      </c>
      <c r="AQ4408" s="4">
        <v>9</v>
      </c>
      <c r="AR4408" s="3" t="s">
        <v>63</v>
      </c>
      <c r="AS4408" s="3" t="s">
        <v>63</v>
      </c>
      <c r="AT4408" s="3" t="s">
        <v>63</v>
      </c>
      <c r="AV4408" s="6" t="str">
        <f>HYPERLINK("http://mcgill.on.worldcat.org/oclc/4183975","Catalog Record")</f>
        <v>Catalog Record</v>
      </c>
      <c r="AW4408" s="6" t="str">
        <f>HYPERLINK("http://www.worldcat.org/oclc/4183975","WorldCat Record")</f>
        <v>WorldCat Record</v>
      </c>
      <c r="AX4408" s="3" t="s">
        <v>38168</v>
      </c>
      <c r="AY4408" s="3" t="s">
        <v>38169</v>
      </c>
      <c r="AZ4408" s="3" t="s">
        <v>38170</v>
      </c>
      <c r="BA4408" s="3" t="s">
        <v>38170</v>
      </c>
      <c r="BB4408" s="3" t="s">
        <v>38171</v>
      </c>
      <c r="BC4408" s="3" t="s">
        <v>82</v>
      </c>
      <c r="BD4408" s="3" t="s">
        <v>70</v>
      </c>
      <c r="BE4408" s="3" t="s">
        <v>38172</v>
      </c>
      <c r="BF4408" s="3" t="s">
        <v>38171</v>
      </c>
      <c r="BG4408" s="3" t="s">
        <v>38173</v>
      </c>
    </row>
    <row r="4409" spans="1:59" ht="60" x14ac:dyDescent="0.25">
      <c r="A4409" s="2" t="s">
        <v>59</v>
      </c>
      <c r="B4409" s="2" t="s">
        <v>60</v>
      </c>
      <c r="C4409" s="2" t="s">
        <v>38174</v>
      </c>
      <c r="D4409" s="2" t="s">
        <v>38175</v>
      </c>
      <c r="E4409" s="2" t="s">
        <v>38176</v>
      </c>
      <c r="F4409" s="3" t="s">
        <v>38177</v>
      </c>
      <c r="G4409" s="3" t="s">
        <v>62</v>
      </c>
      <c r="I4409" s="3" t="s">
        <v>63</v>
      </c>
      <c r="J4409" s="3" t="s">
        <v>62</v>
      </c>
      <c r="K4409" s="3" t="s">
        <v>64</v>
      </c>
      <c r="L4409" s="2" t="s">
        <v>38178</v>
      </c>
      <c r="M4409" s="2" t="s">
        <v>38179</v>
      </c>
      <c r="N4409" s="3" t="s">
        <v>65</v>
      </c>
      <c r="O4409" s="2" t="s">
        <v>38180</v>
      </c>
      <c r="P4409" s="3" t="s">
        <v>38181</v>
      </c>
      <c r="R4409" s="3" t="s">
        <v>67</v>
      </c>
      <c r="S4409" s="4">
        <v>0</v>
      </c>
      <c r="T4409" s="4">
        <v>10</v>
      </c>
      <c r="V4409" s="5" t="s">
        <v>29306</v>
      </c>
      <c r="W4409" s="5" t="s">
        <v>69</v>
      </c>
      <c r="X4409" s="5" t="s">
        <v>69</v>
      </c>
      <c r="Y4409" s="4">
        <v>38</v>
      </c>
      <c r="Z4409" s="4">
        <v>2</v>
      </c>
      <c r="AA4409" s="4">
        <v>10</v>
      </c>
      <c r="AB4409" s="4">
        <v>1</v>
      </c>
      <c r="AC4409" s="4">
        <v>1</v>
      </c>
      <c r="AD4409" s="4">
        <v>20</v>
      </c>
      <c r="AE4409" s="4">
        <v>39</v>
      </c>
      <c r="AF4409" s="4">
        <v>0</v>
      </c>
      <c r="AG4409" s="4">
        <v>0</v>
      </c>
      <c r="AH4409" s="4">
        <v>19</v>
      </c>
      <c r="AI4409" s="4">
        <v>37</v>
      </c>
      <c r="AJ4409" s="4">
        <v>1</v>
      </c>
      <c r="AK4409" s="4">
        <v>7</v>
      </c>
      <c r="AL4409" s="4">
        <v>15</v>
      </c>
      <c r="AM4409" s="4">
        <v>28</v>
      </c>
      <c r="AN4409" s="4">
        <v>0</v>
      </c>
      <c r="AO4409" s="4">
        <v>0</v>
      </c>
      <c r="AP4409" s="4">
        <v>1</v>
      </c>
      <c r="AQ4409" s="4">
        <v>7</v>
      </c>
      <c r="AR4409" s="3" t="s">
        <v>63</v>
      </c>
      <c r="AS4409" s="3" t="s">
        <v>63</v>
      </c>
      <c r="AT4409" s="3" t="s">
        <v>62</v>
      </c>
      <c r="AU4409" s="6" t="str">
        <f>HYPERLINK("http://catalog.hathitrust.org/Record/000311846","HathiTrust Record")</f>
        <v>HathiTrust Record</v>
      </c>
      <c r="AV4409" s="6" t="str">
        <f>HYPERLINK("http://mcgill.on.worldcat.org/oclc/5124633","Catalog Record")</f>
        <v>Catalog Record</v>
      </c>
      <c r="AW4409" s="6" t="str">
        <f>HYPERLINK("http://www.worldcat.org/oclc/5124633","WorldCat Record")</f>
        <v>WorldCat Record</v>
      </c>
      <c r="AX4409" s="3" t="s">
        <v>38182</v>
      </c>
      <c r="AY4409" s="3" t="s">
        <v>38183</v>
      </c>
      <c r="AZ4409" s="3" t="s">
        <v>38184</v>
      </c>
      <c r="BA4409" s="3" t="s">
        <v>38184</v>
      </c>
      <c r="BB4409" s="3" t="s">
        <v>38185</v>
      </c>
      <c r="BC4409" s="3" t="s">
        <v>82</v>
      </c>
      <c r="BD4409" s="3" t="s">
        <v>70</v>
      </c>
      <c r="BF4409" s="3" t="s">
        <v>38185</v>
      </c>
      <c r="BG4409" s="3" t="s">
        <v>38186</v>
      </c>
    </row>
    <row r="4410" spans="1:59" ht="60" x14ac:dyDescent="0.25">
      <c r="A4410" s="2" t="s">
        <v>59</v>
      </c>
      <c r="B4410" s="2" t="s">
        <v>60</v>
      </c>
      <c r="C4410" s="2" t="s">
        <v>38174</v>
      </c>
      <c r="D4410" s="2" t="s">
        <v>38175</v>
      </c>
      <c r="E4410" s="2" t="s">
        <v>38176</v>
      </c>
      <c r="F4410" s="3" t="s">
        <v>38187</v>
      </c>
      <c r="G4410" s="3" t="s">
        <v>62</v>
      </c>
      <c r="I4410" s="3" t="s">
        <v>63</v>
      </c>
      <c r="J4410" s="3" t="s">
        <v>62</v>
      </c>
      <c r="K4410" s="3" t="s">
        <v>64</v>
      </c>
      <c r="L4410" s="2" t="s">
        <v>38178</v>
      </c>
      <c r="M4410" s="2" t="s">
        <v>38179</v>
      </c>
      <c r="N4410" s="3" t="s">
        <v>65</v>
      </c>
      <c r="O4410" s="2" t="s">
        <v>38180</v>
      </c>
      <c r="P4410" s="3" t="s">
        <v>38181</v>
      </c>
      <c r="R4410" s="3" t="s">
        <v>67</v>
      </c>
      <c r="S4410" s="4">
        <v>10</v>
      </c>
      <c r="T4410" s="4">
        <v>10</v>
      </c>
      <c r="U4410" s="5" t="s">
        <v>29306</v>
      </c>
      <c r="V4410" s="5" t="s">
        <v>29306</v>
      </c>
      <c r="W4410" s="5" t="s">
        <v>69</v>
      </c>
      <c r="X4410" s="5" t="s">
        <v>69</v>
      </c>
      <c r="Y4410" s="4">
        <v>38</v>
      </c>
      <c r="Z4410" s="4">
        <v>2</v>
      </c>
      <c r="AA4410" s="4">
        <v>10</v>
      </c>
      <c r="AB4410" s="4">
        <v>1</v>
      </c>
      <c r="AC4410" s="4">
        <v>1</v>
      </c>
      <c r="AD4410" s="4">
        <v>20</v>
      </c>
      <c r="AE4410" s="4">
        <v>39</v>
      </c>
      <c r="AF4410" s="4">
        <v>0</v>
      </c>
      <c r="AG4410" s="4">
        <v>0</v>
      </c>
      <c r="AH4410" s="4">
        <v>19</v>
      </c>
      <c r="AI4410" s="4">
        <v>37</v>
      </c>
      <c r="AJ4410" s="4">
        <v>1</v>
      </c>
      <c r="AK4410" s="4">
        <v>7</v>
      </c>
      <c r="AL4410" s="4">
        <v>15</v>
      </c>
      <c r="AM4410" s="4">
        <v>28</v>
      </c>
      <c r="AN4410" s="4">
        <v>0</v>
      </c>
      <c r="AO4410" s="4">
        <v>0</v>
      </c>
      <c r="AP4410" s="4">
        <v>1</v>
      </c>
      <c r="AQ4410" s="4">
        <v>7</v>
      </c>
      <c r="AR4410" s="3" t="s">
        <v>63</v>
      </c>
      <c r="AS4410" s="3" t="s">
        <v>63</v>
      </c>
      <c r="AT4410" s="3" t="s">
        <v>62</v>
      </c>
      <c r="AU4410" s="6" t="str">
        <f>HYPERLINK("http://catalog.hathitrust.org/Record/000311846","HathiTrust Record")</f>
        <v>HathiTrust Record</v>
      </c>
      <c r="AV4410" s="6" t="str">
        <f>HYPERLINK("http://mcgill.on.worldcat.org/oclc/5124633","Catalog Record")</f>
        <v>Catalog Record</v>
      </c>
      <c r="AW4410" s="6" t="str">
        <f>HYPERLINK("http://www.worldcat.org/oclc/5124633","WorldCat Record")</f>
        <v>WorldCat Record</v>
      </c>
      <c r="AX4410" s="3" t="s">
        <v>38182</v>
      </c>
      <c r="AY4410" s="3" t="s">
        <v>38183</v>
      </c>
      <c r="AZ4410" s="3" t="s">
        <v>38184</v>
      </c>
      <c r="BA4410" s="3" t="s">
        <v>38184</v>
      </c>
      <c r="BB4410" s="3" t="s">
        <v>38188</v>
      </c>
      <c r="BC4410" s="3" t="s">
        <v>82</v>
      </c>
      <c r="BD4410" s="3" t="s">
        <v>70</v>
      </c>
      <c r="BF4410" s="3" t="s">
        <v>38188</v>
      </c>
      <c r="BG4410" s="3" t="s">
        <v>38189</v>
      </c>
    </row>
    <row r="4411" spans="1:59" ht="60" x14ac:dyDescent="0.25">
      <c r="A4411" s="2" t="s">
        <v>59</v>
      </c>
      <c r="B4411" s="2" t="s">
        <v>60</v>
      </c>
      <c r="C4411" s="2" t="s">
        <v>38190</v>
      </c>
      <c r="D4411" s="2" t="s">
        <v>38191</v>
      </c>
      <c r="E4411" s="2" t="s">
        <v>38192</v>
      </c>
      <c r="G4411" s="3" t="s">
        <v>63</v>
      </c>
      <c r="I4411" s="3" t="s">
        <v>63</v>
      </c>
      <c r="J4411" s="3" t="s">
        <v>63</v>
      </c>
      <c r="K4411" s="3" t="s">
        <v>64</v>
      </c>
      <c r="L4411" s="2" t="s">
        <v>38165</v>
      </c>
      <c r="M4411" s="2" t="s">
        <v>38193</v>
      </c>
      <c r="N4411" s="3" t="s">
        <v>3640</v>
      </c>
      <c r="O4411" s="2" t="s">
        <v>2078</v>
      </c>
      <c r="P4411" s="3" t="s">
        <v>66</v>
      </c>
      <c r="R4411" s="3" t="s">
        <v>67</v>
      </c>
      <c r="S4411" s="4">
        <v>54</v>
      </c>
      <c r="T4411" s="4">
        <v>54</v>
      </c>
      <c r="U4411" s="5" t="s">
        <v>3057</v>
      </c>
      <c r="V4411" s="5" t="s">
        <v>3057</v>
      </c>
      <c r="W4411" s="5" t="s">
        <v>69</v>
      </c>
      <c r="X4411" s="5" t="s">
        <v>69</v>
      </c>
      <c r="Y4411" s="4">
        <v>222</v>
      </c>
      <c r="Z4411" s="4">
        <v>13</v>
      </c>
      <c r="AA4411" s="4">
        <v>18</v>
      </c>
      <c r="AB4411" s="4">
        <v>2</v>
      </c>
      <c r="AC4411" s="4">
        <v>2</v>
      </c>
      <c r="AD4411" s="4">
        <v>71</v>
      </c>
      <c r="AE4411" s="4">
        <v>84</v>
      </c>
      <c r="AF4411" s="4">
        <v>1</v>
      </c>
      <c r="AG4411" s="4">
        <v>1</v>
      </c>
      <c r="AH4411" s="4">
        <v>68</v>
      </c>
      <c r="AI4411" s="4">
        <v>76</v>
      </c>
      <c r="AJ4411" s="4">
        <v>7</v>
      </c>
      <c r="AK4411" s="4">
        <v>12</v>
      </c>
      <c r="AL4411" s="4">
        <v>40</v>
      </c>
      <c r="AM4411" s="4">
        <v>46</v>
      </c>
      <c r="AN4411" s="4">
        <v>0</v>
      </c>
      <c r="AO4411" s="4">
        <v>0</v>
      </c>
      <c r="AP4411" s="4">
        <v>7</v>
      </c>
      <c r="AQ4411" s="4">
        <v>12</v>
      </c>
      <c r="AR4411" s="3" t="s">
        <v>63</v>
      </c>
      <c r="AS4411" s="3" t="s">
        <v>63</v>
      </c>
      <c r="AT4411" s="3" t="s">
        <v>62</v>
      </c>
      <c r="AU4411" s="6" t="str">
        <f>HYPERLINK("http://catalog.hathitrust.org/Record/002531263","HathiTrust Record")</f>
        <v>HathiTrust Record</v>
      </c>
      <c r="AV4411" s="6" t="str">
        <f>HYPERLINK("http://mcgill.on.worldcat.org/oclc/10019241","Catalog Record")</f>
        <v>Catalog Record</v>
      </c>
      <c r="AW4411" s="6" t="str">
        <f>HYPERLINK("http://www.worldcat.org/oclc/10019241","WorldCat Record")</f>
        <v>WorldCat Record</v>
      </c>
      <c r="AX4411" s="3" t="s">
        <v>38194</v>
      </c>
      <c r="AY4411" s="3" t="s">
        <v>38195</v>
      </c>
      <c r="AZ4411" s="3" t="s">
        <v>38196</v>
      </c>
      <c r="BA4411" s="3" t="s">
        <v>38196</v>
      </c>
      <c r="BB4411" s="3" t="s">
        <v>38197</v>
      </c>
      <c r="BC4411" s="3" t="s">
        <v>82</v>
      </c>
      <c r="BD4411" s="3" t="s">
        <v>70</v>
      </c>
      <c r="BE4411" s="3" t="s">
        <v>38198</v>
      </c>
      <c r="BF4411" s="3" t="s">
        <v>38197</v>
      </c>
      <c r="BG4411" s="3" t="s">
        <v>38199</v>
      </c>
    </row>
    <row r="4412" spans="1:59" ht="60" x14ac:dyDescent="0.25">
      <c r="A4412" s="2" t="s">
        <v>59</v>
      </c>
      <c r="B4412" s="2" t="s">
        <v>60</v>
      </c>
      <c r="C4412" s="2" t="s">
        <v>38200</v>
      </c>
      <c r="D4412" s="2" t="s">
        <v>38201</v>
      </c>
      <c r="E4412" s="2" t="s">
        <v>38202</v>
      </c>
      <c r="G4412" s="3" t="s">
        <v>63</v>
      </c>
      <c r="I4412" s="3" t="s">
        <v>63</v>
      </c>
      <c r="J4412" s="3" t="s">
        <v>63</v>
      </c>
      <c r="K4412" s="3" t="s">
        <v>64</v>
      </c>
      <c r="L4412" s="2" t="s">
        <v>38203</v>
      </c>
      <c r="M4412" s="2" t="s">
        <v>38204</v>
      </c>
      <c r="N4412" s="3" t="s">
        <v>143</v>
      </c>
      <c r="P4412" s="3" t="s">
        <v>66</v>
      </c>
      <c r="Q4412" s="2" t="s">
        <v>38205</v>
      </c>
      <c r="R4412" s="3" t="s">
        <v>67</v>
      </c>
      <c r="S4412" s="4">
        <v>1</v>
      </c>
      <c r="T4412" s="4">
        <v>1</v>
      </c>
      <c r="U4412" s="5" t="s">
        <v>38206</v>
      </c>
      <c r="V4412" s="5" t="s">
        <v>38206</v>
      </c>
      <c r="W4412" s="5" t="s">
        <v>69</v>
      </c>
      <c r="X4412" s="5" t="s">
        <v>69</v>
      </c>
      <c r="Y4412" s="4">
        <v>40</v>
      </c>
      <c r="Z4412" s="4">
        <v>3</v>
      </c>
      <c r="AA4412" s="4">
        <v>77</v>
      </c>
      <c r="AB4412" s="4">
        <v>1</v>
      </c>
      <c r="AC4412" s="4">
        <v>14</v>
      </c>
      <c r="AD4412" s="4">
        <v>24</v>
      </c>
      <c r="AE4412" s="4">
        <v>106</v>
      </c>
      <c r="AF4412" s="4">
        <v>0</v>
      </c>
      <c r="AG4412" s="4">
        <v>8</v>
      </c>
      <c r="AH4412" s="4">
        <v>23</v>
      </c>
      <c r="AI4412" s="4">
        <v>72</v>
      </c>
      <c r="AJ4412" s="4">
        <v>2</v>
      </c>
      <c r="AK4412" s="4">
        <v>21</v>
      </c>
      <c r="AL4412" s="4">
        <v>16</v>
      </c>
      <c r="AM4412" s="4">
        <v>37</v>
      </c>
      <c r="AN4412" s="4">
        <v>0</v>
      </c>
      <c r="AO4412" s="4">
        <v>0</v>
      </c>
      <c r="AP4412" s="4">
        <v>2</v>
      </c>
      <c r="AQ4412" s="4">
        <v>41</v>
      </c>
      <c r="AR4412" s="3" t="s">
        <v>63</v>
      </c>
      <c r="AS4412" s="3" t="s">
        <v>63</v>
      </c>
      <c r="AT4412" s="3" t="s">
        <v>63</v>
      </c>
      <c r="AV4412" s="6" t="str">
        <f>HYPERLINK("http://mcgill.on.worldcat.org/oclc/879386910","Catalog Record")</f>
        <v>Catalog Record</v>
      </c>
      <c r="AW4412" s="6" t="str">
        <f>HYPERLINK("http://www.worldcat.org/oclc/879386910","WorldCat Record")</f>
        <v>WorldCat Record</v>
      </c>
      <c r="AX4412" s="3" t="s">
        <v>38207</v>
      </c>
      <c r="AY4412" s="3" t="s">
        <v>38208</v>
      </c>
      <c r="AZ4412" s="3" t="s">
        <v>38209</v>
      </c>
      <c r="BA4412" s="3" t="s">
        <v>38209</v>
      </c>
      <c r="BB4412" s="3" t="s">
        <v>38210</v>
      </c>
      <c r="BC4412" s="3" t="s">
        <v>82</v>
      </c>
      <c r="BD4412" s="3" t="s">
        <v>70</v>
      </c>
      <c r="BE4412" s="3" t="s">
        <v>38211</v>
      </c>
      <c r="BF4412" s="3" t="s">
        <v>38210</v>
      </c>
      <c r="BG4412" s="3" t="s">
        <v>38212</v>
      </c>
    </row>
    <row r="4413" spans="1:59" ht="60" x14ac:dyDescent="0.25">
      <c r="A4413" s="2" t="s">
        <v>59</v>
      </c>
      <c r="B4413" s="2" t="s">
        <v>60</v>
      </c>
      <c r="C4413" s="2" t="s">
        <v>38213</v>
      </c>
      <c r="D4413" s="2" t="s">
        <v>38214</v>
      </c>
      <c r="E4413" s="2" t="s">
        <v>38215</v>
      </c>
      <c r="G4413" s="3" t="s">
        <v>63</v>
      </c>
      <c r="I4413" s="3" t="s">
        <v>63</v>
      </c>
      <c r="J4413" s="3" t="s">
        <v>63</v>
      </c>
      <c r="K4413" s="3" t="s">
        <v>64</v>
      </c>
      <c r="L4413" s="2" t="s">
        <v>38216</v>
      </c>
      <c r="M4413" s="2" t="s">
        <v>3558</v>
      </c>
      <c r="N4413" s="3" t="s">
        <v>261</v>
      </c>
      <c r="P4413" s="3" t="s">
        <v>66</v>
      </c>
      <c r="Q4413" s="2" t="s">
        <v>38217</v>
      </c>
      <c r="R4413" s="3" t="s">
        <v>67</v>
      </c>
      <c r="S4413" s="4">
        <v>1</v>
      </c>
      <c r="T4413" s="4">
        <v>1</v>
      </c>
      <c r="U4413" s="5" t="s">
        <v>38206</v>
      </c>
      <c r="V4413" s="5" t="s">
        <v>38206</v>
      </c>
      <c r="W4413" s="5" t="s">
        <v>69</v>
      </c>
      <c r="X4413" s="5" t="s">
        <v>69</v>
      </c>
      <c r="Y4413" s="4">
        <v>103</v>
      </c>
      <c r="Z4413" s="4">
        <v>10</v>
      </c>
      <c r="AA4413" s="4">
        <v>90</v>
      </c>
      <c r="AB4413" s="4">
        <v>1</v>
      </c>
      <c r="AC4413" s="4">
        <v>17</v>
      </c>
      <c r="AD4413" s="4">
        <v>53</v>
      </c>
      <c r="AE4413" s="4">
        <v>118</v>
      </c>
      <c r="AF4413" s="4">
        <v>0</v>
      </c>
      <c r="AG4413" s="4">
        <v>8</v>
      </c>
      <c r="AH4413" s="4">
        <v>51</v>
      </c>
      <c r="AI4413" s="4">
        <v>82</v>
      </c>
      <c r="AJ4413" s="4">
        <v>7</v>
      </c>
      <c r="AK4413" s="4">
        <v>22</v>
      </c>
      <c r="AL4413" s="4">
        <v>36</v>
      </c>
      <c r="AM4413" s="4">
        <v>46</v>
      </c>
      <c r="AN4413" s="4">
        <v>0</v>
      </c>
      <c r="AO4413" s="4">
        <v>0</v>
      </c>
      <c r="AP4413" s="4">
        <v>7</v>
      </c>
      <c r="AQ4413" s="4">
        <v>43</v>
      </c>
      <c r="AR4413" s="3" t="s">
        <v>63</v>
      </c>
      <c r="AS4413" s="3" t="s">
        <v>63</v>
      </c>
      <c r="AT4413" s="3" t="s">
        <v>63</v>
      </c>
      <c r="AV4413" s="6" t="str">
        <f>HYPERLINK("http://mcgill.on.worldcat.org/oclc/134991332","Catalog Record")</f>
        <v>Catalog Record</v>
      </c>
      <c r="AW4413" s="6" t="str">
        <f>HYPERLINK("http://www.worldcat.org/oclc/134991332","WorldCat Record")</f>
        <v>WorldCat Record</v>
      </c>
      <c r="AX4413" s="3" t="s">
        <v>38218</v>
      </c>
      <c r="AY4413" s="3" t="s">
        <v>38219</v>
      </c>
      <c r="AZ4413" s="3" t="s">
        <v>38220</v>
      </c>
      <c r="BA4413" s="3" t="s">
        <v>38220</v>
      </c>
      <c r="BB4413" s="3" t="s">
        <v>38221</v>
      </c>
      <c r="BC4413" s="3" t="s">
        <v>82</v>
      </c>
      <c r="BD4413" s="3" t="s">
        <v>70</v>
      </c>
      <c r="BE4413" s="3" t="s">
        <v>38222</v>
      </c>
      <c r="BF4413" s="3" t="s">
        <v>38221</v>
      </c>
      <c r="BG4413" s="3" t="s">
        <v>38223</v>
      </c>
    </row>
    <row r="4414" spans="1:59" ht="60" x14ac:dyDescent="0.25">
      <c r="A4414" s="2" t="s">
        <v>59</v>
      </c>
      <c r="B4414" s="2" t="s">
        <v>60</v>
      </c>
      <c r="C4414" s="2" t="s">
        <v>38224</v>
      </c>
      <c r="D4414" s="2" t="s">
        <v>38225</v>
      </c>
      <c r="E4414" s="2" t="s">
        <v>38226</v>
      </c>
      <c r="G4414" s="3" t="s">
        <v>63</v>
      </c>
      <c r="I4414" s="3" t="s">
        <v>63</v>
      </c>
      <c r="J4414" s="3" t="s">
        <v>63</v>
      </c>
      <c r="K4414" s="3" t="s">
        <v>64</v>
      </c>
      <c r="L4414" s="2" t="s">
        <v>38227</v>
      </c>
      <c r="M4414" s="2" t="s">
        <v>38228</v>
      </c>
      <c r="N4414" s="3" t="s">
        <v>531</v>
      </c>
      <c r="P4414" s="3" t="s">
        <v>66</v>
      </c>
      <c r="R4414" s="3" t="s">
        <v>67</v>
      </c>
      <c r="S4414" s="4">
        <v>9</v>
      </c>
      <c r="T4414" s="4">
        <v>9</v>
      </c>
      <c r="U4414" s="5" t="s">
        <v>38229</v>
      </c>
      <c r="V4414" s="5" t="s">
        <v>38229</v>
      </c>
      <c r="W4414" s="5" t="s">
        <v>69</v>
      </c>
      <c r="X4414" s="5" t="s">
        <v>69</v>
      </c>
      <c r="Y4414" s="4">
        <v>103</v>
      </c>
      <c r="Z4414" s="4">
        <v>13</v>
      </c>
      <c r="AA4414" s="4">
        <v>13</v>
      </c>
      <c r="AB4414" s="4">
        <v>2</v>
      </c>
      <c r="AC4414" s="4">
        <v>2</v>
      </c>
      <c r="AD4414" s="4">
        <v>60</v>
      </c>
      <c r="AE4414" s="4">
        <v>60</v>
      </c>
      <c r="AF4414" s="4">
        <v>1</v>
      </c>
      <c r="AG4414" s="4">
        <v>1</v>
      </c>
      <c r="AH4414" s="4">
        <v>56</v>
      </c>
      <c r="AI4414" s="4">
        <v>56</v>
      </c>
      <c r="AJ4414" s="4">
        <v>11</v>
      </c>
      <c r="AK4414" s="4">
        <v>11</v>
      </c>
      <c r="AL4414" s="4">
        <v>38</v>
      </c>
      <c r="AM4414" s="4">
        <v>38</v>
      </c>
      <c r="AN4414" s="4">
        <v>0</v>
      </c>
      <c r="AO4414" s="4">
        <v>0</v>
      </c>
      <c r="AP4414" s="4">
        <v>11</v>
      </c>
      <c r="AQ4414" s="4">
        <v>11</v>
      </c>
      <c r="AR4414" s="3" t="s">
        <v>63</v>
      </c>
      <c r="AS4414" s="3" t="s">
        <v>63</v>
      </c>
      <c r="AT4414" s="3" t="s">
        <v>63</v>
      </c>
      <c r="AV4414" s="6" t="str">
        <f>HYPERLINK("http://mcgill.on.worldcat.org/oclc/26778732","Catalog Record")</f>
        <v>Catalog Record</v>
      </c>
      <c r="AW4414" s="6" t="str">
        <f>HYPERLINK("http://www.worldcat.org/oclc/26778732","WorldCat Record")</f>
        <v>WorldCat Record</v>
      </c>
      <c r="AX4414" s="3" t="s">
        <v>38230</v>
      </c>
      <c r="AY4414" s="3" t="s">
        <v>38231</v>
      </c>
      <c r="AZ4414" s="3" t="s">
        <v>38232</v>
      </c>
      <c r="BA4414" s="3" t="s">
        <v>38232</v>
      </c>
      <c r="BB4414" s="3" t="s">
        <v>38233</v>
      </c>
      <c r="BC4414" s="3" t="s">
        <v>82</v>
      </c>
      <c r="BD4414" s="3" t="s">
        <v>70</v>
      </c>
      <c r="BE4414" s="3" t="s">
        <v>38234</v>
      </c>
      <c r="BF4414" s="3" t="s">
        <v>38233</v>
      </c>
      <c r="BG4414" s="3" t="s">
        <v>38235</v>
      </c>
    </row>
    <row r="4415" spans="1:59" ht="60" x14ac:dyDescent="0.25">
      <c r="A4415" s="2" t="s">
        <v>59</v>
      </c>
      <c r="B4415" s="2" t="s">
        <v>60</v>
      </c>
      <c r="C4415" s="2" t="s">
        <v>383</v>
      </c>
      <c r="D4415" s="2" t="s">
        <v>384</v>
      </c>
      <c r="E4415" s="2" t="s">
        <v>385</v>
      </c>
      <c r="G4415" s="3" t="s">
        <v>63</v>
      </c>
      <c r="I4415" s="3" t="s">
        <v>63</v>
      </c>
      <c r="J4415" s="3" t="s">
        <v>63</v>
      </c>
      <c r="K4415" s="3" t="s">
        <v>64</v>
      </c>
      <c r="L4415" s="2" t="s">
        <v>386</v>
      </c>
      <c r="M4415" s="2" t="s">
        <v>387</v>
      </c>
      <c r="N4415" s="3" t="s">
        <v>362</v>
      </c>
      <c r="P4415" s="3" t="s">
        <v>66</v>
      </c>
      <c r="Q4415" s="2" t="s">
        <v>388</v>
      </c>
      <c r="R4415" s="3" t="s">
        <v>67</v>
      </c>
      <c r="S4415" s="4">
        <v>7</v>
      </c>
      <c r="T4415" s="4">
        <v>7</v>
      </c>
      <c r="U4415" s="5" t="s">
        <v>389</v>
      </c>
      <c r="V4415" s="5" t="s">
        <v>389</v>
      </c>
      <c r="W4415" s="5" t="s">
        <v>69</v>
      </c>
      <c r="X4415" s="5" t="s">
        <v>69</v>
      </c>
      <c r="Y4415" s="4">
        <v>86</v>
      </c>
      <c r="Z4415" s="4">
        <v>12</v>
      </c>
      <c r="AA4415" s="4">
        <v>13</v>
      </c>
      <c r="AB4415" s="4">
        <v>3</v>
      </c>
      <c r="AC4415" s="4">
        <v>4</v>
      </c>
      <c r="AD4415" s="4">
        <v>45</v>
      </c>
      <c r="AE4415" s="4">
        <v>46</v>
      </c>
      <c r="AF4415" s="4">
        <v>1</v>
      </c>
      <c r="AG4415" s="4">
        <v>2</v>
      </c>
      <c r="AH4415" s="4">
        <v>40</v>
      </c>
      <c r="AI4415" s="4">
        <v>41</v>
      </c>
      <c r="AJ4415" s="4">
        <v>9</v>
      </c>
      <c r="AK4415" s="4">
        <v>10</v>
      </c>
      <c r="AL4415" s="4">
        <v>31</v>
      </c>
      <c r="AM4415" s="4">
        <v>31</v>
      </c>
      <c r="AN4415" s="4">
        <v>0</v>
      </c>
      <c r="AO4415" s="4">
        <v>0</v>
      </c>
      <c r="AP4415" s="4">
        <v>9</v>
      </c>
      <c r="AQ4415" s="4">
        <v>10</v>
      </c>
      <c r="AR4415" s="3" t="s">
        <v>63</v>
      </c>
      <c r="AS4415" s="3" t="s">
        <v>63</v>
      </c>
      <c r="AT4415" s="3" t="s">
        <v>62</v>
      </c>
      <c r="AU4415" s="6" t="str">
        <f>HYPERLINK("http://catalog.hathitrust.org/Record/003615492","HathiTrust Record")</f>
        <v>HathiTrust Record</v>
      </c>
      <c r="AV4415" s="6" t="str">
        <f>HYPERLINK("http://mcgill.on.worldcat.org/oclc/48919311","Catalog Record")</f>
        <v>Catalog Record</v>
      </c>
      <c r="AW4415" s="6" t="str">
        <f>HYPERLINK("http://www.worldcat.org/oclc/48919311","WorldCat Record")</f>
        <v>WorldCat Record</v>
      </c>
      <c r="AX4415" s="3" t="s">
        <v>390</v>
      </c>
      <c r="AY4415" s="3" t="s">
        <v>391</v>
      </c>
      <c r="AZ4415" s="3" t="s">
        <v>392</v>
      </c>
      <c r="BA4415" s="3" t="s">
        <v>392</v>
      </c>
      <c r="BB4415" s="3" t="s">
        <v>393</v>
      </c>
      <c r="BC4415" s="3" t="s">
        <v>82</v>
      </c>
      <c r="BD4415" s="3" t="s">
        <v>70</v>
      </c>
      <c r="BE4415" s="3" t="s">
        <v>394</v>
      </c>
      <c r="BF4415" s="3" t="s">
        <v>393</v>
      </c>
      <c r="BG4415" s="3" t="s">
        <v>395</v>
      </c>
    </row>
    <row r="4416" spans="1:59" ht="60" x14ac:dyDescent="0.25">
      <c r="A4416" s="2" t="s">
        <v>59</v>
      </c>
      <c r="B4416" s="2" t="s">
        <v>60</v>
      </c>
      <c r="C4416" s="2" t="s">
        <v>396</v>
      </c>
      <c r="D4416" s="2" t="s">
        <v>397</v>
      </c>
      <c r="E4416" s="2" t="s">
        <v>398</v>
      </c>
      <c r="G4416" s="3" t="s">
        <v>63</v>
      </c>
      <c r="I4416" s="3" t="s">
        <v>63</v>
      </c>
      <c r="J4416" s="3" t="s">
        <v>63</v>
      </c>
      <c r="K4416" s="3" t="s">
        <v>64</v>
      </c>
      <c r="L4416" s="2" t="s">
        <v>399</v>
      </c>
      <c r="M4416" s="2" t="s">
        <v>400</v>
      </c>
      <c r="N4416" s="3" t="s">
        <v>401</v>
      </c>
      <c r="O4416" s="2" t="s">
        <v>402</v>
      </c>
      <c r="P4416" s="3" t="s">
        <v>66</v>
      </c>
      <c r="Q4416" s="2" t="s">
        <v>403</v>
      </c>
      <c r="R4416" s="3" t="s">
        <v>67</v>
      </c>
      <c r="S4416" s="4">
        <v>2</v>
      </c>
      <c r="T4416" s="4">
        <v>2</v>
      </c>
      <c r="U4416" s="5" t="s">
        <v>404</v>
      </c>
      <c r="V4416" s="5" t="s">
        <v>404</v>
      </c>
      <c r="W4416" s="5" t="s">
        <v>69</v>
      </c>
      <c r="X4416" s="5" t="s">
        <v>69</v>
      </c>
      <c r="Y4416" s="4">
        <v>84</v>
      </c>
      <c r="Z4416" s="4">
        <v>13</v>
      </c>
      <c r="AA4416" s="4">
        <v>30</v>
      </c>
      <c r="AB4416" s="4">
        <v>2</v>
      </c>
      <c r="AC4416" s="4">
        <v>3</v>
      </c>
      <c r="AD4416" s="4">
        <v>31</v>
      </c>
      <c r="AE4416" s="4">
        <v>107</v>
      </c>
      <c r="AF4416" s="4">
        <v>1</v>
      </c>
      <c r="AG4416" s="4">
        <v>2</v>
      </c>
      <c r="AH4416" s="4">
        <v>26</v>
      </c>
      <c r="AI4416" s="4">
        <v>96</v>
      </c>
      <c r="AJ4416" s="4">
        <v>7</v>
      </c>
      <c r="AK4416" s="4">
        <v>16</v>
      </c>
      <c r="AL4416" s="4">
        <v>17</v>
      </c>
      <c r="AM4416" s="4">
        <v>53</v>
      </c>
      <c r="AN4416" s="4">
        <v>0</v>
      </c>
      <c r="AO4416" s="4">
        <v>5</v>
      </c>
      <c r="AP4416" s="4">
        <v>9</v>
      </c>
      <c r="AQ4416" s="4">
        <v>18</v>
      </c>
      <c r="AR4416" s="3" t="s">
        <v>63</v>
      </c>
      <c r="AS4416" s="3" t="s">
        <v>63</v>
      </c>
      <c r="AT4416" s="3" t="s">
        <v>62</v>
      </c>
      <c r="AU4416" s="6" t="str">
        <f>HYPERLINK("http://catalog.hathitrust.org/Record/001850296","HathiTrust Record")</f>
        <v>HathiTrust Record</v>
      </c>
      <c r="AV4416" s="6" t="str">
        <f>HYPERLINK("http://mcgill.on.worldcat.org/oclc/468739","Catalog Record")</f>
        <v>Catalog Record</v>
      </c>
      <c r="AW4416" s="6" t="str">
        <f>HYPERLINK("http://www.worldcat.org/oclc/468739","WorldCat Record")</f>
        <v>WorldCat Record</v>
      </c>
      <c r="AX4416" s="3" t="s">
        <v>405</v>
      </c>
      <c r="AY4416" s="3" t="s">
        <v>406</v>
      </c>
      <c r="AZ4416" s="3" t="s">
        <v>407</v>
      </c>
      <c r="BA4416" s="3" t="s">
        <v>407</v>
      </c>
      <c r="BB4416" s="3" t="s">
        <v>408</v>
      </c>
      <c r="BC4416" s="3" t="s">
        <v>82</v>
      </c>
      <c r="BD4416" s="3" t="s">
        <v>70</v>
      </c>
      <c r="BF4416" s="3" t="s">
        <v>408</v>
      </c>
      <c r="BG4416" s="3" t="s">
        <v>409</v>
      </c>
    </row>
    <row r="4417" spans="1:59" ht="60" x14ac:dyDescent="0.25">
      <c r="A4417" s="2" t="s">
        <v>59</v>
      </c>
      <c r="B4417" s="2" t="s">
        <v>60</v>
      </c>
      <c r="C4417" s="2" t="s">
        <v>410</v>
      </c>
      <c r="D4417" s="2" t="s">
        <v>411</v>
      </c>
      <c r="E4417" s="2" t="s">
        <v>412</v>
      </c>
      <c r="G4417" s="3" t="s">
        <v>63</v>
      </c>
      <c r="I4417" s="3" t="s">
        <v>63</v>
      </c>
      <c r="J4417" s="3" t="s">
        <v>62</v>
      </c>
      <c r="K4417" s="3" t="s">
        <v>64</v>
      </c>
      <c r="L4417" s="2" t="s">
        <v>399</v>
      </c>
      <c r="M4417" s="2" t="s">
        <v>413</v>
      </c>
      <c r="N4417" s="3" t="s">
        <v>362</v>
      </c>
      <c r="O4417" s="2" t="s">
        <v>414</v>
      </c>
      <c r="P4417" s="3" t="s">
        <v>66</v>
      </c>
      <c r="R4417" s="3" t="s">
        <v>67</v>
      </c>
      <c r="S4417" s="4">
        <v>16</v>
      </c>
      <c r="T4417" s="4">
        <v>16</v>
      </c>
      <c r="U4417" s="5" t="s">
        <v>415</v>
      </c>
      <c r="V4417" s="5" t="s">
        <v>415</v>
      </c>
      <c r="W4417" s="5" t="s">
        <v>69</v>
      </c>
      <c r="X4417" s="5" t="s">
        <v>69</v>
      </c>
      <c r="Y4417" s="4">
        <v>108</v>
      </c>
      <c r="Z4417" s="4">
        <v>5</v>
      </c>
      <c r="AA4417" s="4">
        <v>80</v>
      </c>
      <c r="AB4417" s="4">
        <v>2</v>
      </c>
      <c r="AC4417" s="4">
        <v>15</v>
      </c>
      <c r="AD4417" s="4">
        <v>53</v>
      </c>
      <c r="AE4417" s="4">
        <v>131</v>
      </c>
      <c r="AF4417" s="4">
        <v>0</v>
      </c>
      <c r="AG4417" s="4">
        <v>8</v>
      </c>
      <c r="AH4417" s="4">
        <v>51</v>
      </c>
      <c r="AI4417" s="4">
        <v>97</v>
      </c>
      <c r="AJ4417" s="4">
        <v>2</v>
      </c>
      <c r="AK4417" s="4">
        <v>22</v>
      </c>
      <c r="AL4417" s="4">
        <v>36</v>
      </c>
      <c r="AM4417" s="4">
        <v>51</v>
      </c>
      <c r="AN4417" s="4">
        <v>0</v>
      </c>
      <c r="AO4417" s="4">
        <v>0</v>
      </c>
      <c r="AP4417" s="4">
        <v>2</v>
      </c>
      <c r="AQ4417" s="4">
        <v>42</v>
      </c>
      <c r="AR4417" s="3" t="s">
        <v>63</v>
      </c>
      <c r="AS4417" s="3" t="s">
        <v>63</v>
      </c>
      <c r="AT4417" s="3" t="s">
        <v>62</v>
      </c>
      <c r="AU4417" s="6" t="str">
        <f>HYPERLINK("http://catalog.hathitrust.org/Record/003574925","HathiTrust Record")</f>
        <v>HathiTrust Record</v>
      </c>
      <c r="AV4417" s="6" t="str">
        <f>HYPERLINK("http://mcgill.on.worldcat.org/oclc/46421814","Catalog Record")</f>
        <v>Catalog Record</v>
      </c>
      <c r="AW4417" s="6" t="str">
        <f>HYPERLINK("http://www.worldcat.org/oclc/46421814","WorldCat Record")</f>
        <v>WorldCat Record</v>
      </c>
      <c r="AX4417" s="3" t="s">
        <v>416</v>
      </c>
      <c r="AY4417" s="3" t="s">
        <v>417</v>
      </c>
      <c r="AZ4417" s="3" t="s">
        <v>418</v>
      </c>
      <c r="BA4417" s="3" t="s">
        <v>418</v>
      </c>
      <c r="BB4417" s="3" t="s">
        <v>419</v>
      </c>
      <c r="BC4417" s="3" t="s">
        <v>82</v>
      </c>
      <c r="BD4417" s="3" t="s">
        <v>70</v>
      </c>
      <c r="BE4417" s="3" t="s">
        <v>420</v>
      </c>
      <c r="BF4417" s="3" t="s">
        <v>419</v>
      </c>
      <c r="BG4417" s="3" t="s">
        <v>421</v>
      </c>
    </row>
    <row r="4418" spans="1:59" ht="60" x14ac:dyDescent="0.25">
      <c r="A4418" s="2" t="s">
        <v>59</v>
      </c>
      <c r="B4418" s="2" t="s">
        <v>60</v>
      </c>
      <c r="C4418" s="2" t="s">
        <v>422</v>
      </c>
      <c r="D4418" s="2" t="s">
        <v>423</v>
      </c>
      <c r="E4418" s="2" t="s">
        <v>424</v>
      </c>
      <c r="G4418" s="3" t="s">
        <v>63</v>
      </c>
      <c r="I4418" s="3" t="s">
        <v>63</v>
      </c>
      <c r="J4418" s="3" t="s">
        <v>63</v>
      </c>
      <c r="K4418" s="3" t="s">
        <v>64</v>
      </c>
      <c r="L4418" s="2" t="s">
        <v>425</v>
      </c>
      <c r="M4418" s="2" t="s">
        <v>426</v>
      </c>
      <c r="N4418" s="3" t="s">
        <v>427</v>
      </c>
      <c r="P4418" s="3" t="s">
        <v>66</v>
      </c>
      <c r="Q4418" s="2" t="s">
        <v>428</v>
      </c>
      <c r="R4418" s="3" t="s">
        <v>67</v>
      </c>
      <c r="S4418" s="4">
        <v>9</v>
      </c>
      <c r="T4418" s="4">
        <v>9</v>
      </c>
      <c r="U4418" s="5" t="s">
        <v>429</v>
      </c>
      <c r="V4418" s="5" t="s">
        <v>429</v>
      </c>
      <c r="W4418" s="5" t="s">
        <v>69</v>
      </c>
      <c r="X4418" s="5" t="s">
        <v>69</v>
      </c>
      <c r="Y4418" s="4">
        <v>20</v>
      </c>
      <c r="Z4418" s="4">
        <v>1</v>
      </c>
      <c r="AA4418" s="4">
        <v>3</v>
      </c>
      <c r="AB4418" s="4">
        <v>1</v>
      </c>
      <c r="AC4418" s="4">
        <v>1</v>
      </c>
      <c r="AD4418" s="4">
        <v>9</v>
      </c>
      <c r="AE4418" s="4">
        <v>11</v>
      </c>
      <c r="AF4418" s="4">
        <v>0</v>
      </c>
      <c r="AG4418" s="4">
        <v>0</v>
      </c>
      <c r="AH4418" s="4">
        <v>9</v>
      </c>
      <c r="AI4418" s="4">
        <v>11</v>
      </c>
      <c r="AJ4418" s="4">
        <v>0</v>
      </c>
      <c r="AK4418" s="4">
        <v>1</v>
      </c>
      <c r="AL4418" s="4">
        <v>6</v>
      </c>
      <c r="AM4418" s="4">
        <v>6</v>
      </c>
      <c r="AN4418" s="4">
        <v>0</v>
      </c>
      <c r="AO4418" s="4">
        <v>0</v>
      </c>
      <c r="AP4418" s="4">
        <v>0</v>
      </c>
      <c r="AQ4418" s="4">
        <v>1</v>
      </c>
      <c r="AR4418" s="3" t="s">
        <v>63</v>
      </c>
      <c r="AS4418" s="3" t="s">
        <v>63</v>
      </c>
      <c r="AT4418" s="3" t="s">
        <v>62</v>
      </c>
      <c r="AU4418" s="6" t="str">
        <f>HYPERLINK("http://catalog.hathitrust.org/Record/007011425","HathiTrust Record")</f>
        <v>HathiTrust Record</v>
      </c>
      <c r="AV4418" s="6" t="str">
        <f>HYPERLINK("http://mcgill.on.worldcat.org/oclc/17548452","Catalog Record")</f>
        <v>Catalog Record</v>
      </c>
      <c r="AW4418" s="6" t="str">
        <f>HYPERLINK("http://www.worldcat.org/oclc/17548452","WorldCat Record")</f>
        <v>WorldCat Record</v>
      </c>
      <c r="AX4418" s="3" t="s">
        <v>430</v>
      </c>
      <c r="AY4418" s="3" t="s">
        <v>431</v>
      </c>
      <c r="AZ4418" s="3" t="s">
        <v>432</v>
      </c>
      <c r="BA4418" s="3" t="s">
        <v>432</v>
      </c>
      <c r="BB4418" s="3" t="s">
        <v>433</v>
      </c>
      <c r="BC4418" s="3" t="s">
        <v>82</v>
      </c>
      <c r="BD4418" s="3" t="s">
        <v>70</v>
      </c>
      <c r="BE4418" s="3" t="s">
        <v>434</v>
      </c>
      <c r="BF4418" s="3" t="s">
        <v>433</v>
      </c>
      <c r="BG4418" s="3" t="s">
        <v>435</v>
      </c>
    </row>
    <row r="4419" spans="1:59" ht="60" x14ac:dyDescent="0.25">
      <c r="A4419" s="2" t="s">
        <v>59</v>
      </c>
      <c r="B4419" s="2" t="s">
        <v>60</v>
      </c>
      <c r="C4419" s="2" t="s">
        <v>436</v>
      </c>
      <c r="D4419" s="2" t="s">
        <v>437</v>
      </c>
      <c r="E4419" s="2" t="s">
        <v>438</v>
      </c>
      <c r="G4419" s="3" t="s">
        <v>62</v>
      </c>
      <c r="I4419" s="3" t="s">
        <v>63</v>
      </c>
      <c r="J4419" s="3" t="s">
        <v>63</v>
      </c>
      <c r="K4419" s="3" t="s">
        <v>64</v>
      </c>
      <c r="L4419" s="2" t="s">
        <v>439</v>
      </c>
      <c r="M4419" s="2" t="s">
        <v>440</v>
      </c>
      <c r="N4419" s="3" t="s">
        <v>441</v>
      </c>
      <c r="P4419" s="3" t="s">
        <v>442</v>
      </c>
      <c r="Q4419" s="2" t="s">
        <v>443</v>
      </c>
      <c r="R4419" s="3" t="s">
        <v>67</v>
      </c>
      <c r="S4419" s="4">
        <v>2</v>
      </c>
      <c r="T4419" s="4">
        <v>2</v>
      </c>
      <c r="U4419" s="5" t="s">
        <v>444</v>
      </c>
      <c r="V4419" s="5" t="s">
        <v>444</v>
      </c>
      <c r="W4419" s="5" t="s">
        <v>69</v>
      </c>
      <c r="X4419" s="5" t="s">
        <v>69</v>
      </c>
      <c r="Y4419" s="4">
        <v>53</v>
      </c>
      <c r="Z4419" s="4">
        <v>5</v>
      </c>
      <c r="AA4419" s="4">
        <v>18</v>
      </c>
      <c r="AB4419" s="4">
        <v>1</v>
      </c>
      <c r="AC4419" s="4">
        <v>2</v>
      </c>
      <c r="AD4419" s="4">
        <v>19</v>
      </c>
      <c r="AE4419" s="4">
        <v>89</v>
      </c>
      <c r="AF4419" s="4">
        <v>0</v>
      </c>
      <c r="AG4419" s="4">
        <v>1</v>
      </c>
      <c r="AH4419" s="4">
        <v>19</v>
      </c>
      <c r="AI4419" s="4">
        <v>80</v>
      </c>
      <c r="AJ4419" s="4">
        <v>3</v>
      </c>
      <c r="AK4419" s="4">
        <v>15</v>
      </c>
      <c r="AL4419" s="4">
        <v>15</v>
      </c>
      <c r="AM4419" s="4">
        <v>50</v>
      </c>
      <c r="AN4419" s="4">
        <v>0</v>
      </c>
      <c r="AO4419" s="4">
        <v>0</v>
      </c>
      <c r="AP4419" s="4">
        <v>3</v>
      </c>
      <c r="AQ4419" s="4">
        <v>14</v>
      </c>
      <c r="AR4419" s="3" t="s">
        <v>63</v>
      </c>
      <c r="AS4419" s="3" t="s">
        <v>63</v>
      </c>
      <c r="AT4419" s="3" t="s">
        <v>63</v>
      </c>
      <c r="AV4419" s="6" t="str">
        <f>HYPERLINK("http://mcgill.on.worldcat.org/oclc/3060793","Catalog Record")</f>
        <v>Catalog Record</v>
      </c>
      <c r="AW4419" s="6" t="str">
        <f>HYPERLINK("http://www.worldcat.org/oclc/3060793","WorldCat Record")</f>
        <v>WorldCat Record</v>
      </c>
      <c r="AX4419" s="3" t="s">
        <v>445</v>
      </c>
      <c r="AY4419" s="3" t="s">
        <v>446</v>
      </c>
      <c r="AZ4419" s="3" t="s">
        <v>447</v>
      </c>
      <c r="BA4419" s="3" t="s">
        <v>447</v>
      </c>
      <c r="BB4419" s="3" t="s">
        <v>448</v>
      </c>
      <c r="BC4419" s="3" t="s">
        <v>82</v>
      </c>
      <c r="BD4419" s="3" t="s">
        <v>70</v>
      </c>
      <c r="BF4419" s="3" t="s">
        <v>448</v>
      </c>
      <c r="BG4419" s="3" t="s">
        <v>449</v>
      </c>
    </row>
    <row r="4420" spans="1:59" ht="60" x14ac:dyDescent="0.25">
      <c r="A4420" s="2" t="s">
        <v>59</v>
      </c>
      <c r="B4420" s="2" t="s">
        <v>60</v>
      </c>
      <c r="C4420" s="2" t="s">
        <v>450</v>
      </c>
      <c r="D4420" s="2" t="s">
        <v>451</v>
      </c>
      <c r="E4420" s="2" t="s">
        <v>452</v>
      </c>
      <c r="G4420" s="3" t="s">
        <v>63</v>
      </c>
      <c r="I4420" s="3" t="s">
        <v>63</v>
      </c>
      <c r="J4420" s="3" t="s">
        <v>63</v>
      </c>
      <c r="K4420" s="3" t="s">
        <v>64</v>
      </c>
      <c r="L4420" s="2" t="s">
        <v>453</v>
      </c>
      <c r="M4420" s="2" t="s">
        <v>454</v>
      </c>
      <c r="N4420" s="3" t="s">
        <v>455</v>
      </c>
      <c r="P4420" s="3" t="s">
        <v>66</v>
      </c>
      <c r="R4420" s="3" t="s">
        <v>67</v>
      </c>
      <c r="S4420" s="4">
        <v>10</v>
      </c>
      <c r="T4420" s="4">
        <v>10</v>
      </c>
      <c r="U4420" s="5" t="s">
        <v>456</v>
      </c>
      <c r="V4420" s="5" t="s">
        <v>456</v>
      </c>
      <c r="W4420" s="5" t="s">
        <v>69</v>
      </c>
      <c r="X4420" s="5" t="s">
        <v>69</v>
      </c>
      <c r="Y4420" s="4">
        <v>250</v>
      </c>
      <c r="Z4420" s="4">
        <v>22</v>
      </c>
      <c r="AA4420" s="4">
        <v>24</v>
      </c>
      <c r="AB4420" s="4">
        <v>1</v>
      </c>
      <c r="AC4420" s="4">
        <v>2</v>
      </c>
      <c r="AD4420" s="4">
        <v>103</v>
      </c>
      <c r="AE4420" s="4">
        <v>110</v>
      </c>
      <c r="AF4420" s="4">
        <v>0</v>
      </c>
      <c r="AG4420" s="4">
        <v>1</v>
      </c>
      <c r="AH4420" s="4">
        <v>94</v>
      </c>
      <c r="AI4420" s="4">
        <v>99</v>
      </c>
      <c r="AJ4420" s="4">
        <v>16</v>
      </c>
      <c r="AK4420" s="4">
        <v>17</v>
      </c>
      <c r="AL4420" s="4">
        <v>50</v>
      </c>
      <c r="AM4420" s="4">
        <v>54</v>
      </c>
      <c r="AN4420" s="4">
        <v>0</v>
      </c>
      <c r="AO4420" s="4">
        <v>0</v>
      </c>
      <c r="AP4420" s="4">
        <v>17</v>
      </c>
      <c r="AQ4420" s="4">
        <v>19</v>
      </c>
      <c r="AR4420" s="3" t="s">
        <v>63</v>
      </c>
      <c r="AS4420" s="3" t="s">
        <v>63</v>
      </c>
      <c r="AT4420" s="3" t="s">
        <v>63</v>
      </c>
      <c r="AV4420" s="6" t="str">
        <f>HYPERLINK("http://mcgill.on.worldcat.org/oclc/7814243","Catalog Record")</f>
        <v>Catalog Record</v>
      </c>
      <c r="AW4420" s="6" t="str">
        <f>HYPERLINK("http://www.worldcat.org/oclc/7814243","WorldCat Record")</f>
        <v>WorldCat Record</v>
      </c>
      <c r="AX4420" s="3" t="s">
        <v>457</v>
      </c>
      <c r="AY4420" s="3" t="s">
        <v>458</v>
      </c>
      <c r="AZ4420" s="3" t="s">
        <v>459</v>
      </c>
      <c r="BA4420" s="3" t="s">
        <v>459</v>
      </c>
      <c r="BB4420" s="3" t="s">
        <v>460</v>
      </c>
      <c r="BC4420" s="3" t="s">
        <v>82</v>
      </c>
      <c r="BD4420" s="3" t="s">
        <v>70</v>
      </c>
      <c r="BE4420" s="3" t="s">
        <v>461</v>
      </c>
      <c r="BF4420" s="3" t="s">
        <v>460</v>
      </c>
      <c r="BG4420" s="3" t="s">
        <v>462</v>
      </c>
    </row>
    <row r="4421" spans="1:59" ht="60" x14ac:dyDescent="0.25">
      <c r="A4421" s="2" t="s">
        <v>59</v>
      </c>
      <c r="B4421" s="2" t="s">
        <v>60</v>
      </c>
      <c r="C4421" s="2" t="s">
        <v>463</v>
      </c>
      <c r="D4421" s="2" t="s">
        <v>464</v>
      </c>
      <c r="E4421" s="2" t="s">
        <v>465</v>
      </c>
      <c r="G4421" s="3" t="s">
        <v>63</v>
      </c>
      <c r="I4421" s="3" t="s">
        <v>63</v>
      </c>
      <c r="J4421" s="3" t="s">
        <v>63</v>
      </c>
      <c r="K4421" s="3" t="s">
        <v>64</v>
      </c>
      <c r="L4421" s="2" t="s">
        <v>466</v>
      </c>
      <c r="M4421" s="2" t="s">
        <v>467</v>
      </c>
      <c r="N4421" s="3" t="s">
        <v>468</v>
      </c>
      <c r="P4421" s="3" t="s">
        <v>66</v>
      </c>
      <c r="R4421" s="3" t="s">
        <v>67</v>
      </c>
      <c r="S4421" s="4">
        <v>5</v>
      </c>
      <c r="T4421" s="4">
        <v>5</v>
      </c>
      <c r="U4421" s="5" t="s">
        <v>469</v>
      </c>
      <c r="V4421" s="5" t="s">
        <v>469</v>
      </c>
      <c r="W4421" s="5" t="s">
        <v>69</v>
      </c>
      <c r="X4421" s="5" t="s">
        <v>69</v>
      </c>
      <c r="Y4421" s="4">
        <v>181</v>
      </c>
      <c r="Z4421" s="4">
        <v>25</v>
      </c>
      <c r="AA4421" s="4">
        <v>31</v>
      </c>
      <c r="AB4421" s="4">
        <v>2</v>
      </c>
      <c r="AC4421" s="4">
        <v>3</v>
      </c>
      <c r="AD4421" s="4">
        <v>91</v>
      </c>
      <c r="AE4421" s="4">
        <v>115</v>
      </c>
      <c r="AF4421" s="4">
        <v>1</v>
      </c>
      <c r="AG4421" s="4">
        <v>2</v>
      </c>
      <c r="AH4421" s="4">
        <v>81</v>
      </c>
      <c r="AI4421" s="4">
        <v>102</v>
      </c>
      <c r="AJ4421" s="4">
        <v>19</v>
      </c>
      <c r="AK4421" s="4">
        <v>22</v>
      </c>
      <c r="AL4421" s="4">
        <v>47</v>
      </c>
      <c r="AM4421" s="4">
        <v>55</v>
      </c>
      <c r="AN4421" s="4">
        <v>0</v>
      </c>
      <c r="AO4421" s="4">
        <v>0</v>
      </c>
      <c r="AP4421" s="4">
        <v>20</v>
      </c>
      <c r="AQ4421" s="4">
        <v>24</v>
      </c>
      <c r="AR4421" s="3" t="s">
        <v>63</v>
      </c>
      <c r="AS4421" s="3" t="s">
        <v>63</v>
      </c>
      <c r="AT4421" s="3" t="s">
        <v>62</v>
      </c>
      <c r="AU4421" s="6" t="str">
        <f>HYPERLINK("http://catalog.hathitrust.org/Record/000127880","HathiTrust Record")</f>
        <v>HathiTrust Record</v>
      </c>
      <c r="AV4421" s="6" t="str">
        <f>HYPERLINK("http://mcgill.on.worldcat.org/oclc/2616994","Catalog Record")</f>
        <v>Catalog Record</v>
      </c>
      <c r="AW4421" s="6" t="str">
        <f>HYPERLINK("http://www.worldcat.org/oclc/2616994","WorldCat Record")</f>
        <v>WorldCat Record</v>
      </c>
      <c r="AX4421" s="3" t="s">
        <v>470</v>
      </c>
      <c r="AY4421" s="3" t="s">
        <v>471</v>
      </c>
      <c r="AZ4421" s="3" t="s">
        <v>472</v>
      </c>
      <c r="BA4421" s="3" t="s">
        <v>472</v>
      </c>
      <c r="BB4421" s="3" t="s">
        <v>473</v>
      </c>
      <c r="BC4421" s="3" t="s">
        <v>82</v>
      </c>
      <c r="BD4421" s="3" t="s">
        <v>70</v>
      </c>
      <c r="BF4421" s="3" t="s">
        <v>473</v>
      </c>
      <c r="BG4421" s="3" t="s">
        <v>474</v>
      </c>
    </row>
    <row r="4422" spans="1:59" ht="60" x14ac:dyDescent="0.25">
      <c r="A4422" s="2" t="s">
        <v>59</v>
      </c>
      <c r="B4422" s="2" t="s">
        <v>60</v>
      </c>
      <c r="C4422" s="2" t="s">
        <v>475</v>
      </c>
      <c r="D4422" s="2" t="s">
        <v>476</v>
      </c>
      <c r="E4422" s="2" t="s">
        <v>477</v>
      </c>
      <c r="G4422" s="3" t="s">
        <v>63</v>
      </c>
      <c r="I4422" s="3" t="s">
        <v>63</v>
      </c>
      <c r="J4422" s="3" t="s">
        <v>63</v>
      </c>
      <c r="K4422" s="3" t="s">
        <v>64</v>
      </c>
      <c r="L4422" s="2" t="s">
        <v>478</v>
      </c>
      <c r="M4422" s="2" t="s">
        <v>479</v>
      </c>
      <c r="N4422" s="3" t="s">
        <v>480</v>
      </c>
      <c r="P4422" s="3" t="s">
        <v>66</v>
      </c>
      <c r="Q4422" s="2" t="s">
        <v>481</v>
      </c>
      <c r="R4422" s="3" t="s">
        <v>67</v>
      </c>
      <c r="S4422" s="4">
        <v>3</v>
      </c>
      <c r="T4422" s="4">
        <v>3</v>
      </c>
      <c r="U4422" s="5" t="s">
        <v>482</v>
      </c>
      <c r="V4422" s="5" t="s">
        <v>482</v>
      </c>
      <c r="W4422" s="5" t="s">
        <v>69</v>
      </c>
      <c r="X4422" s="5" t="s">
        <v>69</v>
      </c>
      <c r="Y4422" s="4">
        <v>57</v>
      </c>
      <c r="Z4422" s="4">
        <v>2</v>
      </c>
      <c r="AA4422" s="4">
        <v>4</v>
      </c>
      <c r="AB4422" s="4">
        <v>1</v>
      </c>
      <c r="AC4422" s="4">
        <v>1</v>
      </c>
      <c r="AD4422" s="4">
        <v>30</v>
      </c>
      <c r="AE4422" s="4">
        <v>35</v>
      </c>
      <c r="AF4422" s="4">
        <v>0</v>
      </c>
      <c r="AG4422" s="4">
        <v>0</v>
      </c>
      <c r="AH4422" s="4">
        <v>29</v>
      </c>
      <c r="AI4422" s="4">
        <v>34</v>
      </c>
      <c r="AJ4422" s="4">
        <v>1</v>
      </c>
      <c r="AK4422" s="4">
        <v>2</v>
      </c>
      <c r="AL4422" s="4">
        <v>20</v>
      </c>
      <c r="AM4422" s="4">
        <v>25</v>
      </c>
      <c r="AN4422" s="4">
        <v>0</v>
      </c>
      <c r="AO4422" s="4">
        <v>0</v>
      </c>
      <c r="AP4422" s="4">
        <v>1</v>
      </c>
      <c r="AQ4422" s="4">
        <v>2</v>
      </c>
      <c r="AR4422" s="3" t="s">
        <v>63</v>
      </c>
      <c r="AS4422" s="3" t="s">
        <v>63</v>
      </c>
      <c r="AT4422" s="3" t="s">
        <v>62</v>
      </c>
      <c r="AU4422" s="6" t="str">
        <f>HYPERLINK("http://catalog.hathitrust.org/Record/003077254","HathiTrust Record")</f>
        <v>HathiTrust Record</v>
      </c>
      <c r="AV4422" s="6" t="str">
        <f>HYPERLINK("http://mcgill.on.worldcat.org/oclc/24870178","Catalog Record")</f>
        <v>Catalog Record</v>
      </c>
      <c r="AW4422" s="6" t="str">
        <f>HYPERLINK("http://www.worldcat.org/oclc/24870178","WorldCat Record")</f>
        <v>WorldCat Record</v>
      </c>
      <c r="AX4422" s="3" t="s">
        <v>483</v>
      </c>
      <c r="AY4422" s="3" t="s">
        <v>484</v>
      </c>
      <c r="AZ4422" s="3" t="s">
        <v>485</v>
      </c>
      <c r="BA4422" s="3" t="s">
        <v>485</v>
      </c>
      <c r="BB4422" s="3" t="s">
        <v>486</v>
      </c>
      <c r="BC4422" s="3" t="s">
        <v>82</v>
      </c>
      <c r="BD4422" s="3" t="s">
        <v>70</v>
      </c>
      <c r="BE4422" s="3" t="s">
        <v>487</v>
      </c>
      <c r="BF4422" s="3" t="s">
        <v>486</v>
      </c>
      <c r="BG4422" s="3" t="s">
        <v>488</v>
      </c>
    </row>
    <row r="4423" spans="1:59" ht="90" x14ac:dyDescent="0.25">
      <c r="A4423" s="2" t="s">
        <v>59</v>
      </c>
      <c r="B4423" s="2" t="s">
        <v>60</v>
      </c>
      <c r="C4423" s="2" t="s">
        <v>283</v>
      </c>
      <c r="D4423" s="2" t="s">
        <v>284</v>
      </c>
      <c r="E4423" s="2" t="s">
        <v>285</v>
      </c>
      <c r="G4423" s="3" t="s">
        <v>63</v>
      </c>
      <c r="I4423" s="3" t="s">
        <v>63</v>
      </c>
      <c r="J4423" s="3" t="s">
        <v>63</v>
      </c>
      <c r="K4423" s="3" t="s">
        <v>64</v>
      </c>
      <c r="M4423" s="2" t="s">
        <v>286</v>
      </c>
      <c r="N4423" s="3" t="s">
        <v>287</v>
      </c>
      <c r="P4423" s="3" t="s">
        <v>66</v>
      </c>
      <c r="Q4423" s="2" t="s">
        <v>288</v>
      </c>
      <c r="R4423" s="3" t="s">
        <v>67</v>
      </c>
      <c r="S4423" s="4">
        <v>0</v>
      </c>
      <c r="T4423" s="4">
        <v>0</v>
      </c>
      <c r="W4423" s="5" t="s">
        <v>69</v>
      </c>
      <c r="X4423" s="5" t="s">
        <v>69</v>
      </c>
      <c r="Y4423" s="4">
        <v>31</v>
      </c>
      <c r="Z4423" s="4">
        <v>2</v>
      </c>
      <c r="AA4423" s="4">
        <v>20</v>
      </c>
      <c r="AB4423" s="4">
        <v>1</v>
      </c>
      <c r="AC4423" s="4">
        <v>3</v>
      </c>
      <c r="AD4423" s="4">
        <v>20</v>
      </c>
      <c r="AE4423" s="4">
        <v>55</v>
      </c>
      <c r="AF4423" s="4">
        <v>0</v>
      </c>
      <c r="AG4423" s="4">
        <v>1</v>
      </c>
      <c r="AH4423" s="4">
        <v>19</v>
      </c>
      <c r="AI4423" s="4">
        <v>44</v>
      </c>
      <c r="AJ4423" s="4">
        <v>1</v>
      </c>
      <c r="AK4423" s="4">
        <v>8</v>
      </c>
      <c r="AL4423" s="4">
        <v>15</v>
      </c>
      <c r="AM4423" s="4">
        <v>26</v>
      </c>
      <c r="AN4423" s="4">
        <v>0</v>
      </c>
      <c r="AO4423" s="4">
        <v>0</v>
      </c>
      <c r="AP4423" s="4">
        <v>1</v>
      </c>
      <c r="AQ4423" s="4">
        <v>13</v>
      </c>
      <c r="AR4423" s="3" t="s">
        <v>63</v>
      </c>
      <c r="AS4423" s="3" t="s">
        <v>63</v>
      </c>
      <c r="AT4423" s="3" t="s">
        <v>63</v>
      </c>
      <c r="AV4423" s="6" t="str">
        <f>HYPERLINK("http://mcgill.on.worldcat.org/oclc/1028527395","Catalog Record")</f>
        <v>Catalog Record</v>
      </c>
      <c r="AW4423" s="6" t="str">
        <f>HYPERLINK("http://www.worldcat.org/oclc/1028527395","WorldCat Record")</f>
        <v>WorldCat Record</v>
      </c>
      <c r="AX4423" s="3" t="s">
        <v>289</v>
      </c>
      <c r="AY4423" s="3" t="s">
        <v>290</v>
      </c>
      <c r="AZ4423" s="3" t="s">
        <v>291</v>
      </c>
      <c r="BA4423" s="3" t="s">
        <v>291</v>
      </c>
      <c r="BB4423" s="3" t="s">
        <v>292</v>
      </c>
      <c r="BC4423" s="3" t="s">
        <v>82</v>
      </c>
      <c r="BD4423" s="3" t="s">
        <v>70</v>
      </c>
      <c r="BE4423" s="3" t="s">
        <v>293</v>
      </c>
      <c r="BF4423" s="3" t="s">
        <v>292</v>
      </c>
      <c r="BG4423" s="3" t="s">
        <v>294</v>
      </c>
    </row>
    <row r="4424" spans="1:59" ht="60" x14ac:dyDescent="0.25">
      <c r="A4424" s="2" t="s">
        <v>59</v>
      </c>
      <c r="B4424" s="2" t="s">
        <v>60</v>
      </c>
      <c r="C4424" s="2" t="s">
        <v>38236</v>
      </c>
      <c r="D4424" s="2" t="s">
        <v>38237</v>
      </c>
      <c r="E4424" s="2" t="s">
        <v>38238</v>
      </c>
      <c r="G4424" s="3" t="s">
        <v>63</v>
      </c>
      <c r="I4424" s="3" t="s">
        <v>62</v>
      </c>
      <c r="J4424" s="3" t="s">
        <v>63</v>
      </c>
      <c r="K4424" s="3" t="s">
        <v>64</v>
      </c>
      <c r="L4424" s="2" t="s">
        <v>38239</v>
      </c>
      <c r="M4424" s="2" t="s">
        <v>38240</v>
      </c>
      <c r="N4424" s="3" t="s">
        <v>681</v>
      </c>
      <c r="P4424" s="3" t="s">
        <v>66</v>
      </c>
      <c r="R4424" s="3" t="s">
        <v>67</v>
      </c>
      <c r="S4424" s="4">
        <v>3</v>
      </c>
      <c r="T4424" s="4">
        <v>3</v>
      </c>
      <c r="U4424" s="5" t="s">
        <v>38241</v>
      </c>
      <c r="V4424" s="5" t="s">
        <v>38241</v>
      </c>
      <c r="W4424" s="5" t="s">
        <v>69</v>
      </c>
      <c r="X4424" s="5" t="s">
        <v>69</v>
      </c>
      <c r="Y4424" s="4">
        <v>298</v>
      </c>
      <c r="Z4424" s="4">
        <v>17</v>
      </c>
      <c r="AA4424" s="4">
        <v>21</v>
      </c>
      <c r="AB4424" s="4">
        <v>1</v>
      </c>
      <c r="AC4424" s="4">
        <v>3</v>
      </c>
      <c r="AD4424" s="4">
        <v>99</v>
      </c>
      <c r="AE4424" s="4">
        <v>105</v>
      </c>
      <c r="AF4424" s="4">
        <v>0</v>
      </c>
      <c r="AG4424" s="4">
        <v>1</v>
      </c>
      <c r="AH4424" s="4">
        <v>89</v>
      </c>
      <c r="AI4424" s="4">
        <v>94</v>
      </c>
      <c r="AJ4424" s="4">
        <v>14</v>
      </c>
      <c r="AK4424" s="4">
        <v>15</v>
      </c>
      <c r="AL4424" s="4">
        <v>48</v>
      </c>
      <c r="AM4424" s="4">
        <v>48</v>
      </c>
      <c r="AN4424" s="4">
        <v>0</v>
      </c>
      <c r="AO4424" s="4">
        <v>0</v>
      </c>
      <c r="AP4424" s="4">
        <v>14</v>
      </c>
      <c r="AQ4424" s="4">
        <v>16</v>
      </c>
      <c r="AR4424" s="3" t="s">
        <v>63</v>
      </c>
      <c r="AS4424" s="3" t="s">
        <v>63</v>
      </c>
      <c r="AT4424" s="3" t="s">
        <v>62</v>
      </c>
      <c r="AU4424" s="6" t="str">
        <f>HYPERLINK("http://catalog.hathitrust.org/Record/001229928","HathiTrust Record")</f>
        <v>HathiTrust Record</v>
      </c>
      <c r="AV4424" s="6" t="str">
        <f>HYPERLINK("http://mcgill.on.worldcat.org/oclc/61910","Catalog Record")</f>
        <v>Catalog Record</v>
      </c>
      <c r="AW4424" s="6" t="str">
        <f>HYPERLINK("http://www.worldcat.org/oclc/61910","WorldCat Record")</f>
        <v>WorldCat Record</v>
      </c>
      <c r="AX4424" s="3" t="s">
        <v>38242</v>
      </c>
      <c r="AY4424" s="3" t="s">
        <v>38243</v>
      </c>
      <c r="AZ4424" s="3" t="s">
        <v>38244</v>
      </c>
      <c r="BA4424" s="3" t="s">
        <v>38244</v>
      </c>
      <c r="BB4424" s="3" t="s">
        <v>38245</v>
      </c>
      <c r="BC4424" s="3" t="s">
        <v>82</v>
      </c>
      <c r="BD4424" s="3" t="s">
        <v>70</v>
      </c>
      <c r="BF4424" s="3" t="s">
        <v>38245</v>
      </c>
      <c r="BG4424" s="3" t="s">
        <v>38246</v>
      </c>
    </row>
    <row r="4425" spans="1:59" ht="60" x14ac:dyDescent="0.25">
      <c r="A4425" s="2" t="s">
        <v>59</v>
      </c>
      <c r="B4425" s="2" t="s">
        <v>60</v>
      </c>
      <c r="C4425" s="2" t="s">
        <v>38247</v>
      </c>
      <c r="D4425" s="2" t="s">
        <v>38248</v>
      </c>
      <c r="E4425" s="2" t="s">
        <v>38249</v>
      </c>
      <c r="G4425" s="3" t="s">
        <v>63</v>
      </c>
      <c r="I4425" s="3" t="s">
        <v>62</v>
      </c>
      <c r="J4425" s="3" t="s">
        <v>63</v>
      </c>
      <c r="K4425" s="3" t="s">
        <v>64</v>
      </c>
      <c r="L4425" s="2" t="s">
        <v>38250</v>
      </c>
      <c r="M4425" s="2" t="s">
        <v>38251</v>
      </c>
      <c r="N4425" s="3" t="s">
        <v>300</v>
      </c>
      <c r="O4425" s="2" t="s">
        <v>38252</v>
      </c>
      <c r="P4425" s="3" t="s">
        <v>38181</v>
      </c>
      <c r="R4425" s="3" t="s">
        <v>67</v>
      </c>
      <c r="S4425" s="4">
        <v>7</v>
      </c>
      <c r="T4425" s="4">
        <v>7</v>
      </c>
      <c r="U4425" s="5" t="s">
        <v>21318</v>
      </c>
      <c r="V4425" s="5" t="s">
        <v>21318</v>
      </c>
      <c r="W4425" s="5" t="s">
        <v>69</v>
      </c>
      <c r="X4425" s="5" t="s">
        <v>69</v>
      </c>
      <c r="Y4425" s="4">
        <v>144</v>
      </c>
      <c r="Z4425" s="4">
        <v>6</v>
      </c>
      <c r="AA4425" s="4">
        <v>15</v>
      </c>
      <c r="AB4425" s="4">
        <v>1</v>
      </c>
      <c r="AC4425" s="4">
        <v>1</v>
      </c>
      <c r="AD4425" s="4">
        <v>57</v>
      </c>
      <c r="AE4425" s="4">
        <v>83</v>
      </c>
      <c r="AF4425" s="4">
        <v>0</v>
      </c>
      <c r="AG4425" s="4">
        <v>0</v>
      </c>
      <c r="AH4425" s="4">
        <v>53</v>
      </c>
      <c r="AI4425" s="4">
        <v>74</v>
      </c>
      <c r="AJ4425" s="4">
        <v>4</v>
      </c>
      <c r="AK4425" s="4">
        <v>11</v>
      </c>
      <c r="AL4425" s="4">
        <v>35</v>
      </c>
      <c r="AM4425" s="4">
        <v>47</v>
      </c>
      <c r="AN4425" s="4">
        <v>0</v>
      </c>
      <c r="AO4425" s="4">
        <v>2</v>
      </c>
      <c r="AP4425" s="4">
        <v>4</v>
      </c>
      <c r="AQ4425" s="4">
        <v>11</v>
      </c>
      <c r="AR4425" s="3" t="s">
        <v>63</v>
      </c>
      <c r="AS4425" s="3" t="s">
        <v>63</v>
      </c>
      <c r="AT4425" s="3" t="s">
        <v>63</v>
      </c>
      <c r="AV4425" s="6" t="str">
        <f>HYPERLINK("http://mcgill.on.worldcat.org/oclc/406997","Catalog Record")</f>
        <v>Catalog Record</v>
      </c>
      <c r="AW4425" s="6" t="str">
        <f>HYPERLINK("http://www.worldcat.org/oclc/406997","WorldCat Record")</f>
        <v>WorldCat Record</v>
      </c>
      <c r="AX4425" s="3" t="s">
        <v>38253</v>
      </c>
      <c r="AY4425" s="3" t="s">
        <v>38254</v>
      </c>
      <c r="AZ4425" s="3" t="s">
        <v>38255</v>
      </c>
      <c r="BA4425" s="3" t="s">
        <v>38255</v>
      </c>
      <c r="BB4425" s="3" t="s">
        <v>38256</v>
      </c>
      <c r="BC4425" s="3" t="s">
        <v>82</v>
      </c>
      <c r="BD4425" s="3" t="s">
        <v>70</v>
      </c>
      <c r="BF4425" s="3" t="s">
        <v>38256</v>
      </c>
      <c r="BG4425" s="3" t="s">
        <v>38257</v>
      </c>
    </row>
    <row r="4426" spans="1:59" ht="60" x14ac:dyDescent="0.25">
      <c r="A4426" s="2" t="s">
        <v>59</v>
      </c>
      <c r="B4426" s="2" t="s">
        <v>60</v>
      </c>
      <c r="C4426" s="2" t="s">
        <v>489</v>
      </c>
      <c r="D4426" s="2" t="s">
        <v>490</v>
      </c>
      <c r="E4426" s="2" t="s">
        <v>491</v>
      </c>
      <c r="G4426" s="3" t="s">
        <v>63</v>
      </c>
      <c r="I4426" s="3" t="s">
        <v>63</v>
      </c>
      <c r="J4426" s="3" t="s">
        <v>62</v>
      </c>
      <c r="K4426" s="3" t="s">
        <v>64</v>
      </c>
      <c r="L4426" s="2" t="s">
        <v>492</v>
      </c>
      <c r="M4426" s="2" t="s">
        <v>493</v>
      </c>
      <c r="N4426" s="3" t="s">
        <v>220</v>
      </c>
      <c r="P4426" s="3" t="s">
        <v>90</v>
      </c>
      <c r="R4426" s="3" t="s">
        <v>67</v>
      </c>
      <c r="S4426" s="4">
        <v>6</v>
      </c>
      <c r="T4426" s="4">
        <v>6</v>
      </c>
      <c r="U4426" s="5" t="s">
        <v>429</v>
      </c>
      <c r="V4426" s="5" t="s">
        <v>429</v>
      </c>
      <c r="W4426" s="5" t="s">
        <v>69</v>
      </c>
      <c r="X4426" s="5" t="s">
        <v>69</v>
      </c>
      <c r="Y4426" s="4">
        <v>53</v>
      </c>
      <c r="Z4426" s="4">
        <v>4</v>
      </c>
      <c r="AA4426" s="4">
        <v>6</v>
      </c>
      <c r="AB4426" s="4">
        <v>1</v>
      </c>
      <c r="AC4426" s="4">
        <v>1</v>
      </c>
      <c r="AD4426" s="4">
        <v>33</v>
      </c>
      <c r="AE4426" s="4">
        <v>58</v>
      </c>
      <c r="AF4426" s="4">
        <v>0</v>
      </c>
      <c r="AG4426" s="4">
        <v>0</v>
      </c>
      <c r="AH4426" s="4">
        <v>31</v>
      </c>
      <c r="AI4426" s="4">
        <v>55</v>
      </c>
      <c r="AJ4426" s="4">
        <v>2</v>
      </c>
      <c r="AK4426" s="4">
        <v>3</v>
      </c>
      <c r="AL4426" s="4">
        <v>23</v>
      </c>
      <c r="AM4426" s="4">
        <v>39</v>
      </c>
      <c r="AN4426" s="4">
        <v>0</v>
      </c>
      <c r="AO4426" s="4">
        <v>0</v>
      </c>
      <c r="AP4426" s="4">
        <v>2</v>
      </c>
      <c r="AQ4426" s="4">
        <v>3</v>
      </c>
      <c r="AR4426" s="3" t="s">
        <v>63</v>
      </c>
      <c r="AS4426" s="3" t="s">
        <v>63</v>
      </c>
      <c r="AT4426" s="3" t="s">
        <v>62</v>
      </c>
      <c r="AU4426" s="6" t="str">
        <f>HYPERLINK("http://catalog.hathitrust.org/Record/003000822","HathiTrust Record")</f>
        <v>HathiTrust Record</v>
      </c>
      <c r="AV4426" s="6" t="str">
        <f>HYPERLINK("http://mcgill.on.worldcat.org/oclc/31402889","Catalog Record")</f>
        <v>Catalog Record</v>
      </c>
      <c r="AW4426" s="6" t="str">
        <f>HYPERLINK("http://www.worldcat.org/oclc/31402889","WorldCat Record")</f>
        <v>WorldCat Record</v>
      </c>
      <c r="AX4426" s="3" t="s">
        <v>494</v>
      </c>
      <c r="AY4426" s="3" t="s">
        <v>495</v>
      </c>
      <c r="AZ4426" s="3" t="s">
        <v>496</v>
      </c>
      <c r="BA4426" s="3" t="s">
        <v>496</v>
      </c>
      <c r="BB4426" s="3" t="s">
        <v>497</v>
      </c>
      <c r="BC4426" s="3" t="s">
        <v>82</v>
      </c>
      <c r="BD4426" s="3" t="s">
        <v>70</v>
      </c>
      <c r="BE4426" s="3" t="s">
        <v>498</v>
      </c>
      <c r="BF4426" s="3" t="s">
        <v>497</v>
      </c>
      <c r="BG4426" s="3" t="s">
        <v>499</v>
      </c>
    </row>
    <row r="4427" spans="1:59" ht="60" x14ac:dyDescent="0.25">
      <c r="A4427" s="2" t="s">
        <v>59</v>
      </c>
      <c r="B4427" s="2" t="s">
        <v>60</v>
      </c>
      <c r="C4427" s="2" t="s">
        <v>500</v>
      </c>
      <c r="D4427" s="2" t="s">
        <v>501</v>
      </c>
      <c r="E4427" s="2" t="s">
        <v>502</v>
      </c>
      <c r="G4427" s="3" t="s">
        <v>63</v>
      </c>
      <c r="I4427" s="3" t="s">
        <v>63</v>
      </c>
      <c r="J4427" s="3" t="s">
        <v>63</v>
      </c>
      <c r="K4427" s="3" t="s">
        <v>64</v>
      </c>
      <c r="L4427" s="2" t="s">
        <v>503</v>
      </c>
      <c r="M4427" s="2" t="s">
        <v>504</v>
      </c>
      <c r="N4427" s="3" t="s">
        <v>274</v>
      </c>
      <c r="P4427" s="3" t="s">
        <v>66</v>
      </c>
      <c r="Q4427" s="2" t="s">
        <v>505</v>
      </c>
      <c r="R4427" s="3" t="s">
        <v>67</v>
      </c>
      <c r="S4427" s="4">
        <v>4</v>
      </c>
      <c r="T4427" s="4">
        <v>4</v>
      </c>
      <c r="U4427" s="5" t="s">
        <v>506</v>
      </c>
      <c r="V4427" s="5" t="s">
        <v>506</v>
      </c>
      <c r="W4427" s="5" t="s">
        <v>69</v>
      </c>
      <c r="X4427" s="5" t="s">
        <v>69</v>
      </c>
      <c r="Y4427" s="4">
        <v>175</v>
      </c>
      <c r="Z4427" s="4">
        <v>14</v>
      </c>
      <c r="AA4427" s="4">
        <v>14</v>
      </c>
      <c r="AB4427" s="4">
        <v>1</v>
      </c>
      <c r="AC4427" s="4">
        <v>1</v>
      </c>
      <c r="AD4427" s="4">
        <v>68</v>
      </c>
      <c r="AE4427" s="4">
        <v>68</v>
      </c>
      <c r="AF4427" s="4">
        <v>0</v>
      </c>
      <c r="AG4427" s="4">
        <v>0</v>
      </c>
      <c r="AH4427" s="4">
        <v>65</v>
      </c>
      <c r="AI4427" s="4">
        <v>65</v>
      </c>
      <c r="AJ4427" s="4">
        <v>8</v>
      </c>
      <c r="AK4427" s="4">
        <v>8</v>
      </c>
      <c r="AL4427" s="4">
        <v>38</v>
      </c>
      <c r="AM4427" s="4">
        <v>38</v>
      </c>
      <c r="AN4427" s="4">
        <v>0</v>
      </c>
      <c r="AO4427" s="4">
        <v>0</v>
      </c>
      <c r="AP4427" s="4">
        <v>9</v>
      </c>
      <c r="AQ4427" s="4">
        <v>9</v>
      </c>
      <c r="AR4427" s="3" t="s">
        <v>63</v>
      </c>
      <c r="AS4427" s="3" t="s">
        <v>63</v>
      </c>
      <c r="AT4427" s="3" t="s">
        <v>62</v>
      </c>
      <c r="AU4427" s="6" t="str">
        <f>HYPERLINK("http://catalog.hathitrust.org/Record/004076242","HathiTrust Record")</f>
        <v>HathiTrust Record</v>
      </c>
      <c r="AV4427" s="6" t="str">
        <f>HYPERLINK("http://mcgill.on.worldcat.org/oclc/41581300","Catalog Record")</f>
        <v>Catalog Record</v>
      </c>
      <c r="AW4427" s="6" t="str">
        <f>HYPERLINK("http://www.worldcat.org/oclc/41581300","WorldCat Record")</f>
        <v>WorldCat Record</v>
      </c>
      <c r="AX4427" s="3" t="s">
        <v>507</v>
      </c>
      <c r="AY4427" s="3" t="s">
        <v>508</v>
      </c>
      <c r="AZ4427" s="3" t="s">
        <v>509</v>
      </c>
      <c r="BA4427" s="3" t="s">
        <v>509</v>
      </c>
      <c r="BB4427" s="3" t="s">
        <v>510</v>
      </c>
      <c r="BC4427" s="3" t="s">
        <v>82</v>
      </c>
      <c r="BD4427" s="3" t="s">
        <v>70</v>
      </c>
      <c r="BE4427" s="3" t="s">
        <v>511</v>
      </c>
      <c r="BF4427" s="3" t="s">
        <v>510</v>
      </c>
      <c r="BG4427" s="3" t="s">
        <v>512</v>
      </c>
    </row>
    <row r="4428" spans="1:59" ht="60" x14ac:dyDescent="0.25">
      <c r="A4428" s="2" t="s">
        <v>59</v>
      </c>
      <c r="B4428" s="2" t="s">
        <v>60</v>
      </c>
      <c r="C4428" s="2" t="s">
        <v>38258</v>
      </c>
      <c r="D4428" s="2" t="s">
        <v>38259</v>
      </c>
      <c r="E4428" s="2" t="s">
        <v>38260</v>
      </c>
      <c r="G4428" s="3" t="s">
        <v>63</v>
      </c>
      <c r="I4428" s="3" t="s">
        <v>62</v>
      </c>
      <c r="J4428" s="3" t="s">
        <v>63</v>
      </c>
      <c r="K4428" s="3" t="s">
        <v>64</v>
      </c>
      <c r="L4428" s="2" t="s">
        <v>38261</v>
      </c>
      <c r="M4428" s="2" t="s">
        <v>38262</v>
      </c>
      <c r="N4428" s="3" t="s">
        <v>3640</v>
      </c>
      <c r="O4428" s="2" t="s">
        <v>1856</v>
      </c>
      <c r="P4428" s="3" t="s">
        <v>66</v>
      </c>
      <c r="R4428" s="3" t="s">
        <v>67</v>
      </c>
      <c r="S4428" s="4">
        <v>9</v>
      </c>
      <c r="T4428" s="4">
        <v>9</v>
      </c>
      <c r="U4428" s="5" t="s">
        <v>14064</v>
      </c>
      <c r="V4428" s="5" t="s">
        <v>14064</v>
      </c>
      <c r="W4428" s="5" t="s">
        <v>69</v>
      </c>
      <c r="X4428" s="5" t="s">
        <v>69</v>
      </c>
      <c r="Y4428" s="4">
        <v>543</v>
      </c>
      <c r="Z4428" s="4">
        <v>28</v>
      </c>
      <c r="AA4428" s="4">
        <v>57</v>
      </c>
      <c r="AB4428" s="4">
        <v>2</v>
      </c>
      <c r="AC4428" s="4">
        <v>7</v>
      </c>
      <c r="AD4428" s="4">
        <v>95</v>
      </c>
      <c r="AE4428" s="4">
        <v>136</v>
      </c>
      <c r="AF4428" s="4">
        <v>0</v>
      </c>
      <c r="AG4428" s="4">
        <v>4</v>
      </c>
      <c r="AH4428" s="4">
        <v>85</v>
      </c>
      <c r="AI4428" s="4">
        <v>109</v>
      </c>
      <c r="AJ4428" s="4">
        <v>17</v>
      </c>
      <c r="AK4428" s="4">
        <v>25</v>
      </c>
      <c r="AL4428" s="4">
        <v>47</v>
      </c>
      <c r="AM4428" s="4">
        <v>57</v>
      </c>
      <c r="AN4428" s="4">
        <v>0</v>
      </c>
      <c r="AO4428" s="4">
        <v>0</v>
      </c>
      <c r="AP4428" s="4">
        <v>18</v>
      </c>
      <c r="AQ4428" s="4">
        <v>35</v>
      </c>
      <c r="AR4428" s="3" t="s">
        <v>63</v>
      </c>
      <c r="AS4428" s="3" t="s">
        <v>63</v>
      </c>
      <c r="AT4428" s="3" t="s">
        <v>63</v>
      </c>
      <c r="AV4428" s="6" t="str">
        <f>HYPERLINK("http://mcgill.on.worldcat.org/oclc/8928503","Catalog Record")</f>
        <v>Catalog Record</v>
      </c>
      <c r="AW4428" s="6" t="str">
        <f>HYPERLINK("http://www.worldcat.org/oclc/8928503","WorldCat Record")</f>
        <v>WorldCat Record</v>
      </c>
      <c r="AX4428" s="3" t="s">
        <v>38263</v>
      </c>
      <c r="AY4428" s="3" t="s">
        <v>38264</v>
      </c>
      <c r="AZ4428" s="3" t="s">
        <v>38265</v>
      </c>
      <c r="BA4428" s="3" t="s">
        <v>38265</v>
      </c>
      <c r="BB4428" s="3" t="s">
        <v>38266</v>
      </c>
      <c r="BC4428" s="3" t="s">
        <v>82</v>
      </c>
      <c r="BD4428" s="3" t="s">
        <v>70</v>
      </c>
      <c r="BE4428" s="3" t="s">
        <v>38267</v>
      </c>
      <c r="BF4428" s="3" t="s">
        <v>38266</v>
      </c>
      <c r="BG4428" s="3" t="s">
        <v>38268</v>
      </c>
    </row>
    <row r="4429" spans="1:59" ht="60" x14ac:dyDescent="0.25">
      <c r="A4429" s="2" t="s">
        <v>59</v>
      </c>
      <c r="B4429" s="2" t="s">
        <v>60</v>
      </c>
      <c r="C4429" s="2" t="s">
        <v>38269</v>
      </c>
      <c r="D4429" s="2" t="s">
        <v>38270</v>
      </c>
      <c r="E4429" s="2" t="s">
        <v>38271</v>
      </c>
      <c r="G4429" s="3" t="s">
        <v>63</v>
      </c>
      <c r="I4429" s="3" t="s">
        <v>63</v>
      </c>
      <c r="J4429" s="3" t="s">
        <v>63</v>
      </c>
      <c r="K4429" s="3" t="s">
        <v>64</v>
      </c>
      <c r="L4429" s="2" t="s">
        <v>38272</v>
      </c>
      <c r="M4429" s="2" t="s">
        <v>38273</v>
      </c>
      <c r="N4429" s="3" t="s">
        <v>234</v>
      </c>
      <c r="P4429" s="3" t="s">
        <v>66</v>
      </c>
      <c r="Q4429" s="2" t="s">
        <v>38274</v>
      </c>
      <c r="R4429" s="3" t="s">
        <v>67</v>
      </c>
      <c r="S4429" s="4">
        <v>1</v>
      </c>
      <c r="T4429" s="4">
        <v>1</v>
      </c>
      <c r="U4429" s="5" t="s">
        <v>14064</v>
      </c>
      <c r="V4429" s="5" t="s">
        <v>14064</v>
      </c>
      <c r="W4429" s="5" t="s">
        <v>69</v>
      </c>
      <c r="X4429" s="5" t="s">
        <v>69</v>
      </c>
      <c r="Y4429" s="4">
        <v>36</v>
      </c>
      <c r="Z4429" s="4">
        <v>5</v>
      </c>
      <c r="AA4429" s="4">
        <v>8</v>
      </c>
      <c r="AB4429" s="4">
        <v>1</v>
      </c>
      <c r="AC4429" s="4">
        <v>2</v>
      </c>
      <c r="AD4429" s="4">
        <v>21</v>
      </c>
      <c r="AE4429" s="4">
        <v>29</v>
      </c>
      <c r="AF4429" s="4">
        <v>0</v>
      </c>
      <c r="AG4429" s="4">
        <v>1</v>
      </c>
      <c r="AH4429" s="4">
        <v>20</v>
      </c>
      <c r="AI4429" s="4">
        <v>27</v>
      </c>
      <c r="AJ4429" s="4">
        <v>3</v>
      </c>
      <c r="AK4429" s="4">
        <v>6</v>
      </c>
      <c r="AL4429" s="4">
        <v>13</v>
      </c>
      <c r="AM4429" s="4">
        <v>16</v>
      </c>
      <c r="AN4429" s="4">
        <v>0</v>
      </c>
      <c r="AO4429" s="4">
        <v>0</v>
      </c>
      <c r="AP4429" s="4">
        <v>3</v>
      </c>
      <c r="AQ4429" s="4">
        <v>5</v>
      </c>
      <c r="AR4429" s="3" t="s">
        <v>63</v>
      </c>
      <c r="AS4429" s="3" t="s">
        <v>63</v>
      </c>
      <c r="AT4429" s="3" t="s">
        <v>62</v>
      </c>
      <c r="AU4429" s="6" t="str">
        <f>HYPERLINK("http://catalog.hathitrust.org/Record/007274933","HathiTrust Record")</f>
        <v>HathiTrust Record</v>
      </c>
      <c r="AV4429" s="6" t="str">
        <f>HYPERLINK("http://mcgill.on.worldcat.org/oclc/62593805","Catalog Record")</f>
        <v>Catalog Record</v>
      </c>
      <c r="AW4429" s="6" t="str">
        <f>HYPERLINK("http://www.worldcat.org/oclc/62593805","WorldCat Record")</f>
        <v>WorldCat Record</v>
      </c>
      <c r="AX4429" s="3" t="s">
        <v>38275</v>
      </c>
      <c r="AY4429" s="3" t="s">
        <v>38276</v>
      </c>
      <c r="AZ4429" s="3" t="s">
        <v>38277</v>
      </c>
      <c r="BA4429" s="3" t="s">
        <v>38277</v>
      </c>
      <c r="BB4429" s="3" t="s">
        <v>38278</v>
      </c>
      <c r="BC4429" s="3" t="s">
        <v>82</v>
      </c>
      <c r="BD4429" s="3" t="s">
        <v>70</v>
      </c>
      <c r="BE4429" s="3" t="s">
        <v>38279</v>
      </c>
      <c r="BF4429" s="3" t="s">
        <v>38278</v>
      </c>
      <c r="BG4429" s="3" t="s">
        <v>38280</v>
      </c>
    </row>
    <row r="4430" spans="1:59" ht="60" x14ac:dyDescent="0.25">
      <c r="A4430" s="2" t="s">
        <v>59</v>
      </c>
      <c r="B4430" s="2" t="s">
        <v>60</v>
      </c>
      <c r="C4430" s="2" t="s">
        <v>38281</v>
      </c>
      <c r="D4430" s="2" t="s">
        <v>38282</v>
      </c>
      <c r="E4430" s="2" t="s">
        <v>38283</v>
      </c>
      <c r="G4430" s="3" t="s">
        <v>63</v>
      </c>
      <c r="I4430" s="3" t="s">
        <v>63</v>
      </c>
      <c r="J4430" s="3" t="s">
        <v>63</v>
      </c>
      <c r="K4430" s="3" t="s">
        <v>64</v>
      </c>
      <c r="L4430" s="2" t="s">
        <v>38284</v>
      </c>
      <c r="M4430" s="2" t="s">
        <v>38285</v>
      </c>
      <c r="N4430" s="3" t="s">
        <v>693</v>
      </c>
      <c r="P4430" s="3" t="s">
        <v>66</v>
      </c>
      <c r="Q4430" s="2" t="s">
        <v>38286</v>
      </c>
      <c r="R4430" s="3" t="s">
        <v>67</v>
      </c>
      <c r="S4430" s="4">
        <v>3</v>
      </c>
      <c r="T4430" s="4">
        <v>3</v>
      </c>
      <c r="U4430" s="5" t="s">
        <v>38287</v>
      </c>
      <c r="V4430" s="5" t="s">
        <v>38287</v>
      </c>
      <c r="W4430" s="5" t="s">
        <v>69</v>
      </c>
      <c r="X4430" s="5" t="s">
        <v>69</v>
      </c>
      <c r="Y4430" s="4">
        <v>150</v>
      </c>
      <c r="Z4430" s="4">
        <v>13</v>
      </c>
      <c r="AA4430" s="4">
        <v>13</v>
      </c>
      <c r="AB4430" s="4">
        <v>1</v>
      </c>
      <c r="AC4430" s="4">
        <v>1</v>
      </c>
      <c r="AD4430" s="4">
        <v>73</v>
      </c>
      <c r="AE4430" s="4">
        <v>73</v>
      </c>
      <c r="AF4430" s="4">
        <v>0</v>
      </c>
      <c r="AG4430" s="4">
        <v>0</v>
      </c>
      <c r="AH4430" s="4">
        <v>67</v>
      </c>
      <c r="AI4430" s="4">
        <v>67</v>
      </c>
      <c r="AJ4430" s="4">
        <v>11</v>
      </c>
      <c r="AK4430" s="4">
        <v>11</v>
      </c>
      <c r="AL4430" s="4">
        <v>41</v>
      </c>
      <c r="AM4430" s="4">
        <v>41</v>
      </c>
      <c r="AN4430" s="4">
        <v>0</v>
      </c>
      <c r="AO4430" s="4">
        <v>0</v>
      </c>
      <c r="AP4430" s="4">
        <v>11</v>
      </c>
      <c r="AQ4430" s="4">
        <v>11</v>
      </c>
      <c r="AR4430" s="3" t="s">
        <v>63</v>
      </c>
      <c r="AS4430" s="3" t="s">
        <v>63</v>
      </c>
      <c r="AT4430" s="3" t="s">
        <v>63</v>
      </c>
      <c r="AV4430" s="6" t="str">
        <f>HYPERLINK("http://mcgill.on.worldcat.org/oclc/56051023","Catalog Record")</f>
        <v>Catalog Record</v>
      </c>
      <c r="AW4430" s="6" t="str">
        <f>HYPERLINK("http://www.worldcat.org/oclc/56051023","WorldCat Record")</f>
        <v>WorldCat Record</v>
      </c>
      <c r="AX4430" s="3" t="s">
        <v>38288</v>
      </c>
      <c r="AY4430" s="3" t="s">
        <v>38289</v>
      </c>
      <c r="AZ4430" s="3" t="s">
        <v>38290</v>
      </c>
      <c r="BA4430" s="3" t="s">
        <v>38290</v>
      </c>
      <c r="BB4430" s="3" t="s">
        <v>38291</v>
      </c>
      <c r="BC4430" s="3" t="s">
        <v>82</v>
      </c>
      <c r="BD4430" s="3" t="s">
        <v>70</v>
      </c>
      <c r="BE4430" s="3" t="s">
        <v>38292</v>
      </c>
      <c r="BF4430" s="3" t="s">
        <v>38291</v>
      </c>
      <c r="BG4430" s="3" t="s">
        <v>38293</v>
      </c>
    </row>
    <row r="4431" spans="1:59" ht="60" x14ac:dyDescent="0.25">
      <c r="A4431" s="2" t="s">
        <v>59</v>
      </c>
      <c r="B4431" s="2" t="s">
        <v>60</v>
      </c>
      <c r="C4431" s="2" t="s">
        <v>38294</v>
      </c>
      <c r="D4431" s="2" t="s">
        <v>38295</v>
      </c>
      <c r="E4431" s="2" t="s">
        <v>38296</v>
      </c>
      <c r="G4431" s="3" t="s">
        <v>63</v>
      </c>
      <c r="I4431" s="3" t="s">
        <v>63</v>
      </c>
      <c r="J4431" s="3" t="s">
        <v>63</v>
      </c>
      <c r="K4431" s="3" t="s">
        <v>64</v>
      </c>
      <c r="M4431" s="2" t="s">
        <v>38297</v>
      </c>
      <c r="N4431" s="3" t="s">
        <v>313</v>
      </c>
      <c r="P4431" s="3" t="s">
        <v>66</v>
      </c>
      <c r="R4431" s="3" t="s">
        <v>67</v>
      </c>
      <c r="S4431" s="4">
        <v>0</v>
      </c>
      <c r="T4431" s="4">
        <v>0</v>
      </c>
      <c r="W4431" s="5" t="s">
        <v>69</v>
      </c>
      <c r="X4431" s="5" t="s">
        <v>69</v>
      </c>
      <c r="Y4431" s="4">
        <v>55</v>
      </c>
      <c r="Z4431" s="4">
        <v>7</v>
      </c>
      <c r="AA4431" s="4">
        <v>73</v>
      </c>
      <c r="AB4431" s="4">
        <v>1</v>
      </c>
      <c r="AC4431" s="4">
        <v>14</v>
      </c>
      <c r="AD4431" s="4">
        <v>36</v>
      </c>
      <c r="AE4431" s="4">
        <v>95</v>
      </c>
      <c r="AF4431" s="4">
        <v>0</v>
      </c>
      <c r="AG4431" s="4">
        <v>8</v>
      </c>
      <c r="AH4431" s="4">
        <v>34</v>
      </c>
      <c r="AI4431" s="4">
        <v>64</v>
      </c>
      <c r="AJ4431" s="4">
        <v>6</v>
      </c>
      <c r="AK4431" s="4">
        <v>18</v>
      </c>
      <c r="AL4431" s="4">
        <v>24</v>
      </c>
      <c r="AM4431" s="4">
        <v>35</v>
      </c>
      <c r="AN4431" s="4">
        <v>0</v>
      </c>
      <c r="AO4431" s="4">
        <v>0</v>
      </c>
      <c r="AP4431" s="4">
        <v>6</v>
      </c>
      <c r="AQ4431" s="4">
        <v>38</v>
      </c>
      <c r="AR4431" s="3" t="s">
        <v>63</v>
      </c>
      <c r="AS4431" s="3" t="s">
        <v>63</v>
      </c>
      <c r="AT4431" s="3" t="s">
        <v>63</v>
      </c>
      <c r="AV4431" s="6" t="str">
        <f>HYPERLINK("http://mcgill.on.worldcat.org/oclc/666223907","Catalog Record")</f>
        <v>Catalog Record</v>
      </c>
      <c r="AW4431" s="6" t="str">
        <f>HYPERLINK("http://www.worldcat.org/oclc/666223907","WorldCat Record")</f>
        <v>WorldCat Record</v>
      </c>
      <c r="AX4431" s="3" t="s">
        <v>38298</v>
      </c>
      <c r="AY4431" s="3" t="s">
        <v>38299</v>
      </c>
      <c r="AZ4431" s="3" t="s">
        <v>38300</v>
      </c>
      <c r="BA4431" s="3" t="s">
        <v>38300</v>
      </c>
      <c r="BB4431" s="3" t="s">
        <v>38301</v>
      </c>
      <c r="BC4431" s="3" t="s">
        <v>82</v>
      </c>
      <c r="BD4431" s="3" t="s">
        <v>70</v>
      </c>
      <c r="BE4431" s="3" t="s">
        <v>38302</v>
      </c>
      <c r="BF4431" s="3" t="s">
        <v>38301</v>
      </c>
      <c r="BG4431" s="3" t="s">
        <v>38303</v>
      </c>
    </row>
    <row r="4432" spans="1:59" ht="60" x14ac:dyDescent="0.25">
      <c r="A4432" s="2" t="s">
        <v>59</v>
      </c>
      <c r="B4432" s="2" t="s">
        <v>60</v>
      </c>
      <c r="C4432" s="2" t="s">
        <v>38304</v>
      </c>
      <c r="D4432" s="2" t="s">
        <v>38305</v>
      </c>
      <c r="E4432" s="2" t="s">
        <v>38306</v>
      </c>
      <c r="G4432" s="3" t="s">
        <v>63</v>
      </c>
      <c r="I4432" s="3" t="s">
        <v>63</v>
      </c>
      <c r="J4432" s="3" t="s">
        <v>63</v>
      </c>
      <c r="K4432" s="3" t="s">
        <v>64</v>
      </c>
      <c r="L4432" s="2" t="s">
        <v>38307</v>
      </c>
      <c r="M4432" s="2" t="s">
        <v>38308</v>
      </c>
      <c r="N4432" s="3" t="s">
        <v>1226</v>
      </c>
      <c r="O4432" s="2" t="s">
        <v>590</v>
      </c>
      <c r="P4432" s="3" t="s">
        <v>66</v>
      </c>
      <c r="Q4432" s="2" t="s">
        <v>38309</v>
      </c>
      <c r="R4432" s="3" t="s">
        <v>67</v>
      </c>
      <c r="S4432" s="4">
        <v>5</v>
      </c>
      <c r="T4432" s="4">
        <v>5</v>
      </c>
      <c r="U4432" s="5" t="s">
        <v>1298</v>
      </c>
      <c r="V4432" s="5" t="s">
        <v>1298</v>
      </c>
      <c r="W4432" s="5" t="s">
        <v>69</v>
      </c>
      <c r="X4432" s="5" t="s">
        <v>69</v>
      </c>
      <c r="Y4432" s="4">
        <v>261</v>
      </c>
      <c r="Z4432" s="4">
        <v>10</v>
      </c>
      <c r="AA4432" s="4">
        <v>11</v>
      </c>
      <c r="AB4432" s="4">
        <v>1</v>
      </c>
      <c r="AC4432" s="4">
        <v>2</v>
      </c>
      <c r="AD4432" s="4">
        <v>87</v>
      </c>
      <c r="AE4432" s="4">
        <v>88</v>
      </c>
      <c r="AF4432" s="4">
        <v>0</v>
      </c>
      <c r="AG4432" s="4">
        <v>1</v>
      </c>
      <c r="AH4432" s="4">
        <v>83</v>
      </c>
      <c r="AI4432" s="4">
        <v>83</v>
      </c>
      <c r="AJ4432" s="4">
        <v>8</v>
      </c>
      <c r="AK4432" s="4">
        <v>9</v>
      </c>
      <c r="AL4432" s="4">
        <v>52</v>
      </c>
      <c r="AM4432" s="4">
        <v>52</v>
      </c>
      <c r="AN4432" s="4">
        <v>0</v>
      </c>
      <c r="AO4432" s="4">
        <v>0</v>
      </c>
      <c r="AP4432" s="4">
        <v>8</v>
      </c>
      <c r="AQ4432" s="4">
        <v>8</v>
      </c>
      <c r="AR4432" s="3" t="s">
        <v>63</v>
      </c>
      <c r="AS4432" s="3" t="s">
        <v>63</v>
      </c>
      <c r="AT4432" s="3" t="s">
        <v>62</v>
      </c>
      <c r="AU4432" s="6" t="str">
        <f>HYPERLINK("http://catalog.hathitrust.org/Record/004310687","HathiTrust Record")</f>
        <v>HathiTrust Record</v>
      </c>
      <c r="AV4432" s="6" t="str">
        <f>HYPERLINK("http://mcgill.on.worldcat.org/oclc/51222087","Catalog Record")</f>
        <v>Catalog Record</v>
      </c>
      <c r="AW4432" s="6" t="str">
        <f>HYPERLINK("http://www.worldcat.org/oclc/51222087","WorldCat Record")</f>
        <v>WorldCat Record</v>
      </c>
      <c r="AX4432" s="3" t="s">
        <v>38310</v>
      </c>
      <c r="AY4432" s="3" t="s">
        <v>38311</v>
      </c>
      <c r="AZ4432" s="3" t="s">
        <v>38312</v>
      </c>
      <c r="BA4432" s="3" t="s">
        <v>38312</v>
      </c>
      <c r="BB4432" s="3" t="s">
        <v>38313</v>
      </c>
      <c r="BC4432" s="3" t="s">
        <v>82</v>
      </c>
      <c r="BD4432" s="3" t="s">
        <v>70</v>
      </c>
      <c r="BE4432" s="3" t="s">
        <v>38314</v>
      </c>
      <c r="BF4432" s="3" t="s">
        <v>38313</v>
      </c>
      <c r="BG4432" s="3" t="s">
        <v>38315</v>
      </c>
    </row>
    <row r="4433" spans="1:59" ht="60" x14ac:dyDescent="0.25">
      <c r="A4433" s="2" t="s">
        <v>59</v>
      </c>
      <c r="B4433" s="2" t="s">
        <v>60</v>
      </c>
      <c r="C4433" s="2" t="s">
        <v>38316</v>
      </c>
      <c r="D4433" s="2" t="s">
        <v>38317</v>
      </c>
      <c r="E4433" s="2" t="s">
        <v>38318</v>
      </c>
      <c r="G4433" s="3" t="s">
        <v>63</v>
      </c>
      <c r="I4433" s="3" t="s">
        <v>63</v>
      </c>
      <c r="J4433" s="3" t="s">
        <v>63</v>
      </c>
      <c r="K4433" s="3" t="s">
        <v>64</v>
      </c>
      <c r="L4433" s="2" t="s">
        <v>38319</v>
      </c>
      <c r="M4433" s="2" t="s">
        <v>38320</v>
      </c>
      <c r="N4433" s="3" t="s">
        <v>190</v>
      </c>
      <c r="P4433" s="3" t="s">
        <v>66</v>
      </c>
      <c r="Q4433" s="2" t="s">
        <v>38321</v>
      </c>
      <c r="R4433" s="3" t="s">
        <v>67</v>
      </c>
      <c r="S4433" s="4">
        <v>2</v>
      </c>
      <c r="T4433" s="4">
        <v>2</v>
      </c>
      <c r="U4433" s="5" t="s">
        <v>38037</v>
      </c>
      <c r="V4433" s="5" t="s">
        <v>38037</v>
      </c>
      <c r="W4433" s="5" t="s">
        <v>69</v>
      </c>
      <c r="X4433" s="5" t="s">
        <v>69</v>
      </c>
      <c r="Y4433" s="4">
        <v>59</v>
      </c>
      <c r="Z4433" s="4">
        <v>3</v>
      </c>
      <c r="AA4433" s="4">
        <v>3</v>
      </c>
      <c r="AB4433" s="4">
        <v>1</v>
      </c>
      <c r="AC4433" s="4">
        <v>1</v>
      </c>
      <c r="AD4433" s="4">
        <v>25</v>
      </c>
      <c r="AE4433" s="4">
        <v>27</v>
      </c>
      <c r="AF4433" s="4">
        <v>0</v>
      </c>
      <c r="AG4433" s="4">
        <v>0</v>
      </c>
      <c r="AH4433" s="4">
        <v>23</v>
      </c>
      <c r="AI4433" s="4">
        <v>25</v>
      </c>
      <c r="AJ4433" s="4">
        <v>1</v>
      </c>
      <c r="AK4433" s="4">
        <v>1</v>
      </c>
      <c r="AL4433" s="4">
        <v>22</v>
      </c>
      <c r="AM4433" s="4">
        <v>24</v>
      </c>
      <c r="AN4433" s="4">
        <v>0</v>
      </c>
      <c r="AO4433" s="4">
        <v>0</v>
      </c>
      <c r="AP4433" s="4">
        <v>1</v>
      </c>
      <c r="AQ4433" s="4">
        <v>1</v>
      </c>
      <c r="AR4433" s="3" t="s">
        <v>63</v>
      </c>
      <c r="AS4433" s="3" t="s">
        <v>63</v>
      </c>
      <c r="AT4433" s="3" t="s">
        <v>62</v>
      </c>
      <c r="AU4433" s="6" t="str">
        <f>HYPERLINK("http://catalog.hathitrust.org/Record/005082204","HathiTrust Record")</f>
        <v>HathiTrust Record</v>
      </c>
      <c r="AV4433" s="6" t="str">
        <f>HYPERLINK("http://mcgill.on.worldcat.org/oclc/62146248","Catalog Record")</f>
        <v>Catalog Record</v>
      </c>
      <c r="AW4433" s="6" t="str">
        <f>HYPERLINK("http://www.worldcat.org/oclc/62146248","WorldCat Record")</f>
        <v>WorldCat Record</v>
      </c>
      <c r="AX4433" s="3" t="s">
        <v>38322</v>
      </c>
      <c r="AY4433" s="3" t="s">
        <v>38323</v>
      </c>
      <c r="AZ4433" s="3" t="s">
        <v>38324</v>
      </c>
      <c r="BA4433" s="3" t="s">
        <v>38324</v>
      </c>
      <c r="BB4433" s="3" t="s">
        <v>38325</v>
      </c>
      <c r="BC4433" s="3" t="s">
        <v>82</v>
      </c>
      <c r="BD4433" s="3" t="s">
        <v>70</v>
      </c>
      <c r="BE4433" s="3" t="s">
        <v>38326</v>
      </c>
      <c r="BF4433" s="3" t="s">
        <v>38325</v>
      </c>
      <c r="BG4433" s="3" t="s">
        <v>38327</v>
      </c>
    </row>
    <row r="4434" spans="1:59" ht="60" x14ac:dyDescent="0.25">
      <c r="A4434" s="2" t="s">
        <v>59</v>
      </c>
      <c r="B4434" s="2" t="s">
        <v>60</v>
      </c>
      <c r="C4434" s="2" t="s">
        <v>38328</v>
      </c>
      <c r="D4434" s="2" t="s">
        <v>38329</v>
      </c>
      <c r="E4434" s="2" t="s">
        <v>38330</v>
      </c>
      <c r="G4434" s="3" t="s">
        <v>63</v>
      </c>
      <c r="I4434" s="3" t="s">
        <v>63</v>
      </c>
      <c r="J4434" s="3" t="s">
        <v>63</v>
      </c>
      <c r="K4434" s="3" t="s">
        <v>64</v>
      </c>
      <c r="L4434" s="2" t="s">
        <v>38331</v>
      </c>
      <c r="M4434" s="2" t="s">
        <v>38332</v>
      </c>
      <c r="N4434" s="3" t="s">
        <v>629</v>
      </c>
      <c r="P4434" s="3" t="s">
        <v>66</v>
      </c>
      <c r="R4434" s="3" t="s">
        <v>67</v>
      </c>
      <c r="S4434" s="4">
        <v>1</v>
      </c>
      <c r="T4434" s="4">
        <v>1</v>
      </c>
      <c r="U4434" s="5" t="s">
        <v>3109</v>
      </c>
      <c r="V4434" s="5" t="s">
        <v>3109</v>
      </c>
      <c r="W4434" s="5" t="s">
        <v>69</v>
      </c>
      <c r="X4434" s="5" t="s">
        <v>69</v>
      </c>
      <c r="Y4434" s="4">
        <v>197</v>
      </c>
      <c r="Z4434" s="4">
        <v>15</v>
      </c>
      <c r="AA4434" s="4">
        <v>96</v>
      </c>
      <c r="AB4434" s="4">
        <v>2</v>
      </c>
      <c r="AC4434" s="4">
        <v>19</v>
      </c>
      <c r="AD4434" s="4">
        <v>71</v>
      </c>
      <c r="AE4434" s="4">
        <v>135</v>
      </c>
      <c r="AF4434" s="4">
        <v>1</v>
      </c>
      <c r="AG4434" s="4">
        <v>8</v>
      </c>
      <c r="AH4434" s="4">
        <v>64</v>
      </c>
      <c r="AI4434" s="4">
        <v>98</v>
      </c>
      <c r="AJ4434" s="4">
        <v>10</v>
      </c>
      <c r="AK4434" s="4">
        <v>23</v>
      </c>
      <c r="AL4434" s="4">
        <v>43</v>
      </c>
      <c r="AM4434" s="4">
        <v>53</v>
      </c>
      <c r="AN4434" s="4">
        <v>0</v>
      </c>
      <c r="AO4434" s="4">
        <v>0</v>
      </c>
      <c r="AP4434" s="4">
        <v>12</v>
      </c>
      <c r="AQ4434" s="4">
        <v>46</v>
      </c>
      <c r="AR4434" s="3" t="s">
        <v>63</v>
      </c>
      <c r="AS4434" s="3" t="s">
        <v>63</v>
      </c>
      <c r="AT4434" s="3" t="s">
        <v>63</v>
      </c>
      <c r="AV4434" s="6" t="str">
        <f>HYPERLINK("http://mcgill.on.worldcat.org/oclc/657079887","Catalog Record")</f>
        <v>Catalog Record</v>
      </c>
      <c r="AW4434" s="6" t="str">
        <f>HYPERLINK("http://www.worldcat.org/oclc/657079887","WorldCat Record")</f>
        <v>WorldCat Record</v>
      </c>
      <c r="AX4434" s="3" t="s">
        <v>38333</v>
      </c>
      <c r="AY4434" s="3" t="s">
        <v>38334</v>
      </c>
      <c r="AZ4434" s="3" t="s">
        <v>38335</v>
      </c>
      <c r="BA4434" s="3" t="s">
        <v>38335</v>
      </c>
      <c r="BB4434" s="3" t="s">
        <v>38336</v>
      </c>
      <c r="BC4434" s="3" t="s">
        <v>82</v>
      </c>
      <c r="BD4434" s="3" t="s">
        <v>70</v>
      </c>
      <c r="BE4434" s="3" t="s">
        <v>38337</v>
      </c>
      <c r="BF4434" s="3" t="s">
        <v>38336</v>
      </c>
      <c r="BG4434" s="3" t="s">
        <v>38338</v>
      </c>
    </row>
    <row r="4435" spans="1:59" ht="75" x14ac:dyDescent="0.25">
      <c r="A4435" s="2" t="s">
        <v>59</v>
      </c>
      <c r="B4435" s="2" t="s">
        <v>60</v>
      </c>
      <c r="C4435" s="2" t="s">
        <v>513</v>
      </c>
      <c r="D4435" s="2" t="s">
        <v>514</v>
      </c>
      <c r="E4435" s="2" t="s">
        <v>515</v>
      </c>
      <c r="G4435" s="3" t="s">
        <v>63</v>
      </c>
      <c r="I4435" s="3" t="s">
        <v>63</v>
      </c>
      <c r="J4435" s="3" t="s">
        <v>63</v>
      </c>
      <c r="K4435" s="3" t="s">
        <v>64</v>
      </c>
      <c r="L4435" s="2" t="s">
        <v>516</v>
      </c>
      <c r="M4435" s="2" t="s">
        <v>517</v>
      </c>
      <c r="N4435" s="3" t="s">
        <v>161</v>
      </c>
      <c r="P4435" s="3" t="s">
        <v>90</v>
      </c>
      <c r="Q4435" s="2" t="s">
        <v>518</v>
      </c>
      <c r="R4435" s="3" t="s">
        <v>67</v>
      </c>
      <c r="S4435" s="4">
        <v>1</v>
      </c>
      <c r="T4435" s="4">
        <v>1</v>
      </c>
      <c r="U4435" s="5" t="s">
        <v>519</v>
      </c>
      <c r="V4435" s="5" t="s">
        <v>519</v>
      </c>
      <c r="W4435" s="5" t="s">
        <v>69</v>
      </c>
      <c r="X4435" s="5" t="s">
        <v>69</v>
      </c>
      <c r="Y4435" s="4">
        <v>53</v>
      </c>
      <c r="Z4435" s="4">
        <v>6</v>
      </c>
      <c r="AA4435" s="4">
        <v>6</v>
      </c>
      <c r="AB4435" s="4">
        <v>1</v>
      </c>
      <c r="AC4435" s="4">
        <v>1</v>
      </c>
      <c r="AD4435" s="4">
        <v>36</v>
      </c>
      <c r="AE4435" s="4">
        <v>36</v>
      </c>
      <c r="AF4435" s="4">
        <v>0</v>
      </c>
      <c r="AG4435" s="4">
        <v>0</v>
      </c>
      <c r="AH4435" s="4">
        <v>35</v>
      </c>
      <c r="AI4435" s="4">
        <v>35</v>
      </c>
      <c r="AJ4435" s="4">
        <v>4</v>
      </c>
      <c r="AK4435" s="4">
        <v>4</v>
      </c>
      <c r="AL4435" s="4">
        <v>27</v>
      </c>
      <c r="AM4435" s="4">
        <v>27</v>
      </c>
      <c r="AN4435" s="4">
        <v>0</v>
      </c>
      <c r="AO4435" s="4">
        <v>0</v>
      </c>
      <c r="AP4435" s="4">
        <v>4</v>
      </c>
      <c r="AQ4435" s="4">
        <v>4</v>
      </c>
      <c r="AR4435" s="3" t="s">
        <v>63</v>
      </c>
      <c r="AS4435" s="3" t="s">
        <v>63</v>
      </c>
      <c r="AT4435" s="3" t="s">
        <v>63</v>
      </c>
      <c r="AV4435" s="6" t="str">
        <f>HYPERLINK("http://mcgill.on.worldcat.org/oclc/21157822","Catalog Record")</f>
        <v>Catalog Record</v>
      </c>
      <c r="AW4435" s="6" t="str">
        <f>HYPERLINK("http://www.worldcat.org/oclc/21157822","WorldCat Record")</f>
        <v>WorldCat Record</v>
      </c>
      <c r="AX4435" s="3" t="s">
        <v>520</v>
      </c>
      <c r="AY4435" s="3" t="s">
        <v>521</v>
      </c>
      <c r="AZ4435" s="3" t="s">
        <v>522</v>
      </c>
      <c r="BA4435" s="3" t="s">
        <v>522</v>
      </c>
      <c r="BB4435" s="3" t="s">
        <v>523</v>
      </c>
      <c r="BC4435" s="3" t="s">
        <v>524</v>
      </c>
      <c r="BD4435" s="3" t="s">
        <v>70</v>
      </c>
      <c r="BE4435" s="3" t="s">
        <v>525</v>
      </c>
      <c r="BF4435" s="3" t="s">
        <v>523</v>
      </c>
      <c r="BG4435" s="3" t="s">
        <v>526</v>
      </c>
    </row>
    <row r="4436" spans="1:59" ht="60" x14ac:dyDescent="0.25">
      <c r="A4436" s="2" t="s">
        <v>59</v>
      </c>
      <c r="B4436" s="2" t="s">
        <v>60</v>
      </c>
      <c r="C4436" s="2" t="s">
        <v>38339</v>
      </c>
      <c r="D4436" s="2" t="s">
        <v>38340</v>
      </c>
      <c r="E4436" s="2" t="s">
        <v>38341</v>
      </c>
      <c r="G4436" s="3" t="s">
        <v>63</v>
      </c>
      <c r="I4436" s="3" t="s">
        <v>63</v>
      </c>
      <c r="J4436" s="3" t="s">
        <v>63</v>
      </c>
      <c r="K4436" s="3" t="s">
        <v>64</v>
      </c>
      <c r="M4436" s="2" t="s">
        <v>38342</v>
      </c>
      <c r="N4436" s="3" t="s">
        <v>261</v>
      </c>
      <c r="P4436" s="3" t="s">
        <v>66</v>
      </c>
      <c r="Q4436" s="2" t="s">
        <v>38343</v>
      </c>
      <c r="R4436" s="3" t="s">
        <v>67</v>
      </c>
      <c r="S4436" s="4">
        <v>5</v>
      </c>
      <c r="T4436" s="4">
        <v>5</v>
      </c>
      <c r="U4436" s="5" t="s">
        <v>15018</v>
      </c>
      <c r="V4436" s="5" t="s">
        <v>15018</v>
      </c>
      <c r="W4436" s="5" t="s">
        <v>69</v>
      </c>
      <c r="X4436" s="5" t="s">
        <v>69</v>
      </c>
      <c r="Y4436" s="4">
        <v>266</v>
      </c>
      <c r="Z4436" s="4">
        <v>16</v>
      </c>
      <c r="AA4436" s="4">
        <v>16</v>
      </c>
      <c r="AB4436" s="4">
        <v>1</v>
      </c>
      <c r="AC4436" s="4">
        <v>1</v>
      </c>
      <c r="AD4436" s="4">
        <v>73</v>
      </c>
      <c r="AE4436" s="4">
        <v>73</v>
      </c>
      <c r="AF4436" s="4">
        <v>0</v>
      </c>
      <c r="AG4436" s="4">
        <v>0</v>
      </c>
      <c r="AH4436" s="4">
        <v>68</v>
      </c>
      <c r="AI4436" s="4">
        <v>68</v>
      </c>
      <c r="AJ4436" s="4">
        <v>8</v>
      </c>
      <c r="AK4436" s="4">
        <v>8</v>
      </c>
      <c r="AL4436" s="4">
        <v>44</v>
      </c>
      <c r="AM4436" s="4">
        <v>44</v>
      </c>
      <c r="AN4436" s="4">
        <v>0</v>
      </c>
      <c r="AO4436" s="4">
        <v>0</v>
      </c>
      <c r="AP4436" s="4">
        <v>10</v>
      </c>
      <c r="AQ4436" s="4">
        <v>10</v>
      </c>
      <c r="AR4436" s="3" t="s">
        <v>63</v>
      </c>
      <c r="AS4436" s="3" t="s">
        <v>63</v>
      </c>
      <c r="AT4436" s="3" t="s">
        <v>62</v>
      </c>
      <c r="AU4436" s="6" t="str">
        <f>HYPERLINK("http://catalog.hathitrust.org/Record/005563961","HathiTrust Record")</f>
        <v>HathiTrust Record</v>
      </c>
      <c r="AV4436" s="6" t="str">
        <f>HYPERLINK("http://mcgill.on.worldcat.org/oclc/76167374","Catalog Record")</f>
        <v>Catalog Record</v>
      </c>
      <c r="AW4436" s="6" t="str">
        <f>HYPERLINK("http://www.worldcat.org/oclc/76167374","WorldCat Record")</f>
        <v>WorldCat Record</v>
      </c>
      <c r="AX4436" s="3" t="s">
        <v>38344</v>
      </c>
      <c r="AY4436" s="3" t="s">
        <v>38345</v>
      </c>
      <c r="AZ4436" s="3" t="s">
        <v>38346</v>
      </c>
      <c r="BA4436" s="3" t="s">
        <v>38346</v>
      </c>
      <c r="BB4436" s="3" t="s">
        <v>38347</v>
      </c>
      <c r="BC4436" s="3" t="s">
        <v>82</v>
      </c>
      <c r="BD4436" s="3" t="s">
        <v>70</v>
      </c>
      <c r="BE4436" s="3" t="s">
        <v>38348</v>
      </c>
      <c r="BF4436" s="3" t="s">
        <v>38347</v>
      </c>
      <c r="BG4436" s="3" t="s">
        <v>38349</v>
      </c>
    </row>
    <row r="4437" spans="1:59" ht="60" x14ac:dyDescent="0.25">
      <c r="A4437" s="2" t="s">
        <v>59</v>
      </c>
      <c r="B4437" s="2" t="s">
        <v>60</v>
      </c>
      <c r="C4437" s="2" t="s">
        <v>38350</v>
      </c>
      <c r="D4437" s="2" t="s">
        <v>38351</v>
      </c>
      <c r="E4437" s="2" t="s">
        <v>38352</v>
      </c>
      <c r="G4437" s="3" t="s">
        <v>63</v>
      </c>
      <c r="I4437" s="3" t="s">
        <v>63</v>
      </c>
      <c r="J4437" s="3" t="s">
        <v>63</v>
      </c>
      <c r="K4437" s="3" t="s">
        <v>64</v>
      </c>
      <c r="L4437" s="2" t="s">
        <v>38353</v>
      </c>
      <c r="M4437" s="2" t="s">
        <v>38354</v>
      </c>
      <c r="N4437" s="3" t="s">
        <v>362</v>
      </c>
      <c r="P4437" s="3" t="s">
        <v>66</v>
      </c>
      <c r="R4437" s="3" t="s">
        <v>67</v>
      </c>
      <c r="S4437" s="4">
        <v>2</v>
      </c>
      <c r="T4437" s="4">
        <v>2</v>
      </c>
      <c r="U4437" s="5" t="s">
        <v>38355</v>
      </c>
      <c r="V4437" s="5" t="s">
        <v>38355</v>
      </c>
      <c r="W4437" s="5" t="s">
        <v>69</v>
      </c>
      <c r="X4437" s="5" t="s">
        <v>69</v>
      </c>
      <c r="Y4437" s="4">
        <v>184</v>
      </c>
      <c r="Z4437" s="4">
        <v>11</v>
      </c>
      <c r="AA4437" s="4">
        <v>13</v>
      </c>
      <c r="AB4437" s="4">
        <v>2</v>
      </c>
      <c r="AC4437" s="4">
        <v>2</v>
      </c>
      <c r="AD4437" s="4">
        <v>81</v>
      </c>
      <c r="AE4437" s="4">
        <v>84</v>
      </c>
      <c r="AF4437" s="4">
        <v>0</v>
      </c>
      <c r="AG4437" s="4">
        <v>0</v>
      </c>
      <c r="AH4437" s="4">
        <v>78</v>
      </c>
      <c r="AI4437" s="4">
        <v>80</v>
      </c>
      <c r="AJ4437" s="4">
        <v>8</v>
      </c>
      <c r="AK4437" s="4">
        <v>10</v>
      </c>
      <c r="AL4437" s="4">
        <v>50</v>
      </c>
      <c r="AM4437" s="4">
        <v>50</v>
      </c>
      <c r="AN4437" s="4">
        <v>0</v>
      </c>
      <c r="AO4437" s="4">
        <v>0</v>
      </c>
      <c r="AP4437" s="4">
        <v>8</v>
      </c>
      <c r="AQ4437" s="4">
        <v>10</v>
      </c>
      <c r="AR4437" s="3" t="s">
        <v>63</v>
      </c>
      <c r="AS4437" s="3" t="s">
        <v>63</v>
      </c>
      <c r="AT4437" s="3" t="s">
        <v>62</v>
      </c>
      <c r="AU4437" s="6" t="str">
        <f>HYPERLINK("http://catalog.hathitrust.org/Record/007141575","HathiTrust Record")</f>
        <v>HathiTrust Record</v>
      </c>
      <c r="AV4437" s="6" t="str">
        <f>HYPERLINK("http://mcgill.on.worldcat.org/oclc/46364804","Catalog Record")</f>
        <v>Catalog Record</v>
      </c>
      <c r="AW4437" s="6" t="str">
        <f>HYPERLINK("http://www.worldcat.org/oclc/46364804","WorldCat Record")</f>
        <v>WorldCat Record</v>
      </c>
      <c r="AX4437" s="3" t="s">
        <v>38356</v>
      </c>
      <c r="AY4437" s="3" t="s">
        <v>38357</v>
      </c>
      <c r="AZ4437" s="3" t="s">
        <v>38358</v>
      </c>
      <c r="BA4437" s="3" t="s">
        <v>38358</v>
      </c>
      <c r="BB4437" s="3" t="s">
        <v>38359</v>
      </c>
      <c r="BC4437" s="3" t="s">
        <v>82</v>
      </c>
      <c r="BD4437" s="3" t="s">
        <v>70</v>
      </c>
      <c r="BE4437" s="3" t="s">
        <v>38360</v>
      </c>
      <c r="BF4437" s="3" t="s">
        <v>38359</v>
      </c>
      <c r="BG4437" s="3" t="s">
        <v>38361</v>
      </c>
    </row>
    <row r="4438" spans="1:59" ht="60" x14ac:dyDescent="0.25">
      <c r="A4438" s="2" t="s">
        <v>59</v>
      </c>
      <c r="B4438" s="2" t="s">
        <v>60</v>
      </c>
      <c r="C4438" s="2" t="s">
        <v>38362</v>
      </c>
      <c r="D4438" s="2" t="s">
        <v>38363</v>
      </c>
      <c r="E4438" s="2" t="s">
        <v>38364</v>
      </c>
      <c r="G4438" s="3" t="s">
        <v>63</v>
      </c>
      <c r="I4438" s="3" t="s">
        <v>63</v>
      </c>
      <c r="J4438" s="3" t="s">
        <v>63</v>
      </c>
      <c r="K4438" s="3" t="s">
        <v>64</v>
      </c>
      <c r="M4438" s="2" t="s">
        <v>38365</v>
      </c>
      <c r="N4438" s="3" t="s">
        <v>362</v>
      </c>
      <c r="P4438" s="3" t="s">
        <v>66</v>
      </c>
      <c r="Q4438" s="2" t="s">
        <v>38366</v>
      </c>
      <c r="R4438" s="3" t="s">
        <v>67</v>
      </c>
      <c r="S4438" s="4">
        <v>5</v>
      </c>
      <c r="T4438" s="4">
        <v>5</v>
      </c>
      <c r="U4438" s="5" t="s">
        <v>13379</v>
      </c>
      <c r="V4438" s="5" t="s">
        <v>13379</v>
      </c>
      <c r="W4438" s="5" t="s">
        <v>69</v>
      </c>
      <c r="X4438" s="5" t="s">
        <v>69</v>
      </c>
      <c r="Y4438" s="4">
        <v>223</v>
      </c>
      <c r="Z4438" s="4">
        <v>16</v>
      </c>
      <c r="AA4438" s="4">
        <v>16</v>
      </c>
      <c r="AB4438" s="4">
        <v>2</v>
      </c>
      <c r="AC4438" s="4">
        <v>2</v>
      </c>
      <c r="AD4438" s="4">
        <v>88</v>
      </c>
      <c r="AE4438" s="4">
        <v>88</v>
      </c>
      <c r="AF4438" s="4">
        <v>0</v>
      </c>
      <c r="AG4438" s="4">
        <v>0</v>
      </c>
      <c r="AH4438" s="4">
        <v>82</v>
      </c>
      <c r="AI4438" s="4">
        <v>82</v>
      </c>
      <c r="AJ4438" s="4">
        <v>12</v>
      </c>
      <c r="AK4438" s="4">
        <v>12</v>
      </c>
      <c r="AL4438" s="4">
        <v>47</v>
      </c>
      <c r="AM4438" s="4">
        <v>47</v>
      </c>
      <c r="AN4438" s="4">
        <v>0</v>
      </c>
      <c r="AO4438" s="4">
        <v>0</v>
      </c>
      <c r="AP4438" s="4">
        <v>12</v>
      </c>
      <c r="AQ4438" s="4">
        <v>12</v>
      </c>
      <c r="AR4438" s="3" t="s">
        <v>63</v>
      </c>
      <c r="AS4438" s="3" t="s">
        <v>63</v>
      </c>
      <c r="AT4438" s="3" t="s">
        <v>62</v>
      </c>
      <c r="AU4438" s="6" t="str">
        <f>HYPERLINK("http://catalog.hathitrust.org/Record/004183872","HathiTrust Record")</f>
        <v>HathiTrust Record</v>
      </c>
      <c r="AV4438" s="6" t="str">
        <f>HYPERLINK("http://mcgill.on.worldcat.org/oclc/44701734","Catalog Record")</f>
        <v>Catalog Record</v>
      </c>
      <c r="AW4438" s="6" t="str">
        <f>HYPERLINK("http://www.worldcat.org/oclc/44701734","WorldCat Record")</f>
        <v>WorldCat Record</v>
      </c>
      <c r="AX4438" s="3" t="s">
        <v>38367</v>
      </c>
      <c r="AY4438" s="3" t="s">
        <v>38368</v>
      </c>
      <c r="AZ4438" s="3" t="s">
        <v>38369</v>
      </c>
      <c r="BA4438" s="3" t="s">
        <v>38369</v>
      </c>
      <c r="BB4438" s="3" t="s">
        <v>38370</v>
      </c>
      <c r="BC4438" s="3" t="s">
        <v>82</v>
      </c>
      <c r="BD4438" s="3" t="s">
        <v>70</v>
      </c>
      <c r="BE4438" s="3" t="s">
        <v>38371</v>
      </c>
      <c r="BF4438" s="3" t="s">
        <v>38370</v>
      </c>
      <c r="BG4438" s="3" t="s">
        <v>38372</v>
      </c>
    </row>
    <row r="4439" spans="1:59" ht="60" x14ac:dyDescent="0.25">
      <c r="A4439" s="2" t="s">
        <v>59</v>
      </c>
      <c r="B4439" s="2" t="s">
        <v>60</v>
      </c>
      <c r="C4439" s="2" t="s">
        <v>527</v>
      </c>
      <c r="D4439" s="2" t="s">
        <v>528</v>
      </c>
      <c r="E4439" s="2" t="s">
        <v>529</v>
      </c>
      <c r="G4439" s="3" t="s">
        <v>63</v>
      </c>
      <c r="I4439" s="3" t="s">
        <v>63</v>
      </c>
      <c r="J4439" s="3" t="s">
        <v>63</v>
      </c>
      <c r="K4439" s="3" t="s">
        <v>64</v>
      </c>
      <c r="M4439" s="2" t="s">
        <v>530</v>
      </c>
      <c r="N4439" s="3" t="s">
        <v>531</v>
      </c>
      <c r="P4439" s="3" t="s">
        <v>66</v>
      </c>
      <c r="Q4439" s="2" t="s">
        <v>532</v>
      </c>
      <c r="R4439" s="3" t="s">
        <v>67</v>
      </c>
      <c r="S4439" s="4">
        <v>7</v>
      </c>
      <c r="T4439" s="4">
        <v>7</v>
      </c>
      <c r="U4439" s="5" t="s">
        <v>533</v>
      </c>
      <c r="V4439" s="5" t="s">
        <v>533</v>
      </c>
      <c r="W4439" s="5" t="s">
        <v>69</v>
      </c>
      <c r="X4439" s="5" t="s">
        <v>69</v>
      </c>
      <c r="Y4439" s="4">
        <v>185</v>
      </c>
      <c r="Z4439" s="4">
        <v>18</v>
      </c>
      <c r="AA4439" s="4">
        <v>20</v>
      </c>
      <c r="AB4439" s="4">
        <v>1</v>
      </c>
      <c r="AC4439" s="4">
        <v>3</v>
      </c>
      <c r="AD4439" s="4">
        <v>67</v>
      </c>
      <c r="AE4439" s="4">
        <v>69</v>
      </c>
      <c r="AF4439" s="4">
        <v>0</v>
      </c>
      <c r="AG4439" s="4">
        <v>2</v>
      </c>
      <c r="AH4439" s="4">
        <v>60</v>
      </c>
      <c r="AI4439" s="4">
        <v>60</v>
      </c>
      <c r="AJ4439" s="4">
        <v>12</v>
      </c>
      <c r="AK4439" s="4">
        <v>14</v>
      </c>
      <c r="AL4439" s="4">
        <v>38</v>
      </c>
      <c r="AM4439" s="4">
        <v>38</v>
      </c>
      <c r="AN4439" s="4">
        <v>0</v>
      </c>
      <c r="AO4439" s="4">
        <v>0</v>
      </c>
      <c r="AP4439" s="4">
        <v>13</v>
      </c>
      <c r="AQ4439" s="4">
        <v>14</v>
      </c>
      <c r="AR4439" s="3" t="s">
        <v>63</v>
      </c>
      <c r="AS4439" s="3" t="s">
        <v>63</v>
      </c>
      <c r="AT4439" s="3" t="s">
        <v>62</v>
      </c>
      <c r="AU4439" s="6" t="str">
        <f>HYPERLINK("http://catalog.hathitrust.org/Record/002789803","HathiTrust Record")</f>
        <v>HathiTrust Record</v>
      </c>
      <c r="AV4439" s="6" t="str">
        <f>HYPERLINK("http://mcgill.on.worldcat.org/oclc/27377178","Catalog Record")</f>
        <v>Catalog Record</v>
      </c>
      <c r="AW4439" s="6" t="str">
        <f>HYPERLINK("http://www.worldcat.org/oclc/27377178","WorldCat Record")</f>
        <v>WorldCat Record</v>
      </c>
      <c r="AX4439" s="3" t="s">
        <v>534</v>
      </c>
      <c r="AY4439" s="3" t="s">
        <v>535</v>
      </c>
      <c r="AZ4439" s="3" t="s">
        <v>536</v>
      </c>
      <c r="BA4439" s="3" t="s">
        <v>536</v>
      </c>
      <c r="BB4439" s="3" t="s">
        <v>537</v>
      </c>
      <c r="BC4439" s="3" t="s">
        <v>82</v>
      </c>
      <c r="BD4439" s="3" t="s">
        <v>538</v>
      </c>
      <c r="BE4439" s="3" t="s">
        <v>539</v>
      </c>
      <c r="BF4439" s="3" t="s">
        <v>537</v>
      </c>
      <c r="BG4439" s="3" t="s">
        <v>540</v>
      </c>
    </row>
    <row r="4440" spans="1:59" ht="105" x14ac:dyDescent="0.25">
      <c r="A4440" s="2" t="s">
        <v>59</v>
      </c>
      <c r="B4440" s="2" t="s">
        <v>60</v>
      </c>
      <c r="C4440" s="2" t="s">
        <v>38373</v>
      </c>
      <c r="D4440" s="2" t="s">
        <v>38374</v>
      </c>
      <c r="E4440" s="2" t="s">
        <v>38375</v>
      </c>
      <c r="G4440" s="3" t="s">
        <v>63</v>
      </c>
      <c r="I4440" s="3" t="s">
        <v>63</v>
      </c>
      <c r="J4440" s="3" t="s">
        <v>63</v>
      </c>
      <c r="K4440" s="3" t="s">
        <v>64</v>
      </c>
      <c r="L4440" s="2" t="s">
        <v>38376</v>
      </c>
      <c r="M4440" s="2" t="s">
        <v>38377</v>
      </c>
      <c r="N4440" s="3" t="s">
        <v>2765</v>
      </c>
      <c r="P4440" s="3" t="s">
        <v>66</v>
      </c>
      <c r="Q4440" s="2" t="s">
        <v>38378</v>
      </c>
      <c r="R4440" s="3" t="s">
        <v>67</v>
      </c>
      <c r="S4440" s="4">
        <v>0</v>
      </c>
      <c r="T4440" s="4">
        <v>0</v>
      </c>
      <c r="W4440" s="5" t="s">
        <v>69</v>
      </c>
      <c r="X4440" s="5" t="s">
        <v>69</v>
      </c>
      <c r="Y4440" s="4">
        <v>91</v>
      </c>
      <c r="Z4440" s="4">
        <v>11</v>
      </c>
      <c r="AA4440" s="4">
        <v>14</v>
      </c>
      <c r="AB4440" s="4">
        <v>1</v>
      </c>
      <c r="AC4440" s="4">
        <v>1</v>
      </c>
      <c r="AD4440" s="4">
        <v>51</v>
      </c>
      <c r="AE4440" s="4">
        <v>56</v>
      </c>
      <c r="AF4440" s="4">
        <v>0</v>
      </c>
      <c r="AG4440" s="4">
        <v>0</v>
      </c>
      <c r="AH4440" s="4">
        <v>48</v>
      </c>
      <c r="AI4440" s="4">
        <v>50</v>
      </c>
      <c r="AJ4440" s="4">
        <v>7</v>
      </c>
      <c r="AK4440" s="4">
        <v>9</v>
      </c>
      <c r="AL4440" s="4">
        <v>30</v>
      </c>
      <c r="AM4440" s="4">
        <v>31</v>
      </c>
      <c r="AN4440" s="4">
        <v>0</v>
      </c>
      <c r="AO4440" s="4">
        <v>0</v>
      </c>
      <c r="AP4440" s="4">
        <v>7</v>
      </c>
      <c r="AQ4440" s="4">
        <v>10</v>
      </c>
      <c r="AR4440" s="3" t="s">
        <v>62</v>
      </c>
      <c r="AS4440" s="3" t="s">
        <v>63</v>
      </c>
      <c r="AT4440" s="3" t="s">
        <v>63</v>
      </c>
      <c r="AV4440" s="6" t="str">
        <f>HYPERLINK("http://mcgill.on.worldcat.org/oclc/900159256","Catalog Record")</f>
        <v>Catalog Record</v>
      </c>
      <c r="AW4440" s="6" t="str">
        <f>HYPERLINK("http://www.worldcat.org/oclc/900159256","WorldCat Record")</f>
        <v>WorldCat Record</v>
      </c>
      <c r="AX4440" s="3" t="s">
        <v>38379</v>
      </c>
      <c r="AY4440" s="3" t="s">
        <v>38380</v>
      </c>
      <c r="AZ4440" s="3" t="s">
        <v>38381</v>
      </c>
      <c r="BA4440" s="3" t="s">
        <v>38381</v>
      </c>
      <c r="BB4440" s="3" t="s">
        <v>38382</v>
      </c>
      <c r="BC4440" s="3" t="s">
        <v>82</v>
      </c>
      <c r="BD4440" s="3" t="s">
        <v>70</v>
      </c>
      <c r="BE4440" s="3" t="s">
        <v>38383</v>
      </c>
      <c r="BF4440" s="3" t="s">
        <v>38382</v>
      </c>
      <c r="BG4440" s="3" t="s">
        <v>38384</v>
      </c>
    </row>
    <row r="4441" spans="1:59" ht="90" x14ac:dyDescent="0.25">
      <c r="A4441" s="2" t="s">
        <v>59</v>
      </c>
      <c r="B4441" s="2" t="s">
        <v>60</v>
      </c>
      <c r="C4441" s="2" t="s">
        <v>38385</v>
      </c>
      <c r="D4441" s="2" t="s">
        <v>38386</v>
      </c>
      <c r="E4441" s="2" t="s">
        <v>38387</v>
      </c>
      <c r="G4441" s="3" t="s">
        <v>63</v>
      </c>
      <c r="I4441" s="3" t="s">
        <v>63</v>
      </c>
      <c r="J4441" s="3" t="s">
        <v>63</v>
      </c>
      <c r="K4441" s="3" t="s">
        <v>64</v>
      </c>
      <c r="L4441" s="2" t="s">
        <v>38388</v>
      </c>
      <c r="M4441" s="2" t="s">
        <v>38389</v>
      </c>
      <c r="N4441" s="3" t="s">
        <v>106</v>
      </c>
      <c r="P4441" s="3" t="s">
        <v>66</v>
      </c>
      <c r="Q4441" s="2" t="s">
        <v>38390</v>
      </c>
      <c r="R4441" s="3" t="s">
        <v>67</v>
      </c>
      <c r="S4441" s="4">
        <v>1</v>
      </c>
      <c r="T4441" s="4">
        <v>1</v>
      </c>
      <c r="U4441" s="5" t="s">
        <v>38391</v>
      </c>
      <c r="V4441" s="5" t="s">
        <v>38391</v>
      </c>
      <c r="W4441" s="5" t="s">
        <v>69</v>
      </c>
      <c r="X4441" s="5" t="s">
        <v>69</v>
      </c>
      <c r="Y4441" s="4">
        <v>91</v>
      </c>
      <c r="Z4441" s="4">
        <v>7</v>
      </c>
      <c r="AA4441" s="4">
        <v>14</v>
      </c>
      <c r="AB4441" s="4">
        <v>1</v>
      </c>
      <c r="AC4441" s="4">
        <v>1</v>
      </c>
      <c r="AD4441" s="4">
        <v>49</v>
      </c>
      <c r="AE4441" s="4">
        <v>58</v>
      </c>
      <c r="AF4441" s="4">
        <v>0</v>
      </c>
      <c r="AG4441" s="4">
        <v>0</v>
      </c>
      <c r="AH4441" s="4">
        <v>46</v>
      </c>
      <c r="AI4441" s="4">
        <v>51</v>
      </c>
      <c r="AJ4441" s="4">
        <v>5</v>
      </c>
      <c r="AK4441" s="4">
        <v>10</v>
      </c>
      <c r="AL4441" s="4">
        <v>31</v>
      </c>
      <c r="AM4441" s="4">
        <v>32</v>
      </c>
      <c r="AN4441" s="4">
        <v>0</v>
      </c>
      <c r="AO4441" s="4">
        <v>0</v>
      </c>
      <c r="AP4441" s="4">
        <v>4</v>
      </c>
      <c r="AQ4441" s="4">
        <v>11</v>
      </c>
      <c r="AR4441" s="3" t="s">
        <v>62</v>
      </c>
      <c r="AS4441" s="3" t="s">
        <v>63</v>
      </c>
      <c r="AT4441" s="3" t="s">
        <v>63</v>
      </c>
      <c r="AV4441" s="6" t="str">
        <f>HYPERLINK("http://mcgill.on.worldcat.org/oclc/933863463","Catalog Record")</f>
        <v>Catalog Record</v>
      </c>
      <c r="AW4441" s="6" t="str">
        <f>HYPERLINK("http://www.worldcat.org/oclc/933863463","WorldCat Record")</f>
        <v>WorldCat Record</v>
      </c>
      <c r="AX4441" s="3" t="s">
        <v>38392</v>
      </c>
      <c r="AY4441" s="3" t="s">
        <v>38393</v>
      </c>
      <c r="AZ4441" s="3" t="s">
        <v>38394</v>
      </c>
      <c r="BA4441" s="3" t="s">
        <v>38394</v>
      </c>
      <c r="BB4441" s="3" t="s">
        <v>38395</v>
      </c>
      <c r="BC4441" s="3" t="s">
        <v>82</v>
      </c>
      <c r="BD4441" s="3" t="s">
        <v>70</v>
      </c>
      <c r="BE4441" s="3" t="s">
        <v>38396</v>
      </c>
      <c r="BF4441" s="3" t="s">
        <v>38395</v>
      </c>
      <c r="BG4441" s="3" t="s">
        <v>38397</v>
      </c>
    </row>
    <row r="4442" spans="1:59" ht="90" x14ac:dyDescent="0.25">
      <c r="A4442" s="2" t="s">
        <v>59</v>
      </c>
      <c r="B4442" s="2" t="s">
        <v>60</v>
      </c>
      <c r="C4442" s="2" t="s">
        <v>38398</v>
      </c>
      <c r="D4442" s="2" t="s">
        <v>38399</v>
      </c>
      <c r="E4442" s="2" t="s">
        <v>38400</v>
      </c>
      <c r="G4442" s="3" t="s">
        <v>63</v>
      </c>
      <c r="I4442" s="3" t="s">
        <v>62</v>
      </c>
      <c r="J4442" s="3" t="s">
        <v>63</v>
      </c>
      <c r="K4442" s="3" t="s">
        <v>64</v>
      </c>
      <c r="L4442" s="2" t="s">
        <v>38401</v>
      </c>
      <c r="M4442" s="2" t="s">
        <v>38402</v>
      </c>
      <c r="N4442" s="3" t="s">
        <v>468</v>
      </c>
      <c r="P4442" s="3" t="s">
        <v>66</v>
      </c>
      <c r="Q4442" s="2" t="s">
        <v>20369</v>
      </c>
      <c r="R4442" s="3" t="s">
        <v>67</v>
      </c>
      <c r="S4442" s="4">
        <v>32</v>
      </c>
      <c r="T4442" s="4">
        <v>67</v>
      </c>
      <c r="U4442" s="5" t="s">
        <v>11547</v>
      </c>
      <c r="V4442" s="5" t="s">
        <v>11547</v>
      </c>
      <c r="W4442" s="5" t="s">
        <v>69</v>
      </c>
      <c r="X4442" s="5" t="s">
        <v>69</v>
      </c>
      <c r="Y4442" s="4">
        <v>995</v>
      </c>
      <c r="Z4442" s="4">
        <v>36</v>
      </c>
      <c r="AA4442" s="4">
        <v>44</v>
      </c>
      <c r="AB4442" s="4">
        <v>3</v>
      </c>
      <c r="AC4442" s="4">
        <v>5</v>
      </c>
      <c r="AD4442" s="4">
        <v>102</v>
      </c>
      <c r="AE4442" s="4">
        <v>113</v>
      </c>
      <c r="AF4442" s="4">
        <v>1</v>
      </c>
      <c r="AG4442" s="4">
        <v>2</v>
      </c>
      <c r="AH4442" s="4">
        <v>87</v>
      </c>
      <c r="AI4442" s="4">
        <v>94</v>
      </c>
      <c r="AJ4442" s="4">
        <v>12</v>
      </c>
      <c r="AK4442" s="4">
        <v>15</v>
      </c>
      <c r="AL4442" s="4">
        <v>45</v>
      </c>
      <c r="AM4442" s="4">
        <v>50</v>
      </c>
      <c r="AN4442" s="4">
        <v>0</v>
      </c>
      <c r="AO4442" s="4">
        <v>0</v>
      </c>
      <c r="AP4442" s="4">
        <v>20</v>
      </c>
      <c r="AQ4442" s="4">
        <v>25</v>
      </c>
      <c r="AR4442" s="3" t="s">
        <v>63</v>
      </c>
      <c r="AS4442" s="3" t="s">
        <v>63</v>
      </c>
      <c r="AT4442" s="3" t="s">
        <v>62</v>
      </c>
      <c r="AU4442" s="6" t="str">
        <f>HYPERLINK("http://catalog.hathitrust.org/Record/000745067","HathiTrust Record")</f>
        <v>HathiTrust Record</v>
      </c>
      <c r="AV4442" s="6" t="str">
        <f>HYPERLINK("http://mcgill.on.worldcat.org/oclc/2458688","Catalog Record")</f>
        <v>Catalog Record</v>
      </c>
      <c r="AW4442" s="6" t="str">
        <f>HYPERLINK("http://www.worldcat.org/oclc/2458688","WorldCat Record")</f>
        <v>WorldCat Record</v>
      </c>
      <c r="AX4442" s="3" t="s">
        <v>38403</v>
      </c>
      <c r="AY4442" s="3" t="s">
        <v>38404</v>
      </c>
      <c r="AZ4442" s="3" t="s">
        <v>38405</v>
      </c>
      <c r="BA4442" s="3" t="s">
        <v>38405</v>
      </c>
      <c r="BB4442" s="3" t="s">
        <v>38406</v>
      </c>
      <c r="BC4442" s="3" t="s">
        <v>82</v>
      </c>
      <c r="BD4442" s="3" t="s">
        <v>70</v>
      </c>
      <c r="BE4442" s="3" t="s">
        <v>38407</v>
      </c>
      <c r="BF4442" s="3" t="s">
        <v>38406</v>
      </c>
      <c r="BG4442" s="3" t="s">
        <v>38408</v>
      </c>
    </row>
    <row r="4443" spans="1:59" ht="90" x14ac:dyDescent="0.25">
      <c r="A4443" s="2" t="s">
        <v>59</v>
      </c>
      <c r="B4443" s="2" t="s">
        <v>60</v>
      </c>
      <c r="C4443" s="2" t="s">
        <v>38398</v>
      </c>
      <c r="D4443" s="2" t="s">
        <v>38399</v>
      </c>
      <c r="E4443" s="2" t="s">
        <v>38400</v>
      </c>
      <c r="G4443" s="3" t="s">
        <v>63</v>
      </c>
      <c r="I4443" s="3" t="s">
        <v>62</v>
      </c>
      <c r="J4443" s="3" t="s">
        <v>63</v>
      </c>
      <c r="K4443" s="3" t="s">
        <v>64</v>
      </c>
      <c r="L4443" s="2" t="s">
        <v>38401</v>
      </c>
      <c r="M4443" s="2" t="s">
        <v>38402</v>
      </c>
      <c r="N4443" s="3" t="s">
        <v>468</v>
      </c>
      <c r="P4443" s="3" t="s">
        <v>66</v>
      </c>
      <c r="Q4443" s="2" t="s">
        <v>20369</v>
      </c>
      <c r="R4443" s="3" t="s">
        <v>67</v>
      </c>
      <c r="S4443" s="4">
        <v>35</v>
      </c>
      <c r="T4443" s="4">
        <v>67</v>
      </c>
      <c r="U4443" s="5" t="s">
        <v>13090</v>
      </c>
      <c r="V4443" s="5" t="s">
        <v>11547</v>
      </c>
      <c r="W4443" s="5" t="s">
        <v>69</v>
      </c>
      <c r="X4443" s="5" t="s">
        <v>69</v>
      </c>
      <c r="Y4443" s="4">
        <v>995</v>
      </c>
      <c r="Z4443" s="4">
        <v>36</v>
      </c>
      <c r="AA4443" s="4">
        <v>44</v>
      </c>
      <c r="AB4443" s="4">
        <v>3</v>
      </c>
      <c r="AC4443" s="4">
        <v>5</v>
      </c>
      <c r="AD4443" s="4">
        <v>102</v>
      </c>
      <c r="AE4443" s="4">
        <v>113</v>
      </c>
      <c r="AF4443" s="4">
        <v>1</v>
      </c>
      <c r="AG4443" s="4">
        <v>2</v>
      </c>
      <c r="AH4443" s="4">
        <v>87</v>
      </c>
      <c r="AI4443" s="4">
        <v>94</v>
      </c>
      <c r="AJ4443" s="4">
        <v>12</v>
      </c>
      <c r="AK4443" s="4">
        <v>15</v>
      </c>
      <c r="AL4443" s="4">
        <v>45</v>
      </c>
      <c r="AM4443" s="4">
        <v>50</v>
      </c>
      <c r="AN4443" s="4">
        <v>0</v>
      </c>
      <c r="AO4443" s="4">
        <v>0</v>
      </c>
      <c r="AP4443" s="4">
        <v>20</v>
      </c>
      <c r="AQ4443" s="4">
        <v>25</v>
      </c>
      <c r="AR4443" s="3" t="s">
        <v>63</v>
      </c>
      <c r="AS4443" s="3" t="s">
        <v>63</v>
      </c>
      <c r="AT4443" s="3" t="s">
        <v>62</v>
      </c>
      <c r="AU4443" s="6" t="str">
        <f>HYPERLINK("http://catalog.hathitrust.org/Record/000745067","HathiTrust Record")</f>
        <v>HathiTrust Record</v>
      </c>
      <c r="AV4443" s="6" t="str">
        <f>HYPERLINK("http://mcgill.on.worldcat.org/oclc/2458688","Catalog Record")</f>
        <v>Catalog Record</v>
      </c>
      <c r="AW4443" s="6" t="str">
        <f>HYPERLINK("http://www.worldcat.org/oclc/2458688","WorldCat Record")</f>
        <v>WorldCat Record</v>
      </c>
      <c r="AX4443" s="3" t="s">
        <v>38403</v>
      </c>
      <c r="AY4443" s="3" t="s">
        <v>38404</v>
      </c>
      <c r="AZ4443" s="3" t="s">
        <v>38405</v>
      </c>
      <c r="BA4443" s="3" t="s">
        <v>38405</v>
      </c>
      <c r="BB4443" s="3" t="s">
        <v>38409</v>
      </c>
      <c r="BC4443" s="3" t="s">
        <v>82</v>
      </c>
      <c r="BD4443" s="3" t="s">
        <v>70</v>
      </c>
      <c r="BE4443" s="3" t="s">
        <v>38407</v>
      </c>
      <c r="BF4443" s="3" t="s">
        <v>38409</v>
      </c>
      <c r="BG4443" s="3" t="s">
        <v>38410</v>
      </c>
    </row>
    <row r="4444" spans="1:59" ht="75" x14ac:dyDescent="0.25">
      <c r="A4444" s="2" t="s">
        <v>59</v>
      </c>
      <c r="B4444" s="2" t="s">
        <v>60</v>
      </c>
      <c r="C4444" s="2" t="s">
        <v>38411</v>
      </c>
      <c r="D4444" s="2" t="s">
        <v>38412</v>
      </c>
      <c r="E4444" s="2" t="s">
        <v>38413</v>
      </c>
      <c r="G4444" s="3" t="s">
        <v>63</v>
      </c>
      <c r="I4444" s="3" t="s">
        <v>63</v>
      </c>
      <c r="J4444" s="3" t="s">
        <v>62</v>
      </c>
      <c r="K4444" s="3" t="s">
        <v>64</v>
      </c>
      <c r="L4444" s="2" t="s">
        <v>38414</v>
      </c>
      <c r="M4444" s="2" t="s">
        <v>38415</v>
      </c>
      <c r="N4444" s="3" t="s">
        <v>3640</v>
      </c>
      <c r="O4444" s="2" t="s">
        <v>23323</v>
      </c>
      <c r="P4444" s="3" t="s">
        <v>66</v>
      </c>
      <c r="R4444" s="3" t="s">
        <v>67</v>
      </c>
      <c r="S4444" s="4">
        <v>2</v>
      </c>
      <c r="T4444" s="4">
        <v>2</v>
      </c>
      <c r="U4444" s="5" t="s">
        <v>24269</v>
      </c>
      <c r="V4444" s="5" t="s">
        <v>24269</v>
      </c>
      <c r="W4444" s="5" t="s">
        <v>69</v>
      </c>
      <c r="X4444" s="5" t="s">
        <v>69</v>
      </c>
      <c r="Y4444" s="4">
        <v>764</v>
      </c>
      <c r="Z4444" s="4">
        <v>25</v>
      </c>
      <c r="AA4444" s="4">
        <v>38</v>
      </c>
      <c r="AB4444" s="4">
        <v>1</v>
      </c>
      <c r="AC4444" s="4">
        <v>2</v>
      </c>
      <c r="AD4444" s="4">
        <v>109</v>
      </c>
      <c r="AE4444" s="4">
        <v>126</v>
      </c>
      <c r="AF4444" s="4">
        <v>0</v>
      </c>
      <c r="AG4444" s="4">
        <v>1</v>
      </c>
      <c r="AH4444" s="4">
        <v>95</v>
      </c>
      <c r="AI4444" s="4">
        <v>105</v>
      </c>
      <c r="AJ4444" s="4">
        <v>14</v>
      </c>
      <c r="AK4444" s="4">
        <v>21</v>
      </c>
      <c r="AL4444" s="4">
        <v>51</v>
      </c>
      <c r="AM4444" s="4">
        <v>54</v>
      </c>
      <c r="AN4444" s="4">
        <v>0</v>
      </c>
      <c r="AO4444" s="4">
        <v>0</v>
      </c>
      <c r="AP4444" s="4">
        <v>19</v>
      </c>
      <c r="AQ4444" s="4">
        <v>27</v>
      </c>
      <c r="AR4444" s="3" t="s">
        <v>63</v>
      </c>
      <c r="AS4444" s="3" t="s">
        <v>63</v>
      </c>
      <c r="AT4444" s="3" t="s">
        <v>62</v>
      </c>
      <c r="AU4444" s="6" t="str">
        <f>HYPERLINK("http://catalog.hathitrust.org/Record/000158912","HathiTrust Record")</f>
        <v>HathiTrust Record</v>
      </c>
      <c r="AV4444" s="6" t="str">
        <f>HYPERLINK("http://mcgill.on.worldcat.org/oclc/9576638","Catalog Record")</f>
        <v>Catalog Record</v>
      </c>
      <c r="AW4444" s="6" t="str">
        <f>HYPERLINK("http://www.worldcat.org/oclc/9576638","WorldCat Record")</f>
        <v>WorldCat Record</v>
      </c>
      <c r="AX4444" s="3" t="s">
        <v>38416</v>
      </c>
      <c r="AY4444" s="3" t="s">
        <v>38417</v>
      </c>
      <c r="AZ4444" s="3" t="s">
        <v>38418</v>
      </c>
      <c r="BA4444" s="3" t="s">
        <v>38418</v>
      </c>
      <c r="BB4444" s="3" t="s">
        <v>38419</v>
      </c>
      <c r="BC4444" s="3" t="s">
        <v>82</v>
      </c>
      <c r="BD4444" s="3" t="s">
        <v>70</v>
      </c>
      <c r="BE4444" s="3" t="s">
        <v>38420</v>
      </c>
      <c r="BF4444" s="3" t="s">
        <v>38419</v>
      </c>
      <c r="BG4444" s="3" t="s">
        <v>38421</v>
      </c>
    </row>
    <row r="4445" spans="1:59" ht="60" x14ac:dyDescent="0.25">
      <c r="A4445" s="2" t="s">
        <v>59</v>
      </c>
      <c r="B4445" s="2" t="s">
        <v>60</v>
      </c>
      <c r="C4445" s="2" t="s">
        <v>38422</v>
      </c>
      <c r="D4445" s="2" t="s">
        <v>38423</v>
      </c>
      <c r="E4445" s="2" t="s">
        <v>38424</v>
      </c>
      <c r="G4445" s="3" t="s">
        <v>63</v>
      </c>
      <c r="I4445" s="3" t="s">
        <v>63</v>
      </c>
      <c r="J4445" s="3" t="s">
        <v>63</v>
      </c>
      <c r="K4445" s="3" t="s">
        <v>64</v>
      </c>
      <c r="L4445" s="2" t="s">
        <v>38425</v>
      </c>
      <c r="M4445" s="2" t="s">
        <v>38426</v>
      </c>
      <c r="N4445" s="3" t="s">
        <v>300</v>
      </c>
      <c r="P4445" s="3" t="s">
        <v>38181</v>
      </c>
      <c r="R4445" s="3" t="s">
        <v>67</v>
      </c>
      <c r="S4445" s="4">
        <v>1</v>
      </c>
      <c r="T4445" s="4">
        <v>1</v>
      </c>
      <c r="U4445" s="5" t="s">
        <v>10087</v>
      </c>
      <c r="V4445" s="5" t="s">
        <v>10087</v>
      </c>
      <c r="W4445" s="5" t="s">
        <v>69</v>
      </c>
      <c r="X4445" s="5" t="s">
        <v>69</v>
      </c>
      <c r="Y4445" s="4">
        <v>12</v>
      </c>
      <c r="Z4445" s="4">
        <v>3</v>
      </c>
      <c r="AA4445" s="4">
        <v>7</v>
      </c>
      <c r="AB4445" s="4">
        <v>1</v>
      </c>
      <c r="AC4445" s="4">
        <v>1</v>
      </c>
      <c r="AD4445" s="4">
        <v>8</v>
      </c>
      <c r="AE4445" s="4">
        <v>27</v>
      </c>
      <c r="AF4445" s="4">
        <v>0</v>
      </c>
      <c r="AG4445" s="4">
        <v>0</v>
      </c>
      <c r="AH4445" s="4">
        <v>7</v>
      </c>
      <c r="AI4445" s="4">
        <v>25</v>
      </c>
      <c r="AJ4445" s="4">
        <v>1</v>
      </c>
      <c r="AK4445" s="4">
        <v>4</v>
      </c>
      <c r="AL4445" s="4">
        <v>7</v>
      </c>
      <c r="AM4445" s="4">
        <v>22</v>
      </c>
      <c r="AN4445" s="4">
        <v>0</v>
      </c>
      <c r="AO4445" s="4">
        <v>0</v>
      </c>
      <c r="AP4445" s="4">
        <v>1</v>
      </c>
      <c r="AQ4445" s="4">
        <v>4</v>
      </c>
      <c r="AR4445" s="3" t="s">
        <v>63</v>
      </c>
      <c r="AS4445" s="3" t="s">
        <v>63</v>
      </c>
      <c r="AT4445" s="3" t="s">
        <v>63</v>
      </c>
      <c r="AV4445" s="6" t="str">
        <f>HYPERLINK("http://mcgill.on.worldcat.org/oclc/14086439","Catalog Record")</f>
        <v>Catalog Record</v>
      </c>
      <c r="AW4445" s="6" t="str">
        <f>HYPERLINK("http://www.worldcat.org/oclc/14086439","WorldCat Record")</f>
        <v>WorldCat Record</v>
      </c>
      <c r="AX4445" s="3" t="s">
        <v>38427</v>
      </c>
      <c r="AY4445" s="3" t="s">
        <v>38428</v>
      </c>
      <c r="AZ4445" s="3" t="s">
        <v>38429</v>
      </c>
      <c r="BA4445" s="3" t="s">
        <v>38429</v>
      </c>
      <c r="BB4445" s="3" t="s">
        <v>38430</v>
      </c>
      <c r="BC4445" s="3" t="s">
        <v>82</v>
      </c>
      <c r="BD4445" s="3" t="s">
        <v>70</v>
      </c>
      <c r="BF4445" s="3" t="s">
        <v>38430</v>
      </c>
      <c r="BG4445" s="3" t="s">
        <v>38431</v>
      </c>
    </row>
    <row r="4446" spans="1:59" ht="60" x14ac:dyDescent="0.25">
      <c r="A4446" s="2" t="s">
        <v>59</v>
      </c>
      <c r="B4446" s="2" t="s">
        <v>60</v>
      </c>
      <c r="C4446" s="2" t="s">
        <v>38432</v>
      </c>
      <c r="D4446" s="2" t="s">
        <v>38433</v>
      </c>
      <c r="E4446" s="2" t="s">
        <v>38434</v>
      </c>
      <c r="G4446" s="3" t="s">
        <v>63</v>
      </c>
      <c r="I4446" s="3" t="s">
        <v>63</v>
      </c>
      <c r="J4446" s="3" t="s">
        <v>62</v>
      </c>
      <c r="K4446" s="3" t="s">
        <v>64</v>
      </c>
      <c r="L4446" s="2" t="s">
        <v>38435</v>
      </c>
      <c r="M4446" s="2" t="s">
        <v>37228</v>
      </c>
      <c r="N4446" s="3" t="s">
        <v>204</v>
      </c>
      <c r="O4446" s="2" t="s">
        <v>590</v>
      </c>
      <c r="P4446" s="3" t="s">
        <v>66</v>
      </c>
      <c r="Q4446" s="2" t="s">
        <v>37229</v>
      </c>
      <c r="R4446" s="3" t="s">
        <v>67</v>
      </c>
      <c r="S4446" s="4">
        <v>6</v>
      </c>
      <c r="T4446" s="4">
        <v>6</v>
      </c>
      <c r="U4446" s="5" t="s">
        <v>38436</v>
      </c>
      <c r="V4446" s="5" t="s">
        <v>38436</v>
      </c>
      <c r="W4446" s="5" t="s">
        <v>69</v>
      </c>
      <c r="X4446" s="5" t="s">
        <v>69</v>
      </c>
      <c r="Y4446" s="4">
        <v>232</v>
      </c>
      <c r="Z4446" s="4">
        <v>11</v>
      </c>
      <c r="AA4446" s="4">
        <v>33</v>
      </c>
      <c r="AB4446" s="4">
        <v>1</v>
      </c>
      <c r="AC4446" s="4">
        <v>2</v>
      </c>
      <c r="AD4446" s="4">
        <v>65</v>
      </c>
      <c r="AE4446" s="4">
        <v>115</v>
      </c>
      <c r="AF4446" s="4">
        <v>0</v>
      </c>
      <c r="AG4446" s="4">
        <v>0</v>
      </c>
      <c r="AH4446" s="4">
        <v>63</v>
      </c>
      <c r="AI4446" s="4">
        <v>103</v>
      </c>
      <c r="AJ4446" s="4">
        <v>5</v>
      </c>
      <c r="AK4446" s="4">
        <v>14</v>
      </c>
      <c r="AL4446" s="4">
        <v>41</v>
      </c>
      <c r="AM4446" s="4">
        <v>56</v>
      </c>
      <c r="AN4446" s="4">
        <v>0</v>
      </c>
      <c r="AO4446" s="4">
        <v>3</v>
      </c>
      <c r="AP4446" s="4">
        <v>5</v>
      </c>
      <c r="AQ4446" s="4">
        <v>19</v>
      </c>
      <c r="AR4446" s="3" t="s">
        <v>63</v>
      </c>
      <c r="AS4446" s="3" t="s">
        <v>63</v>
      </c>
      <c r="AT4446" s="3" t="s">
        <v>63</v>
      </c>
      <c r="AV4446" s="6" t="str">
        <f>HYPERLINK("http://mcgill.on.worldcat.org/oclc/36286934","Catalog Record")</f>
        <v>Catalog Record</v>
      </c>
      <c r="AW4446" s="6" t="str">
        <f>HYPERLINK("http://www.worldcat.org/oclc/36286934","WorldCat Record")</f>
        <v>WorldCat Record</v>
      </c>
      <c r="AX4446" s="3" t="s">
        <v>38437</v>
      </c>
      <c r="AY4446" s="3" t="s">
        <v>38438</v>
      </c>
      <c r="AZ4446" s="3" t="s">
        <v>38439</v>
      </c>
      <c r="BA4446" s="3" t="s">
        <v>38439</v>
      </c>
      <c r="BB4446" s="3" t="s">
        <v>38440</v>
      </c>
      <c r="BC4446" s="3" t="s">
        <v>82</v>
      </c>
      <c r="BD4446" s="3" t="s">
        <v>70</v>
      </c>
      <c r="BE4446" s="3" t="s">
        <v>38441</v>
      </c>
      <c r="BF4446" s="3" t="s">
        <v>38440</v>
      </c>
      <c r="BG4446" s="3" t="s">
        <v>38442</v>
      </c>
    </row>
    <row r="4447" spans="1:59" ht="60" x14ac:dyDescent="0.25">
      <c r="A4447" s="2" t="s">
        <v>59</v>
      </c>
      <c r="B4447" s="2" t="s">
        <v>60</v>
      </c>
      <c r="C4447" s="2" t="s">
        <v>38529</v>
      </c>
      <c r="D4447" s="2" t="s">
        <v>38530</v>
      </c>
      <c r="E4447" s="2" t="s">
        <v>38531</v>
      </c>
      <c r="F4447" s="3" t="s">
        <v>5699</v>
      </c>
      <c r="G4447" s="3" t="s">
        <v>62</v>
      </c>
      <c r="I4447" s="3" t="s">
        <v>63</v>
      </c>
      <c r="J4447" s="3" t="s">
        <v>63</v>
      </c>
      <c r="K4447" s="3" t="s">
        <v>64</v>
      </c>
      <c r="L4447" s="2" t="s">
        <v>38446</v>
      </c>
      <c r="M4447" s="2" t="s">
        <v>38532</v>
      </c>
      <c r="N4447" s="3" t="s">
        <v>1296</v>
      </c>
      <c r="P4447" s="3" t="s">
        <v>38181</v>
      </c>
      <c r="Q4447" s="2" t="s">
        <v>38533</v>
      </c>
      <c r="R4447" s="3" t="s">
        <v>67</v>
      </c>
      <c r="S4447" s="4">
        <v>6</v>
      </c>
      <c r="T4447" s="4">
        <v>18</v>
      </c>
      <c r="U4447" s="5" t="s">
        <v>38534</v>
      </c>
      <c r="V4447" s="5" t="s">
        <v>38534</v>
      </c>
      <c r="W4447" s="5" t="s">
        <v>69</v>
      </c>
      <c r="X4447" s="5" t="s">
        <v>69</v>
      </c>
      <c r="Y4447" s="4">
        <v>69</v>
      </c>
      <c r="Z4447" s="4">
        <v>6</v>
      </c>
      <c r="AA4447" s="4">
        <v>6</v>
      </c>
      <c r="AB4447" s="4">
        <v>1</v>
      </c>
      <c r="AC4447" s="4">
        <v>1</v>
      </c>
      <c r="AD4447" s="4">
        <v>42</v>
      </c>
      <c r="AE4447" s="4">
        <v>43</v>
      </c>
      <c r="AF4447" s="4">
        <v>0</v>
      </c>
      <c r="AG4447" s="4">
        <v>0</v>
      </c>
      <c r="AH4447" s="4">
        <v>40</v>
      </c>
      <c r="AI4447" s="4">
        <v>41</v>
      </c>
      <c r="AJ4447" s="4">
        <v>4</v>
      </c>
      <c r="AK4447" s="4">
        <v>4</v>
      </c>
      <c r="AL4447" s="4">
        <v>31</v>
      </c>
      <c r="AM4447" s="4">
        <v>32</v>
      </c>
      <c r="AN4447" s="4">
        <v>0</v>
      </c>
      <c r="AO4447" s="4">
        <v>0</v>
      </c>
      <c r="AP4447" s="4">
        <v>4</v>
      </c>
      <c r="AQ4447" s="4">
        <v>4</v>
      </c>
      <c r="AR4447" s="3" t="s">
        <v>63</v>
      </c>
      <c r="AS4447" s="3" t="s">
        <v>63</v>
      </c>
      <c r="AT4447" s="3" t="s">
        <v>62</v>
      </c>
      <c r="AU4447" s="6" t="str">
        <f>HYPERLINK("http://catalog.hathitrust.org/Record/000878551","HathiTrust Record")</f>
        <v>HathiTrust Record</v>
      </c>
      <c r="AV4447" s="6" t="str">
        <f>HYPERLINK("http://mcgill.on.worldcat.org/oclc/2094386","Catalog Record")</f>
        <v>Catalog Record</v>
      </c>
      <c r="AW4447" s="6" t="str">
        <f>HYPERLINK("http://www.worldcat.org/oclc/2094386","WorldCat Record")</f>
        <v>WorldCat Record</v>
      </c>
      <c r="AX4447" s="3" t="s">
        <v>38535</v>
      </c>
      <c r="AY4447" s="3" t="s">
        <v>38536</v>
      </c>
      <c r="AZ4447" s="3" t="s">
        <v>38537</v>
      </c>
      <c r="BA4447" s="3" t="s">
        <v>38537</v>
      </c>
      <c r="BB4447" s="3" t="s">
        <v>38538</v>
      </c>
      <c r="BC4447" s="3" t="s">
        <v>82</v>
      </c>
      <c r="BD4447" s="3" t="s">
        <v>70</v>
      </c>
      <c r="BF4447" s="3" t="s">
        <v>38538</v>
      </c>
      <c r="BG4447" s="3" t="s">
        <v>38539</v>
      </c>
    </row>
    <row r="4448" spans="1:59" ht="60" x14ac:dyDescent="0.25">
      <c r="A4448" s="2" t="s">
        <v>59</v>
      </c>
      <c r="B4448" s="2" t="s">
        <v>60</v>
      </c>
      <c r="C4448" s="2" t="s">
        <v>38529</v>
      </c>
      <c r="D4448" s="2" t="s">
        <v>38530</v>
      </c>
      <c r="E4448" s="2" t="s">
        <v>38531</v>
      </c>
      <c r="F4448" s="3" t="s">
        <v>5684</v>
      </c>
      <c r="G4448" s="3" t="s">
        <v>62</v>
      </c>
      <c r="I4448" s="3" t="s">
        <v>63</v>
      </c>
      <c r="J4448" s="3" t="s">
        <v>63</v>
      </c>
      <c r="K4448" s="3" t="s">
        <v>64</v>
      </c>
      <c r="L4448" s="2" t="s">
        <v>38446</v>
      </c>
      <c r="M4448" s="2" t="s">
        <v>38532</v>
      </c>
      <c r="N4448" s="3" t="s">
        <v>1296</v>
      </c>
      <c r="P4448" s="3" t="s">
        <v>38181</v>
      </c>
      <c r="Q4448" s="2" t="s">
        <v>38533</v>
      </c>
      <c r="R4448" s="3" t="s">
        <v>67</v>
      </c>
      <c r="S4448" s="4">
        <v>2</v>
      </c>
      <c r="T4448" s="4">
        <v>18</v>
      </c>
      <c r="U4448" s="5" t="s">
        <v>23198</v>
      </c>
      <c r="V4448" s="5" t="s">
        <v>38534</v>
      </c>
      <c r="W4448" s="5" t="s">
        <v>69</v>
      </c>
      <c r="X4448" s="5" t="s">
        <v>69</v>
      </c>
      <c r="Y4448" s="4">
        <v>69</v>
      </c>
      <c r="Z4448" s="4">
        <v>6</v>
      </c>
      <c r="AA4448" s="4">
        <v>6</v>
      </c>
      <c r="AB4448" s="4">
        <v>1</v>
      </c>
      <c r="AC4448" s="4">
        <v>1</v>
      </c>
      <c r="AD4448" s="4">
        <v>42</v>
      </c>
      <c r="AE4448" s="4">
        <v>43</v>
      </c>
      <c r="AF4448" s="4">
        <v>0</v>
      </c>
      <c r="AG4448" s="4">
        <v>0</v>
      </c>
      <c r="AH4448" s="4">
        <v>40</v>
      </c>
      <c r="AI4448" s="4">
        <v>41</v>
      </c>
      <c r="AJ4448" s="4">
        <v>4</v>
      </c>
      <c r="AK4448" s="4">
        <v>4</v>
      </c>
      <c r="AL4448" s="4">
        <v>31</v>
      </c>
      <c r="AM4448" s="4">
        <v>32</v>
      </c>
      <c r="AN4448" s="4">
        <v>0</v>
      </c>
      <c r="AO4448" s="4">
        <v>0</v>
      </c>
      <c r="AP4448" s="4">
        <v>4</v>
      </c>
      <c r="AQ4448" s="4">
        <v>4</v>
      </c>
      <c r="AR4448" s="3" t="s">
        <v>63</v>
      </c>
      <c r="AS4448" s="3" t="s">
        <v>63</v>
      </c>
      <c r="AT4448" s="3" t="s">
        <v>62</v>
      </c>
      <c r="AU4448" s="6" t="str">
        <f>HYPERLINK("http://catalog.hathitrust.org/Record/000878551","HathiTrust Record")</f>
        <v>HathiTrust Record</v>
      </c>
      <c r="AV4448" s="6" t="str">
        <f>HYPERLINK("http://mcgill.on.worldcat.org/oclc/2094386","Catalog Record")</f>
        <v>Catalog Record</v>
      </c>
      <c r="AW4448" s="6" t="str">
        <f>HYPERLINK("http://www.worldcat.org/oclc/2094386","WorldCat Record")</f>
        <v>WorldCat Record</v>
      </c>
      <c r="AX4448" s="3" t="s">
        <v>38535</v>
      </c>
      <c r="AY4448" s="3" t="s">
        <v>38536</v>
      </c>
      <c r="AZ4448" s="3" t="s">
        <v>38537</v>
      </c>
      <c r="BA4448" s="3" t="s">
        <v>38537</v>
      </c>
      <c r="BB4448" s="3" t="s">
        <v>38540</v>
      </c>
      <c r="BC4448" s="3" t="s">
        <v>82</v>
      </c>
      <c r="BD4448" s="3" t="s">
        <v>70</v>
      </c>
      <c r="BF4448" s="3" t="s">
        <v>38540</v>
      </c>
      <c r="BG4448" s="3" t="s">
        <v>38541</v>
      </c>
    </row>
    <row r="4449" spans="1:59" ht="60" x14ac:dyDescent="0.25">
      <c r="A4449" s="2" t="s">
        <v>59</v>
      </c>
      <c r="B4449" s="2" t="s">
        <v>60</v>
      </c>
      <c r="C4449" s="2" t="s">
        <v>38529</v>
      </c>
      <c r="D4449" s="2" t="s">
        <v>38530</v>
      </c>
      <c r="E4449" s="2" t="s">
        <v>38531</v>
      </c>
      <c r="F4449" s="3" t="s">
        <v>5705</v>
      </c>
      <c r="G4449" s="3" t="s">
        <v>62</v>
      </c>
      <c r="I4449" s="3" t="s">
        <v>63</v>
      </c>
      <c r="J4449" s="3" t="s">
        <v>63</v>
      </c>
      <c r="K4449" s="3" t="s">
        <v>64</v>
      </c>
      <c r="L4449" s="2" t="s">
        <v>38446</v>
      </c>
      <c r="M4449" s="2" t="s">
        <v>38532</v>
      </c>
      <c r="N4449" s="3" t="s">
        <v>1296</v>
      </c>
      <c r="P4449" s="3" t="s">
        <v>38181</v>
      </c>
      <c r="Q4449" s="2" t="s">
        <v>38533</v>
      </c>
      <c r="R4449" s="3" t="s">
        <v>67</v>
      </c>
      <c r="S4449" s="4">
        <v>2</v>
      </c>
      <c r="T4449" s="4">
        <v>18</v>
      </c>
      <c r="U4449" s="5" t="s">
        <v>23198</v>
      </c>
      <c r="V4449" s="5" t="s">
        <v>38534</v>
      </c>
      <c r="W4449" s="5" t="s">
        <v>69</v>
      </c>
      <c r="X4449" s="5" t="s">
        <v>69</v>
      </c>
      <c r="Y4449" s="4">
        <v>69</v>
      </c>
      <c r="Z4449" s="4">
        <v>6</v>
      </c>
      <c r="AA4449" s="4">
        <v>6</v>
      </c>
      <c r="AB4449" s="4">
        <v>1</v>
      </c>
      <c r="AC4449" s="4">
        <v>1</v>
      </c>
      <c r="AD4449" s="4">
        <v>42</v>
      </c>
      <c r="AE4449" s="4">
        <v>43</v>
      </c>
      <c r="AF4449" s="4">
        <v>0</v>
      </c>
      <c r="AG4449" s="4">
        <v>0</v>
      </c>
      <c r="AH4449" s="4">
        <v>40</v>
      </c>
      <c r="AI4449" s="4">
        <v>41</v>
      </c>
      <c r="AJ4449" s="4">
        <v>4</v>
      </c>
      <c r="AK4449" s="4">
        <v>4</v>
      </c>
      <c r="AL4449" s="4">
        <v>31</v>
      </c>
      <c r="AM4449" s="4">
        <v>32</v>
      </c>
      <c r="AN4449" s="4">
        <v>0</v>
      </c>
      <c r="AO4449" s="4">
        <v>0</v>
      </c>
      <c r="AP4449" s="4">
        <v>4</v>
      </c>
      <c r="AQ4449" s="4">
        <v>4</v>
      </c>
      <c r="AR4449" s="3" t="s">
        <v>63</v>
      </c>
      <c r="AS4449" s="3" t="s">
        <v>63</v>
      </c>
      <c r="AT4449" s="3" t="s">
        <v>62</v>
      </c>
      <c r="AU4449" s="6" t="str">
        <f>HYPERLINK("http://catalog.hathitrust.org/Record/000878551","HathiTrust Record")</f>
        <v>HathiTrust Record</v>
      </c>
      <c r="AV4449" s="6" t="str">
        <f>HYPERLINK("http://mcgill.on.worldcat.org/oclc/2094386","Catalog Record")</f>
        <v>Catalog Record</v>
      </c>
      <c r="AW4449" s="6" t="str">
        <f>HYPERLINK("http://www.worldcat.org/oclc/2094386","WorldCat Record")</f>
        <v>WorldCat Record</v>
      </c>
      <c r="AX4449" s="3" t="s">
        <v>38535</v>
      </c>
      <c r="AY4449" s="3" t="s">
        <v>38536</v>
      </c>
      <c r="AZ4449" s="3" t="s">
        <v>38537</v>
      </c>
      <c r="BA4449" s="3" t="s">
        <v>38537</v>
      </c>
      <c r="BB4449" s="3" t="s">
        <v>38542</v>
      </c>
      <c r="BC4449" s="3" t="s">
        <v>82</v>
      </c>
      <c r="BD4449" s="3" t="s">
        <v>70</v>
      </c>
      <c r="BF4449" s="3" t="s">
        <v>38542</v>
      </c>
      <c r="BG4449" s="3" t="s">
        <v>38543</v>
      </c>
    </row>
    <row r="4450" spans="1:59" ht="60" x14ac:dyDescent="0.25">
      <c r="A4450" s="2" t="s">
        <v>59</v>
      </c>
      <c r="B4450" s="2" t="s">
        <v>60</v>
      </c>
      <c r="C4450" s="2" t="s">
        <v>38529</v>
      </c>
      <c r="D4450" s="2" t="s">
        <v>38530</v>
      </c>
      <c r="E4450" s="2" t="s">
        <v>38531</v>
      </c>
      <c r="F4450" s="3" t="s">
        <v>5708</v>
      </c>
      <c r="G4450" s="3" t="s">
        <v>62</v>
      </c>
      <c r="I4450" s="3" t="s">
        <v>63</v>
      </c>
      <c r="J4450" s="3" t="s">
        <v>63</v>
      </c>
      <c r="K4450" s="3" t="s">
        <v>64</v>
      </c>
      <c r="L4450" s="2" t="s">
        <v>38446</v>
      </c>
      <c r="M4450" s="2" t="s">
        <v>38532</v>
      </c>
      <c r="N4450" s="3" t="s">
        <v>1296</v>
      </c>
      <c r="P4450" s="3" t="s">
        <v>38181</v>
      </c>
      <c r="Q4450" s="2" t="s">
        <v>38533</v>
      </c>
      <c r="R4450" s="3" t="s">
        <v>67</v>
      </c>
      <c r="S4450" s="4">
        <v>3</v>
      </c>
      <c r="T4450" s="4">
        <v>18</v>
      </c>
      <c r="U4450" s="5" t="s">
        <v>21815</v>
      </c>
      <c r="V4450" s="5" t="s">
        <v>38534</v>
      </c>
      <c r="W4450" s="5" t="s">
        <v>69</v>
      </c>
      <c r="X4450" s="5" t="s">
        <v>69</v>
      </c>
      <c r="Y4450" s="4">
        <v>69</v>
      </c>
      <c r="Z4450" s="4">
        <v>6</v>
      </c>
      <c r="AA4450" s="4">
        <v>6</v>
      </c>
      <c r="AB4450" s="4">
        <v>1</v>
      </c>
      <c r="AC4450" s="4">
        <v>1</v>
      </c>
      <c r="AD4450" s="4">
        <v>42</v>
      </c>
      <c r="AE4450" s="4">
        <v>43</v>
      </c>
      <c r="AF4450" s="4">
        <v>0</v>
      </c>
      <c r="AG4450" s="4">
        <v>0</v>
      </c>
      <c r="AH4450" s="4">
        <v>40</v>
      </c>
      <c r="AI4450" s="4">
        <v>41</v>
      </c>
      <c r="AJ4450" s="4">
        <v>4</v>
      </c>
      <c r="AK4450" s="4">
        <v>4</v>
      </c>
      <c r="AL4450" s="4">
        <v>31</v>
      </c>
      <c r="AM4450" s="4">
        <v>32</v>
      </c>
      <c r="AN4450" s="4">
        <v>0</v>
      </c>
      <c r="AO4450" s="4">
        <v>0</v>
      </c>
      <c r="AP4450" s="4">
        <v>4</v>
      </c>
      <c r="AQ4450" s="4">
        <v>4</v>
      </c>
      <c r="AR4450" s="3" t="s">
        <v>63</v>
      </c>
      <c r="AS4450" s="3" t="s">
        <v>63</v>
      </c>
      <c r="AT4450" s="3" t="s">
        <v>62</v>
      </c>
      <c r="AU4450" s="6" t="str">
        <f>HYPERLINK("http://catalog.hathitrust.org/Record/000878551","HathiTrust Record")</f>
        <v>HathiTrust Record</v>
      </c>
      <c r="AV4450" s="6" t="str">
        <f>HYPERLINK("http://mcgill.on.worldcat.org/oclc/2094386","Catalog Record")</f>
        <v>Catalog Record</v>
      </c>
      <c r="AW4450" s="6" t="str">
        <f>HYPERLINK("http://www.worldcat.org/oclc/2094386","WorldCat Record")</f>
        <v>WorldCat Record</v>
      </c>
      <c r="AX4450" s="3" t="s">
        <v>38535</v>
      </c>
      <c r="AY4450" s="3" t="s">
        <v>38536</v>
      </c>
      <c r="AZ4450" s="3" t="s">
        <v>38537</v>
      </c>
      <c r="BA4450" s="3" t="s">
        <v>38537</v>
      </c>
      <c r="BB4450" s="3" t="s">
        <v>38544</v>
      </c>
      <c r="BC4450" s="3" t="s">
        <v>82</v>
      </c>
      <c r="BD4450" s="3" t="s">
        <v>70</v>
      </c>
      <c r="BF4450" s="3" t="s">
        <v>38544</v>
      </c>
      <c r="BG4450" s="3" t="s">
        <v>38545</v>
      </c>
    </row>
    <row r="4451" spans="1:59" ht="60" x14ac:dyDescent="0.25">
      <c r="A4451" s="2" t="s">
        <v>59</v>
      </c>
      <c r="B4451" s="2" t="s">
        <v>60</v>
      </c>
      <c r="C4451" s="2" t="s">
        <v>38529</v>
      </c>
      <c r="D4451" s="2" t="s">
        <v>38530</v>
      </c>
      <c r="E4451" s="2" t="s">
        <v>38531</v>
      </c>
      <c r="F4451" s="3" t="s">
        <v>5714</v>
      </c>
      <c r="G4451" s="3" t="s">
        <v>62</v>
      </c>
      <c r="I4451" s="3" t="s">
        <v>63</v>
      </c>
      <c r="J4451" s="3" t="s">
        <v>63</v>
      </c>
      <c r="K4451" s="3" t="s">
        <v>64</v>
      </c>
      <c r="L4451" s="2" t="s">
        <v>38446</v>
      </c>
      <c r="M4451" s="2" t="s">
        <v>38532</v>
      </c>
      <c r="N4451" s="3" t="s">
        <v>1296</v>
      </c>
      <c r="P4451" s="3" t="s">
        <v>38181</v>
      </c>
      <c r="Q4451" s="2" t="s">
        <v>38533</v>
      </c>
      <c r="R4451" s="3" t="s">
        <v>67</v>
      </c>
      <c r="S4451" s="4">
        <v>0</v>
      </c>
      <c r="T4451" s="4">
        <v>18</v>
      </c>
      <c r="V4451" s="5" t="s">
        <v>38534</v>
      </c>
      <c r="W4451" s="5" t="s">
        <v>69</v>
      </c>
      <c r="X4451" s="5" t="s">
        <v>69</v>
      </c>
      <c r="Y4451" s="4">
        <v>69</v>
      </c>
      <c r="Z4451" s="4">
        <v>6</v>
      </c>
      <c r="AA4451" s="4">
        <v>6</v>
      </c>
      <c r="AB4451" s="4">
        <v>1</v>
      </c>
      <c r="AC4451" s="4">
        <v>1</v>
      </c>
      <c r="AD4451" s="4">
        <v>42</v>
      </c>
      <c r="AE4451" s="4">
        <v>43</v>
      </c>
      <c r="AF4451" s="4">
        <v>0</v>
      </c>
      <c r="AG4451" s="4">
        <v>0</v>
      </c>
      <c r="AH4451" s="4">
        <v>40</v>
      </c>
      <c r="AI4451" s="4">
        <v>41</v>
      </c>
      <c r="AJ4451" s="4">
        <v>4</v>
      </c>
      <c r="AK4451" s="4">
        <v>4</v>
      </c>
      <c r="AL4451" s="4">
        <v>31</v>
      </c>
      <c r="AM4451" s="4">
        <v>32</v>
      </c>
      <c r="AN4451" s="4">
        <v>0</v>
      </c>
      <c r="AO4451" s="4">
        <v>0</v>
      </c>
      <c r="AP4451" s="4">
        <v>4</v>
      </c>
      <c r="AQ4451" s="4">
        <v>4</v>
      </c>
      <c r="AR4451" s="3" t="s">
        <v>63</v>
      </c>
      <c r="AS4451" s="3" t="s">
        <v>63</v>
      </c>
      <c r="AT4451" s="3" t="s">
        <v>62</v>
      </c>
      <c r="AU4451" s="6" t="str">
        <f>HYPERLINK("http://catalog.hathitrust.org/Record/000878551","HathiTrust Record")</f>
        <v>HathiTrust Record</v>
      </c>
      <c r="AV4451" s="6" t="str">
        <f>HYPERLINK("http://mcgill.on.worldcat.org/oclc/2094386","Catalog Record")</f>
        <v>Catalog Record</v>
      </c>
      <c r="AW4451" s="6" t="str">
        <f>HYPERLINK("http://www.worldcat.org/oclc/2094386","WorldCat Record")</f>
        <v>WorldCat Record</v>
      </c>
      <c r="AX4451" s="3" t="s">
        <v>38535</v>
      </c>
      <c r="AY4451" s="3" t="s">
        <v>38536</v>
      </c>
      <c r="AZ4451" s="3" t="s">
        <v>38537</v>
      </c>
      <c r="BA4451" s="3" t="s">
        <v>38537</v>
      </c>
      <c r="BB4451" s="3" t="s">
        <v>38546</v>
      </c>
      <c r="BC4451" s="3" t="s">
        <v>82</v>
      </c>
      <c r="BD4451" s="3" t="s">
        <v>70</v>
      </c>
      <c r="BF4451" s="3" t="s">
        <v>38546</v>
      </c>
      <c r="BG4451" s="3" t="s">
        <v>38547</v>
      </c>
    </row>
    <row r="4452" spans="1:59" ht="60" x14ac:dyDescent="0.25">
      <c r="A4452" s="2" t="s">
        <v>59</v>
      </c>
      <c r="B4452" s="2" t="s">
        <v>60</v>
      </c>
      <c r="C4452" s="2" t="s">
        <v>38529</v>
      </c>
      <c r="D4452" s="2" t="s">
        <v>38530</v>
      </c>
      <c r="E4452" s="2" t="s">
        <v>38531</v>
      </c>
      <c r="F4452" s="3" t="s">
        <v>5696</v>
      </c>
      <c r="G4452" s="3" t="s">
        <v>62</v>
      </c>
      <c r="I4452" s="3" t="s">
        <v>63</v>
      </c>
      <c r="J4452" s="3" t="s">
        <v>63</v>
      </c>
      <c r="K4452" s="3" t="s">
        <v>64</v>
      </c>
      <c r="L4452" s="2" t="s">
        <v>38446</v>
      </c>
      <c r="M4452" s="2" t="s">
        <v>38532</v>
      </c>
      <c r="N4452" s="3" t="s">
        <v>1296</v>
      </c>
      <c r="P4452" s="3" t="s">
        <v>38181</v>
      </c>
      <c r="Q4452" s="2" t="s">
        <v>38533</v>
      </c>
      <c r="R4452" s="3" t="s">
        <v>67</v>
      </c>
      <c r="S4452" s="4">
        <v>5</v>
      </c>
      <c r="T4452" s="4">
        <v>18</v>
      </c>
      <c r="U4452" s="5" t="s">
        <v>38534</v>
      </c>
      <c r="V4452" s="5" t="s">
        <v>38534</v>
      </c>
      <c r="W4452" s="5" t="s">
        <v>69</v>
      </c>
      <c r="X4452" s="5" t="s">
        <v>69</v>
      </c>
      <c r="Y4452" s="4">
        <v>69</v>
      </c>
      <c r="Z4452" s="4">
        <v>6</v>
      </c>
      <c r="AA4452" s="4">
        <v>6</v>
      </c>
      <c r="AB4452" s="4">
        <v>1</v>
      </c>
      <c r="AC4452" s="4">
        <v>1</v>
      </c>
      <c r="AD4452" s="4">
        <v>42</v>
      </c>
      <c r="AE4452" s="4">
        <v>43</v>
      </c>
      <c r="AF4452" s="4">
        <v>0</v>
      </c>
      <c r="AG4452" s="4">
        <v>0</v>
      </c>
      <c r="AH4452" s="4">
        <v>40</v>
      </c>
      <c r="AI4452" s="4">
        <v>41</v>
      </c>
      <c r="AJ4452" s="4">
        <v>4</v>
      </c>
      <c r="AK4452" s="4">
        <v>4</v>
      </c>
      <c r="AL4452" s="4">
        <v>31</v>
      </c>
      <c r="AM4452" s="4">
        <v>32</v>
      </c>
      <c r="AN4452" s="4">
        <v>0</v>
      </c>
      <c r="AO4452" s="4">
        <v>0</v>
      </c>
      <c r="AP4452" s="4">
        <v>4</v>
      </c>
      <c r="AQ4452" s="4">
        <v>4</v>
      </c>
      <c r="AR4452" s="3" t="s">
        <v>63</v>
      </c>
      <c r="AS4452" s="3" t="s">
        <v>63</v>
      </c>
      <c r="AT4452" s="3" t="s">
        <v>62</v>
      </c>
      <c r="AU4452" s="6" t="str">
        <f>HYPERLINK("http://catalog.hathitrust.org/Record/000878551","HathiTrust Record")</f>
        <v>HathiTrust Record</v>
      </c>
      <c r="AV4452" s="6" t="str">
        <f>HYPERLINK("http://mcgill.on.worldcat.org/oclc/2094386","Catalog Record")</f>
        <v>Catalog Record</v>
      </c>
      <c r="AW4452" s="6" t="str">
        <f>HYPERLINK("http://www.worldcat.org/oclc/2094386","WorldCat Record")</f>
        <v>WorldCat Record</v>
      </c>
      <c r="AX4452" s="3" t="s">
        <v>38535</v>
      </c>
      <c r="AY4452" s="3" t="s">
        <v>38536</v>
      </c>
      <c r="AZ4452" s="3" t="s">
        <v>38537</v>
      </c>
      <c r="BA4452" s="3" t="s">
        <v>38537</v>
      </c>
      <c r="BB4452" s="3" t="s">
        <v>38548</v>
      </c>
      <c r="BC4452" s="3" t="s">
        <v>82</v>
      </c>
      <c r="BD4452" s="3" t="s">
        <v>70</v>
      </c>
      <c r="BF4452" s="3" t="s">
        <v>38548</v>
      </c>
      <c r="BG4452" s="3" t="s">
        <v>38549</v>
      </c>
    </row>
    <row r="4453" spans="1:59" ht="75" x14ac:dyDescent="0.25">
      <c r="A4453" s="2" t="s">
        <v>59</v>
      </c>
      <c r="B4453" s="2" t="s">
        <v>60</v>
      </c>
      <c r="C4453" s="2" t="s">
        <v>38443</v>
      </c>
      <c r="D4453" s="2" t="s">
        <v>38444</v>
      </c>
      <c r="E4453" s="2" t="s">
        <v>38445</v>
      </c>
      <c r="G4453" s="3" t="s">
        <v>63</v>
      </c>
      <c r="I4453" s="3" t="s">
        <v>63</v>
      </c>
      <c r="J4453" s="3" t="s">
        <v>62</v>
      </c>
      <c r="K4453" s="3" t="s">
        <v>64</v>
      </c>
      <c r="L4453" s="2" t="s">
        <v>38446</v>
      </c>
      <c r="M4453" s="2" t="s">
        <v>38447</v>
      </c>
      <c r="N4453" s="3" t="s">
        <v>76</v>
      </c>
      <c r="P4453" s="3" t="s">
        <v>66</v>
      </c>
      <c r="Q4453" s="2" t="s">
        <v>38448</v>
      </c>
      <c r="R4453" s="3" t="s">
        <v>67</v>
      </c>
      <c r="S4453" s="4">
        <v>3</v>
      </c>
      <c r="T4453" s="4">
        <v>3</v>
      </c>
      <c r="U4453" s="5" t="s">
        <v>907</v>
      </c>
      <c r="V4453" s="5" t="s">
        <v>907</v>
      </c>
      <c r="W4453" s="5" t="s">
        <v>69</v>
      </c>
      <c r="X4453" s="5" t="s">
        <v>69</v>
      </c>
      <c r="Y4453" s="4">
        <v>121</v>
      </c>
      <c r="Z4453" s="4">
        <v>13</v>
      </c>
      <c r="AA4453" s="4">
        <v>90</v>
      </c>
      <c r="AB4453" s="4">
        <v>1</v>
      </c>
      <c r="AC4453" s="4">
        <v>16</v>
      </c>
      <c r="AD4453" s="4">
        <v>48</v>
      </c>
      <c r="AE4453" s="4">
        <v>148</v>
      </c>
      <c r="AF4453" s="4">
        <v>0</v>
      </c>
      <c r="AG4453" s="4">
        <v>8</v>
      </c>
      <c r="AH4453" s="4">
        <v>46</v>
      </c>
      <c r="AI4453" s="4">
        <v>110</v>
      </c>
      <c r="AJ4453" s="4">
        <v>7</v>
      </c>
      <c r="AK4453" s="4">
        <v>25</v>
      </c>
      <c r="AL4453" s="4">
        <v>32</v>
      </c>
      <c r="AM4453" s="4">
        <v>61</v>
      </c>
      <c r="AN4453" s="4">
        <v>0</v>
      </c>
      <c r="AO4453" s="4">
        <v>0</v>
      </c>
      <c r="AP4453" s="4">
        <v>7</v>
      </c>
      <c r="AQ4453" s="4">
        <v>44</v>
      </c>
      <c r="AR4453" s="3" t="s">
        <v>63</v>
      </c>
      <c r="AS4453" s="3" t="s">
        <v>63</v>
      </c>
      <c r="AT4453" s="3" t="s">
        <v>63</v>
      </c>
      <c r="AV4453" s="6" t="str">
        <f>HYPERLINK("http://mcgill.on.worldcat.org/oclc/759174173","Catalog Record")</f>
        <v>Catalog Record</v>
      </c>
      <c r="AW4453" s="6" t="str">
        <f>HYPERLINK("http://www.worldcat.org/oclc/759174173","WorldCat Record")</f>
        <v>WorldCat Record</v>
      </c>
      <c r="AX4453" s="3" t="s">
        <v>38449</v>
      </c>
      <c r="AY4453" s="3" t="s">
        <v>38450</v>
      </c>
      <c r="AZ4453" s="3" t="s">
        <v>38451</v>
      </c>
      <c r="BA4453" s="3" t="s">
        <v>38451</v>
      </c>
      <c r="BB4453" s="3" t="s">
        <v>38452</v>
      </c>
      <c r="BC4453" s="3" t="s">
        <v>82</v>
      </c>
      <c r="BD4453" s="3" t="s">
        <v>70</v>
      </c>
      <c r="BE4453" s="3" t="s">
        <v>38453</v>
      </c>
      <c r="BF4453" s="3" t="s">
        <v>38452</v>
      </c>
      <c r="BG4453" s="3" t="s">
        <v>38454</v>
      </c>
    </row>
    <row r="4454" spans="1:59" ht="75" x14ac:dyDescent="0.25">
      <c r="A4454" s="2" t="s">
        <v>59</v>
      </c>
      <c r="B4454" s="2" t="s">
        <v>60</v>
      </c>
      <c r="C4454" s="2" t="s">
        <v>38455</v>
      </c>
      <c r="D4454" s="2" t="s">
        <v>38456</v>
      </c>
      <c r="E4454" s="2" t="s">
        <v>38457</v>
      </c>
      <c r="G4454" s="3" t="s">
        <v>63</v>
      </c>
      <c r="I4454" s="3" t="s">
        <v>63</v>
      </c>
      <c r="J4454" s="3" t="s">
        <v>63</v>
      </c>
      <c r="K4454" s="3" t="s">
        <v>64</v>
      </c>
      <c r="L4454" s="2" t="s">
        <v>38446</v>
      </c>
      <c r="M4454" s="2" t="s">
        <v>38458</v>
      </c>
      <c r="N4454" s="3" t="s">
        <v>204</v>
      </c>
      <c r="P4454" s="3" t="s">
        <v>548</v>
      </c>
      <c r="Q4454" s="2" t="s">
        <v>38459</v>
      </c>
      <c r="R4454" s="3" t="s">
        <v>67</v>
      </c>
      <c r="S4454" s="4">
        <v>5</v>
      </c>
      <c r="T4454" s="4">
        <v>5</v>
      </c>
      <c r="U4454" s="5" t="s">
        <v>38460</v>
      </c>
      <c r="V4454" s="5" t="s">
        <v>38460</v>
      </c>
      <c r="W4454" s="5" t="s">
        <v>69</v>
      </c>
      <c r="X4454" s="5" t="s">
        <v>69</v>
      </c>
      <c r="Y4454" s="4">
        <v>72</v>
      </c>
      <c r="Z4454" s="4">
        <v>5</v>
      </c>
      <c r="AA4454" s="4">
        <v>5</v>
      </c>
      <c r="AB4454" s="4">
        <v>4</v>
      </c>
      <c r="AC4454" s="4">
        <v>4</v>
      </c>
      <c r="AD4454" s="4">
        <v>3</v>
      </c>
      <c r="AE4454" s="4">
        <v>5</v>
      </c>
      <c r="AF4454" s="4">
        <v>3</v>
      </c>
      <c r="AG4454" s="4">
        <v>3</v>
      </c>
      <c r="AH4454" s="4">
        <v>1</v>
      </c>
      <c r="AI4454" s="4">
        <v>3</v>
      </c>
      <c r="AJ4454" s="4">
        <v>3</v>
      </c>
      <c r="AK4454" s="4">
        <v>3</v>
      </c>
      <c r="AL4454" s="4">
        <v>0</v>
      </c>
      <c r="AM4454" s="4">
        <v>2</v>
      </c>
      <c r="AN4454" s="4">
        <v>0</v>
      </c>
      <c r="AO4454" s="4">
        <v>0</v>
      </c>
      <c r="AP4454" s="4">
        <v>2</v>
      </c>
      <c r="AQ4454" s="4">
        <v>2</v>
      </c>
      <c r="AR4454" s="3" t="s">
        <v>63</v>
      </c>
      <c r="AS4454" s="3" t="s">
        <v>63</v>
      </c>
      <c r="AT4454" s="3" t="s">
        <v>63</v>
      </c>
      <c r="AV4454" s="6" t="str">
        <f>HYPERLINK("http://mcgill.on.worldcat.org/oclc/35100543","Catalog Record")</f>
        <v>Catalog Record</v>
      </c>
      <c r="AW4454" s="6" t="str">
        <f>HYPERLINK("http://www.worldcat.org/oclc/35100543","WorldCat Record")</f>
        <v>WorldCat Record</v>
      </c>
      <c r="AX4454" s="3" t="s">
        <v>38461</v>
      </c>
      <c r="AY4454" s="3" t="s">
        <v>38462</v>
      </c>
      <c r="AZ4454" s="3" t="s">
        <v>38463</v>
      </c>
      <c r="BA4454" s="3" t="s">
        <v>38463</v>
      </c>
      <c r="BB4454" s="3" t="s">
        <v>38464</v>
      </c>
      <c r="BC4454" s="3" t="s">
        <v>82</v>
      </c>
      <c r="BD4454" s="3" t="s">
        <v>70</v>
      </c>
      <c r="BE4454" s="3" t="s">
        <v>38465</v>
      </c>
      <c r="BF4454" s="3" t="s">
        <v>38464</v>
      </c>
      <c r="BG4454" s="3" t="s">
        <v>38466</v>
      </c>
    </row>
    <row r="4455" spans="1:59" ht="75" x14ac:dyDescent="0.25">
      <c r="A4455" s="2" t="s">
        <v>59</v>
      </c>
      <c r="B4455" s="2" t="s">
        <v>60</v>
      </c>
      <c r="C4455" s="2" t="s">
        <v>38467</v>
      </c>
      <c r="D4455" s="2" t="s">
        <v>38468</v>
      </c>
      <c r="E4455" s="2" t="s">
        <v>38469</v>
      </c>
      <c r="G4455" s="3" t="s">
        <v>63</v>
      </c>
      <c r="I4455" s="3" t="s">
        <v>62</v>
      </c>
      <c r="J4455" s="3" t="s">
        <v>63</v>
      </c>
      <c r="K4455" s="3" t="s">
        <v>64</v>
      </c>
      <c r="L4455" s="2" t="s">
        <v>38470</v>
      </c>
      <c r="M4455" s="2" t="s">
        <v>38471</v>
      </c>
      <c r="N4455" s="3" t="s">
        <v>693</v>
      </c>
      <c r="O4455" s="2" t="s">
        <v>590</v>
      </c>
      <c r="P4455" s="3" t="s">
        <v>66</v>
      </c>
      <c r="R4455" s="3" t="s">
        <v>67</v>
      </c>
      <c r="S4455" s="4">
        <v>9</v>
      </c>
      <c r="T4455" s="4">
        <v>9</v>
      </c>
      <c r="U4455" s="5" t="s">
        <v>2766</v>
      </c>
      <c r="V4455" s="5" t="s">
        <v>2766</v>
      </c>
      <c r="W4455" s="5" t="s">
        <v>69</v>
      </c>
      <c r="X4455" s="5" t="s">
        <v>69</v>
      </c>
      <c r="Y4455" s="4">
        <v>245</v>
      </c>
      <c r="Z4455" s="4">
        <v>17</v>
      </c>
      <c r="AA4455" s="4">
        <v>20</v>
      </c>
      <c r="AB4455" s="4">
        <v>2</v>
      </c>
      <c r="AC4455" s="4">
        <v>3</v>
      </c>
      <c r="AD4455" s="4">
        <v>72</v>
      </c>
      <c r="AE4455" s="4">
        <v>78</v>
      </c>
      <c r="AF4455" s="4">
        <v>0</v>
      </c>
      <c r="AG4455" s="4">
        <v>0</v>
      </c>
      <c r="AH4455" s="4">
        <v>69</v>
      </c>
      <c r="AI4455" s="4">
        <v>73</v>
      </c>
      <c r="AJ4455" s="4">
        <v>6</v>
      </c>
      <c r="AK4455" s="4">
        <v>8</v>
      </c>
      <c r="AL4455" s="4">
        <v>45</v>
      </c>
      <c r="AM4455" s="4">
        <v>46</v>
      </c>
      <c r="AN4455" s="4">
        <v>0</v>
      </c>
      <c r="AO4455" s="4">
        <v>0</v>
      </c>
      <c r="AP4455" s="4">
        <v>6</v>
      </c>
      <c r="AQ4455" s="4">
        <v>8</v>
      </c>
      <c r="AR4455" s="3" t="s">
        <v>63</v>
      </c>
      <c r="AS4455" s="3" t="s">
        <v>63</v>
      </c>
      <c r="AT4455" s="3" t="s">
        <v>63</v>
      </c>
      <c r="AV4455" s="6" t="str">
        <f>HYPERLINK("http://mcgill.on.worldcat.org/oclc/55517948","Catalog Record")</f>
        <v>Catalog Record</v>
      </c>
      <c r="AW4455" s="6" t="str">
        <f>HYPERLINK("http://www.worldcat.org/oclc/55517948","WorldCat Record")</f>
        <v>WorldCat Record</v>
      </c>
      <c r="AX4455" s="3" t="s">
        <v>38472</v>
      </c>
      <c r="AY4455" s="3" t="s">
        <v>38473</v>
      </c>
      <c r="AZ4455" s="3" t="s">
        <v>38474</v>
      </c>
      <c r="BA4455" s="3" t="s">
        <v>38474</v>
      </c>
      <c r="BB4455" s="3" t="s">
        <v>38475</v>
      </c>
      <c r="BC4455" s="3" t="s">
        <v>82</v>
      </c>
      <c r="BD4455" s="3" t="s">
        <v>70</v>
      </c>
      <c r="BE4455" s="3" t="s">
        <v>38476</v>
      </c>
      <c r="BF4455" s="3" t="s">
        <v>38475</v>
      </c>
      <c r="BG4455" s="3" t="s">
        <v>38477</v>
      </c>
    </row>
    <row r="4456" spans="1:59" ht="75" x14ac:dyDescent="0.25">
      <c r="A4456" s="2" t="s">
        <v>59</v>
      </c>
      <c r="B4456" s="2" t="s">
        <v>60</v>
      </c>
      <c r="C4456" s="2" t="s">
        <v>38478</v>
      </c>
      <c r="D4456" s="2" t="s">
        <v>38479</v>
      </c>
      <c r="E4456" s="2" t="s">
        <v>38480</v>
      </c>
      <c r="G4456" s="3" t="s">
        <v>63</v>
      </c>
      <c r="I4456" s="3" t="s">
        <v>63</v>
      </c>
      <c r="J4456" s="3" t="s">
        <v>63</v>
      </c>
      <c r="K4456" s="3" t="s">
        <v>64</v>
      </c>
      <c r="L4456" s="2" t="s">
        <v>38470</v>
      </c>
      <c r="M4456" s="2" t="s">
        <v>38481</v>
      </c>
      <c r="N4456" s="3" t="s">
        <v>401</v>
      </c>
      <c r="P4456" s="3" t="s">
        <v>548</v>
      </c>
      <c r="Q4456" s="2" t="s">
        <v>38482</v>
      </c>
      <c r="R4456" s="3" t="s">
        <v>67</v>
      </c>
      <c r="S4456" s="4">
        <v>12</v>
      </c>
      <c r="T4456" s="4">
        <v>12</v>
      </c>
      <c r="U4456" s="5" t="s">
        <v>10804</v>
      </c>
      <c r="V4456" s="5" t="s">
        <v>10804</v>
      </c>
      <c r="W4456" s="5" t="s">
        <v>69</v>
      </c>
      <c r="X4456" s="5" t="s">
        <v>69</v>
      </c>
      <c r="Y4456" s="4">
        <v>64</v>
      </c>
      <c r="Z4456" s="4">
        <v>2</v>
      </c>
      <c r="AA4456" s="4">
        <v>12</v>
      </c>
      <c r="AB4456" s="4">
        <v>1</v>
      </c>
      <c r="AC4456" s="4">
        <v>5</v>
      </c>
      <c r="AD4456" s="4">
        <v>34</v>
      </c>
      <c r="AE4456" s="4">
        <v>44</v>
      </c>
      <c r="AF4456" s="4">
        <v>0</v>
      </c>
      <c r="AG4456" s="4">
        <v>3</v>
      </c>
      <c r="AH4456" s="4">
        <v>31</v>
      </c>
      <c r="AI4456" s="4">
        <v>36</v>
      </c>
      <c r="AJ4456" s="4">
        <v>1</v>
      </c>
      <c r="AK4456" s="4">
        <v>7</v>
      </c>
      <c r="AL4456" s="4">
        <v>25</v>
      </c>
      <c r="AM4456" s="4">
        <v>26</v>
      </c>
      <c r="AN4456" s="4">
        <v>0</v>
      </c>
      <c r="AO4456" s="4">
        <v>0</v>
      </c>
      <c r="AP4456" s="4">
        <v>1</v>
      </c>
      <c r="AQ4456" s="4">
        <v>7</v>
      </c>
      <c r="AR4456" s="3" t="s">
        <v>63</v>
      </c>
      <c r="AS4456" s="3" t="s">
        <v>63</v>
      </c>
      <c r="AT4456" s="3" t="s">
        <v>62</v>
      </c>
      <c r="AU4456" s="6" t="str">
        <f>HYPERLINK("http://catalog.hathitrust.org/Record/006546019","HathiTrust Record")</f>
        <v>HathiTrust Record</v>
      </c>
      <c r="AV4456" s="6" t="str">
        <f>HYPERLINK("http://mcgill.on.worldcat.org/oclc/10014178","Catalog Record")</f>
        <v>Catalog Record</v>
      </c>
      <c r="AW4456" s="6" t="str">
        <f>HYPERLINK("http://www.worldcat.org/oclc/10014178","WorldCat Record")</f>
        <v>WorldCat Record</v>
      </c>
      <c r="AX4456" s="3" t="s">
        <v>38483</v>
      </c>
      <c r="AY4456" s="3" t="s">
        <v>38484</v>
      </c>
      <c r="AZ4456" s="3" t="s">
        <v>38485</v>
      </c>
      <c r="BA4456" s="3" t="s">
        <v>38485</v>
      </c>
      <c r="BB4456" s="3" t="s">
        <v>38486</v>
      </c>
      <c r="BC4456" s="3" t="s">
        <v>82</v>
      </c>
      <c r="BD4456" s="3" t="s">
        <v>70</v>
      </c>
      <c r="BE4456" s="3" t="s">
        <v>38487</v>
      </c>
      <c r="BF4456" s="3" t="s">
        <v>38486</v>
      </c>
      <c r="BG4456" s="3" t="s">
        <v>38488</v>
      </c>
    </row>
    <row r="4457" spans="1:59" ht="75" x14ac:dyDescent="0.25">
      <c r="A4457" s="2" t="s">
        <v>59</v>
      </c>
      <c r="B4457" s="2" t="s">
        <v>60</v>
      </c>
      <c r="C4457" s="2" t="s">
        <v>38489</v>
      </c>
      <c r="D4457" s="2" t="s">
        <v>38490</v>
      </c>
      <c r="E4457" s="2" t="s">
        <v>38491</v>
      </c>
      <c r="G4457" s="3" t="s">
        <v>63</v>
      </c>
      <c r="I4457" s="3" t="s">
        <v>63</v>
      </c>
      <c r="J4457" s="3" t="s">
        <v>62</v>
      </c>
      <c r="K4457" s="3" t="s">
        <v>64</v>
      </c>
      <c r="L4457" s="2" t="s">
        <v>38470</v>
      </c>
      <c r="M4457" s="2" t="s">
        <v>38492</v>
      </c>
      <c r="N4457" s="3" t="s">
        <v>190</v>
      </c>
      <c r="P4457" s="3" t="s">
        <v>66</v>
      </c>
      <c r="R4457" s="3" t="s">
        <v>67</v>
      </c>
      <c r="S4457" s="4">
        <v>11</v>
      </c>
      <c r="T4457" s="4">
        <v>11</v>
      </c>
      <c r="U4457" s="5" t="s">
        <v>12010</v>
      </c>
      <c r="V4457" s="5" t="s">
        <v>12010</v>
      </c>
      <c r="W4457" s="5" t="s">
        <v>69</v>
      </c>
      <c r="X4457" s="5" t="s">
        <v>69</v>
      </c>
      <c r="Y4457" s="4">
        <v>410</v>
      </c>
      <c r="Z4457" s="4">
        <v>18</v>
      </c>
      <c r="AA4457" s="4">
        <v>118</v>
      </c>
      <c r="AB4457" s="4">
        <v>2</v>
      </c>
      <c r="AC4457" s="4">
        <v>18</v>
      </c>
      <c r="AD4457" s="4">
        <v>88</v>
      </c>
      <c r="AE4457" s="4">
        <v>156</v>
      </c>
      <c r="AF4457" s="4">
        <v>0</v>
      </c>
      <c r="AG4457" s="4">
        <v>8</v>
      </c>
      <c r="AH4457" s="4">
        <v>81</v>
      </c>
      <c r="AI4457" s="4">
        <v>113</v>
      </c>
      <c r="AJ4457" s="4">
        <v>7</v>
      </c>
      <c r="AK4457" s="4">
        <v>25</v>
      </c>
      <c r="AL4457" s="4">
        <v>54</v>
      </c>
      <c r="AM4457" s="4">
        <v>63</v>
      </c>
      <c r="AN4457" s="4">
        <v>0</v>
      </c>
      <c r="AO4457" s="4">
        <v>0</v>
      </c>
      <c r="AP4457" s="4">
        <v>8</v>
      </c>
      <c r="AQ4457" s="4">
        <v>47</v>
      </c>
      <c r="AR4457" s="3" t="s">
        <v>63</v>
      </c>
      <c r="AS4457" s="3" t="s">
        <v>63</v>
      </c>
      <c r="AT4457" s="3" t="s">
        <v>63</v>
      </c>
      <c r="AV4457" s="6" t="str">
        <f>HYPERLINK("http://mcgill.on.worldcat.org/oclc/60340967","Catalog Record")</f>
        <v>Catalog Record</v>
      </c>
      <c r="AW4457" s="6" t="str">
        <f>HYPERLINK("http://www.worldcat.org/oclc/60340967","WorldCat Record")</f>
        <v>WorldCat Record</v>
      </c>
      <c r="AX4457" s="3" t="s">
        <v>38493</v>
      </c>
      <c r="AY4457" s="3" t="s">
        <v>38494</v>
      </c>
      <c r="AZ4457" s="3" t="s">
        <v>38495</v>
      </c>
      <c r="BA4457" s="3" t="s">
        <v>38495</v>
      </c>
      <c r="BB4457" s="3" t="s">
        <v>38496</v>
      </c>
      <c r="BC4457" s="3" t="s">
        <v>82</v>
      </c>
      <c r="BD4457" s="3" t="s">
        <v>70</v>
      </c>
      <c r="BE4457" s="3" t="s">
        <v>38497</v>
      </c>
      <c r="BF4457" s="3" t="s">
        <v>38496</v>
      </c>
      <c r="BG4457" s="3" t="s">
        <v>38498</v>
      </c>
    </row>
    <row r="4458" spans="1:59" ht="75" x14ac:dyDescent="0.25">
      <c r="A4458" s="2" t="s">
        <v>59</v>
      </c>
      <c r="B4458" s="2" t="s">
        <v>60</v>
      </c>
      <c r="C4458" s="2" t="s">
        <v>38499</v>
      </c>
      <c r="D4458" s="2" t="s">
        <v>38500</v>
      </c>
      <c r="E4458" s="2" t="s">
        <v>38501</v>
      </c>
      <c r="G4458" s="3" t="s">
        <v>63</v>
      </c>
      <c r="I4458" s="3" t="s">
        <v>63</v>
      </c>
      <c r="J4458" s="3" t="s">
        <v>62</v>
      </c>
      <c r="K4458" s="3" t="s">
        <v>64</v>
      </c>
      <c r="L4458" s="2" t="s">
        <v>38446</v>
      </c>
      <c r="M4458" s="2" t="s">
        <v>38502</v>
      </c>
      <c r="N4458" s="3" t="s">
        <v>65</v>
      </c>
      <c r="P4458" s="3" t="s">
        <v>548</v>
      </c>
      <c r="Q4458" s="2" t="s">
        <v>38503</v>
      </c>
      <c r="R4458" s="3" t="s">
        <v>67</v>
      </c>
      <c r="S4458" s="4">
        <v>6</v>
      </c>
      <c r="T4458" s="4">
        <v>6</v>
      </c>
      <c r="U4458" s="5" t="s">
        <v>10804</v>
      </c>
      <c r="V4458" s="5" t="s">
        <v>10804</v>
      </c>
      <c r="W4458" s="5" t="s">
        <v>69</v>
      </c>
      <c r="X4458" s="5" t="s">
        <v>69</v>
      </c>
      <c r="Y4458" s="4">
        <v>15</v>
      </c>
      <c r="Z4458" s="4">
        <v>5</v>
      </c>
      <c r="AA4458" s="4">
        <v>10</v>
      </c>
      <c r="AB4458" s="4">
        <v>1</v>
      </c>
      <c r="AC4458" s="4">
        <v>4</v>
      </c>
      <c r="AD4458" s="4">
        <v>8</v>
      </c>
      <c r="AE4458" s="4">
        <v>13</v>
      </c>
      <c r="AF4458" s="4">
        <v>0</v>
      </c>
      <c r="AG4458" s="4">
        <v>2</v>
      </c>
      <c r="AH4458" s="4">
        <v>8</v>
      </c>
      <c r="AI4458" s="4">
        <v>11</v>
      </c>
      <c r="AJ4458" s="4">
        <v>3</v>
      </c>
      <c r="AK4458" s="4">
        <v>6</v>
      </c>
      <c r="AL4458" s="4">
        <v>4</v>
      </c>
      <c r="AM4458" s="4">
        <v>5</v>
      </c>
      <c r="AN4458" s="4">
        <v>0</v>
      </c>
      <c r="AO4458" s="4">
        <v>0</v>
      </c>
      <c r="AP4458" s="4">
        <v>3</v>
      </c>
      <c r="AQ4458" s="4">
        <v>7</v>
      </c>
      <c r="AR4458" s="3" t="s">
        <v>63</v>
      </c>
      <c r="AS4458" s="3" t="s">
        <v>63</v>
      </c>
      <c r="AT4458" s="3" t="s">
        <v>63</v>
      </c>
      <c r="AV4458" s="6" t="str">
        <f>HYPERLINK("http://mcgill.on.worldcat.org/oclc/4462335","Catalog Record")</f>
        <v>Catalog Record</v>
      </c>
      <c r="AW4458" s="6" t="str">
        <f>HYPERLINK("http://www.worldcat.org/oclc/4462335","WorldCat Record")</f>
        <v>WorldCat Record</v>
      </c>
      <c r="AX4458" s="3" t="s">
        <v>38504</v>
      </c>
      <c r="AY4458" s="3" t="s">
        <v>38505</v>
      </c>
      <c r="AZ4458" s="3" t="s">
        <v>38506</v>
      </c>
      <c r="BA4458" s="3" t="s">
        <v>38506</v>
      </c>
      <c r="BB4458" s="3" t="s">
        <v>38507</v>
      </c>
      <c r="BC4458" s="3" t="s">
        <v>82</v>
      </c>
      <c r="BD4458" s="3" t="s">
        <v>70</v>
      </c>
      <c r="BE4458" s="3" t="s">
        <v>38508</v>
      </c>
      <c r="BF4458" s="3" t="s">
        <v>38507</v>
      </c>
      <c r="BG4458" s="3" t="s">
        <v>38509</v>
      </c>
    </row>
    <row r="4459" spans="1:59" ht="60" x14ac:dyDescent="0.25">
      <c r="A4459" s="2" t="s">
        <v>59</v>
      </c>
      <c r="B4459" s="2" t="s">
        <v>60</v>
      </c>
      <c r="C4459" s="2" t="s">
        <v>38510</v>
      </c>
      <c r="D4459" s="2" t="s">
        <v>38511</v>
      </c>
      <c r="E4459" s="2" t="s">
        <v>38512</v>
      </c>
      <c r="G4459" s="3" t="s">
        <v>63</v>
      </c>
      <c r="I4459" s="3" t="s">
        <v>63</v>
      </c>
      <c r="J4459" s="3" t="s">
        <v>62</v>
      </c>
      <c r="K4459" s="3" t="s">
        <v>64</v>
      </c>
      <c r="L4459" s="2" t="s">
        <v>38446</v>
      </c>
      <c r="M4459" s="2" t="s">
        <v>38513</v>
      </c>
      <c r="N4459" s="3" t="s">
        <v>401</v>
      </c>
      <c r="P4459" s="3" t="s">
        <v>66</v>
      </c>
      <c r="R4459" s="3" t="s">
        <v>67</v>
      </c>
      <c r="S4459" s="4">
        <v>21</v>
      </c>
      <c r="T4459" s="4">
        <v>21</v>
      </c>
      <c r="U4459" s="5" t="s">
        <v>20122</v>
      </c>
      <c r="V4459" s="5" t="s">
        <v>20122</v>
      </c>
      <c r="W4459" s="5" t="s">
        <v>69</v>
      </c>
      <c r="X4459" s="5" t="s">
        <v>69</v>
      </c>
      <c r="Y4459" s="4">
        <v>109</v>
      </c>
      <c r="Z4459" s="4">
        <v>15</v>
      </c>
      <c r="AA4459" s="4">
        <v>37</v>
      </c>
      <c r="AB4459" s="4">
        <v>2</v>
      </c>
      <c r="AC4459" s="4">
        <v>6</v>
      </c>
      <c r="AD4459" s="4">
        <v>51</v>
      </c>
      <c r="AE4459" s="4">
        <v>114</v>
      </c>
      <c r="AF4459" s="4">
        <v>1</v>
      </c>
      <c r="AG4459" s="4">
        <v>2</v>
      </c>
      <c r="AH4459" s="4">
        <v>44</v>
      </c>
      <c r="AI4459" s="4">
        <v>96</v>
      </c>
      <c r="AJ4459" s="4">
        <v>8</v>
      </c>
      <c r="AK4459" s="4">
        <v>18</v>
      </c>
      <c r="AL4459" s="4">
        <v>28</v>
      </c>
      <c r="AM4459" s="4">
        <v>54</v>
      </c>
      <c r="AN4459" s="4">
        <v>0</v>
      </c>
      <c r="AO4459" s="4">
        <v>0</v>
      </c>
      <c r="AP4459" s="4">
        <v>11</v>
      </c>
      <c r="AQ4459" s="4">
        <v>24</v>
      </c>
      <c r="AR4459" s="3" t="s">
        <v>63</v>
      </c>
      <c r="AS4459" s="3" t="s">
        <v>63</v>
      </c>
      <c r="AT4459" s="3" t="s">
        <v>62</v>
      </c>
      <c r="AU4459" s="6" t="str">
        <f>HYPERLINK("http://catalog.hathitrust.org/Record/001230077","HathiTrust Record")</f>
        <v>HathiTrust Record</v>
      </c>
      <c r="AV4459" s="6" t="str">
        <f>HYPERLINK("http://mcgill.on.worldcat.org/oclc/954216","Catalog Record")</f>
        <v>Catalog Record</v>
      </c>
      <c r="AW4459" s="6" t="str">
        <f>HYPERLINK("http://www.worldcat.org/oclc/954216","WorldCat Record")</f>
        <v>WorldCat Record</v>
      </c>
      <c r="AX4459" s="3" t="s">
        <v>38514</v>
      </c>
      <c r="AY4459" s="3" t="s">
        <v>38515</v>
      </c>
      <c r="AZ4459" s="3" t="s">
        <v>38516</v>
      </c>
      <c r="BA4459" s="3" t="s">
        <v>38516</v>
      </c>
      <c r="BB4459" s="3" t="s">
        <v>38517</v>
      </c>
      <c r="BC4459" s="3" t="s">
        <v>82</v>
      </c>
      <c r="BD4459" s="3" t="s">
        <v>70</v>
      </c>
      <c r="BE4459" s="3" t="s">
        <v>38518</v>
      </c>
      <c r="BF4459" s="3" t="s">
        <v>38517</v>
      </c>
      <c r="BG4459" s="3" t="s">
        <v>38519</v>
      </c>
    </row>
    <row r="4460" spans="1:59" ht="60" x14ac:dyDescent="0.25">
      <c r="A4460" s="2" t="s">
        <v>59</v>
      </c>
      <c r="B4460" s="2" t="s">
        <v>60</v>
      </c>
      <c r="C4460" s="2" t="s">
        <v>38520</v>
      </c>
      <c r="D4460" s="2" t="s">
        <v>38521</v>
      </c>
      <c r="E4460" s="2" t="s">
        <v>38522</v>
      </c>
      <c r="G4460" s="3" t="s">
        <v>63</v>
      </c>
      <c r="I4460" s="3" t="s">
        <v>63</v>
      </c>
      <c r="J4460" s="3" t="s">
        <v>63</v>
      </c>
      <c r="K4460" s="3" t="s">
        <v>64</v>
      </c>
      <c r="L4460" s="2" t="s">
        <v>38446</v>
      </c>
      <c r="M4460" s="2" t="s">
        <v>38523</v>
      </c>
      <c r="N4460" s="3" t="s">
        <v>468</v>
      </c>
      <c r="P4460" s="3" t="s">
        <v>548</v>
      </c>
      <c r="Q4460" s="2" t="s">
        <v>38482</v>
      </c>
      <c r="R4460" s="3" t="s">
        <v>67</v>
      </c>
      <c r="S4460" s="4">
        <v>4</v>
      </c>
      <c r="T4460" s="4">
        <v>4</v>
      </c>
      <c r="U4460" s="5" t="s">
        <v>10804</v>
      </c>
      <c r="V4460" s="5" t="s">
        <v>10804</v>
      </c>
      <c r="W4460" s="5" t="s">
        <v>69</v>
      </c>
      <c r="X4460" s="5" t="s">
        <v>69</v>
      </c>
      <c r="Y4460" s="4">
        <v>88</v>
      </c>
      <c r="Z4460" s="4">
        <v>7</v>
      </c>
      <c r="AA4460" s="4">
        <v>15</v>
      </c>
      <c r="AB4460" s="4">
        <v>1</v>
      </c>
      <c r="AC4460" s="4">
        <v>6</v>
      </c>
      <c r="AD4460" s="4">
        <v>46</v>
      </c>
      <c r="AE4460" s="4">
        <v>54</v>
      </c>
      <c r="AF4460" s="4">
        <v>0</v>
      </c>
      <c r="AG4460" s="4">
        <v>4</v>
      </c>
      <c r="AH4460" s="4">
        <v>42</v>
      </c>
      <c r="AI4460" s="4">
        <v>46</v>
      </c>
      <c r="AJ4460" s="4">
        <v>3</v>
      </c>
      <c r="AK4460" s="4">
        <v>8</v>
      </c>
      <c r="AL4460" s="4">
        <v>29</v>
      </c>
      <c r="AM4460" s="4">
        <v>30</v>
      </c>
      <c r="AN4460" s="4">
        <v>0</v>
      </c>
      <c r="AO4460" s="4">
        <v>0</v>
      </c>
      <c r="AP4460" s="4">
        <v>5</v>
      </c>
      <c r="AQ4460" s="4">
        <v>10</v>
      </c>
      <c r="AR4460" s="3" t="s">
        <v>63</v>
      </c>
      <c r="AS4460" s="3" t="s">
        <v>63</v>
      </c>
      <c r="AT4460" s="3" t="s">
        <v>62</v>
      </c>
      <c r="AU4460" s="6" t="str">
        <f>HYPERLINK("http://catalog.hathitrust.org/Record/000744316","HathiTrust Record")</f>
        <v>HathiTrust Record</v>
      </c>
      <c r="AV4460" s="6" t="str">
        <f>HYPERLINK("http://mcgill.on.worldcat.org/oclc/4569227","Catalog Record")</f>
        <v>Catalog Record</v>
      </c>
      <c r="AW4460" s="6" t="str">
        <f>HYPERLINK("http://www.worldcat.org/oclc/4569227","WorldCat Record")</f>
        <v>WorldCat Record</v>
      </c>
      <c r="AX4460" s="3" t="s">
        <v>38524</v>
      </c>
      <c r="AY4460" s="3" t="s">
        <v>38525</v>
      </c>
      <c r="AZ4460" s="3" t="s">
        <v>38526</v>
      </c>
      <c r="BA4460" s="3" t="s">
        <v>38526</v>
      </c>
      <c r="BB4460" s="3" t="s">
        <v>38527</v>
      </c>
      <c r="BC4460" s="3" t="s">
        <v>82</v>
      </c>
      <c r="BD4460" s="3" t="s">
        <v>70</v>
      </c>
      <c r="BF4460" s="3" t="s">
        <v>38527</v>
      </c>
      <c r="BG4460" s="3" t="s">
        <v>38528</v>
      </c>
    </row>
    <row r="4461" spans="1:59" ht="75" x14ac:dyDescent="0.25">
      <c r="A4461" s="2" t="s">
        <v>59</v>
      </c>
      <c r="B4461" s="2" t="s">
        <v>60</v>
      </c>
      <c r="C4461" s="2" t="s">
        <v>38550</v>
      </c>
      <c r="D4461" s="2" t="s">
        <v>38551</v>
      </c>
      <c r="E4461" s="2" t="s">
        <v>38552</v>
      </c>
      <c r="G4461" s="3" t="s">
        <v>63</v>
      </c>
      <c r="I4461" s="3" t="s">
        <v>63</v>
      </c>
      <c r="J4461" s="3" t="s">
        <v>63</v>
      </c>
      <c r="K4461" s="3" t="s">
        <v>64</v>
      </c>
      <c r="L4461" s="2" t="s">
        <v>38446</v>
      </c>
      <c r="M4461" s="2" t="s">
        <v>38553</v>
      </c>
      <c r="N4461" s="3" t="s">
        <v>468</v>
      </c>
      <c r="P4461" s="3" t="s">
        <v>548</v>
      </c>
      <c r="Q4461" s="2" t="s">
        <v>38554</v>
      </c>
      <c r="R4461" s="3" t="s">
        <v>67</v>
      </c>
      <c r="S4461" s="4">
        <v>4</v>
      </c>
      <c r="T4461" s="4">
        <v>4</v>
      </c>
      <c r="U4461" s="5" t="s">
        <v>38555</v>
      </c>
      <c r="V4461" s="5" t="s">
        <v>38555</v>
      </c>
      <c r="W4461" s="5" t="s">
        <v>69</v>
      </c>
      <c r="X4461" s="5" t="s">
        <v>69</v>
      </c>
      <c r="Y4461" s="4">
        <v>9</v>
      </c>
      <c r="Z4461" s="4">
        <v>2</v>
      </c>
      <c r="AA4461" s="4">
        <v>5</v>
      </c>
      <c r="AB4461" s="4">
        <v>1</v>
      </c>
      <c r="AC4461" s="4">
        <v>4</v>
      </c>
      <c r="AD4461" s="4">
        <v>6</v>
      </c>
      <c r="AE4461" s="4">
        <v>9</v>
      </c>
      <c r="AF4461" s="4">
        <v>0</v>
      </c>
      <c r="AG4461" s="4">
        <v>3</v>
      </c>
      <c r="AH4461" s="4">
        <v>5</v>
      </c>
      <c r="AI4461" s="4">
        <v>6</v>
      </c>
      <c r="AJ4461" s="4">
        <v>0</v>
      </c>
      <c r="AK4461" s="4">
        <v>3</v>
      </c>
      <c r="AL4461" s="4">
        <v>4</v>
      </c>
      <c r="AM4461" s="4">
        <v>4</v>
      </c>
      <c r="AN4461" s="4">
        <v>0</v>
      </c>
      <c r="AO4461" s="4">
        <v>0</v>
      </c>
      <c r="AP4461" s="4">
        <v>1</v>
      </c>
      <c r="AQ4461" s="4">
        <v>3</v>
      </c>
      <c r="AR4461" s="3" t="s">
        <v>63</v>
      </c>
      <c r="AS4461" s="3" t="s">
        <v>63</v>
      </c>
      <c r="AT4461" s="3" t="s">
        <v>63</v>
      </c>
      <c r="AV4461" s="6" t="str">
        <f>HYPERLINK("http://mcgill.on.worldcat.org/oclc/2796334","Catalog Record")</f>
        <v>Catalog Record</v>
      </c>
      <c r="AW4461" s="6" t="str">
        <f>HYPERLINK("http://www.worldcat.org/oclc/2796334","WorldCat Record")</f>
        <v>WorldCat Record</v>
      </c>
      <c r="AX4461" s="3" t="s">
        <v>38556</v>
      </c>
      <c r="AY4461" s="3" t="s">
        <v>38557</v>
      </c>
      <c r="AZ4461" s="3" t="s">
        <v>38558</v>
      </c>
      <c r="BA4461" s="3" t="s">
        <v>38558</v>
      </c>
      <c r="BB4461" s="3" t="s">
        <v>38559</v>
      </c>
      <c r="BC4461" s="3" t="s">
        <v>82</v>
      </c>
      <c r="BD4461" s="3" t="s">
        <v>70</v>
      </c>
      <c r="BF4461" s="3" t="s">
        <v>38559</v>
      </c>
      <c r="BG4461" s="3" t="s">
        <v>38560</v>
      </c>
    </row>
    <row r="4462" spans="1:59" ht="75" x14ac:dyDescent="0.25">
      <c r="A4462" s="2" t="s">
        <v>59</v>
      </c>
      <c r="B4462" s="2" t="s">
        <v>60</v>
      </c>
      <c r="C4462" s="2" t="s">
        <v>38561</v>
      </c>
      <c r="D4462" s="2" t="s">
        <v>38562</v>
      </c>
      <c r="E4462" s="2" t="s">
        <v>38563</v>
      </c>
      <c r="G4462" s="3" t="s">
        <v>63</v>
      </c>
      <c r="I4462" s="3" t="s">
        <v>63</v>
      </c>
      <c r="J4462" s="3" t="s">
        <v>63</v>
      </c>
      <c r="K4462" s="3" t="s">
        <v>64</v>
      </c>
      <c r="L4462" s="2" t="s">
        <v>38446</v>
      </c>
      <c r="M4462" s="2" t="s">
        <v>38564</v>
      </c>
      <c r="N4462" s="3" t="s">
        <v>693</v>
      </c>
      <c r="P4462" s="3" t="s">
        <v>66</v>
      </c>
      <c r="R4462" s="3" t="s">
        <v>67</v>
      </c>
      <c r="S4462" s="4">
        <v>5</v>
      </c>
      <c r="T4462" s="4">
        <v>5</v>
      </c>
      <c r="U4462" s="5" t="s">
        <v>1298</v>
      </c>
      <c r="V4462" s="5" t="s">
        <v>1298</v>
      </c>
      <c r="W4462" s="5" t="s">
        <v>69</v>
      </c>
      <c r="X4462" s="5" t="s">
        <v>69</v>
      </c>
      <c r="Y4462" s="4">
        <v>224</v>
      </c>
      <c r="Z4462" s="4">
        <v>16</v>
      </c>
      <c r="AA4462" s="4">
        <v>105</v>
      </c>
      <c r="AB4462" s="4">
        <v>1</v>
      </c>
      <c r="AC4462" s="4">
        <v>17</v>
      </c>
      <c r="AD4462" s="4">
        <v>87</v>
      </c>
      <c r="AE4462" s="4">
        <v>135</v>
      </c>
      <c r="AF4462" s="4">
        <v>0</v>
      </c>
      <c r="AG4462" s="4">
        <v>8</v>
      </c>
      <c r="AH4462" s="4">
        <v>79</v>
      </c>
      <c r="AI4462" s="4">
        <v>96</v>
      </c>
      <c r="AJ4462" s="4">
        <v>9</v>
      </c>
      <c r="AK4462" s="4">
        <v>21</v>
      </c>
      <c r="AL4462" s="4">
        <v>53</v>
      </c>
      <c r="AM4462" s="4">
        <v>55</v>
      </c>
      <c r="AN4462" s="4">
        <v>0</v>
      </c>
      <c r="AO4462" s="4">
        <v>0</v>
      </c>
      <c r="AP4462" s="4">
        <v>9</v>
      </c>
      <c r="AQ4462" s="4">
        <v>43</v>
      </c>
      <c r="AR4462" s="3" t="s">
        <v>63</v>
      </c>
      <c r="AS4462" s="3" t="s">
        <v>63</v>
      </c>
      <c r="AT4462" s="3" t="s">
        <v>63</v>
      </c>
      <c r="AV4462" s="6" t="str">
        <f>HYPERLINK("http://mcgill.on.worldcat.org/oclc/55738148","Catalog Record")</f>
        <v>Catalog Record</v>
      </c>
      <c r="AW4462" s="6" t="str">
        <f>HYPERLINK("http://www.worldcat.org/oclc/55738148","WorldCat Record")</f>
        <v>WorldCat Record</v>
      </c>
      <c r="AX4462" s="3" t="s">
        <v>38565</v>
      </c>
      <c r="AY4462" s="3" t="s">
        <v>38566</v>
      </c>
      <c r="AZ4462" s="3" t="s">
        <v>38567</v>
      </c>
      <c r="BA4462" s="3" t="s">
        <v>38567</v>
      </c>
      <c r="BB4462" s="3" t="s">
        <v>38568</v>
      </c>
      <c r="BC4462" s="3" t="s">
        <v>82</v>
      </c>
      <c r="BD4462" s="3" t="s">
        <v>70</v>
      </c>
      <c r="BE4462" s="3" t="s">
        <v>38569</v>
      </c>
      <c r="BF4462" s="3" t="s">
        <v>38568</v>
      </c>
      <c r="BG4462" s="3" t="s">
        <v>38570</v>
      </c>
    </row>
    <row r="4463" spans="1:59" ht="75" x14ac:dyDescent="0.25">
      <c r="A4463" s="2" t="s">
        <v>59</v>
      </c>
      <c r="B4463" s="2" t="s">
        <v>60</v>
      </c>
      <c r="C4463" s="2" t="s">
        <v>38571</v>
      </c>
      <c r="D4463" s="2" t="s">
        <v>38572</v>
      </c>
      <c r="E4463" s="2" t="s">
        <v>38573</v>
      </c>
      <c r="G4463" s="3" t="s">
        <v>63</v>
      </c>
      <c r="I4463" s="3" t="s">
        <v>63</v>
      </c>
      <c r="J4463" s="3" t="s">
        <v>63</v>
      </c>
      <c r="K4463" s="3" t="s">
        <v>64</v>
      </c>
      <c r="L4463" s="2" t="s">
        <v>38574</v>
      </c>
      <c r="M4463" s="2" t="s">
        <v>38575</v>
      </c>
      <c r="N4463" s="3" t="s">
        <v>176</v>
      </c>
      <c r="P4463" s="3" t="s">
        <v>66</v>
      </c>
      <c r="Q4463" s="2" t="s">
        <v>38576</v>
      </c>
      <c r="R4463" s="3" t="s">
        <v>67</v>
      </c>
      <c r="S4463" s="4">
        <v>3</v>
      </c>
      <c r="T4463" s="4">
        <v>3</v>
      </c>
      <c r="U4463" s="5" t="s">
        <v>38577</v>
      </c>
      <c r="V4463" s="5" t="s">
        <v>38577</v>
      </c>
      <c r="W4463" s="5" t="s">
        <v>69</v>
      </c>
      <c r="X4463" s="5" t="s">
        <v>69</v>
      </c>
      <c r="Y4463" s="4">
        <v>153</v>
      </c>
      <c r="Z4463" s="4">
        <v>10</v>
      </c>
      <c r="AA4463" s="4">
        <v>11</v>
      </c>
      <c r="AB4463" s="4">
        <v>1</v>
      </c>
      <c r="AC4463" s="4">
        <v>2</v>
      </c>
      <c r="AD4463" s="4">
        <v>84</v>
      </c>
      <c r="AE4463" s="4">
        <v>85</v>
      </c>
      <c r="AF4463" s="4">
        <v>0</v>
      </c>
      <c r="AG4463" s="4">
        <v>1</v>
      </c>
      <c r="AH4463" s="4">
        <v>80</v>
      </c>
      <c r="AI4463" s="4">
        <v>81</v>
      </c>
      <c r="AJ4463" s="4">
        <v>7</v>
      </c>
      <c r="AK4463" s="4">
        <v>8</v>
      </c>
      <c r="AL4463" s="4">
        <v>50</v>
      </c>
      <c r="AM4463" s="4">
        <v>50</v>
      </c>
      <c r="AN4463" s="4">
        <v>0</v>
      </c>
      <c r="AO4463" s="4">
        <v>0</v>
      </c>
      <c r="AP4463" s="4">
        <v>7</v>
      </c>
      <c r="AQ4463" s="4">
        <v>8</v>
      </c>
      <c r="AR4463" s="3" t="s">
        <v>63</v>
      </c>
      <c r="AS4463" s="3" t="s">
        <v>63</v>
      </c>
      <c r="AT4463" s="3" t="s">
        <v>62</v>
      </c>
      <c r="AU4463" s="6" t="str">
        <f>HYPERLINK("http://catalog.hathitrust.org/Record/004017391","HathiTrust Record")</f>
        <v>HathiTrust Record</v>
      </c>
      <c r="AV4463" s="6" t="str">
        <f>HYPERLINK("http://mcgill.on.worldcat.org/oclc/38144493","Catalog Record")</f>
        <v>Catalog Record</v>
      </c>
      <c r="AW4463" s="6" t="str">
        <f>HYPERLINK("http://www.worldcat.org/oclc/38144493","WorldCat Record")</f>
        <v>WorldCat Record</v>
      </c>
      <c r="AX4463" s="3" t="s">
        <v>38578</v>
      </c>
      <c r="AY4463" s="3" t="s">
        <v>38579</v>
      </c>
      <c r="AZ4463" s="3" t="s">
        <v>38580</v>
      </c>
      <c r="BA4463" s="3" t="s">
        <v>38580</v>
      </c>
      <c r="BB4463" s="3" t="s">
        <v>38581</v>
      </c>
      <c r="BC4463" s="3" t="s">
        <v>82</v>
      </c>
      <c r="BD4463" s="3" t="s">
        <v>70</v>
      </c>
      <c r="BE4463" s="3" t="s">
        <v>38582</v>
      </c>
      <c r="BF4463" s="3" t="s">
        <v>38581</v>
      </c>
      <c r="BG4463" s="3" t="s">
        <v>38583</v>
      </c>
    </row>
    <row r="4464" spans="1:59" ht="75" x14ac:dyDescent="0.25">
      <c r="A4464" s="2" t="s">
        <v>59</v>
      </c>
      <c r="B4464" s="2" t="s">
        <v>60</v>
      </c>
      <c r="C4464" s="2" t="s">
        <v>38584</v>
      </c>
      <c r="D4464" s="2" t="s">
        <v>38585</v>
      </c>
      <c r="E4464" s="2" t="s">
        <v>38586</v>
      </c>
      <c r="G4464" s="3" t="s">
        <v>63</v>
      </c>
      <c r="I4464" s="3" t="s">
        <v>63</v>
      </c>
      <c r="J4464" s="3" t="s">
        <v>62</v>
      </c>
      <c r="K4464" s="3" t="s">
        <v>64</v>
      </c>
      <c r="L4464" s="2" t="s">
        <v>38470</v>
      </c>
      <c r="M4464" s="2" t="s">
        <v>38587</v>
      </c>
      <c r="N4464" s="3" t="s">
        <v>1343</v>
      </c>
      <c r="P4464" s="3" t="s">
        <v>66</v>
      </c>
      <c r="R4464" s="3" t="s">
        <v>67</v>
      </c>
      <c r="S4464" s="4">
        <v>33</v>
      </c>
      <c r="T4464" s="4">
        <v>33</v>
      </c>
      <c r="U4464" s="5" t="s">
        <v>18100</v>
      </c>
      <c r="V4464" s="5" t="s">
        <v>18100</v>
      </c>
      <c r="W4464" s="5" t="s">
        <v>69</v>
      </c>
      <c r="X4464" s="5" t="s">
        <v>69</v>
      </c>
      <c r="Y4464" s="4">
        <v>488</v>
      </c>
      <c r="Z4464" s="4">
        <v>26</v>
      </c>
      <c r="AA4464" s="4">
        <v>41</v>
      </c>
      <c r="AB4464" s="4">
        <v>3</v>
      </c>
      <c r="AC4464" s="4">
        <v>4</v>
      </c>
      <c r="AD4464" s="4">
        <v>102</v>
      </c>
      <c r="AE4464" s="4">
        <v>130</v>
      </c>
      <c r="AF4464" s="4">
        <v>1</v>
      </c>
      <c r="AG4464" s="4">
        <v>1</v>
      </c>
      <c r="AH4464" s="4">
        <v>91</v>
      </c>
      <c r="AI4464" s="4">
        <v>109</v>
      </c>
      <c r="AJ4464" s="4">
        <v>9</v>
      </c>
      <c r="AK4464" s="4">
        <v>18</v>
      </c>
      <c r="AL4464" s="4">
        <v>54</v>
      </c>
      <c r="AM4464" s="4">
        <v>61</v>
      </c>
      <c r="AN4464" s="4">
        <v>0</v>
      </c>
      <c r="AO4464" s="4">
        <v>0</v>
      </c>
      <c r="AP4464" s="4">
        <v>11</v>
      </c>
      <c r="AQ4464" s="4">
        <v>24</v>
      </c>
      <c r="AR4464" s="3" t="s">
        <v>63</v>
      </c>
      <c r="AS4464" s="3" t="s">
        <v>63</v>
      </c>
      <c r="AT4464" s="3" t="s">
        <v>63</v>
      </c>
      <c r="AV4464" s="6" t="str">
        <f>HYPERLINK("http://mcgill.on.worldcat.org/oclc/43114995","Catalog Record")</f>
        <v>Catalog Record</v>
      </c>
      <c r="AW4464" s="6" t="str">
        <f>HYPERLINK("http://www.worldcat.org/oclc/43114995","WorldCat Record")</f>
        <v>WorldCat Record</v>
      </c>
      <c r="AX4464" s="3" t="s">
        <v>38588</v>
      </c>
      <c r="AY4464" s="3" t="s">
        <v>38589</v>
      </c>
      <c r="AZ4464" s="3" t="s">
        <v>38590</v>
      </c>
      <c r="BA4464" s="3" t="s">
        <v>38590</v>
      </c>
      <c r="BB4464" s="3" t="s">
        <v>38591</v>
      </c>
      <c r="BC4464" s="3" t="s">
        <v>82</v>
      </c>
      <c r="BD4464" s="3" t="s">
        <v>70</v>
      </c>
      <c r="BE4464" s="3" t="s">
        <v>38592</v>
      </c>
      <c r="BF4464" s="3" t="s">
        <v>38591</v>
      </c>
      <c r="BG4464" s="3" t="s">
        <v>38593</v>
      </c>
    </row>
    <row r="4465" spans="1:59" ht="75" x14ac:dyDescent="0.25">
      <c r="A4465" s="2" t="s">
        <v>59</v>
      </c>
      <c r="B4465" s="2" t="s">
        <v>60</v>
      </c>
      <c r="C4465" s="2" t="s">
        <v>38594</v>
      </c>
      <c r="D4465" s="2" t="s">
        <v>38595</v>
      </c>
      <c r="E4465" s="2" t="s">
        <v>38596</v>
      </c>
      <c r="G4465" s="3" t="s">
        <v>63</v>
      </c>
      <c r="I4465" s="3" t="s">
        <v>63</v>
      </c>
      <c r="J4465" s="3" t="s">
        <v>63</v>
      </c>
      <c r="K4465" s="3" t="s">
        <v>64</v>
      </c>
      <c r="L4465" s="2" t="s">
        <v>38597</v>
      </c>
      <c r="M4465" s="2" t="s">
        <v>38598</v>
      </c>
      <c r="N4465" s="3" t="s">
        <v>65</v>
      </c>
      <c r="P4465" s="3" t="s">
        <v>548</v>
      </c>
      <c r="Q4465" s="2" t="s">
        <v>38599</v>
      </c>
      <c r="R4465" s="3" t="s">
        <v>67</v>
      </c>
      <c r="S4465" s="4">
        <v>3</v>
      </c>
      <c r="T4465" s="4">
        <v>3</v>
      </c>
      <c r="U4465" s="5" t="s">
        <v>2783</v>
      </c>
      <c r="V4465" s="5" t="s">
        <v>2783</v>
      </c>
      <c r="W4465" s="5" t="s">
        <v>69</v>
      </c>
      <c r="X4465" s="5" t="s">
        <v>69</v>
      </c>
      <c r="Y4465" s="4">
        <v>56</v>
      </c>
      <c r="Z4465" s="4">
        <v>8</v>
      </c>
      <c r="AA4465" s="4">
        <v>15</v>
      </c>
      <c r="AB4465" s="4">
        <v>1</v>
      </c>
      <c r="AC4465" s="4">
        <v>5</v>
      </c>
      <c r="AD4465" s="4">
        <v>19</v>
      </c>
      <c r="AE4465" s="4">
        <v>24</v>
      </c>
      <c r="AF4465" s="4">
        <v>0</v>
      </c>
      <c r="AG4465" s="4">
        <v>3</v>
      </c>
      <c r="AH4465" s="4">
        <v>17</v>
      </c>
      <c r="AI4465" s="4">
        <v>19</v>
      </c>
      <c r="AJ4465" s="4">
        <v>5</v>
      </c>
      <c r="AK4465" s="4">
        <v>9</v>
      </c>
      <c r="AL4465" s="4">
        <v>11</v>
      </c>
      <c r="AM4465" s="4">
        <v>11</v>
      </c>
      <c r="AN4465" s="4">
        <v>0</v>
      </c>
      <c r="AO4465" s="4">
        <v>0</v>
      </c>
      <c r="AP4465" s="4">
        <v>5</v>
      </c>
      <c r="AQ4465" s="4">
        <v>9</v>
      </c>
      <c r="AR4465" s="3" t="s">
        <v>63</v>
      </c>
      <c r="AS4465" s="3" t="s">
        <v>63</v>
      </c>
      <c r="AT4465" s="3" t="s">
        <v>63</v>
      </c>
      <c r="AV4465" s="6" t="str">
        <f>HYPERLINK("http://mcgill.on.worldcat.org/oclc/5124666","Catalog Record")</f>
        <v>Catalog Record</v>
      </c>
      <c r="AW4465" s="6" t="str">
        <f>HYPERLINK("http://www.worldcat.org/oclc/5124666","WorldCat Record")</f>
        <v>WorldCat Record</v>
      </c>
      <c r="AX4465" s="3" t="s">
        <v>38600</v>
      </c>
      <c r="AY4465" s="3" t="s">
        <v>38601</v>
      </c>
      <c r="AZ4465" s="3" t="s">
        <v>38602</v>
      </c>
      <c r="BA4465" s="3" t="s">
        <v>38602</v>
      </c>
      <c r="BB4465" s="3" t="s">
        <v>38603</v>
      </c>
      <c r="BC4465" s="3" t="s">
        <v>82</v>
      </c>
      <c r="BD4465" s="3" t="s">
        <v>70</v>
      </c>
      <c r="BF4465" s="3" t="s">
        <v>38603</v>
      </c>
      <c r="BG4465" s="3" t="s">
        <v>38604</v>
      </c>
    </row>
    <row r="4466" spans="1:59" ht="75" x14ac:dyDescent="0.25">
      <c r="A4466" s="2" t="s">
        <v>59</v>
      </c>
      <c r="B4466" s="2" t="s">
        <v>60</v>
      </c>
      <c r="C4466" s="2" t="s">
        <v>38605</v>
      </c>
      <c r="D4466" s="2" t="s">
        <v>38606</v>
      </c>
      <c r="E4466" s="2" t="s">
        <v>38607</v>
      </c>
      <c r="G4466" s="3" t="s">
        <v>63</v>
      </c>
      <c r="I4466" s="3" t="s">
        <v>63</v>
      </c>
      <c r="J4466" s="3" t="s">
        <v>63</v>
      </c>
      <c r="K4466" s="3" t="s">
        <v>64</v>
      </c>
      <c r="M4466" s="2" t="s">
        <v>38608</v>
      </c>
      <c r="N4466" s="3" t="s">
        <v>176</v>
      </c>
      <c r="P4466" s="3" t="s">
        <v>66</v>
      </c>
      <c r="R4466" s="3" t="s">
        <v>67</v>
      </c>
      <c r="S4466" s="4">
        <v>5</v>
      </c>
      <c r="T4466" s="4">
        <v>5</v>
      </c>
      <c r="U4466" s="5" t="s">
        <v>18291</v>
      </c>
      <c r="V4466" s="5" t="s">
        <v>18291</v>
      </c>
      <c r="W4466" s="5" t="s">
        <v>69</v>
      </c>
      <c r="X4466" s="5" t="s">
        <v>69</v>
      </c>
      <c r="Y4466" s="4">
        <v>193</v>
      </c>
      <c r="Z4466" s="4">
        <v>12</v>
      </c>
      <c r="AA4466" s="4">
        <v>12</v>
      </c>
      <c r="AB4466" s="4">
        <v>1</v>
      </c>
      <c r="AC4466" s="4">
        <v>1</v>
      </c>
      <c r="AD4466" s="4">
        <v>88</v>
      </c>
      <c r="AE4466" s="4">
        <v>88</v>
      </c>
      <c r="AF4466" s="4">
        <v>0</v>
      </c>
      <c r="AG4466" s="4">
        <v>0</v>
      </c>
      <c r="AH4466" s="4">
        <v>86</v>
      </c>
      <c r="AI4466" s="4">
        <v>86</v>
      </c>
      <c r="AJ4466" s="4">
        <v>8</v>
      </c>
      <c r="AK4466" s="4">
        <v>8</v>
      </c>
      <c r="AL4466" s="4">
        <v>51</v>
      </c>
      <c r="AM4466" s="4">
        <v>51</v>
      </c>
      <c r="AN4466" s="4">
        <v>0</v>
      </c>
      <c r="AO4466" s="4">
        <v>0</v>
      </c>
      <c r="AP4466" s="4">
        <v>8</v>
      </c>
      <c r="AQ4466" s="4">
        <v>8</v>
      </c>
      <c r="AR4466" s="3" t="s">
        <v>63</v>
      </c>
      <c r="AS4466" s="3" t="s">
        <v>63</v>
      </c>
      <c r="AT4466" s="3" t="s">
        <v>63</v>
      </c>
      <c r="AV4466" s="6" t="str">
        <f>HYPERLINK("http://mcgill.on.worldcat.org/oclc/36942425","Catalog Record")</f>
        <v>Catalog Record</v>
      </c>
      <c r="AW4466" s="6" t="str">
        <f>HYPERLINK("http://www.worldcat.org/oclc/36942425","WorldCat Record")</f>
        <v>WorldCat Record</v>
      </c>
      <c r="AX4466" s="3" t="s">
        <v>38609</v>
      </c>
      <c r="AY4466" s="3" t="s">
        <v>38610</v>
      </c>
      <c r="AZ4466" s="3" t="s">
        <v>38611</v>
      </c>
      <c r="BA4466" s="3" t="s">
        <v>38611</v>
      </c>
      <c r="BB4466" s="3" t="s">
        <v>38612</v>
      </c>
      <c r="BC4466" s="3" t="s">
        <v>82</v>
      </c>
      <c r="BD4466" s="3" t="s">
        <v>70</v>
      </c>
      <c r="BE4466" s="3" t="s">
        <v>38613</v>
      </c>
      <c r="BF4466" s="3" t="s">
        <v>38612</v>
      </c>
      <c r="BG4466" s="3" t="s">
        <v>38614</v>
      </c>
    </row>
    <row r="4467" spans="1:59" ht="75" x14ac:dyDescent="0.25">
      <c r="A4467" s="2" t="s">
        <v>59</v>
      </c>
      <c r="B4467" s="2" t="s">
        <v>60</v>
      </c>
      <c r="C4467" s="2" t="s">
        <v>38615</v>
      </c>
      <c r="D4467" s="2" t="s">
        <v>38616</v>
      </c>
      <c r="E4467" s="2" t="s">
        <v>38617</v>
      </c>
      <c r="G4467" s="3" t="s">
        <v>63</v>
      </c>
      <c r="I4467" s="3" t="s">
        <v>63</v>
      </c>
      <c r="J4467" s="3" t="s">
        <v>63</v>
      </c>
      <c r="K4467" s="3" t="s">
        <v>64</v>
      </c>
      <c r="L4467" s="2" t="s">
        <v>38618</v>
      </c>
      <c r="M4467" s="2" t="s">
        <v>38619</v>
      </c>
      <c r="N4467" s="3" t="s">
        <v>204</v>
      </c>
      <c r="P4467" s="3" t="s">
        <v>38181</v>
      </c>
      <c r="Q4467" s="2" t="s">
        <v>38620</v>
      </c>
      <c r="R4467" s="3" t="s">
        <v>67</v>
      </c>
      <c r="S4467" s="4">
        <v>5</v>
      </c>
      <c r="T4467" s="4">
        <v>5</v>
      </c>
      <c r="U4467" s="5" t="s">
        <v>10804</v>
      </c>
      <c r="V4467" s="5" t="s">
        <v>10804</v>
      </c>
      <c r="W4467" s="5" t="s">
        <v>69</v>
      </c>
      <c r="X4467" s="5" t="s">
        <v>69</v>
      </c>
      <c r="Y4467" s="4">
        <v>48</v>
      </c>
      <c r="Z4467" s="4">
        <v>3</v>
      </c>
      <c r="AA4467" s="4">
        <v>5</v>
      </c>
      <c r="AB4467" s="4">
        <v>1</v>
      </c>
      <c r="AC4467" s="4">
        <v>1</v>
      </c>
      <c r="AD4467" s="4">
        <v>27</v>
      </c>
      <c r="AE4467" s="4">
        <v>29</v>
      </c>
      <c r="AF4467" s="4">
        <v>0</v>
      </c>
      <c r="AG4467" s="4">
        <v>0</v>
      </c>
      <c r="AH4467" s="4">
        <v>26</v>
      </c>
      <c r="AI4467" s="4">
        <v>28</v>
      </c>
      <c r="AJ4467" s="4">
        <v>2</v>
      </c>
      <c r="AK4467" s="4">
        <v>3</v>
      </c>
      <c r="AL4467" s="4">
        <v>20</v>
      </c>
      <c r="AM4467" s="4">
        <v>21</v>
      </c>
      <c r="AN4467" s="4">
        <v>0</v>
      </c>
      <c r="AO4467" s="4">
        <v>0</v>
      </c>
      <c r="AP4467" s="4">
        <v>2</v>
      </c>
      <c r="AQ4467" s="4">
        <v>3</v>
      </c>
      <c r="AR4467" s="3" t="s">
        <v>63</v>
      </c>
      <c r="AS4467" s="3" t="s">
        <v>63</v>
      </c>
      <c r="AT4467" s="3" t="s">
        <v>62</v>
      </c>
      <c r="AU4467" s="6" t="str">
        <f>HYPERLINK("http://catalog.hathitrust.org/Record/003150449","HathiTrust Record")</f>
        <v>HathiTrust Record</v>
      </c>
      <c r="AV4467" s="6" t="str">
        <f>HYPERLINK("http://mcgill.on.worldcat.org/oclc/34830473","Catalog Record")</f>
        <v>Catalog Record</v>
      </c>
      <c r="AW4467" s="6" t="str">
        <f>HYPERLINK("http://www.worldcat.org/oclc/34830473","WorldCat Record")</f>
        <v>WorldCat Record</v>
      </c>
      <c r="AX4467" s="3" t="s">
        <v>38621</v>
      </c>
      <c r="AY4467" s="3" t="s">
        <v>38622</v>
      </c>
      <c r="AZ4467" s="3" t="s">
        <v>38623</v>
      </c>
      <c r="BA4467" s="3" t="s">
        <v>38623</v>
      </c>
      <c r="BB4467" s="3" t="s">
        <v>38624</v>
      </c>
      <c r="BC4467" s="3" t="s">
        <v>524</v>
      </c>
      <c r="BD4467" s="3" t="s">
        <v>70</v>
      </c>
      <c r="BE4467" s="3" t="s">
        <v>38625</v>
      </c>
      <c r="BF4467" s="3" t="s">
        <v>38624</v>
      </c>
      <c r="BG4467" s="3" t="s">
        <v>38626</v>
      </c>
    </row>
    <row r="4468" spans="1:59" ht="75" x14ac:dyDescent="0.25">
      <c r="A4468" s="2" t="s">
        <v>59</v>
      </c>
      <c r="B4468" s="2" t="s">
        <v>60</v>
      </c>
      <c r="C4468" s="2" t="s">
        <v>38627</v>
      </c>
      <c r="D4468" s="2" t="s">
        <v>38628</v>
      </c>
      <c r="E4468" s="2" t="s">
        <v>38629</v>
      </c>
      <c r="G4468" s="3" t="s">
        <v>63</v>
      </c>
      <c r="I4468" s="3" t="s">
        <v>63</v>
      </c>
      <c r="J4468" s="3" t="s">
        <v>63</v>
      </c>
      <c r="K4468" s="3" t="s">
        <v>64</v>
      </c>
      <c r="L4468" s="2" t="s">
        <v>5832</v>
      </c>
      <c r="M4468" s="2" t="s">
        <v>38630</v>
      </c>
      <c r="N4468" s="3" t="s">
        <v>849</v>
      </c>
      <c r="P4468" s="3" t="s">
        <v>66</v>
      </c>
      <c r="Q4468" s="2" t="s">
        <v>38631</v>
      </c>
      <c r="R4468" s="3" t="s">
        <v>67</v>
      </c>
      <c r="S4468" s="4">
        <v>8</v>
      </c>
      <c r="T4468" s="4">
        <v>8</v>
      </c>
      <c r="U4468" s="5" t="s">
        <v>8335</v>
      </c>
      <c r="V4468" s="5" t="s">
        <v>8335</v>
      </c>
      <c r="W4468" s="5" t="s">
        <v>69</v>
      </c>
      <c r="X4468" s="5" t="s">
        <v>69</v>
      </c>
      <c r="Y4468" s="4">
        <v>464</v>
      </c>
      <c r="Z4468" s="4">
        <v>28</v>
      </c>
      <c r="AA4468" s="4">
        <v>30</v>
      </c>
      <c r="AB4468" s="4">
        <v>2</v>
      </c>
      <c r="AC4468" s="4">
        <v>2</v>
      </c>
      <c r="AD4468" s="4">
        <v>112</v>
      </c>
      <c r="AE4468" s="4">
        <v>116</v>
      </c>
      <c r="AF4468" s="4">
        <v>1</v>
      </c>
      <c r="AG4468" s="4">
        <v>1</v>
      </c>
      <c r="AH4468" s="4">
        <v>97</v>
      </c>
      <c r="AI4468" s="4">
        <v>100</v>
      </c>
      <c r="AJ4468" s="4">
        <v>18</v>
      </c>
      <c r="AK4468" s="4">
        <v>19</v>
      </c>
      <c r="AL4468" s="4">
        <v>50</v>
      </c>
      <c r="AM4468" s="4">
        <v>52</v>
      </c>
      <c r="AN4468" s="4">
        <v>0</v>
      </c>
      <c r="AO4468" s="4">
        <v>0</v>
      </c>
      <c r="AP4468" s="4">
        <v>21</v>
      </c>
      <c r="AQ4468" s="4">
        <v>23</v>
      </c>
      <c r="AR4468" s="3" t="s">
        <v>63</v>
      </c>
      <c r="AS4468" s="3" t="s">
        <v>63</v>
      </c>
      <c r="AT4468" s="3" t="s">
        <v>62</v>
      </c>
      <c r="AU4468" s="6" t="str">
        <f>HYPERLINK("http://catalog.hathitrust.org/Record/000178434","HathiTrust Record")</f>
        <v>HathiTrust Record</v>
      </c>
      <c r="AV4468" s="6" t="str">
        <f>HYPERLINK("http://mcgill.on.worldcat.org/oclc/4056437","Catalog Record")</f>
        <v>Catalog Record</v>
      </c>
      <c r="AW4468" s="6" t="str">
        <f>HYPERLINK("http://www.worldcat.org/oclc/4056437","WorldCat Record")</f>
        <v>WorldCat Record</v>
      </c>
      <c r="AX4468" s="3" t="s">
        <v>38632</v>
      </c>
      <c r="AY4468" s="3" t="s">
        <v>38633</v>
      </c>
      <c r="AZ4468" s="3" t="s">
        <v>38634</v>
      </c>
      <c r="BA4468" s="3" t="s">
        <v>38634</v>
      </c>
      <c r="BB4468" s="3" t="s">
        <v>38635</v>
      </c>
      <c r="BC4468" s="3" t="s">
        <v>82</v>
      </c>
      <c r="BD4468" s="3" t="s">
        <v>70</v>
      </c>
      <c r="BE4468" s="3" t="s">
        <v>38636</v>
      </c>
      <c r="BF4468" s="3" t="s">
        <v>38635</v>
      </c>
      <c r="BG4468" s="3" t="s">
        <v>38637</v>
      </c>
    </row>
    <row r="4469" spans="1:59" ht="60" x14ac:dyDescent="0.25">
      <c r="A4469" s="2" t="s">
        <v>59</v>
      </c>
      <c r="B4469" s="2" t="s">
        <v>60</v>
      </c>
      <c r="C4469" s="2" t="s">
        <v>38638</v>
      </c>
      <c r="D4469" s="2" t="s">
        <v>38639</v>
      </c>
      <c r="E4469" s="2" t="s">
        <v>38640</v>
      </c>
      <c r="G4469" s="3" t="s">
        <v>63</v>
      </c>
      <c r="I4469" s="3" t="s">
        <v>63</v>
      </c>
      <c r="J4469" s="3" t="s">
        <v>63</v>
      </c>
      <c r="K4469" s="3" t="s">
        <v>64</v>
      </c>
      <c r="L4469" s="2" t="s">
        <v>38641</v>
      </c>
      <c r="M4469" s="2" t="s">
        <v>38642</v>
      </c>
      <c r="N4469" s="3" t="s">
        <v>939</v>
      </c>
      <c r="P4469" s="3" t="s">
        <v>548</v>
      </c>
      <c r="Q4469" s="2" t="s">
        <v>38643</v>
      </c>
      <c r="R4469" s="3" t="s">
        <v>67</v>
      </c>
      <c r="S4469" s="4">
        <v>1</v>
      </c>
      <c r="T4469" s="4">
        <v>1</v>
      </c>
      <c r="U4469" s="5" t="s">
        <v>38534</v>
      </c>
      <c r="V4469" s="5" t="s">
        <v>38534</v>
      </c>
      <c r="W4469" s="5" t="s">
        <v>69</v>
      </c>
      <c r="X4469" s="5" t="s">
        <v>69</v>
      </c>
      <c r="Y4469" s="4">
        <v>27</v>
      </c>
      <c r="Z4469" s="4">
        <v>4</v>
      </c>
      <c r="AA4469" s="4">
        <v>13</v>
      </c>
      <c r="AB4469" s="4">
        <v>1</v>
      </c>
      <c r="AC4469" s="4">
        <v>4</v>
      </c>
      <c r="AD4469" s="4">
        <v>19</v>
      </c>
      <c r="AE4469" s="4">
        <v>39</v>
      </c>
      <c r="AF4469" s="4">
        <v>0</v>
      </c>
      <c r="AG4469" s="4">
        <v>3</v>
      </c>
      <c r="AH4469" s="4">
        <v>16</v>
      </c>
      <c r="AI4469" s="4">
        <v>30</v>
      </c>
      <c r="AJ4469" s="4">
        <v>3</v>
      </c>
      <c r="AK4469" s="4">
        <v>9</v>
      </c>
      <c r="AL4469" s="4">
        <v>9</v>
      </c>
      <c r="AM4469" s="4">
        <v>22</v>
      </c>
      <c r="AN4469" s="4">
        <v>0</v>
      </c>
      <c r="AO4469" s="4">
        <v>0</v>
      </c>
      <c r="AP4469" s="4">
        <v>2</v>
      </c>
      <c r="AQ4469" s="4">
        <v>9</v>
      </c>
      <c r="AR4469" s="3" t="s">
        <v>63</v>
      </c>
      <c r="AS4469" s="3" t="s">
        <v>63</v>
      </c>
      <c r="AT4469" s="3" t="s">
        <v>63</v>
      </c>
      <c r="AV4469" s="6" t="str">
        <f>HYPERLINK("http://mcgill.on.worldcat.org/oclc/631115","Catalog Record")</f>
        <v>Catalog Record</v>
      </c>
      <c r="AW4469" s="6" t="str">
        <f>HYPERLINK("http://www.worldcat.org/oclc/631115","WorldCat Record")</f>
        <v>WorldCat Record</v>
      </c>
      <c r="AX4469" s="3" t="s">
        <v>38644</v>
      </c>
      <c r="AY4469" s="3" t="s">
        <v>38645</v>
      </c>
      <c r="AZ4469" s="3" t="s">
        <v>38646</v>
      </c>
      <c r="BA4469" s="3" t="s">
        <v>38646</v>
      </c>
      <c r="BB4469" s="3" t="s">
        <v>38647</v>
      </c>
      <c r="BC4469" s="3" t="s">
        <v>82</v>
      </c>
      <c r="BD4469" s="3" t="s">
        <v>70</v>
      </c>
      <c r="BF4469" s="3" t="s">
        <v>38647</v>
      </c>
      <c r="BG4469" s="3" t="s">
        <v>38648</v>
      </c>
    </row>
    <row r="4470" spans="1:59" ht="60" x14ac:dyDescent="0.25">
      <c r="A4470" s="2" t="s">
        <v>59</v>
      </c>
      <c r="B4470" s="2" t="s">
        <v>60</v>
      </c>
      <c r="C4470" s="2" t="s">
        <v>38649</v>
      </c>
      <c r="D4470" s="2" t="s">
        <v>38650</v>
      </c>
      <c r="E4470" s="2" t="s">
        <v>38651</v>
      </c>
      <c r="G4470" s="3" t="s">
        <v>63</v>
      </c>
      <c r="I4470" s="3" t="s">
        <v>63</v>
      </c>
      <c r="J4470" s="3" t="s">
        <v>63</v>
      </c>
      <c r="K4470" s="3" t="s">
        <v>64</v>
      </c>
      <c r="L4470" s="2" t="s">
        <v>38652</v>
      </c>
      <c r="M4470" s="2" t="s">
        <v>38653</v>
      </c>
      <c r="N4470" s="3" t="s">
        <v>1557</v>
      </c>
      <c r="P4470" s="3" t="s">
        <v>66</v>
      </c>
      <c r="R4470" s="3" t="s">
        <v>67</v>
      </c>
      <c r="S4470" s="4">
        <v>0</v>
      </c>
      <c r="T4470" s="4">
        <v>0</v>
      </c>
      <c r="W4470" s="5" t="s">
        <v>69</v>
      </c>
      <c r="X4470" s="5" t="s">
        <v>69</v>
      </c>
      <c r="Y4470" s="4">
        <v>53</v>
      </c>
      <c r="Z4470" s="4">
        <v>5</v>
      </c>
      <c r="AA4470" s="4">
        <v>9</v>
      </c>
      <c r="AB4470" s="4">
        <v>1</v>
      </c>
      <c r="AC4470" s="4">
        <v>3</v>
      </c>
      <c r="AD4470" s="4">
        <v>12</v>
      </c>
      <c r="AE4470" s="4">
        <v>21</v>
      </c>
      <c r="AF4470" s="4">
        <v>0</v>
      </c>
      <c r="AG4470" s="4">
        <v>0</v>
      </c>
      <c r="AH4470" s="4">
        <v>12</v>
      </c>
      <c r="AI4470" s="4">
        <v>19</v>
      </c>
      <c r="AJ4470" s="4">
        <v>0</v>
      </c>
      <c r="AK4470" s="4">
        <v>1</v>
      </c>
      <c r="AL4470" s="4">
        <v>10</v>
      </c>
      <c r="AM4470" s="4">
        <v>16</v>
      </c>
      <c r="AN4470" s="4">
        <v>0</v>
      </c>
      <c r="AO4470" s="4">
        <v>0</v>
      </c>
      <c r="AP4470" s="4">
        <v>0</v>
      </c>
      <c r="AQ4470" s="4">
        <v>1</v>
      </c>
      <c r="AR4470" s="3" t="s">
        <v>63</v>
      </c>
      <c r="AS4470" s="3" t="s">
        <v>63</v>
      </c>
      <c r="AT4470" s="3" t="s">
        <v>63</v>
      </c>
      <c r="AV4470" s="6" t="str">
        <f>HYPERLINK("http://mcgill.on.worldcat.org/oclc/1008922047","Catalog Record")</f>
        <v>Catalog Record</v>
      </c>
      <c r="AW4470" s="6" t="str">
        <f>HYPERLINK("http://www.worldcat.org/oclc/1008922047","WorldCat Record")</f>
        <v>WorldCat Record</v>
      </c>
      <c r="AX4470" s="3" t="s">
        <v>38654</v>
      </c>
      <c r="AY4470" s="3" t="s">
        <v>38655</v>
      </c>
      <c r="AZ4470" s="3" t="s">
        <v>38656</v>
      </c>
      <c r="BA4470" s="3" t="s">
        <v>38656</v>
      </c>
      <c r="BB4470" s="3" t="s">
        <v>38657</v>
      </c>
      <c r="BC4470" s="3" t="s">
        <v>82</v>
      </c>
      <c r="BD4470" s="3" t="s">
        <v>70</v>
      </c>
      <c r="BE4470" s="3" t="s">
        <v>38658</v>
      </c>
      <c r="BF4470" s="3" t="s">
        <v>38657</v>
      </c>
      <c r="BG4470" s="3" t="s">
        <v>38659</v>
      </c>
    </row>
    <row r="4471" spans="1:59" ht="60" x14ac:dyDescent="0.25">
      <c r="A4471" s="2" t="s">
        <v>59</v>
      </c>
      <c r="B4471" s="2" t="s">
        <v>60</v>
      </c>
      <c r="C4471" s="2" t="s">
        <v>38660</v>
      </c>
      <c r="D4471" s="2" t="s">
        <v>38661</v>
      </c>
      <c r="E4471" s="2" t="s">
        <v>38662</v>
      </c>
      <c r="G4471" s="3" t="s">
        <v>63</v>
      </c>
      <c r="I4471" s="3" t="s">
        <v>63</v>
      </c>
      <c r="J4471" s="3" t="s">
        <v>63</v>
      </c>
      <c r="K4471" s="3" t="s">
        <v>64</v>
      </c>
      <c r="L4471" s="2" t="s">
        <v>38663</v>
      </c>
      <c r="M4471" s="2" t="s">
        <v>38664</v>
      </c>
      <c r="N4471" s="3" t="s">
        <v>1113</v>
      </c>
      <c r="P4471" s="3" t="s">
        <v>66</v>
      </c>
      <c r="R4471" s="3" t="s">
        <v>67</v>
      </c>
      <c r="S4471" s="4">
        <v>3</v>
      </c>
      <c r="T4471" s="4">
        <v>3</v>
      </c>
      <c r="U4471" s="5" t="s">
        <v>10066</v>
      </c>
      <c r="V4471" s="5" t="s">
        <v>10066</v>
      </c>
      <c r="W4471" s="5" t="s">
        <v>69</v>
      </c>
      <c r="X4471" s="5" t="s">
        <v>69</v>
      </c>
      <c r="Y4471" s="4">
        <v>13</v>
      </c>
      <c r="Z4471" s="4">
        <v>1</v>
      </c>
      <c r="AA4471" s="4">
        <v>13</v>
      </c>
      <c r="AB4471" s="4">
        <v>1</v>
      </c>
      <c r="AC4471" s="4">
        <v>3</v>
      </c>
      <c r="AD4471" s="4">
        <v>1</v>
      </c>
      <c r="AE4471" s="4">
        <v>79</v>
      </c>
      <c r="AF4471" s="4">
        <v>0</v>
      </c>
      <c r="AG4471" s="4">
        <v>1</v>
      </c>
      <c r="AH4471" s="4">
        <v>1</v>
      </c>
      <c r="AI4471" s="4">
        <v>73</v>
      </c>
      <c r="AJ4471" s="4">
        <v>0</v>
      </c>
      <c r="AK4471" s="4">
        <v>7</v>
      </c>
      <c r="AL4471" s="4">
        <v>0</v>
      </c>
      <c r="AM4471" s="4">
        <v>45</v>
      </c>
      <c r="AN4471" s="4">
        <v>0</v>
      </c>
      <c r="AO4471" s="4">
        <v>0</v>
      </c>
      <c r="AP4471" s="4">
        <v>0</v>
      </c>
      <c r="AQ4471" s="4">
        <v>6</v>
      </c>
      <c r="AR4471" s="3" t="s">
        <v>63</v>
      </c>
      <c r="AS4471" s="3" t="s">
        <v>63</v>
      </c>
      <c r="AT4471" s="3" t="s">
        <v>63</v>
      </c>
      <c r="AV4471" s="6" t="str">
        <f>HYPERLINK("http://mcgill.on.worldcat.org/oclc/40754011","Catalog Record")</f>
        <v>Catalog Record</v>
      </c>
      <c r="AW4471" s="6" t="str">
        <f>HYPERLINK("http://www.worldcat.org/oclc/40754011","WorldCat Record")</f>
        <v>WorldCat Record</v>
      </c>
      <c r="AX4471" s="3" t="s">
        <v>38665</v>
      </c>
      <c r="AY4471" s="3" t="s">
        <v>38666</v>
      </c>
      <c r="AZ4471" s="3" t="s">
        <v>38667</v>
      </c>
      <c r="BA4471" s="3" t="s">
        <v>38667</v>
      </c>
      <c r="BB4471" s="3" t="s">
        <v>38668</v>
      </c>
      <c r="BC4471" s="3" t="s">
        <v>82</v>
      </c>
      <c r="BD4471" s="3" t="s">
        <v>70</v>
      </c>
      <c r="BE4471" s="3" t="s">
        <v>38669</v>
      </c>
      <c r="BF4471" s="3" t="s">
        <v>38668</v>
      </c>
      <c r="BG4471" s="3" t="s">
        <v>38670</v>
      </c>
    </row>
    <row r="4472" spans="1:59" ht="75" x14ac:dyDescent="0.25">
      <c r="A4472" s="2" t="s">
        <v>59</v>
      </c>
      <c r="B4472" s="2" t="s">
        <v>60</v>
      </c>
      <c r="C4472" s="2" t="s">
        <v>38671</v>
      </c>
      <c r="D4472" s="2" t="s">
        <v>38672</v>
      </c>
      <c r="E4472" s="2" t="s">
        <v>38673</v>
      </c>
      <c r="G4472" s="3" t="s">
        <v>63</v>
      </c>
      <c r="I4472" s="3" t="s">
        <v>63</v>
      </c>
      <c r="J4472" s="3" t="s">
        <v>63</v>
      </c>
      <c r="K4472" s="3" t="s">
        <v>64</v>
      </c>
      <c r="L4472" s="2" t="s">
        <v>38674</v>
      </c>
      <c r="M4472" s="2" t="s">
        <v>38675</v>
      </c>
      <c r="N4472" s="3" t="s">
        <v>130</v>
      </c>
      <c r="P4472" s="3" t="s">
        <v>66</v>
      </c>
      <c r="R4472" s="3" t="s">
        <v>67</v>
      </c>
      <c r="S4472" s="4">
        <v>0</v>
      </c>
      <c r="T4472" s="4">
        <v>0</v>
      </c>
      <c r="W4472" s="5" t="s">
        <v>69</v>
      </c>
      <c r="X4472" s="5" t="s">
        <v>69</v>
      </c>
      <c r="Y4472" s="4">
        <v>98</v>
      </c>
      <c r="Z4472" s="4">
        <v>10</v>
      </c>
      <c r="AA4472" s="4">
        <v>29</v>
      </c>
      <c r="AB4472" s="4">
        <v>1</v>
      </c>
      <c r="AC4472" s="4">
        <v>4</v>
      </c>
      <c r="AD4472" s="4">
        <v>54</v>
      </c>
      <c r="AE4472" s="4">
        <v>89</v>
      </c>
      <c r="AF4472" s="4">
        <v>0</v>
      </c>
      <c r="AG4472" s="4">
        <v>1</v>
      </c>
      <c r="AH4472" s="4">
        <v>53</v>
      </c>
      <c r="AI4472" s="4">
        <v>76</v>
      </c>
      <c r="AJ4472" s="4">
        <v>7</v>
      </c>
      <c r="AK4472" s="4">
        <v>13</v>
      </c>
      <c r="AL4472" s="4">
        <v>36</v>
      </c>
      <c r="AM4472" s="4">
        <v>47</v>
      </c>
      <c r="AN4472" s="4">
        <v>0</v>
      </c>
      <c r="AO4472" s="4">
        <v>0</v>
      </c>
      <c r="AP4472" s="4">
        <v>7</v>
      </c>
      <c r="AQ4472" s="4">
        <v>20</v>
      </c>
      <c r="AR4472" s="3" t="s">
        <v>63</v>
      </c>
      <c r="AS4472" s="3" t="s">
        <v>63</v>
      </c>
      <c r="AT4472" s="3" t="s">
        <v>63</v>
      </c>
      <c r="AV4472" s="6" t="str">
        <f>HYPERLINK("http://mcgill.on.worldcat.org/oclc/845349692","Catalog Record")</f>
        <v>Catalog Record</v>
      </c>
      <c r="AW4472" s="6" t="str">
        <f>HYPERLINK("http://www.worldcat.org/oclc/845349692","WorldCat Record")</f>
        <v>WorldCat Record</v>
      </c>
      <c r="AX4472" s="3" t="s">
        <v>38676</v>
      </c>
      <c r="AY4472" s="3" t="s">
        <v>38677</v>
      </c>
      <c r="AZ4472" s="3" t="s">
        <v>38678</v>
      </c>
      <c r="BA4472" s="3" t="s">
        <v>38678</v>
      </c>
      <c r="BB4472" s="3" t="s">
        <v>38679</v>
      </c>
      <c r="BC4472" s="3" t="s">
        <v>82</v>
      </c>
      <c r="BD4472" s="3" t="s">
        <v>70</v>
      </c>
      <c r="BE4472" s="3" t="s">
        <v>38680</v>
      </c>
      <c r="BF4472" s="3" t="s">
        <v>38679</v>
      </c>
      <c r="BG4472" s="3" t="s">
        <v>38681</v>
      </c>
    </row>
    <row r="4473" spans="1:59" ht="60" x14ac:dyDescent="0.25">
      <c r="A4473" s="2" t="s">
        <v>59</v>
      </c>
      <c r="B4473" s="2" t="s">
        <v>60</v>
      </c>
      <c r="C4473" s="2" t="s">
        <v>38682</v>
      </c>
      <c r="D4473" s="2" t="s">
        <v>38683</v>
      </c>
      <c r="E4473" s="2" t="s">
        <v>38684</v>
      </c>
      <c r="G4473" s="3" t="s">
        <v>63</v>
      </c>
      <c r="I4473" s="3" t="s">
        <v>62</v>
      </c>
      <c r="J4473" s="3" t="s">
        <v>63</v>
      </c>
      <c r="K4473" s="3" t="s">
        <v>64</v>
      </c>
      <c r="L4473" s="2" t="s">
        <v>38685</v>
      </c>
      <c r="M4473" s="2" t="s">
        <v>38686</v>
      </c>
      <c r="N4473" s="3" t="s">
        <v>1296</v>
      </c>
      <c r="P4473" s="3" t="s">
        <v>66</v>
      </c>
      <c r="R4473" s="3" t="s">
        <v>67</v>
      </c>
      <c r="S4473" s="4">
        <v>2</v>
      </c>
      <c r="T4473" s="4">
        <v>2</v>
      </c>
      <c r="U4473" s="5" t="s">
        <v>21159</v>
      </c>
      <c r="V4473" s="5" t="s">
        <v>21159</v>
      </c>
      <c r="W4473" s="5" t="s">
        <v>69</v>
      </c>
      <c r="X4473" s="5" t="s">
        <v>69</v>
      </c>
      <c r="Y4473" s="4">
        <v>377</v>
      </c>
      <c r="Z4473" s="4">
        <v>17</v>
      </c>
      <c r="AA4473" s="4">
        <v>25</v>
      </c>
      <c r="AB4473" s="4">
        <v>1</v>
      </c>
      <c r="AC4473" s="4">
        <v>1</v>
      </c>
      <c r="AD4473" s="4">
        <v>104</v>
      </c>
      <c r="AE4473" s="4">
        <v>114</v>
      </c>
      <c r="AF4473" s="4">
        <v>0</v>
      </c>
      <c r="AG4473" s="4">
        <v>0</v>
      </c>
      <c r="AH4473" s="4">
        <v>94</v>
      </c>
      <c r="AI4473" s="4">
        <v>100</v>
      </c>
      <c r="AJ4473" s="4">
        <v>14</v>
      </c>
      <c r="AK4473" s="4">
        <v>15</v>
      </c>
      <c r="AL4473" s="4">
        <v>53</v>
      </c>
      <c r="AM4473" s="4">
        <v>58</v>
      </c>
      <c r="AN4473" s="4">
        <v>0</v>
      </c>
      <c r="AO4473" s="4">
        <v>0</v>
      </c>
      <c r="AP4473" s="4">
        <v>14</v>
      </c>
      <c r="AQ4473" s="4">
        <v>18</v>
      </c>
      <c r="AR4473" s="3" t="s">
        <v>63</v>
      </c>
      <c r="AS4473" s="3" t="s">
        <v>63</v>
      </c>
      <c r="AT4473" s="3" t="s">
        <v>62</v>
      </c>
      <c r="AU4473" s="6" t="str">
        <f>HYPERLINK("http://catalog.hathitrust.org/Record/001244188","HathiTrust Record")</f>
        <v>HathiTrust Record</v>
      </c>
      <c r="AV4473" s="6" t="str">
        <f>HYPERLINK("http://mcgill.on.worldcat.org/oclc/65445","Catalog Record")</f>
        <v>Catalog Record</v>
      </c>
      <c r="AW4473" s="6" t="str">
        <f>HYPERLINK("http://www.worldcat.org/oclc/65445","WorldCat Record")</f>
        <v>WorldCat Record</v>
      </c>
      <c r="AX4473" s="3" t="s">
        <v>38687</v>
      </c>
      <c r="AY4473" s="3" t="s">
        <v>38688</v>
      </c>
      <c r="AZ4473" s="3" t="s">
        <v>38689</v>
      </c>
      <c r="BA4473" s="3" t="s">
        <v>38689</v>
      </c>
      <c r="BB4473" s="3" t="s">
        <v>38690</v>
      </c>
      <c r="BC4473" s="3" t="s">
        <v>82</v>
      </c>
      <c r="BD4473" s="3" t="s">
        <v>70</v>
      </c>
      <c r="BE4473" s="3" t="s">
        <v>38691</v>
      </c>
      <c r="BF4473" s="3" t="s">
        <v>38690</v>
      </c>
      <c r="BG4473" s="3" t="s">
        <v>38692</v>
      </c>
    </row>
    <row r="4474" spans="1:59" ht="75" x14ac:dyDescent="0.25">
      <c r="A4474" s="2" t="s">
        <v>59</v>
      </c>
      <c r="B4474" s="2" t="s">
        <v>60</v>
      </c>
      <c r="C4474" s="2" t="s">
        <v>38693</v>
      </c>
      <c r="D4474" s="2" t="s">
        <v>38694</v>
      </c>
      <c r="E4474" s="2" t="s">
        <v>38695</v>
      </c>
      <c r="G4474" s="3" t="s">
        <v>63</v>
      </c>
      <c r="I4474" s="3" t="s">
        <v>63</v>
      </c>
      <c r="J4474" s="3" t="s">
        <v>63</v>
      </c>
      <c r="K4474" s="3" t="s">
        <v>64</v>
      </c>
      <c r="L4474" s="2" t="s">
        <v>38685</v>
      </c>
      <c r="M4474" s="2" t="s">
        <v>38696</v>
      </c>
      <c r="N4474" s="3" t="s">
        <v>1418</v>
      </c>
      <c r="O4474" s="2" t="s">
        <v>590</v>
      </c>
      <c r="P4474" s="3" t="s">
        <v>66</v>
      </c>
      <c r="R4474" s="3" t="s">
        <v>67</v>
      </c>
      <c r="S4474" s="4">
        <v>3</v>
      </c>
      <c r="T4474" s="4">
        <v>3</v>
      </c>
      <c r="U4474" s="5" t="s">
        <v>14064</v>
      </c>
      <c r="V4474" s="5" t="s">
        <v>14064</v>
      </c>
      <c r="W4474" s="5" t="s">
        <v>69</v>
      </c>
      <c r="X4474" s="5" t="s">
        <v>69</v>
      </c>
      <c r="Y4474" s="4">
        <v>371</v>
      </c>
      <c r="Z4474" s="4">
        <v>16</v>
      </c>
      <c r="AA4474" s="4">
        <v>18</v>
      </c>
      <c r="AB4474" s="4">
        <v>1</v>
      </c>
      <c r="AC4474" s="4">
        <v>2</v>
      </c>
      <c r="AD4474" s="4">
        <v>92</v>
      </c>
      <c r="AE4474" s="4">
        <v>94</v>
      </c>
      <c r="AF4474" s="4">
        <v>0</v>
      </c>
      <c r="AG4474" s="4">
        <v>0</v>
      </c>
      <c r="AH4474" s="4">
        <v>82</v>
      </c>
      <c r="AI4474" s="4">
        <v>83</v>
      </c>
      <c r="AJ4474" s="4">
        <v>11</v>
      </c>
      <c r="AK4474" s="4">
        <v>12</v>
      </c>
      <c r="AL4474" s="4">
        <v>51</v>
      </c>
      <c r="AM4474" s="4">
        <v>52</v>
      </c>
      <c r="AN4474" s="4">
        <v>0</v>
      </c>
      <c r="AO4474" s="4">
        <v>0</v>
      </c>
      <c r="AP4474" s="4">
        <v>10</v>
      </c>
      <c r="AQ4474" s="4">
        <v>11</v>
      </c>
      <c r="AR4474" s="3" t="s">
        <v>63</v>
      </c>
      <c r="AS4474" s="3" t="s">
        <v>63</v>
      </c>
      <c r="AT4474" s="3" t="s">
        <v>63</v>
      </c>
      <c r="AV4474" s="6" t="str">
        <f>HYPERLINK("http://mcgill.on.worldcat.org/oclc/16676228","Catalog Record")</f>
        <v>Catalog Record</v>
      </c>
      <c r="AW4474" s="6" t="str">
        <f>HYPERLINK("http://www.worldcat.org/oclc/16676228","WorldCat Record")</f>
        <v>WorldCat Record</v>
      </c>
      <c r="AX4474" s="3" t="s">
        <v>38697</v>
      </c>
      <c r="AY4474" s="3" t="s">
        <v>38698</v>
      </c>
      <c r="AZ4474" s="3" t="s">
        <v>38699</v>
      </c>
      <c r="BA4474" s="3" t="s">
        <v>38699</v>
      </c>
      <c r="BB4474" s="3" t="s">
        <v>38700</v>
      </c>
      <c r="BC4474" s="3" t="s">
        <v>82</v>
      </c>
      <c r="BD4474" s="3" t="s">
        <v>70</v>
      </c>
      <c r="BE4474" s="3" t="s">
        <v>38701</v>
      </c>
      <c r="BF4474" s="3" t="s">
        <v>38700</v>
      </c>
      <c r="BG4474" s="3" t="s">
        <v>38702</v>
      </c>
    </row>
    <row r="4475" spans="1:59" ht="60" x14ac:dyDescent="0.25">
      <c r="A4475" s="2" t="s">
        <v>59</v>
      </c>
      <c r="B4475" s="2" t="s">
        <v>60</v>
      </c>
      <c r="C4475" s="2" t="s">
        <v>38703</v>
      </c>
      <c r="D4475" s="2" t="s">
        <v>38704</v>
      </c>
      <c r="E4475" s="2" t="s">
        <v>38705</v>
      </c>
      <c r="G4475" s="3" t="s">
        <v>63</v>
      </c>
      <c r="I4475" s="3" t="s">
        <v>63</v>
      </c>
      <c r="J4475" s="3" t="s">
        <v>63</v>
      </c>
      <c r="K4475" s="3" t="s">
        <v>64</v>
      </c>
      <c r="L4475" s="2" t="s">
        <v>38706</v>
      </c>
      <c r="M4475" s="2" t="s">
        <v>38707</v>
      </c>
      <c r="N4475" s="3" t="s">
        <v>706</v>
      </c>
      <c r="O4475" s="2" t="s">
        <v>38708</v>
      </c>
      <c r="P4475" s="3" t="s">
        <v>66</v>
      </c>
      <c r="R4475" s="3" t="s">
        <v>67</v>
      </c>
      <c r="S4475" s="4">
        <v>24</v>
      </c>
      <c r="T4475" s="4">
        <v>24</v>
      </c>
      <c r="U4475" s="5" t="s">
        <v>23392</v>
      </c>
      <c r="V4475" s="5" t="s">
        <v>23392</v>
      </c>
      <c r="W4475" s="5" t="s">
        <v>69</v>
      </c>
      <c r="X4475" s="5" t="s">
        <v>69</v>
      </c>
      <c r="Y4475" s="4">
        <v>431</v>
      </c>
      <c r="Z4475" s="4">
        <v>17</v>
      </c>
      <c r="AA4475" s="4">
        <v>21</v>
      </c>
      <c r="AB4475" s="4">
        <v>1</v>
      </c>
      <c r="AC4475" s="4">
        <v>3</v>
      </c>
      <c r="AD4475" s="4">
        <v>86</v>
      </c>
      <c r="AE4475" s="4">
        <v>92</v>
      </c>
      <c r="AF4475" s="4">
        <v>0</v>
      </c>
      <c r="AG4475" s="4">
        <v>0</v>
      </c>
      <c r="AH4475" s="4">
        <v>78</v>
      </c>
      <c r="AI4475" s="4">
        <v>84</v>
      </c>
      <c r="AJ4475" s="4">
        <v>9</v>
      </c>
      <c r="AK4475" s="4">
        <v>9</v>
      </c>
      <c r="AL4475" s="4">
        <v>48</v>
      </c>
      <c r="AM4475" s="4">
        <v>52</v>
      </c>
      <c r="AN4475" s="4">
        <v>0</v>
      </c>
      <c r="AO4475" s="4">
        <v>1</v>
      </c>
      <c r="AP4475" s="4">
        <v>11</v>
      </c>
      <c r="AQ4475" s="4">
        <v>12</v>
      </c>
      <c r="AR4475" s="3" t="s">
        <v>63</v>
      </c>
      <c r="AS4475" s="3" t="s">
        <v>63</v>
      </c>
      <c r="AT4475" s="3" t="s">
        <v>62</v>
      </c>
      <c r="AU4475" s="6" t="str">
        <f>HYPERLINK("http://catalog.hathitrust.org/Record/000397376","HathiTrust Record")</f>
        <v>HathiTrust Record</v>
      </c>
      <c r="AV4475" s="6" t="str">
        <f>HYPERLINK("http://mcgill.on.worldcat.org/oclc/12217009","Catalog Record")</f>
        <v>Catalog Record</v>
      </c>
      <c r="AW4475" s="6" t="str">
        <f>HYPERLINK("http://www.worldcat.org/oclc/12217009","WorldCat Record")</f>
        <v>WorldCat Record</v>
      </c>
      <c r="AX4475" s="3" t="s">
        <v>38709</v>
      </c>
      <c r="AY4475" s="3" t="s">
        <v>38710</v>
      </c>
      <c r="AZ4475" s="3" t="s">
        <v>38711</v>
      </c>
      <c r="BA4475" s="3" t="s">
        <v>38711</v>
      </c>
      <c r="BB4475" s="3" t="s">
        <v>38712</v>
      </c>
      <c r="BC4475" s="3" t="s">
        <v>82</v>
      </c>
      <c r="BD4475" s="3" t="s">
        <v>70</v>
      </c>
      <c r="BE4475" s="3" t="s">
        <v>38713</v>
      </c>
      <c r="BF4475" s="3" t="s">
        <v>38712</v>
      </c>
      <c r="BG4475" s="3" t="s">
        <v>38714</v>
      </c>
    </row>
    <row r="4476" spans="1:59" ht="60" x14ac:dyDescent="0.25">
      <c r="A4476" s="2" t="s">
        <v>59</v>
      </c>
      <c r="B4476" s="2" t="s">
        <v>60</v>
      </c>
      <c r="C4476" s="2" t="s">
        <v>38715</v>
      </c>
      <c r="D4476" s="2" t="s">
        <v>38716</v>
      </c>
      <c r="E4476" s="2" t="s">
        <v>38717</v>
      </c>
      <c r="G4476" s="3" t="s">
        <v>63</v>
      </c>
      <c r="I4476" s="3" t="s">
        <v>63</v>
      </c>
      <c r="J4476" s="3" t="s">
        <v>63</v>
      </c>
      <c r="K4476" s="3" t="s">
        <v>64</v>
      </c>
      <c r="L4476" s="2" t="s">
        <v>38718</v>
      </c>
      <c r="M4476" s="2" t="s">
        <v>26555</v>
      </c>
      <c r="N4476" s="3" t="s">
        <v>143</v>
      </c>
      <c r="P4476" s="3" t="s">
        <v>66</v>
      </c>
      <c r="Q4476" s="2" t="s">
        <v>38719</v>
      </c>
      <c r="R4476" s="3" t="s">
        <v>67</v>
      </c>
      <c r="S4476" s="4">
        <v>3</v>
      </c>
      <c r="T4476" s="4">
        <v>3</v>
      </c>
      <c r="U4476" s="5" t="s">
        <v>33401</v>
      </c>
      <c r="V4476" s="5" t="s">
        <v>33401</v>
      </c>
      <c r="W4476" s="5" t="s">
        <v>69</v>
      </c>
      <c r="X4476" s="5" t="s">
        <v>69</v>
      </c>
      <c r="Y4476" s="4">
        <v>57</v>
      </c>
      <c r="Z4476" s="4">
        <v>3</v>
      </c>
      <c r="AA4476" s="4">
        <v>12</v>
      </c>
      <c r="AB4476" s="4">
        <v>1</v>
      </c>
      <c r="AC4476" s="4">
        <v>1</v>
      </c>
      <c r="AD4476" s="4">
        <v>3</v>
      </c>
      <c r="AE4476" s="4">
        <v>32</v>
      </c>
      <c r="AF4476" s="4">
        <v>0</v>
      </c>
      <c r="AG4476" s="4">
        <v>0</v>
      </c>
      <c r="AH4476" s="4">
        <v>2</v>
      </c>
      <c r="AI4476" s="4">
        <v>29</v>
      </c>
      <c r="AJ4476" s="4">
        <v>1</v>
      </c>
      <c r="AK4476" s="4">
        <v>6</v>
      </c>
      <c r="AL4476" s="4">
        <v>2</v>
      </c>
      <c r="AM4476" s="4">
        <v>16</v>
      </c>
      <c r="AN4476" s="4">
        <v>0</v>
      </c>
      <c r="AO4476" s="4">
        <v>0</v>
      </c>
      <c r="AP4476" s="4">
        <v>1</v>
      </c>
      <c r="AQ4476" s="4">
        <v>7</v>
      </c>
      <c r="AR4476" s="3" t="s">
        <v>63</v>
      </c>
      <c r="AS4476" s="3" t="s">
        <v>63</v>
      </c>
      <c r="AT4476" s="3" t="s">
        <v>63</v>
      </c>
      <c r="AV4476" s="6" t="str">
        <f>HYPERLINK("http://mcgill.on.worldcat.org/oclc/876285360","Catalog Record")</f>
        <v>Catalog Record</v>
      </c>
      <c r="AW4476" s="6" t="str">
        <f>HYPERLINK("http://www.worldcat.org/oclc/876285360","WorldCat Record")</f>
        <v>WorldCat Record</v>
      </c>
      <c r="AX4476" s="3" t="s">
        <v>38720</v>
      </c>
      <c r="AY4476" s="3" t="s">
        <v>38721</v>
      </c>
      <c r="AZ4476" s="3" t="s">
        <v>38722</v>
      </c>
      <c r="BA4476" s="3" t="s">
        <v>38722</v>
      </c>
      <c r="BB4476" s="3" t="s">
        <v>38723</v>
      </c>
      <c r="BC4476" s="3" t="s">
        <v>82</v>
      </c>
      <c r="BD4476" s="3" t="s">
        <v>70</v>
      </c>
      <c r="BE4476" s="3" t="s">
        <v>38724</v>
      </c>
      <c r="BF4476" s="3" t="s">
        <v>38723</v>
      </c>
      <c r="BG4476" s="3" t="s">
        <v>38725</v>
      </c>
    </row>
    <row r="4477" spans="1:59" ht="60" x14ac:dyDescent="0.25">
      <c r="A4477" s="2" t="s">
        <v>59</v>
      </c>
      <c r="B4477" s="2" t="s">
        <v>60</v>
      </c>
      <c r="C4477" s="2" t="s">
        <v>38726</v>
      </c>
      <c r="D4477" s="2" t="s">
        <v>38727</v>
      </c>
      <c r="E4477" s="2" t="s">
        <v>38728</v>
      </c>
      <c r="G4477" s="3" t="s">
        <v>63</v>
      </c>
      <c r="I4477" s="3" t="s">
        <v>63</v>
      </c>
      <c r="J4477" s="3" t="s">
        <v>63</v>
      </c>
      <c r="K4477" s="3" t="s">
        <v>64</v>
      </c>
      <c r="L4477" s="2" t="s">
        <v>38706</v>
      </c>
      <c r="M4477" s="2" t="s">
        <v>38729</v>
      </c>
      <c r="N4477" s="3" t="s">
        <v>2393</v>
      </c>
      <c r="P4477" s="3" t="s">
        <v>66</v>
      </c>
      <c r="Q4477" s="2" t="s">
        <v>28383</v>
      </c>
      <c r="R4477" s="3" t="s">
        <v>67</v>
      </c>
      <c r="S4477" s="4">
        <v>33</v>
      </c>
      <c r="T4477" s="4">
        <v>33</v>
      </c>
      <c r="U4477" s="5" t="s">
        <v>38730</v>
      </c>
      <c r="V4477" s="5" t="s">
        <v>38730</v>
      </c>
      <c r="W4477" s="5" t="s">
        <v>69</v>
      </c>
      <c r="X4477" s="5" t="s">
        <v>69</v>
      </c>
      <c r="Y4477" s="4">
        <v>584</v>
      </c>
      <c r="Z4477" s="4">
        <v>24</v>
      </c>
      <c r="AA4477" s="4">
        <v>32</v>
      </c>
      <c r="AB4477" s="4">
        <v>4</v>
      </c>
      <c r="AC4477" s="4">
        <v>5</v>
      </c>
      <c r="AD4477" s="4">
        <v>93</v>
      </c>
      <c r="AE4477" s="4">
        <v>107</v>
      </c>
      <c r="AF4477" s="4">
        <v>2</v>
      </c>
      <c r="AG4477" s="4">
        <v>2</v>
      </c>
      <c r="AH4477" s="4">
        <v>79</v>
      </c>
      <c r="AI4477" s="4">
        <v>91</v>
      </c>
      <c r="AJ4477" s="4">
        <v>12</v>
      </c>
      <c r="AK4477" s="4">
        <v>15</v>
      </c>
      <c r="AL4477" s="4">
        <v>43</v>
      </c>
      <c r="AM4477" s="4">
        <v>52</v>
      </c>
      <c r="AN4477" s="4">
        <v>0</v>
      </c>
      <c r="AO4477" s="4">
        <v>0</v>
      </c>
      <c r="AP4477" s="4">
        <v>17</v>
      </c>
      <c r="AQ4477" s="4">
        <v>21</v>
      </c>
      <c r="AR4477" s="3" t="s">
        <v>63</v>
      </c>
      <c r="AS4477" s="3" t="s">
        <v>63</v>
      </c>
      <c r="AT4477" s="3" t="s">
        <v>62</v>
      </c>
      <c r="AU4477" s="6" t="str">
        <f>HYPERLINK("http://catalog.hathitrust.org/Record/001244280","HathiTrust Record")</f>
        <v>HathiTrust Record</v>
      </c>
      <c r="AV4477" s="6" t="str">
        <f>HYPERLINK("http://mcgill.on.worldcat.org/oclc/704781","Catalog Record")</f>
        <v>Catalog Record</v>
      </c>
      <c r="AW4477" s="6" t="str">
        <f>HYPERLINK("http://www.worldcat.org/oclc/704781","WorldCat Record")</f>
        <v>WorldCat Record</v>
      </c>
      <c r="AX4477" s="3" t="s">
        <v>38731</v>
      </c>
      <c r="AY4477" s="3" t="s">
        <v>38732</v>
      </c>
      <c r="AZ4477" s="3" t="s">
        <v>38733</v>
      </c>
      <c r="BA4477" s="3" t="s">
        <v>38733</v>
      </c>
      <c r="BB4477" s="3" t="s">
        <v>38734</v>
      </c>
      <c r="BC4477" s="3" t="s">
        <v>82</v>
      </c>
      <c r="BD4477" s="3" t="s">
        <v>70</v>
      </c>
      <c r="BE4477" s="3" t="s">
        <v>38735</v>
      </c>
      <c r="BF4477" s="3" t="s">
        <v>38734</v>
      </c>
      <c r="BG4477" s="3" t="s">
        <v>38736</v>
      </c>
    </row>
    <row r="4478" spans="1:59" ht="60" x14ac:dyDescent="0.25">
      <c r="A4478" s="2" t="s">
        <v>59</v>
      </c>
      <c r="B4478" s="2" t="s">
        <v>60</v>
      </c>
      <c r="C4478" s="2" t="s">
        <v>38737</v>
      </c>
      <c r="D4478" s="2" t="s">
        <v>38738</v>
      </c>
      <c r="E4478" s="2" t="s">
        <v>38739</v>
      </c>
      <c r="G4478" s="3" t="s">
        <v>63</v>
      </c>
      <c r="I4478" s="3" t="s">
        <v>63</v>
      </c>
      <c r="J4478" s="3" t="s">
        <v>62</v>
      </c>
      <c r="K4478" s="3" t="s">
        <v>64</v>
      </c>
      <c r="L4478" s="2" t="s">
        <v>38706</v>
      </c>
      <c r="M4478" s="2" t="s">
        <v>4635</v>
      </c>
      <c r="N4478" s="3" t="s">
        <v>274</v>
      </c>
      <c r="P4478" s="3" t="s">
        <v>66</v>
      </c>
      <c r="R4478" s="3" t="s">
        <v>67</v>
      </c>
      <c r="S4478" s="4">
        <v>19</v>
      </c>
      <c r="T4478" s="4">
        <v>19</v>
      </c>
      <c r="U4478" s="5" t="s">
        <v>38740</v>
      </c>
      <c r="V4478" s="5" t="s">
        <v>38740</v>
      </c>
      <c r="W4478" s="5" t="s">
        <v>69</v>
      </c>
      <c r="X4478" s="5" t="s">
        <v>69</v>
      </c>
      <c r="Y4478" s="4">
        <v>74</v>
      </c>
      <c r="Z4478" s="4">
        <v>3</v>
      </c>
      <c r="AA4478" s="4">
        <v>27</v>
      </c>
      <c r="AB4478" s="4">
        <v>2</v>
      </c>
      <c r="AC4478" s="4">
        <v>5</v>
      </c>
      <c r="AD4478" s="4">
        <v>15</v>
      </c>
      <c r="AE4478" s="4">
        <v>106</v>
      </c>
      <c r="AF4478" s="4">
        <v>0</v>
      </c>
      <c r="AG4478" s="4">
        <v>1</v>
      </c>
      <c r="AH4478" s="4">
        <v>14</v>
      </c>
      <c r="AI4478" s="4">
        <v>93</v>
      </c>
      <c r="AJ4478" s="4">
        <v>1</v>
      </c>
      <c r="AK4478" s="4">
        <v>9</v>
      </c>
      <c r="AL4478" s="4">
        <v>8</v>
      </c>
      <c r="AM4478" s="4">
        <v>53</v>
      </c>
      <c r="AN4478" s="4">
        <v>0</v>
      </c>
      <c r="AO4478" s="4">
        <v>0</v>
      </c>
      <c r="AP4478" s="4">
        <v>1</v>
      </c>
      <c r="AQ4478" s="4">
        <v>16</v>
      </c>
      <c r="AR4478" s="3" t="s">
        <v>63</v>
      </c>
      <c r="AS4478" s="3" t="s">
        <v>63</v>
      </c>
      <c r="AT4478" s="3" t="s">
        <v>63</v>
      </c>
      <c r="AV4478" s="6" t="str">
        <f>HYPERLINK("http://mcgill.on.worldcat.org/oclc/42021520","Catalog Record")</f>
        <v>Catalog Record</v>
      </c>
      <c r="AW4478" s="6" t="str">
        <f>HYPERLINK("http://www.worldcat.org/oclc/42021520","WorldCat Record")</f>
        <v>WorldCat Record</v>
      </c>
      <c r="AX4478" s="3" t="s">
        <v>38741</v>
      </c>
      <c r="AY4478" s="3" t="s">
        <v>38742</v>
      </c>
      <c r="AZ4478" s="3" t="s">
        <v>38743</v>
      </c>
      <c r="BA4478" s="3" t="s">
        <v>38743</v>
      </c>
      <c r="BB4478" s="3" t="s">
        <v>38744</v>
      </c>
      <c r="BC4478" s="3" t="s">
        <v>82</v>
      </c>
      <c r="BD4478" s="3" t="s">
        <v>70</v>
      </c>
      <c r="BE4478" s="3" t="s">
        <v>38745</v>
      </c>
      <c r="BF4478" s="3" t="s">
        <v>38744</v>
      </c>
      <c r="BG4478" s="3" t="s">
        <v>38746</v>
      </c>
    </row>
    <row r="4479" spans="1:59" ht="60" x14ac:dyDescent="0.25">
      <c r="A4479" s="2" t="s">
        <v>59</v>
      </c>
      <c r="B4479" s="2" t="s">
        <v>60</v>
      </c>
      <c r="C4479" s="2" t="s">
        <v>38747</v>
      </c>
      <c r="D4479" s="2" t="s">
        <v>38748</v>
      </c>
      <c r="E4479" s="2" t="s">
        <v>38739</v>
      </c>
      <c r="G4479" s="3" t="s">
        <v>63</v>
      </c>
      <c r="I4479" s="3" t="s">
        <v>63</v>
      </c>
      <c r="J4479" s="3" t="s">
        <v>62</v>
      </c>
      <c r="K4479" s="3" t="s">
        <v>64</v>
      </c>
      <c r="L4479" s="2" t="s">
        <v>38706</v>
      </c>
      <c r="M4479" s="2" t="s">
        <v>38749</v>
      </c>
      <c r="N4479" s="3" t="s">
        <v>849</v>
      </c>
      <c r="O4479" s="2" t="s">
        <v>590</v>
      </c>
      <c r="P4479" s="3" t="s">
        <v>66</v>
      </c>
      <c r="R4479" s="3" t="s">
        <v>67</v>
      </c>
      <c r="S4479" s="4">
        <v>16</v>
      </c>
      <c r="T4479" s="4">
        <v>16</v>
      </c>
      <c r="U4479" s="5" t="s">
        <v>36747</v>
      </c>
      <c r="V4479" s="5" t="s">
        <v>36747</v>
      </c>
      <c r="W4479" s="5" t="s">
        <v>69</v>
      </c>
      <c r="X4479" s="5" t="s">
        <v>69</v>
      </c>
      <c r="Y4479" s="4">
        <v>447</v>
      </c>
      <c r="Z4479" s="4">
        <v>23</v>
      </c>
      <c r="AA4479" s="4">
        <v>27</v>
      </c>
      <c r="AB4479" s="4">
        <v>2</v>
      </c>
      <c r="AC4479" s="4">
        <v>5</v>
      </c>
      <c r="AD4479" s="4">
        <v>99</v>
      </c>
      <c r="AE4479" s="4">
        <v>106</v>
      </c>
      <c r="AF4479" s="4">
        <v>1</v>
      </c>
      <c r="AG4479" s="4">
        <v>1</v>
      </c>
      <c r="AH4479" s="4">
        <v>88</v>
      </c>
      <c r="AI4479" s="4">
        <v>93</v>
      </c>
      <c r="AJ4479" s="4">
        <v>9</v>
      </c>
      <c r="AK4479" s="4">
        <v>9</v>
      </c>
      <c r="AL4479" s="4">
        <v>49</v>
      </c>
      <c r="AM4479" s="4">
        <v>53</v>
      </c>
      <c r="AN4479" s="4">
        <v>0</v>
      </c>
      <c r="AO4479" s="4">
        <v>0</v>
      </c>
      <c r="AP4479" s="4">
        <v>15</v>
      </c>
      <c r="AQ4479" s="4">
        <v>16</v>
      </c>
      <c r="AR4479" s="3" t="s">
        <v>63</v>
      </c>
      <c r="AS4479" s="3" t="s">
        <v>63</v>
      </c>
      <c r="AT4479" s="3" t="s">
        <v>62</v>
      </c>
      <c r="AU4479" s="6" t="str">
        <f>HYPERLINK("http://catalog.hathitrust.org/Record/000256347","HathiTrust Record")</f>
        <v>HathiTrust Record</v>
      </c>
      <c r="AV4479" s="6" t="str">
        <f>HYPERLINK("http://mcgill.on.worldcat.org/oclc/4495952","Catalog Record")</f>
        <v>Catalog Record</v>
      </c>
      <c r="AW4479" s="6" t="str">
        <f>HYPERLINK("http://www.worldcat.org/oclc/4495952","WorldCat Record")</f>
        <v>WorldCat Record</v>
      </c>
      <c r="AX4479" s="3" t="s">
        <v>38741</v>
      </c>
      <c r="AY4479" s="3" t="s">
        <v>38750</v>
      </c>
      <c r="AZ4479" s="3" t="s">
        <v>38751</v>
      </c>
      <c r="BA4479" s="3" t="s">
        <v>38751</v>
      </c>
      <c r="BB4479" s="3" t="s">
        <v>38752</v>
      </c>
      <c r="BC4479" s="3" t="s">
        <v>82</v>
      </c>
      <c r="BD4479" s="3" t="s">
        <v>70</v>
      </c>
      <c r="BE4479" s="3" t="s">
        <v>38753</v>
      </c>
      <c r="BF4479" s="3" t="s">
        <v>38752</v>
      </c>
      <c r="BG4479" s="3" t="s">
        <v>38754</v>
      </c>
    </row>
    <row r="4480" spans="1:59" ht="75" x14ac:dyDescent="0.25">
      <c r="A4480" s="2" t="s">
        <v>59</v>
      </c>
      <c r="B4480" s="2" t="s">
        <v>60</v>
      </c>
      <c r="C4480" s="2" t="s">
        <v>38755</v>
      </c>
      <c r="D4480" s="2" t="s">
        <v>38756</v>
      </c>
      <c r="E4480" s="2" t="s">
        <v>38757</v>
      </c>
      <c r="G4480" s="3" t="s">
        <v>63</v>
      </c>
      <c r="I4480" s="3" t="s">
        <v>63</v>
      </c>
      <c r="J4480" s="3" t="s">
        <v>62</v>
      </c>
      <c r="K4480" s="3" t="s">
        <v>64</v>
      </c>
      <c r="L4480" s="2" t="s">
        <v>38706</v>
      </c>
      <c r="M4480" s="2" t="s">
        <v>14724</v>
      </c>
      <c r="N4480" s="3" t="s">
        <v>1343</v>
      </c>
      <c r="P4480" s="3" t="s">
        <v>66</v>
      </c>
      <c r="R4480" s="3" t="s">
        <v>67</v>
      </c>
      <c r="S4480" s="4">
        <v>13</v>
      </c>
      <c r="T4480" s="4">
        <v>13</v>
      </c>
      <c r="U4480" s="5" t="s">
        <v>18489</v>
      </c>
      <c r="V4480" s="5" t="s">
        <v>18489</v>
      </c>
      <c r="W4480" s="5" t="s">
        <v>69</v>
      </c>
      <c r="X4480" s="5" t="s">
        <v>69</v>
      </c>
      <c r="Y4480" s="4">
        <v>64</v>
      </c>
      <c r="Z4480" s="4">
        <v>3</v>
      </c>
      <c r="AA4480" s="4">
        <v>7</v>
      </c>
      <c r="AB4480" s="4">
        <v>2</v>
      </c>
      <c r="AC4480" s="4">
        <v>2</v>
      </c>
      <c r="AD4480" s="4">
        <v>19</v>
      </c>
      <c r="AE4480" s="4">
        <v>23</v>
      </c>
      <c r="AF4480" s="4">
        <v>0</v>
      </c>
      <c r="AG4480" s="4">
        <v>0</v>
      </c>
      <c r="AH4480" s="4">
        <v>18</v>
      </c>
      <c r="AI4480" s="4">
        <v>22</v>
      </c>
      <c r="AJ4480" s="4">
        <v>1</v>
      </c>
      <c r="AK4480" s="4">
        <v>4</v>
      </c>
      <c r="AL4480" s="4">
        <v>7</v>
      </c>
      <c r="AM4480" s="4">
        <v>9</v>
      </c>
      <c r="AN4480" s="4">
        <v>0</v>
      </c>
      <c r="AO4480" s="4">
        <v>0</v>
      </c>
      <c r="AP4480" s="4">
        <v>1</v>
      </c>
      <c r="AQ4480" s="4">
        <v>4</v>
      </c>
      <c r="AR4480" s="3" t="s">
        <v>63</v>
      </c>
      <c r="AS4480" s="3" t="s">
        <v>63</v>
      </c>
      <c r="AT4480" s="3" t="s">
        <v>63</v>
      </c>
      <c r="AV4480" s="6" t="str">
        <f>HYPERLINK("http://mcgill.on.worldcat.org/oclc/42861765","Catalog Record")</f>
        <v>Catalog Record</v>
      </c>
      <c r="AW4480" s="6" t="str">
        <f>HYPERLINK("http://www.worldcat.org/oclc/42861765","WorldCat Record")</f>
        <v>WorldCat Record</v>
      </c>
      <c r="AX4480" s="3" t="s">
        <v>38758</v>
      </c>
      <c r="AY4480" s="3" t="s">
        <v>38759</v>
      </c>
      <c r="AZ4480" s="3" t="s">
        <v>38760</v>
      </c>
      <c r="BA4480" s="3" t="s">
        <v>38760</v>
      </c>
      <c r="BB4480" s="3" t="s">
        <v>38761</v>
      </c>
      <c r="BC4480" s="3" t="s">
        <v>82</v>
      </c>
      <c r="BD4480" s="3" t="s">
        <v>70</v>
      </c>
      <c r="BE4480" s="3" t="s">
        <v>38762</v>
      </c>
      <c r="BF4480" s="3" t="s">
        <v>38761</v>
      </c>
      <c r="BG4480" s="3" t="s">
        <v>38763</v>
      </c>
    </row>
    <row r="4481" spans="1:59" ht="60" x14ac:dyDescent="0.25">
      <c r="A4481" s="2" t="s">
        <v>59</v>
      </c>
      <c r="B4481" s="2" t="s">
        <v>60</v>
      </c>
      <c r="C4481" s="2" t="s">
        <v>38764</v>
      </c>
      <c r="D4481" s="2" t="s">
        <v>38765</v>
      </c>
      <c r="E4481" s="2" t="s">
        <v>38766</v>
      </c>
      <c r="G4481" s="3" t="s">
        <v>63</v>
      </c>
      <c r="I4481" s="3" t="s">
        <v>63</v>
      </c>
      <c r="J4481" s="3" t="s">
        <v>63</v>
      </c>
      <c r="K4481" s="3" t="s">
        <v>64</v>
      </c>
      <c r="L4481" s="2" t="s">
        <v>38706</v>
      </c>
      <c r="M4481" s="2" t="s">
        <v>38767</v>
      </c>
      <c r="N4481" s="3" t="s">
        <v>468</v>
      </c>
      <c r="P4481" s="3" t="s">
        <v>66</v>
      </c>
      <c r="Q4481" s="2" t="s">
        <v>28383</v>
      </c>
      <c r="R4481" s="3" t="s">
        <v>67</v>
      </c>
      <c r="S4481" s="4">
        <v>11</v>
      </c>
      <c r="T4481" s="4">
        <v>11</v>
      </c>
      <c r="U4481" s="5" t="s">
        <v>18489</v>
      </c>
      <c r="V4481" s="5" t="s">
        <v>18489</v>
      </c>
      <c r="W4481" s="5" t="s">
        <v>69</v>
      </c>
      <c r="X4481" s="5" t="s">
        <v>69</v>
      </c>
      <c r="Y4481" s="4">
        <v>567</v>
      </c>
      <c r="Z4481" s="4">
        <v>21</v>
      </c>
      <c r="AA4481" s="4">
        <v>40</v>
      </c>
      <c r="AB4481" s="4">
        <v>3</v>
      </c>
      <c r="AC4481" s="4">
        <v>6</v>
      </c>
      <c r="AD4481" s="4">
        <v>88</v>
      </c>
      <c r="AE4481" s="4">
        <v>121</v>
      </c>
      <c r="AF4481" s="4">
        <v>1</v>
      </c>
      <c r="AG4481" s="4">
        <v>2</v>
      </c>
      <c r="AH4481" s="4">
        <v>77</v>
      </c>
      <c r="AI4481" s="4">
        <v>104</v>
      </c>
      <c r="AJ4481" s="4">
        <v>16</v>
      </c>
      <c r="AK4481" s="4">
        <v>20</v>
      </c>
      <c r="AL4481" s="4">
        <v>46</v>
      </c>
      <c r="AM4481" s="4">
        <v>60</v>
      </c>
      <c r="AN4481" s="4">
        <v>0</v>
      </c>
      <c r="AO4481" s="4">
        <v>1</v>
      </c>
      <c r="AP4481" s="4">
        <v>16</v>
      </c>
      <c r="AQ4481" s="4">
        <v>23</v>
      </c>
      <c r="AR4481" s="3" t="s">
        <v>63</v>
      </c>
      <c r="AS4481" s="3" t="s">
        <v>63</v>
      </c>
      <c r="AT4481" s="3" t="s">
        <v>63</v>
      </c>
      <c r="AV4481" s="6" t="str">
        <f>HYPERLINK("http://mcgill.on.worldcat.org/oclc/1976853","Catalog Record")</f>
        <v>Catalog Record</v>
      </c>
      <c r="AW4481" s="6" t="str">
        <f>HYPERLINK("http://www.worldcat.org/oclc/1976853","WorldCat Record")</f>
        <v>WorldCat Record</v>
      </c>
      <c r="AX4481" s="3" t="s">
        <v>38768</v>
      </c>
      <c r="AY4481" s="3" t="s">
        <v>38769</v>
      </c>
      <c r="AZ4481" s="3" t="s">
        <v>38770</v>
      </c>
      <c r="BA4481" s="3" t="s">
        <v>38770</v>
      </c>
      <c r="BB4481" s="3" t="s">
        <v>38771</v>
      </c>
      <c r="BC4481" s="3" t="s">
        <v>82</v>
      </c>
      <c r="BD4481" s="3" t="s">
        <v>70</v>
      </c>
      <c r="BE4481" s="3" t="s">
        <v>38772</v>
      </c>
      <c r="BF4481" s="3" t="s">
        <v>38771</v>
      </c>
      <c r="BG4481" s="3" t="s">
        <v>38773</v>
      </c>
    </row>
    <row r="4482" spans="1:59" ht="60" x14ac:dyDescent="0.25">
      <c r="A4482" s="2" t="s">
        <v>59</v>
      </c>
      <c r="B4482" s="2" t="s">
        <v>60</v>
      </c>
      <c r="C4482" s="2" t="s">
        <v>38774</v>
      </c>
      <c r="D4482" s="2" t="s">
        <v>38775</v>
      </c>
      <c r="E4482" s="2" t="s">
        <v>38776</v>
      </c>
      <c r="G4482" s="3" t="s">
        <v>63</v>
      </c>
      <c r="I4482" s="3" t="s">
        <v>63</v>
      </c>
      <c r="J4482" s="3" t="s">
        <v>63</v>
      </c>
      <c r="K4482" s="3" t="s">
        <v>64</v>
      </c>
      <c r="L4482" s="2" t="s">
        <v>38718</v>
      </c>
      <c r="M4482" s="2" t="s">
        <v>38777</v>
      </c>
      <c r="N4482" s="3" t="s">
        <v>161</v>
      </c>
      <c r="O4482" s="2" t="s">
        <v>590</v>
      </c>
      <c r="P4482" s="3" t="s">
        <v>66</v>
      </c>
      <c r="R4482" s="3" t="s">
        <v>67</v>
      </c>
      <c r="S4482" s="4">
        <v>12</v>
      </c>
      <c r="T4482" s="4">
        <v>12</v>
      </c>
      <c r="U4482" s="5" t="s">
        <v>38778</v>
      </c>
      <c r="V4482" s="5" t="s">
        <v>38778</v>
      </c>
      <c r="W4482" s="5" t="s">
        <v>69</v>
      </c>
      <c r="X4482" s="5" t="s">
        <v>69</v>
      </c>
      <c r="Y4482" s="4">
        <v>635</v>
      </c>
      <c r="Z4482" s="4">
        <v>20</v>
      </c>
      <c r="AA4482" s="4">
        <v>23</v>
      </c>
      <c r="AB4482" s="4">
        <v>2</v>
      </c>
      <c r="AC4482" s="4">
        <v>4</v>
      </c>
      <c r="AD4482" s="4">
        <v>77</v>
      </c>
      <c r="AE4482" s="4">
        <v>82</v>
      </c>
      <c r="AF4482" s="4">
        <v>0</v>
      </c>
      <c r="AG4482" s="4">
        <v>0</v>
      </c>
      <c r="AH4482" s="4">
        <v>75</v>
      </c>
      <c r="AI4482" s="4">
        <v>77</v>
      </c>
      <c r="AJ4482" s="4">
        <v>8</v>
      </c>
      <c r="AK4482" s="4">
        <v>9</v>
      </c>
      <c r="AL4482" s="4">
        <v>41</v>
      </c>
      <c r="AM4482" s="4">
        <v>45</v>
      </c>
      <c r="AN4482" s="4">
        <v>0</v>
      </c>
      <c r="AO4482" s="4">
        <v>0</v>
      </c>
      <c r="AP4482" s="4">
        <v>9</v>
      </c>
      <c r="AQ4482" s="4">
        <v>10</v>
      </c>
      <c r="AR4482" s="3" t="s">
        <v>63</v>
      </c>
      <c r="AS4482" s="3" t="s">
        <v>63</v>
      </c>
      <c r="AT4482" s="3" t="s">
        <v>62</v>
      </c>
      <c r="AU4482" s="6" t="str">
        <f>HYPERLINK("http://catalog.hathitrust.org/Record/002449856","HathiTrust Record")</f>
        <v>HathiTrust Record</v>
      </c>
      <c r="AV4482" s="6" t="str">
        <f>HYPERLINK("http://mcgill.on.worldcat.org/oclc/19324099","Catalog Record")</f>
        <v>Catalog Record</v>
      </c>
      <c r="AW4482" s="6" t="str">
        <f>HYPERLINK("http://www.worldcat.org/oclc/19324099","WorldCat Record")</f>
        <v>WorldCat Record</v>
      </c>
      <c r="AX4482" s="3" t="s">
        <v>38779</v>
      </c>
      <c r="AY4482" s="3" t="s">
        <v>38780</v>
      </c>
      <c r="AZ4482" s="3" t="s">
        <v>38781</v>
      </c>
      <c r="BA4482" s="3" t="s">
        <v>38781</v>
      </c>
      <c r="BB4482" s="3" t="s">
        <v>38782</v>
      </c>
      <c r="BC4482" s="3" t="s">
        <v>82</v>
      </c>
      <c r="BD4482" s="3" t="s">
        <v>70</v>
      </c>
      <c r="BE4482" s="3" t="s">
        <v>38783</v>
      </c>
      <c r="BF4482" s="3" t="s">
        <v>38782</v>
      </c>
      <c r="BG4482" s="3" t="s">
        <v>38784</v>
      </c>
    </row>
    <row r="4483" spans="1:59" ht="60" x14ac:dyDescent="0.25">
      <c r="A4483" s="2" t="s">
        <v>59</v>
      </c>
      <c r="B4483" s="2" t="s">
        <v>60</v>
      </c>
      <c r="C4483" s="2" t="s">
        <v>38785</v>
      </c>
      <c r="D4483" s="2" t="s">
        <v>38786</v>
      </c>
      <c r="E4483" s="2" t="s">
        <v>38787</v>
      </c>
      <c r="G4483" s="3" t="s">
        <v>63</v>
      </c>
      <c r="I4483" s="3" t="s">
        <v>63</v>
      </c>
      <c r="J4483" s="3" t="s">
        <v>63</v>
      </c>
      <c r="K4483" s="3" t="s">
        <v>64</v>
      </c>
      <c r="L4483" s="2" t="s">
        <v>38706</v>
      </c>
      <c r="M4483" s="2" t="s">
        <v>20067</v>
      </c>
      <c r="N4483" s="3" t="s">
        <v>1418</v>
      </c>
      <c r="O4483" s="2" t="s">
        <v>590</v>
      </c>
      <c r="P4483" s="3" t="s">
        <v>66</v>
      </c>
      <c r="R4483" s="3" t="s">
        <v>67</v>
      </c>
      <c r="S4483" s="4">
        <v>17</v>
      </c>
      <c r="T4483" s="4">
        <v>17</v>
      </c>
      <c r="U4483" s="5" t="s">
        <v>17391</v>
      </c>
      <c r="V4483" s="5" t="s">
        <v>17391</v>
      </c>
      <c r="W4483" s="5" t="s">
        <v>69</v>
      </c>
      <c r="X4483" s="5" t="s">
        <v>69</v>
      </c>
      <c r="Y4483" s="4">
        <v>661</v>
      </c>
      <c r="Z4483" s="4">
        <v>21</v>
      </c>
      <c r="AA4483" s="4">
        <v>27</v>
      </c>
      <c r="AB4483" s="4">
        <v>2</v>
      </c>
      <c r="AC4483" s="4">
        <v>5</v>
      </c>
      <c r="AD4483" s="4">
        <v>90</v>
      </c>
      <c r="AE4483" s="4">
        <v>95</v>
      </c>
      <c r="AF4483" s="4">
        <v>1</v>
      </c>
      <c r="AG4483" s="4">
        <v>1</v>
      </c>
      <c r="AH4483" s="4">
        <v>84</v>
      </c>
      <c r="AI4483" s="4">
        <v>89</v>
      </c>
      <c r="AJ4483" s="4">
        <v>11</v>
      </c>
      <c r="AK4483" s="4">
        <v>11</v>
      </c>
      <c r="AL4483" s="4">
        <v>48</v>
      </c>
      <c r="AM4483" s="4">
        <v>52</v>
      </c>
      <c r="AN4483" s="4">
        <v>0</v>
      </c>
      <c r="AO4483" s="4">
        <v>2</v>
      </c>
      <c r="AP4483" s="4">
        <v>13</v>
      </c>
      <c r="AQ4483" s="4">
        <v>14</v>
      </c>
      <c r="AR4483" s="3" t="s">
        <v>63</v>
      </c>
      <c r="AS4483" s="3" t="s">
        <v>63</v>
      </c>
      <c r="AT4483" s="3" t="s">
        <v>62</v>
      </c>
      <c r="AU4483" s="6" t="str">
        <f>HYPERLINK("http://catalog.hathitrust.org/Record/002471077","HathiTrust Record")</f>
        <v>HathiTrust Record</v>
      </c>
      <c r="AV4483" s="6" t="str">
        <f>HYPERLINK("http://mcgill.on.worldcat.org/oclc/14967355","Catalog Record")</f>
        <v>Catalog Record</v>
      </c>
      <c r="AW4483" s="6" t="str">
        <f>HYPERLINK("http://www.worldcat.org/oclc/14967355","WorldCat Record")</f>
        <v>WorldCat Record</v>
      </c>
      <c r="AX4483" s="3" t="s">
        <v>38788</v>
      </c>
      <c r="AY4483" s="3" t="s">
        <v>38789</v>
      </c>
      <c r="AZ4483" s="3" t="s">
        <v>38790</v>
      </c>
      <c r="BA4483" s="3" t="s">
        <v>38790</v>
      </c>
      <c r="BB4483" s="3" t="s">
        <v>38791</v>
      </c>
      <c r="BC4483" s="3" t="s">
        <v>82</v>
      </c>
      <c r="BD4483" s="3" t="s">
        <v>70</v>
      </c>
      <c r="BE4483" s="3" t="s">
        <v>38792</v>
      </c>
      <c r="BF4483" s="3" t="s">
        <v>38791</v>
      </c>
      <c r="BG4483" s="3" t="s">
        <v>38793</v>
      </c>
    </row>
    <row r="4484" spans="1:59" ht="60" x14ac:dyDescent="0.25">
      <c r="A4484" s="2" t="s">
        <v>59</v>
      </c>
      <c r="B4484" s="2" t="s">
        <v>60</v>
      </c>
      <c r="C4484" s="2" t="s">
        <v>38794</v>
      </c>
      <c r="D4484" s="2" t="s">
        <v>38795</v>
      </c>
      <c r="E4484" s="2" t="s">
        <v>38796</v>
      </c>
      <c r="G4484" s="3" t="s">
        <v>63</v>
      </c>
      <c r="I4484" s="3" t="s">
        <v>63</v>
      </c>
      <c r="J4484" s="3" t="s">
        <v>63</v>
      </c>
      <c r="K4484" s="3" t="s">
        <v>64</v>
      </c>
      <c r="L4484" s="2" t="s">
        <v>38706</v>
      </c>
      <c r="M4484" s="2" t="s">
        <v>4635</v>
      </c>
      <c r="N4484" s="3" t="s">
        <v>274</v>
      </c>
      <c r="P4484" s="3" t="s">
        <v>66</v>
      </c>
      <c r="R4484" s="3" t="s">
        <v>67</v>
      </c>
      <c r="S4484" s="4">
        <v>28</v>
      </c>
      <c r="T4484" s="4">
        <v>28</v>
      </c>
      <c r="U4484" s="5" t="s">
        <v>3301</v>
      </c>
      <c r="V4484" s="5" t="s">
        <v>3301</v>
      </c>
      <c r="W4484" s="5" t="s">
        <v>69</v>
      </c>
      <c r="X4484" s="5" t="s">
        <v>69</v>
      </c>
      <c r="Y4484" s="4">
        <v>110</v>
      </c>
      <c r="Z4484" s="4">
        <v>4</v>
      </c>
      <c r="AA4484" s="4">
        <v>30</v>
      </c>
      <c r="AB4484" s="4">
        <v>2</v>
      </c>
      <c r="AC4484" s="4">
        <v>4</v>
      </c>
      <c r="AD4484" s="4">
        <v>18</v>
      </c>
      <c r="AE4484" s="4">
        <v>100</v>
      </c>
      <c r="AF4484" s="4">
        <v>0</v>
      </c>
      <c r="AG4484" s="4">
        <v>0</v>
      </c>
      <c r="AH4484" s="4">
        <v>18</v>
      </c>
      <c r="AI4484" s="4">
        <v>88</v>
      </c>
      <c r="AJ4484" s="4">
        <v>1</v>
      </c>
      <c r="AK4484" s="4">
        <v>17</v>
      </c>
      <c r="AL4484" s="4">
        <v>8</v>
      </c>
      <c r="AM4484" s="4">
        <v>48</v>
      </c>
      <c r="AN4484" s="4">
        <v>0</v>
      </c>
      <c r="AO4484" s="4">
        <v>0</v>
      </c>
      <c r="AP4484" s="4">
        <v>1</v>
      </c>
      <c r="AQ4484" s="4">
        <v>18</v>
      </c>
      <c r="AR4484" s="3" t="s">
        <v>63</v>
      </c>
      <c r="AS4484" s="3" t="s">
        <v>63</v>
      </c>
      <c r="AT4484" s="3" t="s">
        <v>63</v>
      </c>
      <c r="AV4484" s="6" t="str">
        <f>HYPERLINK("http://mcgill.on.worldcat.org/oclc/41981987","Catalog Record")</f>
        <v>Catalog Record</v>
      </c>
      <c r="AW4484" s="6" t="str">
        <f>HYPERLINK("http://www.worldcat.org/oclc/41981987","WorldCat Record")</f>
        <v>WorldCat Record</v>
      </c>
      <c r="AX4484" s="3" t="s">
        <v>38797</v>
      </c>
      <c r="AY4484" s="3" t="s">
        <v>38798</v>
      </c>
      <c r="AZ4484" s="3" t="s">
        <v>38799</v>
      </c>
      <c r="BA4484" s="3" t="s">
        <v>38799</v>
      </c>
      <c r="BB4484" s="3" t="s">
        <v>38800</v>
      </c>
      <c r="BC4484" s="3" t="s">
        <v>82</v>
      </c>
      <c r="BD4484" s="3" t="s">
        <v>538</v>
      </c>
      <c r="BE4484" s="3" t="s">
        <v>38801</v>
      </c>
      <c r="BF4484" s="3" t="s">
        <v>38800</v>
      </c>
      <c r="BG4484" s="3" t="s">
        <v>38802</v>
      </c>
    </row>
    <row r="4485" spans="1:59" ht="60" x14ac:dyDescent="0.25">
      <c r="A4485" s="2" t="s">
        <v>59</v>
      </c>
      <c r="B4485" s="2" t="s">
        <v>60</v>
      </c>
      <c r="C4485" s="2" t="s">
        <v>38803</v>
      </c>
      <c r="D4485" s="2" t="s">
        <v>38804</v>
      </c>
      <c r="E4485" s="2" t="s">
        <v>38805</v>
      </c>
      <c r="G4485" s="3" t="s">
        <v>63</v>
      </c>
      <c r="I4485" s="3" t="s">
        <v>63</v>
      </c>
      <c r="J4485" s="3" t="s">
        <v>62</v>
      </c>
      <c r="K4485" s="3" t="s">
        <v>64</v>
      </c>
      <c r="L4485" s="2" t="s">
        <v>38706</v>
      </c>
      <c r="M4485" s="2" t="s">
        <v>14724</v>
      </c>
      <c r="N4485" s="3" t="s">
        <v>1343</v>
      </c>
      <c r="P4485" s="3" t="s">
        <v>66</v>
      </c>
      <c r="R4485" s="3" t="s">
        <v>67</v>
      </c>
      <c r="S4485" s="4">
        <v>10</v>
      </c>
      <c r="T4485" s="4">
        <v>10</v>
      </c>
      <c r="U4485" s="5" t="s">
        <v>469</v>
      </c>
      <c r="V4485" s="5" t="s">
        <v>469</v>
      </c>
      <c r="W4485" s="5" t="s">
        <v>69</v>
      </c>
      <c r="X4485" s="5" t="s">
        <v>69</v>
      </c>
      <c r="Y4485" s="4">
        <v>57</v>
      </c>
      <c r="Z4485" s="4">
        <v>1</v>
      </c>
      <c r="AA4485" s="4">
        <v>27</v>
      </c>
      <c r="AB4485" s="4">
        <v>1</v>
      </c>
      <c r="AC4485" s="4">
        <v>4</v>
      </c>
      <c r="AD4485" s="4">
        <v>19</v>
      </c>
      <c r="AE4485" s="4">
        <v>104</v>
      </c>
      <c r="AF4485" s="4">
        <v>0</v>
      </c>
      <c r="AG4485" s="4">
        <v>1</v>
      </c>
      <c r="AH4485" s="4">
        <v>19</v>
      </c>
      <c r="AI4485" s="4">
        <v>94</v>
      </c>
      <c r="AJ4485" s="4">
        <v>0</v>
      </c>
      <c r="AK4485" s="4">
        <v>16</v>
      </c>
      <c r="AL4485" s="4">
        <v>10</v>
      </c>
      <c r="AM4485" s="4">
        <v>51</v>
      </c>
      <c r="AN4485" s="4">
        <v>0</v>
      </c>
      <c r="AO4485" s="4">
        <v>0</v>
      </c>
      <c r="AP4485" s="4">
        <v>0</v>
      </c>
      <c r="AQ4485" s="4">
        <v>17</v>
      </c>
      <c r="AR4485" s="3" t="s">
        <v>63</v>
      </c>
      <c r="AS4485" s="3" t="s">
        <v>63</v>
      </c>
      <c r="AT4485" s="3" t="s">
        <v>63</v>
      </c>
      <c r="AV4485" s="6" t="str">
        <f>HYPERLINK("http://mcgill.on.worldcat.org/oclc/42861747","Catalog Record")</f>
        <v>Catalog Record</v>
      </c>
      <c r="AW4485" s="6" t="str">
        <f>HYPERLINK("http://www.worldcat.org/oclc/42861747","WorldCat Record")</f>
        <v>WorldCat Record</v>
      </c>
      <c r="AX4485" s="3" t="s">
        <v>38806</v>
      </c>
      <c r="AY4485" s="3" t="s">
        <v>38807</v>
      </c>
      <c r="AZ4485" s="3" t="s">
        <v>38808</v>
      </c>
      <c r="BA4485" s="3" t="s">
        <v>38808</v>
      </c>
      <c r="BB4485" s="3" t="s">
        <v>38809</v>
      </c>
      <c r="BC4485" s="3" t="s">
        <v>82</v>
      </c>
      <c r="BD4485" s="3" t="s">
        <v>70</v>
      </c>
      <c r="BE4485" s="3" t="s">
        <v>38810</v>
      </c>
      <c r="BF4485" s="3" t="s">
        <v>38809</v>
      </c>
      <c r="BG4485" s="3" t="s">
        <v>38811</v>
      </c>
    </row>
    <row r="4486" spans="1:59" ht="60" x14ac:dyDescent="0.25">
      <c r="A4486" s="2" t="s">
        <v>59</v>
      </c>
      <c r="B4486" s="2" t="s">
        <v>60</v>
      </c>
      <c r="C4486" s="2" t="s">
        <v>38812</v>
      </c>
      <c r="D4486" s="2" t="s">
        <v>38813</v>
      </c>
      <c r="E4486" s="2" t="s">
        <v>38814</v>
      </c>
      <c r="G4486" s="3" t="s">
        <v>63</v>
      </c>
      <c r="I4486" s="3" t="s">
        <v>63</v>
      </c>
      <c r="J4486" s="3" t="s">
        <v>62</v>
      </c>
      <c r="K4486" s="3" t="s">
        <v>64</v>
      </c>
      <c r="L4486" s="2" t="s">
        <v>38706</v>
      </c>
      <c r="M4486" s="2" t="s">
        <v>38815</v>
      </c>
      <c r="N4486" s="3" t="s">
        <v>849</v>
      </c>
      <c r="O4486" s="2" t="s">
        <v>590</v>
      </c>
      <c r="P4486" s="3" t="s">
        <v>66</v>
      </c>
      <c r="R4486" s="3" t="s">
        <v>67</v>
      </c>
      <c r="S4486" s="4">
        <v>11</v>
      </c>
      <c r="T4486" s="4">
        <v>11</v>
      </c>
      <c r="U4486" s="5" t="s">
        <v>18489</v>
      </c>
      <c r="V4486" s="5" t="s">
        <v>18489</v>
      </c>
      <c r="W4486" s="5" t="s">
        <v>69</v>
      </c>
      <c r="X4486" s="5" t="s">
        <v>69</v>
      </c>
      <c r="Y4486" s="4">
        <v>530</v>
      </c>
      <c r="Z4486" s="4">
        <v>20</v>
      </c>
      <c r="AA4486" s="4">
        <v>36</v>
      </c>
      <c r="AB4486" s="4">
        <v>2</v>
      </c>
      <c r="AC4486" s="4">
        <v>4</v>
      </c>
      <c r="AD4486" s="4">
        <v>92</v>
      </c>
      <c r="AE4486" s="4">
        <v>115</v>
      </c>
      <c r="AF4486" s="4">
        <v>1</v>
      </c>
      <c r="AG4486" s="4">
        <v>1</v>
      </c>
      <c r="AH4486" s="4">
        <v>84</v>
      </c>
      <c r="AI4486" s="4">
        <v>100</v>
      </c>
      <c r="AJ4486" s="4">
        <v>12</v>
      </c>
      <c r="AK4486" s="4">
        <v>18</v>
      </c>
      <c r="AL4486" s="4">
        <v>45</v>
      </c>
      <c r="AM4486" s="4">
        <v>56</v>
      </c>
      <c r="AN4486" s="4">
        <v>0</v>
      </c>
      <c r="AO4486" s="4">
        <v>3</v>
      </c>
      <c r="AP4486" s="4">
        <v>14</v>
      </c>
      <c r="AQ4486" s="4">
        <v>20</v>
      </c>
      <c r="AR4486" s="3" t="s">
        <v>63</v>
      </c>
      <c r="AS4486" s="3" t="s">
        <v>63</v>
      </c>
      <c r="AT4486" s="3" t="s">
        <v>62</v>
      </c>
      <c r="AU4486" s="6" t="str">
        <f>HYPERLINK("http://catalog.hathitrust.org/Record/000717753","HathiTrust Record")</f>
        <v>HathiTrust Record</v>
      </c>
      <c r="AV4486" s="6" t="str">
        <f>HYPERLINK("http://mcgill.on.worldcat.org/oclc/5311059","Catalog Record")</f>
        <v>Catalog Record</v>
      </c>
      <c r="AW4486" s="6" t="str">
        <f>HYPERLINK("http://www.worldcat.org/oclc/5311059","WorldCat Record")</f>
        <v>WorldCat Record</v>
      </c>
      <c r="AX4486" s="3" t="s">
        <v>38816</v>
      </c>
      <c r="AY4486" s="3" t="s">
        <v>38817</v>
      </c>
      <c r="AZ4486" s="3" t="s">
        <v>38818</v>
      </c>
      <c r="BA4486" s="3" t="s">
        <v>38818</v>
      </c>
      <c r="BB4486" s="3" t="s">
        <v>38819</v>
      </c>
      <c r="BC4486" s="3" t="s">
        <v>82</v>
      </c>
      <c r="BD4486" s="3" t="s">
        <v>70</v>
      </c>
      <c r="BE4486" s="3" t="s">
        <v>38820</v>
      </c>
      <c r="BF4486" s="3" t="s">
        <v>38819</v>
      </c>
      <c r="BG4486" s="3" t="s">
        <v>38821</v>
      </c>
    </row>
    <row r="4487" spans="1:59" ht="60" x14ac:dyDescent="0.25">
      <c r="A4487" s="2" t="s">
        <v>59</v>
      </c>
      <c r="B4487" s="2" t="s">
        <v>60</v>
      </c>
      <c r="C4487" s="2" t="s">
        <v>38822</v>
      </c>
      <c r="D4487" s="2" t="s">
        <v>38823</v>
      </c>
      <c r="E4487" s="2" t="s">
        <v>38824</v>
      </c>
      <c r="G4487" s="3" t="s">
        <v>63</v>
      </c>
      <c r="I4487" s="3" t="s">
        <v>63</v>
      </c>
      <c r="J4487" s="3" t="s">
        <v>62</v>
      </c>
      <c r="K4487" s="3" t="s">
        <v>64</v>
      </c>
      <c r="L4487" s="2" t="s">
        <v>38706</v>
      </c>
      <c r="M4487" s="2" t="s">
        <v>38825</v>
      </c>
      <c r="N4487" s="3" t="s">
        <v>247</v>
      </c>
      <c r="O4487" s="2" t="s">
        <v>590</v>
      </c>
      <c r="P4487" s="3" t="s">
        <v>66</v>
      </c>
      <c r="R4487" s="3" t="s">
        <v>67</v>
      </c>
      <c r="S4487" s="4">
        <v>14</v>
      </c>
      <c r="T4487" s="4">
        <v>14</v>
      </c>
      <c r="U4487" s="5" t="s">
        <v>17391</v>
      </c>
      <c r="V4487" s="5" t="s">
        <v>17391</v>
      </c>
      <c r="W4487" s="5" t="s">
        <v>69</v>
      </c>
      <c r="X4487" s="5" t="s">
        <v>69</v>
      </c>
      <c r="Y4487" s="4">
        <v>390</v>
      </c>
      <c r="Z4487" s="4">
        <v>20</v>
      </c>
      <c r="AA4487" s="4">
        <v>36</v>
      </c>
      <c r="AB4487" s="4">
        <v>1</v>
      </c>
      <c r="AC4487" s="4">
        <v>4</v>
      </c>
      <c r="AD4487" s="4">
        <v>85</v>
      </c>
      <c r="AE4487" s="4">
        <v>115</v>
      </c>
      <c r="AF4487" s="4">
        <v>0</v>
      </c>
      <c r="AG4487" s="4">
        <v>1</v>
      </c>
      <c r="AH4487" s="4">
        <v>77</v>
      </c>
      <c r="AI4487" s="4">
        <v>100</v>
      </c>
      <c r="AJ4487" s="4">
        <v>11</v>
      </c>
      <c r="AK4487" s="4">
        <v>18</v>
      </c>
      <c r="AL4487" s="4">
        <v>44</v>
      </c>
      <c r="AM4487" s="4">
        <v>56</v>
      </c>
      <c r="AN4487" s="4">
        <v>1</v>
      </c>
      <c r="AO4487" s="4">
        <v>3</v>
      </c>
      <c r="AP4487" s="4">
        <v>12</v>
      </c>
      <c r="AQ4487" s="4">
        <v>20</v>
      </c>
      <c r="AR4487" s="3" t="s">
        <v>63</v>
      </c>
      <c r="AS4487" s="3" t="s">
        <v>63</v>
      </c>
      <c r="AT4487" s="3" t="s">
        <v>62</v>
      </c>
      <c r="AU4487" s="6" t="str">
        <f>HYPERLINK("http://catalog.hathitrust.org/Record/007118601","HathiTrust Record")</f>
        <v>HathiTrust Record</v>
      </c>
      <c r="AV4487" s="6" t="str">
        <f>HYPERLINK("http://mcgill.on.worldcat.org/oclc/8430444","Catalog Record")</f>
        <v>Catalog Record</v>
      </c>
      <c r="AW4487" s="6" t="str">
        <f>HYPERLINK("http://www.worldcat.org/oclc/8430444","WorldCat Record")</f>
        <v>WorldCat Record</v>
      </c>
      <c r="AX4487" s="3" t="s">
        <v>38816</v>
      </c>
      <c r="AY4487" s="3" t="s">
        <v>38826</v>
      </c>
      <c r="AZ4487" s="3" t="s">
        <v>38827</v>
      </c>
      <c r="BA4487" s="3" t="s">
        <v>38827</v>
      </c>
      <c r="BB4487" s="3" t="s">
        <v>38828</v>
      </c>
      <c r="BC4487" s="3" t="s">
        <v>82</v>
      </c>
      <c r="BD4487" s="3" t="s">
        <v>70</v>
      </c>
      <c r="BE4487" s="3" t="s">
        <v>38829</v>
      </c>
      <c r="BF4487" s="3" t="s">
        <v>38828</v>
      </c>
      <c r="BG4487" s="3" t="s">
        <v>38830</v>
      </c>
    </row>
    <row r="4488" spans="1:59" ht="60" x14ac:dyDescent="0.25">
      <c r="A4488" s="2" t="s">
        <v>59</v>
      </c>
      <c r="B4488" s="2" t="s">
        <v>60</v>
      </c>
      <c r="C4488" s="2" t="s">
        <v>38831</v>
      </c>
      <c r="D4488" s="2" t="s">
        <v>38832</v>
      </c>
      <c r="E4488" s="2" t="s">
        <v>38833</v>
      </c>
      <c r="G4488" s="3" t="s">
        <v>63</v>
      </c>
      <c r="I4488" s="3" t="s">
        <v>62</v>
      </c>
      <c r="J4488" s="3" t="s">
        <v>63</v>
      </c>
      <c r="K4488" s="3" t="s">
        <v>64</v>
      </c>
      <c r="L4488" s="2" t="s">
        <v>38706</v>
      </c>
      <c r="M4488" s="2" t="s">
        <v>38834</v>
      </c>
      <c r="N4488" s="3" t="s">
        <v>2535</v>
      </c>
      <c r="O4488" s="2" t="s">
        <v>27543</v>
      </c>
      <c r="P4488" s="3" t="s">
        <v>66</v>
      </c>
      <c r="Q4488" s="2" t="s">
        <v>28383</v>
      </c>
      <c r="R4488" s="3" t="s">
        <v>67</v>
      </c>
      <c r="S4488" s="4">
        <v>23</v>
      </c>
      <c r="T4488" s="4">
        <v>23</v>
      </c>
      <c r="U4488" s="5" t="s">
        <v>38835</v>
      </c>
      <c r="V4488" s="5" t="s">
        <v>38835</v>
      </c>
      <c r="W4488" s="5" t="s">
        <v>69</v>
      </c>
      <c r="X4488" s="5" t="s">
        <v>69</v>
      </c>
      <c r="Y4488" s="4">
        <v>356</v>
      </c>
      <c r="Z4488" s="4">
        <v>20</v>
      </c>
      <c r="AA4488" s="4">
        <v>32</v>
      </c>
      <c r="AB4488" s="4">
        <v>3</v>
      </c>
      <c r="AC4488" s="4">
        <v>5</v>
      </c>
      <c r="AD4488" s="4">
        <v>92</v>
      </c>
      <c r="AE4488" s="4">
        <v>106</v>
      </c>
      <c r="AF4488" s="4">
        <v>2</v>
      </c>
      <c r="AG4488" s="4">
        <v>2</v>
      </c>
      <c r="AH4488" s="4">
        <v>81</v>
      </c>
      <c r="AI4488" s="4">
        <v>91</v>
      </c>
      <c r="AJ4488" s="4">
        <v>12</v>
      </c>
      <c r="AK4488" s="4">
        <v>15</v>
      </c>
      <c r="AL4488" s="4">
        <v>48</v>
      </c>
      <c r="AM4488" s="4">
        <v>54</v>
      </c>
      <c r="AN4488" s="4">
        <v>0</v>
      </c>
      <c r="AO4488" s="4">
        <v>0</v>
      </c>
      <c r="AP4488" s="4">
        <v>15</v>
      </c>
      <c r="AQ4488" s="4">
        <v>20</v>
      </c>
      <c r="AR4488" s="3" t="s">
        <v>63</v>
      </c>
      <c r="AS4488" s="3" t="s">
        <v>63</v>
      </c>
      <c r="AT4488" s="3" t="s">
        <v>62</v>
      </c>
      <c r="AU4488" s="6" t="str">
        <f>HYPERLINK("http://catalog.hathitrust.org/Record/001230279","HathiTrust Record")</f>
        <v>HathiTrust Record</v>
      </c>
      <c r="AV4488" s="6" t="str">
        <f>HYPERLINK("http://mcgill.on.worldcat.org/oclc/495122","Catalog Record")</f>
        <v>Catalog Record</v>
      </c>
      <c r="AW4488" s="6" t="str">
        <f>HYPERLINK("http://www.worldcat.org/oclc/495122","WorldCat Record")</f>
        <v>WorldCat Record</v>
      </c>
      <c r="AX4488" s="3" t="s">
        <v>38836</v>
      </c>
      <c r="AY4488" s="3" t="s">
        <v>38837</v>
      </c>
      <c r="AZ4488" s="3" t="s">
        <v>38838</v>
      </c>
      <c r="BA4488" s="3" t="s">
        <v>38838</v>
      </c>
      <c r="BB4488" s="3" t="s">
        <v>38839</v>
      </c>
      <c r="BC4488" s="3" t="s">
        <v>82</v>
      </c>
      <c r="BD4488" s="3" t="s">
        <v>538</v>
      </c>
      <c r="BE4488" s="3" t="s">
        <v>38840</v>
      </c>
      <c r="BF4488" s="3" t="s">
        <v>38839</v>
      </c>
      <c r="BG4488" s="3" t="s">
        <v>38841</v>
      </c>
    </row>
    <row r="4489" spans="1:59" ht="60" x14ac:dyDescent="0.25">
      <c r="A4489" s="2" t="s">
        <v>59</v>
      </c>
      <c r="B4489" s="2" t="s">
        <v>60</v>
      </c>
      <c r="C4489" s="2" t="s">
        <v>38842</v>
      </c>
      <c r="D4489" s="2" t="s">
        <v>38843</v>
      </c>
      <c r="E4489" s="2" t="s">
        <v>38844</v>
      </c>
      <c r="G4489" s="3" t="s">
        <v>63</v>
      </c>
      <c r="I4489" s="3" t="s">
        <v>63</v>
      </c>
      <c r="J4489" s="3" t="s">
        <v>63</v>
      </c>
      <c r="K4489" s="3" t="s">
        <v>64</v>
      </c>
      <c r="L4489" s="2" t="s">
        <v>38706</v>
      </c>
      <c r="M4489" s="2" t="s">
        <v>38845</v>
      </c>
      <c r="N4489" s="3" t="s">
        <v>1023</v>
      </c>
      <c r="O4489" s="2" t="s">
        <v>38846</v>
      </c>
      <c r="P4489" s="3" t="s">
        <v>66</v>
      </c>
      <c r="R4489" s="3" t="s">
        <v>67</v>
      </c>
      <c r="S4489" s="4">
        <v>8</v>
      </c>
      <c r="T4489" s="4">
        <v>8</v>
      </c>
      <c r="U4489" s="5" t="s">
        <v>25441</v>
      </c>
      <c r="V4489" s="5" t="s">
        <v>25441</v>
      </c>
      <c r="W4489" s="5" t="s">
        <v>69</v>
      </c>
      <c r="X4489" s="5" t="s">
        <v>69</v>
      </c>
      <c r="Y4489" s="4">
        <v>447</v>
      </c>
      <c r="Z4489" s="4">
        <v>18</v>
      </c>
      <c r="AA4489" s="4">
        <v>21</v>
      </c>
      <c r="AB4489" s="4">
        <v>1</v>
      </c>
      <c r="AC4489" s="4">
        <v>3</v>
      </c>
      <c r="AD4489" s="4">
        <v>73</v>
      </c>
      <c r="AE4489" s="4">
        <v>74</v>
      </c>
      <c r="AF4489" s="4">
        <v>0</v>
      </c>
      <c r="AG4489" s="4">
        <v>0</v>
      </c>
      <c r="AH4489" s="4">
        <v>69</v>
      </c>
      <c r="AI4489" s="4">
        <v>70</v>
      </c>
      <c r="AJ4489" s="4">
        <v>7</v>
      </c>
      <c r="AK4489" s="4">
        <v>7</v>
      </c>
      <c r="AL4489" s="4">
        <v>41</v>
      </c>
      <c r="AM4489" s="4">
        <v>42</v>
      </c>
      <c r="AN4489" s="4">
        <v>0</v>
      </c>
      <c r="AO4489" s="4">
        <v>0</v>
      </c>
      <c r="AP4489" s="4">
        <v>9</v>
      </c>
      <c r="AQ4489" s="4">
        <v>9</v>
      </c>
      <c r="AR4489" s="3" t="s">
        <v>63</v>
      </c>
      <c r="AS4489" s="3" t="s">
        <v>63</v>
      </c>
      <c r="AT4489" s="3" t="s">
        <v>62</v>
      </c>
      <c r="AU4489" s="6" t="str">
        <f>HYPERLINK("http://catalog.hathitrust.org/Record/007049748","HathiTrust Record")</f>
        <v>HathiTrust Record</v>
      </c>
      <c r="AV4489" s="6" t="str">
        <f>HYPERLINK("http://mcgill.on.worldcat.org/oclc/25131522","Catalog Record")</f>
        <v>Catalog Record</v>
      </c>
      <c r="AW4489" s="6" t="str">
        <f>HYPERLINK("http://www.worldcat.org/oclc/25131522","WorldCat Record")</f>
        <v>WorldCat Record</v>
      </c>
      <c r="AX4489" s="3" t="s">
        <v>38847</v>
      </c>
      <c r="AY4489" s="3" t="s">
        <v>38848</v>
      </c>
      <c r="AZ4489" s="3" t="s">
        <v>38849</v>
      </c>
      <c r="BA4489" s="3" t="s">
        <v>38849</v>
      </c>
      <c r="BB4489" s="3" t="s">
        <v>38850</v>
      </c>
      <c r="BC4489" s="3" t="s">
        <v>82</v>
      </c>
      <c r="BD4489" s="3" t="s">
        <v>70</v>
      </c>
      <c r="BE4489" s="3" t="s">
        <v>38851</v>
      </c>
      <c r="BF4489" s="3" t="s">
        <v>38850</v>
      </c>
      <c r="BG4489" s="3" t="s">
        <v>38852</v>
      </c>
    </row>
    <row r="4490" spans="1:59" ht="60" x14ac:dyDescent="0.25">
      <c r="A4490" s="2" t="s">
        <v>59</v>
      </c>
      <c r="B4490" s="2" t="s">
        <v>60</v>
      </c>
      <c r="C4490" s="2" t="s">
        <v>38853</v>
      </c>
      <c r="D4490" s="2" t="s">
        <v>38854</v>
      </c>
      <c r="E4490" s="2" t="s">
        <v>38855</v>
      </c>
      <c r="G4490" s="3" t="s">
        <v>63</v>
      </c>
      <c r="I4490" s="3" t="s">
        <v>63</v>
      </c>
      <c r="J4490" s="3" t="s">
        <v>63</v>
      </c>
      <c r="K4490" s="3" t="s">
        <v>64</v>
      </c>
      <c r="L4490" s="2" t="s">
        <v>38706</v>
      </c>
      <c r="M4490" s="2" t="s">
        <v>38856</v>
      </c>
      <c r="N4490" s="3" t="s">
        <v>629</v>
      </c>
      <c r="P4490" s="3" t="s">
        <v>66</v>
      </c>
      <c r="Q4490" s="2" t="s">
        <v>38857</v>
      </c>
      <c r="R4490" s="3" t="s">
        <v>67</v>
      </c>
      <c r="S4490" s="4">
        <v>2</v>
      </c>
      <c r="T4490" s="4">
        <v>2</v>
      </c>
      <c r="U4490" s="5" t="s">
        <v>38858</v>
      </c>
      <c r="V4490" s="5" t="s">
        <v>38858</v>
      </c>
      <c r="W4490" s="5" t="s">
        <v>69</v>
      </c>
      <c r="X4490" s="5" t="s">
        <v>69</v>
      </c>
      <c r="Y4490" s="4">
        <v>23</v>
      </c>
      <c r="Z4490" s="4">
        <v>2</v>
      </c>
      <c r="AA4490" s="4">
        <v>2</v>
      </c>
      <c r="AB4490" s="4">
        <v>1</v>
      </c>
      <c r="AC4490" s="4">
        <v>1</v>
      </c>
      <c r="AD4490" s="4">
        <v>3</v>
      </c>
      <c r="AE4490" s="4">
        <v>3</v>
      </c>
      <c r="AF4490" s="4">
        <v>0</v>
      </c>
      <c r="AG4490" s="4">
        <v>0</v>
      </c>
      <c r="AH4490" s="4">
        <v>2</v>
      </c>
      <c r="AI4490" s="4">
        <v>2</v>
      </c>
      <c r="AJ4490" s="4">
        <v>1</v>
      </c>
      <c r="AK4490" s="4">
        <v>1</v>
      </c>
      <c r="AL4490" s="4">
        <v>2</v>
      </c>
      <c r="AM4490" s="4">
        <v>2</v>
      </c>
      <c r="AN4490" s="4">
        <v>0</v>
      </c>
      <c r="AO4490" s="4">
        <v>0</v>
      </c>
      <c r="AP4490" s="4">
        <v>1</v>
      </c>
      <c r="AQ4490" s="4">
        <v>1</v>
      </c>
      <c r="AR4490" s="3" t="s">
        <v>63</v>
      </c>
      <c r="AS4490" s="3" t="s">
        <v>63</v>
      </c>
      <c r="AT4490" s="3" t="s">
        <v>63</v>
      </c>
      <c r="AV4490" s="6" t="str">
        <f>HYPERLINK("http://mcgill.on.worldcat.org/oclc/751804568","Catalog Record")</f>
        <v>Catalog Record</v>
      </c>
      <c r="AW4490" s="6" t="str">
        <f>HYPERLINK("http://www.worldcat.org/oclc/751804568","WorldCat Record")</f>
        <v>WorldCat Record</v>
      </c>
      <c r="AX4490" s="3" t="s">
        <v>38859</v>
      </c>
      <c r="AY4490" s="3" t="s">
        <v>38860</v>
      </c>
      <c r="AZ4490" s="3" t="s">
        <v>38861</v>
      </c>
      <c r="BA4490" s="3" t="s">
        <v>38861</v>
      </c>
      <c r="BB4490" s="3" t="s">
        <v>38862</v>
      </c>
      <c r="BC4490" s="3" t="s">
        <v>82</v>
      </c>
      <c r="BD4490" s="3" t="s">
        <v>70</v>
      </c>
      <c r="BE4490" s="3" t="s">
        <v>38863</v>
      </c>
      <c r="BF4490" s="3" t="s">
        <v>38862</v>
      </c>
      <c r="BG4490" s="3" t="s">
        <v>38864</v>
      </c>
    </row>
    <row r="4491" spans="1:59" ht="60" x14ac:dyDescent="0.25">
      <c r="A4491" s="2" t="s">
        <v>59</v>
      </c>
      <c r="B4491" s="2" t="s">
        <v>60</v>
      </c>
      <c r="C4491" s="2" t="s">
        <v>38865</v>
      </c>
      <c r="D4491" s="2" t="s">
        <v>38866</v>
      </c>
      <c r="E4491" s="2" t="s">
        <v>38867</v>
      </c>
      <c r="G4491" s="3" t="s">
        <v>63</v>
      </c>
      <c r="I4491" s="3" t="s">
        <v>63</v>
      </c>
      <c r="J4491" s="3" t="s">
        <v>62</v>
      </c>
      <c r="K4491" s="3" t="s">
        <v>64</v>
      </c>
      <c r="L4491" s="2" t="s">
        <v>38718</v>
      </c>
      <c r="M4491" s="2" t="s">
        <v>38868</v>
      </c>
      <c r="N4491" s="3" t="s">
        <v>1418</v>
      </c>
      <c r="O4491" s="2" t="s">
        <v>38869</v>
      </c>
      <c r="P4491" s="3" t="s">
        <v>66</v>
      </c>
      <c r="R4491" s="3" t="s">
        <v>67</v>
      </c>
      <c r="S4491" s="4">
        <v>11</v>
      </c>
      <c r="T4491" s="4">
        <v>11</v>
      </c>
      <c r="U4491" s="5" t="s">
        <v>38870</v>
      </c>
      <c r="V4491" s="5" t="s">
        <v>38870</v>
      </c>
      <c r="W4491" s="5" t="s">
        <v>69</v>
      </c>
      <c r="X4491" s="5" t="s">
        <v>69</v>
      </c>
      <c r="Y4491" s="4">
        <v>386</v>
      </c>
      <c r="Z4491" s="4">
        <v>22</v>
      </c>
      <c r="AA4491" s="4">
        <v>51</v>
      </c>
      <c r="AB4491" s="4">
        <v>4</v>
      </c>
      <c r="AC4491" s="4">
        <v>5</v>
      </c>
      <c r="AD4491" s="4">
        <v>46</v>
      </c>
      <c r="AE4491" s="4">
        <v>105</v>
      </c>
      <c r="AF4491" s="4">
        <v>2</v>
      </c>
      <c r="AG4491" s="4">
        <v>2</v>
      </c>
      <c r="AH4491" s="4">
        <v>37</v>
      </c>
      <c r="AI4491" s="4">
        <v>87</v>
      </c>
      <c r="AJ4491" s="4">
        <v>6</v>
      </c>
      <c r="AK4491" s="4">
        <v>15</v>
      </c>
      <c r="AL4491" s="4">
        <v>25</v>
      </c>
      <c r="AM4491" s="4">
        <v>51</v>
      </c>
      <c r="AN4491" s="4">
        <v>0</v>
      </c>
      <c r="AO4491" s="4">
        <v>0</v>
      </c>
      <c r="AP4491" s="4">
        <v>10</v>
      </c>
      <c r="AQ4491" s="4">
        <v>24</v>
      </c>
      <c r="AR4491" s="3" t="s">
        <v>63</v>
      </c>
      <c r="AS4491" s="3" t="s">
        <v>63</v>
      </c>
      <c r="AT4491" s="3" t="s">
        <v>62</v>
      </c>
      <c r="AU4491" s="6" t="str">
        <f>HYPERLINK("http://catalog.hathitrust.org/Record/001076362","HathiTrust Record")</f>
        <v>HathiTrust Record</v>
      </c>
      <c r="AV4491" s="6" t="str">
        <f>HYPERLINK("http://mcgill.on.worldcat.org/oclc/15014992","Catalog Record")</f>
        <v>Catalog Record</v>
      </c>
      <c r="AW4491" s="6" t="str">
        <f>HYPERLINK("http://www.worldcat.org/oclc/15014992","WorldCat Record")</f>
        <v>WorldCat Record</v>
      </c>
      <c r="AX4491" s="3" t="s">
        <v>38871</v>
      </c>
      <c r="AY4491" s="3" t="s">
        <v>38872</v>
      </c>
      <c r="AZ4491" s="3" t="s">
        <v>38873</v>
      </c>
      <c r="BA4491" s="3" t="s">
        <v>38873</v>
      </c>
      <c r="BB4491" s="3" t="s">
        <v>38874</v>
      </c>
      <c r="BC4491" s="3" t="s">
        <v>82</v>
      </c>
      <c r="BD4491" s="3" t="s">
        <v>70</v>
      </c>
      <c r="BE4491" s="3" t="s">
        <v>38875</v>
      </c>
      <c r="BF4491" s="3" t="s">
        <v>38874</v>
      </c>
      <c r="BG4491" s="3" t="s">
        <v>38876</v>
      </c>
    </row>
    <row r="4492" spans="1:59" ht="60" x14ac:dyDescent="0.25">
      <c r="A4492" s="2" t="s">
        <v>59</v>
      </c>
      <c r="B4492" s="2" t="s">
        <v>60</v>
      </c>
      <c r="C4492" s="2" t="s">
        <v>38877</v>
      </c>
      <c r="D4492" s="2" t="s">
        <v>38878</v>
      </c>
      <c r="E4492" s="2" t="s">
        <v>38879</v>
      </c>
      <c r="G4492" s="3" t="s">
        <v>63</v>
      </c>
      <c r="I4492" s="3" t="s">
        <v>63</v>
      </c>
      <c r="J4492" s="3" t="s">
        <v>63</v>
      </c>
      <c r="K4492" s="3" t="s">
        <v>64</v>
      </c>
      <c r="L4492" s="2" t="s">
        <v>38706</v>
      </c>
      <c r="M4492" s="2" t="s">
        <v>38880</v>
      </c>
      <c r="N4492" s="3" t="s">
        <v>427</v>
      </c>
      <c r="P4492" s="3" t="s">
        <v>90</v>
      </c>
      <c r="Q4492" s="2" t="s">
        <v>38881</v>
      </c>
      <c r="R4492" s="3" t="s">
        <v>67</v>
      </c>
      <c r="S4492" s="4">
        <v>10</v>
      </c>
      <c r="T4492" s="4">
        <v>10</v>
      </c>
      <c r="U4492" s="5" t="s">
        <v>38882</v>
      </c>
      <c r="V4492" s="5" t="s">
        <v>38882</v>
      </c>
      <c r="W4492" s="5" t="s">
        <v>69</v>
      </c>
      <c r="X4492" s="5" t="s">
        <v>69</v>
      </c>
      <c r="Y4492" s="4">
        <v>16</v>
      </c>
      <c r="Z4492" s="4">
        <v>3</v>
      </c>
      <c r="AA4492" s="4">
        <v>6</v>
      </c>
      <c r="AB4492" s="4">
        <v>2</v>
      </c>
      <c r="AC4492" s="4">
        <v>3</v>
      </c>
      <c r="AD4492" s="4">
        <v>4</v>
      </c>
      <c r="AE4492" s="4">
        <v>27</v>
      </c>
      <c r="AF4492" s="4">
        <v>0</v>
      </c>
      <c r="AG4492" s="4">
        <v>1</v>
      </c>
      <c r="AH4492" s="4">
        <v>4</v>
      </c>
      <c r="AI4492" s="4">
        <v>24</v>
      </c>
      <c r="AJ4492" s="4">
        <v>0</v>
      </c>
      <c r="AK4492" s="4">
        <v>2</v>
      </c>
      <c r="AL4492" s="4">
        <v>1</v>
      </c>
      <c r="AM4492" s="4">
        <v>16</v>
      </c>
      <c r="AN4492" s="4">
        <v>0</v>
      </c>
      <c r="AO4492" s="4">
        <v>0</v>
      </c>
      <c r="AP4492" s="4">
        <v>0</v>
      </c>
      <c r="AQ4492" s="4">
        <v>2</v>
      </c>
      <c r="AR4492" s="3" t="s">
        <v>63</v>
      </c>
      <c r="AS4492" s="3" t="s">
        <v>63</v>
      </c>
      <c r="AT4492" s="3" t="s">
        <v>63</v>
      </c>
      <c r="AV4492" s="6" t="str">
        <f>HYPERLINK("http://mcgill.on.worldcat.org/oclc/21400837","Catalog Record")</f>
        <v>Catalog Record</v>
      </c>
      <c r="AW4492" s="6" t="str">
        <f>HYPERLINK("http://www.worldcat.org/oclc/21400837","WorldCat Record")</f>
        <v>WorldCat Record</v>
      </c>
      <c r="AX4492" s="3" t="s">
        <v>38883</v>
      </c>
      <c r="AY4492" s="3" t="s">
        <v>38884</v>
      </c>
      <c r="AZ4492" s="3" t="s">
        <v>38885</v>
      </c>
      <c r="BA4492" s="3" t="s">
        <v>38885</v>
      </c>
      <c r="BB4492" s="3" t="s">
        <v>38886</v>
      </c>
      <c r="BC4492" s="3" t="s">
        <v>82</v>
      </c>
      <c r="BD4492" s="3" t="s">
        <v>70</v>
      </c>
      <c r="BF4492" s="3" t="s">
        <v>38886</v>
      </c>
      <c r="BG4492" s="3" t="s">
        <v>38887</v>
      </c>
    </row>
    <row r="4493" spans="1:59" ht="60" x14ac:dyDescent="0.25">
      <c r="A4493" s="2" t="s">
        <v>59</v>
      </c>
      <c r="B4493" s="2" t="s">
        <v>60</v>
      </c>
      <c r="C4493" s="2" t="s">
        <v>38888</v>
      </c>
      <c r="D4493" s="2" t="s">
        <v>38889</v>
      </c>
      <c r="E4493" s="2" t="s">
        <v>38890</v>
      </c>
      <c r="G4493" s="3" t="s">
        <v>63</v>
      </c>
      <c r="I4493" s="3" t="s">
        <v>63</v>
      </c>
      <c r="J4493" s="3" t="s">
        <v>62</v>
      </c>
      <c r="K4493" s="3" t="s">
        <v>64</v>
      </c>
      <c r="L4493" s="2" t="s">
        <v>38706</v>
      </c>
      <c r="M4493" s="2" t="s">
        <v>38891</v>
      </c>
      <c r="N4493" s="3" t="s">
        <v>681</v>
      </c>
      <c r="P4493" s="3" t="s">
        <v>66</v>
      </c>
      <c r="R4493" s="3" t="s">
        <v>67</v>
      </c>
      <c r="S4493" s="4">
        <v>67</v>
      </c>
      <c r="T4493" s="4">
        <v>67</v>
      </c>
      <c r="U4493" s="5" t="s">
        <v>30549</v>
      </c>
      <c r="V4493" s="5" t="s">
        <v>30549</v>
      </c>
      <c r="W4493" s="5" t="s">
        <v>69</v>
      </c>
      <c r="X4493" s="5" t="s">
        <v>69</v>
      </c>
      <c r="Y4493" s="4">
        <v>230</v>
      </c>
      <c r="Z4493" s="4">
        <v>11</v>
      </c>
      <c r="AA4493" s="4">
        <v>51</v>
      </c>
      <c r="AB4493" s="4">
        <v>2</v>
      </c>
      <c r="AC4493" s="4">
        <v>5</v>
      </c>
      <c r="AD4493" s="4">
        <v>31</v>
      </c>
      <c r="AE4493" s="4">
        <v>105</v>
      </c>
      <c r="AF4493" s="4">
        <v>1</v>
      </c>
      <c r="AG4493" s="4">
        <v>2</v>
      </c>
      <c r="AH4493" s="4">
        <v>27</v>
      </c>
      <c r="AI4493" s="4">
        <v>87</v>
      </c>
      <c r="AJ4493" s="4">
        <v>5</v>
      </c>
      <c r="AK4493" s="4">
        <v>15</v>
      </c>
      <c r="AL4493" s="4">
        <v>12</v>
      </c>
      <c r="AM4493" s="4">
        <v>51</v>
      </c>
      <c r="AN4493" s="4">
        <v>0</v>
      </c>
      <c r="AO4493" s="4">
        <v>0</v>
      </c>
      <c r="AP4493" s="4">
        <v>7</v>
      </c>
      <c r="AQ4493" s="4">
        <v>24</v>
      </c>
      <c r="AR4493" s="3" t="s">
        <v>63</v>
      </c>
      <c r="AS4493" s="3" t="s">
        <v>63</v>
      </c>
      <c r="AT4493" s="3" t="s">
        <v>62</v>
      </c>
      <c r="AU4493" s="6" t="str">
        <f>HYPERLINK("http://catalog.hathitrust.org/Record/001230286","HathiTrust Record")</f>
        <v>HathiTrust Record</v>
      </c>
      <c r="AV4493" s="6" t="str">
        <f>HYPERLINK("http://mcgill.on.worldcat.org/oclc/105763","Catalog Record")</f>
        <v>Catalog Record</v>
      </c>
      <c r="AW4493" s="6" t="str">
        <f>HYPERLINK("http://www.worldcat.org/oclc/105763","WorldCat Record")</f>
        <v>WorldCat Record</v>
      </c>
      <c r="AX4493" s="3" t="s">
        <v>38871</v>
      </c>
      <c r="AY4493" s="3" t="s">
        <v>38892</v>
      </c>
      <c r="AZ4493" s="3" t="s">
        <v>38893</v>
      </c>
      <c r="BA4493" s="3" t="s">
        <v>38893</v>
      </c>
      <c r="BB4493" s="3" t="s">
        <v>38894</v>
      </c>
      <c r="BC4493" s="3" t="s">
        <v>82</v>
      </c>
      <c r="BD4493" s="3" t="s">
        <v>70</v>
      </c>
      <c r="BE4493" s="3" t="s">
        <v>38895</v>
      </c>
      <c r="BF4493" s="3" t="s">
        <v>38894</v>
      </c>
      <c r="BG4493" s="3" t="s">
        <v>38896</v>
      </c>
    </row>
    <row r="4494" spans="1:59" ht="60" x14ac:dyDescent="0.25">
      <c r="A4494" s="2" t="s">
        <v>59</v>
      </c>
      <c r="B4494" s="2" t="s">
        <v>60</v>
      </c>
      <c r="C4494" s="2" t="s">
        <v>38897</v>
      </c>
      <c r="D4494" s="2" t="s">
        <v>38898</v>
      </c>
      <c r="E4494" s="2" t="s">
        <v>38899</v>
      </c>
      <c r="G4494" s="3" t="s">
        <v>63</v>
      </c>
      <c r="I4494" s="3" t="s">
        <v>62</v>
      </c>
      <c r="J4494" s="3" t="s">
        <v>63</v>
      </c>
      <c r="K4494" s="3" t="s">
        <v>64</v>
      </c>
      <c r="L4494" s="2" t="s">
        <v>38706</v>
      </c>
      <c r="M4494" s="2" t="s">
        <v>38900</v>
      </c>
      <c r="N4494" s="3" t="s">
        <v>455</v>
      </c>
      <c r="O4494" s="2" t="s">
        <v>590</v>
      </c>
      <c r="P4494" s="3" t="s">
        <v>66</v>
      </c>
      <c r="R4494" s="3" t="s">
        <v>67</v>
      </c>
      <c r="S4494" s="4">
        <v>17</v>
      </c>
      <c r="T4494" s="4">
        <v>17</v>
      </c>
      <c r="U4494" s="5" t="s">
        <v>2425</v>
      </c>
      <c r="V4494" s="5" t="s">
        <v>2425</v>
      </c>
      <c r="W4494" s="5" t="s">
        <v>69</v>
      </c>
      <c r="X4494" s="5" t="s">
        <v>69</v>
      </c>
      <c r="Y4494" s="4">
        <v>489</v>
      </c>
      <c r="Z4494" s="4">
        <v>22</v>
      </c>
      <c r="AA4494" s="4">
        <v>33</v>
      </c>
      <c r="AB4494" s="4">
        <v>1</v>
      </c>
      <c r="AC4494" s="4">
        <v>4</v>
      </c>
      <c r="AD4494" s="4">
        <v>94</v>
      </c>
      <c r="AE4494" s="4">
        <v>100</v>
      </c>
      <c r="AF4494" s="4">
        <v>0</v>
      </c>
      <c r="AG4494" s="4">
        <v>0</v>
      </c>
      <c r="AH4494" s="4">
        <v>86</v>
      </c>
      <c r="AI4494" s="4">
        <v>91</v>
      </c>
      <c r="AJ4494" s="4">
        <v>12</v>
      </c>
      <c r="AK4494" s="4">
        <v>15</v>
      </c>
      <c r="AL4494" s="4">
        <v>51</v>
      </c>
      <c r="AM4494" s="4">
        <v>54</v>
      </c>
      <c r="AN4494" s="4">
        <v>0</v>
      </c>
      <c r="AO4494" s="4">
        <v>0</v>
      </c>
      <c r="AP4494" s="4">
        <v>14</v>
      </c>
      <c r="AQ4494" s="4">
        <v>17</v>
      </c>
      <c r="AR4494" s="3" t="s">
        <v>63</v>
      </c>
      <c r="AS4494" s="3" t="s">
        <v>63</v>
      </c>
      <c r="AT4494" s="3" t="s">
        <v>62</v>
      </c>
      <c r="AU4494" s="6" t="str">
        <f>HYPERLINK("http://catalog.hathitrust.org/Record/000461140","HathiTrust Record")</f>
        <v>HathiTrust Record</v>
      </c>
      <c r="AV4494" s="6" t="str">
        <f>HYPERLINK("http://mcgill.on.worldcat.org/oclc/10020357","Catalog Record")</f>
        <v>Catalog Record</v>
      </c>
      <c r="AW4494" s="6" t="str">
        <f>HYPERLINK("http://www.worldcat.org/oclc/10020357","WorldCat Record")</f>
        <v>WorldCat Record</v>
      </c>
      <c r="AX4494" s="3" t="s">
        <v>38901</v>
      </c>
      <c r="AY4494" s="3" t="s">
        <v>38902</v>
      </c>
      <c r="AZ4494" s="3" t="s">
        <v>38903</v>
      </c>
      <c r="BA4494" s="3" t="s">
        <v>38903</v>
      </c>
      <c r="BB4494" s="3" t="s">
        <v>38904</v>
      </c>
      <c r="BC4494" s="3" t="s">
        <v>82</v>
      </c>
      <c r="BD4494" s="3" t="s">
        <v>70</v>
      </c>
      <c r="BE4494" s="3" t="s">
        <v>38905</v>
      </c>
      <c r="BF4494" s="3" t="s">
        <v>38904</v>
      </c>
      <c r="BG4494" s="3" t="s">
        <v>38906</v>
      </c>
    </row>
    <row r="4495" spans="1:59" ht="60" x14ac:dyDescent="0.25">
      <c r="A4495" s="2" t="s">
        <v>59</v>
      </c>
      <c r="B4495" s="2" t="s">
        <v>60</v>
      </c>
      <c r="C4495" s="2" t="s">
        <v>38907</v>
      </c>
      <c r="D4495" s="2" t="s">
        <v>38908</v>
      </c>
      <c r="E4495" s="2" t="s">
        <v>38909</v>
      </c>
      <c r="G4495" s="3" t="s">
        <v>63</v>
      </c>
      <c r="I4495" s="3" t="s">
        <v>63</v>
      </c>
      <c r="J4495" s="3" t="s">
        <v>63</v>
      </c>
      <c r="K4495" s="3" t="s">
        <v>64</v>
      </c>
      <c r="L4495" s="2" t="s">
        <v>38910</v>
      </c>
      <c r="M4495" s="2" t="s">
        <v>38911</v>
      </c>
      <c r="N4495" s="3" t="s">
        <v>668</v>
      </c>
      <c r="P4495" s="3" t="s">
        <v>66</v>
      </c>
      <c r="Q4495" s="2" t="s">
        <v>38912</v>
      </c>
      <c r="R4495" s="3" t="s">
        <v>67</v>
      </c>
      <c r="S4495" s="4">
        <v>9</v>
      </c>
      <c r="T4495" s="4">
        <v>9</v>
      </c>
      <c r="U4495" s="5" t="s">
        <v>27959</v>
      </c>
      <c r="V4495" s="5" t="s">
        <v>27959</v>
      </c>
      <c r="W4495" s="5" t="s">
        <v>69</v>
      </c>
      <c r="X4495" s="5" t="s">
        <v>69</v>
      </c>
      <c r="Y4495" s="4">
        <v>41</v>
      </c>
      <c r="Z4495" s="4">
        <v>5</v>
      </c>
      <c r="AA4495" s="4">
        <v>5</v>
      </c>
      <c r="AB4495" s="4">
        <v>1</v>
      </c>
      <c r="AC4495" s="4">
        <v>1</v>
      </c>
      <c r="AD4495" s="4">
        <v>19</v>
      </c>
      <c r="AE4495" s="4">
        <v>22</v>
      </c>
      <c r="AF4495" s="4">
        <v>0</v>
      </c>
      <c r="AG4495" s="4">
        <v>0</v>
      </c>
      <c r="AH4495" s="4">
        <v>17</v>
      </c>
      <c r="AI4495" s="4">
        <v>20</v>
      </c>
      <c r="AJ4495" s="4">
        <v>3</v>
      </c>
      <c r="AK4495" s="4">
        <v>3</v>
      </c>
      <c r="AL4495" s="4">
        <v>9</v>
      </c>
      <c r="AM4495" s="4">
        <v>10</v>
      </c>
      <c r="AN4495" s="4">
        <v>0</v>
      </c>
      <c r="AO4495" s="4">
        <v>0</v>
      </c>
      <c r="AP4495" s="4">
        <v>3</v>
      </c>
      <c r="AQ4495" s="4">
        <v>3</v>
      </c>
      <c r="AR4495" s="3" t="s">
        <v>63</v>
      </c>
      <c r="AS4495" s="3" t="s">
        <v>63</v>
      </c>
      <c r="AT4495" s="3" t="s">
        <v>63</v>
      </c>
      <c r="AV4495" s="6" t="str">
        <f>HYPERLINK("http://mcgill.on.worldcat.org/oclc/16129629","Catalog Record")</f>
        <v>Catalog Record</v>
      </c>
      <c r="AW4495" s="6" t="str">
        <f>HYPERLINK("http://www.worldcat.org/oclc/16129629","WorldCat Record")</f>
        <v>WorldCat Record</v>
      </c>
      <c r="AX4495" s="3" t="s">
        <v>38913</v>
      </c>
      <c r="AY4495" s="3" t="s">
        <v>38914</v>
      </c>
      <c r="AZ4495" s="3" t="s">
        <v>38915</v>
      </c>
      <c r="BA4495" s="3" t="s">
        <v>38915</v>
      </c>
      <c r="BB4495" s="3" t="s">
        <v>38916</v>
      </c>
      <c r="BC4495" s="3" t="s">
        <v>82</v>
      </c>
      <c r="BD4495" s="3" t="s">
        <v>70</v>
      </c>
      <c r="BE4495" s="3" t="s">
        <v>38917</v>
      </c>
      <c r="BF4495" s="3" t="s">
        <v>38916</v>
      </c>
      <c r="BG4495" s="3" t="s">
        <v>38918</v>
      </c>
    </row>
    <row r="4496" spans="1:59" ht="60" x14ac:dyDescent="0.25">
      <c r="A4496" s="2" t="s">
        <v>59</v>
      </c>
      <c r="B4496" s="2" t="s">
        <v>60</v>
      </c>
      <c r="C4496" s="2" t="s">
        <v>38919</v>
      </c>
      <c r="D4496" s="2" t="s">
        <v>38920</v>
      </c>
      <c r="E4496" s="2" t="s">
        <v>38921</v>
      </c>
      <c r="G4496" s="3" t="s">
        <v>63</v>
      </c>
      <c r="I4496" s="3" t="s">
        <v>63</v>
      </c>
      <c r="J4496" s="3" t="s">
        <v>63</v>
      </c>
      <c r="K4496" s="3" t="s">
        <v>64</v>
      </c>
      <c r="L4496" s="2" t="s">
        <v>38706</v>
      </c>
      <c r="M4496" s="2" t="s">
        <v>15202</v>
      </c>
      <c r="N4496" s="3" t="s">
        <v>1113</v>
      </c>
      <c r="P4496" s="3" t="s">
        <v>66</v>
      </c>
      <c r="Q4496" s="2" t="s">
        <v>38922</v>
      </c>
      <c r="R4496" s="3" t="s">
        <v>67</v>
      </c>
      <c r="S4496" s="4">
        <v>11</v>
      </c>
      <c r="T4496" s="4">
        <v>11</v>
      </c>
      <c r="U4496" s="5" t="s">
        <v>27959</v>
      </c>
      <c r="V4496" s="5" t="s">
        <v>27959</v>
      </c>
      <c r="W4496" s="5" t="s">
        <v>69</v>
      </c>
      <c r="X4496" s="5" t="s">
        <v>69</v>
      </c>
      <c r="Y4496" s="4">
        <v>264</v>
      </c>
      <c r="Z4496" s="4">
        <v>14</v>
      </c>
      <c r="AA4496" s="4">
        <v>14</v>
      </c>
      <c r="AB4496" s="4">
        <v>2</v>
      </c>
      <c r="AC4496" s="4">
        <v>2</v>
      </c>
      <c r="AD4496" s="4">
        <v>91</v>
      </c>
      <c r="AE4496" s="4">
        <v>91</v>
      </c>
      <c r="AF4496" s="4">
        <v>1</v>
      </c>
      <c r="AG4496" s="4">
        <v>1</v>
      </c>
      <c r="AH4496" s="4">
        <v>86</v>
      </c>
      <c r="AI4496" s="4">
        <v>86</v>
      </c>
      <c r="AJ4496" s="4">
        <v>10</v>
      </c>
      <c r="AK4496" s="4">
        <v>10</v>
      </c>
      <c r="AL4496" s="4">
        <v>50</v>
      </c>
      <c r="AM4496" s="4">
        <v>50</v>
      </c>
      <c r="AN4496" s="4">
        <v>0</v>
      </c>
      <c r="AO4496" s="4">
        <v>0</v>
      </c>
      <c r="AP4496" s="4">
        <v>9</v>
      </c>
      <c r="AQ4496" s="4">
        <v>9</v>
      </c>
      <c r="AR4496" s="3" t="s">
        <v>63</v>
      </c>
      <c r="AS4496" s="3" t="s">
        <v>63</v>
      </c>
      <c r="AT4496" s="3" t="s">
        <v>62</v>
      </c>
      <c r="AU4496" s="6" t="str">
        <f>HYPERLINK("http://catalog.hathitrust.org/Record/003950526","HathiTrust Record")</f>
        <v>HathiTrust Record</v>
      </c>
      <c r="AV4496" s="6" t="str">
        <f>HYPERLINK("http://mcgill.on.worldcat.org/oclc/37024890","Catalog Record")</f>
        <v>Catalog Record</v>
      </c>
      <c r="AW4496" s="6" t="str">
        <f>HYPERLINK("http://www.worldcat.org/oclc/37024890","WorldCat Record")</f>
        <v>WorldCat Record</v>
      </c>
      <c r="AX4496" s="3" t="s">
        <v>38923</v>
      </c>
      <c r="AY4496" s="3" t="s">
        <v>38924</v>
      </c>
      <c r="AZ4496" s="3" t="s">
        <v>38925</v>
      </c>
      <c r="BA4496" s="3" t="s">
        <v>38925</v>
      </c>
      <c r="BB4496" s="3" t="s">
        <v>38926</v>
      </c>
      <c r="BC4496" s="3" t="s">
        <v>82</v>
      </c>
      <c r="BD4496" s="3" t="s">
        <v>70</v>
      </c>
      <c r="BE4496" s="3" t="s">
        <v>38927</v>
      </c>
      <c r="BF4496" s="3" t="s">
        <v>38926</v>
      </c>
      <c r="BG4496" s="3" t="s">
        <v>38928</v>
      </c>
    </row>
    <row r="4497" spans="1:59" ht="60" x14ac:dyDescent="0.25">
      <c r="A4497" s="2" t="s">
        <v>59</v>
      </c>
      <c r="B4497" s="2" t="s">
        <v>60</v>
      </c>
      <c r="C4497" s="2" t="s">
        <v>38929</v>
      </c>
      <c r="D4497" s="2" t="s">
        <v>38930</v>
      </c>
      <c r="E4497" s="2" t="s">
        <v>38931</v>
      </c>
      <c r="G4497" s="3" t="s">
        <v>63</v>
      </c>
      <c r="I4497" s="3" t="s">
        <v>63</v>
      </c>
      <c r="J4497" s="3" t="s">
        <v>63</v>
      </c>
      <c r="K4497" s="3" t="s">
        <v>64</v>
      </c>
      <c r="M4497" s="2" t="s">
        <v>38932</v>
      </c>
      <c r="N4497" s="3" t="s">
        <v>234</v>
      </c>
      <c r="P4497" s="3" t="s">
        <v>66</v>
      </c>
      <c r="R4497" s="3" t="s">
        <v>67</v>
      </c>
      <c r="S4497" s="4">
        <v>6</v>
      </c>
      <c r="T4497" s="4">
        <v>6</v>
      </c>
      <c r="U4497" s="5" t="s">
        <v>23392</v>
      </c>
      <c r="V4497" s="5" t="s">
        <v>23392</v>
      </c>
      <c r="W4497" s="5" t="s">
        <v>69</v>
      </c>
      <c r="X4497" s="5" t="s">
        <v>69</v>
      </c>
      <c r="Y4497" s="4">
        <v>132</v>
      </c>
      <c r="Z4497" s="4">
        <v>21</v>
      </c>
      <c r="AA4497" s="4">
        <v>115</v>
      </c>
      <c r="AB4497" s="4">
        <v>1</v>
      </c>
      <c r="AC4497" s="4">
        <v>20</v>
      </c>
      <c r="AD4497" s="4">
        <v>81</v>
      </c>
      <c r="AE4497" s="4">
        <v>138</v>
      </c>
      <c r="AF4497" s="4">
        <v>0</v>
      </c>
      <c r="AG4497" s="4">
        <v>8</v>
      </c>
      <c r="AH4497" s="4">
        <v>70</v>
      </c>
      <c r="AI4497" s="4">
        <v>95</v>
      </c>
      <c r="AJ4497" s="4">
        <v>14</v>
      </c>
      <c r="AK4497" s="4">
        <v>25</v>
      </c>
      <c r="AL4497" s="4">
        <v>46</v>
      </c>
      <c r="AM4497" s="4">
        <v>56</v>
      </c>
      <c r="AN4497" s="4">
        <v>0</v>
      </c>
      <c r="AO4497" s="4">
        <v>0</v>
      </c>
      <c r="AP4497" s="4">
        <v>16</v>
      </c>
      <c r="AQ4497" s="4">
        <v>50</v>
      </c>
      <c r="AR4497" s="3" t="s">
        <v>62</v>
      </c>
      <c r="AS4497" s="3" t="s">
        <v>63</v>
      </c>
      <c r="AT4497" s="3" t="s">
        <v>63</v>
      </c>
      <c r="AV4497" s="6" t="str">
        <f>HYPERLINK("http://mcgill.on.worldcat.org/oclc/65206189","Catalog Record")</f>
        <v>Catalog Record</v>
      </c>
      <c r="AW4497" s="6" t="str">
        <f>HYPERLINK("http://www.worldcat.org/oclc/65206189","WorldCat Record")</f>
        <v>WorldCat Record</v>
      </c>
      <c r="AX4497" s="3" t="s">
        <v>38933</v>
      </c>
      <c r="AY4497" s="3" t="s">
        <v>38934</v>
      </c>
      <c r="AZ4497" s="3" t="s">
        <v>38935</v>
      </c>
      <c r="BA4497" s="3" t="s">
        <v>38935</v>
      </c>
      <c r="BB4497" s="3" t="s">
        <v>38936</v>
      </c>
      <c r="BC4497" s="3" t="s">
        <v>82</v>
      </c>
      <c r="BD4497" s="3" t="s">
        <v>538</v>
      </c>
      <c r="BE4497" s="3" t="s">
        <v>38937</v>
      </c>
      <c r="BF4497" s="3" t="s">
        <v>38936</v>
      </c>
      <c r="BG4497" s="3" t="s">
        <v>38938</v>
      </c>
    </row>
    <row r="4498" spans="1:59" ht="60" x14ac:dyDescent="0.25">
      <c r="A4498" s="2" t="s">
        <v>59</v>
      </c>
      <c r="B4498" s="2" t="s">
        <v>60</v>
      </c>
      <c r="C4498" s="2" t="s">
        <v>38939</v>
      </c>
      <c r="D4498" s="2" t="s">
        <v>38940</v>
      </c>
      <c r="E4498" s="2" t="s">
        <v>38941</v>
      </c>
      <c r="G4498" s="3" t="s">
        <v>63</v>
      </c>
      <c r="I4498" s="3" t="s">
        <v>63</v>
      </c>
      <c r="J4498" s="3" t="s">
        <v>63</v>
      </c>
      <c r="K4498" s="3" t="s">
        <v>64</v>
      </c>
      <c r="L4498" s="2" t="s">
        <v>38942</v>
      </c>
      <c r="M4498" s="2" t="s">
        <v>38943</v>
      </c>
      <c r="N4498" s="3" t="s">
        <v>2535</v>
      </c>
      <c r="P4498" s="3" t="s">
        <v>66</v>
      </c>
      <c r="R4498" s="3" t="s">
        <v>67</v>
      </c>
      <c r="S4498" s="4">
        <v>9</v>
      </c>
      <c r="T4498" s="4">
        <v>9</v>
      </c>
      <c r="U4498" s="5" t="s">
        <v>23392</v>
      </c>
      <c r="V4498" s="5" t="s">
        <v>23392</v>
      </c>
      <c r="W4498" s="5" t="s">
        <v>69</v>
      </c>
      <c r="X4498" s="5" t="s">
        <v>69</v>
      </c>
      <c r="Y4498" s="4">
        <v>11</v>
      </c>
      <c r="Z4498" s="4">
        <v>3</v>
      </c>
      <c r="AA4498" s="4">
        <v>3</v>
      </c>
      <c r="AB4498" s="4">
        <v>1</v>
      </c>
      <c r="AC4498" s="4">
        <v>1</v>
      </c>
      <c r="AD4498" s="4">
        <v>3</v>
      </c>
      <c r="AE4498" s="4">
        <v>3</v>
      </c>
      <c r="AF4498" s="4">
        <v>0</v>
      </c>
      <c r="AG4498" s="4">
        <v>0</v>
      </c>
      <c r="AH4498" s="4">
        <v>3</v>
      </c>
      <c r="AI4498" s="4">
        <v>3</v>
      </c>
      <c r="AJ4498" s="4">
        <v>1</v>
      </c>
      <c r="AK4498" s="4">
        <v>1</v>
      </c>
      <c r="AL4498" s="4">
        <v>1</v>
      </c>
      <c r="AM4498" s="4">
        <v>1</v>
      </c>
      <c r="AN4498" s="4">
        <v>0</v>
      </c>
      <c r="AO4498" s="4">
        <v>0</v>
      </c>
      <c r="AP4498" s="4">
        <v>1</v>
      </c>
      <c r="AQ4498" s="4">
        <v>1</v>
      </c>
      <c r="AR4498" s="3" t="s">
        <v>63</v>
      </c>
      <c r="AS4498" s="3" t="s">
        <v>63</v>
      </c>
      <c r="AT4498" s="3" t="s">
        <v>63</v>
      </c>
      <c r="AV4498" s="6" t="str">
        <f>HYPERLINK("http://mcgill.on.worldcat.org/oclc/17059056","Catalog Record")</f>
        <v>Catalog Record</v>
      </c>
      <c r="AW4498" s="6" t="str">
        <f>HYPERLINK("http://www.worldcat.org/oclc/17059056","WorldCat Record")</f>
        <v>WorldCat Record</v>
      </c>
      <c r="AX4498" s="3" t="s">
        <v>38944</v>
      </c>
      <c r="AY4498" s="3" t="s">
        <v>38945</v>
      </c>
      <c r="AZ4498" s="3" t="s">
        <v>38946</v>
      </c>
      <c r="BA4498" s="3" t="s">
        <v>38946</v>
      </c>
      <c r="BB4498" s="3" t="s">
        <v>38947</v>
      </c>
      <c r="BC4498" s="3" t="s">
        <v>82</v>
      </c>
      <c r="BD4498" s="3" t="s">
        <v>70</v>
      </c>
      <c r="BF4498" s="3" t="s">
        <v>38947</v>
      </c>
      <c r="BG4498" s="3" t="s">
        <v>38948</v>
      </c>
    </row>
    <row r="4499" spans="1:59" ht="75" x14ac:dyDescent="0.25">
      <c r="A4499" s="2" t="s">
        <v>59</v>
      </c>
      <c r="B4499" s="2" t="s">
        <v>60</v>
      </c>
      <c r="C4499" s="2" t="s">
        <v>38949</v>
      </c>
      <c r="D4499" s="2" t="s">
        <v>38950</v>
      </c>
      <c r="E4499" s="2" t="s">
        <v>38951</v>
      </c>
      <c r="G4499" s="3" t="s">
        <v>63</v>
      </c>
      <c r="I4499" s="3" t="s">
        <v>62</v>
      </c>
      <c r="J4499" s="3" t="s">
        <v>63</v>
      </c>
      <c r="K4499" s="3" t="s">
        <v>64</v>
      </c>
      <c r="L4499" s="2" t="s">
        <v>38952</v>
      </c>
      <c r="M4499" s="2" t="s">
        <v>38953</v>
      </c>
      <c r="N4499" s="3" t="s">
        <v>287</v>
      </c>
      <c r="P4499" s="3" t="s">
        <v>66</v>
      </c>
      <c r="Q4499" s="2" t="s">
        <v>38954</v>
      </c>
      <c r="R4499" s="3" t="s">
        <v>67</v>
      </c>
      <c r="S4499" s="4">
        <v>0</v>
      </c>
      <c r="T4499" s="4">
        <v>0</v>
      </c>
      <c r="W4499" s="5" t="s">
        <v>3534</v>
      </c>
      <c r="X4499" s="5" t="s">
        <v>9320</v>
      </c>
      <c r="Y4499" s="4">
        <v>30</v>
      </c>
      <c r="Z4499" s="4">
        <v>3</v>
      </c>
      <c r="AA4499" s="4">
        <v>3</v>
      </c>
      <c r="AB4499" s="4">
        <v>1</v>
      </c>
      <c r="AC4499" s="4">
        <v>1</v>
      </c>
      <c r="AD4499" s="4">
        <v>21</v>
      </c>
      <c r="AE4499" s="4">
        <v>21</v>
      </c>
      <c r="AF4499" s="4">
        <v>0</v>
      </c>
      <c r="AG4499" s="4">
        <v>0</v>
      </c>
      <c r="AH4499" s="4">
        <v>21</v>
      </c>
      <c r="AI4499" s="4">
        <v>21</v>
      </c>
      <c r="AJ4499" s="4">
        <v>2</v>
      </c>
      <c r="AK4499" s="4">
        <v>2</v>
      </c>
      <c r="AL4499" s="4">
        <v>13</v>
      </c>
      <c r="AM4499" s="4">
        <v>13</v>
      </c>
      <c r="AN4499" s="4">
        <v>0</v>
      </c>
      <c r="AO4499" s="4">
        <v>0</v>
      </c>
      <c r="AP4499" s="4">
        <v>2</v>
      </c>
      <c r="AQ4499" s="4">
        <v>2</v>
      </c>
      <c r="AR4499" s="3" t="s">
        <v>63</v>
      </c>
      <c r="AS4499" s="3" t="s">
        <v>63</v>
      </c>
      <c r="AT4499" s="3" t="s">
        <v>63</v>
      </c>
      <c r="AV4499" s="6" t="str">
        <f>HYPERLINK("http://mcgill.on.worldcat.org/oclc/1049576686","Catalog Record")</f>
        <v>Catalog Record</v>
      </c>
      <c r="AW4499" s="6" t="str">
        <f>HYPERLINK("http://www.worldcat.org/oclc/1049576686","WorldCat Record")</f>
        <v>WorldCat Record</v>
      </c>
      <c r="AX4499" s="3" t="s">
        <v>38955</v>
      </c>
      <c r="AY4499" s="3" t="s">
        <v>38956</v>
      </c>
      <c r="AZ4499" s="3" t="s">
        <v>38957</v>
      </c>
      <c r="BA4499" s="3" t="s">
        <v>38957</v>
      </c>
      <c r="BB4499" s="3" t="s">
        <v>38958</v>
      </c>
      <c r="BC4499" s="3" t="s">
        <v>82</v>
      </c>
      <c r="BD4499" s="3" t="s">
        <v>70</v>
      </c>
      <c r="BE4499" s="3" t="s">
        <v>38959</v>
      </c>
      <c r="BF4499" s="3" t="s">
        <v>38958</v>
      </c>
      <c r="BG4499" s="3" t="s">
        <v>38960</v>
      </c>
    </row>
    <row r="4500" spans="1:59" ht="75" x14ac:dyDescent="0.25">
      <c r="A4500" s="2" t="s">
        <v>59</v>
      </c>
      <c r="B4500" s="2" t="s">
        <v>60</v>
      </c>
      <c r="C4500" s="2" t="s">
        <v>38949</v>
      </c>
      <c r="D4500" s="2" t="s">
        <v>38950</v>
      </c>
      <c r="E4500" s="2" t="s">
        <v>38951</v>
      </c>
      <c r="G4500" s="3" t="s">
        <v>63</v>
      </c>
      <c r="I4500" s="3" t="s">
        <v>62</v>
      </c>
      <c r="J4500" s="3" t="s">
        <v>63</v>
      </c>
      <c r="K4500" s="3" t="s">
        <v>64</v>
      </c>
      <c r="L4500" s="2" t="s">
        <v>38952</v>
      </c>
      <c r="M4500" s="2" t="s">
        <v>38953</v>
      </c>
      <c r="N4500" s="3" t="s">
        <v>287</v>
      </c>
      <c r="P4500" s="3" t="s">
        <v>66</v>
      </c>
      <c r="Q4500" s="2" t="s">
        <v>38954</v>
      </c>
      <c r="R4500" s="3" t="s">
        <v>67</v>
      </c>
      <c r="S4500" s="4">
        <v>0</v>
      </c>
      <c r="T4500" s="4">
        <v>0</v>
      </c>
      <c r="W4500" s="5" t="s">
        <v>9320</v>
      </c>
      <c r="X4500" s="5" t="s">
        <v>9320</v>
      </c>
      <c r="Y4500" s="4">
        <v>30</v>
      </c>
      <c r="Z4500" s="4">
        <v>3</v>
      </c>
      <c r="AA4500" s="4">
        <v>3</v>
      </c>
      <c r="AB4500" s="4">
        <v>1</v>
      </c>
      <c r="AC4500" s="4">
        <v>1</v>
      </c>
      <c r="AD4500" s="4">
        <v>21</v>
      </c>
      <c r="AE4500" s="4">
        <v>21</v>
      </c>
      <c r="AF4500" s="4">
        <v>0</v>
      </c>
      <c r="AG4500" s="4">
        <v>0</v>
      </c>
      <c r="AH4500" s="4">
        <v>21</v>
      </c>
      <c r="AI4500" s="4">
        <v>21</v>
      </c>
      <c r="AJ4500" s="4">
        <v>2</v>
      </c>
      <c r="AK4500" s="4">
        <v>2</v>
      </c>
      <c r="AL4500" s="4">
        <v>13</v>
      </c>
      <c r="AM4500" s="4">
        <v>13</v>
      </c>
      <c r="AN4500" s="4">
        <v>0</v>
      </c>
      <c r="AO4500" s="4">
        <v>0</v>
      </c>
      <c r="AP4500" s="4">
        <v>2</v>
      </c>
      <c r="AQ4500" s="4">
        <v>2</v>
      </c>
      <c r="AR4500" s="3" t="s">
        <v>63</v>
      </c>
      <c r="AS4500" s="3" t="s">
        <v>63</v>
      </c>
      <c r="AT4500" s="3" t="s">
        <v>63</v>
      </c>
      <c r="AV4500" s="6" t="str">
        <f>HYPERLINK("http://mcgill.on.worldcat.org/oclc/1049576686","Catalog Record")</f>
        <v>Catalog Record</v>
      </c>
      <c r="AW4500" s="6" t="str">
        <f>HYPERLINK("http://www.worldcat.org/oclc/1049576686","WorldCat Record")</f>
        <v>WorldCat Record</v>
      </c>
      <c r="AX4500" s="3" t="s">
        <v>38955</v>
      </c>
      <c r="AY4500" s="3" t="s">
        <v>38956</v>
      </c>
      <c r="AZ4500" s="3" t="s">
        <v>38957</v>
      </c>
      <c r="BA4500" s="3" t="s">
        <v>38957</v>
      </c>
      <c r="BB4500" s="3" t="s">
        <v>38961</v>
      </c>
      <c r="BC4500" s="3" t="s">
        <v>82</v>
      </c>
      <c r="BD4500" s="3" t="s">
        <v>70</v>
      </c>
      <c r="BE4500" s="3" t="s">
        <v>38959</v>
      </c>
      <c r="BF4500" s="3" t="s">
        <v>38961</v>
      </c>
      <c r="BG4500" s="3" t="s">
        <v>38962</v>
      </c>
    </row>
    <row r="4501" spans="1:59" ht="75" x14ac:dyDescent="0.25">
      <c r="A4501" s="2" t="s">
        <v>59</v>
      </c>
      <c r="B4501" s="2" t="s">
        <v>60</v>
      </c>
      <c r="C4501" s="2" t="s">
        <v>38963</v>
      </c>
      <c r="D4501" s="2" t="s">
        <v>38964</v>
      </c>
      <c r="E4501" s="2" t="s">
        <v>38965</v>
      </c>
      <c r="G4501" s="3" t="s">
        <v>63</v>
      </c>
      <c r="I4501" s="3" t="s">
        <v>63</v>
      </c>
      <c r="J4501" s="3" t="s">
        <v>63</v>
      </c>
      <c r="K4501" s="3" t="s">
        <v>64</v>
      </c>
      <c r="L4501" s="2" t="s">
        <v>38966</v>
      </c>
      <c r="M4501" s="2" t="s">
        <v>38967</v>
      </c>
      <c r="N4501" s="3" t="s">
        <v>814</v>
      </c>
      <c r="O4501" s="2" t="s">
        <v>38968</v>
      </c>
      <c r="P4501" s="3" t="s">
        <v>38181</v>
      </c>
      <c r="Q4501" s="2" t="s">
        <v>38969</v>
      </c>
      <c r="R4501" s="3" t="s">
        <v>67</v>
      </c>
      <c r="S4501" s="4">
        <v>2</v>
      </c>
      <c r="T4501" s="4">
        <v>2</v>
      </c>
      <c r="U4501" s="5" t="s">
        <v>376</v>
      </c>
      <c r="V4501" s="5" t="s">
        <v>376</v>
      </c>
      <c r="W4501" s="5" t="s">
        <v>69</v>
      </c>
      <c r="X4501" s="5" t="s">
        <v>69</v>
      </c>
      <c r="Y4501" s="4">
        <v>2</v>
      </c>
      <c r="Z4501" s="4">
        <v>2</v>
      </c>
      <c r="AA4501" s="4">
        <v>9</v>
      </c>
      <c r="AB4501" s="4">
        <v>2</v>
      </c>
      <c r="AC4501" s="4">
        <v>2</v>
      </c>
      <c r="AD4501" s="4">
        <v>0</v>
      </c>
      <c r="AE4501" s="4">
        <v>37</v>
      </c>
      <c r="AF4501" s="4">
        <v>0</v>
      </c>
      <c r="AG4501" s="4">
        <v>0</v>
      </c>
      <c r="AH4501" s="4">
        <v>0</v>
      </c>
      <c r="AI4501" s="4">
        <v>35</v>
      </c>
      <c r="AJ4501" s="4">
        <v>0</v>
      </c>
      <c r="AK4501" s="4">
        <v>3</v>
      </c>
      <c r="AL4501" s="4">
        <v>0</v>
      </c>
      <c r="AM4501" s="4">
        <v>27</v>
      </c>
      <c r="AN4501" s="4">
        <v>0</v>
      </c>
      <c r="AO4501" s="4">
        <v>0</v>
      </c>
      <c r="AP4501" s="4">
        <v>0</v>
      </c>
      <c r="AQ4501" s="4">
        <v>4</v>
      </c>
      <c r="AR4501" s="3" t="s">
        <v>63</v>
      </c>
      <c r="AS4501" s="3" t="s">
        <v>63</v>
      </c>
      <c r="AT4501" s="3" t="s">
        <v>63</v>
      </c>
      <c r="AV4501" s="6" t="str">
        <f>HYPERLINK("http://mcgill.on.worldcat.org/oclc/61653333","Catalog Record")</f>
        <v>Catalog Record</v>
      </c>
      <c r="AW4501" s="6" t="str">
        <f>HYPERLINK("http://www.worldcat.org/oclc/61653333","WorldCat Record")</f>
        <v>WorldCat Record</v>
      </c>
      <c r="AX4501" s="3" t="s">
        <v>38970</v>
      </c>
      <c r="AY4501" s="3" t="s">
        <v>38971</v>
      </c>
      <c r="AZ4501" s="3" t="s">
        <v>38972</v>
      </c>
      <c r="BA4501" s="3" t="s">
        <v>38972</v>
      </c>
      <c r="BB4501" s="3" t="s">
        <v>38973</v>
      </c>
      <c r="BC4501" s="3" t="s">
        <v>82</v>
      </c>
      <c r="BD4501" s="3" t="s">
        <v>70</v>
      </c>
      <c r="BF4501" s="3" t="s">
        <v>38973</v>
      </c>
      <c r="BG4501" s="3" t="s">
        <v>38974</v>
      </c>
    </row>
    <row r="4502" spans="1:59" ht="75" x14ac:dyDescent="0.25">
      <c r="A4502" s="2" t="s">
        <v>59</v>
      </c>
      <c r="B4502" s="2" t="s">
        <v>60</v>
      </c>
      <c r="C4502" s="2" t="s">
        <v>38975</v>
      </c>
      <c r="D4502" s="2" t="s">
        <v>38976</v>
      </c>
      <c r="E4502" s="2" t="s">
        <v>38977</v>
      </c>
      <c r="G4502" s="3" t="s">
        <v>63</v>
      </c>
      <c r="I4502" s="3" t="s">
        <v>63</v>
      </c>
      <c r="J4502" s="3" t="s">
        <v>63</v>
      </c>
      <c r="K4502" s="3" t="s">
        <v>64</v>
      </c>
      <c r="L4502" s="2" t="s">
        <v>38261</v>
      </c>
      <c r="M4502" s="2" t="s">
        <v>38978</v>
      </c>
      <c r="N4502" s="3" t="s">
        <v>362</v>
      </c>
      <c r="P4502" s="3" t="s">
        <v>66</v>
      </c>
      <c r="R4502" s="3" t="s">
        <v>67</v>
      </c>
      <c r="S4502" s="4">
        <v>14</v>
      </c>
      <c r="T4502" s="4">
        <v>14</v>
      </c>
      <c r="U4502" s="5" t="s">
        <v>38979</v>
      </c>
      <c r="V4502" s="5" t="s">
        <v>38979</v>
      </c>
      <c r="W4502" s="5" t="s">
        <v>69</v>
      </c>
      <c r="X4502" s="5" t="s">
        <v>69</v>
      </c>
      <c r="Y4502" s="4">
        <v>849</v>
      </c>
      <c r="Z4502" s="4">
        <v>26</v>
      </c>
      <c r="AA4502" s="4">
        <v>37</v>
      </c>
      <c r="AB4502" s="4">
        <v>3</v>
      </c>
      <c r="AC4502" s="4">
        <v>3</v>
      </c>
      <c r="AD4502" s="4">
        <v>100</v>
      </c>
      <c r="AE4502" s="4">
        <v>110</v>
      </c>
      <c r="AF4502" s="4">
        <v>0</v>
      </c>
      <c r="AG4502" s="4">
        <v>0</v>
      </c>
      <c r="AH4502" s="4">
        <v>92</v>
      </c>
      <c r="AI4502" s="4">
        <v>97</v>
      </c>
      <c r="AJ4502" s="4">
        <v>10</v>
      </c>
      <c r="AK4502" s="4">
        <v>13</v>
      </c>
      <c r="AL4502" s="4">
        <v>52</v>
      </c>
      <c r="AM4502" s="4">
        <v>56</v>
      </c>
      <c r="AN4502" s="4">
        <v>0</v>
      </c>
      <c r="AO4502" s="4">
        <v>2</v>
      </c>
      <c r="AP4502" s="4">
        <v>12</v>
      </c>
      <c r="AQ4502" s="4">
        <v>17</v>
      </c>
      <c r="AR4502" s="3" t="s">
        <v>63</v>
      </c>
      <c r="AS4502" s="3" t="s">
        <v>63</v>
      </c>
      <c r="AT4502" s="3" t="s">
        <v>63</v>
      </c>
      <c r="AV4502" s="6" t="str">
        <f>HYPERLINK("http://mcgill.on.worldcat.org/oclc/47927756","Catalog Record")</f>
        <v>Catalog Record</v>
      </c>
      <c r="AW4502" s="6" t="str">
        <f>HYPERLINK("http://www.worldcat.org/oclc/47927756","WorldCat Record")</f>
        <v>WorldCat Record</v>
      </c>
      <c r="AX4502" s="3" t="s">
        <v>38980</v>
      </c>
      <c r="AY4502" s="3" t="s">
        <v>38981</v>
      </c>
      <c r="AZ4502" s="3" t="s">
        <v>38982</v>
      </c>
      <c r="BA4502" s="3" t="s">
        <v>38982</v>
      </c>
      <c r="BB4502" s="3" t="s">
        <v>38983</v>
      </c>
      <c r="BC4502" s="3" t="s">
        <v>82</v>
      </c>
      <c r="BD4502" s="3" t="s">
        <v>70</v>
      </c>
      <c r="BE4502" s="3" t="s">
        <v>38984</v>
      </c>
      <c r="BF4502" s="3" t="s">
        <v>38983</v>
      </c>
      <c r="BG4502" s="3" t="s">
        <v>38985</v>
      </c>
    </row>
    <row r="4503" spans="1:59" ht="75" x14ac:dyDescent="0.25">
      <c r="A4503" s="2" t="s">
        <v>59</v>
      </c>
      <c r="B4503" s="2" t="s">
        <v>60</v>
      </c>
      <c r="C4503" s="2" t="s">
        <v>38986</v>
      </c>
      <c r="D4503" s="2" t="s">
        <v>38987</v>
      </c>
      <c r="E4503" s="2" t="s">
        <v>38988</v>
      </c>
      <c r="G4503" s="3" t="s">
        <v>63</v>
      </c>
      <c r="I4503" s="3" t="s">
        <v>62</v>
      </c>
      <c r="J4503" s="3" t="s">
        <v>62</v>
      </c>
      <c r="K4503" s="3" t="s">
        <v>64</v>
      </c>
      <c r="L4503" s="2" t="s">
        <v>38261</v>
      </c>
      <c r="M4503" s="2" t="s">
        <v>38834</v>
      </c>
      <c r="N4503" s="3" t="s">
        <v>2535</v>
      </c>
      <c r="P4503" s="3" t="s">
        <v>66</v>
      </c>
      <c r="Q4503" s="2" t="s">
        <v>28383</v>
      </c>
      <c r="R4503" s="3" t="s">
        <v>67</v>
      </c>
      <c r="S4503" s="4">
        <v>10</v>
      </c>
      <c r="T4503" s="4">
        <v>10</v>
      </c>
      <c r="U4503" s="5" t="s">
        <v>32404</v>
      </c>
      <c r="V4503" s="5" t="s">
        <v>32404</v>
      </c>
      <c r="W4503" s="5" t="s">
        <v>69</v>
      </c>
      <c r="X4503" s="5" t="s">
        <v>69</v>
      </c>
      <c r="Y4503" s="4">
        <v>490</v>
      </c>
      <c r="Z4503" s="4">
        <v>22</v>
      </c>
      <c r="AA4503" s="4">
        <v>36</v>
      </c>
      <c r="AB4503" s="4">
        <v>1</v>
      </c>
      <c r="AC4503" s="4">
        <v>3</v>
      </c>
      <c r="AD4503" s="4">
        <v>91</v>
      </c>
      <c r="AE4503" s="4">
        <v>116</v>
      </c>
      <c r="AF4503" s="4">
        <v>0</v>
      </c>
      <c r="AG4503" s="4">
        <v>2</v>
      </c>
      <c r="AH4503" s="4">
        <v>85</v>
      </c>
      <c r="AI4503" s="4">
        <v>104</v>
      </c>
      <c r="AJ4503" s="4">
        <v>10</v>
      </c>
      <c r="AK4503" s="4">
        <v>16</v>
      </c>
      <c r="AL4503" s="4">
        <v>46</v>
      </c>
      <c r="AM4503" s="4">
        <v>55</v>
      </c>
      <c r="AN4503" s="4">
        <v>0</v>
      </c>
      <c r="AO4503" s="4">
        <v>0</v>
      </c>
      <c r="AP4503" s="4">
        <v>12</v>
      </c>
      <c r="AQ4503" s="4">
        <v>21</v>
      </c>
      <c r="AR4503" s="3" t="s">
        <v>63</v>
      </c>
      <c r="AS4503" s="3" t="s">
        <v>63</v>
      </c>
      <c r="AT4503" s="3" t="s">
        <v>62</v>
      </c>
      <c r="AU4503" s="6" t="str">
        <f>HYPERLINK("http://catalog.hathitrust.org/Record/001354028","HathiTrust Record")</f>
        <v>HathiTrust Record</v>
      </c>
      <c r="AV4503" s="6" t="str">
        <f>HYPERLINK("http://mcgill.on.worldcat.org/oclc/667052","Catalog Record")</f>
        <v>Catalog Record</v>
      </c>
      <c r="AW4503" s="6" t="str">
        <f>HYPERLINK("http://www.worldcat.org/oclc/667052","WorldCat Record")</f>
        <v>WorldCat Record</v>
      </c>
      <c r="AX4503" s="3" t="s">
        <v>38989</v>
      </c>
      <c r="AY4503" s="3" t="s">
        <v>38990</v>
      </c>
      <c r="AZ4503" s="3" t="s">
        <v>38991</v>
      </c>
      <c r="BA4503" s="3" t="s">
        <v>38991</v>
      </c>
      <c r="BB4503" s="3" t="s">
        <v>38992</v>
      </c>
      <c r="BC4503" s="3" t="s">
        <v>82</v>
      </c>
      <c r="BD4503" s="3" t="s">
        <v>70</v>
      </c>
      <c r="BE4503" s="3" t="s">
        <v>38993</v>
      </c>
      <c r="BF4503" s="3" t="s">
        <v>38992</v>
      </c>
      <c r="BG4503" s="3" t="s">
        <v>38994</v>
      </c>
    </row>
    <row r="4504" spans="1:59" ht="90" x14ac:dyDescent="0.25">
      <c r="A4504" s="2" t="s">
        <v>59</v>
      </c>
      <c r="B4504" s="2" t="s">
        <v>60</v>
      </c>
      <c r="C4504" s="2" t="s">
        <v>38995</v>
      </c>
      <c r="D4504" s="2" t="s">
        <v>38996</v>
      </c>
      <c r="E4504" s="2" t="s">
        <v>38997</v>
      </c>
      <c r="G4504" s="3" t="s">
        <v>63</v>
      </c>
      <c r="I4504" s="3" t="s">
        <v>63</v>
      </c>
      <c r="J4504" s="3" t="s">
        <v>63</v>
      </c>
      <c r="K4504" s="3" t="s">
        <v>64</v>
      </c>
      <c r="L4504" s="2" t="s">
        <v>38998</v>
      </c>
      <c r="M4504" s="2" t="s">
        <v>38999</v>
      </c>
      <c r="N4504" s="3" t="s">
        <v>1557</v>
      </c>
      <c r="P4504" s="3" t="s">
        <v>66</v>
      </c>
      <c r="Q4504" s="2" t="s">
        <v>17779</v>
      </c>
      <c r="R4504" s="3" t="s">
        <v>67</v>
      </c>
      <c r="S4504" s="4">
        <v>0</v>
      </c>
      <c r="T4504" s="4">
        <v>0</v>
      </c>
      <c r="W4504" s="5" t="s">
        <v>69</v>
      </c>
      <c r="X4504" s="5" t="s">
        <v>69</v>
      </c>
      <c r="Y4504" s="4">
        <v>177</v>
      </c>
      <c r="Z4504" s="4">
        <v>11</v>
      </c>
      <c r="AA4504" s="4">
        <v>71</v>
      </c>
      <c r="AB4504" s="4">
        <v>1</v>
      </c>
      <c r="AC4504" s="4">
        <v>14</v>
      </c>
      <c r="AD4504" s="4">
        <v>56</v>
      </c>
      <c r="AE4504" s="4">
        <v>106</v>
      </c>
      <c r="AF4504" s="4">
        <v>0</v>
      </c>
      <c r="AG4504" s="4">
        <v>8</v>
      </c>
      <c r="AH4504" s="4">
        <v>54</v>
      </c>
      <c r="AI4504" s="4">
        <v>78</v>
      </c>
      <c r="AJ4504" s="4">
        <v>5</v>
      </c>
      <c r="AK4504" s="4">
        <v>17</v>
      </c>
      <c r="AL4504" s="4">
        <v>37</v>
      </c>
      <c r="AM4504" s="4">
        <v>47</v>
      </c>
      <c r="AN4504" s="4">
        <v>0</v>
      </c>
      <c r="AO4504" s="4">
        <v>0</v>
      </c>
      <c r="AP4504" s="4">
        <v>5</v>
      </c>
      <c r="AQ4504" s="4">
        <v>34</v>
      </c>
      <c r="AR4504" s="3" t="s">
        <v>63</v>
      </c>
      <c r="AS4504" s="3" t="s">
        <v>63</v>
      </c>
      <c r="AT4504" s="3" t="s">
        <v>63</v>
      </c>
      <c r="AV4504" s="6" t="str">
        <f>HYPERLINK("http://mcgill.on.worldcat.org/oclc/946216602","Catalog Record")</f>
        <v>Catalog Record</v>
      </c>
      <c r="AW4504" s="6" t="str">
        <f>HYPERLINK("http://www.worldcat.org/oclc/946216602","WorldCat Record")</f>
        <v>WorldCat Record</v>
      </c>
      <c r="AX4504" s="3" t="s">
        <v>39000</v>
      </c>
      <c r="AY4504" s="3" t="s">
        <v>39001</v>
      </c>
      <c r="AZ4504" s="3" t="s">
        <v>39002</v>
      </c>
      <c r="BA4504" s="3" t="s">
        <v>39002</v>
      </c>
      <c r="BB4504" s="3" t="s">
        <v>39003</v>
      </c>
      <c r="BC4504" s="3" t="s">
        <v>82</v>
      </c>
      <c r="BD4504" s="3" t="s">
        <v>70</v>
      </c>
      <c r="BE4504" s="3" t="s">
        <v>39004</v>
      </c>
      <c r="BF4504" s="3" t="s">
        <v>39003</v>
      </c>
      <c r="BG4504" s="3" t="s">
        <v>39005</v>
      </c>
    </row>
    <row r="4505" spans="1:59" ht="75" x14ac:dyDescent="0.25">
      <c r="A4505" s="2" t="s">
        <v>59</v>
      </c>
      <c r="B4505" s="2" t="s">
        <v>60</v>
      </c>
      <c r="C4505" s="2" t="s">
        <v>39006</v>
      </c>
      <c r="D4505" s="2" t="s">
        <v>39007</v>
      </c>
      <c r="E4505" s="2" t="s">
        <v>39008</v>
      </c>
      <c r="G4505" s="3" t="s">
        <v>63</v>
      </c>
      <c r="I4505" s="3" t="s">
        <v>62</v>
      </c>
      <c r="J4505" s="3" t="s">
        <v>63</v>
      </c>
      <c r="K4505" s="3" t="s">
        <v>64</v>
      </c>
      <c r="L4505" s="2" t="s">
        <v>38261</v>
      </c>
      <c r="M4505" s="2" t="s">
        <v>39009</v>
      </c>
      <c r="N4505" s="3" t="s">
        <v>190</v>
      </c>
      <c r="O4505" s="2" t="s">
        <v>23323</v>
      </c>
      <c r="P4505" s="3" t="s">
        <v>66</v>
      </c>
      <c r="R4505" s="3" t="s">
        <v>67</v>
      </c>
      <c r="S4505" s="4">
        <v>4</v>
      </c>
      <c r="T4505" s="4">
        <v>4</v>
      </c>
      <c r="U4505" s="5" t="s">
        <v>39010</v>
      </c>
      <c r="V4505" s="5" t="s">
        <v>39010</v>
      </c>
      <c r="W4505" s="5" t="s">
        <v>69</v>
      </c>
      <c r="X4505" s="5" t="s">
        <v>69</v>
      </c>
      <c r="Y4505" s="4">
        <v>451</v>
      </c>
      <c r="Z4505" s="4">
        <v>21</v>
      </c>
      <c r="AA4505" s="4">
        <v>23</v>
      </c>
      <c r="AB4505" s="4">
        <v>1</v>
      </c>
      <c r="AC4505" s="4">
        <v>3</v>
      </c>
      <c r="AD4505" s="4">
        <v>91</v>
      </c>
      <c r="AE4505" s="4">
        <v>91</v>
      </c>
      <c r="AF4505" s="4">
        <v>0</v>
      </c>
      <c r="AG4505" s="4">
        <v>0</v>
      </c>
      <c r="AH4505" s="4">
        <v>86</v>
      </c>
      <c r="AI4505" s="4">
        <v>86</v>
      </c>
      <c r="AJ4505" s="4">
        <v>7</v>
      </c>
      <c r="AK4505" s="4">
        <v>7</v>
      </c>
      <c r="AL4505" s="4">
        <v>54</v>
      </c>
      <c r="AM4505" s="4">
        <v>54</v>
      </c>
      <c r="AN4505" s="4">
        <v>0</v>
      </c>
      <c r="AO4505" s="4">
        <v>0</v>
      </c>
      <c r="AP4505" s="4">
        <v>8</v>
      </c>
      <c r="AQ4505" s="4">
        <v>8</v>
      </c>
      <c r="AR4505" s="3" t="s">
        <v>63</v>
      </c>
      <c r="AS4505" s="3" t="s">
        <v>63</v>
      </c>
      <c r="AT4505" s="3" t="s">
        <v>63</v>
      </c>
      <c r="AV4505" s="6" t="str">
        <f>HYPERLINK("http://mcgill.on.worldcat.org/oclc/57414688","Catalog Record")</f>
        <v>Catalog Record</v>
      </c>
      <c r="AW4505" s="6" t="str">
        <f>HYPERLINK("http://www.worldcat.org/oclc/57414688","WorldCat Record")</f>
        <v>WorldCat Record</v>
      </c>
      <c r="AX4505" s="3" t="s">
        <v>39011</v>
      </c>
      <c r="AY4505" s="3" t="s">
        <v>39012</v>
      </c>
      <c r="AZ4505" s="3" t="s">
        <v>39013</v>
      </c>
      <c r="BA4505" s="3" t="s">
        <v>39013</v>
      </c>
      <c r="BB4505" s="3" t="s">
        <v>39014</v>
      </c>
      <c r="BC4505" s="3" t="s">
        <v>82</v>
      </c>
      <c r="BD4505" s="3" t="s">
        <v>70</v>
      </c>
      <c r="BE4505" s="3" t="s">
        <v>39015</v>
      </c>
      <c r="BF4505" s="3" t="s">
        <v>39014</v>
      </c>
      <c r="BG4505" s="3" t="s">
        <v>39016</v>
      </c>
    </row>
    <row r="4506" spans="1:59" ht="90" x14ac:dyDescent="0.25">
      <c r="A4506" s="2" t="s">
        <v>59</v>
      </c>
      <c r="B4506" s="2" t="s">
        <v>60</v>
      </c>
      <c r="C4506" s="2" t="s">
        <v>39017</v>
      </c>
      <c r="D4506" s="2" t="s">
        <v>39018</v>
      </c>
      <c r="E4506" s="2" t="s">
        <v>39019</v>
      </c>
      <c r="G4506" s="3" t="s">
        <v>63</v>
      </c>
      <c r="I4506" s="3" t="s">
        <v>63</v>
      </c>
      <c r="J4506" s="3" t="s">
        <v>63</v>
      </c>
      <c r="K4506" s="3" t="s">
        <v>64</v>
      </c>
      <c r="L4506" s="2" t="s">
        <v>38261</v>
      </c>
      <c r="M4506" s="2" t="s">
        <v>39020</v>
      </c>
      <c r="N4506" s="3" t="s">
        <v>176</v>
      </c>
      <c r="O4506" s="2" t="s">
        <v>33420</v>
      </c>
      <c r="P4506" s="3" t="s">
        <v>66</v>
      </c>
      <c r="R4506" s="3" t="s">
        <v>67</v>
      </c>
      <c r="S4506" s="4">
        <v>9</v>
      </c>
      <c r="T4506" s="4">
        <v>9</v>
      </c>
      <c r="U4506" s="5" t="s">
        <v>26910</v>
      </c>
      <c r="V4506" s="5" t="s">
        <v>26910</v>
      </c>
      <c r="W4506" s="5" t="s">
        <v>69</v>
      </c>
      <c r="X4506" s="5" t="s">
        <v>69</v>
      </c>
      <c r="Y4506" s="4">
        <v>533</v>
      </c>
      <c r="Z4506" s="4">
        <v>19</v>
      </c>
      <c r="AA4506" s="4">
        <v>23</v>
      </c>
      <c r="AB4506" s="4">
        <v>1</v>
      </c>
      <c r="AC4506" s="4">
        <v>2</v>
      </c>
      <c r="AD4506" s="4">
        <v>97</v>
      </c>
      <c r="AE4506" s="4">
        <v>100</v>
      </c>
      <c r="AF4506" s="4">
        <v>0</v>
      </c>
      <c r="AG4506" s="4">
        <v>0</v>
      </c>
      <c r="AH4506" s="4">
        <v>89</v>
      </c>
      <c r="AI4506" s="4">
        <v>89</v>
      </c>
      <c r="AJ4506" s="4">
        <v>10</v>
      </c>
      <c r="AK4506" s="4">
        <v>11</v>
      </c>
      <c r="AL4506" s="4">
        <v>51</v>
      </c>
      <c r="AM4506" s="4">
        <v>51</v>
      </c>
      <c r="AN4506" s="4">
        <v>0</v>
      </c>
      <c r="AO4506" s="4">
        <v>0</v>
      </c>
      <c r="AP4506" s="4">
        <v>11</v>
      </c>
      <c r="AQ4506" s="4">
        <v>14</v>
      </c>
      <c r="AR4506" s="3" t="s">
        <v>63</v>
      </c>
      <c r="AS4506" s="3" t="s">
        <v>63</v>
      </c>
      <c r="AT4506" s="3" t="s">
        <v>63</v>
      </c>
      <c r="AV4506" s="6" t="str">
        <f>HYPERLINK("http://mcgill.on.worldcat.org/oclc/38573677","Catalog Record")</f>
        <v>Catalog Record</v>
      </c>
      <c r="AW4506" s="6" t="str">
        <f>HYPERLINK("http://www.worldcat.org/oclc/38573677","WorldCat Record")</f>
        <v>WorldCat Record</v>
      </c>
      <c r="AX4506" s="3" t="s">
        <v>39021</v>
      </c>
      <c r="AY4506" s="3" t="s">
        <v>39022</v>
      </c>
      <c r="AZ4506" s="3" t="s">
        <v>39023</v>
      </c>
      <c r="BA4506" s="3" t="s">
        <v>39023</v>
      </c>
      <c r="BB4506" s="3" t="s">
        <v>39024</v>
      </c>
      <c r="BC4506" s="3" t="s">
        <v>82</v>
      </c>
      <c r="BD4506" s="3" t="s">
        <v>70</v>
      </c>
      <c r="BE4506" s="3" t="s">
        <v>39025</v>
      </c>
      <c r="BF4506" s="3" t="s">
        <v>39024</v>
      </c>
      <c r="BG4506" s="3" t="s">
        <v>39026</v>
      </c>
    </row>
    <row r="4507" spans="1:59" ht="75" x14ac:dyDescent="0.25">
      <c r="A4507" s="2" t="s">
        <v>59</v>
      </c>
      <c r="B4507" s="2" t="s">
        <v>60</v>
      </c>
      <c r="C4507" s="2" t="s">
        <v>39027</v>
      </c>
      <c r="D4507" s="2" t="s">
        <v>39028</v>
      </c>
      <c r="E4507" s="2" t="s">
        <v>39029</v>
      </c>
      <c r="G4507" s="3" t="s">
        <v>63</v>
      </c>
      <c r="I4507" s="3" t="s">
        <v>63</v>
      </c>
      <c r="J4507" s="3" t="s">
        <v>63</v>
      </c>
      <c r="K4507" s="3" t="s">
        <v>64</v>
      </c>
      <c r="L4507" s="2" t="s">
        <v>38261</v>
      </c>
      <c r="M4507" s="2" t="s">
        <v>39030</v>
      </c>
      <c r="N4507" s="3" t="s">
        <v>313</v>
      </c>
      <c r="P4507" s="3" t="s">
        <v>66</v>
      </c>
      <c r="Q4507" s="2" t="s">
        <v>37229</v>
      </c>
      <c r="R4507" s="3" t="s">
        <v>67</v>
      </c>
      <c r="S4507" s="4">
        <v>1</v>
      </c>
      <c r="T4507" s="4">
        <v>1</v>
      </c>
      <c r="U4507" s="5" t="s">
        <v>39031</v>
      </c>
      <c r="V4507" s="5" t="s">
        <v>39031</v>
      </c>
      <c r="W4507" s="5" t="s">
        <v>69</v>
      </c>
      <c r="X4507" s="5" t="s">
        <v>69</v>
      </c>
      <c r="Y4507" s="4">
        <v>64</v>
      </c>
      <c r="Z4507" s="4">
        <v>8</v>
      </c>
      <c r="AA4507" s="4">
        <v>8</v>
      </c>
      <c r="AB4507" s="4">
        <v>1</v>
      </c>
      <c r="AC4507" s="4">
        <v>1</v>
      </c>
      <c r="AD4507" s="4">
        <v>24</v>
      </c>
      <c r="AE4507" s="4">
        <v>24</v>
      </c>
      <c r="AF4507" s="4">
        <v>0</v>
      </c>
      <c r="AG4507" s="4">
        <v>0</v>
      </c>
      <c r="AH4507" s="4">
        <v>21</v>
      </c>
      <c r="AI4507" s="4">
        <v>21</v>
      </c>
      <c r="AJ4507" s="4">
        <v>6</v>
      </c>
      <c r="AK4507" s="4">
        <v>6</v>
      </c>
      <c r="AL4507" s="4">
        <v>15</v>
      </c>
      <c r="AM4507" s="4">
        <v>15</v>
      </c>
      <c r="AN4507" s="4">
        <v>0</v>
      </c>
      <c r="AO4507" s="4">
        <v>0</v>
      </c>
      <c r="AP4507" s="4">
        <v>6</v>
      </c>
      <c r="AQ4507" s="4">
        <v>6</v>
      </c>
      <c r="AR4507" s="3" t="s">
        <v>63</v>
      </c>
      <c r="AS4507" s="3" t="s">
        <v>63</v>
      </c>
      <c r="AT4507" s="3" t="s">
        <v>63</v>
      </c>
      <c r="AV4507" s="6" t="str">
        <f>HYPERLINK("http://mcgill.on.worldcat.org/oclc/501394923","Catalog Record")</f>
        <v>Catalog Record</v>
      </c>
      <c r="AW4507" s="6" t="str">
        <f>HYPERLINK("http://www.worldcat.org/oclc/501394923","WorldCat Record")</f>
        <v>WorldCat Record</v>
      </c>
      <c r="AX4507" s="3" t="s">
        <v>39032</v>
      </c>
      <c r="AY4507" s="3" t="s">
        <v>39033</v>
      </c>
      <c r="AZ4507" s="3" t="s">
        <v>39034</v>
      </c>
      <c r="BA4507" s="3" t="s">
        <v>39034</v>
      </c>
      <c r="BB4507" s="3" t="s">
        <v>39035</v>
      </c>
      <c r="BC4507" s="3" t="s">
        <v>82</v>
      </c>
      <c r="BD4507" s="3" t="s">
        <v>70</v>
      </c>
      <c r="BE4507" s="3" t="s">
        <v>39036</v>
      </c>
      <c r="BF4507" s="3" t="s">
        <v>39035</v>
      </c>
      <c r="BG4507" s="3" t="s">
        <v>39037</v>
      </c>
    </row>
    <row r="4508" spans="1:59" ht="75" x14ac:dyDescent="0.25">
      <c r="A4508" s="2" t="s">
        <v>59</v>
      </c>
      <c r="B4508" s="2" t="s">
        <v>60</v>
      </c>
      <c r="C4508" s="2" t="s">
        <v>39038</v>
      </c>
      <c r="D4508" s="2" t="s">
        <v>39039</v>
      </c>
      <c r="E4508" s="2" t="s">
        <v>39040</v>
      </c>
      <c r="G4508" s="3" t="s">
        <v>63</v>
      </c>
      <c r="I4508" s="3" t="s">
        <v>62</v>
      </c>
      <c r="J4508" s="3" t="s">
        <v>63</v>
      </c>
      <c r="K4508" s="3" t="s">
        <v>64</v>
      </c>
      <c r="L4508" s="2" t="s">
        <v>38261</v>
      </c>
      <c r="M4508" s="2" t="s">
        <v>39041</v>
      </c>
      <c r="N4508" s="3" t="s">
        <v>939</v>
      </c>
      <c r="O4508" s="2" t="s">
        <v>976</v>
      </c>
      <c r="P4508" s="3" t="s">
        <v>66</v>
      </c>
      <c r="R4508" s="3" t="s">
        <v>67</v>
      </c>
      <c r="S4508" s="4">
        <v>13</v>
      </c>
      <c r="T4508" s="4">
        <v>13</v>
      </c>
      <c r="U4508" s="5" t="s">
        <v>39042</v>
      </c>
      <c r="V4508" s="5" t="s">
        <v>39042</v>
      </c>
      <c r="W4508" s="5" t="s">
        <v>69</v>
      </c>
      <c r="X4508" s="5" t="s">
        <v>69</v>
      </c>
      <c r="Y4508" s="4">
        <v>674</v>
      </c>
      <c r="Z4508" s="4">
        <v>30</v>
      </c>
      <c r="AA4508" s="4">
        <v>39</v>
      </c>
      <c r="AB4508" s="4">
        <v>3</v>
      </c>
      <c r="AC4508" s="4">
        <v>3</v>
      </c>
      <c r="AD4508" s="4">
        <v>108</v>
      </c>
      <c r="AE4508" s="4">
        <v>124</v>
      </c>
      <c r="AF4508" s="4">
        <v>1</v>
      </c>
      <c r="AG4508" s="4">
        <v>1</v>
      </c>
      <c r="AH4508" s="4">
        <v>95</v>
      </c>
      <c r="AI4508" s="4">
        <v>107</v>
      </c>
      <c r="AJ4508" s="4">
        <v>15</v>
      </c>
      <c r="AK4508" s="4">
        <v>17</v>
      </c>
      <c r="AL4508" s="4">
        <v>50</v>
      </c>
      <c r="AM4508" s="4">
        <v>58</v>
      </c>
      <c r="AN4508" s="4">
        <v>0</v>
      </c>
      <c r="AO4508" s="4">
        <v>0</v>
      </c>
      <c r="AP4508" s="4">
        <v>20</v>
      </c>
      <c r="AQ4508" s="4">
        <v>24</v>
      </c>
      <c r="AR4508" s="3" t="s">
        <v>63</v>
      </c>
      <c r="AS4508" s="3" t="s">
        <v>63</v>
      </c>
      <c r="AT4508" s="3" t="s">
        <v>62</v>
      </c>
      <c r="AU4508" s="6" t="str">
        <f>HYPERLINK("http://catalog.hathitrust.org/Record/001444140","HathiTrust Record")</f>
        <v>HathiTrust Record</v>
      </c>
      <c r="AV4508" s="6" t="str">
        <f>HYPERLINK("http://mcgill.on.worldcat.org/oclc/440155","Catalog Record")</f>
        <v>Catalog Record</v>
      </c>
      <c r="AW4508" s="6" t="str">
        <f>HYPERLINK("http://www.worldcat.org/oclc/440155","WorldCat Record")</f>
        <v>WorldCat Record</v>
      </c>
      <c r="AX4508" s="3" t="s">
        <v>39043</v>
      </c>
      <c r="AY4508" s="3" t="s">
        <v>39044</v>
      </c>
      <c r="AZ4508" s="3" t="s">
        <v>39045</v>
      </c>
      <c r="BA4508" s="3" t="s">
        <v>39045</v>
      </c>
      <c r="BB4508" s="3" t="s">
        <v>39046</v>
      </c>
      <c r="BC4508" s="3" t="s">
        <v>82</v>
      </c>
      <c r="BD4508" s="3" t="s">
        <v>70</v>
      </c>
      <c r="BE4508" s="3" t="s">
        <v>39047</v>
      </c>
      <c r="BF4508" s="3" t="s">
        <v>39046</v>
      </c>
      <c r="BG4508" s="3" t="s">
        <v>39048</v>
      </c>
    </row>
    <row r="4509" spans="1:59" ht="75" x14ac:dyDescent="0.25">
      <c r="A4509" s="2" t="s">
        <v>59</v>
      </c>
      <c r="B4509" s="2" t="s">
        <v>60</v>
      </c>
      <c r="C4509" s="2" t="s">
        <v>39049</v>
      </c>
      <c r="D4509" s="2" t="s">
        <v>39050</v>
      </c>
      <c r="E4509" s="2" t="s">
        <v>39051</v>
      </c>
      <c r="G4509" s="3" t="s">
        <v>63</v>
      </c>
      <c r="I4509" s="3" t="s">
        <v>63</v>
      </c>
      <c r="J4509" s="3" t="s">
        <v>63</v>
      </c>
      <c r="K4509" s="3" t="s">
        <v>64</v>
      </c>
      <c r="L4509" s="2" t="s">
        <v>38261</v>
      </c>
      <c r="M4509" s="2" t="s">
        <v>39052</v>
      </c>
      <c r="N4509" s="3" t="s">
        <v>1916</v>
      </c>
      <c r="P4509" s="3" t="s">
        <v>66</v>
      </c>
      <c r="R4509" s="3" t="s">
        <v>67</v>
      </c>
      <c r="S4509" s="4">
        <v>7</v>
      </c>
      <c r="T4509" s="4">
        <v>7</v>
      </c>
      <c r="U4509" s="5" t="s">
        <v>1309</v>
      </c>
      <c r="V4509" s="5" t="s">
        <v>1309</v>
      </c>
      <c r="W4509" s="5" t="s">
        <v>69</v>
      </c>
      <c r="X4509" s="5" t="s">
        <v>69</v>
      </c>
      <c r="Y4509" s="4">
        <v>48</v>
      </c>
      <c r="Z4509" s="4">
        <v>1</v>
      </c>
      <c r="AA4509" s="4">
        <v>36</v>
      </c>
      <c r="AB4509" s="4">
        <v>1</v>
      </c>
      <c r="AC4509" s="4">
        <v>3</v>
      </c>
      <c r="AD4509" s="4">
        <v>3</v>
      </c>
      <c r="AE4509" s="4">
        <v>116</v>
      </c>
      <c r="AF4509" s="4">
        <v>0</v>
      </c>
      <c r="AG4509" s="4">
        <v>1</v>
      </c>
      <c r="AH4509" s="4">
        <v>3</v>
      </c>
      <c r="AI4509" s="4">
        <v>101</v>
      </c>
      <c r="AJ4509" s="4">
        <v>0</v>
      </c>
      <c r="AK4509" s="4">
        <v>19</v>
      </c>
      <c r="AL4509" s="4">
        <v>2</v>
      </c>
      <c r="AM4509" s="4">
        <v>57</v>
      </c>
      <c r="AN4509" s="4">
        <v>0</v>
      </c>
      <c r="AO4509" s="4">
        <v>0</v>
      </c>
      <c r="AP4509" s="4">
        <v>0</v>
      </c>
      <c r="AQ4509" s="4">
        <v>22</v>
      </c>
      <c r="AR4509" s="3" t="s">
        <v>63</v>
      </c>
      <c r="AS4509" s="3" t="s">
        <v>63</v>
      </c>
      <c r="AT4509" s="3" t="s">
        <v>63</v>
      </c>
      <c r="AV4509" s="6" t="str">
        <f>HYPERLINK("http://mcgill.on.worldcat.org/oclc/60051909","Catalog Record")</f>
        <v>Catalog Record</v>
      </c>
      <c r="AW4509" s="6" t="str">
        <f>HYPERLINK("http://www.worldcat.org/oclc/60051909","WorldCat Record")</f>
        <v>WorldCat Record</v>
      </c>
      <c r="AX4509" s="3" t="s">
        <v>39053</v>
      </c>
      <c r="AY4509" s="3" t="s">
        <v>39054</v>
      </c>
      <c r="AZ4509" s="3" t="s">
        <v>39055</v>
      </c>
      <c r="BA4509" s="3" t="s">
        <v>39055</v>
      </c>
      <c r="BB4509" s="3" t="s">
        <v>39056</v>
      </c>
      <c r="BC4509" s="3" t="s">
        <v>82</v>
      </c>
      <c r="BD4509" s="3" t="s">
        <v>70</v>
      </c>
      <c r="BE4509" s="3" t="s">
        <v>39057</v>
      </c>
      <c r="BF4509" s="3" t="s">
        <v>39056</v>
      </c>
      <c r="BG4509" s="3" t="s">
        <v>39058</v>
      </c>
    </row>
    <row r="4510" spans="1:59" ht="90" x14ac:dyDescent="0.25">
      <c r="A4510" s="2" t="s">
        <v>59</v>
      </c>
      <c r="B4510" s="2" t="s">
        <v>60</v>
      </c>
      <c r="C4510" s="2" t="s">
        <v>39059</v>
      </c>
      <c r="D4510" s="2" t="s">
        <v>39060</v>
      </c>
      <c r="E4510" s="2" t="s">
        <v>39061</v>
      </c>
      <c r="G4510" s="3" t="s">
        <v>63</v>
      </c>
      <c r="I4510" s="3" t="s">
        <v>63</v>
      </c>
      <c r="J4510" s="3" t="s">
        <v>62</v>
      </c>
      <c r="K4510" s="3" t="s">
        <v>64</v>
      </c>
      <c r="L4510" s="2" t="s">
        <v>38998</v>
      </c>
      <c r="M4510" s="2" t="s">
        <v>39062</v>
      </c>
      <c r="N4510" s="3" t="s">
        <v>1023</v>
      </c>
      <c r="P4510" s="3" t="s">
        <v>66</v>
      </c>
      <c r="R4510" s="3" t="s">
        <v>67</v>
      </c>
      <c r="S4510" s="4">
        <v>2</v>
      </c>
      <c r="T4510" s="4">
        <v>2</v>
      </c>
      <c r="U4510" s="5" t="s">
        <v>39063</v>
      </c>
      <c r="V4510" s="5" t="s">
        <v>39063</v>
      </c>
      <c r="W4510" s="5" t="s">
        <v>69</v>
      </c>
      <c r="X4510" s="5" t="s">
        <v>69</v>
      </c>
      <c r="Y4510" s="4">
        <v>481</v>
      </c>
      <c r="Z4510" s="4">
        <v>19</v>
      </c>
      <c r="AA4510" s="4">
        <v>19</v>
      </c>
      <c r="AB4510" s="4">
        <v>1</v>
      </c>
      <c r="AC4510" s="4">
        <v>1</v>
      </c>
      <c r="AD4510" s="4">
        <v>98</v>
      </c>
      <c r="AE4510" s="4">
        <v>98</v>
      </c>
      <c r="AF4510" s="4">
        <v>0</v>
      </c>
      <c r="AG4510" s="4">
        <v>0</v>
      </c>
      <c r="AH4510" s="4">
        <v>91</v>
      </c>
      <c r="AI4510" s="4">
        <v>91</v>
      </c>
      <c r="AJ4510" s="4">
        <v>8</v>
      </c>
      <c r="AK4510" s="4">
        <v>8</v>
      </c>
      <c r="AL4510" s="4">
        <v>54</v>
      </c>
      <c r="AM4510" s="4">
        <v>54</v>
      </c>
      <c r="AN4510" s="4">
        <v>0</v>
      </c>
      <c r="AO4510" s="4">
        <v>0</v>
      </c>
      <c r="AP4510" s="4">
        <v>9</v>
      </c>
      <c r="AQ4510" s="4">
        <v>9</v>
      </c>
      <c r="AR4510" s="3" t="s">
        <v>63</v>
      </c>
      <c r="AS4510" s="3" t="s">
        <v>63</v>
      </c>
      <c r="AT4510" s="3" t="s">
        <v>62</v>
      </c>
      <c r="AU4510" s="6" t="str">
        <f>HYPERLINK("http://catalog.hathitrust.org/Record/002891751","HathiTrust Record")</f>
        <v>HathiTrust Record</v>
      </c>
      <c r="AV4510" s="6" t="str">
        <f>HYPERLINK("http://mcgill.on.worldcat.org/oclc/29598812","Catalog Record")</f>
        <v>Catalog Record</v>
      </c>
      <c r="AW4510" s="6" t="str">
        <f>HYPERLINK("http://www.worldcat.org/oclc/29598812","WorldCat Record")</f>
        <v>WorldCat Record</v>
      </c>
      <c r="AX4510" s="3" t="s">
        <v>39064</v>
      </c>
      <c r="AY4510" s="3" t="s">
        <v>39065</v>
      </c>
      <c r="AZ4510" s="3" t="s">
        <v>39066</v>
      </c>
      <c r="BA4510" s="3" t="s">
        <v>39066</v>
      </c>
      <c r="BB4510" s="3" t="s">
        <v>39067</v>
      </c>
      <c r="BC4510" s="3" t="s">
        <v>82</v>
      </c>
      <c r="BD4510" s="3" t="s">
        <v>70</v>
      </c>
      <c r="BE4510" s="3" t="s">
        <v>39068</v>
      </c>
      <c r="BF4510" s="3" t="s">
        <v>39067</v>
      </c>
      <c r="BG4510" s="3" t="s">
        <v>39069</v>
      </c>
    </row>
    <row r="4511" spans="1:59" ht="90" x14ac:dyDescent="0.25">
      <c r="A4511" s="2" t="s">
        <v>59</v>
      </c>
      <c r="B4511" s="2" t="s">
        <v>60</v>
      </c>
      <c r="C4511" s="2" t="s">
        <v>39070</v>
      </c>
      <c r="D4511" s="2" t="s">
        <v>39071</v>
      </c>
      <c r="E4511" s="2" t="s">
        <v>39072</v>
      </c>
      <c r="G4511" s="3" t="s">
        <v>63</v>
      </c>
      <c r="I4511" s="3" t="s">
        <v>63</v>
      </c>
      <c r="J4511" s="3" t="s">
        <v>63</v>
      </c>
      <c r="K4511" s="3" t="s">
        <v>64</v>
      </c>
      <c r="L4511" s="2" t="s">
        <v>38261</v>
      </c>
      <c r="M4511" s="2" t="s">
        <v>39073</v>
      </c>
      <c r="N4511" s="3" t="s">
        <v>480</v>
      </c>
      <c r="P4511" s="3" t="s">
        <v>66</v>
      </c>
      <c r="R4511" s="3" t="s">
        <v>67</v>
      </c>
      <c r="S4511" s="4">
        <v>13</v>
      </c>
      <c r="T4511" s="4">
        <v>13</v>
      </c>
      <c r="U4511" s="5" t="s">
        <v>27240</v>
      </c>
      <c r="V4511" s="5" t="s">
        <v>27240</v>
      </c>
      <c r="W4511" s="5" t="s">
        <v>69</v>
      </c>
      <c r="X4511" s="5" t="s">
        <v>69</v>
      </c>
      <c r="Y4511" s="4">
        <v>530</v>
      </c>
      <c r="Z4511" s="4">
        <v>17</v>
      </c>
      <c r="AA4511" s="4">
        <v>24</v>
      </c>
      <c r="AB4511" s="4">
        <v>1</v>
      </c>
      <c r="AC4511" s="4">
        <v>2</v>
      </c>
      <c r="AD4511" s="4">
        <v>94</v>
      </c>
      <c r="AE4511" s="4">
        <v>105</v>
      </c>
      <c r="AF4511" s="4">
        <v>0</v>
      </c>
      <c r="AG4511" s="4">
        <v>1</v>
      </c>
      <c r="AH4511" s="4">
        <v>90</v>
      </c>
      <c r="AI4511" s="4">
        <v>98</v>
      </c>
      <c r="AJ4511" s="4">
        <v>8</v>
      </c>
      <c r="AK4511" s="4">
        <v>15</v>
      </c>
      <c r="AL4511" s="4">
        <v>54</v>
      </c>
      <c r="AM4511" s="4">
        <v>55</v>
      </c>
      <c r="AN4511" s="4">
        <v>0</v>
      </c>
      <c r="AO4511" s="4">
        <v>0</v>
      </c>
      <c r="AP4511" s="4">
        <v>7</v>
      </c>
      <c r="AQ4511" s="4">
        <v>14</v>
      </c>
      <c r="AR4511" s="3" t="s">
        <v>63</v>
      </c>
      <c r="AS4511" s="3" t="s">
        <v>63</v>
      </c>
      <c r="AT4511" s="3" t="s">
        <v>63</v>
      </c>
      <c r="AV4511" s="6" t="str">
        <f>HYPERLINK("http://mcgill.on.worldcat.org/oclc/24429363","Catalog Record")</f>
        <v>Catalog Record</v>
      </c>
      <c r="AW4511" s="6" t="str">
        <f>HYPERLINK("http://www.worldcat.org/oclc/24429363","WorldCat Record")</f>
        <v>WorldCat Record</v>
      </c>
      <c r="AX4511" s="3" t="s">
        <v>39074</v>
      </c>
      <c r="AY4511" s="3" t="s">
        <v>39075</v>
      </c>
      <c r="AZ4511" s="3" t="s">
        <v>39076</v>
      </c>
      <c r="BA4511" s="3" t="s">
        <v>39076</v>
      </c>
      <c r="BB4511" s="3" t="s">
        <v>39077</v>
      </c>
      <c r="BC4511" s="3" t="s">
        <v>82</v>
      </c>
      <c r="BD4511" s="3" t="s">
        <v>70</v>
      </c>
      <c r="BE4511" s="3" t="s">
        <v>39078</v>
      </c>
      <c r="BF4511" s="3" t="s">
        <v>39077</v>
      </c>
      <c r="BG4511" s="3" t="s">
        <v>39079</v>
      </c>
    </row>
    <row r="4512" spans="1:59" ht="90" x14ac:dyDescent="0.25">
      <c r="A4512" s="2" t="s">
        <v>59</v>
      </c>
      <c r="B4512" s="2" t="s">
        <v>60</v>
      </c>
      <c r="C4512" s="2" t="s">
        <v>39080</v>
      </c>
      <c r="D4512" s="2" t="s">
        <v>39081</v>
      </c>
      <c r="E4512" s="2" t="s">
        <v>39082</v>
      </c>
      <c r="G4512" s="3" t="s">
        <v>63</v>
      </c>
      <c r="I4512" s="3" t="s">
        <v>63</v>
      </c>
      <c r="J4512" s="3" t="s">
        <v>63</v>
      </c>
      <c r="K4512" s="3" t="s">
        <v>64</v>
      </c>
      <c r="M4512" s="2" t="s">
        <v>39083</v>
      </c>
      <c r="N4512" s="3" t="s">
        <v>427</v>
      </c>
      <c r="P4512" s="3" t="s">
        <v>66</v>
      </c>
      <c r="R4512" s="3" t="s">
        <v>67</v>
      </c>
      <c r="S4512" s="4">
        <v>5</v>
      </c>
      <c r="T4512" s="4">
        <v>5</v>
      </c>
      <c r="U4512" s="5" t="s">
        <v>39084</v>
      </c>
      <c r="V4512" s="5" t="s">
        <v>39084</v>
      </c>
      <c r="W4512" s="5" t="s">
        <v>69</v>
      </c>
      <c r="X4512" s="5" t="s">
        <v>69</v>
      </c>
      <c r="Y4512" s="4">
        <v>426</v>
      </c>
      <c r="Z4512" s="4">
        <v>33</v>
      </c>
      <c r="AA4512" s="4">
        <v>105</v>
      </c>
      <c r="AB4512" s="4">
        <v>2</v>
      </c>
      <c r="AC4512" s="4">
        <v>20</v>
      </c>
      <c r="AD4512" s="4">
        <v>111</v>
      </c>
      <c r="AE4512" s="4">
        <v>144</v>
      </c>
      <c r="AF4512" s="4">
        <v>0</v>
      </c>
      <c r="AG4512" s="4">
        <v>8</v>
      </c>
      <c r="AH4512" s="4">
        <v>99</v>
      </c>
      <c r="AI4512" s="4">
        <v>102</v>
      </c>
      <c r="AJ4512" s="4">
        <v>15</v>
      </c>
      <c r="AK4512" s="4">
        <v>27</v>
      </c>
      <c r="AL4512" s="4">
        <v>54</v>
      </c>
      <c r="AM4512" s="4">
        <v>54</v>
      </c>
      <c r="AN4512" s="4">
        <v>1</v>
      </c>
      <c r="AO4512" s="4">
        <v>1</v>
      </c>
      <c r="AP4512" s="4">
        <v>19</v>
      </c>
      <c r="AQ4512" s="4">
        <v>50</v>
      </c>
      <c r="AR4512" s="3" t="s">
        <v>62</v>
      </c>
      <c r="AS4512" s="3" t="s">
        <v>63</v>
      </c>
      <c r="AT4512" s="3" t="s">
        <v>62</v>
      </c>
      <c r="AU4512" s="6" t="str">
        <f>HYPERLINK("http://catalog.hathitrust.org/Record/001099955","HathiTrust Record")</f>
        <v>HathiTrust Record</v>
      </c>
      <c r="AV4512" s="6" t="str">
        <f>HYPERLINK("http://mcgill.on.worldcat.org/oclc/20131075","Catalog Record")</f>
        <v>Catalog Record</v>
      </c>
      <c r="AW4512" s="6" t="str">
        <f>HYPERLINK("http://www.worldcat.org/oclc/20131075","WorldCat Record")</f>
        <v>WorldCat Record</v>
      </c>
      <c r="AX4512" s="3" t="s">
        <v>39085</v>
      </c>
      <c r="AY4512" s="3" t="s">
        <v>39086</v>
      </c>
      <c r="AZ4512" s="3" t="s">
        <v>39087</v>
      </c>
      <c r="BA4512" s="3" t="s">
        <v>39087</v>
      </c>
      <c r="BB4512" s="3" t="s">
        <v>39088</v>
      </c>
      <c r="BC4512" s="3" t="s">
        <v>82</v>
      </c>
      <c r="BD4512" s="3" t="s">
        <v>70</v>
      </c>
      <c r="BE4512" s="3" t="s">
        <v>39089</v>
      </c>
      <c r="BF4512" s="3" t="s">
        <v>39088</v>
      </c>
      <c r="BG4512" s="3" t="s">
        <v>39090</v>
      </c>
    </row>
    <row r="4513" spans="1:59" ht="90" x14ac:dyDescent="0.25">
      <c r="A4513" s="2" t="s">
        <v>59</v>
      </c>
      <c r="B4513" s="2" t="s">
        <v>60</v>
      </c>
      <c r="C4513" s="2" t="s">
        <v>39091</v>
      </c>
      <c r="D4513" s="2" t="s">
        <v>39092</v>
      </c>
      <c r="E4513" s="2" t="s">
        <v>39093</v>
      </c>
      <c r="G4513" s="3" t="s">
        <v>63</v>
      </c>
      <c r="I4513" s="3" t="s">
        <v>63</v>
      </c>
      <c r="J4513" s="3" t="s">
        <v>63</v>
      </c>
      <c r="K4513" s="3" t="s">
        <v>64</v>
      </c>
      <c r="L4513" s="2" t="s">
        <v>39094</v>
      </c>
      <c r="M4513" s="2" t="s">
        <v>39095</v>
      </c>
      <c r="N4513" s="3" t="s">
        <v>629</v>
      </c>
      <c r="P4513" s="3" t="s">
        <v>66</v>
      </c>
      <c r="R4513" s="3" t="s">
        <v>67</v>
      </c>
      <c r="S4513" s="4">
        <v>0</v>
      </c>
      <c r="T4513" s="4">
        <v>0</v>
      </c>
      <c r="W4513" s="5" t="s">
        <v>69</v>
      </c>
      <c r="X4513" s="5" t="s">
        <v>69</v>
      </c>
      <c r="Y4513" s="4">
        <v>4</v>
      </c>
      <c r="Z4513" s="4">
        <v>1</v>
      </c>
      <c r="AA4513" s="4">
        <v>2</v>
      </c>
      <c r="AB4513" s="4">
        <v>1</v>
      </c>
      <c r="AC4513" s="4">
        <v>2</v>
      </c>
      <c r="AD4513" s="4">
        <v>3</v>
      </c>
      <c r="AE4513" s="4">
        <v>4</v>
      </c>
      <c r="AF4513" s="4">
        <v>0</v>
      </c>
      <c r="AG4513" s="4">
        <v>1</v>
      </c>
      <c r="AH4513" s="4">
        <v>3</v>
      </c>
      <c r="AI4513" s="4">
        <v>3</v>
      </c>
      <c r="AJ4513" s="4">
        <v>0</v>
      </c>
      <c r="AK4513" s="4">
        <v>1</v>
      </c>
      <c r="AL4513" s="4">
        <v>1</v>
      </c>
      <c r="AM4513" s="4">
        <v>1</v>
      </c>
      <c r="AN4513" s="4">
        <v>0</v>
      </c>
      <c r="AO4513" s="4">
        <v>0</v>
      </c>
      <c r="AP4513" s="4">
        <v>0</v>
      </c>
      <c r="AQ4513" s="4">
        <v>1</v>
      </c>
      <c r="AR4513" s="3" t="s">
        <v>62</v>
      </c>
      <c r="AS4513" s="3" t="s">
        <v>63</v>
      </c>
      <c r="AT4513" s="3" t="s">
        <v>63</v>
      </c>
      <c r="AV4513" s="6" t="str">
        <f>HYPERLINK("http://mcgill.on.worldcat.org/oclc/842850601","Catalog Record")</f>
        <v>Catalog Record</v>
      </c>
      <c r="AW4513" s="6" t="str">
        <f>HYPERLINK("http://www.worldcat.org/oclc/842850601","WorldCat Record")</f>
        <v>WorldCat Record</v>
      </c>
      <c r="AX4513" s="3" t="s">
        <v>39096</v>
      </c>
      <c r="AY4513" s="3" t="s">
        <v>39097</v>
      </c>
      <c r="AZ4513" s="3" t="s">
        <v>39098</v>
      </c>
      <c r="BA4513" s="3" t="s">
        <v>39098</v>
      </c>
      <c r="BB4513" s="3" t="s">
        <v>39099</v>
      </c>
      <c r="BC4513" s="3" t="s">
        <v>82</v>
      </c>
      <c r="BD4513" s="3" t="s">
        <v>70</v>
      </c>
      <c r="BE4513" s="3" t="s">
        <v>39100</v>
      </c>
      <c r="BF4513" s="3" t="s">
        <v>39099</v>
      </c>
      <c r="BG4513" s="3" t="s">
        <v>39101</v>
      </c>
    </row>
    <row r="4514" spans="1:59" ht="90" x14ac:dyDescent="0.25">
      <c r="A4514" s="2" t="s">
        <v>59</v>
      </c>
      <c r="B4514" s="2" t="s">
        <v>60</v>
      </c>
      <c r="C4514" s="2" t="s">
        <v>39102</v>
      </c>
      <c r="D4514" s="2" t="s">
        <v>39103</v>
      </c>
      <c r="E4514" s="2" t="s">
        <v>39104</v>
      </c>
      <c r="G4514" s="3" t="s">
        <v>63</v>
      </c>
      <c r="I4514" s="3" t="s">
        <v>63</v>
      </c>
      <c r="J4514" s="3" t="s">
        <v>63</v>
      </c>
      <c r="K4514" s="3" t="s">
        <v>64</v>
      </c>
      <c r="L4514" s="2" t="s">
        <v>39105</v>
      </c>
      <c r="M4514" s="2" t="s">
        <v>39106</v>
      </c>
      <c r="N4514" s="3" t="s">
        <v>1557</v>
      </c>
      <c r="P4514" s="3" t="s">
        <v>66</v>
      </c>
      <c r="R4514" s="3" t="s">
        <v>67</v>
      </c>
      <c r="S4514" s="4">
        <v>2</v>
      </c>
      <c r="T4514" s="4">
        <v>2</v>
      </c>
      <c r="U4514" s="5" t="s">
        <v>18100</v>
      </c>
      <c r="V4514" s="5" t="s">
        <v>18100</v>
      </c>
      <c r="W4514" s="5" t="s">
        <v>69</v>
      </c>
      <c r="X4514" s="5" t="s">
        <v>69</v>
      </c>
      <c r="Y4514" s="4">
        <v>296</v>
      </c>
      <c r="Z4514" s="4">
        <v>11</v>
      </c>
      <c r="AA4514" s="4">
        <v>17</v>
      </c>
      <c r="AB4514" s="4">
        <v>2</v>
      </c>
      <c r="AC4514" s="4">
        <v>4</v>
      </c>
      <c r="AD4514" s="4">
        <v>64</v>
      </c>
      <c r="AE4514" s="4">
        <v>71</v>
      </c>
      <c r="AF4514" s="4">
        <v>0</v>
      </c>
      <c r="AG4514" s="4">
        <v>0</v>
      </c>
      <c r="AH4514" s="4">
        <v>63</v>
      </c>
      <c r="AI4514" s="4">
        <v>67</v>
      </c>
      <c r="AJ4514" s="4">
        <v>5</v>
      </c>
      <c r="AK4514" s="4">
        <v>7</v>
      </c>
      <c r="AL4514" s="4">
        <v>43</v>
      </c>
      <c r="AM4514" s="4">
        <v>46</v>
      </c>
      <c r="AN4514" s="4">
        <v>0</v>
      </c>
      <c r="AO4514" s="4">
        <v>0</v>
      </c>
      <c r="AP4514" s="4">
        <v>6</v>
      </c>
      <c r="AQ4514" s="4">
        <v>10</v>
      </c>
      <c r="AR4514" s="3" t="s">
        <v>63</v>
      </c>
      <c r="AS4514" s="3" t="s">
        <v>63</v>
      </c>
      <c r="AT4514" s="3" t="s">
        <v>63</v>
      </c>
      <c r="AV4514" s="6" t="str">
        <f>HYPERLINK("http://mcgill.on.worldcat.org/oclc/959649749","Catalog Record")</f>
        <v>Catalog Record</v>
      </c>
      <c r="AW4514" s="6" t="str">
        <f>HYPERLINK("http://www.worldcat.org/oclc/959649749","WorldCat Record")</f>
        <v>WorldCat Record</v>
      </c>
      <c r="AX4514" s="3" t="s">
        <v>39107</v>
      </c>
      <c r="AY4514" s="3" t="s">
        <v>39108</v>
      </c>
      <c r="AZ4514" s="3" t="s">
        <v>39109</v>
      </c>
      <c r="BA4514" s="3" t="s">
        <v>39109</v>
      </c>
      <c r="BB4514" s="3" t="s">
        <v>39110</v>
      </c>
      <c r="BC4514" s="3" t="s">
        <v>82</v>
      </c>
      <c r="BD4514" s="3" t="s">
        <v>70</v>
      </c>
      <c r="BE4514" s="3" t="s">
        <v>39111</v>
      </c>
      <c r="BF4514" s="3" t="s">
        <v>39110</v>
      </c>
      <c r="BG4514" s="3" t="s">
        <v>39112</v>
      </c>
    </row>
    <row r="4515" spans="1:59" ht="75" x14ac:dyDescent="0.25">
      <c r="A4515" s="2" t="s">
        <v>59</v>
      </c>
      <c r="B4515" s="2" t="s">
        <v>60</v>
      </c>
      <c r="C4515" s="2" t="s">
        <v>39113</v>
      </c>
      <c r="D4515" s="2" t="s">
        <v>39114</v>
      </c>
      <c r="E4515" s="2" t="s">
        <v>39115</v>
      </c>
      <c r="G4515" s="3" t="s">
        <v>63</v>
      </c>
      <c r="I4515" s="3" t="s">
        <v>62</v>
      </c>
      <c r="J4515" s="3" t="s">
        <v>63</v>
      </c>
      <c r="K4515" s="3" t="s">
        <v>64</v>
      </c>
      <c r="M4515" s="2" t="s">
        <v>39116</v>
      </c>
      <c r="N4515" s="3" t="s">
        <v>629</v>
      </c>
      <c r="P4515" s="3" t="s">
        <v>66</v>
      </c>
      <c r="R4515" s="3" t="s">
        <v>67</v>
      </c>
      <c r="S4515" s="4">
        <v>0</v>
      </c>
      <c r="T4515" s="4">
        <v>0</v>
      </c>
      <c r="W4515" s="5" t="s">
        <v>69</v>
      </c>
      <c r="X4515" s="5" t="s">
        <v>69</v>
      </c>
      <c r="Y4515" s="4">
        <v>229</v>
      </c>
      <c r="Z4515" s="4">
        <v>18</v>
      </c>
      <c r="AA4515" s="4">
        <v>18</v>
      </c>
      <c r="AB4515" s="4">
        <v>2</v>
      </c>
      <c r="AC4515" s="4">
        <v>2</v>
      </c>
      <c r="AD4515" s="4">
        <v>69</v>
      </c>
      <c r="AE4515" s="4">
        <v>69</v>
      </c>
      <c r="AF4515" s="4">
        <v>0</v>
      </c>
      <c r="AG4515" s="4">
        <v>0</v>
      </c>
      <c r="AH4515" s="4">
        <v>65</v>
      </c>
      <c r="AI4515" s="4">
        <v>65</v>
      </c>
      <c r="AJ4515" s="4">
        <v>11</v>
      </c>
      <c r="AK4515" s="4">
        <v>11</v>
      </c>
      <c r="AL4515" s="4">
        <v>41</v>
      </c>
      <c r="AM4515" s="4">
        <v>41</v>
      </c>
      <c r="AN4515" s="4">
        <v>0</v>
      </c>
      <c r="AO4515" s="4">
        <v>0</v>
      </c>
      <c r="AP4515" s="4">
        <v>11</v>
      </c>
      <c r="AQ4515" s="4">
        <v>11</v>
      </c>
      <c r="AR4515" s="3" t="s">
        <v>63</v>
      </c>
      <c r="AS4515" s="3" t="s">
        <v>63</v>
      </c>
      <c r="AT4515" s="3" t="s">
        <v>63</v>
      </c>
      <c r="AV4515" s="6" t="str">
        <f>HYPERLINK("http://mcgill.on.worldcat.org/oclc/495780031","Catalog Record")</f>
        <v>Catalog Record</v>
      </c>
      <c r="AW4515" s="6" t="str">
        <f>HYPERLINK("http://www.worldcat.org/oclc/495780031","WorldCat Record")</f>
        <v>WorldCat Record</v>
      </c>
      <c r="AX4515" s="3" t="s">
        <v>39117</v>
      </c>
      <c r="AY4515" s="3" t="s">
        <v>39118</v>
      </c>
      <c r="AZ4515" s="3" t="s">
        <v>39119</v>
      </c>
      <c r="BA4515" s="3" t="s">
        <v>39119</v>
      </c>
      <c r="BB4515" s="3" t="s">
        <v>39120</v>
      </c>
      <c r="BC4515" s="3" t="s">
        <v>82</v>
      </c>
      <c r="BD4515" s="3" t="s">
        <v>70</v>
      </c>
      <c r="BE4515" s="3" t="s">
        <v>39121</v>
      </c>
      <c r="BF4515" s="3" t="s">
        <v>39120</v>
      </c>
      <c r="BG4515" s="3" t="s">
        <v>39122</v>
      </c>
    </row>
    <row r="4516" spans="1:59" ht="75" x14ac:dyDescent="0.25">
      <c r="A4516" s="2" t="s">
        <v>59</v>
      </c>
      <c r="B4516" s="2" t="s">
        <v>60</v>
      </c>
      <c r="C4516" s="2" t="s">
        <v>39113</v>
      </c>
      <c r="D4516" s="2" t="s">
        <v>39114</v>
      </c>
      <c r="E4516" s="2" t="s">
        <v>39115</v>
      </c>
      <c r="G4516" s="3" t="s">
        <v>63</v>
      </c>
      <c r="I4516" s="3" t="s">
        <v>62</v>
      </c>
      <c r="J4516" s="3" t="s">
        <v>63</v>
      </c>
      <c r="K4516" s="3" t="s">
        <v>64</v>
      </c>
      <c r="M4516" s="2" t="s">
        <v>39116</v>
      </c>
      <c r="N4516" s="3" t="s">
        <v>629</v>
      </c>
      <c r="P4516" s="3" t="s">
        <v>66</v>
      </c>
      <c r="R4516" s="3" t="s">
        <v>67</v>
      </c>
      <c r="S4516" s="4">
        <v>0</v>
      </c>
      <c r="T4516" s="4">
        <v>0</v>
      </c>
      <c r="W4516" s="5" t="s">
        <v>69</v>
      </c>
      <c r="X4516" s="5" t="s">
        <v>69</v>
      </c>
      <c r="Y4516" s="4">
        <v>229</v>
      </c>
      <c r="Z4516" s="4">
        <v>18</v>
      </c>
      <c r="AA4516" s="4">
        <v>18</v>
      </c>
      <c r="AB4516" s="4">
        <v>2</v>
      </c>
      <c r="AC4516" s="4">
        <v>2</v>
      </c>
      <c r="AD4516" s="4">
        <v>69</v>
      </c>
      <c r="AE4516" s="4">
        <v>69</v>
      </c>
      <c r="AF4516" s="4">
        <v>0</v>
      </c>
      <c r="AG4516" s="4">
        <v>0</v>
      </c>
      <c r="AH4516" s="4">
        <v>65</v>
      </c>
      <c r="AI4516" s="4">
        <v>65</v>
      </c>
      <c r="AJ4516" s="4">
        <v>11</v>
      </c>
      <c r="AK4516" s="4">
        <v>11</v>
      </c>
      <c r="AL4516" s="4">
        <v>41</v>
      </c>
      <c r="AM4516" s="4">
        <v>41</v>
      </c>
      <c r="AN4516" s="4">
        <v>0</v>
      </c>
      <c r="AO4516" s="4">
        <v>0</v>
      </c>
      <c r="AP4516" s="4">
        <v>11</v>
      </c>
      <c r="AQ4516" s="4">
        <v>11</v>
      </c>
      <c r="AR4516" s="3" t="s">
        <v>63</v>
      </c>
      <c r="AS4516" s="3" t="s">
        <v>63</v>
      </c>
      <c r="AT4516" s="3" t="s">
        <v>63</v>
      </c>
      <c r="AV4516" s="6" t="str">
        <f>HYPERLINK("http://mcgill.on.worldcat.org/oclc/495780031","Catalog Record")</f>
        <v>Catalog Record</v>
      </c>
      <c r="AW4516" s="6" t="str">
        <f>HYPERLINK("http://www.worldcat.org/oclc/495780031","WorldCat Record")</f>
        <v>WorldCat Record</v>
      </c>
      <c r="AX4516" s="3" t="s">
        <v>39117</v>
      </c>
      <c r="AY4516" s="3" t="s">
        <v>39118</v>
      </c>
      <c r="AZ4516" s="3" t="s">
        <v>39119</v>
      </c>
      <c r="BA4516" s="3" t="s">
        <v>39119</v>
      </c>
      <c r="BB4516" s="3" t="s">
        <v>39123</v>
      </c>
      <c r="BC4516" s="3" t="s">
        <v>82</v>
      </c>
      <c r="BD4516" s="3" t="s">
        <v>70</v>
      </c>
      <c r="BE4516" s="3" t="s">
        <v>39121</v>
      </c>
      <c r="BF4516" s="3" t="s">
        <v>39123</v>
      </c>
      <c r="BG4516" s="3" t="s">
        <v>39124</v>
      </c>
    </row>
    <row r="4517" spans="1:59" ht="60" x14ac:dyDescent="0.25">
      <c r="A4517" s="2" t="s">
        <v>59</v>
      </c>
      <c r="B4517" s="2" t="s">
        <v>60</v>
      </c>
      <c r="C4517" s="2" t="s">
        <v>39125</v>
      </c>
      <c r="D4517" s="2" t="s">
        <v>39126</v>
      </c>
      <c r="E4517" s="2" t="s">
        <v>39127</v>
      </c>
      <c r="G4517" s="3" t="s">
        <v>63</v>
      </c>
      <c r="I4517" s="3" t="s">
        <v>63</v>
      </c>
      <c r="J4517" s="3" t="s">
        <v>63</v>
      </c>
      <c r="K4517" s="3" t="s">
        <v>64</v>
      </c>
      <c r="L4517" s="2" t="s">
        <v>39128</v>
      </c>
      <c r="M4517" s="2" t="s">
        <v>39129</v>
      </c>
      <c r="N4517" s="3" t="s">
        <v>629</v>
      </c>
      <c r="O4517" s="2" t="s">
        <v>39130</v>
      </c>
      <c r="P4517" s="3" t="s">
        <v>66</v>
      </c>
      <c r="R4517" s="3" t="s">
        <v>67</v>
      </c>
      <c r="S4517" s="4">
        <v>0</v>
      </c>
      <c r="T4517" s="4">
        <v>0</v>
      </c>
      <c r="W4517" s="5" t="s">
        <v>69</v>
      </c>
      <c r="X4517" s="5" t="s">
        <v>69</v>
      </c>
      <c r="Y4517" s="4">
        <v>70</v>
      </c>
      <c r="Z4517" s="4">
        <v>6</v>
      </c>
      <c r="AA4517" s="4">
        <v>9</v>
      </c>
      <c r="AB4517" s="4">
        <v>1</v>
      </c>
      <c r="AC4517" s="4">
        <v>3</v>
      </c>
      <c r="AD4517" s="4">
        <v>39</v>
      </c>
      <c r="AE4517" s="4">
        <v>41</v>
      </c>
      <c r="AF4517" s="4">
        <v>0</v>
      </c>
      <c r="AG4517" s="4">
        <v>0</v>
      </c>
      <c r="AH4517" s="4">
        <v>37</v>
      </c>
      <c r="AI4517" s="4">
        <v>39</v>
      </c>
      <c r="AJ4517" s="4">
        <v>4</v>
      </c>
      <c r="AK4517" s="4">
        <v>5</v>
      </c>
      <c r="AL4517" s="4">
        <v>28</v>
      </c>
      <c r="AM4517" s="4">
        <v>29</v>
      </c>
      <c r="AN4517" s="4">
        <v>0</v>
      </c>
      <c r="AO4517" s="4">
        <v>0</v>
      </c>
      <c r="AP4517" s="4">
        <v>4</v>
      </c>
      <c r="AQ4517" s="4">
        <v>5</v>
      </c>
      <c r="AR4517" s="3" t="s">
        <v>63</v>
      </c>
      <c r="AS4517" s="3" t="s">
        <v>63</v>
      </c>
      <c r="AT4517" s="3" t="s">
        <v>63</v>
      </c>
      <c r="AV4517" s="6" t="str">
        <f>HYPERLINK("http://mcgill.on.worldcat.org/oclc/669754848","Catalog Record")</f>
        <v>Catalog Record</v>
      </c>
      <c r="AW4517" s="6" t="str">
        <f>HYPERLINK("http://www.worldcat.org/oclc/669754848","WorldCat Record")</f>
        <v>WorldCat Record</v>
      </c>
      <c r="AX4517" s="3" t="s">
        <v>39131</v>
      </c>
      <c r="AY4517" s="3" t="s">
        <v>39132</v>
      </c>
      <c r="AZ4517" s="3" t="s">
        <v>39133</v>
      </c>
      <c r="BA4517" s="3" t="s">
        <v>39133</v>
      </c>
      <c r="BB4517" s="3" t="s">
        <v>39134</v>
      </c>
      <c r="BC4517" s="3" t="s">
        <v>82</v>
      </c>
      <c r="BD4517" s="3" t="s">
        <v>70</v>
      </c>
      <c r="BE4517" s="3" t="s">
        <v>39135</v>
      </c>
      <c r="BF4517" s="3" t="s">
        <v>39134</v>
      </c>
      <c r="BG4517" s="3" t="s">
        <v>39136</v>
      </c>
    </row>
    <row r="4518" spans="1:59" ht="60" x14ac:dyDescent="0.25">
      <c r="A4518" s="2" t="s">
        <v>59</v>
      </c>
      <c r="B4518" s="2" t="s">
        <v>60</v>
      </c>
      <c r="C4518" s="2" t="s">
        <v>39137</v>
      </c>
      <c r="D4518" s="2" t="s">
        <v>39138</v>
      </c>
      <c r="E4518" s="2" t="s">
        <v>39139</v>
      </c>
      <c r="G4518" s="3" t="s">
        <v>63</v>
      </c>
      <c r="I4518" s="3" t="s">
        <v>63</v>
      </c>
      <c r="J4518" s="3" t="s">
        <v>63</v>
      </c>
      <c r="K4518" s="3" t="s">
        <v>64</v>
      </c>
      <c r="L4518" s="2" t="s">
        <v>39128</v>
      </c>
      <c r="M4518" s="2" t="s">
        <v>39140</v>
      </c>
      <c r="N4518" s="3" t="s">
        <v>629</v>
      </c>
      <c r="O4518" s="2" t="s">
        <v>39141</v>
      </c>
      <c r="P4518" s="3" t="s">
        <v>66</v>
      </c>
      <c r="R4518" s="3" t="s">
        <v>67</v>
      </c>
      <c r="S4518" s="4">
        <v>1</v>
      </c>
      <c r="T4518" s="4">
        <v>1</v>
      </c>
      <c r="U4518" s="5" t="s">
        <v>14156</v>
      </c>
      <c r="V4518" s="5" t="s">
        <v>14156</v>
      </c>
      <c r="W4518" s="5" t="s">
        <v>69</v>
      </c>
      <c r="X4518" s="5" t="s">
        <v>69</v>
      </c>
      <c r="Y4518" s="4">
        <v>42</v>
      </c>
      <c r="Z4518" s="4">
        <v>4</v>
      </c>
      <c r="AA4518" s="4">
        <v>10</v>
      </c>
      <c r="AB4518" s="4">
        <v>1</v>
      </c>
      <c r="AC4518" s="4">
        <v>1</v>
      </c>
      <c r="AD4518" s="4">
        <v>19</v>
      </c>
      <c r="AE4518" s="4">
        <v>62</v>
      </c>
      <c r="AF4518" s="4">
        <v>0</v>
      </c>
      <c r="AG4518" s="4">
        <v>0</v>
      </c>
      <c r="AH4518" s="4">
        <v>18</v>
      </c>
      <c r="AI4518" s="4">
        <v>58</v>
      </c>
      <c r="AJ4518" s="4">
        <v>2</v>
      </c>
      <c r="AK4518" s="4">
        <v>6</v>
      </c>
      <c r="AL4518" s="4">
        <v>15</v>
      </c>
      <c r="AM4518" s="4">
        <v>39</v>
      </c>
      <c r="AN4518" s="4">
        <v>0</v>
      </c>
      <c r="AO4518" s="4">
        <v>0</v>
      </c>
      <c r="AP4518" s="4">
        <v>2</v>
      </c>
      <c r="AQ4518" s="4">
        <v>6</v>
      </c>
      <c r="AR4518" s="3" t="s">
        <v>63</v>
      </c>
      <c r="AS4518" s="3" t="s">
        <v>63</v>
      </c>
      <c r="AT4518" s="3" t="s">
        <v>63</v>
      </c>
      <c r="AV4518" s="6" t="str">
        <f>HYPERLINK("http://mcgill.on.worldcat.org/oclc/724308282","Catalog Record")</f>
        <v>Catalog Record</v>
      </c>
      <c r="AW4518" s="6" t="str">
        <f>HYPERLINK("http://www.worldcat.org/oclc/724308282","WorldCat Record")</f>
        <v>WorldCat Record</v>
      </c>
      <c r="AX4518" s="3" t="s">
        <v>39142</v>
      </c>
      <c r="AY4518" s="3" t="s">
        <v>39143</v>
      </c>
      <c r="AZ4518" s="3" t="s">
        <v>39144</v>
      </c>
      <c r="BA4518" s="3" t="s">
        <v>39144</v>
      </c>
      <c r="BB4518" s="3" t="s">
        <v>39145</v>
      </c>
      <c r="BC4518" s="3" t="s">
        <v>82</v>
      </c>
      <c r="BD4518" s="3" t="s">
        <v>70</v>
      </c>
      <c r="BE4518" s="3" t="s">
        <v>39146</v>
      </c>
      <c r="BF4518" s="3" t="s">
        <v>39145</v>
      </c>
      <c r="BG4518" s="3" t="s">
        <v>39147</v>
      </c>
    </row>
    <row r="4519" spans="1:59" ht="60" x14ac:dyDescent="0.25">
      <c r="A4519" s="2" t="s">
        <v>59</v>
      </c>
      <c r="B4519" s="2" t="s">
        <v>60</v>
      </c>
      <c r="C4519" s="2" t="s">
        <v>39148</v>
      </c>
      <c r="D4519" s="2" t="s">
        <v>39149</v>
      </c>
      <c r="E4519" s="2" t="s">
        <v>39150</v>
      </c>
      <c r="G4519" s="3" t="s">
        <v>63</v>
      </c>
      <c r="I4519" s="3" t="s">
        <v>62</v>
      </c>
      <c r="J4519" s="3" t="s">
        <v>63</v>
      </c>
      <c r="K4519" s="3" t="s">
        <v>64</v>
      </c>
      <c r="L4519" s="2" t="s">
        <v>39151</v>
      </c>
      <c r="M4519" s="2" t="s">
        <v>39152</v>
      </c>
      <c r="N4519" s="3" t="s">
        <v>2393</v>
      </c>
      <c r="P4519" s="3" t="s">
        <v>548</v>
      </c>
      <c r="Q4519" s="2" t="s">
        <v>39153</v>
      </c>
      <c r="R4519" s="3" t="s">
        <v>67</v>
      </c>
      <c r="S4519" s="4">
        <v>1</v>
      </c>
      <c r="T4519" s="4">
        <v>1</v>
      </c>
      <c r="U4519" s="5" t="s">
        <v>14156</v>
      </c>
      <c r="V4519" s="5" t="s">
        <v>14156</v>
      </c>
      <c r="W4519" s="5" t="s">
        <v>69</v>
      </c>
      <c r="X4519" s="5" t="s">
        <v>69</v>
      </c>
      <c r="Y4519" s="4">
        <v>22</v>
      </c>
      <c r="Z4519" s="4">
        <v>13</v>
      </c>
      <c r="AA4519" s="4">
        <v>28</v>
      </c>
      <c r="AB4519" s="4">
        <v>7</v>
      </c>
      <c r="AC4519" s="4">
        <v>8</v>
      </c>
      <c r="AD4519" s="4">
        <v>9</v>
      </c>
      <c r="AE4519" s="4">
        <v>43</v>
      </c>
      <c r="AF4519" s="4">
        <v>4</v>
      </c>
      <c r="AG4519" s="4">
        <v>5</v>
      </c>
      <c r="AH4519" s="4">
        <v>4</v>
      </c>
      <c r="AI4519" s="4">
        <v>30</v>
      </c>
      <c r="AJ4519" s="4">
        <v>8</v>
      </c>
      <c r="AK4519" s="4">
        <v>20</v>
      </c>
      <c r="AL4519" s="4">
        <v>1</v>
      </c>
      <c r="AM4519" s="4">
        <v>16</v>
      </c>
      <c r="AN4519" s="4">
        <v>0</v>
      </c>
      <c r="AO4519" s="4">
        <v>0</v>
      </c>
      <c r="AP4519" s="4">
        <v>7</v>
      </c>
      <c r="AQ4519" s="4">
        <v>21</v>
      </c>
      <c r="AR4519" s="3" t="s">
        <v>62</v>
      </c>
      <c r="AS4519" s="3" t="s">
        <v>63</v>
      </c>
      <c r="AT4519" s="3" t="s">
        <v>63</v>
      </c>
      <c r="AV4519" s="6" t="str">
        <f>HYPERLINK("http://mcgill.on.worldcat.org/oclc/299340270","Catalog Record")</f>
        <v>Catalog Record</v>
      </c>
      <c r="AW4519" s="6" t="str">
        <f>HYPERLINK("http://www.worldcat.org/oclc/299340270","WorldCat Record")</f>
        <v>WorldCat Record</v>
      </c>
      <c r="AX4519" s="3" t="s">
        <v>39154</v>
      </c>
      <c r="AY4519" s="3" t="s">
        <v>39155</v>
      </c>
      <c r="AZ4519" s="3" t="s">
        <v>39156</v>
      </c>
      <c r="BA4519" s="3" t="s">
        <v>39156</v>
      </c>
      <c r="BB4519" s="3" t="s">
        <v>39157</v>
      </c>
      <c r="BC4519" s="3" t="s">
        <v>82</v>
      </c>
      <c r="BD4519" s="3" t="s">
        <v>70</v>
      </c>
      <c r="BE4519" s="3" t="s">
        <v>39158</v>
      </c>
      <c r="BF4519" s="3" t="s">
        <v>39157</v>
      </c>
      <c r="BG4519" s="3" t="s">
        <v>39159</v>
      </c>
    </row>
    <row r="4520" spans="1:59" ht="60" x14ac:dyDescent="0.25">
      <c r="A4520" s="2" t="s">
        <v>59</v>
      </c>
      <c r="B4520" s="2" t="s">
        <v>60</v>
      </c>
      <c r="C4520" s="2" t="s">
        <v>39170</v>
      </c>
      <c r="D4520" s="2" t="s">
        <v>39171</v>
      </c>
      <c r="E4520" s="2" t="s">
        <v>39172</v>
      </c>
      <c r="G4520" s="3" t="s">
        <v>63</v>
      </c>
      <c r="I4520" s="3" t="s">
        <v>63</v>
      </c>
      <c r="J4520" s="3" t="s">
        <v>63</v>
      </c>
      <c r="K4520" s="3" t="s">
        <v>64</v>
      </c>
      <c r="M4520" s="2" t="s">
        <v>39173</v>
      </c>
      <c r="N4520" s="3" t="s">
        <v>427</v>
      </c>
      <c r="P4520" s="3" t="s">
        <v>66</v>
      </c>
      <c r="R4520" s="3" t="s">
        <v>67</v>
      </c>
      <c r="S4520" s="4">
        <v>2</v>
      </c>
      <c r="T4520" s="4">
        <v>2</v>
      </c>
      <c r="U4520" s="5" t="s">
        <v>14156</v>
      </c>
      <c r="V4520" s="5" t="s">
        <v>14156</v>
      </c>
      <c r="W4520" s="5" t="s">
        <v>69</v>
      </c>
      <c r="X4520" s="5" t="s">
        <v>69</v>
      </c>
      <c r="Y4520" s="4">
        <v>60</v>
      </c>
      <c r="Z4520" s="4">
        <v>7</v>
      </c>
      <c r="AA4520" s="4">
        <v>7</v>
      </c>
      <c r="AB4520" s="4">
        <v>1</v>
      </c>
      <c r="AC4520" s="4">
        <v>1</v>
      </c>
      <c r="AD4520" s="4">
        <v>29</v>
      </c>
      <c r="AE4520" s="4">
        <v>29</v>
      </c>
      <c r="AF4520" s="4">
        <v>0</v>
      </c>
      <c r="AG4520" s="4">
        <v>0</v>
      </c>
      <c r="AH4520" s="4">
        <v>27</v>
      </c>
      <c r="AI4520" s="4">
        <v>27</v>
      </c>
      <c r="AJ4520" s="4">
        <v>5</v>
      </c>
      <c r="AK4520" s="4">
        <v>5</v>
      </c>
      <c r="AL4520" s="4">
        <v>22</v>
      </c>
      <c r="AM4520" s="4">
        <v>22</v>
      </c>
      <c r="AN4520" s="4">
        <v>0</v>
      </c>
      <c r="AO4520" s="4">
        <v>0</v>
      </c>
      <c r="AP4520" s="4">
        <v>5</v>
      </c>
      <c r="AQ4520" s="4">
        <v>5</v>
      </c>
      <c r="AR4520" s="3" t="s">
        <v>63</v>
      </c>
      <c r="AS4520" s="3" t="s">
        <v>63</v>
      </c>
      <c r="AT4520" s="3" t="s">
        <v>63</v>
      </c>
      <c r="AV4520" s="6" t="str">
        <f>HYPERLINK("http://mcgill.on.worldcat.org/oclc/27387874","Catalog Record")</f>
        <v>Catalog Record</v>
      </c>
      <c r="AW4520" s="6" t="str">
        <f>HYPERLINK("http://www.worldcat.org/oclc/27387874","WorldCat Record")</f>
        <v>WorldCat Record</v>
      </c>
      <c r="AX4520" s="3" t="s">
        <v>39174</v>
      </c>
      <c r="AY4520" s="3" t="s">
        <v>39175</v>
      </c>
      <c r="AZ4520" s="3" t="s">
        <v>39176</v>
      </c>
      <c r="BA4520" s="3" t="s">
        <v>39176</v>
      </c>
      <c r="BB4520" s="3" t="s">
        <v>39177</v>
      </c>
      <c r="BC4520" s="3" t="s">
        <v>82</v>
      </c>
      <c r="BD4520" s="3" t="s">
        <v>70</v>
      </c>
      <c r="BE4520" s="3" t="s">
        <v>39178</v>
      </c>
      <c r="BF4520" s="3" t="s">
        <v>39177</v>
      </c>
      <c r="BG4520" s="3" t="s">
        <v>39179</v>
      </c>
    </row>
    <row r="4521" spans="1:59" ht="75" x14ac:dyDescent="0.25">
      <c r="A4521" s="2" t="s">
        <v>59</v>
      </c>
      <c r="B4521" s="2" t="s">
        <v>60</v>
      </c>
      <c r="C4521" s="2" t="s">
        <v>39160</v>
      </c>
      <c r="D4521" s="2" t="s">
        <v>39161</v>
      </c>
      <c r="E4521" s="2" t="s">
        <v>39162</v>
      </c>
      <c r="G4521" s="3" t="s">
        <v>63</v>
      </c>
      <c r="I4521" s="3" t="s">
        <v>62</v>
      </c>
      <c r="J4521" s="3" t="s">
        <v>63</v>
      </c>
      <c r="K4521" s="3" t="s">
        <v>64</v>
      </c>
      <c r="M4521" s="2" t="s">
        <v>39163</v>
      </c>
      <c r="N4521" s="3" t="s">
        <v>3640</v>
      </c>
      <c r="P4521" s="3" t="s">
        <v>38181</v>
      </c>
      <c r="Q4521" s="2" t="s">
        <v>39164</v>
      </c>
      <c r="R4521" s="3" t="s">
        <v>67</v>
      </c>
      <c r="S4521" s="4">
        <v>1</v>
      </c>
      <c r="T4521" s="4">
        <v>1</v>
      </c>
      <c r="U4521" s="5" t="s">
        <v>14156</v>
      </c>
      <c r="V4521" s="5" t="s">
        <v>14156</v>
      </c>
      <c r="W4521" s="5" t="s">
        <v>69</v>
      </c>
      <c r="X4521" s="5" t="s">
        <v>69</v>
      </c>
      <c r="Y4521" s="4">
        <v>21</v>
      </c>
      <c r="Z4521" s="4">
        <v>8</v>
      </c>
      <c r="AA4521" s="4">
        <v>12</v>
      </c>
      <c r="AB4521" s="4">
        <v>1</v>
      </c>
      <c r="AC4521" s="4">
        <v>1</v>
      </c>
      <c r="AD4521" s="4">
        <v>8</v>
      </c>
      <c r="AE4521" s="4">
        <v>15</v>
      </c>
      <c r="AF4521" s="4">
        <v>0</v>
      </c>
      <c r="AG4521" s="4">
        <v>0</v>
      </c>
      <c r="AH4521" s="4">
        <v>7</v>
      </c>
      <c r="AI4521" s="4">
        <v>13</v>
      </c>
      <c r="AJ4521" s="4">
        <v>4</v>
      </c>
      <c r="AK4521" s="4">
        <v>8</v>
      </c>
      <c r="AL4521" s="4">
        <v>4</v>
      </c>
      <c r="AM4521" s="4">
        <v>7</v>
      </c>
      <c r="AN4521" s="4">
        <v>0</v>
      </c>
      <c r="AO4521" s="4">
        <v>0</v>
      </c>
      <c r="AP4521" s="4">
        <v>4</v>
      </c>
      <c r="AQ4521" s="4">
        <v>8</v>
      </c>
      <c r="AR4521" s="3" t="s">
        <v>63</v>
      </c>
      <c r="AS4521" s="3" t="s">
        <v>63</v>
      </c>
      <c r="AT4521" s="3" t="s">
        <v>63</v>
      </c>
      <c r="AV4521" s="6" t="str">
        <f>HYPERLINK("http://mcgill.on.worldcat.org/oclc/12523337","Catalog Record")</f>
        <v>Catalog Record</v>
      </c>
      <c r="AW4521" s="6" t="str">
        <f>HYPERLINK("http://www.worldcat.org/oclc/12523337","WorldCat Record")</f>
        <v>WorldCat Record</v>
      </c>
      <c r="AX4521" s="3" t="s">
        <v>39165</v>
      </c>
      <c r="AY4521" s="3" t="s">
        <v>39166</v>
      </c>
      <c r="AZ4521" s="3" t="s">
        <v>39167</v>
      </c>
      <c r="BA4521" s="3" t="s">
        <v>39167</v>
      </c>
      <c r="BB4521" s="3" t="s">
        <v>39168</v>
      </c>
      <c r="BC4521" s="3" t="s">
        <v>82</v>
      </c>
      <c r="BD4521" s="3" t="s">
        <v>70</v>
      </c>
      <c r="BF4521" s="3" t="s">
        <v>39168</v>
      </c>
      <c r="BG4521" s="3" t="s">
        <v>39169</v>
      </c>
    </row>
    <row r="4522" spans="1:59" ht="60" x14ac:dyDescent="0.25">
      <c r="A4522" s="2" t="s">
        <v>59</v>
      </c>
      <c r="B4522" s="2" t="s">
        <v>60</v>
      </c>
      <c r="C4522" s="2" t="s">
        <v>39180</v>
      </c>
      <c r="D4522" s="2" t="s">
        <v>39181</v>
      </c>
      <c r="E4522" s="2" t="s">
        <v>39182</v>
      </c>
      <c r="G4522" s="3" t="s">
        <v>63</v>
      </c>
      <c r="I4522" s="3" t="s">
        <v>63</v>
      </c>
      <c r="J4522" s="3" t="s">
        <v>63</v>
      </c>
      <c r="K4522" s="3" t="s">
        <v>64</v>
      </c>
      <c r="L4522" s="2" t="s">
        <v>39183</v>
      </c>
      <c r="M4522" s="2" t="s">
        <v>4252</v>
      </c>
      <c r="N4522" s="3" t="s">
        <v>161</v>
      </c>
      <c r="P4522" s="3" t="s">
        <v>66</v>
      </c>
      <c r="R4522" s="3" t="s">
        <v>67</v>
      </c>
      <c r="S4522" s="4">
        <v>4</v>
      </c>
      <c r="T4522" s="4">
        <v>4</v>
      </c>
      <c r="U4522" s="5" t="s">
        <v>12201</v>
      </c>
      <c r="V4522" s="5" t="s">
        <v>12201</v>
      </c>
      <c r="W4522" s="5" t="s">
        <v>69</v>
      </c>
      <c r="X4522" s="5" t="s">
        <v>69</v>
      </c>
      <c r="Y4522" s="4">
        <v>271</v>
      </c>
      <c r="Z4522" s="4">
        <v>15</v>
      </c>
      <c r="AA4522" s="4">
        <v>15</v>
      </c>
      <c r="AB4522" s="4">
        <v>1</v>
      </c>
      <c r="AC4522" s="4">
        <v>1</v>
      </c>
      <c r="AD4522" s="4">
        <v>96</v>
      </c>
      <c r="AE4522" s="4">
        <v>96</v>
      </c>
      <c r="AF4522" s="4">
        <v>0</v>
      </c>
      <c r="AG4522" s="4">
        <v>0</v>
      </c>
      <c r="AH4522" s="4">
        <v>89</v>
      </c>
      <c r="AI4522" s="4">
        <v>89</v>
      </c>
      <c r="AJ4522" s="4">
        <v>12</v>
      </c>
      <c r="AK4522" s="4">
        <v>12</v>
      </c>
      <c r="AL4522" s="4">
        <v>50</v>
      </c>
      <c r="AM4522" s="4">
        <v>50</v>
      </c>
      <c r="AN4522" s="4">
        <v>0</v>
      </c>
      <c r="AO4522" s="4">
        <v>0</v>
      </c>
      <c r="AP4522" s="4">
        <v>12</v>
      </c>
      <c r="AQ4522" s="4">
        <v>12</v>
      </c>
      <c r="AR4522" s="3" t="s">
        <v>63</v>
      </c>
      <c r="AS4522" s="3" t="s">
        <v>63</v>
      </c>
      <c r="AT4522" s="3" t="s">
        <v>62</v>
      </c>
      <c r="AU4522" s="6" t="str">
        <f>HYPERLINK("http://catalog.hathitrust.org/Record/001539635","HathiTrust Record")</f>
        <v>HathiTrust Record</v>
      </c>
      <c r="AV4522" s="6" t="str">
        <f>HYPERLINK("http://mcgill.on.worldcat.org/oclc/19125867","Catalog Record")</f>
        <v>Catalog Record</v>
      </c>
      <c r="AW4522" s="6" t="str">
        <f>HYPERLINK("http://www.worldcat.org/oclc/19125867","WorldCat Record")</f>
        <v>WorldCat Record</v>
      </c>
      <c r="AX4522" s="3" t="s">
        <v>39184</v>
      </c>
      <c r="AY4522" s="3" t="s">
        <v>39185</v>
      </c>
      <c r="AZ4522" s="3" t="s">
        <v>39186</v>
      </c>
      <c r="BA4522" s="3" t="s">
        <v>39186</v>
      </c>
      <c r="BB4522" s="3" t="s">
        <v>39187</v>
      </c>
      <c r="BC4522" s="3" t="s">
        <v>82</v>
      </c>
      <c r="BD4522" s="3" t="s">
        <v>70</v>
      </c>
      <c r="BE4522" s="3" t="s">
        <v>39188</v>
      </c>
      <c r="BF4522" s="3" t="s">
        <v>39187</v>
      </c>
      <c r="BG4522" s="3" t="s">
        <v>39189</v>
      </c>
    </row>
    <row r="4523" spans="1:59" ht="60" x14ac:dyDescent="0.25">
      <c r="A4523" s="2" t="s">
        <v>59</v>
      </c>
      <c r="B4523" s="2" t="s">
        <v>60</v>
      </c>
      <c r="C4523" s="2" t="s">
        <v>39190</v>
      </c>
      <c r="D4523" s="2" t="s">
        <v>39191</v>
      </c>
      <c r="E4523" s="2" t="s">
        <v>39192</v>
      </c>
      <c r="G4523" s="3" t="s">
        <v>63</v>
      </c>
      <c r="I4523" s="3" t="s">
        <v>63</v>
      </c>
      <c r="J4523" s="3" t="s">
        <v>62</v>
      </c>
      <c r="K4523" s="3" t="s">
        <v>64</v>
      </c>
      <c r="L4523" s="2" t="s">
        <v>39193</v>
      </c>
      <c r="M4523" s="2" t="s">
        <v>39140</v>
      </c>
      <c r="N4523" s="3" t="s">
        <v>629</v>
      </c>
      <c r="O4523" s="2" t="s">
        <v>39194</v>
      </c>
      <c r="P4523" s="3" t="s">
        <v>66</v>
      </c>
      <c r="R4523" s="3" t="s">
        <v>67</v>
      </c>
      <c r="S4523" s="4">
        <v>0</v>
      </c>
      <c r="T4523" s="4">
        <v>0</v>
      </c>
      <c r="W4523" s="5" t="s">
        <v>69</v>
      </c>
      <c r="X4523" s="5" t="s">
        <v>69</v>
      </c>
      <c r="Y4523" s="4">
        <v>43</v>
      </c>
      <c r="Z4523" s="4">
        <v>4</v>
      </c>
      <c r="AA4523" s="4">
        <v>10</v>
      </c>
      <c r="AB4523" s="4">
        <v>1</v>
      </c>
      <c r="AC4523" s="4">
        <v>1</v>
      </c>
      <c r="AD4523" s="4">
        <v>20</v>
      </c>
      <c r="AE4523" s="4">
        <v>51</v>
      </c>
      <c r="AF4523" s="4">
        <v>0</v>
      </c>
      <c r="AG4523" s="4">
        <v>0</v>
      </c>
      <c r="AH4523" s="4">
        <v>20</v>
      </c>
      <c r="AI4523" s="4">
        <v>46</v>
      </c>
      <c r="AJ4523" s="4">
        <v>1</v>
      </c>
      <c r="AK4523" s="4">
        <v>5</v>
      </c>
      <c r="AL4523" s="4">
        <v>16</v>
      </c>
      <c r="AM4523" s="4">
        <v>37</v>
      </c>
      <c r="AN4523" s="4">
        <v>0</v>
      </c>
      <c r="AO4523" s="4">
        <v>0</v>
      </c>
      <c r="AP4523" s="4">
        <v>1</v>
      </c>
      <c r="AQ4523" s="4">
        <v>5</v>
      </c>
      <c r="AR4523" s="3" t="s">
        <v>63</v>
      </c>
      <c r="AS4523" s="3" t="s">
        <v>63</v>
      </c>
      <c r="AT4523" s="3" t="s">
        <v>63</v>
      </c>
      <c r="AV4523" s="6" t="str">
        <f>HYPERLINK("http://mcgill.on.worldcat.org/oclc/724308277","Catalog Record")</f>
        <v>Catalog Record</v>
      </c>
      <c r="AW4523" s="6" t="str">
        <f>HYPERLINK("http://www.worldcat.org/oclc/724308277","WorldCat Record")</f>
        <v>WorldCat Record</v>
      </c>
      <c r="AX4523" s="3" t="s">
        <v>39195</v>
      </c>
      <c r="AY4523" s="3" t="s">
        <v>39196</v>
      </c>
      <c r="AZ4523" s="3" t="s">
        <v>39197</v>
      </c>
      <c r="BA4523" s="3" t="s">
        <v>39197</v>
      </c>
      <c r="BB4523" s="3" t="s">
        <v>39198</v>
      </c>
      <c r="BC4523" s="3" t="s">
        <v>82</v>
      </c>
      <c r="BD4523" s="3" t="s">
        <v>70</v>
      </c>
      <c r="BE4523" s="3" t="s">
        <v>39199</v>
      </c>
      <c r="BF4523" s="3" t="s">
        <v>39198</v>
      </c>
      <c r="BG4523" s="3" t="s">
        <v>39200</v>
      </c>
    </row>
    <row r="4524" spans="1:59" ht="60" x14ac:dyDescent="0.25">
      <c r="A4524" s="2" t="s">
        <v>59</v>
      </c>
      <c r="B4524" s="2" t="s">
        <v>60</v>
      </c>
      <c r="C4524" s="2" t="s">
        <v>39201</v>
      </c>
      <c r="D4524" s="2" t="s">
        <v>39202</v>
      </c>
      <c r="E4524" s="2" t="s">
        <v>39203</v>
      </c>
      <c r="G4524" s="3" t="s">
        <v>63</v>
      </c>
      <c r="I4524" s="3" t="s">
        <v>63</v>
      </c>
      <c r="J4524" s="3" t="s">
        <v>63</v>
      </c>
      <c r="K4524" s="3" t="s">
        <v>64</v>
      </c>
      <c r="L4524" s="2" t="s">
        <v>39204</v>
      </c>
      <c r="M4524" s="2" t="s">
        <v>7658</v>
      </c>
      <c r="N4524" s="3" t="s">
        <v>287</v>
      </c>
      <c r="P4524" s="3" t="s">
        <v>66</v>
      </c>
      <c r="R4524" s="3" t="s">
        <v>67</v>
      </c>
      <c r="S4524" s="4">
        <v>3</v>
      </c>
      <c r="T4524" s="4">
        <v>3</v>
      </c>
      <c r="U4524" s="5" t="s">
        <v>953</v>
      </c>
      <c r="V4524" s="5" t="s">
        <v>953</v>
      </c>
      <c r="W4524" s="5" t="s">
        <v>69</v>
      </c>
      <c r="X4524" s="5" t="s">
        <v>69</v>
      </c>
      <c r="Y4524" s="4">
        <v>171</v>
      </c>
      <c r="Z4524" s="4">
        <v>5</v>
      </c>
      <c r="AA4524" s="4">
        <v>6</v>
      </c>
      <c r="AB4524" s="4">
        <v>1</v>
      </c>
      <c r="AC4524" s="4">
        <v>1</v>
      </c>
      <c r="AD4524" s="4">
        <v>54</v>
      </c>
      <c r="AE4524" s="4">
        <v>54</v>
      </c>
      <c r="AF4524" s="4">
        <v>0</v>
      </c>
      <c r="AG4524" s="4">
        <v>0</v>
      </c>
      <c r="AH4524" s="4">
        <v>53</v>
      </c>
      <c r="AI4524" s="4">
        <v>53</v>
      </c>
      <c r="AJ4524" s="4">
        <v>3</v>
      </c>
      <c r="AK4524" s="4">
        <v>3</v>
      </c>
      <c r="AL4524" s="4">
        <v>37</v>
      </c>
      <c r="AM4524" s="4">
        <v>37</v>
      </c>
      <c r="AN4524" s="4">
        <v>0</v>
      </c>
      <c r="AO4524" s="4">
        <v>0</v>
      </c>
      <c r="AP4524" s="4">
        <v>3</v>
      </c>
      <c r="AQ4524" s="4">
        <v>3</v>
      </c>
      <c r="AR4524" s="3" t="s">
        <v>63</v>
      </c>
      <c r="AS4524" s="3" t="s">
        <v>63</v>
      </c>
      <c r="AT4524" s="3" t="s">
        <v>63</v>
      </c>
      <c r="AV4524" s="6" t="str">
        <f>HYPERLINK("http://mcgill.on.worldcat.org/oclc/996417094","Catalog Record")</f>
        <v>Catalog Record</v>
      </c>
      <c r="AW4524" s="6" t="str">
        <f>HYPERLINK("http://www.worldcat.org/oclc/996417094","WorldCat Record")</f>
        <v>WorldCat Record</v>
      </c>
      <c r="AX4524" s="3" t="s">
        <v>39205</v>
      </c>
      <c r="AY4524" s="3" t="s">
        <v>39206</v>
      </c>
      <c r="AZ4524" s="3" t="s">
        <v>39207</v>
      </c>
      <c r="BA4524" s="3" t="s">
        <v>39207</v>
      </c>
      <c r="BB4524" s="3" t="s">
        <v>39208</v>
      </c>
      <c r="BC4524" s="3" t="s">
        <v>82</v>
      </c>
      <c r="BD4524" s="3" t="s">
        <v>70</v>
      </c>
      <c r="BE4524" s="3" t="s">
        <v>39209</v>
      </c>
      <c r="BF4524" s="3" t="s">
        <v>39208</v>
      </c>
      <c r="BG4524" s="3" t="s">
        <v>39210</v>
      </c>
    </row>
    <row r="4525" spans="1:59" ht="75" x14ac:dyDescent="0.25">
      <c r="A4525" s="2" t="s">
        <v>59</v>
      </c>
      <c r="B4525" s="2" t="s">
        <v>60</v>
      </c>
      <c r="C4525" s="2" t="s">
        <v>39211</v>
      </c>
      <c r="D4525" s="2" t="s">
        <v>39212</v>
      </c>
      <c r="E4525" s="2" t="s">
        <v>39213</v>
      </c>
      <c r="G4525" s="3" t="s">
        <v>63</v>
      </c>
      <c r="I4525" s="3" t="s">
        <v>63</v>
      </c>
      <c r="J4525" s="3" t="s">
        <v>63</v>
      </c>
      <c r="K4525" s="3" t="s">
        <v>64</v>
      </c>
      <c r="L4525" s="2" t="s">
        <v>39214</v>
      </c>
      <c r="M4525" s="2" t="s">
        <v>39215</v>
      </c>
      <c r="N4525" s="3" t="s">
        <v>2459</v>
      </c>
      <c r="P4525" s="3" t="s">
        <v>66</v>
      </c>
      <c r="Q4525" s="2" t="s">
        <v>9341</v>
      </c>
      <c r="R4525" s="3" t="s">
        <v>67</v>
      </c>
      <c r="S4525" s="4">
        <v>16</v>
      </c>
      <c r="T4525" s="4">
        <v>16</v>
      </c>
      <c r="U4525" s="5" t="s">
        <v>953</v>
      </c>
      <c r="V4525" s="5" t="s">
        <v>953</v>
      </c>
      <c r="W4525" s="5" t="s">
        <v>69</v>
      </c>
      <c r="X4525" s="5" t="s">
        <v>69</v>
      </c>
      <c r="Y4525" s="4">
        <v>247</v>
      </c>
      <c r="Z4525" s="4">
        <v>16</v>
      </c>
      <c r="AA4525" s="4">
        <v>16</v>
      </c>
      <c r="AB4525" s="4">
        <v>2</v>
      </c>
      <c r="AC4525" s="4">
        <v>2</v>
      </c>
      <c r="AD4525" s="4">
        <v>48</v>
      </c>
      <c r="AE4525" s="4">
        <v>48</v>
      </c>
      <c r="AF4525" s="4">
        <v>0</v>
      </c>
      <c r="AG4525" s="4">
        <v>0</v>
      </c>
      <c r="AH4525" s="4">
        <v>45</v>
      </c>
      <c r="AI4525" s="4">
        <v>45</v>
      </c>
      <c r="AJ4525" s="4">
        <v>7</v>
      </c>
      <c r="AK4525" s="4">
        <v>7</v>
      </c>
      <c r="AL4525" s="4">
        <v>28</v>
      </c>
      <c r="AM4525" s="4">
        <v>28</v>
      </c>
      <c r="AN4525" s="4">
        <v>0</v>
      </c>
      <c r="AO4525" s="4">
        <v>0</v>
      </c>
      <c r="AP4525" s="4">
        <v>8</v>
      </c>
      <c r="AQ4525" s="4">
        <v>8</v>
      </c>
      <c r="AR4525" s="3" t="s">
        <v>63</v>
      </c>
      <c r="AS4525" s="3" t="s">
        <v>63</v>
      </c>
      <c r="AT4525" s="3" t="s">
        <v>63</v>
      </c>
      <c r="AV4525" s="6" t="str">
        <f>HYPERLINK("http://mcgill.on.worldcat.org/oclc/166382387","Catalog Record")</f>
        <v>Catalog Record</v>
      </c>
      <c r="AW4525" s="6" t="str">
        <f>HYPERLINK("http://www.worldcat.org/oclc/166382387","WorldCat Record")</f>
        <v>WorldCat Record</v>
      </c>
      <c r="AX4525" s="3" t="s">
        <v>39216</v>
      </c>
      <c r="AY4525" s="3" t="s">
        <v>39217</v>
      </c>
      <c r="AZ4525" s="3" t="s">
        <v>39218</v>
      </c>
      <c r="BA4525" s="3" t="s">
        <v>39218</v>
      </c>
      <c r="BB4525" s="3" t="s">
        <v>39219</v>
      </c>
      <c r="BC4525" s="3" t="s">
        <v>82</v>
      </c>
      <c r="BD4525" s="3" t="s">
        <v>70</v>
      </c>
      <c r="BE4525" s="3" t="s">
        <v>39220</v>
      </c>
      <c r="BF4525" s="3" t="s">
        <v>39219</v>
      </c>
      <c r="BG4525" s="3" t="s">
        <v>39221</v>
      </c>
    </row>
    <row r="4526" spans="1:59" ht="75" x14ac:dyDescent="0.25">
      <c r="A4526" s="2" t="s">
        <v>59</v>
      </c>
      <c r="B4526" s="2" t="s">
        <v>60</v>
      </c>
      <c r="C4526" s="2" t="s">
        <v>39222</v>
      </c>
      <c r="D4526" s="2" t="s">
        <v>39223</v>
      </c>
      <c r="E4526" s="2" t="s">
        <v>39224</v>
      </c>
      <c r="G4526" s="3" t="s">
        <v>63</v>
      </c>
      <c r="I4526" s="3" t="s">
        <v>63</v>
      </c>
      <c r="J4526" s="3" t="s">
        <v>63</v>
      </c>
      <c r="K4526" s="3" t="s">
        <v>64</v>
      </c>
      <c r="L4526" s="2" t="s">
        <v>39214</v>
      </c>
      <c r="M4526" s="2" t="s">
        <v>39225</v>
      </c>
      <c r="N4526" s="3" t="s">
        <v>161</v>
      </c>
      <c r="P4526" s="3" t="s">
        <v>66</v>
      </c>
      <c r="R4526" s="3" t="s">
        <v>67</v>
      </c>
      <c r="S4526" s="4">
        <v>33</v>
      </c>
      <c r="T4526" s="4">
        <v>33</v>
      </c>
      <c r="U4526" s="5" t="s">
        <v>953</v>
      </c>
      <c r="V4526" s="5" t="s">
        <v>953</v>
      </c>
      <c r="W4526" s="5" t="s">
        <v>69</v>
      </c>
      <c r="X4526" s="5" t="s">
        <v>69</v>
      </c>
      <c r="Y4526" s="4">
        <v>383</v>
      </c>
      <c r="Z4526" s="4">
        <v>19</v>
      </c>
      <c r="AA4526" s="4">
        <v>19</v>
      </c>
      <c r="AB4526" s="4">
        <v>1</v>
      </c>
      <c r="AC4526" s="4">
        <v>1</v>
      </c>
      <c r="AD4526" s="4">
        <v>80</v>
      </c>
      <c r="AE4526" s="4">
        <v>80</v>
      </c>
      <c r="AF4526" s="4">
        <v>0</v>
      </c>
      <c r="AG4526" s="4">
        <v>0</v>
      </c>
      <c r="AH4526" s="4">
        <v>72</v>
      </c>
      <c r="AI4526" s="4">
        <v>72</v>
      </c>
      <c r="AJ4526" s="4">
        <v>11</v>
      </c>
      <c r="AK4526" s="4">
        <v>11</v>
      </c>
      <c r="AL4526" s="4">
        <v>40</v>
      </c>
      <c r="AM4526" s="4">
        <v>40</v>
      </c>
      <c r="AN4526" s="4">
        <v>0</v>
      </c>
      <c r="AO4526" s="4">
        <v>0</v>
      </c>
      <c r="AP4526" s="4">
        <v>13</v>
      </c>
      <c r="AQ4526" s="4">
        <v>13</v>
      </c>
      <c r="AR4526" s="3" t="s">
        <v>63</v>
      </c>
      <c r="AS4526" s="3" t="s">
        <v>63</v>
      </c>
      <c r="AT4526" s="3" t="s">
        <v>63</v>
      </c>
      <c r="AV4526" s="6" t="str">
        <f>HYPERLINK("http://mcgill.on.worldcat.org/oclc/20012725","Catalog Record")</f>
        <v>Catalog Record</v>
      </c>
      <c r="AW4526" s="6" t="str">
        <f>HYPERLINK("http://www.worldcat.org/oclc/20012725","WorldCat Record")</f>
        <v>WorldCat Record</v>
      </c>
      <c r="AX4526" s="3" t="s">
        <v>39226</v>
      </c>
      <c r="AY4526" s="3" t="s">
        <v>39227</v>
      </c>
      <c r="AZ4526" s="3" t="s">
        <v>39228</v>
      </c>
      <c r="BA4526" s="3" t="s">
        <v>39228</v>
      </c>
      <c r="BB4526" s="3" t="s">
        <v>39229</v>
      </c>
      <c r="BC4526" s="3" t="s">
        <v>82</v>
      </c>
      <c r="BD4526" s="3" t="s">
        <v>70</v>
      </c>
      <c r="BE4526" s="3" t="s">
        <v>39230</v>
      </c>
      <c r="BF4526" s="3" t="s">
        <v>39229</v>
      </c>
      <c r="BG4526" s="3" t="s">
        <v>39231</v>
      </c>
    </row>
    <row r="4527" spans="1:59" ht="60" x14ac:dyDescent="0.25">
      <c r="A4527" s="2" t="s">
        <v>59</v>
      </c>
      <c r="B4527" s="2" t="s">
        <v>60</v>
      </c>
      <c r="C4527" s="2" t="s">
        <v>39232</v>
      </c>
      <c r="D4527" s="2" t="s">
        <v>39233</v>
      </c>
      <c r="E4527" s="2" t="s">
        <v>39234</v>
      </c>
      <c r="G4527" s="3" t="s">
        <v>63</v>
      </c>
      <c r="I4527" s="3" t="s">
        <v>63</v>
      </c>
      <c r="J4527" s="3" t="s">
        <v>63</v>
      </c>
      <c r="K4527" s="3" t="s">
        <v>64</v>
      </c>
      <c r="L4527" s="2" t="s">
        <v>39235</v>
      </c>
      <c r="M4527" s="2" t="s">
        <v>39236</v>
      </c>
      <c r="N4527" s="3" t="s">
        <v>1343</v>
      </c>
      <c r="P4527" s="3" t="s">
        <v>66</v>
      </c>
      <c r="Q4527" s="2" t="s">
        <v>39237</v>
      </c>
      <c r="R4527" s="3" t="s">
        <v>67</v>
      </c>
      <c r="S4527" s="4">
        <v>20</v>
      </c>
      <c r="T4527" s="4">
        <v>20</v>
      </c>
      <c r="U4527" s="5" t="s">
        <v>39238</v>
      </c>
      <c r="V4527" s="5" t="s">
        <v>39238</v>
      </c>
      <c r="W4527" s="5" t="s">
        <v>69</v>
      </c>
      <c r="X4527" s="5" t="s">
        <v>69</v>
      </c>
      <c r="Y4527" s="4">
        <v>350</v>
      </c>
      <c r="Z4527" s="4">
        <v>17</v>
      </c>
      <c r="AA4527" s="4">
        <v>17</v>
      </c>
      <c r="AB4527" s="4">
        <v>2</v>
      </c>
      <c r="AC4527" s="4">
        <v>2</v>
      </c>
      <c r="AD4527" s="4">
        <v>86</v>
      </c>
      <c r="AE4527" s="4">
        <v>86</v>
      </c>
      <c r="AF4527" s="4">
        <v>1</v>
      </c>
      <c r="AG4527" s="4">
        <v>1</v>
      </c>
      <c r="AH4527" s="4">
        <v>77</v>
      </c>
      <c r="AI4527" s="4">
        <v>77</v>
      </c>
      <c r="AJ4527" s="4">
        <v>11</v>
      </c>
      <c r="AK4527" s="4">
        <v>11</v>
      </c>
      <c r="AL4527" s="4">
        <v>44</v>
      </c>
      <c r="AM4527" s="4">
        <v>44</v>
      </c>
      <c r="AN4527" s="4">
        <v>0</v>
      </c>
      <c r="AO4527" s="4">
        <v>0</v>
      </c>
      <c r="AP4527" s="4">
        <v>13</v>
      </c>
      <c r="AQ4527" s="4">
        <v>13</v>
      </c>
      <c r="AR4527" s="3" t="s">
        <v>63</v>
      </c>
      <c r="AS4527" s="3" t="s">
        <v>63</v>
      </c>
      <c r="AT4527" s="3" t="s">
        <v>62</v>
      </c>
      <c r="AU4527" s="6" t="str">
        <f>HYPERLINK("http://catalog.hathitrust.org/Record/004092812","HathiTrust Record")</f>
        <v>HathiTrust Record</v>
      </c>
      <c r="AV4527" s="6" t="str">
        <f>HYPERLINK("http://mcgill.on.worldcat.org/oclc/42002647","Catalog Record")</f>
        <v>Catalog Record</v>
      </c>
      <c r="AW4527" s="6" t="str">
        <f>HYPERLINK("http://www.worldcat.org/oclc/42002647","WorldCat Record")</f>
        <v>WorldCat Record</v>
      </c>
      <c r="AX4527" s="3" t="s">
        <v>39239</v>
      </c>
      <c r="AY4527" s="3" t="s">
        <v>39240</v>
      </c>
      <c r="AZ4527" s="3" t="s">
        <v>39241</v>
      </c>
      <c r="BA4527" s="3" t="s">
        <v>39241</v>
      </c>
      <c r="BB4527" s="3" t="s">
        <v>39242</v>
      </c>
      <c r="BC4527" s="3" t="s">
        <v>82</v>
      </c>
      <c r="BD4527" s="3" t="s">
        <v>70</v>
      </c>
      <c r="BE4527" s="3" t="s">
        <v>39243</v>
      </c>
      <c r="BF4527" s="3" t="s">
        <v>39242</v>
      </c>
      <c r="BG4527" s="3" t="s">
        <v>39244</v>
      </c>
    </row>
    <row r="4528" spans="1:59" ht="75" x14ac:dyDescent="0.25">
      <c r="A4528" s="2" t="s">
        <v>59</v>
      </c>
      <c r="B4528" s="2" t="s">
        <v>60</v>
      </c>
      <c r="C4528" s="2" t="s">
        <v>39245</v>
      </c>
      <c r="D4528" s="2" t="s">
        <v>39246</v>
      </c>
      <c r="E4528" s="2" t="s">
        <v>39247</v>
      </c>
      <c r="G4528" s="3" t="s">
        <v>63</v>
      </c>
      <c r="I4528" s="3" t="s">
        <v>62</v>
      </c>
      <c r="J4528" s="3" t="s">
        <v>63</v>
      </c>
      <c r="K4528" s="3" t="s">
        <v>64</v>
      </c>
      <c r="L4528" s="2" t="s">
        <v>39248</v>
      </c>
      <c r="M4528" s="2" t="s">
        <v>39249</v>
      </c>
      <c r="N4528" s="3" t="s">
        <v>326</v>
      </c>
      <c r="P4528" s="3" t="s">
        <v>66</v>
      </c>
      <c r="R4528" s="3" t="s">
        <v>67</v>
      </c>
      <c r="S4528" s="4">
        <v>2</v>
      </c>
      <c r="T4528" s="4">
        <v>2</v>
      </c>
      <c r="U4528" s="5" t="s">
        <v>39250</v>
      </c>
      <c r="V4528" s="5" t="s">
        <v>39250</v>
      </c>
      <c r="W4528" s="5" t="s">
        <v>69</v>
      </c>
      <c r="X4528" s="5" t="s">
        <v>69</v>
      </c>
      <c r="Y4528" s="4">
        <v>18</v>
      </c>
      <c r="Z4528" s="4">
        <v>5</v>
      </c>
      <c r="AA4528" s="4">
        <v>6</v>
      </c>
      <c r="AB4528" s="4">
        <v>1</v>
      </c>
      <c r="AC4528" s="4">
        <v>2</v>
      </c>
      <c r="AD4528" s="4">
        <v>14</v>
      </c>
      <c r="AE4528" s="4">
        <v>15</v>
      </c>
      <c r="AF4528" s="4">
        <v>0</v>
      </c>
      <c r="AG4528" s="4">
        <v>1</v>
      </c>
      <c r="AH4528" s="4">
        <v>13</v>
      </c>
      <c r="AI4528" s="4">
        <v>13</v>
      </c>
      <c r="AJ4528" s="4">
        <v>3</v>
      </c>
      <c r="AK4528" s="4">
        <v>4</v>
      </c>
      <c r="AL4528" s="4">
        <v>11</v>
      </c>
      <c r="AM4528" s="4">
        <v>11</v>
      </c>
      <c r="AN4528" s="4">
        <v>0</v>
      </c>
      <c r="AO4528" s="4">
        <v>0</v>
      </c>
      <c r="AP4528" s="4">
        <v>3</v>
      </c>
      <c r="AQ4528" s="4">
        <v>4</v>
      </c>
      <c r="AR4528" s="3" t="s">
        <v>62</v>
      </c>
      <c r="AS4528" s="3" t="s">
        <v>63</v>
      </c>
      <c r="AT4528" s="3" t="s">
        <v>63</v>
      </c>
      <c r="AV4528" s="6" t="str">
        <f>HYPERLINK("http://mcgill.on.worldcat.org/oclc/698029195","Catalog Record")</f>
        <v>Catalog Record</v>
      </c>
      <c r="AW4528" s="6" t="str">
        <f>HYPERLINK("http://www.worldcat.org/oclc/698029195","WorldCat Record")</f>
        <v>WorldCat Record</v>
      </c>
      <c r="AX4528" s="3" t="s">
        <v>39251</v>
      </c>
      <c r="AY4528" s="3" t="s">
        <v>39252</v>
      </c>
      <c r="AZ4528" s="3" t="s">
        <v>39253</v>
      </c>
      <c r="BA4528" s="3" t="s">
        <v>39253</v>
      </c>
      <c r="BB4528" s="3" t="s">
        <v>39254</v>
      </c>
      <c r="BC4528" s="3" t="s">
        <v>82</v>
      </c>
      <c r="BD4528" s="3" t="s">
        <v>70</v>
      </c>
      <c r="BE4528" s="3" t="s">
        <v>39255</v>
      </c>
      <c r="BF4528" s="3" t="s">
        <v>39254</v>
      </c>
      <c r="BG4528" s="3" t="s">
        <v>39256</v>
      </c>
    </row>
    <row r="4529" spans="1:59" ht="60" x14ac:dyDescent="0.25">
      <c r="A4529" s="2" t="s">
        <v>59</v>
      </c>
      <c r="B4529" s="2" t="s">
        <v>60</v>
      </c>
      <c r="C4529" s="2" t="s">
        <v>39257</v>
      </c>
      <c r="D4529" s="2" t="s">
        <v>39258</v>
      </c>
      <c r="E4529" s="2" t="s">
        <v>39259</v>
      </c>
      <c r="G4529" s="3" t="s">
        <v>63</v>
      </c>
      <c r="I4529" s="3" t="s">
        <v>62</v>
      </c>
      <c r="J4529" s="3" t="s">
        <v>63</v>
      </c>
      <c r="K4529" s="3" t="s">
        <v>64</v>
      </c>
      <c r="L4529" s="2" t="s">
        <v>39260</v>
      </c>
      <c r="M4529" s="2" t="s">
        <v>39261</v>
      </c>
      <c r="N4529" s="3" t="s">
        <v>2393</v>
      </c>
      <c r="P4529" s="3" t="s">
        <v>548</v>
      </c>
      <c r="Q4529" s="2" t="s">
        <v>38482</v>
      </c>
      <c r="R4529" s="3" t="s">
        <v>67</v>
      </c>
      <c r="S4529" s="4">
        <v>11</v>
      </c>
      <c r="T4529" s="4">
        <v>11</v>
      </c>
      <c r="U4529" s="5" t="s">
        <v>3827</v>
      </c>
      <c r="V4529" s="5" t="s">
        <v>3827</v>
      </c>
      <c r="W4529" s="5" t="s">
        <v>69</v>
      </c>
      <c r="X4529" s="5" t="s">
        <v>69</v>
      </c>
      <c r="Y4529" s="4">
        <v>7</v>
      </c>
      <c r="Z4529" s="4">
        <v>5</v>
      </c>
      <c r="AA4529" s="4">
        <v>13</v>
      </c>
      <c r="AB4529" s="4">
        <v>1</v>
      </c>
      <c r="AC4529" s="4">
        <v>4</v>
      </c>
      <c r="AD4529" s="4">
        <v>4</v>
      </c>
      <c r="AE4529" s="4">
        <v>51</v>
      </c>
      <c r="AF4529" s="4">
        <v>0</v>
      </c>
      <c r="AG4529" s="4">
        <v>2</v>
      </c>
      <c r="AH4529" s="4">
        <v>2</v>
      </c>
      <c r="AI4529" s="4">
        <v>43</v>
      </c>
      <c r="AJ4529" s="4">
        <v>2</v>
      </c>
      <c r="AK4529" s="4">
        <v>9</v>
      </c>
      <c r="AL4529" s="4">
        <v>2</v>
      </c>
      <c r="AM4529" s="4">
        <v>30</v>
      </c>
      <c r="AN4529" s="4">
        <v>0</v>
      </c>
      <c r="AO4529" s="4">
        <v>0</v>
      </c>
      <c r="AP4529" s="4">
        <v>3</v>
      </c>
      <c r="AQ4529" s="4">
        <v>8</v>
      </c>
      <c r="AR4529" s="3" t="s">
        <v>63</v>
      </c>
      <c r="AS4529" s="3" t="s">
        <v>63</v>
      </c>
      <c r="AT4529" s="3" t="s">
        <v>63</v>
      </c>
      <c r="AV4529" s="6" t="str">
        <f>HYPERLINK("http://mcgill.on.worldcat.org/oclc/123148921","Catalog Record")</f>
        <v>Catalog Record</v>
      </c>
      <c r="AW4529" s="6" t="str">
        <f>HYPERLINK("http://www.worldcat.org/oclc/123148921","WorldCat Record")</f>
        <v>WorldCat Record</v>
      </c>
      <c r="AX4529" s="3" t="s">
        <v>39262</v>
      </c>
      <c r="AY4529" s="3" t="s">
        <v>39263</v>
      </c>
      <c r="AZ4529" s="3" t="s">
        <v>39264</v>
      </c>
      <c r="BA4529" s="3" t="s">
        <v>39264</v>
      </c>
      <c r="BB4529" s="3" t="s">
        <v>39265</v>
      </c>
      <c r="BC4529" s="3" t="s">
        <v>82</v>
      </c>
      <c r="BD4529" s="3" t="s">
        <v>70</v>
      </c>
      <c r="BF4529" s="3" t="s">
        <v>39265</v>
      </c>
      <c r="BG4529" s="3" t="s">
        <v>39266</v>
      </c>
    </row>
    <row r="4530" spans="1:59" ht="75" x14ac:dyDescent="0.25">
      <c r="A4530" s="2" t="s">
        <v>59</v>
      </c>
      <c r="B4530" s="2" t="s">
        <v>60</v>
      </c>
      <c r="C4530" s="2" t="s">
        <v>39267</v>
      </c>
      <c r="D4530" s="2" t="s">
        <v>39268</v>
      </c>
      <c r="E4530" s="2" t="s">
        <v>39269</v>
      </c>
      <c r="G4530" s="3" t="s">
        <v>63</v>
      </c>
      <c r="I4530" s="3" t="s">
        <v>62</v>
      </c>
      <c r="J4530" s="3" t="s">
        <v>62</v>
      </c>
      <c r="K4530" s="3" t="s">
        <v>64</v>
      </c>
      <c r="L4530" s="2" t="s">
        <v>39204</v>
      </c>
      <c r="M4530" s="2" t="s">
        <v>39270</v>
      </c>
      <c r="N4530" s="3" t="s">
        <v>65</v>
      </c>
      <c r="P4530" s="3" t="s">
        <v>66</v>
      </c>
      <c r="Q4530" s="2" t="s">
        <v>37858</v>
      </c>
      <c r="R4530" s="3" t="s">
        <v>67</v>
      </c>
      <c r="S4530" s="4">
        <v>22</v>
      </c>
      <c r="T4530" s="4">
        <v>22</v>
      </c>
      <c r="U4530" s="5" t="s">
        <v>39271</v>
      </c>
      <c r="V4530" s="5" t="s">
        <v>39271</v>
      </c>
      <c r="W4530" s="5" t="s">
        <v>69</v>
      </c>
      <c r="X4530" s="5" t="s">
        <v>69</v>
      </c>
      <c r="Y4530" s="4">
        <v>536</v>
      </c>
      <c r="Z4530" s="4">
        <v>25</v>
      </c>
      <c r="AA4530" s="4">
        <v>38</v>
      </c>
      <c r="AB4530" s="4">
        <v>3</v>
      </c>
      <c r="AC4530" s="4">
        <v>6</v>
      </c>
      <c r="AD4530" s="4">
        <v>79</v>
      </c>
      <c r="AE4530" s="4">
        <v>115</v>
      </c>
      <c r="AF4530" s="4">
        <v>2</v>
      </c>
      <c r="AG4530" s="4">
        <v>2</v>
      </c>
      <c r="AH4530" s="4">
        <v>66</v>
      </c>
      <c r="AI4530" s="4">
        <v>98</v>
      </c>
      <c r="AJ4530" s="4">
        <v>10</v>
      </c>
      <c r="AK4530" s="4">
        <v>18</v>
      </c>
      <c r="AL4530" s="4">
        <v>41</v>
      </c>
      <c r="AM4530" s="4">
        <v>54</v>
      </c>
      <c r="AN4530" s="4">
        <v>0</v>
      </c>
      <c r="AO4530" s="4">
        <v>0</v>
      </c>
      <c r="AP4530" s="4">
        <v>14</v>
      </c>
      <c r="AQ4530" s="4">
        <v>23</v>
      </c>
      <c r="AR4530" s="3" t="s">
        <v>63</v>
      </c>
      <c r="AS4530" s="3" t="s">
        <v>63</v>
      </c>
      <c r="AT4530" s="3" t="s">
        <v>62</v>
      </c>
      <c r="AU4530" s="6" t="str">
        <f>HYPERLINK("http://catalog.hathitrust.org/Record/000732484","HathiTrust Record")</f>
        <v>HathiTrust Record</v>
      </c>
      <c r="AV4530" s="6" t="str">
        <f>HYPERLINK("http://mcgill.on.worldcat.org/oclc/2542875","Catalog Record")</f>
        <v>Catalog Record</v>
      </c>
      <c r="AW4530" s="6" t="str">
        <f>HYPERLINK("http://www.worldcat.org/oclc/2542875","WorldCat Record")</f>
        <v>WorldCat Record</v>
      </c>
      <c r="AX4530" s="3" t="s">
        <v>39272</v>
      </c>
      <c r="AY4530" s="3" t="s">
        <v>39273</v>
      </c>
      <c r="AZ4530" s="3" t="s">
        <v>39274</v>
      </c>
      <c r="BA4530" s="3" t="s">
        <v>39274</v>
      </c>
      <c r="BB4530" s="3" t="s">
        <v>39275</v>
      </c>
      <c r="BC4530" s="3" t="s">
        <v>82</v>
      </c>
      <c r="BD4530" s="3" t="s">
        <v>538</v>
      </c>
      <c r="BE4530" s="3" t="s">
        <v>39276</v>
      </c>
      <c r="BF4530" s="3" t="s">
        <v>39275</v>
      </c>
      <c r="BG4530" s="3" t="s">
        <v>39277</v>
      </c>
    </row>
    <row r="4531" spans="1:59" ht="60" x14ac:dyDescent="0.25">
      <c r="A4531" s="2" t="s">
        <v>59</v>
      </c>
      <c r="B4531" s="2" t="s">
        <v>60</v>
      </c>
      <c r="C4531" s="2" t="s">
        <v>39278</v>
      </c>
      <c r="D4531" s="2" t="s">
        <v>39279</v>
      </c>
      <c r="E4531" s="2" t="s">
        <v>39280</v>
      </c>
      <c r="G4531" s="3" t="s">
        <v>63</v>
      </c>
      <c r="I4531" s="3" t="s">
        <v>62</v>
      </c>
      <c r="J4531" s="3" t="s">
        <v>63</v>
      </c>
      <c r="K4531" s="3" t="s">
        <v>64</v>
      </c>
      <c r="L4531" s="2" t="s">
        <v>39281</v>
      </c>
      <c r="M4531" s="2" t="s">
        <v>39282</v>
      </c>
      <c r="N4531" s="3" t="s">
        <v>2393</v>
      </c>
      <c r="P4531" s="3" t="s">
        <v>548</v>
      </c>
      <c r="Q4531" s="2" t="s">
        <v>39283</v>
      </c>
      <c r="R4531" s="3" t="s">
        <v>67</v>
      </c>
      <c r="S4531" s="4">
        <v>7</v>
      </c>
      <c r="T4531" s="4">
        <v>7</v>
      </c>
      <c r="U4531" s="5" t="s">
        <v>39284</v>
      </c>
      <c r="V4531" s="5" t="s">
        <v>39284</v>
      </c>
      <c r="W4531" s="5" t="s">
        <v>69</v>
      </c>
      <c r="X4531" s="5" t="s">
        <v>69</v>
      </c>
      <c r="Y4531" s="4">
        <v>4</v>
      </c>
      <c r="Z4531" s="4">
        <v>2</v>
      </c>
      <c r="AA4531" s="4">
        <v>21</v>
      </c>
      <c r="AB4531" s="4">
        <v>1</v>
      </c>
      <c r="AC4531" s="4">
        <v>10</v>
      </c>
      <c r="AD4531" s="4">
        <v>1</v>
      </c>
      <c r="AE4531" s="4">
        <v>54</v>
      </c>
      <c r="AF4531" s="4">
        <v>0</v>
      </c>
      <c r="AG4531" s="4">
        <v>5</v>
      </c>
      <c r="AH4531" s="4">
        <v>0</v>
      </c>
      <c r="AI4531" s="4">
        <v>45</v>
      </c>
      <c r="AJ4531" s="4">
        <v>1</v>
      </c>
      <c r="AK4531" s="4">
        <v>13</v>
      </c>
      <c r="AL4531" s="4">
        <v>0</v>
      </c>
      <c r="AM4531" s="4">
        <v>31</v>
      </c>
      <c r="AN4531" s="4">
        <v>0</v>
      </c>
      <c r="AO4531" s="4">
        <v>0</v>
      </c>
      <c r="AP4531" s="4">
        <v>1</v>
      </c>
      <c r="AQ4531" s="4">
        <v>12</v>
      </c>
      <c r="AR4531" s="3" t="s">
        <v>63</v>
      </c>
      <c r="AS4531" s="3" t="s">
        <v>63</v>
      </c>
      <c r="AT4531" s="3" t="s">
        <v>63</v>
      </c>
      <c r="AV4531" s="6" t="str">
        <f>HYPERLINK("http://mcgill.on.worldcat.org/oclc/221260494","Catalog Record")</f>
        <v>Catalog Record</v>
      </c>
      <c r="AW4531" s="6" t="str">
        <f>HYPERLINK("http://www.worldcat.org/oclc/221260494","WorldCat Record")</f>
        <v>WorldCat Record</v>
      </c>
      <c r="AX4531" s="3" t="s">
        <v>39285</v>
      </c>
      <c r="AY4531" s="3" t="s">
        <v>39286</v>
      </c>
      <c r="AZ4531" s="3" t="s">
        <v>39287</v>
      </c>
      <c r="BA4531" s="3" t="s">
        <v>39287</v>
      </c>
      <c r="BB4531" s="3" t="s">
        <v>39288</v>
      </c>
      <c r="BC4531" s="3" t="s">
        <v>82</v>
      </c>
      <c r="BD4531" s="3" t="s">
        <v>70</v>
      </c>
      <c r="BF4531" s="3" t="s">
        <v>39288</v>
      </c>
      <c r="BG4531" s="3" t="s">
        <v>39289</v>
      </c>
    </row>
    <row r="4532" spans="1:59" ht="60" x14ac:dyDescent="0.25">
      <c r="A4532" s="2" t="s">
        <v>59</v>
      </c>
      <c r="B4532" s="2" t="s">
        <v>60</v>
      </c>
      <c r="C4532" s="2" t="s">
        <v>39290</v>
      </c>
      <c r="D4532" s="2" t="s">
        <v>39291</v>
      </c>
      <c r="E4532" s="2" t="s">
        <v>39292</v>
      </c>
      <c r="G4532" s="3" t="s">
        <v>63</v>
      </c>
      <c r="I4532" s="3" t="s">
        <v>63</v>
      </c>
      <c r="J4532" s="3" t="s">
        <v>63</v>
      </c>
      <c r="K4532" s="3" t="s">
        <v>64</v>
      </c>
      <c r="L4532" s="2" t="s">
        <v>39293</v>
      </c>
      <c r="M4532" s="2" t="s">
        <v>39294</v>
      </c>
      <c r="N4532" s="3" t="s">
        <v>480</v>
      </c>
      <c r="P4532" s="3" t="s">
        <v>66</v>
      </c>
      <c r="Q4532" s="2" t="s">
        <v>39295</v>
      </c>
      <c r="R4532" s="3" t="s">
        <v>67</v>
      </c>
      <c r="S4532" s="4">
        <v>11</v>
      </c>
      <c r="T4532" s="4">
        <v>11</v>
      </c>
      <c r="U4532" s="5" t="s">
        <v>12213</v>
      </c>
      <c r="V4532" s="5" t="s">
        <v>12213</v>
      </c>
      <c r="W4532" s="5" t="s">
        <v>69</v>
      </c>
      <c r="X4532" s="5" t="s">
        <v>69</v>
      </c>
      <c r="Y4532" s="4">
        <v>89</v>
      </c>
      <c r="Z4532" s="4">
        <v>9</v>
      </c>
      <c r="AA4532" s="4">
        <v>9</v>
      </c>
      <c r="AB4532" s="4">
        <v>1</v>
      </c>
      <c r="AC4532" s="4">
        <v>1</v>
      </c>
      <c r="AD4532" s="4">
        <v>45</v>
      </c>
      <c r="AE4532" s="4">
        <v>45</v>
      </c>
      <c r="AF4532" s="4">
        <v>0</v>
      </c>
      <c r="AG4532" s="4">
        <v>0</v>
      </c>
      <c r="AH4532" s="4">
        <v>44</v>
      </c>
      <c r="AI4532" s="4">
        <v>44</v>
      </c>
      <c r="AJ4532" s="4">
        <v>7</v>
      </c>
      <c r="AK4532" s="4">
        <v>7</v>
      </c>
      <c r="AL4532" s="4">
        <v>30</v>
      </c>
      <c r="AM4532" s="4">
        <v>30</v>
      </c>
      <c r="AN4532" s="4">
        <v>0</v>
      </c>
      <c r="AO4532" s="4">
        <v>0</v>
      </c>
      <c r="AP4532" s="4">
        <v>7</v>
      </c>
      <c r="AQ4532" s="4">
        <v>7</v>
      </c>
      <c r="AR4532" s="3" t="s">
        <v>63</v>
      </c>
      <c r="AS4532" s="3" t="s">
        <v>63</v>
      </c>
      <c r="AT4532" s="3" t="s">
        <v>63</v>
      </c>
      <c r="AV4532" s="6" t="str">
        <f>HYPERLINK("http://mcgill.on.worldcat.org/oclc/26013784","Catalog Record")</f>
        <v>Catalog Record</v>
      </c>
      <c r="AW4532" s="6" t="str">
        <f>HYPERLINK("http://www.worldcat.org/oclc/26013784","WorldCat Record")</f>
        <v>WorldCat Record</v>
      </c>
      <c r="AX4532" s="3" t="s">
        <v>39296</v>
      </c>
      <c r="AY4532" s="3" t="s">
        <v>39297</v>
      </c>
      <c r="AZ4532" s="3" t="s">
        <v>39298</v>
      </c>
      <c r="BA4532" s="3" t="s">
        <v>39298</v>
      </c>
      <c r="BB4532" s="3" t="s">
        <v>39299</v>
      </c>
      <c r="BC4532" s="3" t="s">
        <v>82</v>
      </c>
      <c r="BD4532" s="3" t="s">
        <v>70</v>
      </c>
      <c r="BE4532" s="3" t="s">
        <v>39300</v>
      </c>
      <c r="BF4532" s="3" t="s">
        <v>39299</v>
      </c>
      <c r="BG4532" s="3" t="s">
        <v>39301</v>
      </c>
    </row>
    <row r="4533" spans="1:59" ht="75" x14ac:dyDescent="0.25">
      <c r="A4533" s="2" t="s">
        <v>59</v>
      </c>
      <c r="B4533" s="2" t="s">
        <v>60</v>
      </c>
      <c r="C4533" s="2" t="s">
        <v>39302</v>
      </c>
      <c r="D4533" s="2" t="s">
        <v>39303</v>
      </c>
      <c r="E4533" s="2" t="s">
        <v>39304</v>
      </c>
      <c r="G4533" s="3" t="s">
        <v>63</v>
      </c>
      <c r="I4533" s="3" t="s">
        <v>63</v>
      </c>
      <c r="J4533" s="3" t="s">
        <v>63</v>
      </c>
      <c r="K4533" s="3" t="s">
        <v>64</v>
      </c>
      <c r="L4533" s="2" t="s">
        <v>39305</v>
      </c>
      <c r="M4533" s="2" t="s">
        <v>39306</v>
      </c>
      <c r="N4533" s="3" t="s">
        <v>1226</v>
      </c>
      <c r="P4533" s="3" t="s">
        <v>66</v>
      </c>
      <c r="R4533" s="3" t="s">
        <v>67</v>
      </c>
      <c r="S4533" s="4">
        <v>11</v>
      </c>
      <c r="T4533" s="4">
        <v>11</v>
      </c>
      <c r="U4533" s="5" t="s">
        <v>30226</v>
      </c>
      <c r="V4533" s="5" t="s">
        <v>30226</v>
      </c>
      <c r="W4533" s="5" t="s">
        <v>69</v>
      </c>
      <c r="X4533" s="5" t="s">
        <v>69</v>
      </c>
      <c r="Y4533" s="4">
        <v>344</v>
      </c>
      <c r="Z4533" s="4">
        <v>17</v>
      </c>
      <c r="AA4533" s="4">
        <v>17</v>
      </c>
      <c r="AB4533" s="4">
        <v>1</v>
      </c>
      <c r="AC4533" s="4">
        <v>1</v>
      </c>
      <c r="AD4533" s="4">
        <v>88</v>
      </c>
      <c r="AE4533" s="4">
        <v>89</v>
      </c>
      <c r="AF4533" s="4">
        <v>0</v>
      </c>
      <c r="AG4533" s="4">
        <v>0</v>
      </c>
      <c r="AH4533" s="4">
        <v>84</v>
      </c>
      <c r="AI4533" s="4">
        <v>84</v>
      </c>
      <c r="AJ4533" s="4">
        <v>9</v>
      </c>
      <c r="AK4533" s="4">
        <v>9</v>
      </c>
      <c r="AL4533" s="4">
        <v>48</v>
      </c>
      <c r="AM4533" s="4">
        <v>49</v>
      </c>
      <c r="AN4533" s="4">
        <v>0</v>
      </c>
      <c r="AO4533" s="4">
        <v>0</v>
      </c>
      <c r="AP4533" s="4">
        <v>9</v>
      </c>
      <c r="AQ4533" s="4">
        <v>9</v>
      </c>
      <c r="AR4533" s="3" t="s">
        <v>63</v>
      </c>
      <c r="AS4533" s="3" t="s">
        <v>63</v>
      </c>
      <c r="AT4533" s="3" t="s">
        <v>62</v>
      </c>
      <c r="AU4533" s="6" t="str">
        <f>HYPERLINK("http://catalog.hathitrust.org/Record/004292635","HathiTrust Record")</f>
        <v>HathiTrust Record</v>
      </c>
      <c r="AV4533" s="6" t="str">
        <f>HYPERLINK("http://mcgill.on.worldcat.org/oclc/50503257","Catalog Record")</f>
        <v>Catalog Record</v>
      </c>
      <c r="AW4533" s="6" t="str">
        <f>HYPERLINK("http://www.worldcat.org/oclc/50503257","WorldCat Record")</f>
        <v>WorldCat Record</v>
      </c>
      <c r="AX4533" s="3" t="s">
        <v>39307</v>
      </c>
      <c r="AY4533" s="3" t="s">
        <v>39308</v>
      </c>
      <c r="AZ4533" s="3" t="s">
        <v>39309</v>
      </c>
      <c r="BA4533" s="3" t="s">
        <v>39309</v>
      </c>
      <c r="BB4533" s="3" t="s">
        <v>39310</v>
      </c>
      <c r="BC4533" s="3" t="s">
        <v>82</v>
      </c>
      <c r="BD4533" s="3" t="s">
        <v>70</v>
      </c>
      <c r="BE4533" s="3" t="s">
        <v>39311</v>
      </c>
      <c r="BF4533" s="3" t="s">
        <v>39310</v>
      </c>
      <c r="BG4533" s="3" t="s">
        <v>39312</v>
      </c>
    </row>
    <row r="4534" spans="1:59" ht="60" x14ac:dyDescent="0.25">
      <c r="A4534" s="2" t="s">
        <v>59</v>
      </c>
      <c r="B4534" s="2" t="s">
        <v>60</v>
      </c>
      <c r="C4534" s="2" t="s">
        <v>39313</v>
      </c>
      <c r="D4534" s="2" t="s">
        <v>39314</v>
      </c>
      <c r="E4534" s="2" t="s">
        <v>39315</v>
      </c>
      <c r="G4534" s="3" t="s">
        <v>63</v>
      </c>
      <c r="I4534" s="3" t="s">
        <v>63</v>
      </c>
      <c r="J4534" s="3" t="s">
        <v>63</v>
      </c>
      <c r="K4534" s="3" t="s">
        <v>64</v>
      </c>
      <c r="L4534" s="2" t="s">
        <v>39316</v>
      </c>
      <c r="M4534" s="2" t="s">
        <v>39317</v>
      </c>
      <c r="N4534" s="3" t="s">
        <v>161</v>
      </c>
      <c r="P4534" s="3" t="s">
        <v>548</v>
      </c>
      <c r="R4534" s="3" t="s">
        <v>67</v>
      </c>
      <c r="S4534" s="4">
        <v>2</v>
      </c>
      <c r="T4534" s="4">
        <v>2</v>
      </c>
      <c r="U4534" s="5" t="s">
        <v>37955</v>
      </c>
      <c r="V4534" s="5" t="s">
        <v>37955</v>
      </c>
      <c r="W4534" s="5" t="s">
        <v>69</v>
      </c>
      <c r="X4534" s="5" t="s">
        <v>69</v>
      </c>
      <c r="Y4534" s="4">
        <v>40</v>
      </c>
      <c r="Z4534" s="4">
        <v>3</v>
      </c>
      <c r="AA4534" s="4">
        <v>5</v>
      </c>
      <c r="AB4534" s="4">
        <v>3</v>
      </c>
      <c r="AC4534" s="4">
        <v>3</v>
      </c>
      <c r="AD4534" s="4">
        <v>11</v>
      </c>
      <c r="AE4534" s="4">
        <v>18</v>
      </c>
      <c r="AF4534" s="4">
        <v>1</v>
      </c>
      <c r="AG4534" s="4">
        <v>1</v>
      </c>
      <c r="AH4534" s="4">
        <v>10</v>
      </c>
      <c r="AI4534" s="4">
        <v>16</v>
      </c>
      <c r="AJ4534" s="4">
        <v>1</v>
      </c>
      <c r="AK4534" s="4">
        <v>2</v>
      </c>
      <c r="AL4534" s="4">
        <v>8</v>
      </c>
      <c r="AM4534" s="4">
        <v>14</v>
      </c>
      <c r="AN4534" s="4">
        <v>0</v>
      </c>
      <c r="AO4534" s="4">
        <v>0</v>
      </c>
      <c r="AP4534" s="4">
        <v>0</v>
      </c>
      <c r="AQ4534" s="4">
        <v>1</v>
      </c>
      <c r="AR4534" s="3" t="s">
        <v>63</v>
      </c>
      <c r="AS4534" s="3" t="s">
        <v>63</v>
      </c>
      <c r="AT4534" s="3" t="s">
        <v>63</v>
      </c>
      <c r="AV4534" s="6" t="str">
        <f>HYPERLINK("http://mcgill.on.worldcat.org/oclc/21554407","Catalog Record")</f>
        <v>Catalog Record</v>
      </c>
      <c r="AW4534" s="6" t="str">
        <f>HYPERLINK("http://www.worldcat.org/oclc/21554407","WorldCat Record")</f>
        <v>WorldCat Record</v>
      </c>
      <c r="AX4534" s="3" t="s">
        <v>39318</v>
      </c>
      <c r="AY4534" s="3" t="s">
        <v>39319</v>
      </c>
      <c r="AZ4534" s="3" t="s">
        <v>39320</v>
      </c>
      <c r="BA4534" s="3" t="s">
        <v>39320</v>
      </c>
      <c r="BB4534" s="3" t="s">
        <v>39321</v>
      </c>
      <c r="BC4534" s="3" t="s">
        <v>82</v>
      </c>
      <c r="BD4534" s="3" t="s">
        <v>70</v>
      </c>
      <c r="BE4534" s="3" t="s">
        <v>39322</v>
      </c>
      <c r="BF4534" s="3" t="s">
        <v>39321</v>
      </c>
      <c r="BG4534" s="3" t="s">
        <v>39323</v>
      </c>
    </row>
    <row r="4535" spans="1:59" ht="75" x14ac:dyDescent="0.25">
      <c r="A4535" s="2" t="s">
        <v>59</v>
      </c>
      <c r="B4535" s="2" t="s">
        <v>60</v>
      </c>
      <c r="C4535" s="2" t="s">
        <v>39324</v>
      </c>
      <c r="D4535" s="2" t="s">
        <v>39325</v>
      </c>
      <c r="E4535" s="2" t="s">
        <v>39326</v>
      </c>
      <c r="G4535" s="3" t="s">
        <v>63</v>
      </c>
      <c r="I4535" s="3" t="s">
        <v>63</v>
      </c>
      <c r="J4535" s="3" t="s">
        <v>63</v>
      </c>
      <c r="K4535" s="3" t="s">
        <v>64</v>
      </c>
      <c r="M4535" s="2" t="s">
        <v>39327</v>
      </c>
      <c r="N4535" s="3" t="s">
        <v>326</v>
      </c>
      <c r="P4535" s="3" t="s">
        <v>66</v>
      </c>
      <c r="Q4535" s="2" t="s">
        <v>39328</v>
      </c>
      <c r="R4535" s="3" t="s">
        <v>67</v>
      </c>
      <c r="S4535" s="4">
        <v>3</v>
      </c>
      <c r="T4535" s="4">
        <v>3</v>
      </c>
      <c r="U4535" s="5" t="s">
        <v>39250</v>
      </c>
      <c r="V4535" s="5" t="s">
        <v>39250</v>
      </c>
      <c r="W4535" s="5" t="s">
        <v>69</v>
      </c>
      <c r="X4535" s="5" t="s">
        <v>69</v>
      </c>
      <c r="Y4535" s="4">
        <v>69</v>
      </c>
      <c r="Z4535" s="4">
        <v>8</v>
      </c>
      <c r="AA4535" s="4">
        <v>90</v>
      </c>
      <c r="AB4535" s="4">
        <v>1</v>
      </c>
      <c r="AC4535" s="4">
        <v>17</v>
      </c>
      <c r="AD4535" s="4">
        <v>40</v>
      </c>
      <c r="AE4535" s="4">
        <v>100</v>
      </c>
      <c r="AF4535" s="4">
        <v>0</v>
      </c>
      <c r="AG4535" s="4">
        <v>8</v>
      </c>
      <c r="AH4535" s="4">
        <v>38</v>
      </c>
      <c r="AI4535" s="4">
        <v>68</v>
      </c>
      <c r="AJ4535" s="4">
        <v>6</v>
      </c>
      <c r="AK4535" s="4">
        <v>19</v>
      </c>
      <c r="AL4535" s="4">
        <v>31</v>
      </c>
      <c r="AM4535" s="4">
        <v>39</v>
      </c>
      <c r="AN4535" s="4">
        <v>0</v>
      </c>
      <c r="AO4535" s="4">
        <v>0</v>
      </c>
      <c r="AP4535" s="4">
        <v>6</v>
      </c>
      <c r="AQ4535" s="4">
        <v>40</v>
      </c>
      <c r="AR4535" s="3" t="s">
        <v>63</v>
      </c>
      <c r="AS4535" s="3" t="s">
        <v>63</v>
      </c>
      <c r="AT4535" s="3" t="s">
        <v>63</v>
      </c>
      <c r="AV4535" s="6" t="str">
        <f>HYPERLINK("http://mcgill.on.worldcat.org/oclc/455846066","Catalog Record")</f>
        <v>Catalog Record</v>
      </c>
      <c r="AW4535" s="6" t="str">
        <f>HYPERLINK("http://www.worldcat.org/oclc/455846066","WorldCat Record")</f>
        <v>WorldCat Record</v>
      </c>
      <c r="AX4535" s="3" t="s">
        <v>39329</v>
      </c>
      <c r="AY4535" s="3" t="s">
        <v>39330</v>
      </c>
      <c r="AZ4535" s="3" t="s">
        <v>39331</v>
      </c>
      <c r="BA4535" s="3" t="s">
        <v>39331</v>
      </c>
      <c r="BB4535" s="3" t="s">
        <v>39332</v>
      </c>
      <c r="BC4535" s="3" t="s">
        <v>82</v>
      </c>
      <c r="BD4535" s="3" t="s">
        <v>70</v>
      </c>
      <c r="BE4535" s="3" t="s">
        <v>39333</v>
      </c>
      <c r="BF4535" s="3" t="s">
        <v>39332</v>
      </c>
      <c r="BG4535" s="3" t="s">
        <v>39334</v>
      </c>
    </row>
    <row r="4536" spans="1:59" ht="60" x14ac:dyDescent="0.25">
      <c r="A4536" s="2" t="s">
        <v>59</v>
      </c>
      <c r="B4536" s="2" t="s">
        <v>60</v>
      </c>
      <c r="C4536" s="2" t="s">
        <v>39335</v>
      </c>
      <c r="D4536" s="2" t="s">
        <v>39336</v>
      </c>
      <c r="E4536" s="2" t="s">
        <v>39337</v>
      </c>
      <c r="G4536" s="3" t="s">
        <v>63</v>
      </c>
      <c r="I4536" s="3" t="s">
        <v>63</v>
      </c>
      <c r="J4536" s="3" t="s">
        <v>63</v>
      </c>
      <c r="K4536" s="3" t="s">
        <v>64</v>
      </c>
      <c r="L4536" s="2" t="s">
        <v>39338</v>
      </c>
      <c r="M4536" s="2" t="s">
        <v>39339</v>
      </c>
      <c r="N4536" s="3" t="s">
        <v>220</v>
      </c>
      <c r="P4536" s="3" t="s">
        <v>66</v>
      </c>
      <c r="Q4536" s="2" t="s">
        <v>39340</v>
      </c>
      <c r="R4536" s="3" t="s">
        <v>67</v>
      </c>
      <c r="S4536" s="4">
        <v>9</v>
      </c>
      <c r="T4536" s="4">
        <v>9</v>
      </c>
      <c r="U4536" s="5" t="s">
        <v>20705</v>
      </c>
      <c r="V4536" s="5" t="s">
        <v>20705</v>
      </c>
      <c r="W4536" s="5" t="s">
        <v>69</v>
      </c>
      <c r="X4536" s="5" t="s">
        <v>69</v>
      </c>
      <c r="Y4536" s="4">
        <v>59</v>
      </c>
      <c r="Z4536" s="4">
        <v>4</v>
      </c>
      <c r="AA4536" s="4">
        <v>4</v>
      </c>
      <c r="AB4536" s="4">
        <v>1</v>
      </c>
      <c r="AC4536" s="4">
        <v>1</v>
      </c>
      <c r="AD4536" s="4">
        <v>29</v>
      </c>
      <c r="AE4536" s="4">
        <v>29</v>
      </c>
      <c r="AF4536" s="4">
        <v>0</v>
      </c>
      <c r="AG4536" s="4">
        <v>0</v>
      </c>
      <c r="AH4536" s="4">
        <v>28</v>
      </c>
      <c r="AI4536" s="4">
        <v>28</v>
      </c>
      <c r="AJ4536" s="4">
        <v>2</v>
      </c>
      <c r="AK4536" s="4">
        <v>2</v>
      </c>
      <c r="AL4536" s="4">
        <v>23</v>
      </c>
      <c r="AM4536" s="4">
        <v>23</v>
      </c>
      <c r="AN4536" s="4">
        <v>0</v>
      </c>
      <c r="AO4536" s="4">
        <v>0</v>
      </c>
      <c r="AP4536" s="4">
        <v>2</v>
      </c>
      <c r="AQ4536" s="4">
        <v>2</v>
      </c>
      <c r="AR4536" s="3" t="s">
        <v>63</v>
      </c>
      <c r="AS4536" s="3" t="s">
        <v>63</v>
      </c>
      <c r="AT4536" s="3" t="s">
        <v>62</v>
      </c>
      <c r="AU4536" s="6" t="str">
        <f>HYPERLINK("http://catalog.hathitrust.org/Record/003186067","HathiTrust Record")</f>
        <v>HathiTrust Record</v>
      </c>
      <c r="AV4536" s="6" t="str">
        <f>HYPERLINK("http://mcgill.on.worldcat.org/oclc/30687481","Catalog Record")</f>
        <v>Catalog Record</v>
      </c>
      <c r="AW4536" s="6" t="str">
        <f>HYPERLINK("http://www.worldcat.org/oclc/30687481","WorldCat Record")</f>
        <v>WorldCat Record</v>
      </c>
      <c r="AX4536" s="3" t="s">
        <v>39341</v>
      </c>
      <c r="AY4536" s="3" t="s">
        <v>39342</v>
      </c>
      <c r="AZ4536" s="3" t="s">
        <v>39343</v>
      </c>
      <c r="BA4536" s="3" t="s">
        <v>39343</v>
      </c>
      <c r="BB4536" s="3" t="s">
        <v>39344</v>
      </c>
      <c r="BC4536" s="3" t="s">
        <v>524</v>
      </c>
      <c r="BD4536" s="3" t="s">
        <v>70</v>
      </c>
      <c r="BE4536" s="3" t="s">
        <v>39345</v>
      </c>
      <c r="BF4536" s="3" t="s">
        <v>39344</v>
      </c>
      <c r="BG4536" s="3" t="s">
        <v>39346</v>
      </c>
    </row>
    <row r="4537" spans="1:59" ht="60" x14ac:dyDescent="0.25">
      <c r="A4537" s="2" t="s">
        <v>59</v>
      </c>
      <c r="B4537" s="2" t="s">
        <v>60</v>
      </c>
      <c r="C4537" s="2" t="s">
        <v>39347</v>
      </c>
      <c r="D4537" s="2" t="s">
        <v>39348</v>
      </c>
      <c r="E4537" s="2" t="s">
        <v>39349</v>
      </c>
      <c r="G4537" s="3" t="s">
        <v>63</v>
      </c>
      <c r="I4537" s="3" t="s">
        <v>63</v>
      </c>
      <c r="J4537" s="3" t="s">
        <v>63</v>
      </c>
      <c r="K4537" s="3" t="s">
        <v>64</v>
      </c>
      <c r="L4537" s="2" t="s">
        <v>39350</v>
      </c>
      <c r="M4537" s="2" t="s">
        <v>28126</v>
      </c>
      <c r="N4537" s="3" t="s">
        <v>213</v>
      </c>
      <c r="P4537" s="3" t="s">
        <v>90</v>
      </c>
      <c r="R4537" s="3" t="s">
        <v>67</v>
      </c>
      <c r="S4537" s="4">
        <v>3</v>
      </c>
      <c r="T4537" s="4">
        <v>3</v>
      </c>
      <c r="U4537" s="5" t="s">
        <v>24680</v>
      </c>
      <c r="V4537" s="5" t="s">
        <v>24680</v>
      </c>
      <c r="W4537" s="5" t="s">
        <v>69</v>
      </c>
      <c r="X4537" s="5" t="s">
        <v>69</v>
      </c>
      <c r="Y4537" s="4">
        <v>26</v>
      </c>
      <c r="Z4537" s="4">
        <v>3</v>
      </c>
      <c r="AA4537" s="4">
        <v>3</v>
      </c>
      <c r="AB4537" s="4">
        <v>1</v>
      </c>
      <c r="AC4537" s="4">
        <v>1</v>
      </c>
      <c r="AD4537" s="4">
        <v>17</v>
      </c>
      <c r="AE4537" s="4">
        <v>17</v>
      </c>
      <c r="AF4537" s="4">
        <v>0</v>
      </c>
      <c r="AG4537" s="4">
        <v>0</v>
      </c>
      <c r="AH4537" s="4">
        <v>15</v>
      </c>
      <c r="AI4537" s="4">
        <v>15</v>
      </c>
      <c r="AJ4537" s="4">
        <v>1</v>
      </c>
      <c r="AK4537" s="4">
        <v>1</v>
      </c>
      <c r="AL4537" s="4">
        <v>12</v>
      </c>
      <c r="AM4537" s="4">
        <v>12</v>
      </c>
      <c r="AN4537" s="4">
        <v>0</v>
      </c>
      <c r="AO4537" s="4">
        <v>0</v>
      </c>
      <c r="AP4537" s="4">
        <v>1</v>
      </c>
      <c r="AQ4537" s="4">
        <v>1</v>
      </c>
      <c r="AR4537" s="3" t="s">
        <v>63</v>
      </c>
      <c r="AS4537" s="3" t="s">
        <v>63</v>
      </c>
      <c r="AT4537" s="3" t="s">
        <v>63</v>
      </c>
      <c r="AV4537" s="6" t="str">
        <f>HYPERLINK("http://mcgill.on.worldcat.org/oclc/7305336","Catalog Record")</f>
        <v>Catalog Record</v>
      </c>
      <c r="AW4537" s="6" t="str">
        <f>HYPERLINK("http://www.worldcat.org/oclc/7305336","WorldCat Record")</f>
        <v>WorldCat Record</v>
      </c>
      <c r="AX4537" s="3" t="s">
        <v>39351</v>
      </c>
      <c r="AY4537" s="3" t="s">
        <v>39352</v>
      </c>
      <c r="AZ4537" s="3" t="s">
        <v>39353</v>
      </c>
      <c r="BA4537" s="3" t="s">
        <v>39353</v>
      </c>
      <c r="BB4537" s="3" t="s">
        <v>39354</v>
      </c>
      <c r="BC4537" s="3" t="s">
        <v>82</v>
      </c>
      <c r="BD4537" s="3" t="s">
        <v>70</v>
      </c>
      <c r="BF4537" s="3" t="s">
        <v>39354</v>
      </c>
      <c r="BG4537" s="3" t="s">
        <v>39355</v>
      </c>
    </row>
    <row r="4538" spans="1:59" ht="60" x14ac:dyDescent="0.25">
      <c r="A4538" s="2" t="s">
        <v>59</v>
      </c>
      <c r="B4538" s="2" t="s">
        <v>60</v>
      </c>
      <c r="C4538" s="2" t="s">
        <v>39356</v>
      </c>
      <c r="D4538" s="2" t="s">
        <v>39357</v>
      </c>
      <c r="E4538" s="2" t="s">
        <v>39358</v>
      </c>
      <c r="G4538" s="3" t="s">
        <v>63</v>
      </c>
      <c r="I4538" s="3" t="s">
        <v>63</v>
      </c>
      <c r="J4538" s="3" t="s">
        <v>62</v>
      </c>
      <c r="K4538" s="3" t="s">
        <v>215</v>
      </c>
      <c r="L4538" s="2" t="s">
        <v>39350</v>
      </c>
      <c r="M4538" s="2" t="s">
        <v>39359</v>
      </c>
      <c r="N4538" s="3" t="s">
        <v>154</v>
      </c>
      <c r="P4538" s="3" t="s">
        <v>66</v>
      </c>
      <c r="Q4538" s="2" t="s">
        <v>39360</v>
      </c>
      <c r="R4538" s="3" t="s">
        <v>67</v>
      </c>
      <c r="S4538" s="4">
        <v>11</v>
      </c>
      <c r="T4538" s="4">
        <v>11</v>
      </c>
      <c r="U4538" s="5" t="s">
        <v>14064</v>
      </c>
      <c r="V4538" s="5" t="s">
        <v>14064</v>
      </c>
      <c r="W4538" s="5" t="s">
        <v>69</v>
      </c>
      <c r="X4538" s="5" t="s">
        <v>69</v>
      </c>
      <c r="Y4538" s="4">
        <v>1</v>
      </c>
      <c r="Z4538" s="4">
        <v>1</v>
      </c>
      <c r="AA4538" s="4">
        <v>103</v>
      </c>
      <c r="AB4538" s="4">
        <v>1</v>
      </c>
      <c r="AC4538" s="4">
        <v>16</v>
      </c>
      <c r="AD4538" s="4">
        <v>0</v>
      </c>
      <c r="AE4538" s="4">
        <v>152</v>
      </c>
      <c r="AF4538" s="4">
        <v>0</v>
      </c>
      <c r="AG4538" s="4">
        <v>7</v>
      </c>
      <c r="AH4538" s="4">
        <v>0</v>
      </c>
      <c r="AI4538" s="4">
        <v>114</v>
      </c>
      <c r="AJ4538" s="4">
        <v>0</v>
      </c>
      <c r="AK4538" s="4">
        <v>26</v>
      </c>
      <c r="AL4538" s="4">
        <v>0</v>
      </c>
      <c r="AM4538" s="4">
        <v>62</v>
      </c>
      <c r="AN4538" s="4">
        <v>0</v>
      </c>
      <c r="AO4538" s="4">
        <v>22</v>
      </c>
      <c r="AP4538" s="4">
        <v>0</v>
      </c>
      <c r="AQ4538" s="4">
        <v>44</v>
      </c>
      <c r="AR4538" s="3" t="s">
        <v>63</v>
      </c>
      <c r="AS4538" s="3" t="s">
        <v>63</v>
      </c>
      <c r="AT4538" s="3" t="s">
        <v>63</v>
      </c>
      <c r="AV4538" s="6" t="str">
        <f>HYPERLINK("http://mcgill.on.worldcat.org/oclc/427227146","Catalog Record")</f>
        <v>Catalog Record</v>
      </c>
      <c r="AW4538" s="6" t="str">
        <f>HYPERLINK("http://www.worldcat.org/oclc/427227146","WorldCat Record")</f>
        <v>WorldCat Record</v>
      </c>
      <c r="AX4538" s="3" t="s">
        <v>39361</v>
      </c>
      <c r="AY4538" s="3" t="s">
        <v>39362</v>
      </c>
      <c r="AZ4538" s="3" t="s">
        <v>39363</v>
      </c>
      <c r="BA4538" s="3" t="s">
        <v>39363</v>
      </c>
      <c r="BB4538" s="3" t="s">
        <v>39364</v>
      </c>
      <c r="BC4538" s="3" t="s">
        <v>82</v>
      </c>
      <c r="BD4538" s="3" t="s">
        <v>70</v>
      </c>
      <c r="BF4538" s="3" t="s">
        <v>39364</v>
      </c>
      <c r="BG4538" s="3" t="s">
        <v>39365</v>
      </c>
    </row>
    <row r="4539" spans="1:59" ht="60" x14ac:dyDescent="0.25">
      <c r="A4539" s="2" t="s">
        <v>59</v>
      </c>
      <c r="B4539" s="2" t="s">
        <v>60</v>
      </c>
      <c r="C4539" s="2" t="s">
        <v>39366</v>
      </c>
      <c r="D4539" s="2" t="s">
        <v>39367</v>
      </c>
      <c r="E4539" s="2" t="s">
        <v>39368</v>
      </c>
      <c r="G4539" s="3" t="s">
        <v>63</v>
      </c>
      <c r="I4539" s="3" t="s">
        <v>63</v>
      </c>
      <c r="J4539" s="3" t="s">
        <v>62</v>
      </c>
      <c r="K4539" s="3" t="s">
        <v>215</v>
      </c>
      <c r="L4539" s="2" t="s">
        <v>39350</v>
      </c>
      <c r="M4539" s="2" t="s">
        <v>39369</v>
      </c>
      <c r="N4539" s="3" t="s">
        <v>17641</v>
      </c>
      <c r="P4539" s="3" t="s">
        <v>66</v>
      </c>
      <c r="R4539" s="3" t="s">
        <v>67</v>
      </c>
      <c r="S4539" s="4">
        <v>6</v>
      </c>
      <c r="T4539" s="4">
        <v>6</v>
      </c>
      <c r="U4539" s="5" t="s">
        <v>39370</v>
      </c>
      <c r="V4539" s="5" t="s">
        <v>39370</v>
      </c>
      <c r="W4539" s="5" t="s">
        <v>69</v>
      </c>
      <c r="X4539" s="5" t="s">
        <v>69</v>
      </c>
      <c r="Y4539" s="4">
        <v>21</v>
      </c>
      <c r="Z4539" s="4">
        <v>3</v>
      </c>
      <c r="AA4539" s="4">
        <v>103</v>
      </c>
      <c r="AB4539" s="4">
        <v>1</v>
      </c>
      <c r="AC4539" s="4">
        <v>16</v>
      </c>
      <c r="AD4539" s="4">
        <v>11</v>
      </c>
      <c r="AE4539" s="4">
        <v>152</v>
      </c>
      <c r="AF4539" s="4">
        <v>0</v>
      </c>
      <c r="AG4539" s="4">
        <v>7</v>
      </c>
      <c r="AH4539" s="4">
        <v>10</v>
      </c>
      <c r="AI4539" s="4">
        <v>114</v>
      </c>
      <c r="AJ4539" s="4">
        <v>2</v>
      </c>
      <c r="AK4539" s="4">
        <v>26</v>
      </c>
      <c r="AL4539" s="4">
        <v>6</v>
      </c>
      <c r="AM4539" s="4">
        <v>62</v>
      </c>
      <c r="AN4539" s="4">
        <v>0</v>
      </c>
      <c r="AO4539" s="4">
        <v>22</v>
      </c>
      <c r="AP4539" s="4">
        <v>2</v>
      </c>
      <c r="AQ4539" s="4">
        <v>44</v>
      </c>
      <c r="AR4539" s="3" t="s">
        <v>63</v>
      </c>
      <c r="AS4539" s="3" t="s">
        <v>63</v>
      </c>
      <c r="AT4539" s="3" t="s">
        <v>63</v>
      </c>
      <c r="AU4539" s="6" t="str">
        <f>HYPERLINK("http://catalog.hathitrust.org/Record/008957902","HathiTrust Record")</f>
        <v>HathiTrust Record</v>
      </c>
      <c r="AV4539" s="6" t="str">
        <f>HYPERLINK("http://mcgill.on.worldcat.org/oclc/1078358","Catalog Record")</f>
        <v>Catalog Record</v>
      </c>
      <c r="AW4539" s="6" t="str">
        <f>HYPERLINK("http://www.worldcat.org/oclc/1078358","WorldCat Record")</f>
        <v>WorldCat Record</v>
      </c>
      <c r="AX4539" s="3" t="s">
        <v>39361</v>
      </c>
      <c r="AY4539" s="3" t="s">
        <v>39371</v>
      </c>
      <c r="AZ4539" s="3" t="s">
        <v>39372</v>
      </c>
      <c r="BA4539" s="3" t="s">
        <v>39372</v>
      </c>
      <c r="BB4539" s="3" t="s">
        <v>39373</v>
      </c>
      <c r="BC4539" s="3" t="s">
        <v>82</v>
      </c>
      <c r="BD4539" s="3" t="s">
        <v>70</v>
      </c>
      <c r="BF4539" s="3" t="s">
        <v>39373</v>
      </c>
      <c r="BG4539" s="3" t="s">
        <v>39374</v>
      </c>
    </row>
    <row r="4540" spans="1:59" ht="60" x14ac:dyDescent="0.25">
      <c r="A4540" s="2" t="s">
        <v>59</v>
      </c>
      <c r="B4540" s="2" t="s">
        <v>60</v>
      </c>
      <c r="C4540" s="2" t="s">
        <v>39375</v>
      </c>
      <c r="D4540" s="2" t="s">
        <v>39376</v>
      </c>
      <c r="E4540" s="2" t="s">
        <v>39377</v>
      </c>
      <c r="G4540" s="3" t="s">
        <v>63</v>
      </c>
      <c r="I4540" s="3" t="s">
        <v>62</v>
      </c>
      <c r="J4540" s="3" t="s">
        <v>63</v>
      </c>
      <c r="K4540" s="3" t="s">
        <v>64</v>
      </c>
      <c r="L4540" s="2" t="s">
        <v>38239</v>
      </c>
      <c r="M4540" s="2" t="s">
        <v>39378</v>
      </c>
      <c r="N4540" s="3" t="s">
        <v>939</v>
      </c>
      <c r="P4540" s="3" t="s">
        <v>66</v>
      </c>
      <c r="Q4540" s="2" t="s">
        <v>39379</v>
      </c>
      <c r="R4540" s="3" t="s">
        <v>67</v>
      </c>
      <c r="S4540" s="4">
        <v>2</v>
      </c>
      <c r="T4540" s="4">
        <v>2</v>
      </c>
      <c r="U4540" s="5" t="s">
        <v>26787</v>
      </c>
      <c r="V4540" s="5" t="s">
        <v>26787</v>
      </c>
      <c r="W4540" s="5" t="s">
        <v>69</v>
      </c>
      <c r="X4540" s="5" t="s">
        <v>69</v>
      </c>
      <c r="Y4540" s="4">
        <v>719</v>
      </c>
      <c r="Z4540" s="4">
        <v>29</v>
      </c>
      <c r="AA4540" s="4">
        <v>30</v>
      </c>
      <c r="AB4540" s="4">
        <v>3</v>
      </c>
      <c r="AC4540" s="4">
        <v>3</v>
      </c>
      <c r="AD4540" s="4">
        <v>117</v>
      </c>
      <c r="AE4540" s="4">
        <v>120</v>
      </c>
      <c r="AF4540" s="4">
        <v>1</v>
      </c>
      <c r="AG4540" s="4">
        <v>1</v>
      </c>
      <c r="AH4540" s="4">
        <v>99</v>
      </c>
      <c r="AI4540" s="4">
        <v>101</v>
      </c>
      <c r="AJ4540" s="4">
        <v>14</v>
      </c>
      <c r="AK4540" s="4">
        <v>14</v>
      </c>
      <c r="AL4540" s="4">
        <v>54</v>
      </c>
      <c r="AM4540" s="4">
        <v>56</v>
      </c>
      <c r="AN4540" s="4">
        <v>0</v>
      </c>
      <c r="AO4540" s="4">
        <v>3</v>
      </c>
      <c r="AP4540" s="4">
        <v>22</v>
      </c>
      <c r="AQ4540" s="4">
        <v>23</v>
      </c>
      <c r="AR4540" s="3" t="s">
        <v>63</v>
      </c>
      <c r="AS4540" s="3" t="s">
        <v>63</v>
      </c>
      <c r="AT4540" s="3" t="s">
        <v>62</v>
      </c>
      <c r="AU4540" s="6" t="str">
        <f>HYPERLINK("http://catalog.hathitrust.org/Record/001244485","HathiTrust Record")</f>
        <v>HathiTrust Record</v>
      </c>
      <c r="AV4540" s="6" t="str">
        <f>HYPERLINK("http://mcgill.on.worldcat.org/oclc/330023","Catalog Record")</f>
        <v>Catalog Record</v>
      </c>
      <c r="AW4540" s="6" t="str">
        <f>HYPERLINK("http://www.worldcat.org/oclc/330023","WorldCat Record")</f>
        <v>WorldCat Record</v>
      </c>
      <c r="AX4540" s="3" t="s">
        <v>39380</v>
      </c>
      <c r="AY4540" s="3" t="s">
        <v>39381</v>
      </c>
      <c r="AZ4540" s="3" t="s">
        <v>39382</v>
      </c>
      <c r="BA4540" s="3" t="s">
        <v>39382</v>
      </c>
      <c r="BB4540" s="3" t="s">
        <v>39383</v>
      </c>
      <c r="BC4540" s="3" t="s">
        <v>82</v>
      </c>
      <c r="BD4540" s="3" t="s">
        <v>70</v>
      </c>
      <c r="BF4540" s="3" t="s">
        <v>39383</v>
      </c>
      <c r="BG4540" s="3" t="s">
        <v>39384</v>
      </c>
    </row>
    <row r="4541" spans="1:59" ht="60" x14ac:dyDescent="0.25">
      <c r="A4541" s="2" t="s">
        <v>59</v>
      </c>
      <c r="B4541" s="2" t="s">
        <v>60</v>
      </c>
      <c r="C4541" s="2" t="s">
        <v>39385</v>
      </c>
      <c r="D4541" s="2" t="s">
        <v>39386</v>
      </c>
      <c r="E4541" s="2" t="s">
        <v>39387</v>
      </c>
      <c r="G4541" s="3" t="s">
        <v>63</v>
      </c>
      <c r="I4541" s="3" t="s">
        <v>63</v>
      </c>
      <c r="J4541" s="3" t="s">
        <v>63</v>
      </c>
      <c r="K4541" s="3" t="s">
        <v>64</v>
      </c>
      <c r="L4541" s="2" t="s">
        <v>39388</v>
      </c>
      <c r="M4541" s="2" t="s">
        <v>39389</v>
      </c>
      <c r="N4541" s="3" t="s">
        <v>143</v>
      </c>
      <c r="P4541" s="3" t="s">
        <v>66</v>
      </c>
      <c r="R4541" s="3" t="s">
        <v>67</v>
      </c>
      <c r="S4541" s="4">
        <v>0</v>
      </c>
      <c r="T4541" s="4">
        <v>0</v>
      </c>
      <c r="W4541" s="5" t="s">
        <v>69</v>
      </c>
      <c r="X4541" s="5" t="s">
        <v>69</v>
      </c>
      <c r="Y4541" s="4">
        <v>84</v>
      </c>
      <c r="Z4541" s="4">
        <v>10</v>
      </c>
      <c r="AA4541" s="4">
        <v>17</v>
      </c>
      <c r="AB4541" s="4">
        <v>1</v>
      </c>
      <c r="AC4541" s="4">
        <v>6</v>
      </c>
      <c r="AD4541" s="4">
        <v>53</v>
      </c>
      <c r="AE4541" s="4">
        <v>62</v>
      </c>
      <c r="AF4541" s="4">
        <v>0</v>
      </c>
      <c r="AG4541" s="4">
        <v>2</v>
      </c>
      <c r="AH4541" s="4">
        <v>51</v>
      </c>
      <c r="AI4541" s="4">
        <v>56</v>
      </c>
      <c r="AJ4541" s="4">
        <v>8</v>
      </c>
      <c r="AK4541" s="4">
        <v>11</v>
      </c>
      <c r="AL4541" s="4">
        <v>35</v>
      </c>
      <c r="AM4541" s="4">
        <v>38</v>
      </c>
      <c r="AN4541" s="4">
        <v>0</v>
      </c>
      <c r="AO4541" s="4">
        <v>0</v>
      </c>
      <c r="AP4541" s="4">
        <v>8</v>
      </c>
      <c r="AQ4541" s="4">
        <v>12</v>
      </c>
      <c r="AR4541" s="3" t="s">
        <v>63</v>
      </c>
      <c r="AS4541" s="3" t="s">
        <v>63</v>
      </c>
      <c r="AT4541" s="3" t="s">
        <v>63</v>
      </c>
      <c r="AV4541" s="6" t="str">
        <f>HYPERLINK("http://mcgill.on.worldcat.org/oclc/843858236","Catalog Record")</f>
        <v>Catalog Record</v>
      </c>
      <c r="AW4541" s="6" t="str">
        <f>HYPERLINK("http://www.worldcat.org/oclc/843858236","WorldCat Record")</f>
        <v>WorldCat Record</v>
      </c>
      <c r="AX4541" s="3" t="s">
        <v>39390</v>
      </c>
      <c r="AY4541" s="3" t="s">
        <v>39391</v>
      </c>
      <c r="AZ4541" s="3" t="s">
        <v>39392</v>
      </c>
      <c r="BA4541" s="3" t="s">
        <v>39392</v>
      </c>
      <c r="BB4541" s="3" t="s">
        <v>39393</v>
      </c>
      <c r="BC4541" s="3" t="s">
        <v>82</v>
      </c>
      <c r="BD4541" s="3" t="s">
        <v>70</v>
      </c>
      <c r="BE4541" s="3" t="s">
        <v>39394</v>
      </c>
      <c r="BF4541" s="3" t="s">
        <v>39393</v>
      </c>
      <c r="BG4541" s="3" t="s">
        <v>39395</v>
      </c>
    </row>
    <row r="4542" spans="1:59" ht="75" x14ac:dyDescent="0.25">
      <c r="A4542" s="2" t="s">
        <v>59</v>
      </c>
      <c r="B4542" s="2" t="s">
        <v>60</v>
      </c>
      <c r="C4542" s="2" t="s">
        <v>39396</v>
      </c>
      <c r="D4542" s="2" t="s">
        <v>39397</v>
      </c>
      <c r="E4542" s="2" t="s">
        <v>39398</v>
      </c>
      <c r="G4542" s="3" t="s">
        <v>63</v>
      </c>
      <c r="I4542" s="3" t="s">
        <v>63</v>
      </c>
      <c r="J4542" s="3" t="s">
        <v>63</v>
      </c>
      <c r="K4542" s="3" t="s">
        <v>64</v>
      </c>
      <c r="L4542" s="2" t="s">
        <v>39399</v>
      </c>
      <c r="M4542" s="2" t="s">
        <v>39400</v>
      </c>
      <c r="N4542" s="3" t="s">
        <v>65</v>
      </c>
      <c r="P4542" s="3" t="s">
        <v>66</v>
      </c>
      <c r="Q4542" s="2" t="s">
        <v>39401</v>
      </c>
      <c r="R4542" s="3" t="s">
        <v>67</v>
      </c>
      <c r="S4542" s="4">
        <v>3</v>
      </c>
      <c r="T4542" s="4">
        <v>3</v>
      </c>
      <c r="U4542" s="5" t="s">
        <v>14003</v>
      </c>
      <c r="V4542" s="5" t="s">
        <v>14003</v>
      </c>
      <c r="W4542" s="5" t="s">
        <v>69</v>
      </c>
      <c r="X4542" s="5" t="s">
        <v>69</v>
      </c>
      <c r="Y4542" s="4">
        <v>218</v>
      </c>
      <c r="Z4542" s="4">
        <v>18</v>
      </c>
      <c r="AA4542" s="4">
        <v>19</v>
      </c>
      <c r="AB4542" s="4">
        <v>1</v>
      </c>
      <c r="AC4542" s="4">
        <v>2</v>
      </c>
      <c r="AD4542" s="4">
        <v>84</v>
      </c>
      <c r="AE4542" s="4">
        <v>85</v>
      </c>
      <c r="AF4542" s="4">
        <v>0</v>
      </c>
      <c r="AG4542" s="4">
        <v>1</v>
      </c>
      <c r="AH4542" s="4">
        <v>75</v>
      </c>
      <c r="AI4542" s="4">
        <v>76</v>
      </c>
      <c r="AJ4542" s="4">
        <v>13</v>
      </c>
      <c r="AK4542" s="4">
        <v>14</v>
      </c>
      <c r="AL4542" s="4">
        <v>46</v>
      </c>
      <c r="AM4542" s="4">
        <v>46</v>
      </c>
      <c r="AN4542" s="4">
        <v>0</v>
      </c>
      <c r="AO4542" s="4">
        <v>0</v>
      </c>
      <c r="AP4542" s="4">
        <v>13</v>
      </c>
      <c r="AQ4542" s="4">
        <v>14</v>
      </c>
      <c r="AR4542" s="3" t="s">
        <v>63</v>
      </c>
      <c r="AS4542" s="3" t="s">
        <v>63</v>
      </c>
      <c r="AT4542" s="3" t="s">
        <v>62</v>
      </c>
      <c r="AU4542" s="6" t="str">
        <f>HYPERLINK("http://catalog.hathitrust.org/Record/000172065","HathiTrust Record")</f>
        <v>HathiTrust Record</v>
      </c>
      <c r="AV4542" s="6" t="str">
        <f>HYPERLINK("http://mcgill.on.worldcat.org/oclc/2749517","Catalog Record")</f>
        <v>Catalog Record</v>
      </c>
      <c r="AW4542" s="6" t="str">
        <f>HYPERLINK("http://www.worldcat.org/oclc/2749517","WorldCat Record")</f>
        <v>WorldCat Record</v>
      </c>
      <c r="AX4542" s="3" t="s">
        <v>39402</v>
      </c>
      <c r="AY4542" s="3" t="s">
        <v>39403</v>
      </c>
      <c r="AZ4542" s="3" t="s">
        <v>39404</v>
      </c>
      <c r="BA4542" s="3" t="s">
        <v>39404</v>
      </c>
      <c r="BB4542" s="3" t="s">
        <v>39405</v>
      </c>
      <c r="BC4542" s="3" t="s">
        <v>82</v>
      </c>
      <c r="BD4542" s="3" t="s">
        <v>70</v>
      </c>
      <c r="BE4542" s="3" t="s">
        <v>39406</v>
      </c>
      <c r="BF4542" s="3" t="s">
        <v>39405</v>
      </c>
      <c r="BG4542" s="3" t="s">
        <v>39407</v>
      </c>
    </row>
    <row r="4543" spans="1:59" ht="75" x14ac:dyDescent="0.25">
      <c r="A4543" s="2" t="s">
        <v>59</v>
      </c>
      <c r="B4543" s="2" t="s">
        <v>60</v>
      </c>
      <c r="C4543" s="2" t="s">
        <v>39408</v>
      </c>
      <c r="D4543" s="2" t="s">
        <v>39409</v>
      </c>
      <c r="E4543" s="2" t="s">
        <v>39410</v>
      </c>
      <c r="G4543" s="3" t="s">
        <v>63</v>
      </c>
      <c r="I4543" s="3" t="s">
        <v>62</v>
      </c>
      <c r="J4543" s="3" t="s">
        <v>63</v>
      </c>
      <c r="K4543" s="3" t="s">
        <v>64</v>
      </c>
      <c r="L4543" s="2" t="s">
        <v>39399</v>
      </c>
      <c r="M4543" s="2" t="s">
        <v>13858</v>
      </c>
      <c r="N4543" s="3" t="s">
        <v>668</v>
      </c>
      <c r="P4543" s="3" t="s">
        <v>66</v>
      </c>
      <c r="R4543" s="3" t="s">
        <v>67</v>
      </c>
      <c r="S4543" s="4">
        <v>4</v>
      </c>
      <c r="T4543" s="4">
        <v>4</v>
      </c>
      <c r="U4543" s="5" t="s">
        <v>24806</v>
      </c>
      <c r="V4543" s="5" t="s">
        <v>24806</v>
      </c>
      <c r="W4543" s="5" t="s">
        <v>69</v>
      </c>
      <c r="X4543" s="5" t="s">
        <v>69</v>
      </c>
      <c r="Y4543" s="4">
        <v>288</v>
      </c>
      <c r="Z4543" s="4">
        <v>19</v>
      </c>
      <c r="AA4543" s="4">
        <v>19</v>
      </c>
      <c r="AB4543" s="4">
        <v>1</v>
      </c>
      <c r="AC4543" s="4">
        <v>1</v>
      </c>
      <c r="AD4543" s="4">
        <v>96</v>
      </c>
      <c r="AE4543" s="4">
        <v>96</v>
      </c>
      <c r="AF4543" s="4">
        <v>0</v>
      </c>
      <c r="AG4543" s="4">
        <v>0</v>
      </c>
      <c r="AH4543" s="4">
        <v>88</v>
      </c>
      <c r="AI4543" s="4">
        <v>88</v>
      </c>
      <c r="AJ4543" s="4">
        <v>14</v>
      </c>
      <c r="AK4543" s="4">
        <v>14</v>
      </c>
      <c r="AL4543" s="4">
        <v>52</v>
      </c>
      <c r="AM4543" s="4">
        <v>52</v>
      </c>
      <c r="AN4543" s="4">
        <v>0</v>
      </c>
      <c r="AO4543" s="4">
        <v>0</v>
      </c>
      <c r="AP4543" s="4">
        <v>14</v>
      </c>
      <c r="AQ4543" s="4">
        <v>14</v>
      </c>
      <c r="AR4543" s="3" t="s">
        <v>63</v>
      </c>
      <c r="AS4543" s="3" t="s">
        <v>63</v>
      </c>
      <c r="AT4543" s="3" t="s">
        <v>62</v>
      </c>
      <c r="AU4543" s="6" t="str">
        <f>HYPERLINK("http://catalog.hathitrust.org/Record/001952637","HathiTrust Record")</f>
        <v>HathiTrust Record</v>
      </c>
      <c r="AV4543" s="6" t="str">
        <f>HYPERLINK("http://mcgill.on.worldcat.org/oclc/20671078","Catalog Record")</f>
        <v>Catalog Record</v>
      </c>
      <c r="AW4543" s="6" t="str">
        <f>HYPERLINK("http://www.worldcat.org/oclc/20671078","WorldCat Record")</f>
        <v>WorldCat Record</v>
      </c>
      <c r="AX4543" s="3" t="s">
        <v>39411</v>
      </c>
      <c r="AY4543" s="3" t="s">
        <v>39412</v>
      </c>
      <c r="AZ4543" s="3" t="s">
        <v>39413</v>
      </c>
      <c r="BA4543" s="3" t="s">
        <v>39413</v>
      </c>
      <c r="BB4543" s="3" t="s">
        <v>39414</v>
      </c>
      <c r="BC4543" s="3" t="s">
        <v>82</v>
      </c>
      <c r="BD4543" s="3" t="s">
        <v>70</v>
      </c>
      <c r="BE4543" s="3" t="s">
        <v>39415</v>
      </c>
      <c r="BF4543" s="3" t="s">
        <v>39414</v>
      </c>
      <c r="BG4543" s="3" t="s">
        <v>39416</v>
      </c>
    </row>
    <row r="4544" spans="1:59" ht="90" x14ac:dyDescent="0.25">
      <c r="A4544" s="2" t="s">
        <v>59</v>
      </c>
      <c r="B4544" s="2" t="s">
        <v>60</v>
      </c>
      <c r="C4544" s="2" t="s">
        <v>39417</v>
      </c>
      <c r="D4544" s="2" t="s">
        <v>39418</v>
      </c>
      <c r="E4544" s="2" t="s">
        <v>39419</v>
      </c>
      <c r="G4544" s="3" t="s">
        <v>63</v>
      </c>
      <c r="I4544" s="3" t="s">
        <v>62</v>
      </c>
      <c r="J4544" s="3" t="s">
        <v>63</v>
      </c>
      <c r="K4544" s="3" t="s">
        <v>64</v>
      </c>
      <c r="L4544" s="2" t="s">
        <v>39399</v>
      </c>
      <c r="M4544" s="2" t="s">
        <v>39420</v>
      </c>
      <c r="N4544" s="3" t="s">
        <v>427</v>
      </c>
      <c r="P4544" s="3" t="s">
        <v>66</v>
      </c>
      <c r="R4544" s="3" t="s">
        <v>67</v>
      </c>
      <c r="S4544" s="4">
        <v>11</v>
      </c>
      <c r="T4544" s="4">
        <v>11</v>
      </c>
      <c r="U4544" s="5" t="s">
        <v>39421</v>
      </c>
      <c r="V4544" s="5" t="s">
        <v>39421</v>
      </c>
      <c r="W4544" s="5" t="s">
        <v>69</v>
      </c>
      <c r="X4544" s="5" t="s">
        <v>69</v>
      </c>
      <c r="Y4544" s="4">
        <v>452</v>
      </c>
      <c r="Z4544" s="4">
        <v>26</v>
      </c>
      <c r="AA4544" s="4">
        <v>29</v>
      </c>
      <c r="AB4544" s="4">
        <v>1</v>
      </c>
      <c r="AC4544" s="4">
        <v>2</v>
      </c>
      <c r="AD4544" s="4">
        <v>104</v>
      </c>
      <c r="AE4544" s="4">
        <v>113</v>
      </c>
      <c r="AF4544" s="4">
        <v>0</v>
      </c>
      <c r="AG4544" s="4">
        <v>0</v>
      </c>
      <c r="AH4544" s="4">
        <v>91</v>
      </c>
      <c r="AI4544" s="4">
        <v>99</v>
      </c>
      <c r="AJ4544" s="4">
        <v>14</v>
      </c>
      <c r="AK4544" s="4">
        <v>16</v>
      </c>
      <c r="AL4544" s="4">
        <v>56</v>
      </c>
      <c r="AM4544" s="4">
        <v>59</v>
      </c>
      <c r="AN4544" s="4">
        <v>0</v>
      </c>
      <c r="AO4544" s="4">
        <v>0</v>
      </c>
      <c r="AP4544" s="4">
        <v>16</v>
      </c>
      <c r="AQ4544" s="4">
        <v>18</v>
      </c>
      <c r="AR4544" s="3" t="s">
        <v>63</v>
      </c>
      <c r="AS4544" s="3" t="s">
        <v>63</v>
      </c>
      <c r="AT4544" s="3" t="s">
        <v>63</v>
      </c>
      <c r="AV4544" s="6" t="str">
        <f>HYPERLINK("http://mcgill.on.worldcat.org/oclc/16228233","Catalog Record")</f>
        <v>Catalog Record</v>
      </c>
      <c r="AW4544" s="6" t="str">
        <f>HYPERLINK("http://www.worldcat.org/oclc/16228233","WorldCat Record")</f>
        <v>WorldCat Record</v>
      </c>
      <c r="AX4544" s="3" t="s">
        <v>39422</v>
      </c>
      <c r="AY4544" s="3" t="s">
        <v>39423</v>
      </c>
      <c r="AZ4544" s="3" t="s">
        <v>39424</v>
      </c>
      <c r="BA4544" s="3" t="s">
        <v>39424</v>
      </c>
      <c r="BB4544" s="3" t="s">
        <v>39425</v>
      </c>
      <c r="BC4544" s="3" t="s">
        <v>82</v>
      </c>
      <c r="BD4544" s="3" t="s">
        <v>70</v>
      </c>
      <c r="BE4544" s="3" t="s">
        <v>39426</v>
      </c>
      <c r="BF4544" s="3" t="s">
        <v>39425</v>
      </c>
      <c r="BG4544" s="3" t="s">
        <v>39427</v>
      </c>
    </row>
    <row r="4545" spans="1:59" ht="75" x14ac:dyDescent="0.25">
      <c r="A4545" s="2" t="s">
        <v>59</v>
      </c>
      <c r="B4545" s="2" t="s">
        <v>60</v>
      </c>
      <c r="C4545" s="2" t="s">
        <v>39428</v>
      </c>
      <c r="D4545" s="2" t="s">
        <v>39429</v>
      </c>
      <c r="E4545" s="2" t="s">
        <v>39430</v>
      </c>
      <c r="G4545" s="3" t="s">
        <v>63</v>
      </c>
      <c r="I4545" s="3" t="s">
        <v>63</v>
      </c>
      <c r="J4545" s="3" t="s">
        <v>63</v>
      </c>
      <c r="K4545" s="3" t="s">
        <v>64</v>
      </c>
      <c r="L4545" s="2" t="s">
        <v>39431</v>
      </c>
      <c r="M4545" s="2" t="s">
        <v>39432</v>
      </c>
      <c r="N4545" s="3" t="s">
        <v>65</v>
      </c>
      <c r="P4545" s="3" t="s">
        <v>66</v>
      </c>
      <c r="R4545" s="3" t="s">
        <v>67</v>
      </c>
      <c r="S4545" s="4">
        <v>18</v>
      </c>
      <c r="T4545" s="4">
        <v>18</v>
      </c>
      <c r="U4545" s="5" t="s">
        <v>39433</v>
      </c>
      <c r="V4545" s="5" t="s">
        <v>39433</v>
      </c>
      <c r="W4545" s="5" t="s">
        <v>69</v>
      </c>
      <c r="X4545" s="5" t="s">
        <v>69</v>
      </c>
      <c r="Y4545" s="4">
        <v>393</v>
      </c>
      <c r="Z4545" s="4">
        <v>30</v>
      </c>
      <c r="AA4545" s="4">
        <v>31</v>
      </c>
      <c r="AB4545" s="4">
        <v>3</v>
      </c>
      <c r="AC4545" s="4">
        <v>3</v>
      </c>
      <c r="AD4545" s="4">
        <v>108</v>
      </c>
      <c r="AE4545" s="4">
        <v>111</v>
      </c>
      <c r="AF4545" s="4">
        <v>2</v>
      </c>
      <c r="AG4545" s="4">
        <v>2</v>
      </c>
      <c r="AH4545" s="4">
        <v>95</v>
      </c>
      <c r="AI4545" s="4">
        <v>98</v>
      </c>
      <c r="AJ4545" s="4">
        <v>17</v>
      </c>
      <c r="AK4545" s="4">
        <v>18</v>
      </c>
      <c r="AL4545" s="4">
        <v>49</v>
      </c>
      <c r="AM4545" s="4">
        <v>51</v>
      </c>
      <c r="AN4545" s="4">
        <v>0</v>
      </c>
      <c r="AO4545" s="4">
        <v>0</v>
      </c>
      <c r="AP4545" s="4">
        <v>20</v>
      </c>
      <c r="AQ4545" s="4">
        <v>21</v>
      </c>
      <c r="AR4545" s="3" t="s">
        <v>63</v>
      </c>
      <c r="AS4545" s="3" t="s">
        <v>63</v>
      </c>
      <c r="AT4545" s="3" t="s">
        <v>62</v>
      </c>
      <c r="AU4545" s="6" t="str">
        <f>HYPERLINK("http://catalog.hathitrust.org/Record/000721978","HathiTrust Record")</f>
        <v>HathiTrust Record</v>
      </c>
      <c r="AV4545" s="6" t="str">
        <f>HYPERLINK("http://mcgill.on.worldcat.org/oclc/2137159","Catalog Record")</f>
        <v>Catalog Record</v>
      </c>
      <c r="AW4545" s="6" t="str">
        <f>HYPERLINK("http://www.worldcat.org/oclc/2137159","WorldCat Record")</f>
        <v>WorldCat Record</v>
      </c>
      <c r="AX4545" s="3" t="s">
        <v>39434</v>
      </c>
      <c r="AY4545" s="3" t="s">
        <v>39435</v>
      </c>
      <c r="AZ4545" s="3" t="s">
        <v>39436</v>
      </c>
      <c r="BA4545" s="3" t="s">
        <v>39436</v>
      </c>
      <c r="BB4545" s="3" t="s">
        <v>39437</v>
      </c>
      <c r="BC4545" s="3" t="s">
        <v>82</v>
      </c>
      <c r="BD4545" s="3" t="s">
        <v>538</v>
      </c>
      <c r="BE4545" s="3" t="s">
        <v>39438</v>
      </c>
      <c r="BF4545" s="3" t="s">
        <v>39437</v>
      </c>
      <c r="BG4545" s="3" t="s">
        <v>39439</v>
      </c>
    </row>
    <row r="4546" spans="1:59" ht="75" x14ac:dyDescent="0.25">
      <c r="A4546" s="2" t="s">
        <v>59</v>
      </c>
      <c r="B4546" s="2" t="s">
        <v>60</v>
      </c>
      <c r="C4546" s="2" t="s">
        <v>39440</v>
      </c>
      <c r="D4546" s="2" t="s">
        <v>39441</v>
      </c>
      <c r="E4546" s="2" t="s">
        <v>39442</v>
      </c>
      <c r="G4546" s="3" t="s">
        <v>63</v>
      </c>
      <c r="I4546" s="3" t="s">
        <v>63</v>
      </c>
      <c r="J4546" s="3" t="s">
        <v>63</v>
      </c>
      <c r="K4546" s="3" t="s">
        <v>64</v>
      </c>
      <c r="L4546" s="2" t="s">
        <v>39431</v>
      </c>
      <c r="M4546" s="2" t="s">
        <v>39443</v>
      </c>
      <c r="N4546" s="3" t="s">
        <v>2951</v>
      </c>
      <c r="O4546" s="2" t="s">
        <v>590</v>
      </c>
      <c r="P4546" s="3" t="s">
        <v>66</v>
      </c>
      <c r="Q4546" s="2" t="s">
        <v>39444</v>
      </c>
      <c r="R4546" s="3" t="s">
        <v>67</v>
      </c>
      <c r="S4546" s="4">
        <v>10</v>
      </c>
      <c r="T4546" s="4">
        <v>10</v>
      </c>
      <c r="U4546" s="5" t="s">
        <v>31891</v>
      </c>
      <c r="V4546" s="5" t="s">
        <v>31891</v>
      </c>
      <c r="W4546" s="5" t="s">
        <v>69</v>
      </c>
      <c r="X4546" s="5" t="s">
        <v>69</v>
      </c>
      <c r="Y4546" s="4">
        <v>379</v>
      </c>
      <c r="Z4546" s="4">
        <v>32</v>
      </c>
      <c r="AA4546" s="4">
        <v>33</v>
      </c>
      <c r="AB4546" s="4">
        <v>4</v>
      </c>
      <c r="AC4546" s="4">
        <v>4</v>
      </c>
      <c r="AD4546" s="4">
        <v>103</v>
      </c>
      <c r="AE4546" s="4">
        <v>104</v>
      </c>
      <c r="AF4546" s="4">
        <v>2</v>
      </c>
      <c r="AG4546" s="4">
        <v>2</v>
      </c>
      <c r="AH4546" s="4">
        <v>84</v>
      </c>
      <c r="AI4546" s="4">
        <v>84</v>
      </c>
      <c r="AJ4546" s="4">
        <v>19</v>
      </c>
      <c r="AK4546" s="4">
        <v>20</v>
      </c>
      <c r="AL4546" s="4">
        <v>49</v>
      </c>
      <c r="AM4546" s="4">
        <v>49</v>
      </c>
      <c r="AN4546" s="4">
        <v>0</v>
      </c>
      <c r="AO4546" s="4">
        <v>0</v>
      </c>
      <c r="AP4546" s="4">
        <v>23</v>
      </c>
      <c r="AQ4546" s="4">
        <v>24</v>
      </c>
      <c r="AR4546" s="3" t="s">
        <v>63</v>
      </c>
      <c r="AS4546" s="3" t="s">
        <v>63</v>
      </c>
      <c r="AT4546" s="3" t="s">
        <v>62</v>
      </c>
      <c r="AU4546" s="6" t="str">
        <f>HYPERLINK("http://catalog.hathitrust.org/Record/000103024","HathiTrust Record")</f>
        <v>HathiTrust Record</v>
      </c>
      <c r="AV4546" s="6" t="str">
        <f>HYPERLINK("http://mcgill.on.worldcat.org/oclc/7198123","Catalog Record")</f>
        <v>Catalog Record</v>
      </c>
      <c r="AW4546" s="6" t="str">
        <f>HYPERLINK("http://www.worldcat.org/oclc/7198123","WorldCat Record")</f>
        <v>WorldCat Record</v>
      </c>
      <c r="AX4546" s="3" t="s">
        <v>39445</v>
      </c>
      <c r="AY4546" s="3" t="s">
        <v>39446</v>
      </c>
      <c r="AZ4546" s="3" t="s">
        <v>39447</v>
      </c>
      <c r="BA4546" s="3" t="s">
        <v>39447</v>
      </c>
      <c r="BB4546" s="3" t="s">
        <v>39448</v>
      </c>
      <c r="BC4546" s="3" t="s">
        <v>82</v>
      </c>
      <c r="BD4546" s="3" t="s">
        <v>70</v>
      </c>
      <c r="BE4546" s="3" t="s">
        <v>39449</v>
      </c>
      <c r="BF4546" s="3" t="s">
        <v>39448</v>
      </c>
      <c r="BG4546" s="3" t="s">
        <v>39450</v>
      </c>
    </row>
    <row r="4547" spans="1:59" ht="75" x14ac:dyDescent="0.25">
      <c r="A4547" s="2" t="s">
        <v>59</v>
      </c>
      <c r="B4547" s="2" t="s">
        <v>60</v>
      </c>
      <c r="C4547" s="2" t="s">
        <v>39451</v>
      </c>
      <c r="D4547" s="2" t="s">
        <v>39452</v>
      </c>
      <c r="E4547" s="2" t="s">
        <v>39453</v>
      </c>
      <c r="G4547" s="3" t="s">
        <v>63</v>
      </c>
      <c r="I4547" s="3" t="s">
        <v>62</v>
      </c>
      <c r="J4547" s="3" t="s">
        <v>63</v>
      </c>
      <c r="K4547" s="3" t="s">
        <v>64</v>
      </c>
      <c r="L4547" s="2" t="s">
        <v>39454</v>
      </c>
      <c r="M4547" s="2" t="s">
        <v>39455</v>
      </c>
      <c r="N4547" s="3" t="s">
        <v>939</v>
      </c>
      <c r="P4547" s="3" t="s">
        <v>66</v>
      </c>
      <c r="R4547" s="3" t="s">
        <v>67</v>
      </c>
      <c r="S4547" s="4">
        <v>23</v>
      </c>
      <c r="T4547" s="4">
        <v>23</v>
      </c>
      <c r="U4547" s="5" t="s">
        <v>23212</v>
      </c>
      <c r="V4547" s="5" t="s">
        <v>23212</v>
      </c>
      <c r="W4547" s="5" t="s">
        <v>69</v>
      </c>
      <c r="X4547" s="5" t="s">
        <v>69</v>
      </c>
      <c r="Y4547" s="4">
        <v>765</v>
      </c>
      <c r="Z4547" s="4">
        <v>38</v>
      </c>
      <c r="AA4547" s="4">
        <v>38</v>
      </c>
      <c r="AB4547" s="4">
        <v>3</v>
      </c>
      <c r="AC4547" s="4">
        <v>3</v>
      </c>
      <c r="AD4547" s="4">
        <v>129</v>
      </c>
      <c r="AE4547" s="4">
        <v>129</v>
      </c>
      <c r="AF4547" s="4">
        <v>2</v>
      </c>
      <c r="AG4547" s="4">
        <v>2</v>
      </c>
      <c r="AH4547" s="4">
        <v>103</v>
      </c>
      <c r="AI4547" s="4">
        <v>103</v>
      </c>
      <c r="AJ4547" s="4">
        <v>22</v>
      </c>
      <c r="AK4547" s="4">
        <v>22</v>
      </c>
      <c r="AL4547" s="4">
        <v>57</v>
      </c>
      <c r="AM4547" s="4">
        <v>57</v>
      </c>
      <c r="AN4547" s="4">
        <v>0</v>
      </c>
      <c r="AO4547" s="4">
        <v>0</v>
      </c>
      <c r="AP4547" s="4">
        <v>33</v>
      </c>
      <c r="AQ4547" s="4">
        <v>33</v>
      </c>
      <c r="AR4547" s="3" t="s">
        <v>63</v>
      </c>
      <c r="AS4547" s="3" t="s">
        <v>63</v>
      </c>
      <c r="AT4547" s="3" t="s">
        <v>63</v>
      </c>
      <c r="AV4547" s="6" t="str">
        <f>HYPERLINK("http://mcgill.on.worldcat.org/oclc/436405","Catalog Record")</f>
        <v>Catalog Record</v>
      </c>
      <c r="AW4547" s="6" t="str">
        <f>HYPERLINK("http://www.worldcat.org/oclc/436405","WorldCat Record")</f>
        <v>WorldCat Record</v>
      </c>
      <c r="AX4547" s="3" t="s">
        <v>39456</v>
      </c>
      <c r="AY4547" s="3" t="s">
        <v>39457</v>
      </c>
      <c r="AZ4547" s="3" t="s">
        <v>39458</v>
      </c>
      <c r="BA4547" s="3" t="s">
        <v>39458</v>
      </c>
      <c r="BB4547" s="3" t="s">
        <v>39459</v>
      </c>
      <c r="BC4547" s="3" t="s">
        <v>82</v>
      </c>
      <c r="BD4547" s="3" t="s">
        <v>70</v>
      </c>
      <c r="BF4547" s="3" t="s">
        <v>39459</v>
      </c>
      <c r="BG4547" s="3" t="s">
        <v>39460</v>
      </c>
    </row>
    <row r="4548" spans="1:59" ht="75" x14ac:dyDescent="0.25">
      <c r="A4548" s="2" t="s">
        <v>59</v>
      </c>
      <c r="B4548" s="2" t="s">
        <v>60</v>
      </c>
      <c r="C4548" s="2" t="s">
        <v>39461</v>
      </c>
      <c r="D4548" s="2" t="s">
        <v>39462</v>
      </c>
      <c r="E4548" s="2" t="s">
        <v>39463</v>
      </c>
      <c r="G4548" s="3" t="s">
        <v>63</v>
      </c>
      <c r="I4548" s="3" t="s">
        <v>63</v>
      </c>
      <c r="J4548" s="3" t="s">
        <v>63</v>
      </c>
      <c r="K4548" s="3" t="s">
        <v>64</v>
      </c>
      <c r="L4548" s="2" t="s">
        <v>39464</v>
      </c>
      <c r="M4548" s="2" t="s">
        <v>39465</v>
      </c>
      <c r="N4548" s="3" t="s">
        <v>2043</v>
      </c>
      <c r="P4548" s="3" t="s">
        <v>66</v>
      </c>
      <c r="R4548" s="3" t="s">
        <v>67</v>
      </c>
      <c r="S4548" s="4">
        <v>16</v>
      </c>
      <c r="T4548" s="4">
        <v>16</v>
      </c>
      <c r="U4548" s="5" t="s">
        <v>23212</v>
      </c>
      <c r="V4548" s="5" t="s">
        <v>23212</v>
      </c>
      <c r="W4548" s="5" t="s">
        <v>69</v>
      </c>
      <c r="X4548" s="5" t="s">
        <v>69</v>
      </c>
      <c r="Y4548" s="4">
        <v>310</v>
      </c>
      <c r="Z4548" s="4">
        <v>20</v>
      </c>
      <c r="AA4548" s="4">
        <v>22</v>
      </c>
      <c r="AB4548" s="4">
        <v>3</v>
      </c>
      <c r="AC4548" s="4">
        <v>3</v>
      </c>
      <c r="AD4548" s="4">
        <v>110</v>
      </c>
      <c r="AE4548" s="4">
        <v>113</v>
      </c>
      <c r="AF4548" s="4">
        <v>2</v>
      </c>
      <c r="AG4548" s="4">
        <v>2</v>
      </c>
      <c r="AH4548" s="4">
        <v>98</v>
      </c>
      <c r="AI4548" s="4">
        <v>99</v>
      </c>
      <c r="AJ4548" s="4">
        <v>15</v>
      </c>
      <c r="AK4548" s="4">
        <v>17</v>
      </c>
      <c r="AL4548" s="4">
        <v>57</v>
      </c>
      <c r="AM4548" s="4">
        <v>57</v>
      </c>
      <c r="AN4548" s="4">
        <v>0</v>
      </c>
      <c r="AO4548" s="4">
        <v>0</v>
      </c>
      <c r="AP4548" s="4">
        <v>16</v>
      </c>
      <c r="AQ4548" s="4">
        <v>17</v>
      </c>
      <c r="AR4548" s="3" t="s">
        <v>63</v>
      </c>
      <c r="AS4548" s="3" t="s">
        <v>63</v>
      </c>
      <c r="AT4548" s="3" t="s">
        <v>63</v>
      </c>
      <c r="AV4548" s="6" t="str">
        <f>HYPERLINK("http://mcgill.on.worldcat.org/oclc/6915759","Catalog Record")</f>
        <v>Catalog Record</v>
      </c>
      <c r="AW4548" s="6" t="str">
        <f>HYPERLINK("http://www.worldcat.org/oclc/6915759","WorldCat Record")</f>
        <v>WorldCat Record</v>
      </c>
      <c r="AX4548" s="3" t="s">
        <v>39466</v>
      </c>
      <c r="AY4548" s="3" t="s">
        <v>39467</v>
      </c>
      <c r="AZ4548" s="3" t="s">
        <v>39468</v>
      </c>
      <c r="BA4548" s="3" t="s">
        <v>39468</v>
      </c>
      <c r="BB4548" s="3" t="s">
        <v>39469</v>
      </c>
      <c r="BC4548" s="3" t="s">
        <v>82</v>
      </c>
      <c r="BD4548" s="3" t="s">
        <v>70</v>
      </c>
      <c r="BE4548" s="3" t="s">
        <v>39470</v>
      </c>
      <c r="BF4548" s="3" t="s">
        <v>39469</v>
      </c>
      <c r="BG4548" s="3" t="s">
        <v>39471</v>
      </c>
    </row>
    <row r="4549" spans="1:59" ht="105" x14ac:dyDescent="0.25">
      <c r="A4549" s="2" t="s">
        <v>59</v>
      </c>
      <c r="B4549" s="2" t="s">
        <v>2899</v>
      </c>
      <c r="C4549" s="2" t="s">
        <v>39472</v>
      </c>
      <c r="D4549" s="2" t="s">
        <v>39473</v>
      </c>
      <c r="E4549" s="2" t="s">
        <v>39474</v>
      </c>
      <c r="F4549" s="3" t="s">
        <v>39475</v>
      </c>
      <c r="G4549" s="3" t="s">
        <v>63</v>
      </c>
      <c r="I4549" s="3" t="s">
        <v>63</v>
      </c>
      <c r="J4549" s="3" t="s">
        <v>63</v>
      </c>
      <c r="K4549" s="3" t="s">
        <v>64</v>
      </c>
      <c r="M4549" s="2" t="s">
        <v>39476</v>
      </c>
      <c r="N4549" s="3" t="s">
        <v>826</v>
      </c>
      <c r="P4549" s="3" t="s">
        <v>38181</v>
      </c>
      <c r="Q4549" s="2" t="s">
        <v>39477</v>
      </c>
      <c r="R4549" s="3" t="s">
        <v>67</v>
      </c>
      <c r="S4549" s="4">
        <v>15</v>
      </c>
      <c r="T4549" s="4">
        <v>15</v>
      </c>
      <c r="U4549" s="5" t="s">
        <v>11941</v>
      </c>
      <c r="V4549" s="5" t="s">
        <v>11941</v>
      </c>
      <c r="W4549" s="5" t="s">
        <v>69</v>
      </c>
      <c r="X4549" s="5" t="s">
        <v>69</v>
      </c>
      <c r="Y4549" s="4">
        <v>60</v>
      </c>
      <c r="Z4549" s="4">
        <v>2</v>
      </c>
      <c r="AA4549" s="4">
        <v>15</v>
      </c>
      <c r="AB4549" s="4">
        <v>1</v>
      </c>
      <c r="AC4549" s="4">
        <v>4</v>
      </c>
      <c r="AD4549" s="4">
        <v>20</v>
      </c>
      <c r="AE4549" s="4">
        <v>48</v>
      </c>
      <c r="AF4549" s="4">
        <v>0</v>
      </c>
      <c r="AG4549" s="4">
        <v>2</v>
      </c>
      <c r="AH4549" s="4">
        <v>19</v>
      </c>
      <c r="AI4549" s="4">
        <v>41</v>
      </c>
      <c r="AJ4549" s="4">
        <v>1</v>
      </c>
      <c r="AK4549" s="4">
        <v>9</v>
      </c>
      <c r="AL4549" s="4">
        <v>14</v>
      </c>
      <c r="AM4549" s="4">
        <v>22</v>
      </c>
      <c r="AN4549" s="4">
        <v>0</v>
      </c>
      <c r="AO4549" s="4">
        <v>0</v>
      </c>
      <c r="AP4549" s="4">
        <v>1</v>
      </c>
      <c r="AQ4549" s="4">
        <v>11</v>
      </c>
      <c r="AR4549" s="3" t="s">
        <v>63</v>
      </c>
      <c r="AS4549" s="3" t="s">
        <v>63</v>
      </c>
      <c r="AT4549" s="3" t="s">
        <v>63</v>
      </c>
      <c r="AV4549" s="6" t="str">
        <f>HYPERLINK("http://mcgill.on.worldcat.org/oclc/22605814","Catalog Record")</f>
        <v>Catalog Record</v>
      </c>
      <c r="AW4549" s="6" t="str">
        <f>HYPERLINK("http://www.worldcat.org/oclc/22605814","WorldCat Record")</f>
        <v>WorldCat Record</v>
      </c>
      <c r="AX4549" s="3" t="s">
        <v>39478</v>
      </c>
      <c r="AY4549" s="3" t="s">
        <v>39479</v>
      </c>
      <c r="AZ4549" s="3" t="s">
        <v>39480</v>
      </c>
      <c r="BA4549" s="3" t="s">
        <v>39480</v>
      </c>
      <c r="BB4549" s="3" t="s">
        <v>39481</v>
      </c>
      <c r="BC4549" s="3" t="s">
        <v>39482</v>
      </c>
      <c r="BD4549" s="3" t="s">
        <v>70</v>
      </c>
      <c r="BF4549" s="3" t="s">
        <v>39481</v>
      </c>
      <c r="BG4549" s="3" t="s">
        <v>39483</v>
      </c>
    </row>
    <row r="4550" spans="1:59" ht="60" x14ac:dyDescent="0.25">
      <c r="A4550" s="2" t="s">
        <v>59</v>
      </c>
      <c r="B4550" s="2" t="s">
        <v>60</v>
      </c>
      <c r="C4550" s="2" t="s">
        <v>39484</v>
      </c>
      <c r="D4550" s="2" t="s">
        <v>39485</v>
      </c>
      <c r="E4550" s="2" t="s">
        <v>39486</v>
      </c>
      <c r="G4550" s="3" t="s">
        <v>63</v>
      </c>
      <c r="I4550" s="3" t="s">
        <v>63</v>
      </c>
      <c r="J4550" s="3" t="s">
        <v>63</v>
      </c>
      <c r="K4550" s="3" t="s">
        <v>64</v>
      </c>
      <c r="L4550" s="2" t="s">
        <v>39487</v>
      </c>
      <c r="M4550" s="2" t="s">
        <v>39488</v>
      </c>
      <c r="N4550" s="3" t="s">
        <v>9114</v>
      </c>
      <c r="P4550" s="3" t="s">
        <v>66</v>
      </c>
      <c r="R4550" s="3" t="s">
        <v>67</v>
      </c>
      <c r="S4550" s="4">
        <v>2</v>
      </c>
      <c r="T4550" s="4">
        <v>2</v>
      </c>
      <c r="U4550" s="5" t="s">
        <v>19845</v>
      </c>
      <c r="V4550" s="5" t="s">
        <v>19845</v>
      </c>
      <c r="W4550" s="5" t="s">
        <v>69</v>
      </c>
      <c r="X4550" s="5" t="s">
        <v>69</v>
      </c>
      <c r="Y4550" s="4">
        <v>47</v>
      </c>
      <c r="Z4550" s="4">
        <v>6</v>
      </c>
      <c r="AA4550" s="4">
        <v>8</v>
      </c>
      <c r="AB4550" s="4">
        <v>2</v>
      </c>
      <c r="AC4550" s="4">
        <v>2</v>
      </c>
      <c r="AD4550" s="4">
        <v>17</v>
      </c>
      <c r="AE4550" s="4">
        <v>42</v>
      </c>
      <c r="AF4550" s="4">
        <v>1</v>
      </c>
      <c r="AG4550" s="4">
        <v>1</v>
      </c>
      <c r="AH4550" s="4">
        <v>14</v>
      </c>
      <c r="AI4550" s="4">
        <v>36</v>
      </c>
      <c r="AJ4550" s="4">
        <v>3</v>
      </c>
      <c r="AK4550" s="4">
        <v>5</v>
      </c>
      <c r="AL4550" s="4">
        <v>8</v>
      </c>
      <c r="AM4550" s="4">
        <v>23</v>
      </c>
      <c r="AN4550" s="4">
        <v>0</v>
      </c>
      <c r="AO4550" s="4">
        <v>0</v>
      </c>
      <c r="AP4550" s="4">
        <v>4</v>
      </c>
      <c r="AQ4550" s="4">
        <v>5</v>
      </c>
      <c r="AR4550" s="3" t="s">
        <v>63</v>
      </c>
      <c r="AS4550" s="3" t="s">
        <v>63</v>
      </c>
      <c r="AT4550" s="3" t="s">
        <v>62</v>
      </c>
      <c r="AU4550" s="6" t="str">
        <f>HYPERLINK("http://catalog.hathitrust.org/Record/006067526","HathiTrust Record")</f>
        <v>HathiTrust Record</v>
      </c>
      <c r="AV4550" s="6" t="str">
        <f>HYPERLINK("http://mcgill.on.worldcat.org/oclc/26105724","Catalog Record")</f>
        <v>Catalog Record</v>
      </c>
      <c r="AW4550" s="6" t="str">
        <f>HYPERLINK("http://www.worldcat.org/oclc/26105724","WorldCat Record")</f>
        <v>WorldCat Record</v>
      </c>
      <c r="AX4550" s="3" t="s">
        <v>39489</v>
      </c>
      <c r="AY4550" s="3" t="s">
        <v>39490</v>
      </c>
      <c r="AZ4550" s="3" t="s">
        <v>39491</v>
      </c>
      <c r="BA4550" s="3" t="s">
        <v>39491</v>
      </c>
      <c r="BB4550" s="3" t="s">
        <v>39492</v>
      </c>
      <c r="BC4550" s="3" t="s">
        <v>82</v>
      </c>
      <c r="BD4550" s="3" t="s">
        <v>70</v>
      </c>
      <c r="BF4550" s="3" t="s">
        <v>39492</v>
      </c>
      <c r="BG4550" s="3" t="s">
        <v>39493</v>
      </c>
    </row>
    <row r="4551" spans="1:59" ht="75" x14ac:dyDescent="0.25">
      <c r="A4551" s="2" t="s">
        <v>59</v>
      </c>
      <c r="B4551" s="2" t="s">
        <v>60</v>
      </c>
      <c r="C4551" s="2" t="s">
        <v>39494</v>
      </c>
      <c r="D4551" s="2" t="s">
        <v>39495</v>
      </c>
      <c r="E4551" s="2" t="s">
        <v>39496</v>
      </c>
      <c r="G4551" s="3" t="s">
        <v>63</v>
      </c>
      <c r="I4551" s="3" t="s">
        <v>63</v>
      </c>
      <c r="J4551" s="3" t="s">
        <v>63</v>
      </c>
      <c r="K4551" s="3" t="s">
        <v>64</v>
      </c>
      <c r="L4551" s="2" t="s">
        <v>39497</v>
      </c>
      <c r="M4551" s="2" t="s">
        <v>39498</v>
      </c>
      <c r="N4551" s="3" t="s">
        <v>76</v>
      </c>
      <c r="O4551" s="2" t="s">
        <v>590</v>
      </c>
      <c r="P4551" s="3" t="s">
        <v>66</v>
      </c>
      <c r="Q4551" s="2" t="s">
        <v>39499</v>
      </c>
      <c r="R4551" s="3" t="s">
        <v>67</v>
      </c>
      <c r="S4551" s="4">
        <v>1</v>
      </c>
      <c r="T4551" s="4">
        <v>1</v>
      </c>
      <c r="U4551" s="5" t="s">
        <v>39500</v>
      </c>
      <c r="V4551" s="5" t="s">
        <v>39500</v>
      </c>
      <c r="W4551" s="5" t="s">
        <v>69</v>
      </c>
      <c r="X4551" s="5" t="s">
        <v>69</v>
      </c>
      <c r="Y4551" s="4">
        <v>79</v>
      </c>
      <c r="Z4551" s="4">
        <v>10</v>
      </c>
      <c r="AA4551" s="4">
        <v>10</v>
      </c>
      <c r="AB4551" s="4">
        <v>1</v>
      </c>
      <c r="AC4551" s="4">
        <v>1</v>
      </c>
      <c r="AD4551" s="4">
        <v>40</v>
      </c>
      <c r="AE4551" s="4">
        <v>40</v>
      </c>
      <c r="AF4551" s="4">
        <v>0</v>
      </c>
      <c r="AG4551" s="4">
        <v>0</v>
      </c>
      <c r="AH4551" s="4">
        <v>38</v>
      </c>
      <c r="AI4551" s="4">
        <v>38</v>
      </c>
      <c r="AJ4551" s="4">
        <v>6</v>
      </c>
      <c r="AK4551" s="4">
        <v>6</v>
      </c>
      <c r="AL4551" s="4">
        <v>25</v>
      </c>
      <c r="AM4551" s="4">
        <v>25</v>
      </c>
      <c r="AN4551" s="4">
        <v>0</v>
      </c>
      <c r="AO4551" s="4">
        <v>0</v>
      </c>
      <c r="AP4551" s="4">
        <v>6</v>
      </c>
      <c r="AQ4551" s="4">
        <v>6</v>
      </c>
      <c r="AR4551" s="3" t="s">
        <v>63</v>
      </c>
      <c r="AS4551" s="3" t="s">
        <v>63</v>
      </c>
      <c r="AT4551" s="3" t="s">
        <v>63</v>
      </c>
      <c r="AV4551" s="6" t="str">
        <f>HYPERLINK("http://mcgill.on.worldcat.org/oclc/767564369","Catalog Record")</f>
        <v>Catalog Record</v>
      </c>
      <c r="AW4551" s="6" t="str">
        <f>HYPERLINK("http://www.worldcat.org/oclc/767564369","WorldCat Record")</f>
        <v>WorldCat Record</v>
      </c>
      <c r="AX4551" s="3" t="s">
        <v>39501</v>
      </c>
      <c r="AY4551" s="3" t="s">
        <v>39502</v>
      </c>
      <c r="AZ4551" s="3" t="s">
        <v>39503</v>
      </c>
      <c r="BA4551" s="3" t="s">
        <v>39503</v>
      </c>
      <c r="BB4551" s="3" t="s">
        <v>39504</v>
      </c>
      <c r="BC4551" s="3" t="s">
        <v>82</v>
      </c>
      <c r="BD4551" s="3" t="s">
        <v>70</v>
      </c>
      <c r="BE4551" s="3" t="s">
        <v>39505</v>
      </c>
      <c r="BF4551" s="3" t="s">
        <v>39504</v>
      </c>
      <c r="BG4551" s="3" t="s">
        <v>39506</v>
      </c>
    </row>
    <row r="4552" spans="1:59" ht="90" x14ac:dyDescent="0.25">
      <c r="A4552" s="2" t="s">
        <v>59</v>
      </c>
      <c r="B4552" s="2" t="s">
        <v>60</v>
      </c>
      <c r="C4552" s="2" t="s">
        <v>39507</v>
      </c>
      <c r="D4552" s="2" t="s">
        <v>39508</v>
      </c>
      <c r="E4552" s="2" t="s">
        <v>39509</v>
      </c>
      <c r="G4552" s="3" t="s">
        <v>63</v>
      </c>
      <c r="I4552" s="3" t="s">
        <v>63</v>
      </c>
      <c r="J4552" s="3" t="s">
        <v>63</v>
      </c>
      <c r="K4552" s="3" t="s">
        <v>64</v>
      </c>
      <c r="L4552" s="2" t="s">
        <v>39510</v>
      </c>
      <c r="M4552" s="2" t="s">
        <v>39511</v>
      </c>
      <c r="N4552" s="3" t="s">
        <v>2103</v>
      </c>
      <c r="P4552" s="3" t="s">
        <v>66</v>
      </c>
      <c r="R4552" s="3" t="s">
        <v>67</v>
      </c>
      <c r="S4552" s="4">
        <v>2</v>
      </c>
      <c r="T4552" s="4">
        <v>2</v>
      </c>
      <c r="U4552" s="5" t="s">
        <v>39512</v>
      </c>
      <c r="V4552" s="5" t="s">
        <v>39512</v>
      </c>
      <c r="W4552" s="5" t="s">
        <v>69</v>
      </c>
      <c r="X4552" s="5" t="s">
        <v>69</v>
      </c>
      <c r="Y4552" s="4">
        <v>260</v>
      </c>
      <c r="Z4552" s="4">
        <v>9</v>
      </c>
      <c r="AA4552" s="4">
        <v>9</v>
      </c>
      <c r="AB4552" s="4">
        <v>1</v>
      </c>
      <c r="AC4552" s="4">
        <v>1</v>
      </c>
      <c r="AD4552" s="4">
        <v>66</v>
      </c>
      <c r="AE4552" s="4">
        <v>66</v>
      </c>
      <c r="AF4552" s="4">
        <v>0</v>
      </c>
      <c r="AG4552" s="4">
        <v>0</v>
      </c>
      <c r="AH4552" s="4">
        <v>65</v>
      </c>
      <c r="AI4552" s="4">
        <v>65</v>
      </c>
      <c r="AJ4552" s="4">
        <v>4</v>
      </c>
      <c r="AK4552" s="4">
        <v>4</v>
      </c>
      <c r="AL4552" s="4">
        <v>39</v>
      </c>
      <c r="AM4552" s="4">
        <v>39</v>
      </c>
      <c r="AN4552" s="4">
        <v>0</v>
      </c>
      <c r="AO4552" s="4">
        <v>0</v>
      </c>
      <c r="AP4552" s="4">
        <v>4</v>
      </c>
      <c r="AQ4552" s="4">
        <v>4</v>
      </c>
      <c r="AR4552" s="3" t="s">
        <v>63</v>
      </c>
      <c r="AS4552" s="3" t="s">
        <v>63</v>
      </c>
      <c r="AT4552" s="3" t="s">
        <v>63</v>
      </c>
      <c r="AV4552" s="6" t="str">
        <f>HYPERLINK("http://mcgill.on.worldcat.org/oclc/50280061","Catalog Record")</f>
        <v>Catalog Record</v>
      </c>
      <c r="AW4552" s="6" t="str">
        <f>HYPERLINK("http://www.worldcat.org/oclc/50280061","WorldCat Record")</f>
        <v>WorldCat Record</v>
      </c>
      <c r="AX4552" s="3" t="s">
        <v>39513</v>
      </c>
      <c r="AY4552" s="3" t="s">
        <v>39514</v>
      </c>
      <c r="AZ4552" s="3" t="s">
        <v>39515</v>
      </c>
      <c r="BA4552" s="3" t="s">
        <v>39515</v>
      </c>
      <c r="BB4552" s="3" t="s">
        <v>39516</v>
      </c>
      <c r="BC4552" s="3" t="s">
        <v>82</v>
      </c>
      <c r="BD4552" s="3" t="s">
        <v>70</v>
      </c>
      <c r="BE4552" s="3" t="s">
        <v>39517</v>
      </c>
      <c r="BF4552" s="3" t="s">
        <v>39516</v>
      </c>
      <c r="BG4552" s="3" t="s">
        <v>39518</v>
      </c>
    </row>
    <row r="4553" spans="1:59" ht="75" x14ac:dyDescent="0.25">
      <c r="A4553" s="2" t="s">
        <v>59</v>
      </c>
      <c r="B4553" s="2" t="s">
        <v>60</v>
      </c>
      <c r="C4553" s="2" t="s">
        <v>39519</v>
      </c>
      <c r="D4553" s="2" t="s">
        <v>39520</v>
      </c>
      <c r="E4553" s="2" t="s">
        <v>39521</v>
      </c>
      <c r="G4553" s="3" t="s">
        <v>63</v>
      </c>
      <c r="I4553" s="3" t="s">
        <v>63</v>
      </c>
      <c r="J4553" s="3" t="s">
        <v>63</v>
      </c>
      <c r="K4553" s="3" t="s">
        <v>64</v>
      </c>
      <c r="L4553" s="2" t="s">
        <v>39522</v>
      </c>
      <c r="M4553" s="2" t="s">
        <v>39523</v>
      </c>
      <c r="N4553" s="3" t="s">
        <v>313</v>
      </c>
      <c r="O4553" s="2" t="s">
        <v>590</v>
      </c>
      <c r="P4553" s="3" t="s">
        <v>66</v>
      </c>
      <c r="R4553" s="3" t="s">
        <v>67</v>
      </c>
      <c r="S4553" s="4">
        <v>1</v>
      </c>
      <c r="T4553" s="4">
        <v>1</v>
      </c>
      <c r="U4553" s="5" t="s">
        <v>39524</v>
      </c>
      <c r="V4553" s="5" t="s">
        <v>39524</v>
      </c>
      <c r="W4553" s="5" t="s">
        <v>69</v>
      </c>
      <c r="X4553" s="5" t="s">
        <v>69</v>
      </c>
      <c r="Y4553" s="4">
        <v>95</v>
      </c>
      <c r="Z4553" s="4">
        <v>9</v>
      </c>
      <c r="AA4553" s="4">
        <v>10</v>
      </c>
      <c r="AB4553" s="4">
        <v>1</v>
      </c>
      <c r="AC4553" s="4">
        <v>2</v>
      </c>
      <c r="AD4553" s="4">
        <v>28</v>
      </c>
      <c r="AE4553" s="4">
        <v>28</v>
      </c>
      <c r="AF4553" s="4">
        <v>0</v>
      </c>
      <c r="AG4553" s="4">
        <v>0</v>
      </c>
      <c r="AH4553" s="4">
        <v>27</v>
      </c>
      <c r="AI4553" s="4">
        <v>27</v>
      </c>
      <c r="AJ4553" s="4">
        <v>7</v>
      </c>
      <c r="AK4553" s="4">
        <v>7</v>
      </c>
      <c r="AL4553" s="4">
        <v>13</v>
      </c>
      <c r="AM4553" s="4">
        <v>13</v>
      </c>
      <c r="AN4553" s="4">
        <v>0</v>
      </c>
      <c r="AO4553" s="4">
        <v>0</v>
      </c>
      <c r="AP4553" s="4">
        <v>7</v>
      </c>
      <c r="AQ4553" s="4">
        <v>7</v>
      </c>
      <c r="AR4553" s="3" t="s">
        <v>63</v>
      </c>
      <c r="AS4553" s="3" t="s">
        <v>63</v>
      </c>
      <c r="AT4553" s="3" t="s">
        <v>63</v>
      </c>
      <c r="AV4553" s="6" t="str">
        <f>HYPERLINK("http://mcgill.on.worldcat.org/oclc/703607262","Catalog Record")</f>
        <v>Catalog Record</v>
      </c>
      <c r="AW4553" s="6" t="str">
        <f>HYPERLINK("http://www.worldcat.org/oclc/703607262","WorldCat Record")</f>
        <v>WorldCat Record</v>
      </c>
      <c r="AX4553" s="3" t="s">
        <v>39525</v>
      </c>
      <c r="AY4553" s="3" t="s">
        <v>39526</v>
      </c>
      <c r="AZ4553" s="3" t="s">
        <v>39527</v>
      </c>
      <c r="BA4553" s="3" t="s">
        <v>39527</v>
      </c>
      <c r="BB4553" s="3" t="s">
        <v>39528</v>
      </c>
      <c r="BC4553" s="3" t="s">
        <v>82</v>
      </c>
      <c r="BD4553" s="3" t="s">
        <v>70</v>
      </c>
      <c r="BE4553" s="3" t="s">
        <v>39529</v>
      </c>
      <c r="BF4553" s="3" t="s">
        <v>39528</v>
      </c>
      <c r="BG4553" s="3" t="s">
        <v>39530</v>
      </c>
    </row>
    <row r="4554" spans="1:59" ht="60" x14ac:dyDescent="0.25">
      <c r="A4554" s="2" t="s">
        <v>59</v>
      </c>
      <c r="B4554" s="2" t="s">
        <v>60</v>
      </c>
      <c r="C4554" s="2" t="s">
        <v>39531</v>
      </c>
      <c r="D4554" s="2" t="s">
        <v>39532</v>
      </c>
      <c r="E4554" s="2" t="s">
        <v>39533</v>
      </c>
      <c r="G4554" s="3" t="s">
        <v>63</v>
      </c>
      <c r="I4554" s="3" t="s">
        <v>62</v>
      </c>
      <c r="J4554" s="3" t="s">
        <v>63</v>
      </c>
      <c r="K4554" s="3" t="s">
        <v>64</v>
      </c>
      <c r="L4554" s="2" t="s">
        <v>39534</v>
      </c>
      <c r="M4554" s="2" t="s">
        <v>39535</v>
      </c>
      <c r="N4554" s="3" t="s">
        <v>274</v>
      </c>
      <c r="O4554" s="2" t="s">
        <v>590</v>
      </c>
      <c r="P4554" s="3" t="s">
        <v>66</v>
      </c>
      <c r="R4554" s="3" t="s">
        <v>67</v>
      </c>
      <c r="S4554" s="4">
        <v>12</v>
      </c>
      <c r="T4554" s="4">
        <v>12</v>
      </c>
      <c r="U4554" s="5" t="s">
        <v>39536</v>
      </c>
      <c r="V4554" s="5" t="s">
        <v>39536</v>
      </c>
      <c r="W4554" s="5" t="s">
        <v>69</v>
      </c>
      <c r="X4554" s="5" t="s">
        <v>69</v>
      </c>
      <c r="Y4554" s="4">
        <v>403</v>
      </c>
      <c r="Z4554" s="4">
        <v>18</v>
      </c>
      <c r="AA4554" s="4">
        <v>18</v>
      </c>
      <c r="AB4554" s="4">
        <v>2</v>
      </c>
      <c r="AC4554" s="4">
        <v>2</v>
      </c>
      <c r="AD4554" s="4">
        <v>87</v>
      </c>
      <c r="AE4554" s="4">
        <v>87</v>
      </c>
      <c r="AF4554" s="4">
        <v>0</v>
      </c>
      <c r="AG4554" s="4">
        <v>0</v>
      </c>
      <c r="AH4554" s="4">
        <v>79</v>
      </c>
      <c r="AI4554" s="4">
        <v>79</v>
      </c>
      <c r="AJ4554" s="4">
        <v>8</v>
      </c>
      <c r="AK4554" s="4">
        <v>8</v>
      </c>
      <c r="AL4554" s="4">
        <v>49</v>
      </c>
      <c r="AM4554" s="4">
        <v>49</v>
      </c>
      <c r="AN4554" s="4">
        <v>0</v>
      </c>
      <c r="AO4554" s="4">
        <v>0</v>
      </c>
      <c r="AP4554" s="4">
        <v>9</v>
      </c>
      <c r="AQ4554" s="4">
        <v>9</v>
      </c>
      <c r="AR4554" s="3" t="s">
        <v>63</v>
      </c>
      <c r="AS4554" s="3" t="s">
        <v>63</v>
      </c>
      <c r="AT4554" s="3" t="s">
        <v>63</v>
      </c>
      <c r="AV4554" s="6" t="str">
        <f>HYPERLINK("http://mcgill.on.worldcat.org/oclc/38831388","Catalog Record")</f>
        <v>Catalog Record</v>
      </c>
      <c r="AW4554" s="6" t="str">
        <f>HYPERLINK("http://www.worldcat.org/oclc/38831388","WorldCat Record")</f>
        <v>WorldCat Record</v>
      </c>
      <c r="AX4554" s="3" t="s">
        <v>39537</v>
      </c>
      <c r="AY4554" s="3" t="s">
        <v>39538</v>
      </c>
      <c r="AZ4554" s="3" t="s">
        <v>39539</v>
      </c>
      <c r="BA4554" s="3" t="s">
        <v>39539</v>
      </c>
      <c r="BB4554" s="3" t="s">
        <v>39540</v>
      </c>
      <c r="BC4554" s="3" t="s">
        <v>82</v>
      </c>
      <c r="BD4554" s="3" t="s">
        <v>70</v>
      </c>
      <c r="BE4554" s="3" t="s">
        <v>39541</v>
      </c>
      <c r="BF4554" s="3" t="s">
        <v>39540</v>
      </c>
      <c r="BG4554" s="3" t="s">
        <v>39542</v>
      </c>
    </row>
    <row r="4555" spans="1:59" ht="60" x14ac:dyDescent="0.25">
      <c r="A4555" s="2" t="s">
        <v>59</v>
      </c>
      <c r="B4555" s="2" t="s">
        <v>60</v>
      </c>
      <c r="C4555" s="2" t="s">
        <v>39543</v>
      </c>
      <c r="D4555" s="2" t="s">
        <v>39544</v>
      </c>
      <c r="E4555" s="2" t="s">
        <v>39545</v>
      </c>
      <c r="G4555" s="3" t="s">
        <v>63</v>
      </c>
      <c r="I4555" s="3" t="s">
        <v>63</v>
      </c>
      <c r="J4555" s="3" t="s">
        <v>63</v>
      </c>
      <c r="K4555" s="3" t="s">
        <v>64</v>
      </c>
      <c r="L4555" s="2" t="s">
        <v>39522</v>
      </c>
      <c r="M4555" s="2" t="s">
        <v>39546</v>
      </c>
      <c r="N4555" s="3" t="s">
        <v>274</v>
      </c>
      <c r="O4555" s="2" t="s">
        <v>590</v>
      </c>
      <c r="P4555" s="3" t="s">
        <v>66</v>
      </c>
      <c r="R4555" s="3" t="s">
        <v>67</v>
      </c>
      <c r="S4555" s="4">
        <v>4</v>
      </c>
      <c r="T4555" s="4">
        <v>4</v>
      </c>
      <c r="U4555" s="5" t="s">
        <v>39536</v>
      </c>
      <c r="V4555" s="5" t="s">
        <v>39536</v>
      </c>
      <c r="W4555" s="5" t="s">
        <v>69</v>
      </c>
      <c r="X4555" s="5" t="s">
        <v>69</v>
      </c>
      <c r="Y4555" s="4">
        <v>353</v>
      </c>
      <c r="Z4555" s="4">
        <v>15</v>
      </c>
      <c r="AA4555" s="4">
        <v>15</v>
      </c>
      <c r="AB4555" s="4">
        <v>2</v>
      </c>
      <c r="AC4555" s="4">
        <v>2</v>
      </c>
      <c r="AD4555" s="4">
        <v>86</v>
      </c>
      <c r="AE4555" s="4">
        <v>86</v>
      </c>
      <c r="AF4555" s="4">
        <v>0</v>
      </c>
      <c r="AG4555" s="4">
        <v>0</v>
      </c>
      <c r="AH4555" s="4">
        <v>80</v>
      </c>
      <c r="AI4555" s="4">
        <v>80</v>
      </c>
      <c r="AJ4555" s="4">
        <v>9</v>
      </c>
      <c r="AK4555" s="4">
        <v>9</v>
      </c>
      <c r="AL4555" s="4">
        <v>49</v>
      </c>
      <c r="AM4555" s="4">
        <v>49</v>
      </c>
      <c r="AN4555" s="4">
        <v>0</v>
      </c>
      <c r="AO4555" s="4">
        <v>0</v>
      </c>
      <c r="AP4555" s="4">
        <v>9</v>
      </c>
      <c r="AQ4555" s="4">
        <v>9</v>
      </c>
      <c r="AR4555" s="3" t="s">
        <v>63</v>
      </c>
      <c r="AS4555" s="3" t="s">
        <v>63</v>
      </c>
      <c r="AT4555" s="3" t="s">
        <v>63</v>
      </c>
      <c r="AV4555" s="6" t="str">
        <f>HYPERLINK("http://mcgill.on.worldcat.org/oclc/38832082","Catalog Record")</f>
        <v>Catalog Record</v>
      </c>
      <c r="AW4555" s="6" t="str">
        <f>HYPERLINK("http://www.worldcat.org/oclc/38832082","WorldCat Record")</f>
        <v>WorldCat Record</v>
      </c>
      <c r="AX4555" s="3" t="s">
        <v>39547</v>
      </c>
      <c r="AY4555" s="3" t="s">
        <v>39548</v>
      </c>
      <c r="AZ4555" s="3" t="s">
        <v>39549</v>
      </c>
      <c r="BA4555" s="3" t="s">
        <v>39549</v>
      </c>
      <c r="BB4555" s="3" t="s">
        <v>39550</v>
      </c>
      <c r="BC4555" s="3" t="s">
        <v>82</v>
      </c>
      <c r="BD4555" s="3" t="s">
        <v>70</v>
      </c>
      <c r="BE4555" s="3" t="s">
        <v>39551</v>
      </c>
      <c r="BF4555" s="3" t="s">
        <v>39550</v>
      </c>
      <c r="BG4555" s="3" t="s">
        <v>39552</v>
      </c>
    </row>
    <row r="4556" spans="1:59" ht="60" x14ac:dyDescent="0.25">
      <c r="A4556" s="2" t="s">
        <v>59</v>
      </c>
      <c r="B4556" s="2" t="s">
        <v>60</v>
      </c>
      <c r="C4556" s="2" t="s">
        <v>39553</v>
      </c>
      <c r="D4556" s="2" t="s">
        <v>39554</v>
      </c>
      <c r="E4556" s="2" t="s">
        <v>39555</v>
      </c>
      <c r="G4556" s="3" t="s">
        <v>63</v>
      </c>
      <c r="I4556" s="3" t="s">
        <v>62</v>
      </c>
      <c r="J4556" s="3" t="s">
        <v>63</v>
      </c>
      <c r="K4556" s="3" t="s">
        <v>64</v>
      </c>
      <c r="L4556" s="2" t="s">
        <v>39522</v>
      </c>
      <c r="M4556" s="2" t="s">
        <v>39556</v>
      </c>
      <c r="N4556" s="3" t="s">
        <v>939</v>
      </c>
      <c r="P4556" s="3" t="s">
        <v>66</v>
      </c>
      <c r="Q4556" s="2" t="s">
        <v>39557</v>
      </c>
      <c r="R4556" s="3" t="s">
        <v>67</v>
      </c>
      <c r="S4556" s="4">
        <v>2</v>
      </c>
      <c r="T4556" s="4">
        <v>15</v>
      </c>
      <c r="U4556" s="5" t="s">
        <v>3883</v>
      </c>
      <c r="V4556" s="5" t="s">
        <v>1298</v>
      </c>
      <c r="W4556" s="5" t="s">
        <v>69</v>
      </c>
      <c r="X4556" s="5" t="s">
        <v>69</v>
      </c>
      <c r="Y4556" s="4">
        <v>239</v>
      </c>
      <c r="Z4556" s="4">
        <v>21</v>
      </c>
      <c r="AA4556" s="4">
        <v>37</v>
      </c>
      <c r="AB4556" s="4">
        <v>1</v>
      </c>
      <c r="AC4556" s="4">
        <v>3</v>
      </c>
      <c r="AD4556" s="4">
        <v>70</v>
      </c>
      <c r="AE4556" s="4">
        <v>125</v>
      </c>
      <c r="AF4556" s="4">
        <v>0</v>
      </c>
      <c r="AG4556" s="4">
        <v>2</v>
      </c>
      <c r="AH4556" s="4">
        <v>60</v>
      </c>
      <c r="AI4556" s="4">
        <v>105</v>
      </c>
      <c r="AJ4556" s="4">
        <v>10</v>
      </c>
      <c r="AK4556" s="4">
        <v>21</v>
      </c>
      <c r="AL4556" s="4">
        <v>37</v>
      </c>
      <c r="AM4556" s="4">
        <v>59</v>
      </c>
      <c r="AN4556" s="4">
        <v>0</v>
      </c>
      <c r="AO4556" s="4">
        <v>0</v>
      </c>
      <c r="AP4556" s="4">
        <v>13</v>
      </c>
      <c r="AQ4556" s="4">
        <v>25</v>
      </c>
      <c r="AR4556" s="3" t="s">
        <v>63</v>
      </c>
      <c r="AS4556" s="3" t="s">
        <v>63</v>
      </c>
      <c r="AT4556" s="3" t="s">
        <v>63</v>
      </c>
      <c r="AV4556" s="6" t="str">
        <f>HYPERLINK("http://mcgill.on.worldcat.org/oclc/460280","Catalog Record")</f>
        <v>Catalog Record</v>
      </c>
      <c r="AW4556" s="6" t="str">
        <f>HYPERLINK("http://www.worldcat.org/oclc/460280","WorldCat Record")</f>
        <v>WorldCat Record</v>
      </c>
      <c r="AX4556" s="3" t="s">
        <v>39558</v>
      </c>
      <c r="AY4556" s="3" t="s">
        <v>39559</v>
      </c>
      <c r="AZ4556" s="3" t="s">
        <v>39560</v>
      </c>
      <c r="BA4556" s="3" t="s">
        <v>39560</v>
      </c>
      <c r="BB4556" s="3" t="s">
        <v>39561</v>
      </c>
      <c r="BC4556" s="3" t="s">
        <v>82</v>
      </c>
      <c r="BD4556" s="3" t="s">
        <v>70</v>
      </c>
      <c r="BF4556" s="3" t="s">
        <v>39561</v>
      </c>
      <c r="BG4556" s="3" t="s">
        <v>39562</v>
      </c>
    </row>
    <row r="4557" spans="1:59" ht="60" x14ac:dyDescent="0.25">
      <c r="A4557" s="2" t="s">
        <v>59</v>
      </c>
      <c r="B4557" s="2" t="s">
        <v>60</v>
      </c>
      <c r="C4557" s="2" t="s">
        <v>39553</v>
      </c>
      <c r="D4557" s="2" t="s">
        <v>39554</v>
      </c>
      <c r="E4557" s="2" t="s">
        <v>39555</v>
      </c>
      <c r="G4557" s="3" t="s">
        <v>63</v>
      </c>
      <c r="I4557" s="3" t="s">
        <v>62</v>
      </c>
      <c r="J4557" s="3" t="s">
        <v>63</v>
      </c>
      <c r="K4557" s="3" t="s">
        <v>64</v>
      </c>
      <c r="L4557" s="2" t="s">
        <v>39522</v>
      </c>
      <c r="M4557" s="2" t="s">
        <v>39556</v>
      </c>
      <c r="N4557" s="3" t="s">
        <v>939</v>
      </c>
      <c r="P4557" s="3" t="s">
        <v>66</v>
      </c>
      <c r="Q4557" s="2" t="s">
        <v>39557</v>
      </c>
      <c r="R4557" s="3" t="s">
        <v>67</v>
      </c>
      <c r="S4557" s="4">
        <v>13</v>
      </c>
      <c r="T4557" s="4">
        <v>15</v>
      </c>
      <c r="U4557" s="5" t="s">
        <v>1298</v>
      </c>
      <c r="V4557" s="5" t="s">
        <v>1298</v>
      </c>
      <c r="W4557" s="5" t="s">
        <v>69</v>
      </c>
      <c r="X4557" s="5" t="s">
        <v>69</v>
      </c>
      <c r="Y4557" s="4">
        <v>239</v>
      </c>
      <c r="Z4557" s="4">
        <v>21</v>
      </c>
      <c r="AA4557" s="4">
        <v>37</v>
      </c>
      <c r="AB4557" s="4">
        <v>1</v>
      </c>
      <c r="AC4557" s="4">
        <v>3</v>
      </c>
      <c r="AD4557" s="4">
        <v>70</v>
      </c>
      <c r="AE4557" s="4">
        <v>125</v>
      </c>
      <c r="AF4557" s="4">
        <v>0</v>
      </c>
      <c r="AG4557" s="4">
        <v>2</v>
      </c>
      <c r="AH4557" s="4">
        <v>60</v>
      </c>
      <c r="AI4557" s="4">
        <v>105</v>
      </c>
      <c r="AJ4557" s="4">
        <v>10</v>
      </c>
      <c r="AK4557" s="4">
        <v>21</v>
      </c>
      <c r="AL4557" s="4">
        <v>37</v>
      </c>
      <c r="AM4557" s="4">
        <v>59</v>
      </c>
      <c r="AN4557" s="4">
        <v>0</v>
      </c>
      <c r="AO4557" s="4">
        <v>0</v>
      </c>
      <c r="AP4557" s="4">
        <v>13</v>
      </c>
      <c r="AQ4557" s="4">
        <v>25</v>
      </c>
      <c r="AR4557" s="3" t="s">
        <v>63</v>
      </c>
      <c r="AS4557" s="3" t="s">
        <v>63</v>
      </c>
      <c r="AT4557" s="3" t="s">
        <v>63</v>
      </c>
      <c r="AV4557" s="6" t="str">
        <f>HYPERLINK("http://mcgill.on.worldcat.org/oclc/460280","Catalog Record")</f>
        <v>Catalog Record</v>
      </c>
      <c r="AW4557" s="6" t="str">
        <f>HYPERLINK("http://www.worldcat.org/oclc/460280","WorldCat Record")</f>
        <v>WorldCat Record</v>
      </c>
      <c r="AX4557" s="3" t="s">
        <v>39558</v>
      </c>
      <c r="AY4557" s="3" t="s">
        <v>39559</v>
      </c>
      <c r="AZ4557" s="3" t="s">
        <v>39560</v>
      </c>
      <c r="BA4557" s="3" t="s">
        <v>39560</v>
      </c>
      <c r="BB4557" s="3" t="s">
        <v>39563</v>
      </c>
      <c r="BC4557" s="3" t="s">
        <v>82</v>
      </c>
      <c r="BD4557" s="3" t="s">
        <v>70</v>
      </c>
      <c r="BF4557" s="3" t="s">
        <v>39563</v>
      </c>
      <c r="BG4557" s="3" t="s">
        <v>39564</v>
      </c>
    </row>
    <row r="4558" spans="1:59" ht="75" x14ac:dyDescent="0.25">
      <c r="A4558" s="2" t="s">
        <v>59</v>
      </c>
      <c r="B4558" s="2" t="s">
        <v>60</v>
      </c>
      <c r="C4558" s="2" t="s">
        <v>39565</v>
      </c>
      <c r="D4558" s="2" t="s">
        <v>39566</v>
      </c>
      <c r="E4558" s="2" t="s">
        <v>39567</v>
      </c>
      <c r="G4558" s="3" t="s">
        <v>63</v>
      </c>
      <c r="I4558" s="3" t="s">
        <v>63</v>
      </c>
      <c r="J4558" s="3" t="s">
        <v>63</v>
      </c>
      <c r="K4558" s="3" t="s">
        <v>64</v>
      </c>
      <c r="L4558" s="2" t="s">
        <v>39522</v>
      </c>
      <c r="M4558" s="2" t="s">
        <v>39568</v>
      </c>
      <c r="N4558" s="3" t="s">
        <v>1916</v>
      </c>
      <c r="O4558" s="2" t="s">
        <v>590</v>
      </c>
      <c r="P4558" s="3" t="s">
        <v>66</v>
      </c>
      <c r="R4558" s="3" t="s">
        <v>67</v>
      </c>
      <c r="S4558" s="4">
        <v>15</v>
      </c>
      <c r="T4558" s="4">
        <v>15</v>
      </c>
      <c r="U4558" s="5" t="s">
        <v>24722</v>
      </c>
      <c r="V4558" s="5" t="s">
        <v>24722</v>
      </c>
      <c r="W4558" s="5" t="s">
        <v>69</v>
      </c>
      <c r="X4558" s="5" t="s">
        <v>69</v>
      </c>
      <c r="Y4558" s="4">
        <v>398</v>
      </c>
      <c r="Z4558" s="4">
        <v>20</v>
      </c>
      <c r="AA4558" s="4">
        <v>20</v>
      </c>
      <c r="AB4558" s="4">
        <v>1</v>
      </c>
      <c r="AC4558" s="4">
        <v>1</v>
      </c>
      <c r="AD4558" s="4">
        <v>100</v>
      </c>
      <c r="AE4558" s="4">
        <v>102</v>
      </c>
      <c r="AF4558" s="4">
        <v>0</v>
      </c>
      <c r="AG4558" s="4">
        <v>0</v>
      </c>
      <c r="AH4558" s="4">
        <v>95</v>
      </c>
      <c r="AI4558" s="4">
        <v>97</v>
      </c>
      <c r="AJ4558" s="4">
        <v>11</v>
      </c>
      <c r="AK4558" s="4">
        <v>11</v>
      </c>
      <c r="AL4558" s="4">
        <v>52</v>
      </c>
      <c r="AM4558" s="4">
        <v>54</v>
      </c>
      <c r="AN4558" s="4">
        <v>0</v>
      </c>
      <c r="AO4558" s="4">
        <v>0</v>
      </c>
      <c r="AP4558" s="4">
        <v>11</v>
      </c>
      <c r="AQ4558" s="4">
        <v>11</v>
      </c>
      <c r="AR4558" s="3" t="s">
        <v>63</v>
      </c>
      <c r="AS4558" s="3" t="s">
        <v>63</v>
      </c>
      <c r="AT4558" s="3" t="s">
        <v>62</v>
      </c>
      <c r="AU4558" s="6" t="str">
        <f>HYPERLINK("http://catalog.hathitrust.org/Record/000611149","HathiTrust Record")</f>
        <v>HathiTrust Record</v>
      </c>
      <c r="AV4558" s="6" t="str">
        <f>HYPERLINK("http://mcgill.on.worldcat.org/oclc/10951423","Catalog Record")</f>
        <v>Catalog Record</v>
      </c>
      <c r="AW4558" s="6" t="str">
        <f>HYPERLINK("http://www.worldcat.org/oclc/10951423","WorldCat Record")</f>
        <v>WorldCat Record</v>
      </c>
      <c r="AX4558" s="3" t="s">
        <v>39569</v>
      </c>
      <c r="AY4558" s="3" t="s">
        <v>39570</v>
      </c>
      <c r="AZ4558" s="3" t="s">
        <v>39571</v>
      </c>
      <c r="BA4558" s="3" t="s">
        <v>39571</v>
      </c>
      <c r="BB4558" s="3" t="s">
        <v>39572</v>
      </c>
      <c r="BC4558" s="3" t="s">
        <v>82</v>
      </c>
      <c r="BD4558" s="3" t="s">
        <v>70</v>
      </c>
      <c r="BE4558" s="3" t="s">
        <v>39573</v>
      </c>
      <c r="BF4558" s="3" t="s">
        <v>39572</v>
      </c>
      <c r="BG4558" s="3" t="s">
        <v>39574</v>
      </c>
    </row>
    <row r="4559" spans="1:59" ht="75" x14ac:dyDescent="0.25">
      <c r="A4559" s="2" t="s">
        <v>59</v>
      </c>
      <c r="B4559" s="2" t="s">
        <v>60</v>
      </c>
      <c r="C4559" s="2" t="s">
        <v>39575</v>
      </c>
      <c r="D4559" s="2" t="s">
        <v>39576</v>
      </c>
      <c r="E4559" s="2" t="s">
        <v>39577</v>
      </c>
      <c r="G4559" s="3" t="s">
        <v>63</v>
      </c>
      <c r="I4559" s="3" t="s">
        <v>63</v>
      </c>
      <c r="J4559" s="3" t="s">
        <v>63</v>
      </c>
      <c r="K4559" s="3" t="s">
        <v>64</v>
      </c>
      <c r="L4559" s="2" t="s">
        <v>39578</v>
      </c>
      <c r="M4559" s="2" t="s">
        <v>39579</v>
      </c>
      <c r="N4559" s="3" t="s">
        <v>76</v>
      </c>
      <c r="P4559" s="3" t="s">
        <v>66</v>
      </c>
      <c r="R4559" s="3" t="s">
        <v>67</v>
      </c>
      <c r="S4559" s="4">
        <v>0</v>
      </c>
      <c r="T4559" s="4">
        <v>0</v>
      </c>
      <c r="W4559" s="5" t="s">
        <v>69</v>
      </c>
      <c r="X4559" s="5" t="s">
        <v>69</v>
      </c>
      <c r="Y4559" s="4">
        <v>107</v>
      </c>
      <c r="Z4559" s="4">
        <v>7</v>
      </c>
      <c r="AA4559" s="4">
        <v>9</v>
      </c>
      <c r="AB4559" s="4">
        <v>1</v>
      </c>
      <c r="AC4559" s="4">
        <v>1</v>
      </c>
      <c r="AD4559" s="4">
        <v>46</v>
      </c>
      <c r="AE4559" s="4">
        <v>47</v>
      </c>
      <c r="AF4559" s="4">
        <v>0</v>
      </c>
      <c r="AG4559" s="4">
        <v>0</v>
      </c>
      <c r="AH4559" s="4">
        <v>44</v>
      </c>
      <c r="AI4559" s="4">
        <v>45</v>
      </c>
      <c r="AJ4559" s="4">
        <v>3</v>
      </c>
      <c r="AK4559" s="4">
        <v>4</v>
      </c>
      <c r="AL4559" s="4">
        <v>29</v>
      </c>
      <c r="AM4559" s="4">
        <v>30</v>
      </c>
      <c r="AN4559" s="4">
        <v>0</v>
      </c>
      <c r="AO4559" s="4">
        <v>0</v>
      </c>
      <c r="AP4559" s="4">
        <v>3</v>
      </c>
      <c r="AQ4559" s="4">
        <v>4</v>
      </c>
      <c r="AR4559" s="3" t="s">
        <v>63</v>
      </c>
      <c r="AS4559" s="3" t="s">
        <v>63</v>
      </c>
      <c r="AT4559" s="3" t="s">
        <v>63</v>
      </c>
      <c r="AV4559" s="6" t="str">
        <f>HYPERLINK("http://mcgill.on.worldcat.org/oclc/751750475","Catalog Record")</f>
        <v>Catalog Record</v>
      </c>
      <c r="AW4559" s="6" t="str">
        <f>HYPERLINK("http://www.worldcat.org/oclc/751750475","WorldCat Record")</f>
        <v>WorldCat Record</v>
      </c>
      <c r="AX4559" s="3" t="s">
        <v>39580</v>
      </c>
      <c r="AY4559" s="3" t="s">
        <v>39581</v>
      </c>
      <c r="AZ4559" s="3" t="s">
        <v>39582</v>
      </c>
      <c r="BA4559" s="3" t="s">
        <v>39582</v>
      </c>
      <c r="BB4559" s="3" t="s">
        <v>39583</v>
      </c>
      <c r="BC4559" s="3" t="s">
        <v>82</v>
      </c>
      <c r="BD4559" s="3" t="s">
        <v>70</v>
      </c>
      <c r="BE4559" s="3" t="s">
        <v>39584</v>
      </c>
      <c r="BF4559" s="3" t="s">
        <v>39583</v>
      </c>
      <c r="BG4559" s="3" t="s">
        <v>39585</v>
      </c>
    </row>
    <row r="4560" spans="1:59" ht="60" x14ac:dyDescent="0.25">
      <c r="A4560" s="2" t="s">
        <v>59</v>
      </c>
      <c r="B4560" s="2" t="s">
        <v>60</v>
      </c>
      <c r="C4560" s="2" t="s">
        <v>39586</v>
      </c>
      <c r="D4560" s="2" t="s">
        <v>39587</v>
      </c>
      <c r="E4560" s="2" t="s">
        <v>39588</v>
      </c>
      <c r="G4560" s="3" t="s">
        <v>63</v>
      </c>
      <c r="I4560" s="3" t="s">
        <v>63</v>
      </c>
      <c r="J4560" s="3" t="s">
        <v>63</v>
      </c>
      <c r="K4560" s="3" t="s">
        <v>64</v>
      </c>
      <c r="L4560" s="2" t="s">
        <v>39589</v>
      </c>
      <c r="M4560" s="2" t="s">
        <v>39590</v>
      </c>
      <c r="N4560" s="3" t="s">
        <v>1418</v>
      </c>
      <c r="P4560" s="3" t="s">
        <v>66</v>
      </c>
      <c r="R4560" s="3" t="s">
        <v>67</v>
      </c>
      <c r="S4560" s="4">
        <v>13</v>
      </c>
      <c r="T4560" s="4">
        <v>13</v>
      </c>
      <c r="U4560" s="5" t="s">
        <v>14156</v>
      </c>
      <c r="V4560" s="5" t="s">
        <v>14156</v>
      </c>
      <c r="W4560" s="5" t="s">
        <v>69</v>
      </c>
      <c r="X4560" s="5" t="s">
        <v>69</v>
      </c>
      <c r="Y4560" s="4">
        <v>429</v>
      </c>
      <c r="Z4560" s="4">
        <v>25</v>
      </c>
      <c r="AA4560" s="4">
        <v>26</v>
      </c>
      <c r="AB4560" s="4">
        <v>3</v>
      </c>
      <c r="AC4560" s="4">
        <v>4</v>
      </c>
      <c r="AD4560" s="4">
        <v>107</v>
      </c>
      <c r="AE4560" s="4">
        <v>108</v>
      </c>
      <c r="AF4560" s="4">
        <v>1</v>
      </c>
      <c r="AG4560" s="4">
        <v>2</v>
      </c>
      <c r="AH4560" s="4">
        <v>95</v>
      </c>
      <c r="AI4560" s="4">
        <v>96</v>
      </c>
      <c r="AJ4560" s="4">
        <v>16</v>
      </c>
      <c r="AK4560" s="4">
        <v>17</v>
      </c>
      <c r="AL4560" s="4">
        <v>55</v>
      </c>
      <c r="AM4560" s="4">
        <v>55</v>
      </c>
      <c r="AN4560" s="4">
        <v>0</v>
      </c>
      <c r="AO4560" s="4">
        <v>0</v>
      </c>
      <c r="AP4560" s="4">
        <v>18</v>
      </c>
      <c r="AQ4560" s="4">
        <v>19</v>
      </c>
      <c r="AR4560" s="3" t="s">
        <v>63</v>
      </c>
      <c r="AS4560" s="3" t="s">
        <v>63</v>
      </c>
      <c r="AT4560" s="3" t="s">
        <v>62</v>
      </c>
      <c r="AU4560" s="6" t="str">
        <f>HYPERLINK("http://catalog.hathitrust.org/Record/000857054","HathiTrust Record")</f>
        <v>HathiTrust Record</v>
      </c>
      <c r="AV4560" s="6" t="str">
        <f>HYPERLINK("http://mcgill.on.worldcat.org/oclc/16005936","Catalog Record")</f>
        <v>Catalog Record</v>
      </c>
      <c r="AW4560" s="6" t="str">
        <f>HYPERLINK("http://www.worldcat.org/oclc/16005936","WorldCat Record")</f>
        <v>WorldCat Record</v>
      </c>
      <c r="AX4560" s="3" t="s">
        <v>39591</v>
      </c>
      <c r="AY4560" s="3" t="s">
        <v>39592</v>
      </c>
      <c r="AZ4560" s="3" t="s">
        <v>39593</v>
      </c>
      <c r="BA4560" s="3" t="s">
        <v>39593</v>
      </c>
      <c r="BB4560" s="3" t="s">
        <v>39594</v>
      </c>
      <c r="BC4560" s="3" t="s">
        <v>82</v>
      </c>
      <c r="BD4560" s="3" t="s">
        <v>70</v>
      </c>
      <c r="BE4560" s="3" t="s">
        <v>39595</v>
      </c>
      <c r="BF4560" s="3" t="s">
        <v>39594</v>
      </c>
      <c r="BG4560" s="3" t="s">
        <v>39596</v>
      </c>
    </row>
    <row r="4561" spans="1:59" ht="75" x14ac:dyDescent="0.25">
      <c r="A4561" s="2" t="s">
        <v>59</v>
      </c>
      <c r="B4561" s="2" t="s">
        <v>60</v>
      </c>
      <c r="C4561" s="2" t="s">
        <v>39597</v>
      </c>
      <c r="D4561" s="2" t="s">
        <v>39598</v>
      </c>
      <c r="E4561" s="2" t="s">
        <v>39599</v>
      </c>
      <c r="G4561" s="3" t="s">
        <v>63</v>
      </c>
      <c r="I4561" s="3" t="s">
        <v>62</v>
      </c>
      <c r="J4561" s="3" t="s">
        <v>63</v>
      </c>
      <c r="K4561" s="3" t="s">
        <v>64</v>
      </c>
      <c r="L4561" s="2" t="s">
        <v>39600</v>
      </c>
      <c r="M4561" s="2" t="s">
        <v>39601</v>
      </c>
      <c r="N4561" s="3" t="s">
        <v>2043</v>
      </c>
      <c r="P4561" s="3" t="s">
        <v>66</v>
      </c>
      <c r="R4561" s="3" t="s">
        <v>67</v>
      </c>
      <c r="S4561" s="4">
        <v>1</v>
      </c>
      <c r="T4561" s="4">
        <v>1</v>
      </c>
      <c r="U4561" s="5" t="s">
        <v>39602</v>
      </c>
      <c r="V4561" s="5" t="s">
        <v>39602</v>
      </c>
      <c r="W4561" s="5" t="s">
        <v>69</v>
      </c>
      <c r="X4561" s="5" t="s">
        <v>69</v>
      </c>
      <c r="Y4561" s="4">
        <v>45</v>
      </c>
      <c r="Z4561" s="4">
        <v>18</v>
      </c>
      <c r="AA4561" s="4">
        <v>19</v>
      </c>
      <c r="AB4561" s="4">
        <v>1</v>
      </c>
      <c r="AC4561" s="4">
        <v>2</v>
      </c>
      <c r="AD4561" s="4">
        <v>31</v>
      </c>
      <c r="AE4561" s="4">
        <v>32</v>
      </c>
      <c r="AF4561" s="4">
        <v>0</v>
      </c>
      <c r="AG4561" s="4">
        <v>1</v>
      </c>
      <c r="AH4561" s="4">
        <v>26</v>
      </c>
      <c r="AI4561" s="4">
        <v>26</v>
      </c>
      <c r="AJ4561" s="4">
        <v>13</v>
      </c>
      <c r="AK4561" s="4">
        <v>14</v>
      </c>
      <c r="AL4561" s="4">
        <v>15</v>
      </c>
      <c r="AM4561" s="4">
        <v>15</v>
      </c>
      <c r="AN4561" s="4">
        <v>0</v>
      </c>
      <c r="AO4561" s="4">
        <v>0</v>
      </c>
      <c r="AP4561" s="4">
        <v>14</v>
      </c>
      <c r="AQ4561" s="4">
        <v>14</v>
      </c>
      <c r="AR4561" s="3" t="s">
        <v>62</v>
      </c>
      <c r="AS4561" s="3" t="s">
        <v>63</v>
      </c>
      <c r="AT4561" s="3" t="s">
        <v>62</v>
      </c>
      <c r="AU4561" s="6" t="str">
        <f>HYPERLINK("http://catalog.hathitrust.org/Record/006704979","HathiTrust Record")</f>
        <v>HathiTrust Record</v>
      </c>
      <c r="AV4561" s="6" t="str">
        <f>HYPERLINK("http://mcgill.on.worldcat.org/oclc/7583318","Catalog Record")</f>
        <v>Catalog Record</v>
      </c>
      <c r="AW4561" s="6" t="str">
        <f>HYPERLINK("http://www.worldcat.org/oclc/7583318","WorldCat Record")</f>
        <v>WorldCat Record</v>
      </c>
      <c r="AX4561" s="3" t="s">
        <v>39603</v>
      </c>
      <c r="AY4561" s="3" t="s">
        <v>39604</v>
      </c>
      <c r="AZ4561" s="3" t="s">
        <v>39605</v>
      </c>
      <c r="BA4561" s="3" t="s">
        <v>39605</v>
      </c>
      <c r="BB4561" s="3" t="s">
        <v>39606</v>
      </c>
      <c r="BC4561" s="3" t="s">
        <v>82</v>
      </c>
      <c r="BD4561" s="3" t="s">
        <v>70</v>
      </c>
      <c r="BE4561" s="3" t="s">
        <v>39607</v>
      </c>
      <c r="BF4561" s="3" t="s">
        <v>39606</v>
      </c>
      <c r="BG4561" s="3" t="s">
        <v>39608</v>
      </c>
    </row>
    <row r="4562" spans="1:59" ht="60" x14ac:dyDescent="0.25">
      <c r="A4562" s="2" t="s">
        <v>59</v>
      </c>
      <c r="B4562" s="2" t="s">
        <v>60</v>
      </c>
      <c r="C4562" s="2" t="s">
        <v>39609</v>
      </c>
      <c r="D4562" s="2" t="s">
        <v>39610</v>
      </c>
      <c r="E4562" s="2" t="s">
        <v>39611</v>
      </c>
      <c r="G4562" s="3" t="s">
        <v>63</v>
      </c>
      <c r="I4562" s="3" t="s">
        <v>63</v>
      </c>
      <c r="J4562" s="3" t="s">
        <v>63</v>
      </c>
      <c r="K4562" s="3" t="s">
        <v>64</v>
      </c>
      <c r="L4562" s="2" t="s">
        <v>39612</v>
      </c>
      <c r="M4562" s="2" t="s">
        <v>39613</v>
      </c>
      <c r="N4562" s="3" t="s">
        <v>693</v>
      </c>
      <c r="P4562" s="3" t="s">
        <v>66</v>
      </c>
      <c r="R4562" s="3" t="s">
        <v>67</v>
      </c>
      <c r="S4562" s="4">
        <v>7</v>
      </c>
      <c r="T4562" s="4">
        <v>7</v>
      </c>
      <c r="U4562" s="5" t="s">
        <v>11316</v>
      </c>
      <c r="V4562" s="5" t="s">
        <v>11316</v>
      </c>
      <c r="W4562" s="5" t="s">
        <v>69</v>
      </c>
      <c r="X4562" s="5" t="s">
        <v>69</v>
      </c>
      <c r="Y4562" s="4">
        <v>136</v>
      </c>
      <c r="Z4562" s="4">
        <v>10</v>
      </c>
      <c r="AA4562" s="4">
        <v>10</v>
      </c>
      <c r="AB4562" s="4">
        <v>1</v>
      </c>
      <c r="AC4562" s="4">
        <v>1</v>
      </c>
      <c r="AD4562" s="4">
        <v>63</v>
      </c>
      <c r="AE4562" s="4">
        <v>63</v>
      </c>
      <c r="AF4562" s="4">
        <v>0</v>
      </c>
      <c r="AG4562" s="4">
        <v>0</v>
      </c>
      <c r="AH4562" s="4">
        <v>61</v>
      </c>
      <c r="AI4562" s="4">
        <v>61</v>
      </c>
      <c r="AJ4562" s="4">
        <v>4</v>
      </c>
      <c r="AK4562" s="4">
        <v>4</v>
      </c>
      <c r="AL4562" s="4">
        <v>40</v>
      </c>
      <c r="AM4562" s="4">
        <v>40</v>
      </c>
      <c r="AN4562" s="4">
        <v>0</v>
      </c>
      <c r="AO4562" s="4">
        <v>0</v>
      </c>
      <c r="AP4562" s="4">
        <v>5</v>
      </c>
      <c r="AQ4562" s="4">
        <v>5</v>
      </c>
      <c r="AR4562" s="3" t="s">
        <v>63</v>
      </c>
      <c r="AS4562" s="3" t="s">
        <v>63</v>
      </c>
      <c r="AT4562" s="3" t="s">
        <v>63</v>
      </c>
      <c r="AV4562" s="6" t="str">
        <f>HYPERLINK("http://mcgill.on.worldcat.org/oclc/53896729","Catalog Record")</f>
        <v>Catalog Record</v>
      </c>
      <c r="AW4562" s="6" t="str">
        <f>HYPERLINK("http://www.worldcat.org/oclc/53896729","WorldCat Record")</f>
        <v>WorldCat Record</v>
      </c>
      <c r="AX4562" s="3" t="s">
        <v>39614</v>
      </c>
      <c r="AY4562" s="3" t="s">
        <v>39615</v>
      </c>
      <c r="AZ4562" s="3" t="s">
        <v>39616</v>
      </c>
      <c r="BA4562" s="3" t="s">
        <v>39616</v>
      </c>
      <c r="BB4562" s="3" t="s">
        <v>39617</v>
      </c>
      <c r="BC4562" s="3" t="s">
        <v>82</v>
      </c>
      <c r="BD4562" s="3" t="s">
        <v>70</v>
      </c>
      <c r="BE4562" s="3" t="s">
        <v>39618</v>
      </c>
      <c r="BF4562" s="3" t="s">
        <v>39617</v>
      </c>
      <c r="BG4562" s="3" t="s">
        <v>39619</v>
      </c>
    </row>
    <row r="4563" spans="1:59" ht="60" x14ac:dyDescent="0.25">
      <c r="A4563" s="2" t="s">
        <v>59</v>
      </c>
      <c r="B4563" s="2" t="s">
        <v>60</v>
      </c>
      <c r="C4563" s="2" t="s">
        <v>39620</v>
      </c>
      <c r="D4563" s="2" t="s">
        <v>39621</v>
      </c>
      <c r="E4563" s="2" t="s">
        <v>39622</v>
      </c>
      <c r="G4563" s="3" t="s">
        <v>63</v>
      </c>
      <c r="I4563" s="3" t="s">
        <v>63</v>
      </c>
      <c r="J4563" s="3" t="s">
        <v>63</v>
      </c>
      <c r="K4563" s="3" t="s">
        <v>64</v>
      </c>
      <c r="L4563" s="2" t="s">
        <v>39623</v>
      </c>
      <c r="M4563" s="2" t="s">
        <v>39624</v>
      </c>
      <c r="N4563" s="3" t="s">
        <v>130</v>
      </c>
      <c r="O4563" s="2" t="s">
        <v>1605</v>
      </c>
      <c r="P4563" s="3" t="s">
        <v>66</v>
      </c>
      <c r="R4563" s="3" t="s">
        <v>67</v>
      </c>
      <c r="S4563" s="4">
        <v>1</v>
      </c>
      <c r="T4563" s="4">
        <v>1</v>
      </c>
      <c r="U4563" s="5" t="s">
        <v>39625</v>
      </c>
      <c r="V4563" s="5" t="s">
        <v>39625</v>
      </c>
      <c r="W4563" s="5" t="s">
        <v>69</v>
      </c>
      <c r="X4563" s="5" t="s">
        <v>69</v>
      </c>
      <c r="Y4563" s="4">
        <v>78</v>
      </c>
      <c r="Z4563" s="4">
        <v>14</v>
      </c>
      <c r="AA4563" s="4">
        <v>14</v>
      </c>
      <c r="AB4563" s="4">
        <v>2</v>
      </c>
      <c r="AC4563" s="4">
        <v>2</v>
      </c>
      <c r="AD4563" s="4">
        <v>42</v>
      </c>
      <c r="AE4563" s="4">
        <v>42</v>
      </c>
      <c r="AF4563" s="4">
        <v>0</v>
      </c>
      <c r="AG4563" s="4">
        <v>0</v>
      </c>
      <c r="AH4563" s="4">
        <v>39</v>
      </c>
      <c r="AI4563" s="4">
        <v>39</v>
      </c>
      <c r="AJ4563" s="4">
        <v>7</v>
      </c>
      <c r="AK4563" s="4">
        <v>7</v>
      </c>
      <c r="AL4563" s="4">
        <v>22</v>
      </c>
      <c r="AM4563" s="4">
        <v>22</v>
      </c>
      <c r="AN4563" s="4">
        <v>0</v>
      </c>
      <c r="AO4563" s="4">
        <v>0</v>
      </c>
      <c r="AP4563" s="4">
        <v>8</v>
      </c>
      <c r="AQ4563" s="4">
        <v>8</v>
      </c>
      <c r="AR4563" s="3" t="s">
        <v>63</v>
      </c>
      <c r="AS4563" s="3" t="s">
        <v>63</v>
      </c>
      <c r="AT4563" s="3" t="s">
        <v>63</v>
      </c>
      <c r="AV4563" s="6" t="str">
        <f>HYPERLINK("http://mcgill.on.worldcat.org/oclc/756582607","Catalog Record")</f>
        <v>Catalog Record</v>
      </c>
      <c r="AW4563" s="6" t="str">
        <f>HYPERLINK("http://www.worldcat.org/oclc/756582607","WorldCat Record")</f>
        <v>WorldCat Record</v>
      </c>
      <c r="AX4563" s="3" t="s">
        <v>39626</v>
      </c>
      <c r="AY4563" s="3" t="s">
        <v>39627</v>
      </c>
      <c r="AZ4563" s="3" t="s">
        <v>39628</v>
      </c>
      <c r="BA4563" s="3" t="s">
        <v>39628</v>
      </c>
      <c r="BB4563" s="3" t="s">
        <v>39629</v>
      </c>
      <c r="BC4563" s="3" t="s">
        <v>82</v>
      </c>
      <c r="BD4563" s="3" t="s">
        <v>70</v>
      </c>
      <c r="BE4563" s="3" t="s">
        <v>39630</v>
      </c>
      <c r="BF4563" s="3" t="s">
        <v>39629</v>
      </c>
      <c r="BG4563" s="3" t="s">
        <v>39631</v>
      </c>
    </row>
    <row r="4564" spans="1:59" ht="60" x14ac:dyDescent="0.25">
      <c r="A4564" s="2" t="s">
        <v>59</v>
      </c>
      <c r="B4564" s="2" t="s">
        <v>60</v>
      </c>
      <c r="C4564" s="2" t="s">
        <v>39632</v>
      </c>
      <c r="D4564" s="2" t="s">
        <v>39633</v>
      </c>
      <c r="E4564" s="2" t="s">
        <v>39634</v>
      </c>
      <c r="G4564" s="3" t="s">
        <v>63</v>
      </c>
      <c r="I4564" s="3" t="s">
        <v>63</v>
      </c>
      <c r="J4564" s="3" t="s">
        <v>63</v>
      </c>
      <c r="K4564" s="3" t="s">
        <v>64</v>
      </c>
      <c r="L4564" s="2" t="s">
        <v>39635</v>
      </c>
      <c r="M4564" s="2" t="s">
        <v>39636</v>
      </c>
      <c r="N4564" s="3" t="s">
        <v>629</v>
      </c>
      <c r="O4564" s="2" t="s">
        <v>590</v>
      </c>
      <c r="P4564" s="3" t="s">
        <v>66</v>
      </c>
      <c r="Q4564" s="2" t="s">
        <v>39499</v>
      </c>
      <c r="R4564" s="3" t="s">
        <v>67</v>
      </c>
      <c r="S4564" s="4">
        <v>0</v>
      </c>
      <c r="T4564" s="4">
        <v>0</v>
      </c>
      <c r="W4564" s="5" t="s">
        <v>69</v>
      </c>
      <c r="X4564" s="5" t="s">
        <v>69</v>
      </c>
      <c r="Y4564" s="4">
        <v>134</v>
      </c>
      <c r="Z4564" s="4">
        <v>11</v>
      </c>
      <c r="AA4564" s="4">
        <v>22</v>
      </c>
      <c r="AB4564" s="4">
        <v>1</v>
      </c>
      <c r="AC4564" s="4">
        <v>3</v>
      </c>
      <c r="AD4564" s="4">
        <v>48</v>
      </c>
      <c r="AE4564" s="4">
        <v>52</v>
      </c>
      <c r="AF4564" s="4">
        <v>0</v>
      </c>
      <c r="AG4564" s="4">
        <v>0</v>
      </c>
      <c r="AH4564" s="4">
        <v>45</v>
      </c>
      <c r="AI4564" s="4">
        <v>48</v>
      </c>
      <c r="AJ4564" s="4">
        <v>6</v>
      </c>
      <c r="AK4564" s="4">
        <v>6</v>
      </c>
      <c r="AL4564" s="4">
        <v>31</v>
      </c>
      <c r="AM4564" s="4">
        <v>33</v>
      </c>
      <c r="AN4564" s="4">
        <v>0</v>
      </c>
      <c r="AO4564" s="4">
        <v>0</v>
      </c>
      <c r="AP4564" s="4">
        <v>6</v>
      </c>
      <c r="AQ4564" s="4">
        <v>7</v>
      </c>
      <c r="AR4564" s="3" t="s">
        <v>63</v>
      </c>
      <c r="AS4564" s="3" t="s">
        <v>63</v>
      </c>
      <c r="AT4564" s="3" t="s">
        <v>63</v>
      </c>
      <c r="AV4564" s="6" t="str">
        <f>HYPERLINK("http://mcgill.on.worldcat.org/oclc/711051697","Catalog Record")</f>
        <v>Catalog Record</v>
      </c>
      <c r="AW4564" s="6" t="str">
        <f>HYPERLINK("http://www.worldcat.org/oclc/711051697","WorldCat Record")</f>
        <v>WorldCat Record</v>
      </c>
      <c r="AX4564" s="3" t="s">
        <v>39637</v>
      </c>
      <c r="AY4564" s="3" t="s">
        <v>39638</v>
      </c>
      <c r="AZ4564" s="3" t="s">
        <v>39639</v>
      </c>
      <c r="BA4564" s="3" t="s">
        <v>39639</v>
      </c>
      <c r="BB4564" s="3" t="s">
        <v>39640</v>
      </c>
      <c r="BC4564" s="3" t="s">
        <v>82</v>
      </c>
      <c r="BD4564" s="3" t="s">
        <v>70</v>
      </c>
      <c r="BE4564" s="3" t="s">
        <v>39641</v>
      </c>
      <c r="BF4564" s="3" t="s">
        <v>39640</v>
      </c>
      <c r="BG4564" s="3" t="s">
        <v>39642</v>
      </c>
    </row>
    <row r="4565" spans="1:59" ht="60" x14ac:dyDescent="0.25">
      <c r="A4565" s="2" t="s">
        <v>59</v>
      </c>
      <c r="B4565" s="2" t="s">
        <v>60</v>
      </c>
      <c r="C4565" s="2" t="s">
        <v>39643</v>
      </c>
      <c r="D4565" s="2" t="s">
        <v>39644</v>
      </c>
      <c r="E4565" s="2" t="s">
        <v>39645</v>
      </c>
      <c r="G4565" s="3" t="s">
        <v>63</v>
      </c>
      <c r="I4565" s="3" t="s">
        <v>63</v>
      </c>
      <c r="J4565" s="3" t="s">
        <v>63</v>
      </c>
      <c r="K4565" s="3" t="s">
        <v>64</v>
      </c>
      <c r="L4565" s="2" t="s">
        <v>39635</v>
      </c>
      <c r="M4565" s="2" t="s">
        <v>39646</v>
      </c>
      <c r="N4565" s="3" t="s">
        <v>1226</v>
      </c>
      <c r="O4565" s="2" t="s">
        <v>39647</v>
      </c>
      <c r="P4565" s="3" t="s">
        <v>66</v>
      </c>
      <c r="R4565" s="3" t="s">
        <v>67</v>
      </c>
      <c r="S4565" s="4">
        <v>3</v>
      </c>
      <c r="T4565" s="4">
        <v>3</v>
      </c>
      <c r="U4565" s="5" t="s">
        <v>18205</v>
      </c>
      <c r="V4565" s="5" t="s">
        <v>18205</v>
      </c>
      <c r="W4565" s="5" t="s">
        <v>69</v>
      </c>
      <c r="X4565" s="5" t="s">
        <v>69</v>
      </c>
      <c r="Y4565" s="4">
        <v>119</v>
      </c>
      <c r="Z4565" s="4">
        <v>6</v>
      </c>
      <c r="AA4565" s="4">
        <v>6</v>
      </c>
      <c r="AB4565" s="4">
        <v>1</v>
      </c>
      <c r="AC4565" s="4">
        <v>1</v>
      </c>
      <c r="AD4565" s="4">
        <v>54</v>
      </c>
      <c r="AE4565" s="4">
        <v>54</v>
      </c>
      <c r="AF4565" s="4">
        <v>0</v>
      </c>
      <c r="AG4565" s="4">
        <v>0</v>
      </c>
      <c r="AH4565" s="4">
        <v>52</v>
      </c>
      <c r="AI4565" s="4">
        <v>52</v>
      </c>
      <c r="AJ4565" s="4">
        <v>2</v>
      </c>
      <c r="AK4565" s="4">
        <v>2</v>
      </c>
      <c r="AL4565" s="4">
        <v>31</v>
      </c>
      <c r="AM4565" s="4">
        <v>31</v>
      </c>
      <c r="AN4565" s="4">
        <v>0</v>
      </c>
      <c r="AO4565" s="4">
        <v>0</v>
      </c>
      <c r="AP4565" s="4">
        <v>2</v>
      </c>
      <c r="AQ4565" s="4">
        <v>2</v>
      </c>
      <c r="AR4565" s="3" t="s">
        <v>63</v>
      </c>
      <c r="AS4565" s="3" t="s">
        <v>63</v>
      </c>
      <c r="AT4565" s="3" t="s">
        <v>62</v>
      </c>
      <c r="AU4565" s="6" t="str">
        <f>HYPERLINK("http://catalog.hathitrust.org/Record/004358771","HathiTrust Record")</f>
        <v>HathiTrust Record</v>
      </c>
      <c r="AV4565" s="6" t="str">
        <f>HYPERLINK("http://mcgill.on.worldcat.org/oclc/52256482","Catalog Record")</f>
        <v>Catalog Record</v>
      </c>
      <c r="AW4565" s="6" t="str">
        <f>HYPERLINK("http://www.worldcat.org/oclc/52256482","WorldCat Record")</f>
        <v>WorldCat Record</v>
      </c>
      <c r="AX4565" s="3" t="s">
        <v>39648</v>
      </c>
      <c r="AY4565" s="3" t="s">
        <v>39649</v>
      </c>
      <c r="AZ4565" s="3" t="s">
        <v>39650</v>
      </c>
      <c r="BA4565" s="3" t="s">
        <v>39650</v>
      </c>
      <c r="BB4565" s="3" t="s">
        <v>39651</v>
      </c>
      <c r="BC4565" s="3" t="s">
        <v>82</v>
      </c>
      <c r="BD4565" s="3" t="s">
        <v>70</v>
      </c>
      <c r="BE4565" s="3" t="s">
        <v>39652</v>
      </c>
      <c r="BF4565" s="3" t="s">
        <v>39651</v>
      </c>
      <c r="BG4565" s="3" t="s">
        <v>39653</v>
      </c>
    </row>
    <row r="4566" spans="1:59" ht="75" x14ac:dyDescent="0.25">
      <c r="A4566" s="2" t="s">
        <v>59</v>
      </c>
      <c r="B4566" s="2" t="s">
        <v>60</v>
      </c>
      <c r="C4566" s="2" t="s">
        <v>39654</v>
      </c>
      <c r="D4566" s="2" t="s">
        <v>39655</v>
      </c>
      <c r="E4566" s="2" t="s">
        <v>39656</v>
      </c>
      <c r="G4566" s="3" t="s">
        <v>63</v>
      </c>
      <c r="I4566" s="3" t="s">
        <v>63</v>
      </c>
      <c r="J4566" s="3" t="s">
        <v>63</v>
      </c>
      <c r="K4566" s="3" t="s">
        <v>64</v>
      </c>
      <c r="L4566" s="2" t="s">
        <v>39657</v>
      </c>
      <c r="M4566" s="2" t="s">
        <v>39658</v>
      </c>
      <c r="N4566" s="3" t="s">
        <v>1916</v>
      </c>
      <c r="O4566" s="2" t="s">
        <v>590</v>
      </c>
      <c r="P4566" s="3" t="s">
        <v>66</v>
      </c>
      <c r="R4566" s="3" t="s">
        <v>67</v>
      </c>
      <c r="S4566" s="4">
        <v>2</v>
      </c>
      <c r="T4566" s="4">
        <v>2</v>
      </c>
      <c r="U4566" s="5" t="s">
        <v>39659</v>
      </c>
      <c r="V4566" s="5" t="s">
        <v>39659</v>
      </c>
      <c r="W4566" s="5" t="s">
        <v>69</v>
      </c>
      <c r="X4566" s="5" t="s">
        <v>69</v>
      </c>
      <c r="Y4566" s="4">
        <v>248</v>
      </c>
      <c r="Z4566" s="4">
        <v>13</v>
      </c>
      <c r="AA4566" s="4">
        <v>13</v>
      </c>
      <c r="AB4566" s="4">
        <v>2</v>
      </c>
      <c r="AC4566" s="4">
        <v>2</v>
      </c>
      <c r="AD4566" s="4">
        <v>87</v>
      </c>
      <c r="AE4566" s="4">
        <v>87</v>
      </c>
      <c r="AF4566" s="4">
        <v>1</v>
      </c>
      <c r="AG4566" s="4">
        <v>1</v>
      </c>
      <c r="AH4566" s="4">
        <v>82</v>
      </c>
      <c r="AI4566" s="4">
        <v>82</v>
      </c>
      <c r="AJ4566" s="4">
        <v>10</v>
      </c>
      <c r="AK4566" s="4">
        <v>10</v>
      </c>
      <c r="AL4566" s="4">
        <v>49</v>
      </c>
      <c r="AM4566" s="4">
        <v>49</v>
      </c>
      <c r="AN4566" s="4">
        <v>0</v>
      </c>
      <c r="AO4566" s="4">
        <v>0</v>
      </c>
      <c r="AP4566" s="4">
        <v>10</v>
      </c>
      <c r="AQ4566" s="4">
        <v>10</v>
      </c>
      <c r="AR4566" s="3" t="s">
        <v>63</v>
      </c>
      <c r="AS4566" s="3" t="s">
        <v>63</v>
      </c>
      <c r="AT4566" s="3" t="s">
        <v>62</v>
      </c>
      <c r="AU4566" s="6" t="str">
        <f>HYPERLINK("http://catalog.hathitrust.org/Record/000392421","HathiTrust Record")</f>
        <v>HathiTrust Record</v>
      </c>
      <c r="AV4566" s="6" t="str">
        <f>HYPERLINK("http://mcgill.on.worldcat.org/oclc/12134957","Catalog Record")</f>
        <v>Catalog Record</v>
      </c>
      <c r="AW4566" s="6" t="str">
        <f>HYPERLINK("http://www.worldcat.org/oclc/12134957","WorldCat Record")</f>
        <v>WorldCat Record</v>
      </c>
      <c r="AX4566" s="3" t="s">
        <v>39660</v>
      </c>
      <c r="AY4566" s="3" t="s">
        <v>39661</v>
      </c>
      <c r="AZ4566" s="3" t="s">
        <v>39662</v>
      </c>
      <c r="BA4566" s="3" t="s">
        <v>39662</v>
      </c>
      <c r="BB4566" s="3" t="s">
        <v>39663</v>
      </c>
      <c r="BC4566" s="3" t="s">
        <v>82</v>
      </c>
      <c r="BD4566" s="3" t="s">
        <v>70</v>
      </c>
      <c r="BE4566" s="3" t="s">
        <v>39664</v>
      </c>
      <c r="BF4566" s="3" t="s">
        <v>39663</v>
      </c>
      <c r="BG4566" s="3" t="s">
        <v>39665</v>
      </c>
    </row>
    <row r="4567" spans="1:59" ht="75" x14ac:dyDescent="0.25">
      <c r="A4567" s="2" t="s">
        <v>59</v>
      </c>
      <c r="B4567" s="2" t="s">
        <v>60</v>
      </c>
      <c r="C4567" s="2" t="s">
        <v>39666</v>
      </c>
      <c r="D4567" s="2" t="s">
        <v>39667</v>
      </c>
      <c r="E4567" s="2" t="s">
        <v>39668</v>
      </c>
      <c r="G4567" s="3" t="s">
        <v>63</v>
      </c>
      <c r="I4567" s="3" t="s">
        <v>63</v>
      </c>
      <c r="J4567" s="3" t="s">
        <v>63</v>
      </c>
      <c r="K4567" s="3" t="s">
        <v>64</v>
      </c>
      <c r="L4567" s="2" t="s">
        <v>39657</v>
      </c>
      <c r="M4567" s="2" t="s">
        <v>39669</v>
      </c>
      <c r="N4567" s="3" t="s">
        <v>204</v>
      </c>
      <c r="P4567" s="3" t="s">
        <v>66</v>
      </c>
      <c r="R4567" s="3" t="s">
        <v>67</v>
      </c>
      <c r="S4567" s="4">
        <v>10</v>
      </c>
      <c r="T4567" s="4">
        <v>10</v>
      </c>
      <c r="U4567" s="5" t="s">
        <v>39659</v>
      </c>
      <c r="V4567" s="5" t="s">
        <v>39659</v>
      </c>
      <c r="W4567" s="5" t="s">
        <v>69</v>
      </c>
      <c r="X4567" s="5" t="s">
        <v>69</v>
      </c>
      <c r="Y4567" s="4">
        <v>216</v>
      </c>
      <c r="Z4567" s="4">
        <v>5</v>
      </c>
      <c r="AA4567" s="4">
        <v>5</v>
      </c>
      <c r="AB4567" s="4">
        <v>1</v>
      </c>
      <c r="AC4567" s="4">
        <v>1</v>
      </c>
      <c r="AD4567" s="4">
        <v>75</v>
      </c>
      <c r="AE4567" s="4">
        <v>75</v>
      </c>
      <c r="AF4567" s="4">
        <v>0</v>
      </c>
      <c r="AG4567" s="4">
        <v>0</v>
      </c>
      <c r="AH4567" s="4">
        <v>72</v>
      </c>
      <c r="AI4567" s="4">
        <v>72</v>
      </c>
      <c r="AJ4567" s="4">
        <v>2</v>
      </c>
      <c r="AK4567" s="4">
        <v>2</v>
      </c>
      <c r="AL4567" s="4">
        <v>45</v>
      </c>
      <c r="AM4567" s="4">
        <v>45</v>
      </c>
      <c r="AN4567" s="4">
        <v>0</v>
      </c>
      <c r="AO4567" s="4">
        <v>0</v>
      </c>
      <c r="AP4567" s="4">
        <v>2</v>
      </c>
      <c r="AQ4567" s="4">
        <v>2</v>
      </c>
      <c r="AR4567" s="3" t="s">
        <v>63</v>
      </c>
      <c r="AS4567" s="3" t="s">
        <v>63</v>
      </c>
      <c r="AT4567" s="3" t="s">
        <v>62</v>
      </c>
      <c r="AU4567" s="6" t="str">
        <f>HYPERLINK("http://catalog.hathitrust.org/Record/003094581","HathiTrust Record")</f>
        <v>HathiTrust Record</v>
      </c>
      <c r="AV4567" s="6" t="str">
        <f>HYPERLINK("http://mcgill.on.worldcat.org/oclc/34517602","Catalog Record")</f>
        <v>Catalog Record</v>
      </c>
      <c r="AW4567" s="6" t="str">
        <f>HYPERLINK("http://www.worldcat.org/oclc/34517602","WorldCat Record")</f>
        <v>WorldCat Record</v>
      </c>
      <c r="AX4567" s="3" t="s">
        <v>39670</v>
      </c>
      <c r="AY4567" s="3" t="s">
        <v>39671</v>
      </c>
      <c r="AZ4567" s="3" t="s">
        <v>39672</v>
      </c>
      <c r="BA4567" s="3" t="s">
        <v>39672</v>
      </c>
      <c r="BB4567" s="3" t="s">
        <v>39673</v>
      </c>
      <c r="BC4567" s="3" t="s">
        <v>82</v>
      </c>
      <c r="BD4567" s="3" t="s">
        <v>70</v>
      </c>
      <c r="BE4567" s="3" t="s">
        <v>39674</v>
      </c>
      <c r="BF4567" s="3" t="s">
        <v>39673</v>
      </c>
      <c r="BG4567" s="3" t="s">
        <v>39675</v>
      </c>
    </row>
    <row r="4568" spans="1:59" ht="75" x14ac:dyDescent="0.25">
      <c r="A4568" s="2" t="s">
        <v>59</v>
      </c>
      <c r="B4568" s="2" t="s">
        <v>60</v>
      </c>
      <c r="C4568" s="2" t="s">
        <v>39676</v>
      </c>
      <c r="D4568" s="2" t="s">
        <v>39677</v>
      </c>
      <c r="E4568" s="2" t="s">
        <v>39678</v>
      </c>
      <c r="G4568" s="3" t="s">
        <v>63</v>
      </c>
      <c r="I4568" s="3" t="s">
        <v>63</v>
      </c>
      <c r="J4568" s="3" t="s">
        <v>63</v>
      </c>
      <c r="K4568" s="3" t="s">
        <v>64</v>
      </c>
      <c r="L4568" s="2" t="s">
        <v>39679</v>
      </c>
      <c r="M4568" s="2" t="s">
        <v>39680</v>
      </c>
      <c r="N4568" s="3" t="s">
        <v>261</v>
      </c>
      <c r="P4568" s="3" t="s">
        <v>66</v>
      </c>
      <c r="Q4568" s="2" t="s">
        <v>39681</v>
      </c>
      <c r="R4568" s="3" t="s">
        <v>67</v>
      </c>
      <c r="S4568" s="4">
        <v>2</v>
      </c>
      <c r="T4568" s="4">
        <v>2</v>
      </c>
      <c r="U4568" s="5" t="s">
        <v>39084</v>
      </c>
      <c r="V4568" s="5" t="s">
        <v>39084</v>
      </c>
      <c r="W4568" s="5" t="s">
        <v>69</v>
      </c>
      <c r="X4568" s="5" t="s">
        <v>69</v>
      </c>
      <c r="Y4568" s="4">
        <v>36</v>
      </c>
      <c r="Z4568" s="4">
        <v>3</v>
      </c>
      <c r="AA4568" s="4">
        <v>5</v>
      </c>
      <c r="AB4568" s="4">
        <v>1</v>
      </c>
      <c r="AC4568" s="4">
        <v>1</v>
      </c>
      <c r="AD4568" s="4">
        <v>22</v>
      </c>
      <c r="AE4568" s="4">
        <v>23</v>
      </c>
      <c r="AF4568" s="4">
        <v>0</v>
      </c>
      <c r="AG4568" s="4">
        <v>0</v>
      </c>
      <c r="AH4568" s="4">
        <v>21</v>
      </c>
      <c r="AI4568" s="4">
        <v>22</v>
      </c>
      <c r="AJ4568" s="4">
        <v>2</v>
      </c>
      <c r="AK4568" s="4">
        <v>3</v>
      </c>
      <c r="AL4568" s="4">
        <v>18</v>
      </c>
      <c r="AM4568" s="4">
        <v>19</v>
      </c>
      <c r="AN4568" s="4">
        <v>0</v>
      </c>
      <c r="AO4568" s="4">
        <v>0</v>
      </c>
      <c r="AP4568" s="4">
        <v>2</v>
      </c>
      <c r="AQ4568" s="4">
        <v>3</v>
      </c>
      <c r="AR4568" s="3" t="s">
        <v>63</v>
      </c>
      <c r="AS4568" s="3" t="s">
        <v>63</v>
      </c>
      <c r="AT4568" s="3" t="s">
        <v>63</v>
      </c>
      <c r="AV4568" s="6" t="str">
        <f>HYPERLINK("http://mcgill.on.worldcat.org/oclc/173640559","Catalog Record")</f>
        <v>Catalog Record</v>
      </c>
      <c r="AW4568" s="6" t="str">
        <f>HYPERLINK("http://www.worldcat.org/oclc/173640559","WorldCat Record")</f>
        <v>WorldCat Record</v>
      </c>
      <c r="AX4568" s="3" t="s">
        <v>39682</v>
      </c>
      <c r="AY4568" s="3" t="s">
        <v>39683</v>
      </c>
      <c r="AZ4568" s="3" t="s">
        <v>39684</v>
      </c>
      <c r="BA4568" s="3" t="s">
        <v>39684</v>
      </c>
      <c r="BB4568" s="3" t="s">
        <v>39685</v>
      </c>
      <c r="BC4568" s="3" t="s">
        <v>82</v>
      </c>
      <c r="BD4568" s="3" t="s">
        <v>70</v>
      </c>
      <c r="BE4568" s="3" t="s">
        <v>39686</v>
      </c>
      <c r="BF4568" s="3" t="s">
        <v>39685</v>
      </c>
      <c r="BG4568" s="3" t="s">
        <v>39687</v>
      </c>
    </row>
    <row r="4569" spans="1:59" ht="75" x14ac:dyDescent="0.25">
      <c r="A4569" s="2" t="s">
        <v>59</v>
      </c>
      <c r="B4569" s="2" t="s">
        <v>60</v>
      </c>
      <c r="C4569" s="2" t="s">
        <v>39688</v>
      </c>
      <c r="D4569" s="2" t="s">
        <v>39689</v>
      </c>
      <c r="E4569" s="2" t="s">
        <v>39690</v>
      </c>
      <c r="G4569" s="3" t="s">
        <v>63</v>
      </c>
      <c r="I4569" s="3" t="s">
        <v>63</v>
      </c>
      <c r="J4569" s="3" t="s">
        <v>63</v>
      </c>
      <c r="K4569" s="3" t="s">
        <v>64</v>
      </c>
      <c r="L4569" s="2" t="s">
        <v>39691</v>
      </c>
      <c r="M4569" s="2" t="s">
        <v>39692</v>
      </c>
      <c r="N4569" s="3" t="s">
        <v>106</v>
      </c>
      <c r="O4569" s="2" t="s">
        <v>39693</v>
      </c>
      <c r="P4569" s="3" t="s">
        <v>66</v>
      </c>
      <c r="R4569" s="3" t="s">
        <v>67</v>
      </c>
      <c r="S4569" s="4">
        <v>1</v>
      </c>
      <c r="T4569" s="4">
        <v>1</v>
      </c>
      <c r="U4569" s="5" t="s">
        <v>2493</v>
      </c>
      <c r="V4569" s="5" t="s">
        <v>2493</v>
      </c>
      <c r="W4569" s="5" t="s">
        <v>69</v>
      </c>
      <c r="X4569" s="5" t="s">
        <v>69</v>
      </c>
      <c r="Y4569" s="4">
        <v>463</v>
      </c>
      <c r="Z4569" s="4">
        <v>13</v>
      </c>
      <c r="AA4569" s="4">
        <v>22</v>
      </c>
      <c r="AB4569" s="4">
        <v>1</v>
      </c>
      <c r="AC4569" s="4">
        <v>4</v>
      </c>
      <c r="AD4569" s="4">
        <v>52</v>
      </c>
      <c r="AE4569" s="4">
        <v>67</v>
      </c>
      <c r="AF4569" s="4">
        <v>0</v>
      </c>
      <c r="AG4569" s="4">
        <v>0</v>
      </c>
      <c r="AH4569" s="4">
        <v>50</v>
      </c>
      <c r="AI4569" s="4">
        <v>61</v>
      </c>
      <c r="AJ4569" s="4">
        <v>4</v>
      </c>
      <c r="AK4569" s="4">
        <v>8</v>
      </c>
      <c r="AL4569" s="4">
        <v>33</v>
      </c>
      <c r="AM4569" s="4">
        <v>38</v>
      </c>
      <c r="AN4569" s="4">
        <v>0</v>
      </c>
      <c r="AO4569" s="4">
        <v>0</v>
      </c>
      <c r="AP4569" s="4">
        <v>4</v>
      </c>
      <c r="AQ4569" s="4">
        <v>9</v>
      </c>
      <c r="AR4569" s="3" t="s">
        <v>63</v>
      </c>
      <c r="AS4569" s="3" t="s">
        <v>63</v>
      </c>
      <c r="AT4569" s="3" t="s">
        <v>63</v>
      </c>
      <c r="AV4569" s="6" t="str">
        <f>HYPERLINK("http://mcgill.on.worldcat.org/oclc/905854476","Catalog Record")</f>
        <v>Catalog Record</v>
      </c>
      <c r="AW4569" s="6" t="str">
        <f>HYPERLINK("http://www.worldcat.org/oclc/905854476","WorldCat Record")</f>
        <v>WorldCat Record</v>
      </c>
      <c r="AX4569" s="3" t="s">
        <v>39694</v>
      </c>
      <c r="AY4569" s="3" t="s">
        <v>39695</v>
      </c>
      <c r="AZ4569" s="3" t="s">
        <v>39696</v>
      </c>
      <c r="BA4569" s="3" t="s">
        <v>39696</v>
      </c>
      <c r="BB4569" s="3" t="s">
        <v>39697</v>
      </c>
      <c r="BC4569" s="3" t="s">
        <v>82</v>
      </c>
      <c r="BD4569" s="3" t="s">
        <v>70</v>
      </c>
      <c r="BE4569" s="3" t="s">
        <v>39698</v>
      </c>
      <c r="BF4569" s="3" t="s">
        <v>39697</v>
      </c>
      <c r="BG4569" s="3" t="s">
        <v>39699</v>
      </c>
    </row>
    <row r="4570" spans="1:59" ht="60" x14ac:dyDescent="0.25">
      <c r="A4570" s="2" t="s">
        <v>59</v>
      </c>
      <c r="B4570" s="2" t="s">
        <v>60</v>
      </c>
      <c r="C4570" s="2" t="s">
        <v>39700</v>
      </c>
      <c r="D4570" s="2" t="s">
        <v>39701</v>
      </c>
      <c r="E4570" s="2" t="s">
        <v>39702</v>
      </c>
      <c r="G4570" s="3" t="s">
        <v>63</v>
      </c>
      <c r="I4570" s="3" t="s">
        <v>63</v>
      </c>
      <c r="J4570" s="3" t="s">
        <v>62</v>
      </c>
      <c r="K4570" s="3" t="s">
        <v>64</v>
      </c>
      <c r="L4570" s="2" t="s">
        <v>39703</v>
      </c>
      <c r="M4570" s="2" t="s">
        <v>39704</v>
      </c>
      <c r="N4570" s="3" t="s">
        <v>274</v>
      </c>
      <c r="P4570" s="3" t="s">
        <v>66</v>
      </c>
      <c r="R4570" s="3" t="s">
        <v>67</v>
      </c>
      <c r="S4570" s="4">
        <v>18</v>
      </c>
      <c r="T4570" s="4">
        <v>18</v>
      </c>
      <c r="U4570" s="5" t="s">
        <v>39705</v>
      </c>
      <c r="V4570" s="5" t="s">
        <v>39705</v>
      </c>
      <c r="W4570" s="5" t="s">
        <v>69</v>
      </c>
      <c r="X4570" s="5" t="s">
        <v>69</v>
      </c>
      <c r="Y4570" s="4">
        <v>19</v>
      </c>
      <c r="Z4570" s="4">
        <v>1</v>
      </c>
      <c r="AA4570" s="4">
        <v>34</v>
      </c>
      <c r="AB4570" s="4">
        <v>1</v>
      </c>
      <c r="AC4570" s="4">
        <v>2</v>
      </c>
      <c r="AD4570" s="4">
        <v>3</v>
      </c>
      <c r="AE4570" s="4">
        <v>103</v>
      </c>
      <c r="AF4570" s="4">
        <v>0</v>
      </c>
      <c r="AG4570" s="4">
        <v>0</v>
      </c>
      <c r="AH4570" s="4">
        <v>3</v>
      </c>
      <c r="AI4570" s="4">
        <v>91</v>
      </c>
      <c r="AJ4570" s="4">
        <v>0</v>
      </c>
      <c r="AK4570" s="4">
        <v>12</v>
      </c>
      <c r="AL4570" s="4">
        <v>2</v>
      </c>
      <c r="AM4570" s="4">
        <v>55</v>
      </c>
      <c r="AN4570" s="4">
        <v>0</v>
      </c>
      <c r="AO4570" s="4">
        <v>0</v>
      </c>
      <c r="AP4570" s="4">
        <v>0</v>
      </c>
      <c r="AQ4570" s="4">
        <v>15</v>
      </c>
      <c r="AR4570" s="3" t="s">
        <v>63</v>
      </c>
      <c r="AS4570" s="3" t="s">
        <v>63</v>
      </c>
      <c r="AT4570" s="3" t="s">
        <v>63</v>
      </c>
      <c r="AV4570" s="6" t="str">
        <f>HYPERLINK("http://mcgill.on.worldcat.org/oclc/41540471","Catalog Record")</f>
        <v>Catalog Record</v>
      </c>
      <c r="AW4570" s="6" t="str">
        <f>HYPERLINK("http://www.worldcat.org/oclc/41540471","WorldCat Record")</f>
        <v>WorldCat Record</v>
      </c>
      <c r="AX4570" s="3" t="s">
        <v>39706</v>
      </c>
      <c r="AY4570" s="3" t="s">
        <v>39707</v>
      </c>
      <c r="AZ4570" s="3" t="s">
        <v>39708</v>
      </c>
      <c r="BA4570" s="3" t="s">
        <v>39708</v>
      </c>
      <c r="BB4570" s="3" t="s">
        <v>39709</v>
      </c>
      <c r="BC4570" s="3" t="s">
        <v>82</v>
      </c>
      <c r="BD4570" s="3" t="s">
        <v>70</v>
      </c>
      <c r="BE4570" s="3" t="s">
        <v>39710</v>
      </c>
      <c r="BF4570" s="3" t="s">
        <v>39709</v>
      </c>
      <c r="BG4570" s="3" t="s">
        <v>39711</v>
      </c>
    </row>
    <row r="4571" spans="1:59" ht="60" x14ac:dyDescent="0.25">
      <c r="A4571" s="2" t="s">
        <v>59</v>
      </c>
      <c r="B4571" s="2" t="s">
        <v>60</v>
      </c>
      <c r="C4571" s="2" t="s">
        <v>39712</v>
      </c>
      <c r="D4571" s="2" t="s">
        <v>39713</v>
      </c>
      <c r="E4571" s="2" t="s">
        <v>39714</v>
      </c>
      <c r="G4571" s="3" t="s">
        <v>63</v>
      </c>
      <c r="I4571" s="3" t="s">
        <v>63</v>
      </c>
      <c r="J4571" s="3" t="s">
        <v>63</v>
      </c>
      <c r="K4571" s="3" t="s">
        <v>64</v>
      </c>
      <c r="L4571" s="2" t="s">
        <v>39703</v>
      </c>
      <c r="M4571" s="2" t="s">
        <v>39715</v>
      </c>
      <c r="N4571" s="3" t="s">
        <v>2103</v>
      </c>
      <c r="O4571" s="2" t="s">
        <v>590</v>
      </c>
      <c r="P4571" s="3" t="s">
        <v>66</v>
      </c>
      <c r="R4571" s="3" t="s">
        <v>67</v>
      </c>
      <c r="S4571" s="4">
        <v>6</v>
      </c>
      <c r="T4571" s="4">
        <v>6</v>
      </c>
      <c r="U4571" s="5" t="s">
        <v>39716</v>
      </c>
      <c r="V4571" s="5" t="s">
        <v>39716</v>
      </c>
      <c r="W4571" s="5" t="s">
        <v>69</v>
      </c>
      <c r="X4571" s="5" t="s">
        <v>69</v>
      </c>
      <c r="Y4571" s="4">
        <v>590</v>
      </c>
      <c r="Z4571" s="4">
        <v>27</v>
      </c>
      <c r="AA4571" s="4">
        <v>29</v>
      </c>
      <c r="AB4571" s="4">
        <v>3</v>
      </c>
      <c r="AC4571" s="4">
        <v>5</v>
      </c>
      <c r="AD4571" s="4">
        <v>93</v>
      </c>
      <c r="AE4571" s="4">
        <v>93</v>
      </c>
      <c r="AF4571" s="4">
        <v>0</v>
      </c>
      <c r="AG4571" s="4">
        <v>0</v>
      </c>
      <c r="AH4571" s="4">
        <v>85</v>
      </c>
      <c r="AI4571" s="4">
        <v>85</v>
      </c>
      <c r="AJ4571" s="4">
        <v>9</v>
      </c>
      <c r="AK4571" s="4">
        <v>9</v>
      </c>
      <c r="AL4571" s="4">
        <v>50</v>
      </c>
      <c r="AM4571" s="4">
        <v>50</v>
      </c>
      <c r="AN4571" s="4">
        <v>0</v>
      </c>
      <c r="AO4571" s="4">
        <v>0</v>
      </c>
      <c r="AP4571" s="4">
        <v>11</v>
      </c>
      <c r="AQ4571" s="4">
        <v>11</v>
      </c>
      <c r="AR4571" s="3" t="s">
        <v>63</v>
      </c>
      <c r="AS4571" s="3" t="s">
        <v>63</v>
      </c>
      <c r="AT4571" s="3" t="s">
        <v>62</v>
      </c>
      <c r="AU4571" s="6" t="str">
        <f>HYPERLINK("http://catalog.hathitrust.org/Record/004292513","HathiTrust Record")</f>
        <v>HathiTrust Record</v>
      </c>
      <c r="AV4571" s="6" t="str">
        <f>HYPERLINK("http://mcgill.on.worldcat.org/oclc/49028479","Catalog Record")</f>
        <v>Catalog Record</v>
      </c>
      <c r="AW4571" s="6" t="str">
        <f>HYPERLINK("http://www.worldcat.org/oclc/49028479","WorldCat Record")</f>
        <v>WorldCat Record</v>
      </c>
      <c r="AX4571" s="3" t="s">
        <v>39717</v>
      </c>
      <c r="AY4571" s="3" t="s">
        <v>39718</v>
      </c>
      <c r="AZ4571" s="3" t="s">
        <v>39719</v>
      </c>
      <c r="BA4571" s="3" t="s">
        <v>39719</v>
      </c>
      <c r="BB4571" s="3" t="s">
        <v>39720</v>
      </c>
      <c r="BC4571" s="3" t="s">
        <v>82</v>
      </c>
      <c r="BD4571" s="3" t="s">
        <v>70</v>
      </c>
      <c r="BE4571" s="3" t="s">
        <v>39721</v>
      </c>
      <c r="BF4571" s="3" t="s">
        <v>39720</v>
      </c>
      <c r="BG4571" s="3" t="s">
        <v>39722</v>
      </c>
    </row>
    <row r="4572" spans="1:59" ht="60" x14ac:dyDescent="0.25">
      <c r="A4572" s="2" t="s">
        <v>59</v>
      </c>
      <c r="B4572" s="2" t="s">
        <v>60</v>
      </c>
      <c r="C4572" s="2" t="s">
        <v>39723</v>
      </c>
      <c r="D4572" s="2" t="s">
        <v>39724</v>
      </c>
      <c r="E4572" s="2" t="s">
        <v>39725</v>
      </c>
      <c r="G4572" s="3" t="s">
        <v>63</v>
      </c>
      <c r="I4572" s="3" t="s">
        <v>63</v>
      </c>
      <c r="J4572" s="3" t="s">
        <v>63</v>
      </c>
      <c r="K4572" s="3" t="s">
        <v>64</v>
      </c>
      <c r="L4572" s="2" t="s">
        <v>39703</v>
      </c>
      <c r="M4572" s="2" t="s">
        <v>39726</v>
      </c>
      <c r="N4572" s="3" t="s">
        <v>313</v>
      </c>
      <c r="P4572" s="3" t="s">
        <v>66</v>
      </c>
      <c r="R4572" s="3" t="s">
        <v>67</v>
      </c>
      <c r="S4572" s="4">
        <v>5</v>
      </c>
      <c r="T4572" s="4">
        <v>5</v>
      </c>
      <c r="U4572" s="5" t="s">
        <v>39727</v>
      </c>
      <c r="V4572" s="5" t="s">
        <v>39727</v>
      </c>
      <c r="W4572" s="5" t="s">
        <v>69</v>
      </c>
      <c r="X4572" s="5" t="s">
        <v>69</v>
      </c>
      <c r="Y4572" s="4">
        <v>395</v>
      </c>
      <c r="Z4572" s="4">
        <v>18</v>
      </c>
      <c r="AA4572" s="4">
        <v>22</v>
      </c>
      <c r="AB4572" s="4">
        <v>2</v>
      </c>
      <c r="AC4572" s="4">
        <v>5</v>
      </c>
      <c r="AD4572" s="4">
        <v>67</v>
      </c>
      <c r="AE4572" s="4">
        <v>68</v>
      </c>
      <c r="AF4572" s="4">
        <v>0</v>
      </c>
      <c r="AG4572" s="4">
        <v>0</v>
      </c>
      <c r="AH4572" s="4">
        <v>66</v>
      </c>
      <c r="AI4572" s="4">
        <v>66</v>
      </c>
      <c r="AJ4572" s="4">
        <v>8</v>
      </c>
      <c r="AK4572" s="4">
        <v>9</v>
      </c>
      <c r="AL4572" s="4">
        <v>35</v>
      </c>
      <c r="AM4572" s="4">
        <v>35</v>
      </c>
      <c r="AN4572" s="4">
        <v>0</v>
      </c>
      <c r="AO4572" s="4">
        <v>0</v>
      </c>
      <c r="AP4572" s="4">
        <v>8</v>
      </c>
      <c r="AQ4572" s="4">
        <v>9</v>
      </c>
      <c r="AR4572" s="3" t="s">
        <v>63</v>
      </c>
      <c r="AS4572" s="3" t="s">
        <v>63</v>
      </c>
      <c r="AT4572" s="3" t="s">
        <v>63</v>
      </c>
      <c r="AV4572" s="6" t="str">
        <f>HYPERLINK("http://mcgill.on.worldcat.org/oclc/505420754","Catalog Record")</f>
        <v>Catalog Record</v>
      </c>
      <c r="AW4572" s="6" t="str">
        <f>HYPERLINK("http://www.worldcat.org/oclc/505420754","WorldCat Record")</f>
        <v>WorldCat Record</v>
      </c>
      <c r="AX4572" s="3" t="s">
        <v>39728</v>
      </c>
      <c r="AY4572" s="3" t="s">
        <v>39729</v>
      </c>
      <c r="AZ4572" s="3" t="s">
        <v>39730</v>
      </c>
      <c r="BA4572" s="3" t="s">
        <v>39730</v>
      </c>
      <c r="BB4572" s="3" t="s">
        <v>39731</v>
      </c>
      <c r="BC4572" s="3" t="s">
        <v>82</v>
      </c>
      <c r="BD4572" s="3" t="s">
        <v>70</v>
      </c>
      <c r="BE4572" s="3" t="s">
        <v>39732</v>
      </c>
      <c r="BF4572" s="3" t="s">
        <v>39731</v>
      </c>
      <c r="BG4572" s="3" t="s">
        <v>39733</v>
      </c>
    </row>
    <row r="4573" spans="1:59" ht="75" x14ac:dyDescent="0.25">
      <c r="A4573" s="2" t="s">
        <v>59</v>
      </c>
      <c r="B4573" s="2" t="s">
        <v>60</v>
      </c>
      <c r="C4573" s="2" t="s">
        <v>39734</v>
      </c>
      <c r="D4573" s="2" t="s">
        <v>39735</v>
      </c>
      <c r="E4573" s="2" t="s">
        <v>39736</v>
      </c>
      <c r="G4573" s="3" t="s">
        <v>63</v>
      </c>
      <c r="I4573" s="3" t="s">
        <v>63</v>
      </c>
      <c r="J4573" s="3" t="s">
        <v>63</v>
      </c>
      <c r="K4573" s="3" t="s">
        <v>64</v>
      </c>
      <c r="L4573" s="2" t="s">
        <v>39703</v>
      </c>
      <c r="M4573" s="2" t="s">
        <v>39737</v>
      </c>
      <c r="N4573" s="3" t="s">
        <v>1113</v>
      </c>
      <c r="O4573" s="2" t="s">
        <v>38180</v>
      </c>
      <c r="P4573" s="3" t="s">
        <v>66</v>
      </c>
      <c r="Q4573" s="2" t="s">
        <v>39738</v>
      </c>
      <c r="R4573" s="3" t="s">
        <v>67</v>
      </c>
      <c r="S4573" s="4">
        <v>4</v>
      </c>
      <c r="T4573" s="4">
        <v>4</v>
      </c>
      <c r="U4573" s="5" t="s">
        <v>27800</v>
      </c>
      <c r="V4573" s="5" t="s">
        <v>27800</v>
      </c>
      <c r="W4573" s="5" t="s">
        <v>69</v>
      </c>
      <c r="X4573" s="5" t="s">
        <v>69</v>
      </c>
      <c r="Y4573" s="4">
        <v>87</v>
      </c>
      <c r="Z4573" s="4">
        <v>8</v>
      </c>
      <c r="AA4573" s="4">
        <v>8</v>
      </c>
      <c r="AB4573" s="4">
        <v>1</v>
      </c>
      <c r="AC4573" s="4">
        <v>1</v>
      </c>
      <c r="AD4573" s="4">
        <v>36</v>
      </c>
      <c r="AE4573" s="4">
        <v>36</v>
      </c>
      <c r="AF4573" s="4">
        <v>0</v>
      </c>
      <c r="AG4573" s="4">
        <v>0</v>
      </c>
      <c r="AH4573" s="4">
        <v>36</v>
      </c>
      <c r="AI4573" s="4">
        <v>36</v>
      </c>
      <c r="AJ4573" s="4">
        <v>4</v>
      </c>
      <c r="AK4573" s="4">
        <v>4</v>
      </c>
      <c r="AL4573" s="4">
        <v>27</v>
      </c>
      <c r="AM4573" s="4">
        <v>27</v>
      </c>
      <c r="AN4573" s="4">
        <v>0</v>
      </c>
      <c r="AO4573" s="4">
        <v>0</v>
      </c>
      <c r="AP4573" s="4">
        <v>4</v>
      </c>
      <c r="AQ4573" s="4">
        <v>4</v>
      </c>
      <c r="AR4573" s="3" t="s">
        <v>63</v>
      </c>
      <c r="AS4573" s="3" t="s">
        <v>63</v>
      </c>
      <c r="AT4573" s="3" t="s">
        <v>62</v>
      </c>
      <c r="AU4573" s="6" t="str">
        <f>HYPERLINK("http://catalog.hathitrust.org/Record/101994418","HathiTrust Record")</f>
        <v>HathiTrust Record</v>
      </c>
      <c r="AV4573" s="6" t="str">
        <f>HYPERLINK("http://mcgill.on.worldcat.org/oclc/41712930","Catalog Record")</f>
        <v>Catalog Record</v>
      </c>
      <c r="AW4573" s="6" t="str">
        <f>HYPERLINK("http://www.worldcat.org/oclc/41712930","WorldCat Record")</f>
        <v>WorldCat Record</v>
      </c>
      <c r="AX4573" s="3" t="s">
        <v>39739</v>
      </c>
      <c r="AY4573" s="3" t="s">
        <v>39740</v>
      </c>
      <c r="AZ4573" s="3" t="s">
        <v>39741</v>
      </c>
      <c r="BA4573" s="3" t="s">
        <v>39741</v>
      </c>
      <c r="BB4573" s="3" t="s">
        <v>39742</v>
      </c>
      <c r="BC4573" s="3" t="s">
        <v>82</v>
      </c>
      <c r="BD4573" s="3" t="s">
        <v>70</v>
      </c>
      <c r="BE4573" s="3" t="s">
        <v>39743</v>
      </c>
      <c r="BF4573" s="3" t="s">
        <v>39742</v>
      </c>
      <c r="BG4573" s="3" t="s">
        <v>39744</v>
      </c>
    </row>
    <row r="4574" spans="1:59" ht="60" x14ac:dyDescent="0.25">
      <c r="A4574" s="2" t="s">
        <v>59</v>
      </c>
      <c r="B4574" s="2" t="s">
        <v>60</v>
      </c>
      <c r="C4574" s="2" t="s">
        <v>39745</v>
      </c>
      <c r="D4574" s="2" t="s">
        <v>39746</v>
      </c>
      <c r="E4574" s="2" t="s">
        <v>39747</v>
      </c>
      <c r="G4574" s="3" t="s">
        <v>63</v>
      </c>
      <c r="I4574" s="3" t="s">
        <v>63</v>
      </c>
      <c r="J4574" s="3" t="s">
        <v>63</v>
      </c>
      <c r="K4574" s="3" t="s">
        <v>64</v>
      </c>
      <c r="L4574" s="2" t="s">
        <v>39703</v>
      </c>
      <c r="M4574" s="2" t="s">
        <v>39748</v>
      </c>
      <c r="N4574" s="3" t="s">
        <v>668</v>
      </c>
      <c r="P4574" s="3" t="s">
        <v>66</v>
      </c>
      <c r="R4574" s="3" t="s">
        <v>67</v>
      </c>
      <c r="S4574" s="4">
        <v>18</v>
      </c>
      <c r="T4574" s="4">
        <v>18</v>
      </c>
      <c r="U4574" s="5" t="s">
        <v>39749</v>
      </c>
      <c r="V4574" s="5" t="s">
        <v>39749</v>
      </c>
      <c r="W4574" s="5" t="s">
        <v>69</v>
      </c>
      <c r="X4574" s="5" t="s">
        <v>69</v>
      </c>
      <c r="Y4574" s="4">
        <v>494</v>
      </c>
      <c r="Z4574" s="4">
        <v>21</v>
      </c>
      <c r="AA4574" s="4">
        <v>24</v>
      </c>
      <c r="AB4574" s="4">
        <v>1</v>
      </c>
      <c r="AC4574" s="4">
        <v>3</v>
      </c>
      <c r="AD4574" s="4">
        <v>80</v>
      </c>
      <c r="AE4574" s="4">
        <v>81</v>
      </c>
      <c r="AF4574" s="4">
        <v>0</v>
      </c>
      <c r="AG4574" s="4">
        <v>1</v>
      </c>
      <c r="AH4574" s="4">
        <v>75</v>
      </c>
      <c r="AI4574" s="4">
        <v>76</v>
      </c>
      <c r="AJ4574" s="4">
        <v>10</v>
      </c>
      <c r="AK4574" s="4">
        <v>11</v>
      </c>
      <c r="AL4574" s="4">
        <v>46</v>
      </c>
      <c r="AM4574" s="4">
        <v>46</v>
      </c>
      <c r="AN4574" s="4">
        <v>0</v>
      </c>
      <c r="AO4574" s="4">
        <v>0</v>
      </c>
      <c r="AP4574" s="4">
        <v>11</v>
      </c>
      <c r="AQ4574" s="4">
        <v>12</v>
      </c>
      <c r="AR4574" s="3" t="s">
        <v>63</v>
      </c>
      <c r="AS4574" s="3" t="s">
        <v>63</v>
      </c>
      <c r="AT4574" s="3" t="s">
        <v>62</v>
      </c>
      <c r="AU4574" s="6" t="str">
        <f>HYPERLINK("http://catalog.hathitrust.org/Record/002473497","HathiTrust Record")</f>
        <v>HathiTrust Record</v>
      </c>
      <c r="AV4574" s="6" t="str">
        <f>HYPERLINK("http://mcgill.on.worldcat.org/oclc/24549879","Catalog Record")</f>
        <v>Catalog Record</v>
      </c>
      <c r="AW4574" s="6" t="str">
        <f>HYPERLINK("http://www.worldcat.org/oclc/24549879","WorldCat Record")</f>
        <v>WorldCat Record</v>
      </c>
      <c r="AX4574" s="3" t="s">
        <v>39750</v>
      </c>
      <c r="AY4574" s="3" t="s">
        <v>39751</v>
      </c>
      <c r="AZ4574" s="3" t="s">
        <v>39752</v>
      </c>
      <c r="BA4574" s="3" t="s">
        <v>39752</v>
      </c>
      <c r="BB4574" s="3" t="s">
        <v>39753</v>
      </c>
      <c r="BC4574" s="3" t="s">
        <v>82</v>
      </c>
      <c r="BD4574" s="3" t="s">
        <v>70</v>
      </c>
      <c r="BE4574" s="3" t="s">
        <v>39754</v>
      </c>
      <c r="BF4574" s="3" t="s">
        <v>39753</v>
      </c>
      <c r="BG4574" s="3" t="s">
        <v>39755</v>
      </c>
    </row>
    <row r="4575" spans="1:59" ht="60" x14ac:dyDescent="0.25">
      <c r="A4575" s="2" t="s">
        <v>59</v>
      </c>
      <c r="B4575" s="2" t="s">
        <v>60</v>
      </c>
      <c r="C4575" s="2" t="s">
        <v>39756</v>
      </c>
      <c r="D4575" s="2" t="s">
        <v>39757</v>
      </c>
      <c r="E4575" s="2" t="s">
        <v>39758</v>
      </c>
      <c r="G4575" s="3" t="s">
        <v>63</v>
      </c>
      <c r="I4575" s="3" t="s">
        <v>62</v>
      </c>
      <c r="J4575" s="3" t="s">
        <v>63</v>
      </c>
      <c r="K4575" s="3" t="s">
        <v>64</v>
      </c>
      <c r="L4575" s="2" t="s">
        <v>39703</v>
      </c>
      <c r="M4575" s="2" t="s">
        <v>39759</v>
      </c>
      <c r="N4575" s="3" t="s">
        <v>362</v>
      </c>
      <c r="O4575" s="2" t="s">
        <v>590</v>
      </c>
      <c r="P4575" s="3" t="s">
        <v>66</v>
      </c>
      <c r="R4575" s="3" t="s">
        <v>67</v>
      </c>
      <c r="S4575" s="4">
        <v>9</v>
      </c>
      <c r="T4575" s="4">
        <v>9</v>
      </c>
      <c r="U4575" s="5" t="s">
        <v>1715</v>
      </c>
      <c r="V4575" s="5" t="s">
        <v>1715</v>
      </c>
      <c r="W4575" s="5" t="s">
        <v>69</v>
      </c>
      <c r="X4575" s="5" t="s">
        <v>69</v>
      </c>
      <c r="Y4575" s="4">
        <v>379</v>
      </c>
      <c r="Z4575" s="4">
        <v>14</v>
      </c>
      <c r="AA4575" s="4">
        <v>17</v>
      </c>
      <c r="AB4575" s="4">
        <v>1</v>
      </c>
      <c r="AC4575" s="4">
        <v>1</v>
      </c>
      <c r="AD4575" s="4">
        <v>86</v>
      </c>
      <c r="AE4575" s="4">
        <v>91</v>
      </c>
      <c r="AF4575" s="4">
        <v>0</v>
      </c>
      <c r="AG4575" s="4">
        <v>0</v>
      </c>
      <c r="AH4575" s="4">
        <v>81</v>
      </c>
      <c r="AI4575" s="4">
        <v>85</v>
      </c>
      <c r="AJ4575" s="4">
        <v>5</v>
      </c>
      <c r="AK4575" s="4">
        <v>8</v>
      </c>
      <c r="AL4575" s="4">
        <v>51</v>
      </c>
      <c r="AM4575" s="4">
        <v>51</v>
      </c>
      <c r="AN4575" s="4">
        <v>0</v>
      </c>
      <c r="AO4575" s="4">
        <v>0</v>
      </c>
      <c r="AP4575" s="4">
        <v>5</v>
      </c>
      <c r="AQ4575" s="4">
        <v>8</v>
      </c>
      <c r="AR4575" s="3" t="s">
        <v>63</v>
      </c>
      <c r="AS4575" s="3" t="s">
        <v>63</v>
      </c>
      <c r="AT4575" s="3" t="s">
        <v>63</v>
      </c>
      <c r="AV4575" s="6" t="str">
        <f>HYPERLINK("http://mcgill.on.worldcat.org/oclc/45223597","Catalog Record")</f>
        <v>Catalog Record</v>
      </c>
      <c r="AW4575" s="6" t="str">
        <f>HYPERLINK("http://www.worldcat.org/oclc/45223597","WorldCat Record")</f>
        <v>WorldCat Record</v>
      </c>
      <c r="AX4575" s="3" t="s">
        <v>39760</v>
      </c>
      <c r="AY4575" s="3" t="s">
        <v>39761</v>
      </c>
      <c r="AZ4575" s="3" t="s">
        <v>39762</v>
      </c>
      <c r="BA4575" s="3" t="s">
        <v>39762</v>
      </c>
      <c r="BB4575" s="3" t="s">
        <v>39763</v>
      </c>
      <c r="BC4575" s="3" t="s">
        <v>82</v>
      </c>
      <c r="BD4575" s="3" t="s">
        <v>70</v>
      </c>
      <c r="BE4575" s="3" t="s">
        <v>39764</v>
      </c>
      <c r="BF4575" s="3" t="s">
        <v>39763</v>
      </c>
      <c r="BG4575" s="3" t="s">
        <v>39765</v>
      </c>
    </row>
    <row r="4576" spans="1:59" ht="60" x14ac:dyDescent="0.25">
      <c r="A4576" s="2" t="s">
        <v>59</v>
      </c>
      <c r="B4576" s="2" t="s">
        <v>60</v>
      </c>
      <c r="C4576" s="2" t="s">
        <v>39766</v>
      </c>
      <c r="D4576" s="2" t="s">
        <v>39767</v>
      </c>
      <c r="E4576" s="2" t="s">
        <v>39768</v>
      </c>
      <c r="G4576" s="3" t="s">
        <v>63</v>
      </c>
      <c r="I4576" s="3" t="s">
        <v>63</v>
      </c>
      <c r="J4576" s="3" t="s">
        <v>63</v>
      </c>
      <c r="K4576" s="3" t="s">
        <v>64</v>
      </c>
      <c r="L4576" s="2" t="s">
        <v>39769</v>
      </c>
      <c r="M4576" s="2" t="s">
        <v>39770</v>
      </c>
      <c r="N4576" s="3" t="s">
        <v>1557</v>
      </c>
      <c r="O4576" s="2" t="s">
        <v>39141</v>
      </c>
      <c r="P4576" s="3" t="s">
        <v>66</v>
      </c>
      <c r="R4576" s="3" t="s">
        <v>67</v>
      </c>
      <c r="S4576" s="4">
        <v>3</v>
      </c>
      <c r="T4576" s="4">
        <v>3</v>
      </c>
      <c r="U4576" s="5" t="s">
        <v>12109</v>
      </c>
      <c r="V4576" s="5" t="s">
        <v>12109</v>
      </c>
      <c r="W4576" s="5" t="s">
        <v>69</v>
      </c>
      <c r="X4576" s="5" t="s">
        <v>69</v>
      </c>
      <c r="Y4576" s="4">
        <v>58</v>
      </c>
      <c r="Z4576" s="4">
        <v>7</v>
      </c>
      <c r="AA4576" s="4">
        <v>39</v>
      </c>
      <c r="AB4576" s="4">
        <v>1</v>
      </c>
      <c r="AC4576" s="4">
        <v>9</v>
      </c>
      <c r="AD4576" s="4">
        <v>21</v>
      </c>
      <c r="AE4576" s="4">
        <v>89</v>
      </c>
      <c r="AF4576" s="4">
        <v>0</v>
      </c>
      <c r="AG4576" s="4">
        <v>1</v>
      </c>
      <c r="AH4576" s="4">
        <v>18</v>
      </c>
      <c r="AI4576" s="4">
        <v>80</v>
      </c>
      <c r="AJ4576" s="4">
        <v>5</v>
      </c>
      <c r="AK4576" s="4">
        <v>11</v>
      </c>
      <c r="AL4576" s="4">
        <v>11</v>
      </c>
      <c r="AM4576" s="4">
        <v>50</v>
      </c>
      <c r="AN4576" s="4">
        <v>0</v>
      </c>
      <c r="AO4576" s="4">
        <v>0</v>
      </c>
      <c r="AP4576" s="4">
        <v>5</v>
      </c>
      <c r="AQ4576" s="4">
        <v>15</v>
      </c>
      <c r="AR4576" s="3" t="s">
        <v>63</v>
      </c>
      <c r="AS4576" s="3" t="s">
        <v>63</v>
      </c>
      <c r="AT4576" s="3" t="s">
        <v>63</v>
      </c>
      <c r="AV4576" s="6" t="str">
        <f>HYPERLINK("http://mcgill.on.worldcat.org/oclc/983371539","Catalog Record")</f>
        <v>Catalog Record</v>
      </c>
      <c r="AW4576" s="6" t="str">
        <f>HYPERLINK("http://www.worldcat.org/oclc/983371539","WorldCat Record")</f>
        <v>WorldCat Record</v>
      </c>
      <c r="AX4576" s="3" t="s">
        <v>39771</v>
      </c>
      <c r="AY4576" s="3" t="s">
        <v>39772</v>
      </c>
      <c r="AZ4576" s="3" t="s">
        <v>39773</v>
      </c>
      <c r="BA4576" s="3" t="s">
        <v>39773</v>
      </c>
      <c r="BB4576" s="3" t="s">
        <v>39774</v>
      </c>
      <c r="BC4576" s="3" t="s">
        <v>82</v>
      </c>
      <c r="BD4576" s="3" t="s">
        <v>538</v>
      </c>
      <c r="BE4576" s="3" t="s">
        <v>39775</v>
      </c>
      <c r="BF4576" s="3" t="s">
        <v>39774</v>
      </c>
      <c r="BG4576" s="3" t="s">
        <v>39776</v>
      </c>
    </row>
    <row r="4577" spans="1:59" ht="75" x14ac:dyDescent="0.25">
      <c r="A4577" s="2" t="s">
        <v>59</v>
      </c>
      <c r="B4577" s="2" t="s">
        <v>60</v>
      </c>
      <c r="C4577" s="2" t="s">
        <v>39777</v>
      </c>
      <c r="D4577" s="2" t="s">
        <v>39778</v>
      </c>
      <c r="E4577" s="2" t="s">
        <v>39779</v>
      </c>
      <c r="G4577" s="3" t="s">
        <v>63</v>
      </c>
      <c r="H4577" s="3" t="s">
        <v>215</v>
      </c>
      <c r="I4577" s="3" t="s">
        <v>62</v>
      </c>
      <c r="J4577" s="3" t="s">
        <v>62</v>
      </c>
      <c r="K4577" s="3" t="s">
        <v>64</v>
      </c>
      <c r="L4577" s="2" t="s">
        <v>39769</v>
      </c>
      <c r="M4577" s="2" t="s">
        <v>28806</v>
      </c>
      <c r="N4577" s="3" t="s">
        <v>1226</v>
      </c>
      <c r="P4577" s="3" t="s">
        <v>66</v>
      </c>
      <c r="Q4577" s="2" t="s">
        <v>375</v>
      </c>
      <c r="R4577" s="3" t="s">
        <v>67</v>
      </c>
      <c r="S4577" s="4">
        <v>1</v>
      </c>
      <c r="T4577" s="4">
        <v>5</v>
      </c>
      <c r="V4577" s="5" t="s">
        <v>39780</v>
      </c>
      <c r="W4577" s="5" t="s">
        <v>18193</v>
      </c>
      <c r="X4577" s="5" t="s">
        <v>18193</v>
      </c>
      <c r="Y4577" s="4">
        <v>237</v>
      </c>
      <c r="Z4577" s="4">
        <v>8</v>
      </c>
      <c r="AA4577" s="4">
        <v>23</v>
      </c>
      <c r="AB4577" s="4">
        <v>1</v>
      </c>
      <c r="AC4577" s="4">
        <v>2</v>
      </c>
      <c r="AD4577" s="4">
        <v>53</v>
      </c>
      <c r="AE4577" s="4">
        <v>90</v>
      </c>
      <c r="AF4577" s="4">
        <v>0</v>
      </c>
      <c r="AG4577" s="4">
        <v>0</v>
      </c>
      <c r="AH4577" s="4">
        <v>52</v>
      </c>
      <c r="AI4577" s="4">
        <v>87</v>
      </c>
      <c r="AJ4577" s="4">
        <v>3</v>
      </c>
      <c r="AK4577" s="4">
        <v>11</v>
      </c>
      <c r="AL4577" s="4">
        <v>25</v>
      </c>
      <c r="AM4577" s="4">
        <v>51</v>
      </c>
      <c r="AN4577" s="4">
        <v>5</v>
      </c>
      <c r="AO4577" s="4">
        <v>5</v>
      </c>
      <c r="AP4577" s="4">
        <v>3</v>
      </c>
      <c r="AQ4577" s="4">
        <v>11</v>
      </c>
      <c r="AR4577" s="3" t="s">
        <v>63</v>
      </c>
      <c r="AS4577" s="3" t="s">
        <v>63</v>
      </c>
      <c r="AT4577" s="3" t="s">
        <v>62</v>
      </c>
      <c r="AU4577" s="6" t="str">
        <f>HYPERLINK("http://catalog.hathitrust.org/Record/102028936","HathiTrust Record")</f>
        <v>HathiTrust Record</v>
      </c>
      <c r="AV4577" s="6" t="str">
        <f>HYPERLINK("http://mcgill.on.worldcat.org/oclc/51726750","Catalog Record")</f>
        <v>Catalog Record</v>
      </c>
      <c r="AW4577" s="6" t="str">
        <f>HYPERLINK("http://www.worldcat.org/oclc/51726750","WorldCat Record")</f>
        <v>WorldCat Record</v>
      </c>
      <c r="AX4577" s="3" t="s">
        <v>39781</v>
      </c>
      <c r="AY4577" s="3" t="s">
        <v>39782</v>
      </c>
      <c r="AZ4577" s="3" t="s">
        <v>39783</v>
      </c>
      <c r="BA4577" s="3" t="s">
        <v>39783</v>
      </c>
      <c r="BB4577" s="3" t="s">
        <v>39784</v>
      </c>
      <c r="BC4577" s="3" t="s">
        <v>82</v>
      </c>
      <c r="BD4577" s="3" t="s">
        <v>538</v>
      </c>
      <c r="BE4577" s="3" t="s">
        <v>39785</v>
      </c>
      <c r="BF4577" s="3" t="s">
        <v>39784</v>
      </c>
      <c r="BG4577" s="3" t="s">
        <v>39786</v>
      </c>
    </row>
    <row r="4578" spans="1:59" ht="75" x14ac:dyDescent="0.25">
      <c r="A4578" s="2" t="s">
        <v>59</v>
      </c>
      <c r="B4578" s="2" t="s">
        <v>60</v>
      </c>
      <c r="C4578" s="2" t="s">
        <v>39777</v>
      </c>
      <c r="D4578" s="2" t="s">
        <v>39778</v>
      </c>
      <c r="E4578" s="2" t="s">
        <v>39779</v>
      </c>
      <c r="G4578" s="3" t="s">
        <v>63</v>
      </c>
      <c r="I4578" s="3" t="s">
        <v>62</v>
      </c>
      <c r="J4578" s="3" t="s">
        <v>62</v>
      </c>
      <c r="K4578" s="3" t="s">
        <v>64</v>
      </c>
      <c r="L4578" s="2" t="s">
        <v>39769</v>
      </c>
      <c r="M4578" s="2" t="s">
        <v>28806</v>
      </c>
      <c r="N4578" s="3" t="s">
        <v>1226</v>
      </c>
      <c r="P4578" s="3" t="s">
        <v>66</v>
      </c>
      <c r="Q4578" s="2" t="s">
        <v>375</v>
      </c>
      <c r="R4578" s="3" t="s">
        <v>67</v>
      </c>
      <c r="S4578" s="4">
        <v>4</v>
      </c>
      <c r="T4578" s="4">
        <v>5</v>
      </c>
      <c r="U4578" s="5" t="s">
        <v>39780</v>
      </c>
      <c r="V4578" s="5" t="s">
        <v>39780</v>
      </c>
      <c r="W4578" s="5" t="s">
        <v>69</v>
      </c>
      <c r="X4578" s="5" t="s">
        <v>18193</v>
      </c>
      <c r="Y4578" s="4">
        <v>237</v>
      </c>
      <c r="Z4578" s="4">
        <v>8</v>
      </c>
      <c r="AA4578" s="4">
        <v>23</v>
      </c>
      <c r="AB4578" s="4">
        <v>1</v>
      </c>
      <c r="AC4578" s="4">
        <v>2</v>
      </c>
      <c r="AD4578" s="4">
        <v>53</v>
      </c>
      <c r="AE4578" s="4">
        <v>90</v>
      </c>
      <c r="AF4578" s="4">
        <v>0</v>
      </c>
      <c r="AG4578" s="4">
        <v>0</v>
      </c>
      <c r="AH4578" s="4">
        <v>52</v>
      </c>
      <c r="AI4578" s="4">
        <v>87</v>
      </c>
      <c r="AJ4578" s="4">
        <v>3</v>
      </c>
      <c r="AK4578" s="4">
        <v>11</v>
      </c>
      <c r="AL4578" s="4">
        <v>25</v>
      </c>
      <c r="AM4578" s="4">
        <v>51</v>
      </c>
      <c r="AN4578" s="4">
        <v>5</v>
      </c>
      <c r="AO4578" s="4">
        <v>5</v>
      </c>
      <c r="AP4578" s="4">
        <v>3</v>
      </c>
      <c r="AQ4578" s="4">
        <v>11</v>
      </c>
      <c r="AR4578" s="3" t="s">
        <v>63</v>
      </c>
      <c r="AS4578" s="3" t="s">
        <v>63</v>
      </c>
      <c r="AT4578" s="3" t="s">
        <v>62</v>
      </c>
      <c r="AU4578" s="6" t="str">
        <f>HYPERLINK("http://catalog.hathitrust.org/Record/102028936","HathiTrust Record")</f>
        <v>HathiTrust Record</v>
      </c>
      <c r="AV4578" s="6" t="str">
        <f>HYPERLINK("http://mcgill.on.worldcat.org/oclc/51726750","Catalog Record")</f>
        <v>Catalog Record</v>
      </c>
      <c r="AW4578" s="6" t="str">
        <f>HYPERLINK("http://www.worldcat.org/oclc/51726750","WorldCat Record")</f>
        <v>WorldCat Record</v>
      </c>
      <c r="AX4578" s="3" t="s">
        <v>39781</v>
      </c>
      <c r="AY4578" s="3" t="s">
        <v>39782</v>
      </c>
      <c r="AZ4578" s="3" t="s">
        <v>39783</v>
      </c>
      <c r="BA4578" s="3" t="s">
        <v>39783</v>
      </c>
      <c r="BB4578" s="3" t="s">
        <v>39787</v>
      </c>
      <c r="BC4578" s="3" t="s">
        <v>82</v>
      </c>
      <c r="BD4578" s="3" t="s">
        <v>538</v>
      </c>
      <c r="BE4578" s="3" t="s">
        <v>39785</v>
      </c>
      <c r="BF4578" s="3" t="s">
        <v>39787</v>
      </c>
      <c r="BG4578" s="3" t="s">
        <v>39788</v>
      </c>
    </row>
    <row r="4579" spans="1:59" ht="60" x14ac:dyDescent="0.25">
      <c r="A4579" s="2" t="s">
        <v>59</v>
      </c>
      <c r="B4579" s="2" t="s">
        <v>60</v>
      </c>
      <c r="C4579" s="2" t="s">
        <v>39789</v>
      </c>
      <c r="D4579" s="2" t="s">
        <v>39790</v>
      </c>
      <c r="E4579" s="2" t="s">
        <v>39791</v>
      </c>
      <c r="G4579" s="3" t="s">
        <v>63</v>
      </c>
      <c r="H4579" s="3" t="s">
        <v>215</v>
      </c>
      <c r="I4579" s="3" t="s">
        <v>63</v>
      </c>
      <c r="J4579" s="3" t="s">
        <v>63</v>
      </c>
      <c r="K4579" s="3" t="s">
        <v>64</v>
      </c>
      <c r="L4579" s="2" t="s">
        <v>39769</v>
      </c>
      <c r="M4579" s="2" t="s">
        <v>39792</v>
      </c>
      <c r="N4579" s="3" t="s">
        <v>1752</v>
      </c>
      <c r="O4579" s="2" t="s">
        <v>33420</v>
      </c>
      <c r="P4579" s="3" t="s">
        <v>66</v>
      </c>
      <c r="R4579" s="3" t="s">
        <v>67</v>
      </c>
      <c r="S4579" s="4">
        <v>3</v>
      </c>
      <c r="T4579" s="4">
        <v>3</v>
      </c>
      <c r="U4579" s="5" t="s">
        <v>9590</v>
      </c>
      <c r="V4579" s="5" t="s">
        <v>9590</v>
      </c>
      <c r="W4579" s="5" t="s">
        <v>2767</v>
      </c>
      <c r="X4579" s="5" t="s">
        <v>2767</v>
      </c>
      <c r="Y4579" s="4">
        <v>1006</v>
      </c>
      <c r="Z4579" s="4">
        <v>8</v>
      </c>
      <c r="AA4579" s="4">
        <v>23</v>
      </c>
      <c r="AB4579" s="4">
        <v>1</v>
      </c>
      <c r="AC4579" s="4">
        <v>5</v>
      </c>
      <c r="AD4579" s="4">
        <v>59</v>
      </c>
      <c r="AE4579" s="4">
        <v>81</v>
      </c>
      <c r="AF4579" s="4">
        <v>0</v>
      </c>
      <c r="AG4579" s="4">
        <v>0</v>
      </c>
      <c r="AH4579" s="4">
        <v>56</v>
      </c>
      <c r="AI4579" s="4">
        <v>75</v>
      </c>
      <c r="AJ4579" s="4">
        <v>2</v>
      </c>
      <c r="AK4579" s="4">
        <v>7</v>
      </c>
      <c r="AL4579" s="4">
        <v>36</v>
      </c>
      <c r="AM4579" s="4">
        <v>45</v>
      </c>
      <c r="AN4579" s="4">
        <v>0</v>
      </c>
      <c r="AO4579" s="4">
        <v>0</v>
      </c>
      <c r="AP4579" s="4">
        <v>3</v>
      </c>
      <c r="AQ4579" s="4">
        <v>11</v>
      </c>
      <c r="AR4579" s="3" t="s">
        <v>63</v>
      </c>
      <c r="AS4579" s="3" t="s">
        <v>63</v>
      </c>
      <c r="AT4579" s="3" t="s">
        <v>63</v>
      </c>
      <c r="AV4579" s="6" t="str">
        <f>HYPERLINK("http://mcgill.on.worldcat.org/oclc/1051776298","Catalog Record")</f>
        <v>Catalog Record</v>
      </c>
      <c r="AW4579" s="6" t="str">
        <f>HYPERLINK("http://www.worldcat.org/oclc/1051776298","WorldCat Record")</f>
        <v>WorldCat Record</v>
      </c>
      <c r="AX4579" s="3" t="s">
        <v>39793</v>
      </c>
      <c r="AY4579" s="3" t="s">
        <v>39794</v>
      </c>
      <c r="AZ4579" s="3" t="s">
        <v>39795</v>
      </c>
      <c r="BA4579" s="3" t="s">
        <v>39795</v>
      </c>
      <c r="BB4579" s="3" t="s">
        <v>39796</v>
      </c>
      <c r="BC4579" s="3" t="s">
        <v>82</v>
      </c>
      <c r="BD4579" s="3" t="s">
        <v>70</v>
      </c>
      <c r="BE4579" s="3" t="s">
        <v>39797</v>
      </c>
      <c r="BF4579" s="3" t="s">
        <v>39796</v>
      </c>
      <c r="BG4579" s="3" t="s">
        <v>39798</v>
      </c>
    </row>
    <row r="4580" spans="1:59" ht="60" x14ac:dyDescent="0.25">
      <c r="A4580" s="2" t="s">
        <v>59</v>
      </c>
      <c r="B4580" s="2" t="s">
        <v>60</v>
      </c>
      <c r="C4580" s="2" t="s">
        <v>39799</v>
      </c>
      <c r="D4580" s="2" t="s">
        <v>39800</v>
      </c>
      <c r="E4580" s="2" t="s">
        <v>39801</v>
      </c>
      <c r="G4580" s="3" t="s">
        <v>63</v>
      </c>
      <c r="I4580" s="3" t="s">
        <v>63</v>
      </c>
      <c r="J4580" s="3" t="s">
        <v>63</v>
      </c>
      <c r="K4580" s="3" t="s">
        <v>64</v>
      </c>
      <c r="L4580" s="2" t="s">
        <v>39802</v>
      </c>
      <c r="M4580" s="2" t="s">
        <v>38471</v>
      </c>
      <c r="N4580" s="3" t="s">
        <v>693</v>
      </c>
      <c r="O4580" s="2" t="s">
        <v>590</v>
      </c>
      <c r="P4580" s="3" t="s">
        <v>66</v>
      </c>
      <c r="R4580" s="3" t="s">
        <v>67</v>
      </c>
      <c r="S4580" s="4">
        <v>3</v>
      </c>
      <c r="T4580" s="4">
        <v>3</v>
      </c>
      <c r="U4580" s="5" t="s">
        <v>16003</v>
      </c>
      <c r="V4580" s="5" t="s">
        <v>16003</v>
      </c>
      <c r="W4580" s="5" t="s">
        <v>69</v>
      </c>
      <c r="X4580" s="5" t="s">
        <v>69</v>
      </c>
      <c r="Y4580" s="4">
        <v>136</v>
      </c>
      <c r="Z4580" s="4">
        <v>10</v>
      </c>
      <c r="AA4580" s="4">
        <v>12</v>
      </c>
      <c r="AB4580" s="4">
        <v>1</v>
      </c>
      <c r="AC4580" s="4">
        <v>2</v>
      </c>
      <c r="AD4580" s="4">
        <v>64</v>
      </c>
      <c r="AE4580" s="4">
        <v>67</v>
      </c>
      <c r="AF4580" s="4">
        <v>0</v>
      </c>
      <c r="AG4580" s="4">
        <v>0</v>
      </c>
      <c r="AH4580" s="4">
        <v>61</v>
      </c>
      <c r="AI4580" s="4">
        <v>63</v>
      </c>
      <c r="AJ4580" s="4">
        <v>5</v>
      </c>
      <c r="AK4580" s="4">
        <v>6</v>
      </c>
      <c r="AL4580" s="4">
        <v>38</v>
      </c>
      <c r="AM4580" s="4">
        <v>40</v>
      </c>
      <c r="AN4580" s="4">
        <v>0</v>
      </c>
      <c r="AO4580" s="4">
        <v>0</v>
      </c>
      <c r="AP4580" s="4">
        <v>5</v>
      </c>
      <c r="AQ4580" s="4">
        <v>6</v>
      </c>
      <c r="AR4580" s="3" t="s">
        <v>63</v>
      </c>
      <c r="AS4580" s="3" t="s">
        <v>63</v>
      </c>
      <c r="AT4580" s="3" t="s">
        <v>63</v>
      </c>
      <c r="AV4580" s="6" t="str">
        <f>HYPERLINK("http://mcgill.on.worldcat.org/oclc/53021411","Catalog Record")</f>
        <v>Catalog Record</v>
      </c>
      <c r="AW4580" s="6" t="str">
        <f>HYPERLINK("http://www.worldcat.org/oclc/53021411","WorldCat Record")</f>
        <v>WorldCat Record</v>
      </c>
      <c r="AX4580" s="3" t="s">
        <v>39803</v>
      </c>
      <c r="AY4580" s="3" t="s">
        <v>39804</v>
      </c>
      <c r="AZ4580" s="3" t="s">
        <v>39805</v>
      </c>
      <c r="BA4580" s="3" t="s">
        <v>39805</v>
      </c>
      <c r="BB4580" s="3" t="s">
        <v>39806</v>
      </c>
      <c r="BC4580" s="3" t="s">
        <v>82</v>
      </c>
      <c r="BD4580" s="3" t="s">
        <v>70</v>
      </c>
      <c r="BE4580" s="3" t="s">
        <v>39807</v>
      </c>
      <c r="BF4580" s="3" t="s">
        <v>39806</v>
      </c>
      <c r="BG4580" s="3" t="s">
        <v>39808</v>
      </c>
    </row>
    <row r="4581" spans="1:59" ht="75" x14ac:dyDescent="0.25">
      <c r="A4581" s="2" t="s">
        <v>59</v>
      </c>
      <c r="B4581" s="2" t="s">
        <v>60</v>
      </c>
      <c r="C4581" s="2" t="s">
        <v>39809</v>
      </c>
      <c r="D4581" s="2" t="s">
        <v>39810</v>
      </c>
      <c r="E4581" s="2" t="s">
        <v>39811</v>
      </c>
      <c r="G4581" s="3" t="s">
        <v>63</v>
      </c>
      <c r="I4581" s="3" t="s">
        <v>63</v>
      </c>
      <c r="J4581" s="3" t="s">
        <v>63</v>
      </c>
      <c r="K4581" s="3" t="s">
        <v>64</v>
      </c>
      <c r="L4581" s="2" t="s">
        <v>39802</v>
      </c>
      <c r="M4581" s="2" t="s">
        <v>39812</v>
      </c>
      <c r="N4581" s="3" t="s">
        <v>629</v>
      </c>
      <c r="O4581" s="2" t="s">
        <v>39130</v>
      </c>
      <c r="P4581" s="3" t="s">
        <v>66</v>
      </c>
      <c r="R4581" s="3" t="s">
        <v>67</v>
      </c>
      <c r="S4581" s="4">
        <v>1</v>
      </c>
      <c r="T4581" s="4">
        <v>1</v>
      </c>
      <c r="U4581" s="5" t="s">
        <v>39813</v>
      </c>
      <c r="V4581" s="5" t="s">
        <v>39813</v>
      </c>
      <c r="W4581" s="5" t="s">
        <v>69</v>
      </c>
      <c r="X4581" s="5" t="s">
        <v>69</v>
      </c>
      <c r="Y4581" s="4">
        <v>125</v>
      </c>
      <c r="Z4581" s="4">
        <v>10</v>
      </c>
      <c r="AA4581" s="4">
        <v>10</v>
      </c>
      <c r="AB4581" s="4">
        <v>1</v>
      </c>
      <c r="AC4581" s="4">
        <v>1</v>
      </c>
      <c r="AD4581" s="4">
        <v>46</v>
      </c>
      <c r="AE4581" s="4">
        <v>46</v>
      </c>
      <c r="AF4581" s="4">
        <v>0</v>
      </c>
      <c r="AG4581" s="4">
        <v>0</v>
      </c>
      <c r="AH4581" s="4">
        <v>43</v>
      </c>
      <c r="AI4581" s="4">
        <v>43</v>
      </c>
      <c r="AJ4581" s="4">
        <v>5</v>
      </c>
      <c r="AK4581" s="4">
        <v>5</v>
      </c>
      <c r="AL4581" s="4">
        <v>32</v>
      </c>
      <c r="AM4581" s="4">
        <v>32</v>
      </c>
      <c r="AN4581" s="4">
        <v>0</v>
      </c>
      <c r="AO4581" s="4">
        <v>0</v>
      </c>
      <c r="AP4581" s="4">
        <v>5</v>
      </c>
      <c r="AQ4581" s="4">
        <v>5</v>
      </c>
      <c r="AR4581" s="3" t="s">
        <v>63</v>
      </c>
      <c r="AS4581" s="3" t="s">
        <v>63</v>
      </c>
      <c r="AT4581" s="3" t="s">
        <v>63</v>
      </c>
      <c r="AV4581" s="6" t="str">
        <f>HYPERLINK("http://mcgill.on.worldcat.org/oclc/669754850","Catalog Record")</f>
        <v>Catalog Record</v>
      </c>
      <c r="AW4581" s="6" t="str">
        <f>HYPERLINK("http://www.worldcat.org/oclc/669754850","WorldCat Record")</f>
        <v>WorldCat Record</v>
      </c>
      <c r="AX4581" s="3" t="s">
        <v>39814</v>
      </c>
      <c r="AY4581" s="3" t="s">
        <v>39815</v>
      </c>
      <c r="AZ4581" s="3" t="s">
        <v>39816</v>
      </c>
      <c r="BA4581" s="3" t="s">
        <v>39816</v>
      </c>
      <c r="BB4581" s="3" t="s">
        <v>39817</v>
      </c>
      <c r="BC4581" s="3" t="s">
        <v>82</v>
      </c>
      <c r="BD4581" s="3" t="s">
        <v>70</v>
      </c>
      <c r="BE4581" s="3" t="s">
        <v>39818</v>
      </c>
      <c r="BF4581" s="3" t="s">
        <v>39817</v>
      </c>
      <c r="BG4581" s="3" t="s">
        <v>39819</v>
      </c>
    </row>
    <row r="4582" spans="1:59" ht="60" x14ac:dyDescent="0.25">
      <c r="A4582" s="2" t="s">
        <v>59</v>
      </c>
      <c r="B4582" s="2" t="s">
        <v>60</v>
      </c>
      <c r="C4582" s="2" t="s">
        <v>39820</v>
      </c>
      <c r="D4582" s="2" t="s">
        <v>39821</v>
      </c>
      <c r="E4582" s="2" t="s">
        <v>39822</v>
      </c>
      <c r="G4582" s="3" t="s">
        <v>63</v>
      </c>
      <c r="I4582" s="3" t="s">
        <v>62</v>
      </c>
      <c r="J4582" s="3" t="s">
        <v>63</v>
      </c>
      <c r="K4582" s="3" t="s">
        <v>64</v>
      </c>
      <c r="L4582" s="2" t="s">
        <v>39823</v>
      </c>
      <c r="M4582" s="2" t="s">
        <v>25741</v>
      </c>
      <c r="N4582" s="3" t="s">
        <v>2459</v>
      </c>
      <c r="O4582" s="2" t="s">
        <v>590</v>
      </c>
      <c r="P4582" s="3" t="s">
        <v>66</v>
      </c>
      <c r="R4582" s="3" t="s">
        <v>67</v>
      </c>
      <c r="S4582" s="4">
        <v>1</v>
      </c>
      <c r="T4582" s="4">
        <v>1</v>
      </c>
      <c r="U4582" s="5" t="s">
        <v>5904</v>
      </c>
      <c r="V4582" s="5" t="s">
        <v>5904</v>
      </c>
      <c r="W4582" s="5" t="s">
        <v>69</v>
      </c>
      <c r="X4582" s="5" t="s">
        <v>69</v>
      </c>
      <c r="Y4582" s="4">
        <v>302</v>
      </c>
      <c r="Z4582" s="4">
        <v>17</v>
      </c>
      <c r="AA4582" s="4">
        <v>17</v>
      </c>
      <c r="AB4582" s="4">
        <v>1</v>
      </c>
      <c r="AC4582" s="4">
        <v>1</v>
      </c>
      <c r="AD4582" s="4">
        <v>73</v>
      </c>
      <c r="AE4582" s="4">
        <v>73</v>
      </c>
      <c r="AF4582" s="4">
        <v>0</v>
      </c>
      <c r="AG4582" s="4">
        <v>0</v>
      </c>
      <c r="AH4582" s="4">
        <v>67</v>
      </c>
      <c r="AI4582" s="4">
        <v>67</v>
      </c>
      <c r="AJ4582" s="4">
        <v>9</v>
      </c>
      <c r="AK4582" s="4">
        <v>9</v>
      </c>
      <c r="AL4582" s="4">
        <v>45</v>
      </c>
      <c r="AM4582" s="4">
        <v>45</v>
      </c>
      <c r="AN4582" s="4">
        <v>0</v>
      </c>
      <c r="AO4582" s="4">
        <v>0</v>
      </c>
      <c r="AP4582" s="4">
        <v>9</v>
      </c>
      <c r="AQ4582" s="4">
        <v>9</v>
      </c>
      <c r="AR4582" s="3" t="s">
        <v>63</v>
      </c>
      <c r="AS4582" s="3" t="s">
        <v>63</v>
      </c>
      <c r="AT4582" s="3" t="s">
        <v>63</v>
      </c>
      <c r="AV4582" s="6" t="str">
        <f>HYPERLINK("http://mcgill.on.worldcat.org/oclc/166378225","Catalog Record")</f>
        <v>Catalog Record</v>
      </c>
      <c r="AW4582" s="6" t="str">
        <f>HYPERLINK("http://www.worldcat.org/oclc/166378225","WorldCat Record")</f>
        <v>WorldCat Record</v>
      </c>
      <c r="AX4582" s="3" t="s">
        <v>39824</v>
      </c>
      <c r="AY4582" s="3" t="s">
        <v>39825</v>
      </c>
      <c r="AZ4582" s="3" t="s">
        <v>39826</v>
      </c>
      <c r="BA4582" s="3" t="s">
        <v>39826</v>
      </c>
      <c r="BB4582" s="3" t="s">
        <v>39827</v>
      </c>
      <c r="BC4582" s="3" t="s">
        <v>82</v>
      </c>
      <c r="BD4582" s="3" t="s">
        <v>538</v>
      </c>
      <c r="BE4582" s="3" t="s">
        <v>39828</v>
      </c>
      <c r="BF4582" s="3" t="s">
        <v>39827</v>
      </c>
      <c r="BG4582" s="3" t="s">
        <v>39829</v>
      </c>
    </row>
    <row r="4583" spans="1:59" ht="60" x14ac:dyDescent="0.25">
      <c r="A4583" s="2" t="s">
        <v>59</v>
      </c>
      <c r="B4583" s="2" t="s">
        <v>60</v>
      </c>
      <c r="C4583" s="2" t="s">
        <v>39830</v>
      </c>
      <c r="D4583" s="2" t="s">
        <v>39831</v>
      </c>
      <c r="E4583" s="2" t="s">
        <v>39832</v>
      </c>
      <c r="G4583" s="3" t="s">
        <v>63</v>
      </c>
      <c r="I4583" s="3" t="s">
        <v>63</v>
      </c>
      <c r="J4583" s="3" t="s">
        <v>63</v>
      </c>
      <c r="K4583" s="3" t="s">
        <v>64</v>
      </c>
      <c r="L4583" s="2" t="s">
        <v>39823</v>
      </c>
      <c r="M4583" s="2" t="s">
        <v>39833</v>
      </c>
      <c r="N4583" s="3" t="s">
        <v>2103</v>
      </c>
      <c r="O4583" s="2" t="s">
        <v>590</v>
      </c>
      <c r="P4583" s="3" t="s">
        <v>66</v>
      </c>
      <c r="R4583" s="3" t="s">
        <v>67</v>
      </c>
      <c r="S4583" s="4">
        <v>9</v>
      </c>
      <c r="T4583" s="4">
        <v>9</v>
      </c>
      <c r="U4583" s="5" t="s">
        <v>3069</v>
      </c>
      <c r="V4583" s="5" t="s">
        <v>3069</v>
      </c>
      <c r="W4583" s="5" t="s">
        <v>69</v>
      </c>
      <c r="X4583" s="5" t="s">
        <v>69</v>
      </c>
      <c r="Y4583" s="4">
        <v>431</v>
      </c>
      <c r="Z4583" s="4">
        <v>17</v>
      </c>
      <c r="AA4583" s="4">
        <v>23</v>
      </c>
      <c r="AB4583" s="4">
        <v>3</v>
      </c>
      <c r="AC4583" s="4">
        <v>3</v>
      </c>
      <c r="AD4583" s="4">
        <v>95</v>
      </c>
      <c r="AE4583" s="4">
        <v>103</v>
      </c>
      <c r="AF4583" s="4">
        <v>0</v>
      </c>
      <c r="AG4583" s="4">
        <v>0</v>
      </c>
      <c r="AH4583" s="4">
        <v>90</v>
      </c>
      <c r="AI4583" s="4">
        <v>95</v>
      </c>
      <c r="AJ4583" s="4">
        <v>6</v>
      </c>
      <c r="AK4583" s="4">
        <v>10</v>
      </c>
      <c r="AL4583" s="4">
        <v>54</v>
      </c>
      <c r="AM4583" s="4">
        <v>55</v>
      </c>
      <c r="AN4583" s="4">
        <v>0</v>
      </c>
      <c r="AO4583" s="4">
        <v>0</v>
      </c>
      <c r="AP4583" s="4">
        <v>6</v>
      </c>
      <c r="AQ4583" s="4">
        <v>12</v>
      </c>
      <c r="AR4583" s="3" t="s">
        <v>63</v>
      </c>
      <c r="AS4583" s="3" t="s">
        <v>63</v>
      </c>
      <c r="AT4583" s="3" t="s">
        <v>63</v>
      </c>
      <c r="AV4583" s="6" t="str">
        <f>HYPERLINK("http://mcgill.on.worldcat.org/oclc/47081416","Catalog Record")</f>
        <v>Catalog Record</v>
      </c>
      <c r="AW4583" s="6" t="str">
        <f>HYPERLINK("http://www.worldcat.org/oclc/47081416","WorldCat Record")</f>
        <v>WorldCat Record</v>
      </c>
      <c r="AX4583" s="3" t="s">
        <v>39834</v>
      </c>
      <c r="AY4583" s="3" t="s">
        <v>39835</v>
      </c>
      <c r="AZ4583" s="3" t="s">
        <v>39836</v>
      </c>
      <c r="BA4583" s="3" t="s">
        <v>39836</v>
      </c>
      <c r="BB4583" s="3" t="s">
        <v>39837</v>
      </c>
      <c r="BC4583" s="3" t="s">
        <v>82</v>
      </c>
      <c r="BD4583" s="3" t="s">
        <v>70</v>
      </c>
      <c r="BE4583" s="3" t="s">
        <v>39838</v>
      </c>
      <c r="BF4583" s="3" t="s">
        <v>39837</v>
      </c>
      <c r="BG4583" s="3" t="s">
        <v>39839</v>
      </c>
    </row>
    <row r="4584" spans="1:59" ht="60" x14ac:dyDescent="0.25">
      <c r="A4584" s="2" t="s">
        <v>59</v>
      </c>
      <c r="B4584" s="2" t="s">
        <v>60</v>
      </c>
      <c r="C4584" s="2" t="s">
        <v>39840</v>
      </c>
      <c r="D4584" s="2" t="s">
        <v>39841</v>
      </c>
      <c r="E4584" s="2" t="s">
        <v>39842</v>
      </c>
      <c r="G4584" s="3" t="s">
        <v>63</v>
      </c>
      <c r="I4584" s="3" t="s">
        <v>63</v>
      </c>
      <c r="J4584" s="3" t="s">
        <v>62</v>
      </c>
      <c r="K4584" s="3" t="s">
        <v>64</v>
      </c>
      <c r="L4584" s="2" t="s">
        <v>39843</v>
      </c>
      <c r="M4584" s="2" t="s">
        <v>39844</v>
      </c>
      <c r="N4584" s="3" t="s">
        <v>1418</v>
      </c>
      <c r="P4584" s="3" t="s">
        <v>66</v>
      </c>
      <c r="R4584" s="3" t="s">
        <v>67</v>
      </c>
      <c r="S4584" s="4">
        <v>1</v>
      </c>
      <c r="T4584" s="4">
        <v>1</v>
      </c>
      <c r="U4584" s="5" t="s">
        <v>39536</v>
      </c>
      <c r="V4584" s="5" t="s">
        <v>39536</v>
      </c>
      <c r="W4584" s="5" t="s">
        <v>69</v>
      </c>
      <c r="X4584" s="5" t="s">
        <v>69</v>
      </c>
      <c r="Y4584" s="4">
        <v>2</v>
      </c>
      <c r="Z4584" s="4">
        <v>1</v>
      </c>
      <c r="AA4584" s="4">
        <v>16</v>
      </c>
      <c r="AB4584" s="4">
        <v>1</v>
      </c>
      <c r="AC4584" s="4">
        <v>2</v>
      </c>
      <c r="AD4584" s="4">
        <v>0</v>
      </c>
      <c r="AE4584" s="4">
        <v>92</v>
      </c>
      <c r="AF4584" s="4">
        <v>0</v>
      </c>
      <c r="AG4584" s="4">
        <v>1</v>
      </c>
      <c r="AH4584" s="4">
        <v>0</v>
      </c>
      <c r="AI4584" s="4">
        <v>86</v>
      </c>
      <c r="AJ4584" s="4">
        <v>0</v>
      </c>
      <c r="AK4584" s="4">
        <v>11</v>
      </c>
      <c r="AL4584" s="4">
        <v>0</v>
      </c>
      <c r="AM4584" s="4">
        <v>51</v>
      </c>
      <c r="AN4584" s="4">
        <v>0</v>
      </c>
      <c r="AO4584" s="4">
        <v>0</v>
      </c>
      <c r="AP4584" s="4">
        <v>0</v>
      </c>
      <c r="AQ4584" s="4">
        <v>11</v>
      </c>
      <c r="AR4584" s="3" t="s">
        <v>63</v>
      </c>
      <c r="AS4584" s="3" t="s">
        <v>63</v>
      </c>
      <c r="AT4584" s="3" t="s">
        <v>62</v>
      </c>
      <c r="AU4584" s="6" t="str">
        <f>HYPERLINK("http://catalog.hathitrust.org/Record/101877473","HathiTrust Record")</f>
        <v>HathiTrust Record</v>
      </c>
      <c r="AV4584" s="6" t="str">
        <f>HYPERLINK("http://mcgill.on.worldcat.org/oclc/469659722","Catalog Record")</f>
        <v>Catalog Record</v>
      </c>
      <c r="AW4584" s="6" t="str">
        <f>HYPERLINK("http://www.worldcat.org/oclc/469659722","WorldCat Record")</f>
        <v>WorldCat Record</v>
      </c>
      <c r="AX4584" s="3" t="s">
        <v>39845</v>
      </c>
      <c r="AY4584" s="3" t="s">
        <v>39846</v>
      </c>
      <c r="AZ4584" s="3" t="s">
        <v>39847</v>
      </c>
      <c r="BA4584" s="3" t="s">
        <v>39847</v>
      </c>
      <c r="BB4584" s="3" t="s">
        <v>39848</v>
      </c>
      <c r="BC4584" s="3" t="s">
        <v>82</v>
      </c>
      <c r="BD4584" s="3" t="s">
        <v>70</v>
      </c>
      <c r="BE4584" s="3" t="s">
        <v>39849</v>
      </c>
      <c r="BF4584" s="3" t="s">
        <v>39848</v>
      </c>
      <c r="BG4584" s="3" t="s">
        <v>39850</v>
      </c>
    </row>
    <row r="4585" spans="1:59" ht="60" x14ac:dyDescent="0.25">
      <c r="A4585" s="2" t="s">
        <v>59</v>
      </c>
      <c r="B4585" s="2" t="s">
        <v>60</v>
      </c>
      <c r="C4585" s="2" t="s">
        <v>39851</v>
      </c>
      <c r="D4585" s="2" t="s">
        <v>39852</v>
      </c>
      <c r="E4585" s="2" t="s">
        <v>39853</v>
      </c>
      <c r="G4585" s="3" t="s">
        <v>63</v>
      </c>
      <c r="I4585" s="3" t="s">
        <v>63</v>
      </c>
      <c r="J4585" s="3" t="s">
        <v>63</v>
      </c>
      <c r="K4585" s="3" t="s">
        <v>64</v>
      </c>
      <c r="L4585" s="2" t="s">
        <v>39854</v>
      </c>
      <c r="M4585" s="2" t="s">
        <v>39855</v>
      </c>
      <c r="N4585" s="3" t="s">
        <v>76</v>
      </c>
      <c r="P4585" s="3" t="s">
        <v>66</v>
      </c>
      <c r="Q4585" s="2" t="s">
        <v>39856</v>
      </c>
      <c r="R4585" s="3" t="s">
        <v>67</v>
      </c>
      <c r="S4585" s="4">
        <v>0</v>
      </c>
      <c r="T4585" s="4">
        <v>0</v>
      </c>
      <c r="W4585" s="5" t="s">
        <v>69</v>
      </c>
      <c r="X4585" s="5" t="s">
        <v>69</v>
      </c>
      <c r="Y4585" s="4">
        <v>19</v>
      </c>
      <c r="Z4585" s="4">
        <v>4</v>
      </c>
      <c r="AA4585" s="4">
        <v>6</v>
      </c>
      <c r="AB4585" s="4">
        <v>1</v>
      </c>
      <c r="AC4585" s="4">
        <v>3</v>
      </c>
      <c r="AD4585" s="4">
        <v>8</v>
      </c>
      <c r="AE4585" s="4">
        <v>9</v>
      </c>
      <c r="AF4585" s="4">
        <v>0</v>
      </c>
      <c r="AG4585" s="4">
        <v>0</v>
      </c>
      <c r="AH4585" s="4">
        <v>6</v>
      </c>
      <c r="AI4585" s="4">
        <v>7</v>
      </c>
      <c r="AJ4585" s="4">
        <v>2</v>
      </c>
      <c r="AK4585" s="4">
        <v>2</v>
      </c>
      <c r="AL4585" s="4">
        <v>7</v>
      </c>
      <c r="AM4585" s="4">
        <v>7</v>
      </c>
      <c r="AN4585" s="4">
        <v>0</v>
      </c>
      <c r="AO4585" s="4">
        <v>0</v>
      </c>
      <c r="AP4585" s="4">
        <v>2</v>
      </c>
      <c r="AQ4585" s="4">
        <v>2</v>
      </c>
      <c r="AR4585" s="3" t="s">
        <v>63</v>
      </c>
      <c r="AS4585" s="3" t="s">
        <v>63</v>
      </c>
      <c r="AT4585" s="3" t="s">
        <v>63</v>
      </c>
      <c r="AV4585" s="6" t="str">
        <f>HYPERLINK("http://mcgill.on.worldcat.org/oclc/793214186","Catalog Record")</f>
        <v>Catalog Record</v>
      </c>
      <c r="AW4585" s="6" t="str">
        <f>HYPERLINK("http://www.worldcat.org/oclc/793214186","WorldCat Record")</f>
        <v>WorldCat Record</v>
      </c>
      <c r="AX4585" s="3" t="s">
        <v>39857</v>
      </c>
      <c r="AY4585" s="3" t="s">
        <v>39858</v>
      </c>
      <c r="AZ4585" s="3" t="s">
        <v>39859</v>
      </c>
      <c r="BA4585" s="3" t="s">
        <v>39859</v>
      </c>
      <c r="BB4585" s="3" t="s">
        <v>39860</v>
      </c>
      <c r="BC4585" s="3" t="s">
        <v>82</v>
      </c>
      <c r="BD4585" s="3" t="s">
        <v>70</v>
      </c>
      <c r="BE4585" s="3" t="s">
        <v>39861</v>
      </c>
      <c r="BF4585" s="3" t="s">
        <v>39860</v>
      </c>
      <c r="BG4585" s="3" t="s">
        <v>39862</v>
      </c>
    </row>
    <row r="4586" spans="1:59" ht="60" x14ac:dyDescent="0.25">
      <c r="A4586" s="2" t="s">
        <v>59</v>
      </c>
      <c r="B4586" s="2" t="s">
        <v>60</v>
      </c>
      <c r="C4586" s="2" t="s">
        <v>39863</v>
      </c>
      <c r="D4586" s="2" t="s">
        <v>39864</v>
      </c>
      <c r="E4586" s="2" t="s">
        <v>39865</v>
      </c>
      <c r="G4586" s="3" t="s">
        <v>63</v>
      </c>
      <c r="I4586" s="3" t="s">
        <v>63</v>
      </c>
      <c r="J4586" s="3" t="s">
        <v>63</v>
      </c>
      <c r="K4586" s="3" t="s">
        <v>64</v>
      </c>
      <c r="L4586" s="2" t="s">
        <v>39866</v>
      </c>
      <c r="M4586" s="2" t="s">
        <v>39867</v>
      </c>
      <c r="N4586" s="3" t="s">
        <v>76</v>
      </c>
      <c r="O4586" s="2" t="s">
        <v>590</v>
      </c>
      <c r="P4586" s="3" t="s">
        <v>66</v>
      </c>
      <c r="R4586" s="3" t="s">
        <v>67</v>
      </c>
      <c r="S4586" s="4">
        <v>0</v>
      </c>
      <c r="T4586" s="4">
        <v>0</v>
      </c>
      <c r="W4586" s="5" t="s">
        <v>69</v>
      </c>
      <c r="X4586" s="5" t="s">
        <v>69</v>
      </c>
      <c r="Y4586" s="4">
        <v>75</v>
      </c>
      <c r="Z4586" s="4">
        <v>8</v>
      </c>
      <c r="AA4586" s="4">
        <v>10</v>
      </c>
      <c r="AB4586" s="4">
        <v>1</v>
      </c>
      <c r="AC4586" s="4">
        <v>3</v>
      </c>
      <c r="AD4586" s="4">
        <v>42</v>
      </c>
      <c r="AE4586" s="4">
        <v>55</v>
      </c>
      <c r="AF4586" s="4">
        <v>0</v>
      </c>
      <c r="AG4586" s="4">
        <v>0</v>
      </c>
      <c r="AH4586" s="4">
        <v>40</v>
      </c>
      <c r="AI4586" s="4">
        <v>52</v>
      </c>
      <c r="AJ4586" s="4">
        <v>5</v>
      </c>
      <c r="AK4586" s="4">
        <v>5</v>
      </c>
      <c r="AL4586" s="4">
        <v>30</v>
      </c>
      <c r="AM4586" s="4">
        <v>38</v>
      </c>
      <c r="AN4586" s="4">
        <v>0</v>
      </c>
      <c r="AO4586" s="4">
        <v>0</v>
      </c>
      <c r="AP4586" s="4">
        <v>5</v>
      </c>
      <c r="AQ4586" s="4">
        <v>5</v>
      </c>
      <c r="AR4586" s="3" t="s">
        <v>63</v>
      </c>
      <c r="AS4586" s="3" t="s">
        <v>63</v>
      </c>
      <c r="AT4586" s="3" t="s">
        <v>63</v>
      </c>
      <c r="AV4586" s="6" t="str">
        <f>HYPERLINK("http://mcgill.on.worldcat.org/oclc/751250497","Catalog Record")</f>
        <v>Catalog Record</v>
      </c>
      <c r="AW4586" s="6" t="str">
        <f>HYPERLINK("http://www.worldcat.org/oclc/751250497","WorldCat Record")</f>
        <v>WorldCat Record</v>
      </c>
      <c r="AX4586" s="3" t="s">
        <v>39868</v>
      </c>
      <c r="AY4586" s="3" t="s">
        <v>39869</v>
      </c>
      <c r="AZ4586" s="3" t="s">
        <v>39870</v>
      </c>
      <c r="BA4586" s="3" t="s">
        <v>39870</v>
      </c>
      <c r="BB4586" s="3" t="s">
        <v>39871</v>
      </c>
      <c r="BC4586" s="3" t="s">
        <v>82</v>
      </c>
      <c r="BD4586" s="3" t="s">
        <v>70</v>
      </c>
      <c r="BE4586" s="3" t="s">
        <v>39872</v>
      </c>
      <c r="BF4586" s="3" t="s">
        <v>39871</v>
      </c>
      <c r="BG4586" s="3" t="s">
        <v>39873</v>
      </c>
    </row>
    <row r="4587" spans="1:59" ht="75" x14ac:dyDescent="0.25">
      <c r="A4587" s="2" t="s">
        <v>59</v>
      </c>
      <c r="B4587" s="2" t="s">
        <v>60</v>
      </c>
      <c r="C4587" s="2" t="s">
        <v>39874</v>
      </c>
      <c r="D4587" s="2" t="s">
        <v>39875</v>
      </c>
      <c r="E4587" s="2" t="s">
        <v>39876</v>
      </c>
      <c r="G4587" s="3" t="s">
        <v>63</v>
      </c>
      <c r="I4587" s="3" t="s">
        <v>63</v>
      </c>
      <c r="J4587" s="3" t="s">
        <v>63</v>
      </c>
      <c r="K4587" s="3" t="s">
        <v>64</v>
      </c>
      <c r="L4587" s="2" t="s">
        <v>39877</v>
      </c>
      <c r="M4587" s="2" t="s">
        <v>39878</v>
      </c>
      <c r="N4587" s="3" t="s">
        <v>130</v>
      </c>
      <c r="O4587" s="2" t="s">
        <v>1605</v>
      </c>
      <c r="P4587" s="3" t="s">
        <v>66</v>
      </c>
      <c r="R4587" s="3" t="s">
        <v>67</v>
      </c>
      <c r="S4587" s="4">
        <v>0</v>
      </c>
      <c r="T4587" s="4">
        <v>0</v>
      </c>
      <c r="W4587" s="5" t="s">
        <v>69</v>
      </c>
      <c r="X4587" s="5" t="s">
        <v>69</v>
      </c>
      <c r="Y4587" s="4">
        <v>69</v>
      </c>
      <c r="Z4587" s="4">
        <v>10</v>
      </c>
      <c r="AA4587" s="4">
        <v>10</v>
      </c>
      <c r="AB4587" s="4">
        <v>1</v>
      </c>
      <c r="AC4587" s="4">
        <v>1</v>
      </c>
      <c r="AD4587" s="4">
        <v>36</v>
      </c>
      <c r="AE4587" s="4">
        <v>36</v>
      </c>
      <c r="AF4587" s="4">
        <v>0</v>
      </c>
      <c r="AG4587" s="4">
        <v>0</v>
      </c>
      <c r="AH4587" s="4">
        <v>33</v>
      </c>
      <c r="AI4587" s="4">
        <v>33</v>
      </c>
      <c r="AJ4587" s="4">
        <v>6</v>
      </c>
      <c r="AK4587" s="4">
        <v>6</v>
      </c>
      <c r="AL4587" s="4">
        <v>21</v>
      </c>
      <c r="AM4587" s="4">
        <v>21</v>
      </c>
      <c r="AN4587" s="4">
        <v>0</v>
      </c>
      <c r="AO4587" s="4">
        <v>0</v>
      </c>
      <c r="AP4587" s="4">
        <v>6</v>
      </c>
      <c r="AQ4587" s="4">
        <v>6</v>
      </c>
      <c r="AR4587" s="3" t="s">
        <v>63</v>
      </c>
      <c r="AS4587" s="3" t="s">
        <v>63</v>
      </c>
      <c r="AT4587" s="3" t="s">
        <v>63</v>
      </c>
      <c r="AV4587" s="6" t="str">
        <f>HYPERLINK("http://mcgill.on.worldcat.org/oclc/812258840","Catalog Record")</f>
        <v>Catalog Record</v>
      </c>
      <c r="AW4587" s="6" t="str">
        <f>HYPERLINK("http://www.worldcat.org/oclc/812258840","WorldCat Record")</f>
        <v>WorldCat Record</v>
      </c>
      <c r="AX4587" s="3" t="s">
        <v>39879</v>
      </c>
      <c r="AY4587" s="3" t="s">
        <v>39880</v>
      </c>
      <c r="AZ4587" s="3" t="s">
        <v>39881</v>
      </c>
      <c r="BA4587" s="3" t="s">
        <v>39881</v>
      </c>
      <c r="BB4587" s="3" t="s">
        <v>39882</v>
      </c>
      <c r="BC4587" s="3" t="s">
        <v>82</v>
      </c>
      <c r="BD4587" s="3" t="s">
        <v>70</v>
      </c>
      <c r="BE4587" s="3" t="s">
        <v>39883</v>
      </c>
      <c r="BF4587" s="3" t="s">
        <v>39882</v>
      </c>
      <c r="BG4587" s="3" t="s">
        <v>39884</v>
      </c>
    </row>
    <row r="4588" spans="1:59" ht="75" x14ac:dyDescent="0.25">
      <c r="A4588" s="2" t="s">
        <v>59</v>
      </c>
      <c r="B4588" s="2" t="s">
        <v>60</v>
      </c>
      <c r="C4588" s="2" t="s">
        <v>39885</v>
      </c>
      <c r="D4588" s="2" t="s">
        <v>39886</v>
      </c>
      <c r="E4588" s="2" t="s">
        <v>39887</v>
      </c>
      <c r="G4588" s="3" t="s">
        <v>63</v>
      </c>
      <c r="I4588" s="3" t="s">
        <v>62</v>
      </c>
      <c r="J4588" s="3" t="s">
        <v>63</v>
      </c>
      <c r="K4588" s="3" t="s">
        <v>64</v>
      </c>
      <c r="L4588" s="2" t="s">
        <v>39888</v>
      </c>
      <c r="M4588" s="2" t="s">
        <v>39889</v>
      </c>
      <c r="N4588" s="3" t="s">
        <v>190</v>
      </c>
      <c r="P4588" s="3" t="s">
        <v>66</v>
      </c>
      <c r="R4588" s="3" t="s">
        <v>67</v>
      </c>
      <c r="S4588" s="4">
        <v>7</v>
      </c>
      <c r="T4588" s="4">
        <v>7</v>
      </c>
      <c r="U4588" s="5" t="s">
        <v>39890</v>
      </c>
      <c r="V4588" s="5" t="s">
        <v>39890</v>
      </c>
      <c r="W4588" s="5" t="s">
        <v>69</v>
      </c>
      <c r="X4588" s="5" t="s">
        <v>69</v>
      </c>
      <c r="Y4588" s="4">
        <v>321</v>
      </c>
      <c r="Z4588" s="4">
        <v>20</v>
      </c>
      <c r="AA4588" s="4">
        <v>22</v>
      </c>
      <c r="AB4588" s="4">
        <v>1</v>
      </c>
      <c r="AC4588" s="4">
        <v>3</v>
      </c>
      <c r="AD4588" s="4">
        <v>74</v>
      </c>
      <c r="AE4588" s="4">
        <v>74</v>
      </c>
      <c r="AF4588" s="4">
        <v>0</v>
      </c>
      <c r="AG4588" s="4">
        <v>0</v>
      </c>
      <c r="AH4588" s="4">
        <v>69</v>
      </c>
      <c r="AI4588" s="4">
        <v>69</v>
      </c>
      <c r="AJ4588" s="4">
        <v>8</v>
      </c>
      <c r="AK4588" s="4">
        <v>8</v>
      </c>
      <c r="AL4588" s="4">
        <v>44</v>
      </c>
      <c r="AM4588" s="4">
        <v>44</v>
      </c>
      <c r="AN4588" s="4">
        <v>0</v>
      </c>
      <c r="AO4588" s="4">
        <v>0</v>
      </c>
      <c r="AP4588" s="4">
        <v>9</v>
      </c>
      <c r="AQ4588" s="4">
        <v>9</v>
      </c>
      <c r="AR4588" s="3" t="s">
        <v>63</v>
      </c>
      <c r="AS4588" s="3" t="s">
        <v>63</v>
      </c>
      <c r="AT4588" s="3" t="s">
        <v>63</v>
      </c>
      <c r="AV4588" s="6" t="str">
        <f>HYPERLINK("http://mcgill.on.worldcat.org/oclc/56490118","Catalog Record")</f>
        <v>Catalog Record</v>
      </c>
      <c r="AW4588" s="6" t="str">
        <f>HYPERLINK("http://www.worldcat.org/oclc/56490118","WorldCat Record")</f>
        <v>WorldCat Record</v>
      </c>
      <c r="AX4588" s="3" t="s">
        <v>39891</v>
      </c>
      <c r="AY4588" s="3" t="s">
        <v>39892</v>
      </c>
      <c r="AZ4588" s="3" t="s">
        <v>39893</v>
      </c>
      <c r="BA4588" s="3" t="s">
        <v>39893</v>
      </c>
      <c r="BB4588" s="3" t="s">
        <v>39894</v>
      </c>
      <c r="BC4588" s="3" t="s">
        <v>82</v>
      </c>
      <c r="BD4588" s="3" t="s">
        <v>70</v>
      </c>
      <c r="BE4588" s="3" t="s">
        <v>39895</v>
      </c>
      <c r="BF4588" s="3" t="s">
        <v>39894</v>
      </c>
      <c r="BG4588" s="3" t="s">
        <v>39896</v>
      </c>
    </row>
    <row r="4589" spans="1:59" ht="60" x14ac:dyDescent="0.25">
      <c r="A4589" s="2" t="s">
        <v>59</v>
      </c>
      <c r="B4589" s="2" t="s">
        <v>60</v>
      </c>
      <c r="C4589" s="2" t="s">
        <v>39897</v>
      </c>
      <c r="D4589" s="2" t="s">
        <v>39898</v>
      </c>
      <c r="E4589" s="2" t="s">
        <v>39899</v>
      </c>
      <c r="G4589" s="3" t="s">
        <v>63</v>
      </c>
      <c r="I4589" s="3" t="s">
        <v>63</v>
      </c>
      <c r="J4589" s="3" t="s">
        <v>63</v>
      </c>
      <c r="K4589" s="3" t="s">
        <v>64</v>
      </c>
      <c r="L4589" s="2" t="s">
        <v>39900</v>
      </c>
      <c r="M4589" s="2" t="s">
        <v>39901</v>
      </c>
      <c r="N4589" s="3" t="s">
        <v>629</v>
      </c>
      <c r="P4589" s="3" t="s">
        <v>90</v>
      </c>
      <c r="Q4589" s="2" t="s">
        <v>39902</v>
      </c>
      <c r="R4589" s="3" t="s">
        <v>67</v>
      </c>
      <c r="S4589" s="4">
        <v>3</v>
      </c>
      <c r="T4589" s="4">
        <v>3</v>
      </c>
      <c r="U4589" s="5" t="s">
        <v>39903</v>
      </c>
      <c r="V4589" s="5" t="s">
        <v>39903</v>
      </c>
      <c r="W4589" s="5" t="s">
        <v>69</v>
      </c>
      <c r="X4589" s="5" t="s">
        <v>69</v>
      </c>
      <c r="Y4589" s="4">
        <v>4</v>
      </c>
      <c r="Z4589" s="4">
        <v>1</v>
      </c>
      <c r="AA4589" s="4">
        <v>2</v>
      </c>
      <c r="AB4589" s="4">
        <v>1</v>
      </c>
      <c r="AC4589" s="4">
        <v>1</v>
      </c>
      <c r="AD4589" s="4">
        <v>1</v>
      </c>
      <c r="AE4589" s="4">
        <v>1</v>
      </c>
      <c r="AF4589" s="4">
        <v>0</v>
      </c>
      <c r="AG4589" s="4">
        <v>0</v>
      </c>
      <c r="AH4589" s="4">
        <v>1</v>
      </c>
      <c r="AI4589" s="4">
        <v>1</v>
      </c>
      <c r="AJ4589" s="4">
        <v>0</v>
      </c>
      <c r="AK4589" s="4">
        <v>0</v>
      </c>
      <c r="AL4589" s="4">
        <v>0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3" t="s">
        <v>63</v>
      </c>
      <c r="AS4589" s="3" t="s">
        <v>63</v>
      </c>
      <c r="AT4589" s="3" t="s">
        <v>63</v>
      </c>
      <c r="AV4589" s="6" t="str">
        <f>HYPERLINK("http://mcgill.on.worldcat.org/oclc/829945104","Catalog Record")</f>
        <v>Catalog Record</v>
      </c>
      <c r="AW4589" s="6" t="str">
        <f>HYPERLINK("http://www.worldcat.org/oclc/829945104","WorldCat Record")</f>
        <v>WorldCat Record</v>
      </c>
      <c r="AX4589" s="3" t="s">
        <v>39904</v>
      </c>
      <c r="AY4589" s="3" t="s">
        <v>39905</v>
      </c>
      <c r="AZ4589" s="3" t="s">
        <v>39906</v>
      </c>
      <c r="BA4589" s="3" t="s">
        <v>39906</v>
      </c>
      <c r="BB4589" s="3" t="s">
        <v>39907</v>
      </c>
      <c r="BC4589" s="3" t="s">
        <v>82</v>
      </c>
      <c r="BD4589" s="3" t="s">
        <v>70</v>
      </c>
      <c r="BE4589" s="3" t="s">
        <v>39908</v>
      </c>
      <c r="BF4589" s="3" t="s">
        <v>39907</v>
      </c>
      <c r="BG4589" s="3" t="s">
        <v>39909</v>
      </c>
    </row>
    <row r="4590" spans="1:59" ht="60" x14ac:dyDescent="0.25">
      <c r="A4590" s="2" t="s">
        <v>59</v>
      </c>
      <c r="B4590" s="2" t="s">
        <v>60</v>
      </c>
      <c r="C4590" s="2" t="s">
        <v>39910</v>
      </c>
      <c r="D4590" s="2" t="s">
        <v>39911</v>
      </c>
      <c r="E4590" s="2" t="s">
        <v>39912</v>
      </c>
      <c r="G4590" s="3" t="s">
        <v>63</v>
      </c>
      <c r="I4590" s="3" t="s">
        <v>63</v>
      </c>
      <c r="J4590" s="3" t="s">
        <v>63</v>
      </c>
      <c r="K4590" s="3" t="s">
        <v>64</v>
      </c>
      <c r="L4590" s="2" t="s">
        <v>39900</v>
      </c>
      <c r="M4590" s="2" t="s">
        <v>39913</v>
      </c>
      <c r="N4590" s="3" t="s">
        <v>629</v>
      </c>
      <c r="P4590" s="3" t="s">
        <v>90</v>
      </c>
      <c r="R4590" s="3" t="s">
        <v>67</v>
      </c>
      <c r="S4590" s="4">
        <v>2</v>
      </c>
      <c r="T4590" s="4">
        <v>2</v>
      </c>
      <c r="U4590" s="5" t="s">
        <v>39914</v>
      </c>
      <c r="V4590" s="5" t="s">
        <v>39914</v>
      </c>
      <c r="W4590" s="5" t="s">
        <v>69</v>
      </c>
      <c r="X4590" s="5" t="s">
        <v>69</v>
      </c>
      <c r="Y4590" s="4">
        <v>2</v>
      </c>
      <c r="Z4590" s="4">
        <v>1</v>
      </c>
      <c r="AA4590" s="4">
        <v>1</v>
      </c>
      <c r="AB4590" s="4">
        <v>1</v>
      </c>
      <c r="AC4590" s="4">
        <v>1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3" t="s">
        <v>63</v>
      </c>
      <c r="AS4590" s="3" t="s">
        <v>63</v>
      </c>
      <c r="AT4590" s="3" t="s">
        <v>63</v>
      </c>
      <c r="AV4590" s="6" t="str">
        <f>HYPERLINK("http://mcgill.on.worldcat.org/oclc/767630437","Catalog Record")</f>
        <v>Catalog Record</v>
      </c>
      <c r="AW4590" s="6" t="str">
        <f>HYPERLINK("http://www.worldcat.org/oclc/767630437","WorldCat Record")</f>
        <v>WorldCat Record</v>
      </c>
      <c r="AX4590" s="3" t="s">
        <v>39915</v>
      </c>
      <c r="AY4590" s="3" t="s">
        <v>39916</v>
      </c>
      <c r="AZ4590" s="3" t="s">
        <v>39917</v>
      </c>
      <c r="BA4590" s="3" t="s">
        <v>39917</v>
      </c>
      <c r="BB4590" s="3" t="s">
        <v>39918</v>
      </c>
      <c r="BC4590" s="3" t="s">
        <v>82</v>
      </c>
      <c r="BD4590" s="3" t="s">
        <v>70</v>
      </c>
      <c r="BE4590" s="3" t="s">
        <v>39919</v>
      </c>
      <c r="BF4590" s="3" t="s">
        <v>39918</v>
      </c>
      <c r="BG4590" s="3" t="s">
        <v>39920</v>
      </c>
    </row>
    <row r="4591" spans="1:59" ht="75" x14ac:dyDescent="0.25">
      <c r="A4591" s="2" t="s">
        <v>59</v>
      </c>
      <c r="B4591" s="2" t="s">
        <v>60</v>
      </c>
      <c r="C4591" s="2" t="s">
        <v>39921</v>
      </c>
      <c r="D4591" s="2" t="s">
        <v>39922</v>
      </c>
      <c r="E4591" s="2" t="s">
        <v>39923</v>
      </c>
      <c r="G4591" s="3" t="s">
        <v>63</v>
      </c>
      <c r="I4591" s="3" t="s">
        <v>63</v>
      </c>
      <c r="J4591" s="3" t="s">
        <v>63</v>
      </c>
      <c r="K4591" s="3" t="s">
        <v>64</v>
      </c>
      <c r="L4591" s="2" t="s">
        <v>39924</v>
      </c>
      <c r="M4591" s="2" t="s">
        <v>39925</v>
      </c>
      <c r="N4591" s="3" t="s">
        <v>106</v>
      </c>
      <c r="P4591" s="3" t="s">
        <v>442</v>
      </c>
      <c r="Q4591" s="2" t="s">
        <v>39926</v>
      </c>
      <c r="R4591" s="3" t="s">
        <v>67</v>
      </c>
      <c r="S4591" s="4">
        <v>0</v>
      </c>
      <c r="T4591" s="4">
        <v>0</v>
      </c>
      <c r="W4591" s="5" t="s">
        <v>69</v>
      </c>
      <c r="X4591" s="5" t="s">
        <v>69</v>
      </c>
      <c r="Y4591" s="4">
        <v>49</v>
      </c>
      <c r="Z4591" s="4">
        <v>6</v>
      </c>
      <c r="AA4591" s="4">
        <v>6</v>
      </c>
      <c r="AB4591" s="4">
        <v>1</v>
      </c>
      <c r="AC4591" s="4">
        <v>1</v>
      </c>
      <c r="AD4591" s="4">
        <v>28</v>
      </c>
      <c r="AE4591" s="4">
        <v>28</v>
      </c>
      <c r="AF4591" s="4">
        <v>0</v>
      </c>
      <c r="AG4591" s="4">
        <v>0</v>
      </c>
      <c r="AH4591" s="4">
        <v>26</v>
      </c>
      <c r="AI4591" s="4">
        <v>26</v>
      </c>
      <c r="AJ4591" s="4">
        <v>5</v>
      </c>
      <c r="AK4591" s="4">
        <v>5</v>
      </c>
      <c r="AL4591" s="4">
        <v>17</v>
      </c>
      <c r="AM4591" s="4">
        <v>17</v>
      </c>
      <c r="AN4591" s="4">
        <v>0</v>
      </c>
      <c r="AO4591" s="4">
        <v>0</v>
      </c>
      <c r="AP4591" s="4">
        <v>5</v>
      </c>
      <c r="AQ4591" s="4">
        <v>5</v>
      </c>
      <c r="AR4591" s="3" t="s">
        <v>63</v>
      </c>
      <c r="AS4591" s="3" t="s">
        <v>63</v>
      </c>
      <c r="AT4591" s="3" t="s">
        <v>63</v>
      </c>
      <c r="AV4591" s="6" t="str">
        <f>HYPERLINK("http://mcgill.on.worldcat.org/oclc/961475106","Catalog Record")</f>
        <v>Catalog Record</v>
      </c>
      <c r="AW4591" s="6" t="str">
        <f>HYPERLINK("http://www.worldcat.org/oclc/961475106","WorldCat Record")</f>
        <v>WorldCat Record</v>
      </c>
      <c r="AX4591" s="3" t="s">
        <v>39927</v>
      </c>
      <c r="AY4591" s="3" t="s">
        <v>39928</v>
      </c>
      <c r="AZ4591" s="3" t="s">
        <v>39929</v>
      </c>
      <c r="BA4591" s="3" t="s">
        <v>39929</v>
      </c>
      <c r="BB4591" s="3" t="s">
        <v>39930</v>
      </c>
      <c r="BC4591" s="3" t="s">
        <v>82</v>
      </c>
      <c r="BD4591" s="3" t="s">
        <v>70</v>
      </c>
      <c r="BE4591" s="3" t="s">
        <v>39931</v>
      </c>
      <c r="BF4591" s="3" t="s">
        <v>39930</v>
      </c>
      <c r="BG4591" s="3" t="s">
        <v>39932</v>
      </c>
    </row>
    <row r="4592" spans="1:59" ht="60" x14ac:dyDescent="0.25">
      <c r="A4592" s="2" t="s">
        <v>59</v>
      </c>
      <c r="B4592" s="2" t="s">
        <v>60</v>
      </c>
      <c r="C4592" s="2" t="s">
        <v>39933</v>
      </c>
      <c r="D4592" s="2" t="s">
        <v>39934</v>
      </c>
      <c r="E4592" s="2" t="s">
        <v>39935</v>
      </c>
      <c r="G4592" s="3" t="s">
        <v>63</v>
      </c>
      <c r="I4592" s="3" t="s">
        <v>63</v>
      </c>
      <c r="J4592" s="3" t="s">
        <v>63</v>
      </c>
      <c r="K4592" s="3" t="s">
        <v>64</v>
      </c>
      <c r="M4592" s="2" t="s">
        <v>39936</v>
      </c>
      <c r="N4592" s="3" t="s">
        <v>1226</v>
      </c>
      <c r="P4592" s="3" t="s">
        <v>66</v>
      </c>
      <c r="Q4592" s="2" t="s">
        <v>39937</v>
      </c>
      <c r="R4592" s="3" t="s">
        <v>67</v>
      </c>
      <c r="S4592" s="4">
        <v>3</v>
      </c>
      <c r="T4592" s="4">
        <v>3</v>
      </c>
      <c r="U4592" s="5" t="s">
        <v>39063</v>
      </c>
      <c r="V4592" s="5" t="s">
        <v>39063</v>
      </c>
      <c r="W4592" s="5" t="s">
        <v>69</v>
      </c>
      <c r="X4592" s="5" t="s">
        <v>69</v>
      </c>
      <c r="Y4592" s="4">
        <v>96</v>
      </c>
      <c r="Z4592" s="4">
        <v>6</v>
      </c>
      <c r="AA4592" s="4">
        <v>6</v>
      </c>
      <c r="AB4592" s="4">
        <v>1</v>
      </c>
      <c r="AC4592" s="4">
        <v>1</v>
      </c>
      <c r="AD4592" s="4">
        <v>57</v>
      </c>
      <c r="AE4592" s="4">
        <v>57</v>
      </c>
      <c r="AF4592" s="4">
        <v>0</v>
      </c>
      <c r="AG4592" s="4">
        <v>0</v>
      </c>
      <c r="AH4592" s="4">
        <v>55</v>
      </c>
      <c r="AI4592" s="4">
        <v>55</v>
      </c>
      <c r="AJ4592" s="4">
        <v>4</v>
      </c>
      <c r="AK4592" s="4">
        <v>4</v>
      </c>
      <c r="AL4592" s="4">
        <v>42</v>
      </c>
      <c r="AM4592" s="4">
        <v>42</v>
      </c>
      <c r="AN4592" s="4">
        <v>0</v>
      </c>
      <c r="AO4592" s="4">
        <v>0</v>
      </c>
      <c r="AP4592" s="4">
        <v>4</v>
      </c>
      <c r="AQ4592" s="4">
        <v>4</v>
      </c>
      <c r="AR4592" s="3" t="s">
        <v>63</v>
      </c>
      <c r="AS4592" s="3" t="s">
        <v>63</v>
      </c>
      <c r="AT4592" s="3" t="s">
        <v>63</v>
      </c>
      <c r="AV4592" s="6" t="str">
        <f>HYPERLINK("http://mcgill.on.worldcat.org/oclc/52645706","Catalog Record")</f>
        <v>Catalog Record</v>
      </c>
      <c r="AW4592" s="6" t="str">
        <f>HYPERLINK("http://www.worldcat.org/oclc/52645706","WorldCat Record")</f>
        <v>WorldCat Record</v>
      </c>
      <c r="AX4592" s="3" t="s">
        <v>39938</v>
      </c>
      <c r="AY4592" s="3" t="s">
        <v>39939</v>
      </c>
      <c r="AZ4592" s="3" t="s">
        <v>39940</v>
      </c>
      <c r="BA4592" s="3" t="s">
        <v>39940</v>
      </c>
      <c r="BB4592" s="3" t="s">
        <v>39941</v>
      </c>
      <c r="BC4592" s="3" t="s">
        <v>82</v>
      </c>
      <c r="BD4592" s="3" t="s">
        <v>70</v>
      </c>
      <c r="BE4592" s="3" t="s">
        <v>39942</v>
      </c>
      <c r="BF4592" s="3" t="s">
        <v>39941</v>
      </c>
      <c r="BG4592" s="3" t="s">
        <v>39943</v>
      </c>
    </row>
    <row r="4593" spans="1:59" ht="60" x14ac:dyDescent="0.25">
      <c r="A4593" s="2" t="s">
        <v>59</v>
      </c>
      <c r="B4593" s="2" t="s">
        <v>60</v>
      </c>
      <c r="C4593" s="2" t="s">
        <v>39944</v>
      </c>
      <c r="D4593" s="2" t="s">
        <v>39945</v>
      </c>
      <c r="E4593" s="2" t="s">
        <v>39946</v>
      </c>
      <c r="G4593" s="3" t="s">
        <v>63</v>
      </c>
      <c r="I4593" s="3" t="s">
        <v>62</v>
      </c>
      <c r="J4593" s="3" t="s">
        <v>62</v>
      </c>
      <c r="K4593" s="3" t="s">
        <v>64</v>
      </c>
      <c r="M4593" s="2" t="s">
        <v>39947</v>
      </c>
      <c r="N4593" s="3" t="s">
        <v>300</v>
      </c>
      <c r="P4593" s="3" t="s">
        <v>66</v>
      </c>
      <c r="R4593" s="3" t="s">
        <v>67</v>
      </c>
      <c r="S4593" s="4">
        <v>6</v>
      </c>
      <c r="T4593" s="4">
        <v>6</v>
      </c>
      <c r="U4593" s="5" t="s">
        <v>12898</v>
      </c>
      <c r="V4593" s="5" t="s">
        <v>12898</v>
      </c>
      <c r="W4593" s="5" t="s">
        <v>69</v>
      </c>
      <c r="X4593" s="5" t="s">
        <v>69</v>
      </c>
      <c r="Y4593" s="4">
        <v>734</v>
      </c>
      <c r="Z4593" s="4">
        <v>38</v>
      </c>
      <c r="AA4593" s="4">
        <v>45</v>
      </c>
      <c r="AB4593" s="4">
        <v>4</v>
      </c>
      <c r="AC4593" s="4">
        <v>5</v>
      </c>
      <c r="AD4593" s="4">
        <v>115</v>
      </c>
      <c r="AE4593" s="4">
        <v>126</v>
      </c>
      <c r="AF4593" s="4">
        <v>2</v>
      </c>
      <c r="AG4593" s="4">
        <v>3</v>
      </c>
      <c r="AH4593" s="4">
        <v>95</v>
      </c>
      <c r="AI4593" s="4">
        <v>101</v>
      </c>
      <c r="AJ4593" s="4">
        <v>19</v>
      </c>
      <c r="AK4593" s="4">
        <v>21</v>
      </c>
      <c r="AL4593" s="4">
        <v>55</v>
      </c>
      <c r="AM4593" s="4">
        <v>56</v>
      </c>
      <c r="AN4593" s="4">
        <v>0</v>
      </c>
      <c r="AO4593" s="4">
        <v>0</v>
      </c>
      <c r="AP4593" s="4">
        <v>23</v>
      </c>
      <c r="AQ4593" s="4">
        <v>29</v>
      </c>
      <c r="AR4593" s="3" t="s">
        <v>63</v>
      </c>
      <c r="AS4593" s="3" t="s">
        <v>63</v>
      </c>
      <c r="AT4593" s="3" t="s">
        <v>62</v>
      </c>
      <c r="AU4593" s="6" t="str">
        <f>HYPERLINK("http://catalog.hathitrust.org/Record/000981026","HathiTrust Record")</f>
        <v>HathiTrust Record</v>
      </c>
      <c r="AV4593" s="6" t="str">
        <f>HYPERLINK("http://mcgill.on.worldcat.org/oclc/322538","Catalog Record")</f>
        <v>Catalog Record</v>
      </c>
      <c r="AW4593" s="6" t="str">
        <f>HYPERLINK("http://www.worldcat.org/oclc/322538","WorldCat Record")</f>
        <v>WorldCat Record</v>
      </c>
      <c r="AX4593" s="3" t="s">
        <v>39948</v>
      </c>
      <c r="AY4593" s="3" t="s">
        <v>39949</v>
      </c>
      <c r="AZ4593" s="3" t="s">
        <v>39950</v>
      </c>
      <c r="BA4593" s="3" t="s">
        <v>39950</v>
      </c>
      <c r="BB4593" s="3" t="s">
        <v>39951</v>
      </c>
      <c r="BC4593" s="3" t="s">
        <v>82</v>
      </c>
      <c r="BD4593" s="3" t="s">
        <v>70</v>
      </c>
      <c r="BF4593" s="3" t="s">
        <v>39951</v>
      </c>
      <c r="BG4593" s="3" t="s">
        <v>39952</v>
      </c>
    </row>
    <row r="4594" spans="1:59" ht="60" x14ac:dyDescent="0.25">
      <c r="A4594" s="2" t="s">
        <v>59</v>
      </c>
      <c r="B4594" s="2" t="s">
        <v>60</v>
      </c>
      <c r="C4594" s="2" t="s">
        <v>39953</v>
      </c>
      <c r="D4594" s="2" t="s">
        <v>39954</v>
      </c>
      <c r="E4594" s="2" t="s">
        <v>39955</v>
      </c>
      <c r="G4594" s="3" t="s">
        <v>63</v>
      </c>
      <c r="I4594" s="3" t="s">
        <v>62</v>
      </c>
      <c r="J4594" s="3" t="s">
        <v>63</v>
      </c>
      <c r="K4594" s="3" t="s">
        <v>64</v>
      </c>
      <c r="M4594" s="2" t="s">
        <v>39956</v>
      </c>
      <c r="N4594" s="3" t="s">
        <v>531</v>
      </c>
      <c r="P4594" s="3" t="s">
        <v>66</v>
      </c>
      <c r="Q4594" s="2" t="s">
        <v>39957</v>
      </c>
      <c r="R4594" s="3" t="s">
        <v>67</v>
      </c>
      <c r="S4594" s="4">
        <v>2</v>
      </c>
      <c r="T4594" s="4">
        <v>2</v>
      </c>
      <c r="U4594" s="5" t="s">
        <v>5350</v>
      </c>
      <c r="V4594" s="5" t="s">
        <v>5350</v>
      </c>
      <c r="W4594" s="5" t="s">
        <v>69</v>
      </c>
      <c r="X4594" s="5" t="s">
        <v>69</v>
      </c>
      <c r="Y4594" s="4">
        <v>139</v>
      </c>
      <c r="Z4594" s="4">
        <v>17</v>
      </c>
      <c r="AA4594" s="4">
        <v>18</v>
      </c>
      <c r="AB4594" s="4">
        <v>2</v>
      </c>
      <c r="AC4594" s="4">
        <v>3</v>
      </c>
      <c r="AD4594" s="4">
        <v>76</v>
      </c>
      <c r="AE4594" s="4">
        <v>77</v>
      </c>
      <c r="AF4594" s="4">
        <v>1</v>
      </c>
      <c r="AG4594" s="4">
        <v>2</v>
      </c>
      <c r="AH4594" s="4">
        <v>68</v>
      </c>
      <c r="AI4594" s="4">
        <v>69</v>
      </c>
      <c r="AJ4594" s="4">
        <v>14</v>
      </c>
      <c r="AK4594" s="4">
        <v>15</v>
      </c>
      <c r="AL4594" s="4">
        <v>44</v>
      </c>
      <c r="AM4594" s="4">
        <v>44</v>
      </c>
      <c r="AN4594" s="4">
        <v>0</v>
      </c>
      <c r="AO4594" s="4">
        <v>0</v>
      </c>
      <c r="AP4594" s="4">
        <v>15</v>
      </c>
      <c r="AQ4594" s="4">
        <v>16</v>
      </c>
      <c r="AR4594" s="3" t="s">
        <v>63</v>
      </c>
      <c r="AS4594" s="3" t="s">
        <v>63</v>
      </c>
      <c r="AT4594" s="3" t="s">
        <v>63</v>
      </c>
      <c r="AV4594" s="6" t="str">
        <f>HYPERLINK("http://mcgill.on.worldcat.org/oclc/24010318","Catalog Record")</f>
        <v>Catalog Record</v>
      </c>
      <c r="AW4594" s="6" t="str">
        <f>HYPERLINK("http://www.worldcat.org/oclc/24010318","WorldCat Record")</f>
        <v>WorldCat Record</v>
      </c>
      <c r="AX4594" s="3" t="s">
        <v>39958</v>
      </c>
      <c r="AY4594" s="3" t="s">
        <v>39959</v>
      </c>
      <c r="AZ4594" s="3" t="s">
        <v>39960</v>
      </c>
      <c r="BA4594" s="3" t="s">
        <v>39960</v>
      </c>
      <c r="BB4594" s="3" t="s">
        <v>39961</v>
      </c>
      <c r="BC4594" s="3" t="s">
        <v>82</v>
      </c>
      <c r="BD4594" s="3" t="s">
        <v>70</v>
      </c>
      <c r="BE4594" s="3" t="s">
        <v>39962</v>
      </c>
      <c r="BF4594" s="3" t="s">
        <v>39961</v>
      </c>
      <c r="BG4594" s="3" t="s">
        <v>39963</v>
      </c>
    </row>
    <row r="4595" spans="1:59" ht="60" x14ac:dyDescent="0.25">
      <c r="A4595" s="2" t="s">
        <v>59</v>
      </c>
      <c r="B4595" s="2" t="s">
        <v>60</v>
      </c>
      <c r="C4595" s="2" t="s">
        <v>39964</v>
      </c>
      <c r="D4595" s="2" t="s">
        <v>39965</v>
      </c>
      <c r="E4595" s="2" t="s">
        <v>39966</v>
      </c>
      <c r="G4595" s="3" t="s">
        <v>63</v>
      </c>
      <c r="I4595" s="3" t="s">
        <v>62</v>
      </c>
      <c r="J4595" s="3" t="s">
        <v>63</v>
      </c>
      <c r="K4595" s="3" t="s">
        <v>215</v>
      </c>
      <c r="M4595" s="2" t="s">
        <v>17313</v>
      </c>
      <c r="N4595" s="3" t="s">
        <v>204</v>
      </c>
      <c r="P4595" s="3" t="s">
        <v>66</v>
      </c>
      <c r="R4595" s="3" t="s">
        <v>67</v>
      </c>
      <c r="S4595" s="4">
        <v>8</v>
      </c>
      <c r="T4595" s="4">
        <v>8</v>
      </c>
      <c r="U4595" s="5" t="s">
        <v>38355</v>
      </c>
      <c r="V4595" s="5" t="s">
        <v>38355</v>
      </c>
      <c r="W4595" s="5" t="s">
        <v>69</v>
      </c>
      <c r="X4595" s="5" t="s">
        <v>69</v>
      </c>
      <c r="Y4595" s="4">
        <v>307</v>
      </c>
      <c r="Z4595" s="4">
        <v>21</v>
      </c>
      <c r="AA4595" s="4">
        <v>84</v>
      </c>
      <c r="AB4595" s="4">
        <v>2</v>
      </c>
      <c r="AC4595" s="4">
        <v>15</v>
      </c>
      <c r="AD4595" s="4">
        <v>102</v>
      </c>
      <c r="AE4595" s="4">
        <v>132</v>
      </c>
      <c r="AF4595" s="4">
        <v>1</v>
      </c>
      <c r="AG4595" s="4">
        <v>8</v>
      </c>
      <c r="AH4595" s="4">
        <v>94</v>
      </c>
      <c r="AI4595" s="4">
        <v>100</v>
      </c>
      <c r="AJ4595" s="4">
        <v>15</v>
      </c>
      <c r="AK4595" s="4">
        <v>23</v>
      </c>
      <c r="AL4595" s="4">
        <v>49</v>
      </c>
      <c r="AM4595" s="4">
        <v>51</v>
      </c>
      <c r="AN4595" s="4">
        <v>0</v>
      </c>
      <c r="AO4595" s="4">
        <v>0</v>
      </c>
      <c r="AP4595" s="4">
        <v>17</v>
      </c>
      <c r="AQ4595" s="4">
        <v>42</v>
      </c>
      <c r="AR4595" s="3" t="s">
        <v>63</v>
      </c>
      <c r="AS4595" s="3" t="s">
        <v>63</v>
      </c>
      <c r="AT4595" s="3" t="s">
        <v>62</v>
      </c>
      <c r="AU4595" s="6" t="str">
        <f>HYPERLINK("http://catalog.hathitrust.org/Record/003087153","HathiTrust Record")</f>
        <v>HathiTrust Record</v>
      </c>
      <c r="AV4595" s="6" t="str">
        <f>HYPERLINK("http://mcgill.on.worldcat.org/oclc/33818901","Catalog Record")</f>
        <v>Catalog Record</v>
      </c>
      <c r="AW4595" s="6" t="str">
        <f>HYPERLINK("http://www.worldcat.org/oclc/33818901","WorldCat Record")</f>
        <v>WorldCat Record</v>
      </c>
      <c r="AX4595" s="3" t="s">
        <v>39967</v>
      </c>
      <c r="AY4595" s="3" t="s">
        <v>39968</v>
      </c>
      <c r="AZ4595" s="3" t="s">
        <v>39969</v>
      </c>
      <c r="BA4595" s="3" t="s">
        <v>39969</v>
      </c>
      <c r="BB4595" s="3" t="s">
        <v>39970</v>
      </c>
      <c r="BC4595" s="3" t="s">
        <v>82</v>
      </c>
      <c r="BD4595" s="3" t="s">
        <v>70</v>
      </c>
      <c r="BE4595" s="3" t="s">
        <v>39971</v>
      </c>
      <c r="BF4595" s="3" t="s">
        <v>39970</v>
      </c>
      <c r="BG4595" s="3" t="s">
        <v>39972</v>
      </c>
    </row>
    <row r="4596" spans="1:59" ht="60" x14ac:dyDescent="0.25">
      <c r="A4596" s="2" t="s">
        <v>59</v>
      </c>
      <c r="B4596" s="2" t="s">
        <v>60</v>
      </c>
      <c r="C4596" s="2" t="s">
        <v>39973</v>
      </c>
      <c r="D4596" s="2" t="s">
        <v>39974</v>
      </c>
      <c r="E4596" s="2" t="s">
        <v>39975</v>
      </c>
      <c r="G4596" s="3" t="s">
        <v>63</v>
      </c>
      <c r="I4596" s="3" t="s">
        <v>62</v>
      </c>
      <c r="J4596" s="3" t="s">
        <v>63</v>
      </c>
      <c r="K4596" s="3" t="s">
        <v>64</v>
      </c>
      <c r="L4596" s="2" t="s">
        <v>39976</v>
      </c>
      <c r="M4596" s="2" t="s">
        <v>37060</v>
      </c>
      <c r="N4596" s="3" t="s">
        <v>918</v>
      </c>
      <c r="P4596" s="3" t="s">
        <v>66</v>
      </c>
      <c r="Q4596" s="2" t="s">
        <v>39977</v>
      </c>
      <c r="R4596" s="3" t="s">
        <v>67</v>
      </c>
      <c r="S4596" s="4">
        <v>3</v>
      </c>
      <c r="T4596" s="4">
        <v>3</v>
      </c>
      <c r="U4596" s="5" t="s">
        <v>12898</v>
      </c>
      <c r="V4596" s="5" t="s">
        <v>12898</v>
      </c>
      <c r="W4596" s="5" t="s">
        <v>69</v>
      </c>
      <c r="X4596" s="5" t="s">
        <v>69</v>
      </c>
      <c r="Y4596" s="4">
        <v>150</v>
      </c>
      <c r="Z4596" s="4">
        <v>11</v>
      </c>
      <c r="AA4596" s="4">
        <v>22</v>
      </c>
      <c r="AB4596" s="4">
        <v>2</v>
      </c>
      <c r="AC4596" s="4">
        <v>3</v>
      </c>
      <c r="AD4596" s="4">
        <v>42</v>
      </c>
      <c r="AE4596" s="4">
        <v>94</v>
      </c>
      <c r="AF4596" s="4">
        <v>1</v>
      </c>
      <c r="AG4596" s="4">
        <v>2</v>
      </c>
      <c r="AH4596" s="4">
        <v>35</v>
      </c>
      <c r="AI4596" s="4">
        <v>80</v>
      </c>
      <c r="AJ4596" s="4">
        <v>9</v>
      </c>
      <c r="AK4596" s="4">
        <v>16</v>
      </c>
      <c r="AL4596" s="4">
        <v>21</v>
      </c>
      <c r="AM4596" s="4">
        <v>43</v>
      </c>
      <c r="AN4596" s="4">
        <v>0</v>
      </c>
      <c r="AO4596" s="4">
        <v>0</v>
      </c>
      <c r="AP4596" s="4">
        <v>10</v>
      </c>
      <c r="AQ4596" s="4">
        <v>18</v>
      </c>
      <c r="AR4596" s="3" t="s">
        <v>63</v>
      </c>
      <c r="AS4596" s="3" t="s">
        <v>63</v>
      </c>
      <c r="AT4596" s="3" t="s">
        <v>62</v>
      </c>
      <c r="AU4596" s="6" t="str">
        <f>HYPERLINK("http://catalog.hathitrust.org/Record/000981027","HathiTrust Record")</f>
        <v>HathiTrust Record</v>
      </c>
      <c r="AV4596" s="6" t="str">
        <f>HYPERLINK("http://mcgill.on.worldcat.org/oclc/6923919","Catalog Record")</f>
        <v>Catalog Record</v>
      </c>
      <c r="AW4596" s="6" t="str">
        <f>HYPERLINK("http://www.worldcat.org/oclc/6923919","WorldCat Record")</f>
        <v>WorldCat Record</v>
      </c>
      <c r="AX4596" s="3" t="s">
        <v>39978</v>
      </c>
      <c r="AY4596" s="3" t="s">
        <v>39979</v>
      </c>
      <c r="AZ4596" s="3" t="s">
        <v>39980</v>
      </c>
      <c r="BA4596" s="3" t="s">
        <v>39980</v>
      </c>
      <c r="BB4596" s="3" t="s">
        <v>39981</v>
      </c>
      <c r="BC4596" s="3" t="s">
        <v>82</v>
      </c>
      <c r="BD4596" s="3" t="s">
        <v>70</v>
      </c>
      <c r="BF4596" s="3" t="s">
        <v>39981</v>
      </c>
      <c r="BG4596" s="3" t="s">
        <v>39982</v>
      </c>
    </row>
    <row r="4597" spans="1:59" ht="60" x14ac:dyDescent="0.25">
      <c r="A4597" s="2" t="s">
        <v>59</v>
      </c>
      <c r="B4597" s="2" t="s">
        <v>60</v>
      </c>
      <c r="C4597" s="2" t="s">
        <v>39983</v>
      </c>
      <c r="D4597" s="2" t="s">
        <v>39984</v>
      </c>
      <c r="E4597" s="2" t="s">
        <v>39985</v>
      </c>
      <c r="G4597" s="3" t="s">
        <v>63</v>
      </c>
      <c r="I4597" s="3" t="s">
        <v>63</v>
      </c>
      <c r="J4597" s="3" t="s">
        <v>63</v>
      </c>
      <c r="K4597" s="3" t="s">
        <v>64</v>
      </c>
      <c r="M4597" s="2" t="s">
        <v>39986</v>
      </c>
      <c r="N4597" s="3" t="s">
        <v>427</v>
      </c>
      <c r="P4597" s="3" t="s">
        <v>66</v>
      </c>
      <c r="R4597" s="3" t="s">
        <v>67</v>
      </c>
      <c r="S4597" s="4">
        <v>4</v>
      </c>
      <c r="T4597" s="4">
        <v>4</v>
      </c>
      <c r="U4597" s="5" t="s">
        <v>14447</v>
      </c>
      <c r="V4597" s="5" t="s">
        <v>14447</v>
      </c>
      <c r="W4597" s="5" t="s">
        <v>69</v>
      </c>
      <c r="X4597" s="5" t="s">
        <v>69</v>
      </c>
      <c r="Y4597" s="4">
        <v>200</v>
      </c>
      <c r="Z4597" s="4">
        <v>14</v>
      </c>
      <c r="AA4597" s="4">
        <v>14</v>
      </c>
      <c r="AB4597" s="4">
        <v>1</v>
      </c>
      <c r="AC4597" s="4">
        <v>1</v>
      </c>
      <c r="AD4597" s="4">
        <v>86</v>
      </c>
      <c r="AE4597" s="4">
        <v>86</v>
      </c>
      <c r="AF4597" s="4">
        <v>0</v>
      </c>
      <c r="AG4597" s="4">
        <v>0</v>
      </c>
      <c r="AH4597" s="4">
        <v>80</v>
      </c>
      <c r="AI4597" s="4">
        <v>80</v>
      </c>
      <c r="AJ4597" s="4">
        <v>9</v>
      </c>
      <c r="AK4597" s="4">
        <v>9</v>
      </c>
      <c r="AL4597" s="4">
        <v>49</v>
      </c>
      <c r="AM4597" s="4">
        <v>49</v>
      </c>
      <c r="AN4597" s="4">
        <v>0</v>
      </c>
      <c r="AO4597" s="4">
        <v>0</v>
      </c>
      <c r="AP4597" s="4">
        <v>9</v>
      </c>
      <c r="AQ4597" s="4">
        <v>9</v>
      </c>
      <c r="AR4597" s="3" t="s">
        <v>63</v>
      </c>
      <c r="AS4597" s="3" t="s">
        <v>63</v>
      </c>
      <c r="AT4597" s="3" t="s">
        <v>62</v>
      </c>
      <c r="AU4597" s="6" t="str">
        <f>HYPERLINK("http://catalog.hathitrust.org/Record/002453064","HathiTrust Record")</f>
        <v>HathiTrust Record</v>
      </c>
      <c r="AV4597" s="6" t="str">
        <f>HYPERLINK("http://mcgill.on.worldcat.org/oclc/18020987","Catalog Record")</f>
        <v>Catalog Record</v>
      </c>
      <c r="AW4597" s="6" t="str">
        <f>HYPERLINK("http://www.worldcat.org/oclc/18020987","WorldCat Record")</f>
        <v>WorldCat Record</v>
      </c>
      <c r="AX4597" s="3" t="s">
        <v>39987</v>
      </c>
      <c r="AY4597" s="3" t="s">
        <v>39988</v>
      </c>
      <c r="AZ4597" s="3" t="s">
        <v>39989</v>
      </c>
      <c r="BA4597" s="3" t="s">
        <v>39989</v>
      </c>
      <c r="BB4597" s="3" t="s">
        <v>39990</v>
      </c>
      <c r="BC4597" s="3" t="s">
        <v>82</v>
      </c>
      <c r="BD4597" s="3" t="s">
        <v>70</v>
      </c>
      <c r="BE4597" s="3" t="s">
        <v>39991</v>
      </c>
      <c r="BF4597" s="3" t="s">
        <v>39990</v>
      </c>
      <c r="BG4597" s="3" t="s">
        <v>39992</v>
      </c>
    </row>
    <row r="4598" spans="1:59" ht="60" x14ac:dyDescent="0.25">
      <c r="A4598" s="2" t="s">
        <v>59</v>
      </c>
      <c r="B4598" s="2" t="s">
        <v>60</v>
      </c>
      <c r="C4598" s="2" t="s">
        <v>39993</v>
      </c>
      <c r="D4598" s="2" t="s">
        <v>39994</v>
      </c>
      <c r="E4598" s="2" t="s">
        <v>39995</v>
      </c>
      <c r="G4598" s="3" t="s">
        <v>63</v>
      </c>
      <c r="I4598" s="3" t="s">
        <v>62</v>
      </c>
      <c r="J4598" s="3" t="s">
        <v>63</v>
      </c>
      <c r="K4598" s="3" t="s">
        <v>64</v>
      </c>
      <c r="M4598" s="2" t="s">
        <v>38262</v>
      </c>
      <c r="N4598" s="3" t="s">
        <v>3640</v>
      </c>
      <c r="O4598" s="2" t="s">
        <v>39996</v>
      </c>
      <c r="P4598" s="3" t="s">
        <v>66</v>
      </c>
      <c r="R4598" s="3" t="s">
        <v>67</v>
      </c>
      <c r="S4598" s="4">
        <v>9</v>
      </c>
      <c r="T4598" s="4">
        <v>10</v>
      </c>
      <c r="U4598" s="5" t="s">
        <v>39997</v>
      </c>
      <c r="V4598" s="5" t="s">
        <v>11877</v>
      </c>
      <c r="W4598" s="5" t="s">
        <v>69</v>
      </c>
      <c r="X4598" s="5" t="s">
        <v>69</v>
      </c>
      <c r="Y4598" s="4">
        <v>449</v>
      </c>
      <c r="Z4598" s="4">
        <v>22</v>
      </c>
      <c r="AA4598" s="4">
        <v>32</v>
      </c>
      <c r="AB4598" s="4">
        <v>1</v>
      </c>
      <c r="AC4598" s="4">
        <v>2</v>
      </c>
      <c r="AD4598" s="4">
        <v>108</v>
      </c>
      <c r="AE4598" s="4">
        <v>125</v>
      </c>
      <c r="AF4598" s="4">
        <v>0</v>
      </c>
      <c r="AG4598" s="4">
        <v>0</v>
      </c>
      <c r="AH4598" s="4">
        <v>97</v>
      </c>
      <c r="AI4598" s="4">
        <v>109</v>
      </c>
      <c r="AJ4598" s="4">
        <v>14</v>
      </c>
      <c r="AK4598" s="4">
        <v>18</v>
      </c>
      <c r="AL4598" s="4">
        <v>54</v>
      </c>
      <c r="AM4598" s="4">
        <v>60</v>
      </c>
      <c r="AN4598" s="4">
        <v>0</v>
      </c>
      <c r="AO4598" s="4">
        <v>0</v>
      </c>
      <c r="AP4598" s="4">
        <v>15</v>
      </c>
      <c r="AQ4598" s="4">
        <v>21</v>
      </c>
      <c r="AR4598" s="3" t="s">
        <v>63</v>
      </c>
      <c r="AS4598" s="3" t="s">
        <v>63</v>
      </c>
      <c r="AT4598" s="3" t="s">
        <v>62</v>
      </c>
      <c r="AU4598" s="6" t="str">
        <f>HYPERLINK("http://catalog.hathitrust.org/Record/000774135","HathiTrust Record")</f>
        <v>HathiTrust Record</v>
      </c>
      <c r="AV4598" s="6" t="str">
        <f>HYPERLINK("http://mcgill.on.worldcat.org/oclc/8763444","Catalog Record")</f>
        <v>Catalog Record</v>
      </c>
      <c r="AW4598" s="6" t="str">
        <f>HYPERLINK("http://www.worldcat.org/oclc/8763444","WorldCat Record")</f>
        <v>WorldCat Record</v>
      </c>
      <c r="AX4598" s="3" t="s">
        <v>39998</v>
      </c>
      <c r="AY4598" s="3" t="s">
        <v>39999</v>
      </c>
      <c r="AZ4598" s="3" t="s">
        <v>40000</v>
      </c>
      <c r="BA4598" s="3" t="s">
        <v>40000</v>
      </c>
      <c r="BB4598" s="3" t="s">
        <v>40001</v>
      </c>
      <c r="BC4598" s="3" t="s">
        <v>82</v>
      </c>
      <c r="BD4598" s="3" t="s">
        <v>538</v>
      </c>
      <c r="BE4598" s="3" t="s">
        <v>40002</v>
      </c>
      <c r="BF4598" s="3" t="s">
        <v>40001</v>
      </c>
      <c r="BG4598" s="3" t="s">
        <v>40003</v>
      </c>
    </row>
    <row r="4599" spans="1:59" ht="60" x14ac:dyDescent="0.25">
      <c r="A4599" s="2" t="s">
        <v>59</v>
      </c>
      <c r="B4599" s="2" t="s">
        <v>60</v>
      </c>
      <c r="C4599" s="2" t="s">
        <v>295</v>
      </c>
      <c r="D4599" s="2" t="s">
        <v>296</v>
      </c>
      <c r="E4599" s="2" t="s">
        <v>297</v>
      </c>
      <c r="G4599" s="3" t="s">
        <v>63</v>
      </c>
      <c r="I4599" s="3" t="s">
        <v>63</v>
      </c>
      <c r="J4599" s="3" t="s">
        <v>63</v>
      </c>
      <c r="K4599" s="3" t="s">
        <v>64</v>
      </c>
      <c r="L4599" s="2" t="s">
        <v>298</v>
      </c>
      <c r="M4599" s="2" t="s">
        <v>299</v>
      </c>
      <c r="N4599" s="3" t="s">
        <v>300</v>
      </c>
      <c r="P4599" s="3" t="s">
        <v>66</v>
      </c>
      <c r="Q4599" s="2" t="s">
        <v>301</v>
      </c>
      <c r="R4599" s="3" t="s">
        <v>67</v>
      </c>
      <c r="S4599" s="4">
        <v>1</v>
      </c>
      <c r="T4599" s="4">
        <v>1</v>
      </c>
      <c r="U4599" s="5" t="s">
        <v>302</v>
      </c>
      <c r="V4599" s="5" t="s">
        <v>302</v>
      </c>
      <c r="W4599" s="5" t="s">
        <v>69</v>
      </c>
      <c r="X4599" s="5" t="s">
        <v>69</v>
      </c>
      <c r="Y4599" s="4">
        <v>176</v>
      </c>
      <c r="Z4599" s="4">
        <v>19</v>
      </c>
      <c r="AA4599" s="4">
        <v>21</v>
      </c>
      <c r="AB4599" s="4">
        <v>1</v>
      </c>
      <c r="AC4599" s="4">
        <v>3</v>
      </c>
      <c r="AD4599" s="4">
        <v>98</v>
      </c>
      <c r="AE4599" s="4">
        <v>100</v>
      </c>
      <c r="AF4599" s="4">
        <v>0</v>
      </c>
      <c r="AG4599" s="4">
        <v>2</v>
      </c>
      <c r="AH4599" s="4">
        <v>88</v>
      </c>
      <c r="AI4599" s="4">
        <v>88</v>
      </c>
      <c r="AJ4599" s="4">
        <v>16</v>
      </c>
      <c r="AK4599" s="4">
        <v>18</v>
      </c>
      <c r="AL4599" s="4">
        <v>54</v>
      </c>
      <c r="AM4599" s="4">
        <v>54</v>
      </c>
      <c r="AN4599" s="4">
        <v>0</v>
      </c>
      <c r="AO4599" s="4">
        <v>0</v>
      </c>
      <c r="AP4599" s="4">
        <v>17</v>
      </c>
      <c r="AQ4599" s="4">
        <v>19</v>
      </c>
      <c r="AR4599" s="3" t="s">
        <v>63</v>
      </c>
      <c r="AS4599" s="3" t="s">
        <v>63</v>
      </c>
      <c r="AT4599" s="3" t="s">
        <v>62</v>
      </c>
      <c r="AU4599" s="6" t="str">
        <f>HYPERLINK("http://catalog.hathitrust.org/Record/001243858","HathiTrust Record")</f>
        <v>HathiTrust Record</v>
      </c>
      <c r="AV4599" s="6" t="str">
        <f>HYPERLINK("http://mcgill.on.worldcat.org/oclc/1167257","Catalog Record")</f>
        <v>Catalog Record</v>
      </c>
      <c r="AW4599" s="6" t="str">
        <f>HYPERLINK("http://www.worldcat.org/oclc/1167257","WorldCat Record")</f>
        <v>WorldCat Record</v>
      </c>
      <c r="AX4599" s="3" t="s">
        <v>303</v>
      </c>
      <c r="AY4599" s="3" t="s">
        <v>304</v>
      </c>
      <c r="AZ4599" s="3" t="s">
        <v>305</v>
      </c>
      <c r="BA4599" s="3" t="s">
        <v>305</v>
      </c>
      <c r="BB4599" s="3" t="s">
        <v>306</v>
      </c>
      <c r="BC4599" s="3" t="s">
        <v>82</v>
      </c>
      <c r="BD4599" s="3" t="s">
        <v>70</v>
      </c>
      <c r="BF4599" s="3" t="s">
        <v>306</v>
      </c>
      <c r="BG4599" s="3" t="s">
        <v>307</v>
      </c>
    </row>
    <row r="4600" spans="1:59" ht="60" x14ac:dyDescent="0.25">
      <c r="A4600" s="2" t="s">
        <v>59</v>
      </c>
      <c r="B4600" s="2" t="s">
        <v>60</v>
      </c>
      <c r="C4600" s="2" t="s">
        <v>40014</v>
      </c>
      <c r="D4600" s="2" t="s">
        <v>40015</v>
      </c>
      <c r="E4600" s="2" t="s">
        <v>40016</v>
      </c>
      <c r="G4600" s="3" t="s">
        <v>63</v>
      </c>
      <c r="I4600" s="3" t="s">
        <v>63</v>
      </c>
      <c r="J4600" s="3" t="s">
        <v>63</v>
      </c>
      <c r="K4600" s="3" t="s">
        <v>64</v>
      </c>
      <c r="M4600" s="2" t="s">
        <v>40017</v>
      </c>
      <c r="N4600" s="3" t="s">
        <v>693</v>
      </c>
      <c r="P4600" s="3" t="s">
        <v>66</v>
      </c>
      <c r="Q4600" s="2" t="s">
        <v>40018</v>
      </c>
      <c r="R4600" s="3" t="s">
        <v>67</v>
      </c>
      <c r="S4600" s="4">
        <v>1</v>
      </c>
      <c r="T4600" s="4">
        <v>1</v>
      </c>
      <c r="U4600" s="5" t="s">
        <v>40019</v>
      </c>
      <c r="V4600" s="5" t="s">
        <v>40019</v>
      </c>
      <c r="W4600" s="5" t="s">
        <v>69</v>
      </c>
      <c r="X4600" s="5" t="s">
        <v>69</v>
      </c>
      <c r="Y4600" s="4">
        <v>96</v>
      </c>
      <c r="Z4600" s="4">
        <v>10</v>
      </c>
      <c r="AA4600" s="4">
        <v>95</v>
      </c>
      <c r="AB4600" s="4">
        <v>1</v>
      </c>
      <c r="AC4600" s="4">
        <v>17</v>
      </c>
      <c r="AD4600" s="4">
        <v>57</v>
      </c>
      <c r="AE4600" s="4">
        <v>123</v>
      </c>
      <c r="AF4600" s="4">
        <v>0</v>
      </c>
      <c r="AG4600" s="4">
        <v>8</v>
      </c>
      <c r="AH4600" s="4">
        <v>53</v>
      </c>
      <c r="AI4600" s="4">
        <v>86</v>
      </c>
      <c r="AJ4600" s="4">
        <v>8</v>
      </c>
      <c r="AK4600" s="4">
        <v>23</v>
      </c>
      <c r="AL4600" s="4">
        <v>35</v>
      </c>
      <c r="AM4600" s="4">
        <v>46</v>
      </c>
      <c r="AN4600" s="4">
        <v>0</v>
      </c>
      <c r="AO4600" s="4">
        <v>0</v>
      </c>
      <c r="AP4600" s="4">
        <v>8</v>
      </c>
      <c r="AQ4600" s="4">
        <v>44</v>
      </c>
      <c r="AR4600" s="3" t="s">
        <v>63</v>
      </c>
      <c r="AS4600" s="3" t="s">
        <v>63</v>
      </c>
      <c r="AT4600" s="3" t="s">
        <v>62</v>
      </c>
      <c r="AU4600" s="6" t="str">
        <f>HYPERLINK("http://catalog.hathitrust.org/Record/004917738","HathiTrust Record")</f>
        <v>HathiTrust Record</v>
      </c>
      <c r="AV4600" s="6" t="str">
        <f>HYPERLINK("http://mcgill.on.worldcat.org/oclc/56128483","Catalog Record")</f>
        <v>Catalog Record</v>
      </c>
      <c r="AW4600" s="6" t="str">
        <f>HYPERLINK("http://www.worldcat.org/oclc/56128483","WorldCat Record")</f>
        <v>WorldCat Record</v>
      </c>
      <c r="AX4600" s="3" t="s">
        <v>40020</v>
      </c>
      <c r="AY4600" s="3" t="s">
        <v>40021</v>
      </c>
      <c r="AZ4600" s="3" t="s">
        <v>40022</v>
      </c>
      <c r="BA4600" s="3" t="s">
        <v>40022</v>
      </c>
      <c r="BB4600" s="3" t="s">
        <v>40023</v>
      </c>
      <c r="BC4600" s="3" t="s">
        <v>82</v>
      </c>
      <c r="BD4600" s="3" t="s">
        <v>70</v>
      </c>
      <c r="BE4600" s="3" t="s">
        <v>40024</v>
      </c>
      <c r="BF4600" s="3" t="s">
        <v>40023</v>
      </c>
      <c r="BG4600" s="3" t="s">
        <v>40025</v>
      </c>
    </row>
    <row r="4601" spans="1:59" ht="60" x14ac:dyDescent="0.25">
      <c r="A4601" s="2" t="s">
        <v>59</v>
      </c>
      <c r="B4601" s="2" t="s">
        <v>60</v>
      </c>
      <c r="C4601" s="2" t="s">
        <v>40026</v>
      </c>
      <c r="D4601" s="2" t="s">
        <v>40027</v>
      </c>
      <c r="E4601" s="2" t="s">
        <v>40028</v>
      </c>
      <c r="G4601" s="3" t="s">
        <v>63</v>
      </c>
      <c r="I4601" s="3" t="s">
        <v>63</v>
      </c>
      <c r="J4601" s="3" t="s">
        <v>63</v>
      </c>
      <c r="K4601" s="3" t="s">
        <v>64</v>
      </c>
      <c r="M4601" s="2" t="s">
        <v>40029</v>
      </c>
      <c r="N4601" s="3" t="s">
        <v>2765</v>
      </c>
      <c r="P4601" s="3" t="s">
        <v>66</v>
      </c>
      <c r="Q4601" s="2" t="s">
        <v>40030</v>
      </c>
      <c r="R4601" s="3" t="s">
        <v>67</v>
      </c>
      <c r="S4601" s="4">
        <v>1</v>
      </c>
      <c r="T4601" s="4">
        <v>1</v>
      </c>
      <c r="U4601" s="5" t="s">
        <v>40019</v>
      </c>
      <c r="V4601" s="5" t="s">
        <v>40019</v>
      </c>
      <c r="W4601" s="5" t="s">
        <v>69</v>
      </c>
      <c r="X4601" s="5" t="s">
        <v>69</v>
      </c>
      <c r="Y4601" s="4">
        <v>54</v>
      </c>
      <c r="Z4601" s="4">
        <v>5</v>
      </c>
      <c r="AA4601" s="4">
        <v>77</v>
      </c>
      <c r="AB4601" s="4">
        <v>1</v>
      </c>
      <c r="AC4601" s="4">
        <v>14</v>
      </c>
      <c r="AD4601" s="4">
        <v>30</v>
      </c>
      <c r="AE4601" s="4">
        <v>106</v>
      </c>
      <c r="AF4601" s="4">
        <v>0</v>
      </c>
      <c r="AG4601" s="4">
        <v>8</v>
      </c>
      <c r="AH4601" s="4">
        <v>28</v>
      </c>
      <c r="AI4601" s="4">
        <v>74</v>
      </c>
      <c r="AJ4601" s="4">
        <v>3</v>
      </c>
      <c r="AK4601" s="4">
        <v>21</v>
      </c>
      <c r="AL4601" s="4">
        <v>20</v>
      </c>
      <c r="AM4601" s="4">
        <v>38</v>
      </c>
      <c r="AN4601" s="4">
        <v>0</v>
      </c>
      <c r="AO4601" s="4">
        <v>0</v>
      </c>
      <c r="AP4601" s="4">
        <v>3</v>
      </c>
      <c r="AQ4601" s="4">
        <v>40</v>
      </c>
      <c r="AR4601" s="3" t="s">
        <v>63</v>
      </c>
      <c r="AS4601" s="3" t="s">
        <v>63</v>
      </c>
      <c r="AT4601" s="3" t="s">
        <v>62</v>
      </c>
      <c r="AU4601" s="6" t="str">
        <f>HYPERLINK("http://catalog.hathitrust.org/Record/102324935","HathiTrust Record")</f>
        <v>HathiTrust Record</v>
      </c>
      <c r="AV4601" s="6" t="str">
        <f>HYPERLINK("http://mcgill.on.worldcat.org/oclc/887857077","Catalog Record")</f>
        <v>Catalog Record</v>
      </c>
      <c r="AW4601" s="6" t="str">
        <f>HYPERLINK("http://www.worldcat.org/oclc/887857077","WorldCat Record")</f>
        <v>WorldCat Record</v>
      </c>
      <c r="AX4601" s="3" t="s">
        <v>40031</v>
      </c>
      <c r="AY4601" s="3" t="s">
        <v>40032</v>
      </c>
      <c r="AZ4601" s="3" t="s">
        <v>40033</v>
      </c>
      <c r="BA4601" s="3" t="s">
        <v>40033</v>
      </c>
      <c r="BB4601" s="3" t="s">
        <v>40034</v>
      </c>
      <c r="BC4601" s="3" t="s">
        <v>82</v>
      </c>
      <c r="BD4601" s="3" t="s">
        <v>70</v>
      </c>
      <c r="BE4601" s="3" t="s">
        <v>40035</v>
      </c>
      <c r="BF4601" s="3" t="s">
        <v>40034</v>
      </c>
      <c r="BG4601" s="3" t="s">
        <v>40036</v>
      </c>
    </row>
    <row r="4602" spans="1:59" ht="60" x14ac:dyDescent="0.25">
      <c r="A4602" s="2" t="s">
        <v>59</v>
      </c>
      <c r="B4602" s="2" t="s">
        <v>60</v>
      </c>
      <c r="C4602" s="2" t="s">
        <v>541</v>
      </c>
      <c r="D4602" s="2" t="s">
        <v>542</v>
      </c>
      <c r="E4602" s="2" t="s">
        <v>543</v>
      </c>
      <c r="G4602" s="3" t="s">
        <v>63</v>
      </c>
      <c r="I4602" s="3" t="s">
        <v>63</v>
      </c>
      <c r="J4602" s="3" t="s">
        <v>63</v>
      </c>
      <c r="K4602" s="3" t="s">
        <v>64</v>
      </c>
      <c r="L4602" s="2" t="s">
        <v>544</v>
      </c>
      <c r="M4602" s="2" t="s">
        <v>545</v>
      </c>
      <c r="N4602" s="3" t="s">
        <v>546</v>
      </c>
      <c r="O4602" s="2" t="s">
        <v>547</v>
      </c>
      <c r="P4602" s="3" t="s">
        <v>548</v>
      </c>
      <c r="Q4602" s="2" t="s">
        <v>549</v>
      </c>
      <c r="R4602" s="3" t="s">
        <v>67</v>
      </c>
      <c r="S4602" s="4">
        <v>5</v>
      </c>
      <c r="T4602" s="4">
        <v>5</v>
      </c>
      <c r="U4602" s="5" t="s">
        <v>550</v>
      </c>
      <c r="V4602" s="5" t="s">
        <v>550</v>
      </c>
      <c r="W4602" s="5" t="s">
        <v>69</v>
      </c>
      <c r="X4602" s="5" t="s">
        <v>69</v>
      </c>
      <c r="Y4602" s="4">
        <v>102</v>
      </c>
      <c r="Z4602" s="4">
        <v>9</v>
      </c>
      <c r="AA4602" s="4">
        <v>9</v>
      </c>
      <c r="AB4602" s="4">
        <v>1</v>
      </c>
      <c r="AC4602" s="4">
        <v>1</v>
      </c>
      <c r="AD4602" s="4">
        <v>58</v>
      </c>
      <c r="AE4602" s="4">
        <v>58</v>
      </c>
      <c r="AF4602" s="4">
        <v>0</v>
      </c>
      <c r="AG4602" s="4">
        <v>0</v>
      </c>
      <c r="AH4602" s="4">
        <v>54</v>
      </c>
      <c r="AI4602" s="4">
        <v>54</v>
      </c>
      <c r="AJ4602" s="4">
        <v>7</v>
      </c>
      <c r="AK4602" s="4">
        <v>7</v>
      </c>
      <c r="AL4602" s="4">
        <v>36</v>
      </c>
      <c r="AM4602" s="4">
        <v>36</v>
      </c>
      <c r="AN4602" s="4">
        <v>0</v>
      </c>
      <c r="AO4602" s="4">
        <v>0</v>
      </c>
      <c r="AP4602" s="4">
        <v>7</v>
      </c>
      <c r="AQ4602" s="4">
        <v>7</v>
      </c>
      <c r="AR4602" s="3" t="s">
        <v>63</v>
      </c>
      <c r="AS4602" s="3" t="s">
        <v>63</v>
      </c>
      <c r="AT4602" s="3" t="s">
        <v>62</v>
      </c>
      <c r="AU4602" s="6" t="str">
        <f>HYPERLINK("http://catalog.hathitrust.org/Record/006590123","HathiTrust Record")</f>
        <v>HathiTrust Record</v>
      </c>
      <c r="AV4602" s="6" t="str">
        <f>HYPERLINK("http://mcgill.on.worldcat.org/oclc/2097739","Catalog Record")</f>
        <v>Catalog Record</v>
      </c>
      <c r="AW4602" s="6" t="str">
        <f>HYPERLINK("http://www.worldcat.org/oclc/2097739","WorldCat Record")</f>
        <v>WorldCat Record</v>
      </c>
      <c r="AX4602" s="3" t="s">
        <v>551</v>
      </c>
      <c r="AY4602" s="3" t="s">
        <v>552</v>
      </c>
      <c r="AZ4602" s="3" t="s">
        <v>553</v>
      </c>
      <c r="BA4602" s="3" t="s">
        <v>553</v>
      </c>
      <c r="BB4602" s="3" t="s">
        <v>554</v>
      </c>
      <c r="BC4602" s="3" t="s">
        <v>82</v>
      </c>
      <c r="BD4602" s="3" t="s">
        <v>70</v>
      </c>
      <c r="BF4602" s="3" t="s">
        <v>554</v>
      </c>
      <c r="BG4602" s="3" t="s">
        <v>555</v>
      </c>
    </row>
    <row r="4603" spans="1:59" ht="60" x14ac:dyDescent="0.25">
      <c r="A4603" s="2" t="s">
        <v>59</v>
      </c>
      <c r="B4603" s="2" t="s">
        <v>60</v>
      </c>
      <c r="C4603" s="2" t="s">
        <v>556</v>
      </c>
      <c r="D4603" s="2" t="s">
        <v>557</v>
      </c>
      <c r="E4603" s="2" t="s">
        <v>558</v>
      </c>
      <c r="G4603" s="3" t="s">
        <v>63</v>
      </c>
      <c r="I4603" s="3" t="s">
        <v>63</v>
      </c>
      <c r="J4603" s="3" t="s">
        <v>63</v>
      </c>
      <c r="K4603" s="3" t="s">
        <v>64</v>
      </c>
      <c r="L4603" s="2" t="s">
        <v>559</v>
      </c>
      <c r="M4603" s="2" t="s">
        <v>560</v>
      </c>
      <c r="N4603" s="3" t="s">
        <v>455</v>
      </c>
      <c r="P4603" s="3" t="s">
        <v>66</v>
      </c>
      <c r="R4603" s="3" t="s">
        <v>67</v>
      </c>
      <c r="S4603" s="4">
        <v>16</v>
      </c>
      <c r="T4603" s="4">
        <v>16</v>
      </c>
      <c r="U4603" s="5" t="s">
        <v>561</v>
      </c>
      <c r="V4603" s="5" t="s">
        <v>561</v>
      </c>
      <c r="W4603" s="5" t="s">
        <v>69</v>
      </c>
      <c r="X4603" s="5" t="s">
        <v>69</v>
      </c>
      <c r="Y4603" s="4">
        <v>173</v>
      </c>
      <c r="Z4603" s="4">
        <v>13</v>
      </c>
      <c r="AA4603" s="4">
        <v>14</v>
      </c>
      <c r="AB4603" s="4">
        <v>2</v>
      </c>
      <c r="AC4603" s="4">
        <v>3</v>
      </c>
      <c r="AD4603" s="4">
        <v>82</v>
      </c>
      <c r="AE4603" s="4">
        <v>83</v>
      </c>
      <c r="AF4603" s="4">
        <v>1</v>
      </c>
      <c r="AG4603" s="4">
        <v>2</v>
      </c>
      <c r="AH4603" s="4">
        <v>77</v>
      </c>
      <c r="AI4603" s="4">
        <v>77</v>
      </c>
      <c r="AJ4603" s="4">
        <v>11</v>
      </c>
      <c r="AK4603" s="4">
        <v>12</v>
      </c>
      <c r="AL4603" s="4">
        <v>46</v>
      </c>
      <c r="AM4603" s="4">
        <v>46</v>
      </c>
      <c r="AN4603" s="4">
        <v>2</v>
      </c>
      <c r="AO4603" s="4">
        <v>2</v>
      </c>
      <c r="AP4603" s="4">
        <v>11</v>
      </c>
      <c r="AQ4603" s="4">
        <v>11</v>
      </c>
      <c r="AR4603" s="3" t="s">
        <v>63</v>
      </c>
      <c r="AS4603" s="3" t="s">
        <v>63</v>
      </c>
      <c r="AT4603" s="3" t="s">
        <v>62</v>
      </c>
      <c r="AU4603" s="6" t="str">
        <f>HYPERLINK("http://catalog.hathitrust.org/Record/000374063","HathiTrust Record")</f>
        <v>HathiTrust Record</v>
      </c>
      <c r="AV4603" s="6" t="str">
        <f>HYPERLINK("http://mcgill.on.worldcat.org/oclc/11578222","Catalog Record")</f>
        <v>Catalog Record</v>
      </c>
      <c r="AW4603" s="6" t="str">
        <f>HYPERLINK("http://www.worldcat.org/oclc/11578222","WorldCat Record")</f>
        <v>WorldCat Record</v>
      </c>
      <c r="AX4603" s="3" t="s">
        <v>562</v>
      </c>
      <c r="AY4603" s="3" t="s">
        <v>563</v>
      </c>
      <c r="AZ4603" s="3" t="s">
        <v>564</v>
      </c>
      <c r="BA4603" s="3" t="s">
        <v>564</v>
      </c>
      <c r="BB4603" s="3" t="s">
        <v>565</v>
      </c>
      <c r="BC4603" s="3" t="s">
        <v>82</v>
      </c>
      <c r="BD4603" s="3" t="s">
        <v>70</v>
      </c>
      <c r="BE4603" s="3" t="s">
        <v>566</v>
      </c>
      <c r="BF4603" s="3" t="s">
        <v>565</v>
      </c>
      <c r="BG4603" s="3" t="s">
        <v>567</v>
      </c>
    </row>
    <row r="4604" spans="1:59" ht="60" x14ac:dyDescent="0.25">
      <c r="A4604" s="2" t="s">
        <v>59</v>
      </c>
      <c r="B4604" s="2" t="s">
        <v>60</v>
      </c>
      <c r="C4604" s="2" t="s">
        <v>40037</v>
      </c>
      <c r="D4604" s="2" t="s">
        <v>40038</v>
      </c>
      <c r="E4604" s="2" t="s">
        <v>40039</v>
      </c>
      <c r="G4604" s="3" t="s">
        <v>63</v>
      </c>
      <c r="I4604" s="3" t="s">
        <v>63</v>
      </c>
      <c r="J4604" s="3" t="s">
        <v>63</v>
      </c>
      <c r="K4604" s="3" t="s">
        <v>64</v>
      </c>
      <c r="L4604" s="2" t="s">
        <v>40040</v>
      </c>
      <c r="M4604" s="2" t="s">
        <v>40041</v>
      </c>
      <c r="N4604" s="3" t="s">
        <v>401</v>
      </c>
      <c r="P4604" s="3" t="s">
        <v>442</v>
      </c>
      <c r="Q4604" s="2" t="s">
        <v>40042</v>
      </c>
      <c r="R4604" s="3" t="s">
        <v>67</v>
      </c>
      <c r="S4604" s="4">
        <v>8</v>
      </c>
      <c r="T4604" s="4">
        <v>8</v>
      </c>
      <c r="U4604" s="5" t="s">
        <v>26820</v>
      </c>
      <c r="V4604" s="5" t="s">
        <v>26820</v>
      </c>
      <c r="W4604" s="5" t="s">
        <v>69</v>
      </c>
      <c r="X4604" s="5" t="s">
        <v>69</v>
      </c>
      <c r="Y4604" s="4">
        <v>3</v>
      </c>
      <c r="Z4604" s="4">
        <v>1</v>
      </c>
      <c r="AA4604" s="4">
        <v>3</v>
      </c>
      <c r="AB4604" s="4">
        <v>1</v>
      </c>
      <c r="AC4604" s="4">
        <v>2</v>
      </c>
      <c r="AD4604" s="4">
        <v>0</v>
      </c>
      <c r="AE4604" s="4">
        <v>4</v>
      </c>
      <c r="AF4604" s="4">
        <v>0</v>
      </c>
      <c r="AG4604" s="4">
        <v>1</v>
      </c>
      <c r="AH4604" s="4">
        <v>0</v>
      </c>
      <c r="AI4604" s="4">
        <v>3</v>
      </c>
      <c r="AJ4604" s="4">
        <v>0</v>
      </c>
      <c r="AK4604" s="4">
        <v>2</v>
      </c>
      <c r="AL4604" s="4">
        <v>0</v>
      </c>
      <c r="AM4604" s="4">
        <v>1</v>
      </c>
      <c r="AN4604" s="4">
        <v>0</v>
      </c>
      <c r="AO4604" s="4">
        <v>0</v>
      </c>
      <c r="AP4604" s="4">
        <v>0</v>
      </c>
      <c r="AQ4604" s="4">
        <v>2</v>
      </c>
      <c r="AR4604" s="3" t="s">
        <v>63</v>
      </c>
      <c r="AS4604" s="3" t="s">
        <v>63</v>
      </c>
      <c r="AT4604" s="3" t="s">
        <v>63</v>
      </c>
      <c r="AV4604" s="6" t="str">
        <f>HYPERLINK("http://mcgill.on.worldcat.org/oclc/42012215","Catalog Record")</f>
        <v>Catalog Record</v>
      </c>
      <c r="AW4604" s="6" t="str">
        <f>HYPERLINK("http://www.worldcat.org/oclc/42012215","WorldCat Record")</f>
        <v>WorldCat Record</v>
      </c>
      <c r="AX4604" s="3" t="s">
        <v>40043</v>
      </c>
      <c r="AY4604" s="3" t="s">
        <v>40044</v>
      </c>
      <c r="AZ4604" s="3" t="s">
        <v>40045</v>
      </c>
      <c r="BA4604" s="3" t="s">
        <v>40045</v>
      </c>
      <c r="BB4604" s="3" t="s">
        <v>40046</v>
      </c>
      <c r="BC4604" s="3" t="s">
        <v>82</v>
      </c>
      <c r="BD4604" s="3" t="s">
        <v>70</v>
      </c>
      <c r="BF4604" s="3" t="s">
        <v>40046</v>
      </c>
      <c r="BG4604" s="3" t="s">
        <v>40047</v>
      </c>
    </row>
    <row r="4605" spans="1:59" ht="60" x14ac:dyDescent="0.25">
      <c r="A4605" s="2" t="s">
        <v>59</v>
      </c>
      <c r="B4605" s="2" t="s">
        <v>60</v>
      </c>
      <c r="C4605" s="2" t="s">
        <v>40048</v>
      </c>
      <c r="D4605" s="2" t="s">
        <v>40049</v>
      </c>
      <c r="E4605" s="2" t="s">
        <v>40050</v>
      </c>
      <c r="G4605" s="3" t="s">
        <v>63</v>
      </c>
      <c r="I4605" s="3" t="s">
        <v>63</v>
      </c>
      <c r="J4605" s="3" t="s">
        <v>63</v>
      </c>
      <c r="K4605" s="3" t="s">
        <v>64</v>
      </c>
      <c r="L4605" s="2" t="s">
        <v>40051</v>
      </c>
      <c r="M4605" s="2" t="s">
        <v>40052</v>
      </c>
      <c r="N4605" s="3" t="s">
        <v>204</v>
      </c>
      <c r="P4605" s="3" t="s">
        <v>66</v>
      </c>
      <c r="R4605" s="3" t="s">
        <v>67</v>
      </c>
      <c r="S4605" s="4">
        <v>16</v>
      </c>
      <c r="T4605" s="4">
        <v>16</v>
      </c>
      <c r="U4605" s="5" t="s">
        <v>14994</v>
      </c>
      <c r="V4605" s="5" t="s">
        <v>14994</v>
      </c>
      <c r="W4605" s="5" t="s">
        <v>69</v>
      </c>
      <c r="X4605" s="5" t="s">
        <v>69</v>
      </c>
      <c r="Y4605" s="4">
        <v>121</v>
      </c>
      <c r="Z4605" s="4">
        <v>9</v>
      </c>
      <c r="AA4605" s="4">
        <v>9</v>
      </c>
      <c r="AB4605" s="4">
        <v>2</v>
      </c>
      <c r="AC4605" s="4">
        <v>2</v>
      </c>
      <c r="AD4605" s="4">
        <v>55</v>
      </c>
      <c r="AE4605" s="4">
        <v>55</v>
      </c>
      <c r="AF4605" s="4">
        <v>1</v>
      </c>
      <c r="AG4605" s="4">
        <v>1</v>
      </c>
      <c r="AH4605" s="4">
        <v>51</v>
      </c>
      <c r="AI4605" s="4">
        <v>51</v>
      </c>
      <c r="AJ4605" s="4">
        <v>5</v>
      </c>
      <c r="AK4605" s="4">
        <v>5</v>
      </c>
      <c r="AL4605" s="4">
        <v>36</v>
      </c>
      <c r="AM4605" s="4">
        <v>36</v>
      </c>
      <c r="AN4605" s="4">
        <v>0</v>
      </c>
      <c r="AO4605" s="4">
        <v>0</v>
      </c>
      <c r="AP4605" s="4">
        <v>5</v>
      </c>
      <c r="AQ4605" s="4">
        <v>5</v>
      </c>
      <c r="AR4605" s="3" t="s">
        <v>63</v>
      </c>
      <c r="AS4605" s="3" t="s">
        <v>63</v>
      </c>
      <c r="AT4605" s="3" t="s">
        <v>62</v>
      </c>
      <c r="AU4605" s="6" t="str">
        <f>HYPERLINK("http://catalog.hathitrust.org/Record/003176117","HathiTrust Record")</f>
        <v>HathiTrust Record</v>
      </c>
      <c r="AV4605" s="6" t="str">
        <f>HYPERLINK("http://mcgill.on.worldcat.org/oclc/35767170","Catalog Record")</f>
        <v>Catalog Record</v>
      </c>
      <c r="AW4605" s="6" t="str">
        <f>HYPERLINK("http://www.worldcat.org/oclc/35767170","WorldCat Record")</f>
        <v>WorldCat Record</v>
      </c>
      <c r="AX4605" s="3" t="s">
        <v>40053</v>
      </c>
      <c r="AY4605" s="3" t="s">
        <v>40054</v>
      </c>
      <c r="AZ4605" s="3" t="s">
        <v>40055</v>
      </c>
      <c r="BA4605" s="3" t="s">
        <v>40055</v>
      </c>
      <c r="BB4605" s="3" t="s">
        <v>40056</v>
      </c>
      <c r="BC4605" s="3" t="s">
        <v>82</v>
      </c>
      <c r="BD4605" s="3" t="s">
        <v>70</v>
      </c>
      <c r="BE4605" s="3" t="s">
        <v>40057</v>
      </c>
      <c r="BF4605" s="3" t="s">
        <v>40056</v>
      </c>
      <c r="BG4605" s="3" t="s">
        <v>40058</v>
      </c>
    </row>
    <row r="4606" spans="1:59" ht="60" x14ac:dyDescent="0.25">
      <c r="A4606" s="2" t="s">
        <v>59</v>
      </c>
      <c r="B4606" s="2" t="s">
        <v>60</v>
      </c>
      <c r="C4606" s="2" t="s">
        <v>40059</v>
      </c>
      <c r="D4606" s="2" t="s">
        <v>40060</v>
      </c>
      <c r="E4606" s="2" t="s">
        <v>40061</v>
      </c>
      <c r="G4606" s="3" t="s">
        <v>63</v>
      </c>
      <c r="I4606" s="3" t="s">
        <v>63</v>
      </c>
      <c r="J4606" s="3" t="s">
        <v>63</v>
      </c>
      <c r="K4606" s="3" t="s">
        <v>64</v>
      </c>
      <c r="L4606" s="2" t="s">
        <v>40062</v>
      </c>
      <c r="M4606" s="2" t="s">
        <v>40063</v>
      </c>
      <c r="N4606" s="3" t="s">
        <v>629</v>
      </c>
      <c r="P4606" s="3" t="s">
        <v>66</v>
      </c>
      <c r="R4606" s="3" t="s">
        <v>67</v>
      </c>
      <c r="S4606" s="4">
        <v>0</v>
      </c>
      <c r="T4606" s="4">
        <v>0</v>
      </c>
      <c r="W4606" s="5" t="s">
        <v>69</v>
      </c>
      <c r="X4606" s="5" t="s">
        <v>69</v>
      </c>
      <c r="Y4606" s="4">
        <v>54</v>
      </c>
      <c r="Z4606" s="4">
        <v>7</v>
      </c>
      <c r="AA4606" s="4">
        <v>8</v>
      </c>
      <c r="AB4606" s="4">
        <v>1</v>
      </c>
      <c r="AC4606" s="4">
        <v>2</v>
      </c>
      <c r="AD4606" s="4">
        <v>34</v>
      </c>
      <c r="AE4606" s="4">
        <v>34</v>
      </c>
      <c r="AF4606" s="4">
        <v>0</v>
      </c>
      <c r="AG4606" s="4">
        <v>0</v>
      </c>
      <c r="AH4606" s="4">
        <v>33</v>
      </c>
      <c r="AI4606" s="4">
        <v>33</v>
      </c>
      <c r="AJ4606" s="4">
        <v>4</v>
      </c>
      <c r="AK4606" s="4">
        <v>4</v>
      </c>
      <c r="AL4606" s="4">
        <v>25</v>
      </c>
      <c r="AM4606" s="4">
        <v>25</v>
      </c>
      <c r="AN4606" s="4">
        <v>0</v>
      </c>
      <c r="AO4606" s="4">
        <v>0</v>
      </c>
      <c r="AP4606" s="4">
        <v>4</v>
      </c>
      <c r="AQ4606" s="4">
        <v>4</v>
      </c>
      <c r="AR4606" s="3" t="s">
        <v>63</v>
      </c>
      <c r="AS4606" s="3" t="s">
        <v>63</v>
      </c>
      <c r="AT4606" s="3" t="s">
        <v>63</v>
      </c>
      <c r="AV4606" s="6" t="str">
        <f>HYPERLINK("http://mcgill.on.worldcat.org/oclc/739839150","Catalog Record")</f>
        <v>Catalog Record</v>
      </c>
      <c r="AW4606" s="6" t="str">
        <f>HYPERLINK("http://www.worldcat.org/oclc/739839150","WorldCat Record")</f>
        <v>WorldCat Record</v>
      </c>
      <c r="AX4606" s="3" t="s">
        <v>40064</v>
      </c>
      <c r="AY4606" s="3" t="s">
        <v>40065</v>
      </c>
      <c r="AZ4606" s="3" t="s">
        <v>40066</v>
      </c>
      <c r="BA4606" s="3" t="s">
        <v>40066</v>
      </c>
      <c r="BB4606" s="3" t="s">
        <v>40067</v>
      </c>
      <c r="BC4606" s="3" t="s">
        <v>82</v>
      </c>
      <c r="BD4606" s="3" t="s">
        <v>70</v>
      </c>
      <c r="BE4606" s="3" t="s">
        <v>40068</v>
      </c>
      <c r="BF4606" s="3" t="s">
        <v>40067</v>
      </c>
      <c r="BG4606" s="3" t="s">
        <v>40069</v>
      </c>
    </row>
    <row r="4607" spans="1:59" ht="60" x14ac:dyDescent="0.25">
      <c r="A4607" s="2" t="s">
        <v>59</v>
      </c>
      <c r="B4607" s="2" t="s">
        <v>60</v>
      </c>
      <c r="C4607" s="2" t="s">
        <v>40070</v>
      </c>
      <c r="D4607" s="2" t="s">
        <v>40071</v>
      </c>
      <c r="E4607" s="2" t="s">
        <v>40072</v>
      </c>
      <c r="G4607" s="3" t="s">
        <v>63</v>
      </c>
      <c r="I4607" s="3" t="s">
        <v>63</v>
      </c>
      <c r="J4607" s="3" t="s">
        <v>63</v>
      </c>
      <c r="K4607" s="3" t="s">
        <v>64</v>
      </c>
      <c r="L4607" s="2" t="s">
        <v>17400</v>
      </c>
      <c r="M4607" s="2" t="s">
        <v>40073</v>
      </c>
      <c r="N4607" s="3" t="s">
        <v>681</v>
      </c>
      <c r="O4607" s="2" t="s">
        <v>976</v>
      </c>
      <c r="P4607" s="3" t="s">
        <v>66</v>
      </c>
      <c r="R4607" s="3" t="s">
        <v>67</v>
      </c>
      <c r="S4607" s="4">
        <v>3</v>
      </c>
      <c r="T4607" s="4">
        <v>3</v>
      </c>
      <c r="U4607" s="5" t="s">
        <v>24484</v>
      </c>
      <c r="V4607" s="5" t="s">
        <v>24484</v>
      </c>
      <c r="W4607" s="5" t="s">
        <v>69</v>
      </c>
      <c r="X4607" s="5" t="s">
        <v>69</v>
      </c>
      <c r="Y4607" s="4">
        <v>561</v>
      </c>
      <c r="Z4607" s="4">
        <v>24</v>
      </c>
      <c r="AA4607" s="4">
        <v>27</v>
      </c>
      <c r="AB4607" s="4">
        <v>2</v>
      </c>
      <c r="AC4607" s="4">
        <v>4</v>
      </c>
      <c r="AD4607" s="4">
        <v>107</v>
      </c>
      <c r="AE4607" s="4">
        <v>110</v>
      </c>
      <c r="AF4607" s="4">
        <v>1</v>
      </c>
      <c r="AG4607" s="4">
        <v>3</v>
      </c>
      <c r="AH4607" s="4">
        <v>92</v>
      </c>
      <c r="AI4607" s="4">
        <v>93</v>
      </c>
      <c r="AJ4607" s="4">
        <v>18</v>
      </c>
      <c r="AK4607" s="4">
        <v>21</v>
      </c>
      <c r="AL4607" s="4">
        <v>51</v>
      </c>
      <c r="AM4607" s="4">
        <v>51</v>
      </c>
      <c r="AN4607" s="4">
        <v>0</v>
      </c>
      <c r="AO4607" s="4">
        <v>0</v>
      </c>
      <c r="AP4607" s="4">
        <v>20</v>
      </c>
      <c r="AQ4607" s="4">
        <v>23</v>
      </c>
      <c r="AR4607" s="3" t="s">
        <v>63</v>
      </c>
      <c r="AS4607" s="3" t="s">
        <v>63</v>
      </c>
      <c r="AT4607" s="3" t="s">
        <v>63</v>
      </c>
      <c r="AV4607" s="6" t="str">
        <f>HYPERLINK("http://mcgill.on.worldcat.org/oclc/112708","Catalog Record")</f>
        <v>Catalog Record</v>
      </c>
      <c r="AW4607" s="6" t="str">
        <f>HYPERLINK("http://www.worldcat.org/oclc/112708","WorldCat Record")</f>
        <v>WorldCat Record</v>
      </c>
      <c r="AX4607" s="3" t="s">
        <v>40074</v>
      </c>
      <c r="AY4607" s="3" t="s">
        <v>40075</v>
      </c>
      <c r="AZ4607" s="3" t="s">
        <v>40076</v>
      </c>
      <c r="BA4607" s="3" t="s">
        <v>40076</v>
      </c>
      <c r="BB4607" s="3" t="s">
        <v>40077</v>
      </c>
      <c r="BC4607" s="3" t="s">
        <v>82</v>
      </c>
      <c r="BD4607" s="3" t="s">
        <v>70</v>
      </c>
      <c r="BE4607" s="3" t="s">
        <v>40078</v>
      </c>
      <c r="BF4607" s="3" t="s">
        <v>40077</v>
      </c>
      <c r="BG4607" s="3" t="s">
        <v>40079</v>
      </c>
    </row>
    <row r="4608" spans="1:59" ht="60" x14ac:dyDescent="0.25">
      <c r="A4608" s="2" t="s">
        <v>59</v>
      </c>
      <c r="B4608" s="2" t="s">
        <v>60</v>
      </c>
      <c r="C4608" s="2" t="s">
        <v>40080</v>
      </c>
      <c r="D4608" s="2" t="s">
        <v>40081</v>
      </c>
      <c r="E4608" s="2" t="s">
        <v>40082</v>
      </c>
      <c r="G4608" s="3" t="s">
        <v>63</v>
      </c>
      <c r="I4608" s="3" t="s">
        <v>63</v>
      </c>
      <c r="J4608" s="3" t="s">
        <v>63</v>
      </c>
      <c r="K4608" s="3" t="s">
        <v>64</v>
      </c>
      <c r="M4608" s="2" t="s">
        <v>40083</v>
      </c>
      <c r="N4608" s="3" t="s">
        <v>1226</v>
      </c>
      <c r="P4608" s="3" t="s">
        <v>66</v>
      </c>
      <c r="Q4608" s="2" t="s">
        <v>40084</v>
      </c>
      <c r="R4608" s="3" t="s">
        <v>67</v>
      </c>
      <c r="S4608" s="4">
        <v>6</v>
      </c>
      <c r="T4608" s="4">
        <v>6</v>
      </c>
      <c r="U4608" s="5" t="s">
        <v>24484</v>
      </c>
      <c r="V4608" s="5" t="s">
        <v>24484</v>
      </c>
      <c r="W4608" s="5" t="s">
        <v>69</v>
      </c>
      <c r="X4608" s="5" t="s">
        <v>69</v>
      </c>
      <c r="Y4608" s="4">
        <v>112</v>
      </c>
      <c r="Z4608" s="4">
        <v>8</v>
      </c>
      <c r="AA4608" s="4">
        <v>8</v>
      </c>
      <c r="AB4608" s="4">
        <v>1</v>
      </c>
      <c r="AC4608" s="4">
        <v>1</v>
      </c>
      <c r="AD4608" s="4">
        <v>61</v>
      </c>
      <c r="AE4608" s="4">
        <v>65</v>
      </c>
      <c r="AF4608" s="4">
        <v>0</v>
      </c>
      <c r="AG4608" s="4">
        <v>0</v>
      </c>
      <c r="AH4608" s="4">
        <v>58</v>
      </c>
      <c r="AI4608" s="4">
        <v>62</v>
      </c>
      <c r="AJ4608" s="4">
        <v>3</v>
      </c>
      <c r="AK4608" s="4">
        <v>3</v>
      </c>
      <c r="AL4608" s="4">
        <v>40</v>
      </c>
      <c r="AM4608" s="4">
        <v>43</v>
      </c>
      <c r="AN4608" s="4">
        <v>0</v>
      </c>
      <c r="AO4608" s="4">
        <v>0</v>
      </c>
      <c r="AP4608" s="4">
        <v>4</v>
      </c>
      <c r="AQ4608" s="4">
        <v>4</v>
      </c>
      <c r="AR4608" s="3" t="s">
        <v>63</v>
      </c>
      <c r="AS4608" s="3" t="s">
        <v>63</v>
      </c>
      <c r="AT4608" s="3" t="s">
        <v>62</v>
      </c>
      <c r="AU4608" s="6" t="str">
        <f>HYPERLINK("http://catalog.hathitrust.org/Record/007143488","HathiTrust Record")</f>
        <v>HathiTrust Record</v>
      </c>
      <c r="AV4608" s="6" t="str">
        <f>HYPERLINK("http://mcgill.on.worldcat.org/oclc/53897759","Catalog Record")</f>
        <v>Catalog Record</v>
      </c>
      <c r="AW4608" s="6" t="str">
        <f>HYPERLINK("http://www.worldcat.org/oclc/53897759","WorldCat Record")</f>
        <v>WorldCat Record</v>
      </c>
      <c r="AX4608" s="3" t="s">
        <v>40085</v>
      </c>
      <c r="AY4608" s="3" t="s">
        <v>40086</v>
      </c>
      <c r="AZ4608" s="3" t="s">
        <v>40087</v>
      </c>
      <c r="BA4608" s="3" t="s">
        <v>40087</v>
      </c>
      <c r="BB4608" s="3" t="s">
        <v>40088</v>
      </c>
      <c r="BC4608" s="3" t="s">
        <v>82</v>
      </c>
      <c r="BD4608" s="3" t="s">
        <v>70</v>
      </c>
      <c r="BE4608" s="3" t="s">
        <v>40089</v>
      </c>
      <c r="BF4608" s="3" t="s">
        <v>40088</v>
      </c>
      <c r="BG4608" s="3" t="s">
        <v>40090</v>
      </c>
    </row>
    <row r="4609" spans="1:59" ht="60" x14ac:dyDescent="0.25">
      <c r="A4609" s="2" t="s">
        <v>59</v>
      </c>
      <c r="B4609" s="2" t="s">
        <v>60</v>
      </c>
      <c r="C4609" s="2" t="s">
        <v>40091</v>
      </c>
      <c r="D4609" s="2" t="s">
        <v>40092</v>
      </c>
      <c r="E4609" s="2" t="s">
        <v>40093</v>
      </c>
      <c r="G4609" s="3" t="s">
        <v>63</v>
      </c>
      <c r="I4609" s="3" t="s">
        <v>63</v>
      </c>
      <c r="J4609" s="3" t="s">
        <v>63</v>
      </c>
      <c r="K4609" s="3" t="s">
        <v>64</v>
      </c>
      <c r="L4609" s="2" t="s">
        <v>40094</v>
      </c>
      <c r="N4609" s="3" t="s">
        <v>213</v>
      </c>
      <c r="P4609" s="3" t="s">
        <v>66</v>
      </c>
      <c r="Q4609" s="2" t="s">
        <v>40095</v>
      </c>
      <c r="R4609" s="3" t="s">
        <v>67</v>
      </c>
      <c r="S4609" s="4">
        <v>5</v>
      </c>
      <c r="T4609" s="4">
        <v>5</v>
      </c>
      <c r="U4609" s="5" t="s">
        <v>18534</v>
      </c>
      <c r="V4609" s="5" t="s">
        <v>18534</v>
      </c>
      <c r="W4609" s="5" t="s">
        <v>69</v>
      </c>
      <c r="X4609" s="5" t="s">
        <v>69</v>
      </c>
      <c r="Y4609" s="4">
        <v>118</v>
      </c>
      <c r="Z4609" s="4">
        <v>3</v>
      </c>
      <c r="AA4609" s="4">
        <v>3</v>
      </c>
      <c r="AB4609" s="4">
        <v>1</v>
      </c>
      <c r="AC4609" s="4">
        <v>1</v>
      </c>
      <c r="AD4609" s="4">
        <v>64</v>
      </c>
      <c r="AE4609" s="4">
        <v>64</v>
      </c>
      <c r="AF4609" s="4">
        <v>0</v>
      </c>
      <c r="AG4609" s="4">
        <v>0</v>
      </c>
      <c r="AH4609" s="4">
        <v>62</v>
      </c>
      <c r="AI4609" s="4">
        <v>62</v>
      </c>
      <c r="AJ4609" s="4">
        <v>2</v>
      </c>
      <c r="AK4609" s="4">
        <v>2</v>
      </c>
      <c r="AL4609" s="4">
        <v>42</v>
      </c>
      <c r="AM4609" s="4">
        <v>42</v>
      </c>
      <c r="AN4609" s="4">
        <v>0</v>
      </c>
      <c r="AO4609" s="4">
        <v>0</v>
      </c>
      <c r="AP4609" s="4">
        <v>2</v>
      </c>
      <c r="AQ4609" s="4">
        <v>2</v>
      </c>
      <c r="AR4609" s="3" t="s">
        <v>63</v>
      </c>
      <c r="AS4609" s="3" t="s">
        <v>63</v>
      </c>
      <c r="AT4609" s="3" t="s">
        <v>63</v>
      </c>
      <c r="AU4609" s="6" t="str">
        <f>HYPERLINK("http://catalog.hathitrust.org/Record/000823232","HathiTrust Record")</f>
        <v>HathiTrust Record</v>
      </c>
      <c r="AV4609" s="6" t="str">
        <f>HYPERLINK("http://mcgill.on.worldcat.org/oclc/1661136","Catalog Record")</f>
        <v>Catalog Record</v>
      </c>
      <c r="AW4609" s="6" t="str">
        <f>HYPERLINK("http://www.worldcat.org/oclc/1661136","WorldCat Record")</f>
        <v>WorldCat Record</v>
      </c>
      <c r="AX4609" s="3" t="s">
        <v>40096</v>
      </c>
      <c r="AY4609" s="3" t="s">
        <v>40097</v>
      </c>
      <c r="AZ4609" s="3" t="s">
        <v>40098</v>
      </c>
      <c r="BA4609" s="3" t="s">
        <v>40098</v>
      </c>
      <c r="BB4609" s="3" t="s">
        <v>40099</v>
      </c>
      <c r="BC4609" s="3" t="s">
        <v>82</v>
      </c>
      <c r="BD4609" s="3" t="s">
        <v>70</v>
      </c>
      <c r="BF4609" s="3" t="s">
        <v>40099</v>
      </c>
      <c r="BG4609" s="3" t="s">
        <v>40100</v>
      </c>
    </row>
    <row r="4610" spans="1:59" ht="60" x14ac:dyDescent="0.25">
      <c r="A4610" s="2" t="s">
        <v>59</v>
      </c>
      <c r="B4610" s="2" t="s">
        <v>60</v>
      </c>
      <c r="C4610" s="2" t="s">
        <v>40101</v>
      </c>
      <c r="D4610" s="2" t="s">
        <v>40102</v>
      </c>
      <c r="E4610" s="2" t="s">
        <v>40103</v>
      </c>
      <c r="G4610" s="3" t="s">
        <v>63</v>
      </c>
      <c r="I4610" s="3" t="s">
        <v>63</v>
      </c>
      <c r="J4610" s="3" t="s">
        <v>63</v>
      </c>
      <c r="K4610" s="3" t="s">
        <v>64</v>
      </c>
      <c r="L4610" s="2" t="s">
        <v>40104</v>
      </c>
      <c r="M4610" s="2" t="s">
        <v>40105</v>
      </c>
      <c r="N4610" s="3" t="s">
        <v>287</v>
      </c>
      <c r="P4610" s="3" t="s">
        <v>66</v>
      </c>
      <c r="Q4610" s="2" t="s">
        <v>40106</v>
      </c>
      <c r="R4610" s="3" t="s">
        <v>67</v>
      </c>
      <c r="S4610" s="4">
        <v>0</v>
      </c>
      <c r="T4610" s="4">
        <v>0</v>
      </c>
      <c r="W4610" s="5" t="s">
        <v>69</v>
      </c>
      <c r="X4610" s="5" t="s">
        <v>69</v>
      </c>
      <c r="Y4610" s="4">
        <v>29</v>
      </c>
      <c r="Z4610" s="4">
        <v>1</v>
      </c>
      <c r="AA4610" s="4">
        <v>3</v>
      </c>
      <c r="AB4610" s="4">
        <v>1</v>
      </c>
      <c r="AC4610" s="4">
        <v>2</v>
      </c>
      <c r="AD4610" s="4">
        <v>19</v>
      </c>
      <c r="AE4610" s="4">
        <v>22</v>
      </c>
      <c r="AF4610" s="4">
        <v>0</v>
      </c>
      <c r="AG4610" s="4">
        <v>0</v>
      </c>
      <c r="AH4610" s="4">
        <v>18</v>
      </c>
      <c r="AI4610" s="4">
        <v>21</v>
      </c>
      <c r="AJ4610" s="4">
        <v>0</v>
      </c>
      <c r="AK4610" s="4">
        <v>1</v>
      </c>
      <c r="AL4610" s="4">
        <v>14</v>
      </c>
      <c r="AM4610" s="4">
        <v>16</v>
      </c>
      <c r="AN4610" s="4">
        <v>0</v>
      </c>
      <c r="AO4610" s="4">
        <v>0</v>
      </c>
      <c r="AP4610" s="4">
        <v>0</v>
      </c>
      <c r="AQ4610" s="4">
        <v>1</v>
      </c>
      <c r="AR4610" s="3" t="s">
        <v>63</v>
      </c>
      <c r="AS4610" s="3" t="s">
        <v>63</v>
      </c>
      <c r="AT4610" s="3" t="s">
        <v>63</v>
      </c>
      <c r="AV4610" s="6" t="str">
        <f>HYPERLINK("http://mcgill.on.worldcat.org/oclc/1055566198","Catalog Record")</f>
        <v>Catalog Record</v>
      </c>
      <c r="AW4610" s="6" t="str">
        <f>HYPERLINK("http://www.worldcat.org/oclc/1055566198","WorldCat Record")</f>
        <v>WorldCat Record</v>
      </c>
      <c r="AX4610" s="3" t="s">
        <v>40107</v>
      </c>
      <c r="AY4610" s="3" t="s">
        <v>40108</v>
      </c>
      <c r="AZ4610" s="3" t="s">
        <v>40109</v>
      </c>
      <c r="BA4610" s="3" t="s">
        <v>40109</v>
      </c>
      <c r="BB4610" s="3" t="s">
        <v>40110</v>
      </c>
      <c r="BC4610" s="3" t="s">
        <v>82</v>
      </c>
      <c r="BD4610" s="3" t="s">
        <v>70</v>
      </c>
      <c r="BE4610" s="3" t="s">
        <v>40111</v>
      </c>
      <c r="BF4610" s="3" t="s">
        <v>40110</v>
      </c>
      <c r="BG4610" s="3" t="s">
        <v>40112</v>
      </c>
    </row>
    <row r="4611" spans="1:59" ht="60" x14ac:dyDescent="0.25">
      <c r="A4611" s="2" t="s">
        <v>59</v>
      </c>
      <c r="B4611" s="2" t="s">
        <v>60</v>
      </c>
      <c r="C4611" s="2" t="s">
        <v>40113</v>
      </c>
      <c r="D4611" s="2" t="s">
        <v>40114</v>
      </c>
      <c r="E4611" s="2" t="s">
        <v>40115</v>
      </c>
      <c r="G4611" s="3" t="s">
        <v>63</v>
      </c>
      <c r="I4611" s="3" t="s">
        <v>63</v>
      </c>
      <c r="J4611" s="3" t="s">
        <v>63</v>
      </c>
      <c r="K4611" s="3" t="s">
        <v>64</v>
      </c>
      <c r="L4611" s="2" t="s">
        <v>40094</v>
      </c>
      <c r="M4611" s="2" t="s">
        <v>40116</v>
      </c>
      <c r="N4611" s="3" t="s">
        <v>247</v>
      </c>
      <c r="P4611" s="3" t="s">
        <v>66</v>
      </c>
      <c r="R4611" s="3" t="s">
        <v>67</v>
      </c>
      <c r="S4611" s="4">
        <v>3</v>
      </c>
      <c r="T4611" s="4">
        <v>3</v>
      </c>
      <c r="U4611" s="5" t="s">
        <v>40117</v>
      </c>
      <c r="V4611" s="5" t="s">
        <v>40117</v>
      </c>
      <c r="W4611" s="5" t="s">
        <v>69</v>
      </c>
      <c r="X4611" s="5" t="s">
        <v>69</v>
      </c>
      <c r="Y4611" s="4">
        <v>184</v>
      </c>
      <c r="Z4611" s="4">
        <v>13</v>
      </c>
      <c r="AA4611" s="4">
        <v>15</v>
      </c>
      <c r="AB4611" s="4">
        <v>1</v>
      </c>
      <c r="AC4611" s="4">
        <v>3</v>
      </c>
      <c r="AD4611" s="4">
        <v>83</v>
      </c>
      <c r="AE4611" s="4">
        <v>86</v>
      </c>
      <c r="AF4611" s="4">
        <v>0</v>
      </c>
      <c r="AG4611" s="4">
        <v>2</v>
      </c>
      <c r="AH4611" s="4">
        <v>77</v>
      </c>
      <c r="AI4611" s="4">
        <v>78</v>
      </c>
      <c r="AJ4611" s="4">
        <v>10</v>
      </c>
      <c r="AK4611" s="4">
        <v>12</v>
      </c>
      <c r="AL4611" s="4">
        <v>44</v>
      </c>
      <c r="AM4611" s="4">
        <v>44</v>
      </c>
      <c r="AN4611" s="4">
        <v>0</v>
      </c>
      <c r="AO4611" s="4">
        <v>0</v>
      </c>
      <c r="AP4611" s="4">
        <v>10</v>
      </c>
      <c r="AQ4611" s="4">
        <v>11</v>
      </c>
      <c r="AR4611" s="3" t="s">
        <v>63</v>
      </c>
      <c r="AS4611" s="3" t="s">
        <v>63</v>
      </c>
      <c r="AT4611" s="3" t="s">
        <v>63</v>
      </c>
      <c r="AV4611" s="6" t="str">
        <f>HYPERLINK("http://mcgill.on.worldcat.org/oclc/8417661","Catalog Record")</f>
        <v>Catalog Record</v>
      </c>
      <c r="AW4611" s="6" t="str">
        <f>HYPERLINK("http://www.worldcat.org/oclc/8417661","WorldCat Record")</f>
        <v>WorldCat Record</v>
      </c>
      <c r="AX4611" s="3" t="s">
        <v>40118</v>
      </c>
      <c r="AY4611" s="3" t="s">
        <v>40119</v>
      </c>
      <c r="AZ4611" s="3" t="s">
        <v>40120</v>
      </c>
      <c r="BA4611" s="3" t="s">
        <v>40120</v>
      </c>
      <c r="BB4611" s="3" t="s">
        <v>40121</v>
      </c>
      <c r="BC4611" s="3" t="s">
        <v>82</v>
      </c>
      <c r="BD4611" s="3" t="s">
        <v>70</v>
      </c>
      <c r="BE4611" s="3" t="s">
        <v>40122</v>
      </c>
      <c r="BF4611" s="3" t="s">
        <v>40121</v>
      </c>
      <c r="BG4611" s="3" t="s">
        <v>40123</v>
      </c>
    </row>
    <row r="4612" spans="1:59" ht="60" x14ac:dyDescent="0.25">
      <c r="A4612" s="2" t="s">
        <v>59</v>
      </c>
      <c r="B4612" s="2" t="s">
        <v>60</v>
      </c>
      <c r="C4612" s="2" t="s">
        <v>40228</v>
      </c>
      <c r="D4612" s="2" t="s">
        <v>40229</v>
      </c>
      <c r="E4612" s="2" t="s">
        <v>40230</v>
      </c>
      <c r="G4612" s="3" t="s">
        <v>63</v>
      </c>
      <c r="I4612" s="3" t="s">
        <v>63</v>
      </c>
      <c r="J4612" s="3" t="s">
        <v>62</v>
      </c>
      <c r="K4612" s="3" t="s">
        <v>64</v>
      </c>
      <c r="L4612" s="2" t="s">
        <v>40127</v>
      </c>
      <c r="M4612" s="2" t="s">
        <v>40231</v>
      </c>
      <c r="N4612" s="3" t="s">
        <v>743</v>
      </c>
      <c r="P4612" s="3" t="s">
        <v>66</v>
      </c>
      <c r="R4612" s="3" t="s">
        <v>67</v>
      </c>
      <c r="S4612" s="4">
        <v>1</v>
      </c>
      <c r="T4612" s="4">
        <v>1</v>
      </c>
      <c r="U4612" s="5" t="s">
        <v>6296</v>
      </c>
      <c r="V4612" s="5" t="s">
        <v>6296</v>
      </c>
      <c r="W4612" s="5" t="s">
        <v>69</v>
      </c>
      <c r="X4612" s="5" t="s">
        <v>69</v>
      </c>
      <c r="Y4612" s="4">
        <v>108</v>
      </c>
      <c r="Z4612" s="4">
        <v>4</v>
      </c>
      <c r="AA4612" s="4">
        <v>26</v>
      </c>
      <c r="AB4612" s="4">
        <v>1</v>
      </c>
      <c r="AC4612" s="4">
        <v>4</v>
      </c>
      <c r="AD4612" s="4">
        <v>27</v>
      </c>
      <c r="AE4612" s="4">
        <v>91</v>
      </c>
      <c r="AF4612" s="4">
        <v>0</v>
      </c>
      <c r="AG4612" s="4">
        <v>0</v>
      </c>
      <c r="AH4612" s="4">
        <v>25</v>
      </c>
      <c r="AI4612" s="4">
        <v>83</v>
      </c>
      <c r="AJ4612" s="4">
        <v>2</v>
      </c>
      <c r="AK4612" s="4">
        <v>9</v>
      </c>
      <c r="AL4612" s="4">
        <v>15</v>
      </c>
      <c r="AM4612" s="4">
        <v>52</v>
      </c>
      <c r="AN4612" s="4">
        <v>0</v>
      </c>
      <c r="AO4612" s="4">
        <v>0</v>
      </c>
      <c r="AP4612" s="4">
        <v>2</v>
      </c>
      <c r="AQ4612" s="4">
        <v>12</v>
      </c>
      <c r="AR4612" s="3" t="s">
        <v>63</v>
      </c>
      <c r="AS4612" s="3" t="s">
        <v>63</v>
      </c>
      <c r="AT4612" s="3" t="s">
        <v>62</v>
      </c>
      <c r="AU4612" s="6" t="str">
        <f>HYPERLINK("http://catalog.hathitrust.org/Record/000966070","HathiTrust Record")</f>
        <v>HathiTrust Record</v>
      </c>
      <c r="AV4612" s="6" t="str">
        <f>HYPERLINK("http://mcgill.on.worldcat.org/oclc/416307","Catalog Record")</f>
        <v>Catalog Record</v>
      </c>
      <c r="AW4612" s="6" t="str">
        <f>HYPERLINK("http://www.worldcat.org/oclc/416307","WorldCat Record")</f>
        <v>WorldCat Record</v>
      </c>
      <c r="AX4612" s="3" t="s">
        <v>40151</v>
      </c>
      <c r="AY4612" s="3" t="s">
        <v>40232</v>
      </c>
      <c r="AZ4612" s="3" t="s">
        <v>40233</v>
      </c>
      <c r="BA4612" s="3" t="s">
        <v>40233</v>
      </c>
      <c r="BB4612" s="3" t="s">
        <v>40234</v>
      </c>
      <c r="BC4612" s="3" t="s">
        <v>82</v>
      </c>
      <c r="BD4612" s="3" t="s">
        <v>70</v>
      </c>
      <c r="BE4612" s="3" t="s">
        <v>40235</v>
      </c>
      <c r="BF4612" s="3" t="s">
        <v>40234</v>
      </c>
      <c r="BG4612" s="3" t="s">
        <v>40236</v>
      </c>
    </row>
    <row r="4613" spans="1:59" ht="60" x14ac:dyDescent="0.25">
      <c r="A4613" s="2" t="s">
        <v>59</v>
      </c>
      <c r="B4613" s="2" t="s">
        <v>60</v>
      </c>
      <c r="C4613" s="2" t="s">
        <v>40124</v>
      </c>
      <c r="D4613" s="2" t="s">
        <v>40125</v>
      </c>
      <c r="E4613" s="2" t="s">
        <v>40126</v>
      </c>
      <c r="G4613" s="3" t="s">
        <v>63</v>
      </c>
      <c r="I4613" s="3" t="s">
        <v>63</v>
      </c>
      <c r="J4613" s="3" t="s">
        <v>63</v>
      </c>
      <c r="K4613" s="3" t="s">
        <v>64</v>
      </c>
      <c r="L4613" s="2" t="s">
        <v>40127</v>
      </c>
      <c r="M4613" s="2" t="s">
        <v>40128</v>
      </c>
      <c r="N4613" s="3" t="s">
        <v>76</v>
      </c>
      <c r="P4613" s="3" t="s">
        <v>66</v>
      </c>
      <c r="R4613" s="3" t="s">
        <v>67</v>
      </c>
      <c r="S4613" s="4">
        <v>2</v>
      </c>
      <c r="T4613" s="4">
        <v>2</v>
      </c>
      <c r="U4613" s="5" t="s">
        <v>40129</v>
      </c>
      <c r="V4613" s="5" t="s">
        <v>40129</v>
      </c>
      <c r="W4613" s="5" t="s">
        <v>69</v>
      </c>
      <c r="X4613" s="5" t="s">
        <v>69</v>
      </c>
      <c r="Y4613" s="4">
        <v>417</v>
      </c>
      <c r="Z4613" s="4">
        <v>15</v>
      </c>
      <c r="AA4613" s="4">
        <v>24</v>
      </c>
      <c r="AB4613" s="4">
        <v>2</v>
      </c>
      <c r="AC4613" s="4">
        <v>6</v>
      </c>
      <c r="AD4613" s="4">
        <v>49</v>
      </c>
      <c r="AE4613" s="4">
        <v>63</v>
      </c>
      <c r="AF4613" s="4">
        <v>0</v>
      </c>
      <c r="AG4613" s="4">
        <v>0</v>
      </c>
      <c r="AH4613" s="4">
        <v>47</v>
      </c>
      <c r="AI4613" s="4">
        <v>60</v>
      </c>
      <c r="AJ4613" s="4">
        <v>7</v>
      </c>
      <c r="AK4613" s="4">
        <v>7</v>
      </c>
      <c r="AL4613" s="4">
        <v>30</v>
      </c>
      <c r="AM4613" s="4">
        <v>39</v>
      </c>
      <c r="AN4613" s="4">
        <v>0</v>
      </c>
      <c r="AO4613" s="4">
        <v>0</v>
      </c>
      <c r="AP4613" s="4">
        <v>7</v>
      </c>
      <c r="AQ4613" s="4">
        <v>7</v>
      </c>
      <c r="AR4613" s="3" t="s">
        <v>63</v>
      </c>
      <c r="AS4613" s="3" t="s">
        <v>63</v>
      </c>
      <c r="AT4613" s="3" t="s">
        <v>63</v>
      </c>
      <c r="AV4613" s="6" t="str">
        <f>HYPERLINK("http://mcgill.on.worldcat.org/oclc/809616615","Catalog Record")</f>
        <v>Catalog Record</v>
      </c>
      <c r="AW4613" s="6" t="str">
        <f>HYPERLINK("http://www.worldcat.org/oclc/809616615","WorldCat Record")</f>
        <v>WorldCat Record</v>
      </c>
      <c r="AX4613" s="3" t="s">
        <v>40130</v>
      </c>
      <c r="AY4613" s="3" t="s">
        <v>40131</v>
      </c>
      <c r="AZ4613" s="3" t="s">
        <v>40132</v>
      </c>
      <c r="BA4613" s="3" t="s">
        <v>40132</v>
      </c>
      <c r="BB4613" s="3" t="s">
        <v>40133</v>
      </c>
      <c r="BC4613" s="3" t="s">
        <v>82</v>
      </c>
      <c r="BD4613" s="3" t="s">
        <v>70</v>
      </c>
      <c r="BE4613" s="3" t="s">
        <v>40134</v>
      </c>
      <c r="BF4613" s="3" t="s">
        <v>40133</v>
      </c>
      <c r="BG4613" s="3" t="s">
        <v>40135</v>
      </c>
    </row>
    <row r="4614" spans="1:59" ht="60" x14ac:dyDescent="0.25">
      <c r="A4614" s="2" t="s">
        <v>59</v>
      </c>
      <c r="B4614" s="2" t="s">
        <v>60</v>
      </c>
      <c r="C4614" s="2" t="s">
        <v>40136</v>
      </c>
      <c r="D4614" s="2" t="s">
        <v>40137</v>
      </c>
      <c r="E4614" s="2" t="s">
        <v>40138</v>
      </c>
      <c r="G4614" s="3" t="s">
        <v>63</v>
      </c>
      <c r="I4614" s="3" t="s">
        <v>63</v>
      </c>
      <c r="J4614" s="3" t="s">
        <v>63</v>
      </c>
      <c r="K4614" s="3" t="s">
        <v>64</v>
      </c>
      <c r="L4614" s="2" t="s">
        <v>40139</v>
      </c>
      <c r="M4614" s="2" t="s">
        <v>40140</v>
      </c>
      <c r="N4614" s="3" t="s">
        <v>106</v>
      </c>
      <c r="P4614" s="3" t="s">
        <v>66</v>
      </c>
      <c r="R4614" s="3" t="s">
        <v>67</v>
      </c>
      <c r="S4614" s="4">
        <v>1</v>
      </c>
      <c r="T4614" s="4">
        <v>1</v>
      </c>
      <c r="U4614" s="5" t="s">
        <v>456</v>
      </c>
      <c r="V4614" s="5" t="s">
        <v>456</v>
      </c>
      <c r="W4614" s="5" t="s">
        <v>69</v>
      </c>
      <c r="X4614" s="5" t="s">
        <v>69</v>
      </c>
      <c r="Y4614" s="4">
        <v>53</v>
      </c>
      <c r="Z4614" s="4">
        <v>7</v>
      </c>
      <c r="AA4614" s="4">
        <v>77</v>
      </c>
      <c r="AB4614" s="4">
        <v>1</v>
      </c>
      <c r="AC4614" s="4">
        <v>15</v>
      </c>
      <c r="AD4614" s="4">
        <v>23</v>
      </c>
      <c r="AE4614" s="4">
        <v>111</v>
      </c>
      <c r="AF4614" s="4">
        <v>0</v>
      </c>
      <c r="AG4614" s="4">
        <v>8</v>
      </c>
      <c r="AH4614" s="4">
        <v>22</v>
      </c>
      <c r="AI4614" s="4">
        <v>80</v>
      </c>
      <c r="AJ4614" s="4">
        <v>3</v>
      </c>
      <c r="AK4614" s="4">
        <v>18</v>
      </c>
      <c r="AL4614" s="4">
        <v>17</v>
      </c>
      <c r="AM4614" s="4">
        <v>46</v>
      </c>
      <c r="AN4614" s="4">
        <v>0</v>
      </c>
      <c r="AO4614" s="4">
        <v>0</v>
      </c>
      <c r="AP4614" s="4">
        <v>3</v>
      </c>
      <c r="AQ4614" s="4">
        <v>37</v>
      </c>
      <c r="AR4614" s="3" t="s">
        <v>63</v>
      </c>
      <c r="AS4614" s="3" t="s">
        <v>63</v>
      </c>
      <c r="AT4614" s="3" t="s">
        <v>63</v>
      </c>
      <c r="AV4614" s="6" t="str">
        <f>HYPERLINK("http://mcgill.on.worldcat.org/oclc/946534572","Catalog Record")</f>
        <v>Catalog Record</v>
      </c>
      <c r="AW4614" s="6" t="str">
        <f>HYPERLINK("http://www.worldcat.org/oclc/946534572","WorldCat Record")</f>
        <v>WorldCat Record</v>
      </c>
      <c r="AX4614" s="3" t="s">
        <v>40141</v>
      </c>
      <c r="AY4614" s="3" t="s">
        <v>40142</v>
      </c>
      <c r="AZ4614" s="3" t="s">
        <v>40143</v>
      </c>
      <c r="BA4614" s="3" t="s">
        <v>40143</v>
      </c>
      <c r="BB4614" s="3" t="s">
        <v>40144</v>
      </c>
      <c r="BC4614" s="3" t="s">
        <v>82</v>
      </c>
      <c r="BD4614" s="3" t="s">
        <v>70</v>
      </c>
      <c r="BE4614" s="3" t="s">
        <v>40145</v>
      </c>
      <c r="BF4614" s="3" t="s">
        <v>40144</v>
      </c>
      <c r="BG4614" s="3" t="s">
        <v>40146</v>
      </c>
    </row>
    <row r="4615" spans="1:59" ht="60" x14ac:dyDescent="0.25">
      <c r="A4615" s="2" t="s">
        <v>59</v>
      </c>
      <c r="B4615" s="2" t="s">
        <v>60</v>
      </c>
      <c r="C4615" s="2" t="s">
        <v>40147</v>
      </c>
      <c r="D4615" s="2" t="s">
        <v>40148</v>
      </c>
      <c r="E4615" s="2" t="s">
        <v>40149</v>
      </c>
      <c r="G4615" s="3" t="s">
        <v>63</v>
      </c>
      <c r="I4615" s="3" t="s">
        <v>63</v>
      </c>
      <c r="J4615" s="3" t="s">
        <v>62</v>
      </c>
      <c r="K4615" s="3" t="s">
        <v>64</v>
      </c>
      <c r="L4615" s="2" t="s">
        <v>40127</v>
      </c>
      <c r="M4615" s="2" t="s">
        <v>40150</v>
      </c>
      <c r="N4615" s="3" t="s">
        <v>668</v>
      </c>
      <c r="P4615" s="3" t="s">
        <v>66</v>
      </c>
      <c r="R4615" s="3" t="s">
        <v>67</v>
      </c>
      <c r="S4615" s="4">
        <v>4</v>
      </c>
      <c r="T4615" s="4">
        <v>4</v>
      </c>
      <c r="U4615" s="5" t="s">
        <v>23962</v>
      </c>
      <c r="V4615" s="5" t="s">
        <v>23962</v>
      </c>
      <c r="W4615" s="5" t="s">
        <v>69</v>
      </c>
      <c r="X4615" s="5" t="s">
        <v>69</v>
      </c>
      <c r="Y4615" s="4">
        <v>114</v>
      </c>
      <c r="Z4615" s="4">
        <v>6</v>
      </c>
      <c r="AA4615" s="4">
        <v>26</v>
      </c>
      <c r="AB4615" s="4">
        <v>1</v>
      </c>
      <c r="AC4615" s="4">
        <v>4</v>
      </c>
      <c r="AD4615" s="4">
        <v>33</v>
      </c>
      <c r="AE4615" s="4">
        <v>91</v>
      </c>
      <c r="AF4615" s="4">
        <v>0</v>
      </c>
      <c r="AG4615" s="4">
        <v>0</v>
      </c>
      <c r="AH4615" s="4">
        <v>31</v>
      </c>
      <c r="AI4615" s="4">
        <v>83</v>
      </c>
      <c r="AJ4615" s="4">
        <v>1</v>
      </c>
      <c r="AK4615" s="4">
        <v>9</v>
      </c>
      <c r="AL4615" s="4">
        <v>19</v>
      </c>
      <c r="AM4615" s="4">
        <v>52</v>
      </c>
      <c r="AN4615" s="4">
        <v>0</v>
      </c>
      <c r="AO4615" s="4">
        <v>0</v>
      </c>
      <c r="AP4615" s="4">
        <v>2</v>
      </c>
      <c r="AQ4615" s="4">
        <v>12</v>
      </c>
      <c r="AR4615" s="3" t="s">
        <v>63</v>
      </c>
      <c r="AS4615" s="3" t="s">
        <v>63</v>
      </c>
      <c r="AT4615" s="3" t="s">
        <v>63</v>
      </c>
      <c r="AV4615" s="6" t="str">
        <f>HYPERLINK("http://mcgill.on.worldcat.org/oclc/21910242","Catalog Record")</f>
        <v>Catalog Record</v>
      </c>
      <c r="AW4615" s="6" t="str">
        <f>HYPERLINK("http://www.worldcat.org/oclc/21910242","WorldCat Record")</f>
        <v>WorldCat Record</v>
      </c>
      <c r="AX4615" s="3" t="s">
        <v>40151</v>
      </c>
      <c r="AY4615" s="3" t="s">
        <v>40152</v>
      </c>
      <c r="AZ4615" s="3" t="s">
        <v>40153</v>
      </c>
      <c r="BA4615" s="3" t="s">
        <v>40153</v>
      </c>
      <c r="BB4615" s="3" t="s">
        <v>40154</v>
      </c>
      <c r="BC4615" s="3" t="s">
        <v>82</v>
      </c>
      <c r="BD4615" s="3" t="s">
        <v>538</v>
      </c>
      <c r="BE4615" s="3" t="s">
        <v>40155</v>
      </c>
      <c r="BF4615" s="3" t="s">
        <v>40154</v>
      </c>
      <c r="BG4615" s="3" t="s">
        <v>40156</v>
      </c>
    </row>
    <row r="4616" spans="1:59" ht="60" x14ac:dyDescent="0.25">
      <c r="A4616" s="2" t="s">
        <v>59</v>
      </c>
      <c r="B4616" s="2" t="s">
        <v>60</v>
      </c>
      <c r="C4616" s="2" t="s">
        <v>40157</v>
      </c>
      <c r="D4616" s="2" t="s">
        <v>40158</v>
      </c>
      <c r="E4616" s="2" t="s">
        <v>40159</v>
      </c>
      <c r="G4616" s="3" t="s">
        <v>63</v>
      </c>
      <c r="I4616" s="3" t="s">
        <v>63</v>
      </c>
      <c r="J4616" s="3" t="s">
        <v>63</v>
      </c>
      <c r="K4616" s="3" t="s">
        <v>64</v>
      </c>
      <c r="L4616" s="2" t="s">
        <v>40139</v>
      </c>
      <c r="M4616" s="2" t="s">
        <v>40160</v>
      </c>
      <c r="N4616" s="3" t="s">
        <v>1557</v>
      </c>
      <c r="P4616" s="3" t="s">
        <v>66</v>
      </c>
      <c r="R4616" s="3" t="s">
        <v>67</v>
      </c>
      <c r="S4616" s="4">
        <v>0</v>
      </c>
      <c r="T4616" s="4">
        <v>0</v>
      </c>
      <c r="W4616" s="5" t="s">
        <v>69</v>
      </c>
      <c r="X4616" s="5" t="s">
        <v>69</v>
      </c>
      <c r="Y4616" s="4">
        <v>121</v>
      </c>
      <c r="Z4616" s="4">
        <v>3</v>
      </c>
      <c r="AA4616" s="4">
        <v>78</v>
      </c>
      <c r="AB4616" s="4">
        <v>1</v>
      </c>
      <c r="AC4616" s="4">
        <v>17</v>
      </c>
      <c r="AD4616" s="4">
        <v>25</v>
      </c>
      <c r="AE4616" s="4">
        <v>112</v>
      </c>
      <c r="AF4616" s="4">
        <v>0</v>
      </c>
      <c r="AG4616" s="4">
        <v>8</v>
      </c>
      <c r="AH4616" s="4">
        <v>24</v>
      </c>
      <c r="AI4616" s="4">
        <v>81</v>
      </c>
      <c r="AJ4616" s="4">
        <v>1</v>
      </c>
      <c r="AK4616" s="4">
        <v>17</v>
      </c>
      <c r="AL4616" s="4">
        <v>19</v>
      </c>
      <c r="AM4616" s="4">
        <v>46</v>
      </c>
      <c r="AN4616" s="4">
        <v>0</v>
      </c>
      <c r="AO4616" s="4">
        <v>0</v>
      </c>
      <c r="AP4616" s="4">
        <v>1</v>
      </c>
      <c r="AQ4616" s="4">
        <v>36</v>
      </c>
      <c r="AR4616" s="3" t="s">
        <v>63</v>
      </c>
      <c r="AS4616" s="3" t="s">
        <v>63</v>
      </c>
      <c r="AT4616" s="3" t="s">
        <v>63</v>
      </c>
      <c r="AV4616" s="6" t="str">
        <f>HYPERLINK("http://mcgill.on.worldcat.org/oclc/969964527","Catalog Record")</f>
        <v>Catalog Record</v>
      </c>
      <c r="AW4616" s="6" t="str">
        <f>HYPERLINK("http://www.worldcat.org/oclc/969964527","WorldCat Record")</f>
        <v>WorldCat Record</v>
      </c>
      <c r="AX4616" s="3" t="s">
        <v>40161</v>
      </c>
      <c r="AY4616" s="3" t="s">
        <v>40162</v>
      </c>
      <c r="AZ4616" s="3" t="s">
        <v>40163</v>
      </c>
      <c r="BA4616" s="3" t="s">
        <v>40163</v>
      </c>
      <c r="BB4616" s="3" t="s">
        <v>40164</v>
      </c>
      <c r="BC4616" s="3" t="s">
        <v>82</v>
      </c>
      <c r="BD4616" s="3" t="s">
        <v>70</v>
      </c>
      <c r="BE4616" s="3" t="s">
        <v>40165</v>
      </c>
      <c r="BF4616" s="3" t="s">
        <v>40164</v>
      </c>
      <c r="BG4616" s="3" t="s">
        <v>40166</v>
      </c>
    </row>
    <row r="4617" spans="1:59" ht="60" x14ac:dyDescent="0.25">
      <c r="A4617" s="2" t="s">
        <v>59</v>
      </c>
      <c r="B4617" s="2" t="s">
        <v>60</v>
      </c>
      <c r="C4617" s="2" t="s">
        <v>40167</v>
      </c>
      <c r="D4617" s="2" t="s">
        <v>40168</v>
      </c>
      <c r="E4617" s="2" t="s">
        <v>40169</v>
      </c>
      <c r="G4617" s="3" t="s">
        <v>63</v>
      </c>
      <c r="I4617" s="3" t="s">
        <v>63</v>
      </c>
      <c r="J4617" s="3" t="s">
        <v>63</v>
      </c>
      <c r="K4617" s="3" t="s">
        <v>64</v>
      </c>
      <c r="L4617" s="2" t="s">
        <v>40127</v>
      </c>
      <c r="M4617" s="2" t="s">
        <v>40170</v>
      </c>
      <c r="N4617" s="3" t="s">
        <v>2103</v>
      </c>
      <c r="O4617" s="2" t="s">
        <v>40171</v>
      </c>
      <c r="P4617" s="3" t="s">
        <v>66</v>
      </c>
      <c r="R4617" s="3" t="s">
        <v>67</v>
      </c>
      <c r="S4617" s="4">
        <v>7</v>
      </c>
      <c r="T4617" s="4">
        <v>7</v>
      </c>
      <c r="U4617" s="5" t="s">
        <v>32026</v>
      </c>
      <c r="V4617" s="5" t="s">
        <v>32026</v>
      </c>
      <c r="W4617" s="5" t="s">
        <v>69</v>
      </c>
      <c r="X4617" s="5" t="s">
        <v>69</v>
      </c>
      <c r="Y4617" s="4">
        <v>519</v>
      </c>
      <c r="Z4617" s="4">
        <v>20</v>
      </c>
      <c r="AA4617" s="4">
        <v>27</v>
      </c>
      <c r="AB4617" s="4">
        <v>3</v>
      </c>
      <c r="AC4617" s="4">
        <v>5</v>
      </c>
      <c r="AD4617" s="4">
        <v>78</v>
      </c>
      <c r="AE4617" s="4">
        <v>80</v>
      </c>
      <c r="AF4617" s="4">
        <v>0</v>
      </c>
      <c r="AG4617" s="4">
        <v>0</v>
      </c>
      <c r="AH4617" s="4">
        <v>75</v>
      </c>
      <c r="AI4617" s="4">
        <v>77</v>
      </c>
      <c r="AJ4617" s="4">
        <v>5</v>
      </c>
      <c r="AK4617" s="4">
        <v>5</v>
      </c>
      <c r="AL4617" s="4">
        <v>45</v>
      </c>
      <c r="AM4617" s="4">
        <v>46</v>
      </c>
      <c r="AN4617" s="4">
        <v>0</v>
      </c>
      <c r="AO4617" s="4">
        <v>0</v>
      </c>
      <c r="AP4617" s="4">
        <v>6</v>
      </c>
      <c r="AQ4617" s="4">
        <v>6</v>
      </c>
      <c r="AR4617" s="3" t="s">
        <v>63</v>
      </c>
      <c r="AS4617" s="3" t="s">
        <v>63</v>
      </c>
      <c r="AT4617" s="3" t="s">
        <v>62</v>
      </c>
      <c r="AU4617" s="6" t="str">
        <f>HYPERLINK("http://catalog.hathitrust.org/Record/007141586","HathiTrust Record")</f>
        <v>HathiTrust Record</v>
      </c>
      <c r="AV4617" s="6" t="str">
        <f>HYPERLINK("http://mcgill.on.worldcat.org/oclc/49225569","Catalog Record")</f>
        <v>Catalog Record</v>
      </c>
      <c r="AW4617" s="6" t="str">
        <f>HYPERLINK("http://www.worldcat.org/oclc/49225569","WorldCat Record")</f>
        <v>WorldCat Record</v>
      </c>
      <c r="AX4617" s="3" t="s">
        <v>40172</v>
      </c>
      <c r="AY4617" s="3" t="s">
        <v>40173</v>
      </c>
      <c r="AZ4617" s="3" t="s">
        <v>40174</v>
      </c>
      <c r="BA4617" s="3" t="s">
        <v>40174</v>
      </c>
      <c r="BB4617" s="3" t="s">
        <v>40175</v>
      </c>
      <c r="BC4617" s="3" t="s">
        <v>82</v>
      </c>
      <c r="BD4617" s="3" t="s">
        <v>70</v>
      </c>
      <c r="BE4617" s="3" t="s">
        <v>40176</v>
      </c>
      <c r="BF4617" s="3" t="s">
        <v>40175</v>
      </c>
      <c r="BG4617" s="3" t="s">
        <v>40177</v>
      </c>
    </row>
    <row r="4618" spans="1:59" ht="60" x14ac:dyDescent="0.25">
      <c r="A4618" s="2" t="s">
        <v>59</v>
      </c>
      <c r="B4618" s="2" t="s">
        <v>60</v>
      </c>
      <c r="C4618" s="2" t="s">
        <v>40178</v>
      </c>
      <c r="D4618" s="2" t="s">
        <v>40179</v>
      </c>
      <c r="E4618" s="2" t="s">
        <v>40180</v>
      </c>
      <c r="G4618" s="3" t="s">
        <v>63</v>
      </c>
      <c r="I4618" s="3" t="s">
        <v>63</v>
      </c>
      <c r="J4618" s="3" t="s">
        <v>63</v>
      </c>
      <c r="K4618" s="3" t="s">
        <v>64</v>
      </c>
      <c r="L4618" s="2" t="s">
        <v>40139</v>
      </c>
      <c r="M4618" s="2" t="s">
        <v>40181</v>
      </c>
      <c r="N4618" s="3" t="s">
        <v>143</v>
      </c>
      <c r="P4618" s="3" t="s">
        <v>66</v>
      </c>
      <c r="R4618" s="3" t="s">
        <v>67</v>
      </c>
      <c r="S4618" s="4">
        <v>2</v>
      </c>
      <c r="T4618" s="4">
        <v>2</v>
      </c>
      <c r="U4618" s="5" t="s">
        <v>39250</v>
      </c>
      <c r="V4618" s="5" t="s">
        <v>39250</v>
      </c>
      <c r="W4618" s="5" t="s">
        <v>69</v>
      </c>
      <c r="X4618" s="5" t="s">
        <v>69</v>
      </c>
      <c r="Y4618" s="4">
        <v>364</v>
      </c>
      <c r="Z4618" s="4">
        <v>16</v>
      </c>
      <c r="AA4618" s="4">
        <v>21</v>
      </c>
      <c r="AB4618" s="4">
        <v>2</v>
      </c>
      <c r="AC4618" s="4">
        <v>5</v>
      </c>
      <c r="AD4618" s="4">
        <v>53</v>
      </c>
      <c r="AE4618" s="4">
        <v>65</v>
      </c>
      <c r="AF4618" s="4">
        <v>0</v>
      </c>
      <c r="AG4618" s="4">
        <v>0</v>
      </c>
      <c r="AH4618" s="4">
        <v>50</v>
      </c>
      <c r="AI4618" s="4">
        <v>60</v>
      </c>
      <c r="AJ4618" s="4">
        <v>5</v>
      </c>
      <c r="AK4618" s="4">
        <v>6</v>
      </c>
      <c r="AL4618" s="4">
        <v>30</v>
      </c>
      <c r="AM4618" s="4">
        <v>39</v>
      </c>
      <c r="AN4618" s="4">
        <v>0</v>
      </c>
      <c r="AO4618" s="4">
        <v>0</v>
      </c>
      <c r="AP4618" s="4">
        <v>6</v>
      </c>
      <c r="AQ4618" s="4">
        <v>7</v>
      </c>
      <c r="AR4618" s="3" t="s">
        <v>63</v>
      </c>
      <c r="AS4618" s="3" t="s">
        <v>63</v>
      </c>
      <c r="AT4618" s="3" t="s">
        <v>63</v>
      </c>
      <c r="AV4618" s="6" t="str">
        <f>HYPERLINK("http://mcgill.on.worldcat.org/oclc/871211449","Catalog Record")</f>
        <v>Catalog Record</v>
      </c>
      <c r="AW4618" s="6" t="str">
        <f>HYPERLINK("http://www.worldcat.org/oclc/871211449","WorldCat Record")</f>
        <v>WorldCat Record</v>
      </c>
      <c r="AX4618" s="3" t="s">
        <v>40182</v>
      </c>
      <c r="AY4618" s="3" t="s">
        <v>40183</v>
      </c>
      <c r="AZ4618" s="3" t="s">
        <v>40184</v>
      </c>
      <c r="BA4618" s="3" t="s">
        <v>40184</v>
      </c>
      <c r="BB4618" s="3" t="s">
        <v>40185</v>
      </c>
      <c r="BC4618" s="3" t="s">
        <v>82</v>
      </c>
      <c r="BD4618" s="3" t="s">
        <v>538</v>
      </c>
      <c r="BE4618" s="3" t="s">
        <v>40186</v>
      </c>
      <c r="BF4618" s="3" t="s">
        <v>40185</v>
      </c>
      <c r="BG4618" s="3" t="s">
        <v>40187</v>
      </c>
    </row>
    <row r="4619" spans="1:59" ht="60" x14ac:dyDescent="0.25">
      <c r="A4619" s="2" t="s">
        <v>59</v>
      </c>
      <c r="B4619" s="2" t="s">
        <v>60</v>
      </c>
      <c r="C4619" s="2" t="s">
        <v>40188</v>
      </c>
      <c r="D4619" s="2" t="s">
        <v>40189</v>
      </c>
      <c r="E4619" s="2" t="s">
        <v>40190</v>
      </c>
      <c r="G4619" s="3" t="s">
        <v>63</v>
      </c>
      <c r="I4619" s="3" t="s">
        <v>63</v>
      </c>
      <c r="J4619" s="3" t="s">
        <v>63</v>
      </c>
      <c r="K4619" s="3" t="s">
        <v>64</v>
      </c>
      <c r="L4619" s="2" t="s">
        <v>40127</v>
      </c>
      <c r="M4619" s="2" t="s">
        <v>40191</v>
      </c>
      <c r="N4619" s="3" t="s">
        <v>220</v>
      </c>
      <c r="O4619" s="2" t="s">
        <v>590</v>
      </c>
      <c r="P4619" s="3" t="s">
        <v>66</v>
      </c>
      <c r="R4619" s="3" t="s">
        <v>67</v>
      </c>
      <c r="S4619" s="4">
        <v>10</v>
      </c>
      <c r="T4619" s="4">
        <v>10</v>
      </c>
      <c r="U4619" s="5" t="s">
        <v>40192</v>
      </c>
      <c r="V4619" s="5" t="s">
        <v>40192</v>
      </c>
      <c r="W4619" s="5" t="s">
        <v>69</v>
      </c>
      <c r="X4619" s="5" t="s">
        <v>69</v>
      </c>
      <c r="Y4619" s="4">
        <v>233</v>
      </c>
      <c r="Z4619" s="4">
        <v>11</v>
      </c>
      <c r="AA4619" s="4">
        <v>28</v>
      </c>
      <c r="AB4619" s="4">
        <v>1</v>
      </c>
      <c r="AC4619" s="4">
        <v>2</v>
      </c>
      <c r="AD4619" s="4">
        <v>54</v>
      </c>
      <c r="AE4619" s="4">
        <v>92</v>
      </c>
      <c r="AF4619" s="4">
        <v>0</v>
      </c>
      <c r="AG4619" s="4">
        <v>0</v>
      </c>
      <c r="AH4619" s="4">
        <v>51</v>
      </c>
      <c r="AI4619" s="4">
        <v>83</v>
      </c>
      <c r="AJ4619" s="4">
        <v>4</v>
      </c>
      <c r="AK4619" s="4">
        <v>10</v>
      </c>
      <c r="AL4619" s="4">
        <v>30</v>
      </c>
      <c r="AM4619" s="4">
        <v>49</v>
      </c>
      <c r="AN4619" s="4">
        <v>0</v>
      </c>
      <c r="AO4619" s="4">
        <v>0</v>
      </c>
      <c r="AP4619" s="4">
        <v>4</v>
      </c>
      <c r="AQ4619" s="4">
        <v>14</v>
      </c>
      <c r="AR4619" s="3" t="s">
        <v>63</v>
      </c>
      <c r="AS4619" s="3" t="s">
        <v>63</v>
      </c>
      <c r="AT4619" s="3" t="s">
        <v>62</v>
      </c>
      <c r="AU4619" s="6" t="str">
        <f>HYPERLINK("http://catalog.hathitrust.org/Record/004530220","HathiTrust Record")</f>
        <v>HathiTrust Record</v>
      </c>
      <c r="AV4619" s="6" t="str">
        <f>HYPERLINK("http://mcgill.on.worldcat.org/oclc/27266461","Catalog Record")</f>
        <v>Catalog Record</v>
      </c>
      <c r="AW4619" s="6" t="str">
        <f>HYPERLINK("http://www.worldcat.org/oclc/27266461","WorldCat Record")</f>
        <v>WorldCat Record</v>
      </c>
      <c r="AX4619" s="3" t="s">
        <v>40193</v>
      </c>
      <c r="AY4619" s="3" t="s">
        <v>40194</v>
      </c>
      <c r="AZ4619" s="3" t="s">
        <v>40195</v>
      </c>
      <c r="BA4619" s="3" t="s">
        <v>40195</v>
      </c>
      <c r="BB4619" s="3" t="s">
        <v>40196</v>
      </c>
      <c r="BC4619" s="3" t="s">
        <v>82</v>
      </c>
      <c r="BD4619" s="3" t="s">
        <v>70</v>
      </c>
      <c r="BE4619" s="3" t="s">
        <v>40197</v>
      </c>
      <c r="BF4619" s="3" t="s">
        <v>40196</v>
      </c>
      <c r="BG4619" s="3" t="s">
        <v>40198</v>
      </c>
    </row>
    <row r="4620" spans="1:59" ht="60" x14ac:dyDescent="0.25">
      <c r="A4620" s="2" t="s">
        <v>59</v>
      </c>
      <c r="B4620" s="2" t="s">
        <v>60</v>
      </c>
      <c r="C4620" s="2" t="s">
        <v>40199</v>
      </c>
      <c r="D4620" s="2" t="s">
        <v>40200</v>
      </c>
      <c r="E4620" s="2" t="s">
        <v>40201</v>
      </c>
      <c r="G4620" s="3" t="s">
        <v>63</v>
      </c>
      <c r="I4620" s="3" t="s">
        <v>63</v>
      </c>
      <c r="J4620" s="3" t="s">
        <v>63</v>
      </c>
      <c r="K4620" s="3" t="s">
        <v>64</v>
      </c>
      <c r="L4620" s="2" t="s">
        <v>40127</v>
      </c>
      <c r="M4620" s="2" t="s">
        <v>1066</v>
      </c>
      <c r="N4620" s="3" t="s">
        <v>204</v>
      </c>
      <c r="P4620" s="3" t="s">
        <v>66</v>
      </c>
      <c r="R4620" s="3" t="s">
        <v>67</v>
      </c>
      <c r="S4620" s="4">
        <v>11</v>
      </c>
      <c r="T4620" s="4">
        <v>11</v>
      </c>
      <c r="U4620" s="5" t="s">
        <v>22735</v>
      </c>
      <c r="V4620" s="5" t="s">
        <v>22735</v>
      </c>
      <c r="W4620" s="5" t="s">
        <v>69</v>
      </c>
      <c r="X4620" s="5" t="s">
        <v>69</v>
      </c>
      <c r="Y4620" s="4">
        <v>42</v>
      </c>
      <c r="Z4620" s="4">
        <v>8</v>
      </c>
      <c r="AA4620" s="4">
        <v>25</v>
      </c>
      <c r="AB4620" s="4">
        <v>1</v>
      </c>
      <c r="AC4620" s="4">
        <v>2</v>
      </c>
      <c r="AD4620" s="4">
        <v>21</v>
      </c>
      <c r="AE4620" s="4">
        <v>85</v>
      </c>
      <c r="AF4620" s="4">
        <v>0</v>
      </c>
      <c r="AG4620" s="4">
        <v>0</v>
      </c>
      <c r="AH4620" s="4">
        <v>21</v>
      </c>
      <c r="AI4620" s="4">
        <v>81</v>
      </c>
      <c r="AJ4620" s="4">
        <v>4</v>
      </c>
      <c r="AK4620" s="4">
        <v>6</v>
      </c>
      <c r="AL4620" s="4">
        <v>12</v>
      </c>
      <c r="AM4620" s="4">
        <v>46</v>
      </c>
      <c r="AN4620" s="4">
        <v>0</v>
      </c>
      <c r="AO4620" s="4">
        <v>0</v>
      </c>
      <c r="AP4620" s="4">
        <v>4</v>
      </c>
      <c r="AQ4620" s="4">
        <v>8</v>
      </c>
      <c r="AR4620" s="3" t="s">
        <v>63</v>
      </c>
      <c r="AS4620" s="3" t="s">
        <v>63</v>
      </c>
      <c r="AT4620" s="3" t="s">
        <v>62</v>
      </c>
      <c r="AU4620" s="6" t="str">
        <f>HYPERLINK("http://catalog.hathitrust.org/Record/007131917","HathiTrust Record")</f>
        <v>HathiTrust Record</v>
      </c>
      <c r="AV4620" s="6" t="str">
        <f>HYPERLINK("http://mcgill.on.worldcat.org/oclc/34630225","Catalog Record")</f>
        <v>Catalog Record</v>
      </c>
      <c r="AW4620" s="6" t="str">
        <f>HYPERLINK("http://www.worldcat.org/oclc/34630225","WorldCat Record")</f>
        <v>WorldCat Record</v>
      </c>
      <c r="AX4620" s="3" t="s">
        <v>40202</v>
      </c>
      <c r="AY4620" s="3" t="s">
        <v>40203</v>
      </c>
      <c r="AZ4620" s="3" t="s">
        <v>40204</v>
      </c>
      <c r="BA4620" s="3" t="s">
        <v>40204</v>
      </c>
      <c r="BB4620" s="3" t="s">
        <v>40205</v>
      </c>
      <c r="BC4620" s="3" t="s">
        <v>82</v>
      </c>
      <c r="BD4620" s="3" t="s">
        <v>70</v>
      </c>
      <c r="BE4620" s="3" t="s">
        <v>40206</v>
      </c>
      <c r="BF4620" s="3" t="s">
        <v>40205</v>
      </c>
      <c r="BG4620" s="3" t="s">
        <v>40207</v>
      </c>
    </row>
    <row r="4621" spans="1:59" ht="60" x14ac:dyDescent="0.25">
      <c r="A4621" s="2" t="s">
        <v>59</v>
      </c>
      <c r="B4621" s="2" t="s">
        <v>60</v>
      </c>
      <c r="C4621" s="2" t="s">
        <v>40208</v>
      </c>
      <c r="D4621" s="2" t="s">
        <v>40209</v>
      </c>
      <c r="E4621" s="2" t="s">
        <v>40210</v>
      </c>
      <c r="G4621" s="3" t="s">
        <v>63</v>
      </c>
      <c r="I4621" s="3" t="s">
        <v>63</v>
      </c>
      <c r="J4621" s="3" t="s">
        <v>63</v>
      </c>
      <c r="K4621" s="3" t="s">
        <v>64</v>
      </c>
      <c r="L4621" s="2" t="s">
        <v>40127</v>
      </c>
      <c r="M4621" s="2" t="s">
        <v>40211</v>
      </c>
      <c r="N4621" s="3" t="s">
        <v>1343</v>
      </c>
      <c r="O4621" s="2" t="s">
        <v>36850</v>
      </c>
      <c r="P4621" s="3" t="s">
        <v>66</v>
      </c>
      <c r="R4621" s="3" t="s">
        <v>67</v>
      </c>
      <c r="S4621" s="4">
        <v>4</v>
      </c>
      <c r="T4621" s="4">
        <v>4</v>
      </c>
      <c r="U4621" s="5" t="s">
        <v>37757</v>
      </c>
      <c r="V4621" s="5" t="s">
        <v>37757</v>
      </c>
      <c r="W4621" s="5" t="s">
        <v>69</v>
      </c>
      <c r="X4621" s="5" t="s">
        <v>69</v>
      </c>
      <c r="Y4621" s="4">
        <v>333</v>
      </c>
      <c r="Z4621" s="4">
        <v>18</v>
      </c>
      <c r="AA4621" s="4">
        <v>24</v>
      </c>
      <c r="AB4621" s="4">
        <v>2</v>
      </c>
      <c r="AC4621" s="4">
        <v>4</v>
      </c>
      <c r="AD4621" s="4">
        <v>82</v>
      </c>
      <c r="AE4621" s="4">
        <v>88</v>
      </c>
      <c r="AF4621" s="4">
        <v>0</v>
      </c>
      <c r="AG4621" s="4">
        <v>0</v>
      </c>
      <c r="AH4621" s="4">
        <v>76</v>
      </c>
      <c r="AI4621" s="4">
        <v>81</v>
      </c>
      <c r="AJ4621" s="4">
        <v>9</v>
      </c>
      <c r="AK4621" s="4">
        <v>9</v>
      </c>
      <c r="AL4621" s="4">
        <v>43</v>
      </c>
      <c r="AM4621" s="4">
        <v>47</v>
      </c>
      <c r="AN4621" s="4">
        <v>0</v>
      </c>
      <c r="AO4621" s="4">
        <v>0</v>
      </c>
      <c r="AP4621" s="4">
        <v>10</v>
      </c>
      <c r="AQ4621" s="4">
        <v>10</v>
      </c>
      <c r="AR4621" s="3" t="s">
        <v>63</v>
      </c>
      <c r="AS4621" s="3" t="s">
        <v>63</v>
      </c>
      <c r="AT4621" s="3" t="s">
        <v>62</v>
      </c>
      <c r="AU4621" s="6" t="str">
        <f>HYPERLINK("http://catalog.hathitrust.org/Record/007139303","HathiTrust Record")</f>
        <v>HathiTrust Record</v>
      </c>
      <c r="AV4621" s="6" t="str">
        <f>HYPERLINK("http://mcgill.on.worldcat.org/oclc/43561966","Catalog Record")</f>
        <v>Catalog Record</v>
      </c>
      <c r="AW4621" s="6" t="str">
        <f>HYPERLINK("http://www.worldcat.org/oclc/43561966","WorldCat Record")</f>
        <v>WorldCat Record</v>
      </c>
      <c r="AX4621" s="3" t="s">
        <v>40212</v>
      </c>
      <c r="AY4621" s="3" t="s">
        <v>40213</v>
      </c>
      <c r="AZ4621" s="3" t="s">
        <v>40214</v>
      </c>
      <c r="BA4621" s="3" t="s">
        <v>40214</v>
      </c>
      <c r="BB4621" s="3" t="s">
        <v>40215</v>
      </c>
      <c r="BC4621" s="3" t="s">
        <v>82</v>
      </c>
      <c r="BD4621" s="3" t="s">
        <v>538</v>
      </c>
      <c r="BE4621" s="3" t="s">
        <v>40216</v>
      </c>
      <c r="BF4621" s="3" t="s">
        <v>40215</v>
      </c>
      <c r="BG4621" s="3" t="s">
        <v>40217</v>
      </c>
    </row>
    <row r="4622" spans="1:59" ht="60" x14ac:dyDescent="0.25">
      <c r="A4622" s="2" t="s">
        <v>59</v>
      </c>
      <c r="B4622" s="2" t="s">
        <v>60</v>
      </c>
      <c r="C4622" s="2" t="s">
        <v>40218</v>
      </c>
      <c r="D4622" s="2" t="s">
        <v>40219</v>
      </c>
      <c r="E4622" s="2" t="s">
        <v>40220</v>
      </c>
      <c r="G4622" s="3" t="s">
        <v>63</v>
      </c>
      <c r="I4622" s="3" t="s">
        <v>63</v>
      </c>
      <c r="J4622" s="3" t="s">
        <v>63</v>
      </c>
      <c r="K4622" s="3" t="s">
        <v>64</v>
      </c>
      <c r="L4622" s="2" t="s">
        <v>40127</v>
      </c>
      <c r="M4622" s="2" t="s">
        <v>40221</v>
      </c>
      <c r="N4622" s="3" t="s">
        <v>1113</v>
      </c>
      <c r="O4622" s="2" t="s">
        <v>25384</v>
      </c>
      <c r="P4622" s="3" t="s">
        <v>66</v>
      </c>
      <c r="R4622" s="3" t="s">
        <v>67</v>
      </c>
      <c r="S4622" s="4">
        <v>3</v>
      </c>
      <c r="T4622" s="4">
        <v>3</v>
      </c>
      <c r="U4622" s="5" t="s">
        <v>40192</v>
      </c>
      <c r="V4622" s="5" t="s">
        <v>40192</v>
      </c>
      <c r="W4622" s="5" t="s">
        <v>69</v>
      </c>
      <c r="X4622" s="5" t="s">
        <v>69</v>
      </c>
      <c r="Y4622" s="4">
        <v>449</v>
      </c>
      <c r="Z4622" s="4">
        <v>17</v>
      </c>
      <c r="AA4622" s="4">
        <v>29</v>
      </c>
      <c r="AB4622" s="4">
        <v>1</v>
      </c>
      <c r="AC4622" s="4">
        <v>3</v>
      </c>
      <c r="AD4622" s="4">
        <v>89</v>
      </c>
      <c r="AE4622" s="4">
        <v>97</v>
      </c>
      <c r="AF4622" s="4">
        <v>0</v>
      </c>
      <c r="AG4622" s="4">
        <v>0</v>
      </c>
      <c r="AH4622" s="4">
        <v>84</v>
      </c>
      <c r="AI4622" s="4">
        <v>90</v>
      </c>
      <c r="AJ4622" s="4">
        <v>8</v>
      </c>
      <c r="AK4622" s="4">
        <v>10</v>
      </c>
      <c r="AL4622" s="4">
        <v>49</v>
      </c>
      <c r="AM4622" s="4">
        <v>52</v>
      </c>
      <c r="AN4622" s="4">
        <v>0</v>
      </c>
      <c r="AO4622" s="4">
        <v>1</v>
      </c>
      <c r="AP4622" s="4">
        <v>9</v>
      </c>
      <c r="AQ4622" s="4">
        <v>13</v>
      </c>
      <c r="AR4622" s="3" t="s">
        <v>63</v>
      </c>
      <c r="AS4622" s="3" t="s">
        <v>63</v>
      </c>
      <c r="AT4622" s="3" t="s">
        <v>62</v>
      </c>
      <c r="AU4622" s="6" t="str">
        <f>HYPERLINK("http://catalog.hathitrust.org/Record/003140195","HathiTrust Record")</f>
        <v>HathiTrust Record</v>
      </c>
      <c r="AV4622" s="6" t="str">
        <f>HYPERLINK("http://mcgill.on.worldcat.org/oclc/35450446","Catalog Record")</f>
        <v>Catalog Record</v>
      </c>
      <c r="AW4622" s="6" t="str">
        <f>HYPERLINK("http://www.worldcat.org/oclc/35450446","WorldCat Record")</f>
        <v>WorldCat Record</v>
      </c>
      <c r="AX4622" s="3" t="s">
        <v>40222</v>
      </c>
      <c r="AY4622" s="3" t="s">
        <v>40223</v>
      </c>
      <c r="AZ4622" s="3" t="s">
        <v>40224</v>
      </c>
      <c r="BA4622" s="3" t="s">
        <v>40224</v>
      </c>
      <c r="BB4622" s="3" t="s">
        <v>40225</v>
      </c>
      <c r="BC4622" s="3" t="s">
        <v>82</v>
      </c>
      <c r="BD4622" s="3" t="s">
        <v>70</v>
      </c>
      <c r="BE4622" s="3" t="s">
        <v>40226</v>
      </c>
      <c r="BF4622" s="3" t="s">
        <v>40225</v>
      </c>
      <c r="BG4622" s="3" t="s">
        <v>40227</v>
      </c>
    </row>
    <row r="4623" spans="1:59" ht="90" x14ac:dyDescent="0.25">
      <c r="A4623" s="2" t="s">
        <v>59</v>
      </c>
      <c r="B4623" s="2" t="s">
        <v>60</v>
      </c>
      <c r="C4623" s="2" t="s">
        <v>40237</v>
      </c>
      <c r="D4623" s="2" t="s">
        <v>40238</v>
      </c>
      <c r="E4623" s="2" t="s">
        <v>40239</v>
      </c>
      <c r="G4623" s="3" t="s">
        <v>63</v>
      </c>
      <c r="I4623" s="3" t="s">
        <v>63</v>
      </c>
      <c r="J4623" s="3" t="s">
        <v>63</v>
      </c>
      <c r="K4623" s="3" t="s">
        <v>64</v>
      </c>
      <c r="L4623" s="2" t="s">
        <v>40240</v>
      </c>
      <c r="M4623" s="2" t="s">
        <v>40241</v>
      </c>
      <c r="N4623" s="3" t="s">
        <v>2103</v>
      </c>
      <c r="P4623" s="3" t="s">
        <v>66</v>
      </c>
      <c r="R4623" s="3" t="s">
        <v>67</v>
      </c>
      <c r="S4623" s="4">
        <v>3</v>
      </c>
      <c r="T4623" s="4">
        <v>3</v>
      </c>
      <c r="U4623" s="5" t="s">
        <v>12843</v>
      </c>
      <c r="V4623" s="5" t="s">
        <v>12843</v>
      </c>
      <c r="W4623" s="5" t="s">
        <v>69</v>
      </c>
      <c r="X4623" s="5" t="s">
        <v>69</v>
      </c>
      <c r="Y4623" s="4">
        <v>124</v>
      </c>
      <c r="Z4623" s="4">
        <v>7</v>
      </c>
      <c r="AA4623" s="4">
        <v>7</v>
      </c>
      <c r="AB4623" s="4">
        <v>2</v>
      </c>
      <c r="AC4623" s="4">
        <v>2</v>
      </c>
      <c r="AD4623" s="4">
        <v>61</v>
      </c>
      <c r="AE4623" s="4">
        <v>61</v>
      </c>
      <c r="AF4623" s="4">
        <v>0</v>
      </c>
      <c r="AG4623" s="4">
        <v>0</v>
      </c>
      <c r="AH4623" s="4">
        <v>59</v>
      </c>
      <c r="AI4623" s="4">
        <v>59</v>
      </c>
      <c r="AJ4623" s="4">
        <v>3</v>
      </c>
      <c r="AK4623" s="4">
        <v>3</v>
      </c>
      <c r="AL4623" s="4">
        <v>42</v>
      </c>
      <c r="AM4623" s="4">
        <v>42</v>
      </c>
      <c r="AN4623" s="4">
        <v>0</v>
      </c>
      <c r="AO4623" s="4">
        <v>0</v>
      </c>
      <c r="AP4623" s="4">
        <v>3</v>
      </c>
      <c r="AQ4623" s="4">
        <v>3</v>
      </c>
      <c r="AR4623" s="3" t="s">
        <v>63</v>
      </c>
      <c r="AS4623" s="3" t="s">
        <v>63</v>
      </c>
      <c r="AT4623" s="3" t="s">
        <v>63</v>
      </c>
      <c r="AV4623" s="6" t="str">
        <f>HYPERLINK("http://mcgill.on.worldcat.org/oclc/48074247","Catalog Record")</f>
        <v>Catalog Record</v>
      </c>
      <c r="AW4623" s="6" t="str">
        <f>HYPERLINK("http://www.worldcat.org/oclc/48074247","WorldCat Record")</f>
        <v>WorldCat Record</v>
      </c>
      <c r="AX4623" s="3" t="s">
        <v>40242</v>
      </c>
      <c r="AY4623" s="3" t="s">
        <v>40243</v>
      </c>
      <c r="AZ4623" s="3" t="s">
        <v>40244</v>
      </c>
      <c r="BA4623" s="3" t="s">
        <v>40244</v>
      </c>
      <c r="BB4623" s="3" t="s">
        <v>40245</v>
      </c>
      <c r="BC4623" s="3" t="s">
        <v>82</v>
      </c>
      <c r="BD4623" s="3" t="s">
        <v>70</v>
      </c>
      <c r="BE4623" s="3" t="s">
        <v>40246</v>
      </c>
      <c r="BF4623" s="3" t="s">
        <v>40245</v>
      </c>
      <c r="BG4623" s="3" t="s">
        <v>40247</v>
      </c>
    </row>
    <row r="4624" spans="1:59" ht="60" x14ac:dyDescent="0.25">
      <c r="A4624" s="2" t="s">
        <v>59</v>
      </c>
      <c r="B4624" s="2" t="s">
        <v>60</v>
      </c>
      <c r="C4624" s="2" t="s">
        <v>568</v>
      </c>
      <c r="D4624" s="2" t="s">
        <v>569</v>
      </c>
      <c r="E4624" s="2" t="s">
        <v>570</v>
      </c>
      <c r="F4624" s="3" t="s">
        <v>571</v>
      </c>
      <c r="G4624" s="3" t="s">
        <v>62</v>
      </c>
      <c r="I4624" s="3" t="s">
        <v>63</v>
      </c>
      <c r="J4624" s="3" t="s">
        <v>63</v>
      </c>
      <c r="K4624" s="3" t="s">
        <v>64</v>
      </c>
      <c r="M4624" s="2" t="s">
        <v>572</v>
      </c>
      <c r="N4624" s="3" t="s">
        <v>220</v>
      </c>
      <c r="O4624" s="2" t="s">
        <v>573</v>
      </c>
      <c r="P4624" s="3" t="s">
        <v>574</v>
      </c>
      <c r="R4624" s="3" t="s">
        <v>67</v>
      </c>
      <c r="S4624" s="4">
        <v>1</v>
      </c>
      <c r="T4624" s="4">
        <v>2</v>
      </c>
      <c r="U4624" s="5" t="s">
        <v>575</v>
      </c>
      <c r="V4624" s="5" t="s">
        <v>575</v>
      </c>
      <c r="W4624" s="5" t="s">
        <v>69</v>
      </c>
      <c r="X4624" s="5" t="s">
        <v>69</v>
      </c>
      <c r="Y4624" s="4">
        <v>8</v>
      </c>
      <c r="Z4624" s="4">
        <v>2</v>
      </c>
      <c r="AA4624" s="4">
        <v>10</v>
      </c>
      <c r="AB4624" s="4">
        <v>1</v>
      </c>
      <c r="AC4624" s="4">
        <v>2</v>
      </c>
      <c r="AD4624" s="4">
        <v>2</v>
      </c>
      <c r="AE4624" s="4">
        <v>43</v>
      </c>
      <c r="AF4624" s="4">
        <v>0</v>
      </c>
      <c r="AG4624" s="4">
        <v>0</v>
      </c>
      <c r="AH4624" s="4">
        <v>2</v>
      </c>
      <c r="AI4624" s="4">
        <v>40</v>
      </c>
      <c r="AJ4624" s="4">
        <v>1</v>
      </c>
      <c r="AK4624" s="4">
        <v>5</v>
      </c>
      <c r="AL4624" s="4">
        <v>0</v>
      </c>
      <c r="AM4624" s="4">
        <v>28</v>
      </c>
      <c r="AN4624" s="4">
        <v>0</v>
      </c>
      <c r="AO4624" s="4">
        <v>0</v>
      </c>
      <c r="AP4624" s="4">
        <v>1</v>
      </c>
      <c r="AQ4624" s="4">
        <v>4</v>
      </c>
      <c r="AR4624" s="3" t="s">
        <v>63</v>
      </c>
      <c r="AS4624" s="3" t="s">
        <v>63</v>
      </c>
      <c r="AT4624" s="3" t="s">
        <v>63</v>
      </c>
      <c r="AV4624" s="6" t="str">
        <f>HYPERLINK("http://mcgill.on.worldcat.org/oclc/33836826","Catalog Record")</f>
        <v>Catalog Record</v>
      </c>
      <c r="AW4624" s="6" t="str">
        <f>HYPERLINK("http://www.worldcat.org/oclc/33836826","WorldCat Record")</f>
        <v>WorldCat Record</v>
      </c>
      <c r="AX4624" s="3" t="s">
        <v>576</v>
      </c>
      <c r="AY4624" s="3" t="s">
        <v>577</v>
      </c>
      <c r="AZ4624" s="3" t="s">
        <v>578</v>
      </c>
      <c r="BA4624" s="3" t="s">
        <v>578</v>
      </c>
      <c r="BB4624" s="3" t="s">
        <v>579</v>
      </c>
      <c r="BC4624" s="3" t="s">
        <v>82</v>
      </c>
      <c r="BD4624" s="3" t="s">
        <v>70</v>
      </c>
      <c r="BE4624" s="3" t="s">
        <v>580</v>
      </c>
      <c r="BF4624" s="3" t="s">
        <v>579</v>
      </c>
      <c r="BG4624" s="3" t="s">
        <v>581</v>
      </c>
    </row>
    <row r="4625" spans="1:59" ht="60" x14ac:dyDescent="0.25">
      <c r="A4625" s="2" t="s">
        <v>59</v>
      </c>
      <c r="B4625" s="2" t="s">
        <v>60</v>
      </c>
      <c r="C4625" s="2" t="s">
        <v>568</v>
      </c>
      <c r="D4625" s="2" t="s">
        <v>569</v>
      </c>
      <c r="E4625" s="2" t="s">
        <v>570</v>
      </c>
      <c r="F4625" s="3" t="s">
        <v>582</v>
      </c>
      <c r="G4625" s="3" t="s">
        <v>62</v>
      </c>
      <c r="I4625" s="3" t="s">
        <v>63</v>
      </c>
      <c r="J4625" s="3" t="s">
        <v>63</v>
      </c>
      <c r="K4625" s="3" t="s">
        <v>64</v>
      </c>
      <c r="M4625" s="2" t="s">
        <v>572</v>
      </c>
      <c r="N4625" s="3" t="s">
        <v>220</v>
      </c>
      <c r="O4625" s="2" t="s">
        <v>573</v>
      </c>
      <c r="P4625" s="3" t="s">
        <v>574</v>
      </c>
      <c r="R4625" s="3" t="s">
        <v>67</v>
      </c>
      <c r="S4625" s="4">
        <v>1</v>
      </c>
      <c r="T4625" s="4">
        <v>2</v>
      </c>
      <c r="U4625" s="5" t="s">
        <v>575</v>
      </c>
      <c r="V4625" s="5" t="s">
        <v>575</v>
      </c>
      <c r="W4625" s="5" t="s">
        <v>69</v>
      </c>
      <c r="X4625" s="5" t="s">
        <v>69</v>
      </c>
      <c r="Y4625" s="4">
        <v>8</v>
      </c>
      <c r="Z4625" s="4">
        <v>2</v>
      </c>
      <c r="AA4625" s="4">
        <v>10</v>
      </c>
      <c r="AB4625" s="4">
        <v>1</v>
      </c>
      <c r="AC4625" s="4">
        <v>2</v>
      </c>
      <c r="AD4625" s="4">
        <v>2</v>
      </c>
      <c r="AE4625" s="4">
        <v>43</v>
      </c>
      <c r="AF4625" s="4">
        <v>0</v>
      </c>
      <c r="AG4625" s="4">
        <v>0</v>
      </c>
      <c r="AH4625" s="4">
        <v>2</v>
      </c>
      <c r="AI4625" s="4">
        <v>40</v>
      </c>
      <c r="AJ4625" s="4">
        <v>1</v>
      </c>
      <c r="AK4625" s="4">
        <v>5</v>
      </c>
      <c r="AL4625" s="4">
        <v>0</v>
      </c>
      <c r="AM4625" s="4">
        <v>28</v>
      </c>
      <c r="AN4625" s="4">
        <v>0</v>
      </c>
      <c r="AO4625" s="4">
        <v>0</v>
      </c>
      <c r="AP4625" s="4">
        <v>1</v>
      </c>
      <c r="AQ4625" s="4">
        <v>4</v>
      </c>
      <c r="AR4625" s="3" t="s">
        <v>63</v>
      </c>
      <c r="AS4625" s="3" t="s">
        <v>63</v>
      </c>
      <c r="AT4625" s="3" t="s">
        <v>63</v>
      </c>
      <c r="AV4625" s="6" t="str">
        <f>HYPERLINK("http://mcgill.on.worldcat.org/oclc/33836826","Catalog Record")</f>
        <v>Catalog Record</v>
      </c>
      <c r="AW4625" s="6" t="str">
        <f>HYPERLINK("http://www.worldcat.org/oclc/33836826","WorldCat Record")</f>
        <v>WorldCat Record</v>
      </c>
      <c r="AX4625" s="3" t="s">
        <v>576</v>
      </c>
      <c r="AY4625" s="3" t="s">
        <v>577</v>
      </c>
      <c r="AZ4625" s="3" t="s">
        <v>578</v>
      </c>
      <c r="BA4625" s="3" t="s">
        <v>578</v>
      </c>
      <c r="BB4625" s="3" t="s">
        <v>583</v>
      </c>
      <c r="BC4625" s="3" t="s">
        <v>82</v>
      </c>
      <c r="BD4625" s="3" t="s">
        <v>70</v>
      </c>
      <c r="BE4625" s="3" t="s">
        <v>580</v>
      </c>
      <c r="BF4625" s="3" t="s">
        <v>583</v>
      </c>
      <c r="BG4625" s="3" t="s">
        <v>584</v>
      </c>
    </row>
  </sheetData>
  <autoFilter ref="A1:BG4621" xr:uid="{00000000-0009-0000-0000-000000000000}">
    <sortState xmlns:xlrd2="http://schemas.microsoft.com/office/spreadsheetml/2017/richdata2" ref="A2:BG4625">
      <sortCondition ref="C1:C462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223C378089942809A7943C4880DE6" ma:contentTypeVersion="12" ma:contentTypeDescription="Create a new document." ma:contentTypeScope="" ma:versionID="36d975042bf97339687dfe0e10a71455">
  <xsd:schema xmlns:xsd="http://www.w3.org/2001/XMLSchema" xmlns:xs="http://www.w3.org/2001/XMLSchema" xmlns:p="http://schemas.microsoft.com/office/2006/metadata/properties" xmlns:ns3="8fa821e5-be0b-4978-8cb3-cce5e1f24c34" xmlns:ns4="8b7c810d-c9c3-4987-b0d7-7c20b69da642" targetNamespace="http://schemas.microsoft.com/office/2006/metadata/properties" ma:root="true" ma:fieldsID="358779577b353762824036ff6a96c571" ns3:_="" ns4:_="">
    <xsd:import namespace="8fa821e5-be0b-4978-8cb3-cce5e1f24c34"/>
    <xsd:import namespace="8b7c810d-c9c3-4987-b0d7-7c20b69da64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a821e5-be0b-4978-8cb3-cce5e1f24c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c810d-c9c3-4987-b0d7-7c20b69da64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19D872-B411-4965-A66B-80EC437DB72D}">
  <ds:schemaRefs>
    <ds:schemaRef ds:uri="http://purl.org/dc/dcmitype/"/>
    <ds:schemaRef ds:uri="http://schemas.microsoft.com/office/infopath/2007/PartnerControls"/>
    <ds:schemaRef ds:uri="8b7c810d-c9c3-4987-b0d7-7c20b69da642"/>
    <ds:schemaRef ds:uri="http://purl.org/dc/elements/1.1/"/>
    <ds:schemaRef ds:uri="http://schemas.microsoft.com/office/2006/metadata/properties"/>
    <ds:schemaRef ds:uri="8fa821e5-be0b-4978-8cb3-cce5e1f24c34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4EE8669-5734-411F-AC26-8AF6E886B0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a821e5-be0b-4978-8cb3-cce5e1f24c34"/>
    <ds:schemaRef ds:uri="8b7c810d-c9c3-4987-b0d7-7c20b69da6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A75A04-CDA9-4F74-B079-00DC6BA086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Print Books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 Houle</dc:creator>
  <cp:lastModifiedBy>Eamon Duffy</cp:lastModifiedBy>
  <dcterms:created xsi:type="dcterms:W3CDTF">2020-07-20T06:33:14Z</dcterms:created>
  <dcterms:modified xsi:type="dcterms:W3CDTF">2021-04-01T14:49:28Z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0x010100627223C378089942809A7943C4880DE6</vt:lpwstr>
  </property>
</Properties>
</file>